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1013"/>
  <workbookPr/>
  <mc:AlternateContent xmlns:mc="http://schemas.openxmlformats.org/markup-compatibility/2006">
    <mc:Choice Requires="x15">
      <x15ac:absPath xmlns:x15ac="http://schemas.microsoft.com/office/spreadsheetml/2010/11/ac" url="/Users/jiatongzhang/Desktop/WSO/templates/"/>
    </mc:Choice>
  </mc:AlternateContent>
  <xr:revisionPtr revIDLastSave="0" documentId="13_ncr:1_{EBA094E3-965F-0D44-BF88-57B141654081}" xr6:coauthVersionLast="45" xr6:coauthVersionMax="45" xr10:uidLastSave="{00000000-0000-0000-0000-000000000000}"/>
  <bookViews>
    <workbookView xWindow="8620" yWindow="460" windowWidth="23040" windowHeight="13360" activeTab="3" xr2:uid="{00000000-000D-0000-FFFF-FFFF00000000}"/>
  </bookViews>
  <sheets>
    <sheet name="Sales" sheetId="4" r:id="rId1"/>
    <sheet name="IS" sheetId="3" r:id="rId2"/>
    <sheet name="SOTP" sheetId="7" r:id="rId3"/>
    <sheet name="WSO Cover Page" sheetId="10" r:id="rId4"/>
    <sheet name="DCF" sheetId="9" r:id="rId5"/>
    <sheet name="Key Products" sheetId="6" r:id="rId6"/>
    <sheet name="BS &amp; CF" sheetId="8" r:id="rId7"/>
    <sheet name="FX" sheetId="5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</externalReferences>
  <definedNames>
    <definedName name="__123Graph_A" localSheetId="5" hidden="1">'[1]quarterly income and e&amp;p'!#REF!</definedName>
    <definedName name="__123Graph_A" localSheetId="2" hidden="1">'[1]quarterly income and e&amp;p'!#REF!</definedName>
    <definedName name="__123Graph_A" hidden="1">'[1]quarterly income and e&amp;p'!#REF!</definedName>
    <definedName name="__123Graph_ACurrent" localSheetId="5" hidden="1">'[1]quarterly income and e&amp;p'!#REF!</definedName>
    <definedName name="__123Graph_ACurrent" localSheetId="2" hidden="1">'[1]quarterly income and e&amp;p'!#REF!</definedName>
    <definedName name="__123Graph_ACurrent" hidden="1">'[1]quarterly income and e&amp;p'!#REF!</definedName>
    <definedName name="__123Graph_B" localSheetId="5" hidden="1">'[1]quarterly income and e&amp;p'!#REF!</definedName>
    <definedName name="__123Graph_B" localSheetId="2" hidden="1">'[1]quarterly income and e&amp;p'!#REF!</definedName>
    <definedName name="__123Graph_B" hidden="1">'[1]quarterly income and e&amp;p'!#REF!</definedName>
    <definedName name="__123Graph_BCurrent" localSheetId="5" hidden="1">'[1]quarterly income and e&amp;p'!#REF!</definedName>
    <definedName name="__123Graph_BCurrent" localSheetId="2" hidden="1">'[1]quarterly income and e&amp;p'!#REF!</definedName>
    <definedName name="__123Graph_BCurrent" hidden="1">'[1]quarterly income and e&amp;p'!#REF!</definedName>
    <definedName name="__123Graph_C" localSheetId="5" hidden="1">'[1]quarterly income and e&amp;p'!#REF!</definedName>
    <definedName name="__123Graph_C" localSheetId="2" hidden="1">'[1]quarterly income and e&amp;p'!#REF!</definedName>
    <definedName name="__123Graph_C" hidden="1">'[1]quarterly income and e&amp;p'!#REF!</definedName>
    <definedName name="__123Graph_CCurrent" localSheetId="5" hidden="1">'[1]quarterly income and e&amp;p'!#REF!</definedName>
    <definedName name="__123Graph_CCurrent" localSheetId="2" hidden="1">'[1]quarterly income and e&amp;p'!#REF!</definedName>
    <definedName name="__123Graph_CCurrent" hidden="1">'[1]quarterly income and e&amp;p'!#REF!</definedName>
    <definedName name="__123Graph_D" localSheetId="5" hidden="1">'[1]quarterly income and e&amp;p'!#REF!</definedName>
    <definedName name="__123Graph_D" localSheetId="2" hidden="1">'[1]quarterly income and e&amp;p'!#REF!</definedName>
    <definedName name="__123Graph_D" hidden="1">'[1]quarterly income and e&amp;p'!#REF!</definedName>
    <definedName name="__123Graph_DCurrent" localSheetId="5" hidden="1">'[1]quarterly income and e&amp;p'!#REF!</definedName>
    <definedName name="__123Graph_DCurrent" localSheetId="2" hidden="1">'[1]quarterly income and e&amp;p'!#REF!</definedName>
    <definedName name="__123Graph_DCurrent" hidden="1">'[1]quarterly income and e&amp;p'!#REF!</definedName>
    <definedName name="__123Graph_E" localSheetId="5" hidden="1">'[1]quarterly income and e&amp;p'!#REF!</definedName>
    <definedName name="__123Graph_E" localSheetId="2" hidden="1">'[1]quarterly income and e&amp;p'!#REF!</definedName>
    <definedName name="__123Graph_E" hidden="1">'[1]quarterly income and e&amp;p'!#REF!</definedName>
    <definedName name="__123Graph_ECurrent" localSheetId="5" hidden="1">'[1]quarterly income and e&amp;p'!#REF!</definedName>
    <definedName name="__123Graph_ECurrent" localSheetId="2" hidden="1">'[1]quarterly income and e&amp;p'!#REF!</definedName>
    <definedName name="__123Graph_ECurrent" hidden="1">'[1]quarterly income and e&amp;p'!#REF!</definedName>
    <definedName name="__ahp2">[2]DATA!$A$106:$I$130</definedName>
    <definedName name="__amo01" localSheetId="5">#REF!</definedName>
    <definedName name="__amo01" localSheetId="2">#REF!</definedName>
    <definedName name="__amo01">#REF!</definedName>
    <definedName name="__amo02" localSheetId="5">#REF!</definedName>
    <definedName name="__amo02" localSheetId="2">#REF!</definedName>
    <definedName name="__amo02">#REF!</definedName>
    <definedName name="__amo03" localSheetId="5">#REF!</definedName>
    <definedName name="__amo03" localSheetId="2">#REF!</definedName>
    <definedName name="__amo03">#REF!</definedName>
    <definedName name="__amo04" localSheetId="5">#REF!</definedName>
    <definedName name="__amo04" localSheetId="2">#REF!</definedName>
    <definedName name="__amo04">#REF!</definedName>
    <definedName name="__amo05" localSheetId="5">#REF!</definedName>
    <definedName name="__amo05" localSheetId="2">#REF!</definedName>
    <definedName name="__amo05">#REF!</definedName>
    <definedName name="__eps01" localSheetId="5">'[3]quarterly income'!#REF!</definedName>
    <definedName name="__eps01" localSheetId="2">'[3]quarterly income'!#REF!</definedName>
    <definedName name="__eps01">'[3]quarterly income'!#REF!</definedName>
    <definedName name="__eps02" localSheetId="5">'[3]quarterly income'!#REF!</definedName>
    <definedName name="__eps02" localSheetId="2">'[3]quarterly income'!#REF!</definedName>
    <definedName name="__eps02">'[3]quarterly income'!#REF!</definedName>
    <definedName name="__eps93">'[4]#REF'!$X$180</definedName>
    <definedName name="__eps94">'[4]#REF'!$AE$180</definedName>
    <definedName name="__eps95" localSheetId="5">'[5]Inc Stmt'!#REF!</definedName>
    <definedName name="__eps95" localSheetId="2">'[5]Inc Stmt'!#REF!</definedName>
    <definedName name="__eps95">'[5]Inc Stmt'!#REF!</definedName>
    <definedName name="__eps96" localSheetId="5">'[5]Inc Stmt'!#REF!</definedName>
    <definedName name="__eps96" localSheetId="2">'[5]Inc Stmt'!#REF!</definedName>
    <definedName name="__eps96">'[5]Inc Stmt'!#REF!</definedName>
    <definedName name="__eps97" localSheetId="5">'[5]Inc Stmt'!#REF!</definedName>
    <definedName name="__eps97" localSheetId="2">'[5]Inc Stmt'!#REF!</definedName>
    <definedName name="__eps97">'[5]Inc Stmt'!#REF!</definedName>
    <definedName name="__eps98" localSheetId="5">'[5]Inc Stmt'!#REF!</definedName>
    <definedName name="__eps98" localSheetId="2">'[5]Inc Stmt'!#REF!</definedName>
    <definedName name="__eps98">'[5]Inc Stmt'!#REF!</definedName>
    <definedName name="__eps99" localSheetId="5">'[3]quarterly income'!#REF!</definedName>
    <definedName name="__eps99" localSheetId="2">'[3]quarterly income'!#REF!</definedName>
    <definedName name="__eps99">'[3]quarterly income'!#REF!</definedName>
    <definedName name="__FDS_HYPERLINK_TOGGLE_STATE__" hidden="1">"ON"</definedName>
    <definedName name="__jnj2">[2]DATA!$A$158:$I$182</definedName>
    <definedName name="__lly2">[2]DATA!$A$184:$I$208</definedName>
    <definedName name="__mi01" localSheetId="5">'[3]Balance Sheet Cash Flow'!#REF!</definedName>
    <definedName name="__mi01" localSheetId="2">'[3]Balance Sheet Cash Flow'!#REF!</definedName>
    <definedName name="__mi01">'[3]Balance Sheet Cash Flow'!#REF!</definedName>
    <definedName name="__mi02" localSheetId="5">'[3]Balance Sheet Cash Flow'!#REF!</definedName>
    <definedName name="__mi02" localSheetId="2">'[3]Balance Sheet Cash Flow'!#REF!</definedName>
    <definedName name="__mi02">'[3]Balance Sheet Cash Flow'!#REF!</definedName>
    <definedName name="__mi99" localSheetId="5">'[3]Balance Sheet Cash Flow'!#REF!</definedName>
    <definedName name="__mi99" localSheetId="2">'[3]Balance Sheet Cash Flow'!#REF!</definedName>
    <definedName name="__mi99">'[3]Balance Sheet Cash Flow'!#REF!</definedName>
    <definedName name="__mrk2">[2]DATA!$A$54:$I$79</definedName>
    <definedName name="__net93">'[4]#REF'!$X$178</definedName>
    <definedName name="__net94">'[4]#REF'!$AE$178</definedName>
    <definedName name="__pfe2">[2]DATA!$A$28:$I$52</definedName>
    <definedName name="__rd01">[6]Inputs!$P$21</definedName>
    <definedName name="__rd02">[6]Inputs!$U$21</definedName>
    <definedName name="__rd99">[6]Inputs!$F$21</definedName>
    <definedName name="__rev94" localSheetId="5">'[5]Inc Stmt'!#REF!</definedName>
    <definedName name="__rev94" localSheetId="2">'[5]Inc Stmt'!#REF!</definedName>
    <definedName name="__rev94">'[5]Inc Stmt'!#REF!</definedName>
    <definedName name="__rev95" localSheetId="5">'[5]Inc Stmt'!#REF!</definedName>
    <definedName name="__rev95" localSheetId="2">'[5]Inc Stmt'!#REF!</definedName>
    <definedName name="__rev95">'[5]Inc Stmt'!#REF!</definedName>
    <definedName name="__rev96" localSheetId="5">'[5]Inc Stmt'!#REF!</definedName>
    <definedName name="__rev96" localSheetId="2">'[5]Inc Stmt'!#REF!</definedName>
    <definedName name="__rev96">'[5]Inc Stmt'!#REF!</definedName>
    <definedName name="__rev97" localSheetId="5">'[5]Inc Stmt'!#REF!</definedName>
    <definedName name="__rev97" localSheetId="2">'[5]Inc Stmt'!#REF!</definedName>
    <definedName name="__rev97">'[5]Inc Stmt'!#REF!</definedName>
    <definedName name="__rev98" localSheetId="5">'[5]Inc Stmt'!#REF!</definedName>
    <definedName name="__rev98" localSheetId="2">'[5]Inc Stmt'!#REF!</definedName>
    <definedName name="__rev98">'[5]Inc Stmt'!#REF!</definedName>
    <definedName name="__sgp2">[2]DATA!$A$80:$I$104</definedName>
    <definedName name="__sls93">'[4]#REF'!$X$166</definedName>
    <definedName name="__sls94">'[4]#REF'!$AE$166</definedName>
    <definedName name="__wla2">[2]DATA!$A$210:$I$235</definedName>
    <definedName name="_1_0EBITDA_Sh" localSheetId="5">[7]NOPAT_VDF!#REF!</definedName>
    <definedName name="_1_0EBITDA_Sh" localSheetId="2">[7]NOPAT_VDF!#REF!</definedName>
    <definedName name="_1_0EBITDA_Sh">[7]NOPAT_VDF!#REF!</definedName>
    <definedName name="_103_3_0Income_before_ta" localSheetId="5">[7]NOPAT_VDF!#REF!</definedName>
    <definedName name="_103_3_0Income_before_ta" localSheetId="2">[7]NOPAT_VDF!#REF!</definedName>
    <definedName name="_103_3_0Income_before_ta">[7]NOPAT_VDF!#REF!</definedName>
    <definedName name="_104_3_0Income_before_ta" localSheetId="5">[7]NOPAT_VDF!#REF!</definedName>
    <definedName name="_104_3_0Income_before_ta" localSheetId="2">[7]NOPAT_VDF!#REF!</definedName>
    <definedName name="_104_3_0Income_before_ta">[7]NOPAT_VDF!#REF!</definedName>
    <definedName name="_117_3_0Increase_in_other_liabilit" localSheetId="5">[7]NOPAT_VDF!#REF!</definedName>
    <definedName name="_117_3_0Increase_in_other_liabilit" localSheetId="2">[7]NOPAT_VDF!#REF!</definedName>
    <definedName name="_117_3_0Increase_in_other_liabilit">[7]NOPAT_VDF!#REF!</definedName>
    <definedName name="_118_3_0Increase_in_other_liabilit" localSheetId="5">[7]NOPAT_VDF!#REF!</definedName>
    <definedName name="_118_3_0Increase_in_other_liabilit" localSheetId="2">[7]NOPAT_VDF!#REF!</definedName>
    <definedName name="_118_3_0Increase_in_other_liabilit">[7]NOPAT_VDF!#REF!</definedName>
    <definedName name="_13_0EBITDA_Sh" localSheetId="5">[7]NOPAT_VDF!#REF!</definedName>
    <definedName name="_13_0EBITDA_Sh" localSheetId="2">[7]NOPAT_VDF!#REF!</definedName>
    <definedName name="_13_0EBITDA_Sh">[7]NOPAT_VDF!#REF!</definedName>
    <definedName name="_131_3_0Other_Segment_Reven" localSheetId="5">[7]NOPAT_VDF!#REF!</definedName>
    <definedName name="_131_3_0Other_Segment_Reven" localSheetId="2">[7]NOPAT_VDF!#REF!</definedName>
    <definedName name="_131_3_0Other_Segment_Reven">[7]NOPAT_VDF!#REF!</definedName>
    <definedName name="_132_3_0Other_Segment_Reven" localSheetId="5">[7]NOPAT_VDF!#REF!</definedName>
    <definedName name="_132_3_0Other_Segment_Reven" localSheetId="2">[7]NOPAT_VDF!#REF!</definedName>
    <definedName name="_132_3_0Other_Segment_Reven">[7]NOPAT_VDF!#REF!</definedName>
    <definedName name="_14_0EBITDA_Sh" localSheetId="5">[7]NOPAT_VDF!#REF!</definedName>
    <definedName name="_14_0EBITDA_Sh" localSheetId="2">[7]NOPAT_VDF!#REF!</definedName>
    <definedName name="_14_0EBITDA_Sh">[7]NOPAT_VDF!#REF!</definedName>
    <definedName name="_1994" localSheetId="5">#REF!</definedName>
    <definedName name="_1994" localSheetId="2">#REF!</definedName>
    <definedName name="_1994">#REF!</definedName>
    <definedName name="_1995" localSheetId="5">#REF!</definedName>
    <definedName name="_1995" localSheetId="2">#REF!</definedName>
    <definedName name="_1995">#REF!</definedName>
    <definedName name="_1996" localSheetId="5">#REF!</definedName>
    <definedName name="_1996" localSheetId="2">#REF!</definedName>
    <definedName name="_1996">#REF!</definedName>
    <definedName name="_1997" localSheetId="5">#REF!</definedName>
    <definedName name="_1997" localSheetId="2">#REF!</definedName>
    <definedName name="_1997">#REF!</definedName>
    <definedName name="_1998" localSheetId="5">#REF!</definedName>
    <definedName name="_1998" localSheetId="2">#REF!</definedName>
    <definedName name="_1998">#REF!</definedName>
    <definedName name="_1999" localSheetId="5">#REF!</definedName>
    <definedName name="_1999" localSheetId="2">#REF!</definedName>
    <definedName name="_1999">#REF!</definedName>
    <definedName name="_1Q94" localSheetId="5">#REF!</definedName>
    <definedName name="_1Q94" localSheetId="2">#REF!</definedName>
    <definedName name="_1Q94">#REF!</definedName>
    <definedName name="_1Q95" localSheetId="5">#REF!</definedName>
    <definedName name="_1Q95" localSheetId="2">#REF!</definedName>
    <definedName name="_1Q95">#REF!</definedName>
    <definedName name="_2_0NOPAT_Sh" localSheetId="5">[7]NOPAT_VDF!#REF!</definedName>
    <definedName name="_2_0NOPAT_Sh" localSheetId="2">[7]NOPAT_VDF!#REF!</definedName>
    <definedName name="_2_0NOPAT_Sh">[7]NOPAT_VDF!#REF!</definedName>
    <definedName name="_27_0NOPAT_Sh" localSheetId="5">[7]NOPAT_VDF!#REF!</definedName>
    <definedName name="_27_0NOPAT_Sh" localSheetId="2">[7]NOPAT_VDF!#REF!</definedName>
    <definedName name="_27_0NOPAT_Sh">[7]NOPAT_VDF!#REF!</definedName>
    <definedName name="_28_0NOPAT_Sh" localSheetId="5">[7]NOPAT_VDF!#REF!</definedName>
    <definedName name="_28_0NOPAT_Sh" localSheetId="2">[7]NOPAT_VDF!#REF!</definedName>
    <definedName name="_28_0NOPAT_Sh">[7]NOPAT_VDF!#REF!</definedName>
    <definedName name="_2Q94" localSheetId="5">#REF!</definedName>
    <definedName name="_2Q94" localSheetId="2">#REF!</definedName>
    <definedName name="_2Q94">#REF!</definedName>
    <definedName name="_2Q95" localSheetId="5">#REF!</definedName>
    <definedName name="_2Q95" localSheetId="2">#REF!</definedName>
    <definedName name="_2Q95">#REF!</definedName>
    <definedName name="_3_._0Gross_inc_gro" localSheetId="5">[7]NOPAT_VDF!#REF!</definedName>
    <definedName name="_3_._0Gross_inc_gro" localSheetId="2">[7]NOPAT_VDF!#REF!</definedName>
    <definedName name="_3_._0Gross_inc_gro">[7]NOPAT_VDF!#REF!</definedName>
    <definedName name="_3Q94" localSheetId="5">#REF!</definedName>
    <definedName name="_3Q94" localSheetId="2">#REF!</definedName>
    <definedName name="_3Q94">#REF!</definedName>
    <definedName name="_3Q95" localSheetId="5">#REF!</definedName>
    <definedName name="_3Q95" localSheetId="2">#REF!</definedName>
    <definedName name="_3Q95">#REF!</definedName>
    <definedName name="_4_._0Restructuring_char" localSheetId="5">'[7]Invested capital_VDF'!#REF!</definedName>
    <definedName name="_4_._0Restructuring_char" localSheetId="2">'[7]Invested capital_VDF'!#REF!</definedName>
    <definedName name="_4_._0Restructuring_char">'[7]Invested capital_VDF'!#REF!</definedName>
    <definedName name="_41_._0Gross_inc_gro" localSheetId="5">[7]NOPAT_VDF!#REF!</definedName>
    <definedName name="_41_._0Gross_inc_gro" localSheetId="2">[7]NOPAT_VDF!#REF!</definedName>
    <definedName name="_41_._0Gross_inc_gro">[7]NOPAT_VDF!#REF!</definedName>
    <definedName name="_42_._0Gross_inc_gro" localSheetId="5">[7]NOPAT_VDF!#REF!</definedName>
    <definedName name="_42_._0Gross_inc_gro" localSheetId="2">[7]NOPAT_VDF!#REF!</definedName>
    <definedName name="_42_._0Gross_inc_gro">[7]NOPAT_VDF!#REF!</definedName>
    <definedName name="_4Q94" localSheetId="5">#REF!</definedName>
    <definedName name="_4Q94" localSheetId="2">#REF!</definedName>
    <definedName name="_4Q94">#REF!</definedName>
    <definedName name="_4Q95" localSheetId="5">#REF!</definedName>
    <definedName name="_4Q95" localSheetId="2">#REF!</definedName>
    <definedName name="_4Q95">#REF!</definedName>
    <definedName name="_5_._0SGA_gro" localSheetId="5">[7]NOPAT_VDF!#REF!</definedName>
    <definedName name="_5_._0SGA_gro" localSheetId="2">[7]NOPAT_VDF!#REF!</definedName>
    <definedName name="_5_._0SGA_gro">[7]NOPAT_VDF!#REF!</definedName>
    <definedName name="_50__Special_Reserve" localSheetId="5">#REF!</definedName>
    <definedName name="_50__Special_Reserve" localSheetId="2">#REF!</definedName>
    <definedName name="_50__Special_Reserve">#REF!</definedName>
    <definedName name="_55_._0Restructuring_char" localSheetId="5">'[7]Invested capital_VDF'!#REF!</definedName>
    <definedName name="_55_._0Restructuring_char" localSheetId="2">'[7]Invested capital_VDF'!#REF!</definedName>
    <definedName name="_55_._0Restructuring_char">'[7]Invested capital_VDF'!#REF!</definedName>
    <definedName name="_56_._0Restructuring_char" localSheetId="5">'[7]Invested capital_VDF'!#REF!</definedName>
    <definedName name="_56_._0Restructuring_char" localSheetId="2">'[7]Invested capital_VDF'!#REF!</definedName>
    <definedName name="_56_._0Restructuring_char">'[7]Invested capital_VDF'!#REF!</definedName>
    <definedName name="_6_._0Shares_repurchase_liabil" localSheetId="5">'[7]Invested capital_VDF'!#REF!</definedName>
    <definedName name="_6_._0Shares_repurchase_liabil" localSheetId="2">'[7]Invested capital_VDF'!#REF!</definedName>
    <definedName name="_6_._0Shares_repurchase_liabil">'[7]Invested capital_VDF'!#REF!</definedName>
    <definedName name="_69_._0SGA_gro" localSheetId="5">[7]NOPAT_VDF!#REF!</definedName>
    <definedName name="_69_._0SGA_gro" localSheetId="2">[7]NOPAT_VDF!#REF!</definedName>
    <definedName name="_69_._0SGA_gro">[7]NOPAT_VDF!#REF!</definedName>
    <definedName name="_7_3_0Income_before_ta" localSheetId="5">[7]NOPAT_VDF!#REF!</definedName>
    <definedName name="_7_3_0Income_before_ta" localSheetId="2">[7]NOPAT_VDF!#REF!</definedName>
    <definedName name="_7_3_0Income_before_ta">[7]NOPAT_VDF!#REF!</definedName>
    <definedName name="_70_._0SGA_gro" localSheetId="5">[7]NOPAT_VDF!#REF!</definedName>
    <definedName name="_70_._0SGA_gro" localSheetId="2">[7]NOPAT_VDF!#REF!</definedName>
    <definedName name="_70_._0SGA_gro">[7]NOPAT_VDF!#REF!</definedName>
    <definedName name="_8_3_0Increase_in_other_liabilit" localSheetId="5">[7]NOPAT_VDF!#REF!</definedName>
    <definedName name="_8_3_0Increase_in_other_liabilit" localSheetId="2">[7]NOPAT_VDF!#REF!</definedName>
    <definedName name="_8_3_0Increase_in_other_liabilit">[7]NOPAT_VDF!#REF!</definedName>
    <definedName name="_83_._0Shares_repurchase_liabil" localSheetId="5">'[7]Invested capital_VDF'!#REF!</definedName>
    <definedName name="_83_._0Shares_repurchase_liabil" localSheetId="2">'[7]Invested capital_VDF'!#REF!</definedName>
    <definedName name="_83_._0Shares_repurchase_liabil">'[7]Invested capital_VDF'!#REF!</definedName>
    <definedName name="_84_._0Shares_repurchase_liabil" localSheetId="5">'[7]Invested capital_VDF'!#REF!</definedName>
    <definedName name="_84_._0Shares_repurchase_liabil" localSheetId="2">'[7]Invested capital_VDF'!#REF!</definedName>
    <definedName name="_84_._0Shares_repurchase_liabil">'[7]Invested capital_VDF'!#REF!</definedName>
    <definedName name="_9_3_0Other_Segment_Reven" localSheetId="5">[7]NOPAT_VDF!#REF!</definedName>
    <definedName name="_9_3_0Other_Segment_Reven" localSheetId="2">[7]NOPAT_VDF!#REF!</definedName>
    <definedName name="_9_3_0Other_Segment_Reven">[7]NOPAT_VDF!#REF!</definedName>
    <definedName name="_90_0Print_Area" localSheetId="5">#REF!</definedName>
    <definedName name="_90_0Print_Area" localSheetId="2">#REF!</definedName>
    <definedName name="_90_0Print_Area">#REF!</definedName>
    <definedName name="_ahp2">[2]DATA!$A$106:$I$130</definedName>
    <definedName name="_amt203" localSheetId="5">'[3]Balance Sheet Cash Flow'!#REF!</definedName>
    <definedName name="_amt203" localSheetId="2">'[3]Balance Sheet Cash Flow'!#REF!</definedName>
    <definedName name="_amt203">'[3]Balance Sheet Cash Flow'!#REF!</definedName>
    <definedName name="_eps05">'[8]quarterly income'!$L$37</definedName>
    <definedName name="_eps95" localSheetId="5">'[5]Inc Stmt'!#REF!</definedName>
    <definedName name="_eps95" localSheetId="2">'[5]Inc Stmt'!#REF!</definedName>
    <definedName name="_eps95">'[5]Inc Stmt'!#REF!</definedName>
    <definedName name="_eps96" localSheetId="5">'[5]Inc Stmt'!#REF!</definedName>
    <definedName name="_eps96" localSheetId="2">'[5]Inc Stmt'!#REF!</definedName>
    <definedName name="_eps96">'[5]Inc Stmt'!#REF!</definedName>
    <definedName name="_eps97" localSheetId="5">'[5]Inc Stmt'!#REF!</definedName>
    <definedName name="_eps97" localSheetId="2">'[5]Inc Stmt'!#REF!</definedName>
    <definedName name="_eps97">'[5]Inc Stmt'!#REF!</definedName>
    <definedName name="_eps98" localSheetId="5">'[5]Inc Stmt'!#REF!</definedName>
    <definedName name="_eps98" localSheetId="2">'[5]Inc Stmt'!#REF!</definedName>
    <definedName name="_eps98">'[5]Inc Stmt'!#REF!</definedName>
    <definedName name="_Fill" hidden="1">[6]__FDSCACHE__!$A$103:$A$108</definedName>
    <definedName name="_FYE1997" localSheetId="5">#REF!</definedName>
    <definedName name="_FYE1997" localSheetId="2">#REF!</definedName>
    <definedName name="_FYE1997">#REF!</definedName>
    <definedName name="_jnj2">[2]DATA!$A$158:$I$182</definedName>
    <definedName name="_lly2">[2]DATA!$A$184:$I$208</definedName>
    <definedName name="_mi03">[9]BSCF!$G$19</definedName>
    <definedName name="_mi04">[9]BSCF!$H$19</definedName>
    <definedName name="_mi05">[9]BSCF!$I$19</definedName>
    <definedName name="_mi06">[9]BSCF!$J$19</definedName>
    <definedName name="_mi07" localSheetId="4">'[8]Balance Sheet Cash Flow'!$G$20</definedName>
    <definedName name="_mi07">[9]BSCF!$K$19</definedName>
    <definedName name="_mrk2">[2]DATA!$A$54:$I$79</definedName>
    <definedName name="_Order1" hidden="1">0</definedName>
    <definedName name="_Order2" hidden="1">255</definedName>
    <definedName name="_Parse_In" localSheetId="4" hidden="1">[10]Comps!#REF!</definedName>
    <definedName name="_Parse_In" localSheetId="5" hidden="1">[11]Comps!#REF!</definedName>
    <definedName name="_Parse_In" localSheetId="2" hidden="1">[11]Comps!#REF!</definedName>
    <definedName name="_Parse_In" hidden="1">[11]Comps!#REF!</definedName>
    <definedName name="_Parse_Out" localSheetId="4" hidden="1">[10]Comps!#REF!</definedName>
    <definedName name="_Parse_Out" localSheetId="5" hidden="1">[11]Comps!#REF!</definedName>
    <definedName name="_Parse_Out" localSheetId="2" hidden="1">[11]Comps!#REF!</definedName>
    <definedName name="_Parse_Out" hidden="1">[11]Comps!#REF!</definedName>
    <definedName name="_pfe2">[2]DATA!$A$28:$I$52</definedName>
    <definedName name="_rd03">[6]Inputs!$Z$21</definedName>
    <definedName name="_rd04">[6]Inputs!$AE$21</definedName>
    <definedName name="_rd05">[6]Inputs!$AJ$21</definedName>
    <definedName name="_rd06">[6]Inputs!$AO$21</definedName>
    <definedName name="_rd07">[6]Inputs!$AT$21</definedName>
    <definedName name="_rev94" localSheetId="5">'[5]Inc Stmt'!#REF!</definedName>
    <definedName name="_rev94" localSheetId="2">'[5]Inc Stmt'!#REF!</definedName>
    <definedName name="_rev94">'[5]Inc Stmt'!#REF!</definedName>
    <definedName name="_rev95" localSheetId="5">'[5]Inc Stmt'!#REF!</definedName>
    <definedName name="_rev95" localSheetId="2">'[5]Inc Stmt'!#REF!</definedName>
    <definedName name="_rev95">'[5]Inc Stmt'!#REF!</definedName>
    <definedName name="_rev96" localSheetId="5">'[5]Inc Stmt'!#REF!</definedName>
    <definedName name="_rev96" localSheetId="2">'[5]Inc Stmt'!#REF!</definedName>
    <definedName name="_rev96">'[5]Inc Stmt'!#REF!</definedName>
    <definedName name="_rev97" localSheetId="5">'[5]Inc Stmt'!#REF!</definedName>
    <definedName name="_rev97" localSheetId="2">'[5]Inc Stmt'!#REF!</definedName>
    <definedName name="_rev97">'[5]Inc Stmt'!#REF!</definedName>
    <definedName name="_rev98" localSheetId="5">'[5]Inc Stmt'!#REF!</definedName>
    <definedName name="_rev98" localSheetId="2">'[5]Inc Stmt'!#REF!</definedName>
    <definedName name="_rev98">'[5]Inc Stmt'!#REF!</definedName>
    <definedName name="_scenchg_count">1</definedName>
    <definedName name="_sgp2">[2]DATA!$A$80:$I$104</definedName>
    <definedName name="_SKF107647" localSheetId="5">[12]Sales!#REF!</definedName>
    <definedName name="_SKF107647" localSheetId="2">[12]Sales!#REF!</definedName>
    <definedName name="_SKF107647">[12]Sales!#REF!</definedName>
    <definedName name="_Table2_Out" localSheetId="5" hidden="1">#REF!</definedName>
    <definedName name="_Table2_Out" localSheetId="2" hidden="1">#REF!</definedName>
    <definedName name="_Table2_Out" hidden="1">#REF!</definedName>
    <definedName name="_via01" localSheetId="5">'[3]Qtr. Product Sales'!#REF!</definedName>
    <definedName name="_via01" localSheetId="2">'[3]Qtr. Product Sales'!#REF!</definedName>
    <definedName name="_via01">'[3]Qtr. Product Sales'!#REF!</definedName>
    <definedName name="_via02" localSheetId="5">'[3]Qtr. Product Sales'!#REF!</definedName>
    <definedName name="_via02" localSheetId="2">'[3]Qtr. Product Sales'!#REF!</definedName>
    <definedName name="_via02">'[3]Qtr. Product Sales'!#REF!</definedName>
    <definedName name="_via03">'[3]Qtr. Product Sales'!$B$250</definedName>
    <definedName name="_via04">'[3]Qtr. Product Sales'!$G$250</definedName>
    <definedName name="_via05">'[3]Qtr. Product Sales'!$L$250</definedName>
    <definedName name="_via99" localSheetId="5">'[3]Qtr. Product Sales'!#REF!</definedName>
    <definedName name="_via99" localSheetId="2">'[3]Qtr. Product Sales'!#REF!</definedName>
    <definedName name="_via99">'[3]Qtr. Product Sales'!#REF!</definedName>
    <definedName name="_wla2">[2]DATA!$A$210:$I$235</definedName>
    <definedName name="\b">#N/A</definedName>
    <definedName name="\C">[6]__FDSCACHE__!$H$107</definedName>
    <definedName name="\D">[6]__FDSCACHE__!$H$109</definedName>
    <definedName name="\E">[6]__FDSCACHE__!$H$111</definedName>
    <definedName name="\F">[6]__FDSCACHE__!$H$113</definedName>
    <definedName name="\G">[6]__FDSCACHE__!$H$115</definedName>
    <definedName name="\H">[6]__FDSCACHE__!$H$117</definedName>
    <definedName name="\I">[6]__FDSCACHE__!$H$119</definedName>
    <definedName name="\L">[6]__FDSCACHE__!$H$103</definedName>
    <definedName name="\O" localSheetId="5">#REF!</definedName>
    <definedName name="\O" localSheetId="2">#REF!</definedName>
    <definedName name="\O">#REF!</definedName>
    <definedName name="\T">[6]__FDSCACHE__!$H$100</definedName>
    <definedName name="a" localSheetId="4">{"Price","FDX","TS1/TS132","D","0","0","V"}</definedName>
    <definedName name="a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.1995" localSheetId="4">'[13]Annual Model'!#REF!</definedName>
    <definedName name="A.1995" localSheetId="5">'[13]Annual Model'!#REF!</definedName>
    <definedName name="A.1995" localSheetId="2">'[13]Annual Model'!#REF!</definedName>
    <definedName name="A.1995">'[13]Annual Model'!#REF!</definedName>
    <definedName name="A.1996" localSheetId="5">'[13]Annual Model'!#REF!</definedName>
    <definedName name="A.1996" localSheetId="2">'[13]Annual Model'!#REF!</definedName>
    <definedName name="A.1996">'[13]Annual Model'!#REF!</definedName>
    <definedName name="A.1997" localSheetId="5">'[13]Annual Model'!#REF!</definedName>
    <definedName name="A.1997" localSheetId="2">'[13]Annual Model'!#REF!</definedName>
    <definedName name="A.1997">'[13]Annual Model'!#REF!</definedName>
    <definedName name="A.1998" localSheetId="5">'[13]Annual Model'!#REF!</definedName>
    <definedName name="A.1998" localSheetId="2">'[13]Annual Model'!#REF!</definedName>
    <definedName name="A.1998">'[13]Annual Model'!#REF!</definedName>
    <definedName name="A.1999" localSheetId="5">'[14]Annual Model'!#REF!</definedName>
    <definedName name="A.1999" localSheetId="2">'[14]Annual Model'!#REF!</definedName>
    <definedName name="A.1999">'[14]Annual Model'!#REF!</definedName>
    <definedName name="aa" hidden="1">{#N/A,#N/A,FALSE,"Inc";#N/A,#N/A,FALSE,"Prod";#N/A,#N/A,FALSE,"QInc";#N/A,#N/A,FALSE,"QProd"}</definedName>
    <definedName name="AA_Print_BalanceSheet_Annual" localSheetId="5">#REF!</definedName>
    <definedName name="AA_Print_BalanceSheet_Annual" localSheetId="2">#REF!</definedName>
    <definedName name="AA_Print_BalanceSheet_Annual">#REF!</definedName>
    <definedName name="AA_Print_BalanceSheet_Quarter" localSheetId="5">#REF!</definedName>
    <definedName name="AA_Print_BalanceSheet_Quarter" localSheetId="2">#REF!</definedName>
    <definedName name="AA_Print_BalanceSheet_Quarter">#REF!</definedName>
    <definedName name="AA_Print_BPCS_Annual" localSheetId="5">#REF!</definedName>
    <definedName name="AA_Print_BPCS_Annual" localSheetId="2">#REF!</definedName>
    <definedName name="AA_Print_BPCS_Annual">#REF!</definedName>
    <definedName name="AA_Print_BPCS_Quarter" localSheetId="5">#REF!</definedName>
    <definedName name="AA_Print_BPCS_Quarter" localSheetId="2">#REF!</definedName>
    <definedName name="AA_Print_BPCS_Quarter">#REF!</definedName>
    <definedName name="AA_Print_Capex_Annual" localSheetId="5">#REF!</definedName>
    <definedName name="AA_Print_Capex_Annual" localSheetId="2">#REF!</definedName>
    <definedName name="AA_Print_Capex_Annual">#REF!</definedName>
    <definedName name="AA_Print_Capex_Quarter" localSheetId="5">#REF!</definedName>
    <definedName name="AA_Print_Capex_Quarter" localSheetId="2">#REF!</definedName>
    <definedName name="AA_Print_Capex_Quarter">#REF!</definedName>
    <definedName name="AA_Print_CashFlow_Annual" localSheetId="5">#REF!</definedName>
    <definedName name="AA_Print_CashFlow_Annual" localSheetId="2">#REF!</definedName>
    <definedName name="AA_Print_CashFlow_Annual">#REF!</definedName>
    <definedName name="AA_Print_CashFlow_Quarter" localSheetId="5">#REF!</definedName>
    <definedName name="AA_Print_CashFlow_Quarter" localSheetId="2">#REF!</definedName>
    <definedName name="AA_Print_CashFlow_Quarter">#REF!</definedName>
    <definedName name="AA_Print_Equip_Annual" localSheetId="5">#REF!</definedName>
    <definedName name="AA_Print_Equip_Annual" localSheetId="2">#REF!</definedName>
    <definedName name="AA_Print_Equip_Annual">#REF!</definedName>
    <definedName name="AA_Print_Equip_Quarter" localSheetId="5">#REF!</definedName>
    <definedName name="AA_Print_Equip_Quarter" localSheetId="2">#REF!</definedName>
    <definedName name="AA_Print_Equip_Quarter">#REF!</definedName>
    <definedName name="AA_Print_IncomeStatement_Annual" localSheetId="5">#REF!</definedName>
    <definedName name="AA_Print_IncomeStatement_Annual" localSheetId="2">#REF!</definedName>
    <definedName name="AA_Print_IncomeStatement_Annual">#REF!</definedName>
    <definedName name="AA_Print_IncomeStatement_Quarter" localSheetId="5">#REF!</definedName>
    <definedName name="AA_Print_IncomeStatement_Quarter" localSheetId="2">#REF!</definedName>
    <definedName name="AA_Print_IncomeStatement_Quarter">#REF!</definedName>
    <definedName name="AA_Print_Opex_Annual" localSheetId="5">#REF!</definedName>
    <definedName name="AA_Print_Opex_Annual" localSheetId="2">#REF!</definedName>
    <definedName name="AA_Print_Opex_Annual">#REF!</definedName>
    <definedName name="AA_Print_Opex_Quarter" localSheetId="5">#REF!</definedName>
    <definedName name="AA_Print_Opex_Quarter" localSheetId="2">#REF!</definedName>
    <definedName name="AA_Print_Opex_Quarter">#REF!</definedName>
    <definedName name="AA_Print_Ownership_Annual" localSheetId="5">#REF!</definedName>
    <definedName name="AA_Print_Ownership_Annual" localSheetId="2">#REF!</definedName>
    <definedName name="AA_Print_Ownership_Annual">#REF!</definedName>
    <definedName name="AA_Print_Ownership_Quarter" localSheetId="5">#REF!</definedName>
    <definedName name="AA_Print_Ownership_Quarter" localSheetId="2">#REF!</definedName>
    <definedName name="AA_Print_Ownership_Quarter">#REF!</definedName>
    <definedName name="AA_Print_Subscribers_Annual" localSheetId="5">#REF!</definedName>
    <definedName name="AA_Print_Subscribers_Annual" localSheetId="2">#REF!</definedName>
    <definedName name="AA_Print_Subscribers_Annual">#REF!</definedName>
    <definedName name="AA_Print_Subscribers_Quarter" localSheetId="5">#REF!</definedName>
    <definedName name="AA_Print_Subscribers_Quarter" localSheetId="2">#REF!</definedName>
    <definedName name="AA_Print_Subscribers_Quarter">#REF!</definedName>
    <definedName name="AA_Print_Summary_Annual" localSheetId="5">#REF!</definedName>
    <definedName name="AA_Print_Summary_Annual" localSheetId="2">#REF!</definedName>
    <definedName name="AA_Print_Summary_Annual">#REF!</definedName>
    <definedName name="AA_Print_Summary_Quarter" localSheetId="5">#REF!</definedName>
    <definedName name="AA_Print_Summary_Quarter" localSheetId="2">#REF!</definedName>
    <definedName name="AA_Print_Summary_Quarter">#REF!</definedName>
    <definedName name="AA_Print_ValuationAsset" localSheetId="5">#REF!</definedName>
    <definedName name="AA_Print_ValuationAsset" localSheetId="2">#REF!</definedName>
    <definedName name="AA_Print_ValuationAsset">#REF!</definedName>
    <definedName name="AA_Print_ValuationDCF" localSheetId="5">#REF!</definedName>
    <definedName name="AA_Print_ValuationDCF" localSheetId="2">#REF!</definedName>
    <definedName name="AA_Print_ValuationDCF">#REF!</definedName>
    <definedName name="AA_Print_ValuationDCF_Sum" localSheetId="5">#REF!</definedName>
    <definedName name="AA_Print_ValuationDCF_Sum" localSheetId="2">#REF!</definedName>
    <definedName name="AA_Print_ValuationDCF_Sum">#REF!</definedName>
    <definedName name="aab" hidden="1">{#N/A,#N/A,FALSE,"Inc";#N/A,#N/A,FALSE,"Prod";#N/A,#N/A,FALSE,"QInc";#N/A,#N/A,FALSE,"QProd"}</definedName>
    <definedName name="aabcd" hidden="1">{#N/A,#N/A,FALSE,"Inc";#N/A,#N/A,FALSE,"Prod";#N/A,#N/A,FALSE,"QInc";#N/A,#N/A,FALSE,"QProd"}</definedName>
    <definedName name="ab" hidden="1">{#N/A,#N/A,FALSE,"Inc";#N/A,#N/A,FALSE,"Prod";#N/A,#N/A,FALSE,"QInc";#N/A,#N/A,FALSE,"QProd"}</definedName>
    <definedName name="AbbrevQtr" localSheetId="5">#REF!</definedName>
    <definedName name="AbbrevQtr" localSheetId="2">#REF!</definedName>
    <definedName name="AbbrevQtr">#REF!</definedName>
    <definedName name="abcd" hidden="1">{#N/A,#N/A,FALSE,"Inc";#N/A,#N/A,FALSE,"Prod";#N/A,#N/A,FALSE,"QInc";#N/A,#N/A,FALSE,"QProd"}</definedName>
    <definedName name="acash00" localSheetId="5">'[3]Balance Sheet Cash Flow'!#REF!</definedName>
    <definedName name="acash00" localSheetId="2">'[3]Balance Sheet Cash Flow'!#REF!</definedName>
    <definedName name="acash00">'[3]Balance Sheet Cash Flow'!#REF!</definedName>
    <definedName name="acash01" localSheetId="5">'[3]Balance Sheet Cash Flow'!#REF!</definedName>
    <definedName name="acash01" localSheetId="2">'[3]Balance Sheet Cash Flow'!#REF!</definedName>
    <definedName name="acash01">'[3]Balance Sheet Cash Flow'!#REF!</definedName>
    <definedName name="acash02" localSheetId="5">'[3]Balance Sheet Cash Flow'!#REF!</definedName>
    <definedName name="acash02" localSheetId="2">'[3]Balance Sheet Cash Flow'!#REF!</definedName>
    <definedName name="acash02">'[3]Balance Sheet Cash Flow'!#REF!</definedName>
    <definedName name="acash03" localSheetId="5">#REF!</definedName>
    <definedName name="acash03" localSheetId="2">#REF!</definedName>
    <definedName name="acash03">#REF!</definedName>
    <definedName name="acash04" localSheetId="5">#REF!</definedName>
    <definedName name="acash04" localSheetId="2">#REF!</definedName>
    <definedName name="acash04">#REF!</definedName>
    <definedName name="Acc_payable_growth_fore" localSheetId="5">#REF!</definedName>
    <definedName name="Acc_payable_growth_fore" localSheetId="2">#REF!</definedName>
    <definedName name="Acc_payable_growth_fore">#REF!</definedName>
    <definedName name="Acc_Rec_growth_fore" localSheetId="5">#REF!</definedName>
    <definedName name="Acc_Rec_growth_fore" localSheetId="2">#REF!</definedName>
    <definedName name="Acc_Rec_growth_fore">#REF!</definedName>
    <definedName name="Accrued_compensation_growth_fore" localSheetId="5">#REF!</definedName>
    <definedName name="Accrued_compensation_growth_fore" localSheetId="2">#REF!</definedName>
    <definedName name="Accrued_compensation_growth_fore">#REF!</definedName>
    <definedName name="Accrued_Expenditure" localSheetId="5">#REF!</definedName>
    <definedName name="Accrued_Expenditure" localSheetId="2">#REF!</definedName>
    <definedName name="Accrued_Expenditure">#REF!</definedName>
    <definedName name="Accrued_expenses_growth_fore" localSheetId="5">#REF!</definedName>
    <definedName name="Accrued_expenses_growth_fore" localSheetId="2">#REF!</definedName>
    <definedName name="Accrued_expenses_growth_fore">#REF!</definedName>
    <definedName name="accu01" localSheetId="5">'[3]Qtr. Product Sales'!#REF!</definedName>
    <definedName name="accu01" localSheetId="2">'[3]Qtr. Product Sales'!#REF!</definedName>
    <definedName name="accu01">'[3]Qtr. Product Sales'!#REF!</definedName>
    <definedName name="accu02" localSheetId="5">'[3]Qtr. Product Sales'!#REF!</definedName>
    <definedName name="accu02" localSheetId="2">'[3]Qtr. Product Sales'!#REF!</definedName>
    <definedName name="accu02">'[3]Qtr. Product Sales'!#REF!</definedName>
    <definedName name="Accum_Cap_Expenses_growth_fore" localSheetId="5">#REF!</definedName>
    <definedName name="Accum_Cap_Expenses_growth_fore" localSheetId="2">#REF!</definedName>
    <definedName name="Accum_Cap_Expenses_growth_fore">#REF!</definedName>
    <definedName name="Accum_Goodwill_Amort_growth_fore" localSheetId="5">#REF!</definedName>
    <definedName name="Accum_Goodwill_Amort_growth_fore" localSheetId="2">#REF!</definedName>
    <definedName name="Accum_Goodwill_Amort_growth_fore">#REF!</definedName>
    <definedName name="Acellular_pertussis_booster">[12]Sales!$A$90:$AG$90</definedName>
    <definedName name="acquirorname" localSheetId="5">#REF!</definedName>
    <definedName name="acquirorname" localSheetId="2">#REF!</definedName>
    <definedName name="acquirorname">#REF!</definedName>
    <definedName name="Acquisitions" localSheetId="5">#REF!</definedName>
    <definedName name="Acquisitions" localSheetId="2">#REF!</definedName>
    <definedName name="Acquisitions">#REF!</definedName>
    <definedName name="adasasddas" localSheetId="5">[7]NOPAT_VDF!#REF!</definedName>
    <definedName name="adasasddas" localSheetId="2">[7]NOPAT_VDF!#REF!</definedName>
    <definedName name="adasasddas">[7]NOPAT_VDF!#REF!</definedName>
    <definedName name="adb" hidden="1">{#N/A,#N/A,FALSE,"Inc";#N/A,#N/A,FALSE,"Prod";#N/A,#N/A,FALSE,"QInc";#N/A,#N/A,FALSE,"QProd"}</definedName>
    <definedName name="ADD_FWD" localSheetId="5">#REF!</definedName>
    <definedName name="ADD_FWD" localSheetId="2">#REF!</definedName>
    <definedName name="ADD_FWD">#REF!</definedName>
    <definedName name="adebt00" localSheetId="5">'[3]Balance Sheet Cash Flow'!#REF!</definedName>
    <definedName name="adebt00" localSheetId="2">'[3]Balance Sheet Cash Flow'!#REF!</definedName>
    <definedName name="adebt00">'[3]Balance Sheet Cash Flow'!#REF!</definedName>
    <definedName name="adebt01" localSheetId="5">'[3]Balance Sheet Cash Flow'!#REF!</definedName>
    <definedName name="adebt01" localSheetId="2">'[3]Balance Sheet Cash Flow'!#REF!</definedName>
    <definedName name="adebt01">'[3]Balance Sheet Cash Flow'!#REF!</definedName>
    <definedName name="adebt02" localSheetId="5">'[3]Balance Sheet Cash Flow'!#REF!</definedName>
    <definedName name="adebt02" localSheetId="2">'[3]Balance Sheet Cash Flow'!#REF!</definedName>
    <definedName name="adebt02">'[3]Balance Sheet Cash Flow'!#REF!</definedName>
    <definedName name="adebt03" localSheetId="5">#REF!</definedName>
    <definedName name="adebt03" localSheetId="2">#REF!</definedName>
    <definedName name="adebt03">#REF!</definedName>
    <definedName name="adebt04" localSheetId="5">#REF!</definedName>
    <definedName name="adebt04" localSheetId="2">#REF!</definedName>
    <definedName name="adebt04">#REF!</definedName>
    <definedName name="Adj_net_oper_fore" localSheetId="5">#REF!</definedName>
    <definedName name="Adj_net_oper_fore" localSheetId="2">#REF!</definedName>
    <definedName name="Adj_net_oper_fore">#REF!</definedName>
    <definedName name="Adjusted_Net_Operating_Profit">[15]NOPAT_VDF!$C$26:$AU$26</definedName>
    <definedName name="adsadsda" localSheetId="5">[7]NOPAT_VDF!#REF!</definedName>
    <definedName name="adsadsda" localSheetId="2">[7]NOPAT_VDF!#REF!</definedName>
    <definedName name="adsadsda">[7]NOPAT_VDF!#REF!</definedName>
    <definedName name="af" localSheetId="5">'[4]#REF'!#REF!</definedName>
    <definedName name="af" localSheetId="2">'[4]#REF'!#REF!</definedName>
    <definedName name="af">'[4]#REF'!#REF!</definedName>
    <definedName name="AGY" localSheetId="5">#REF!</definedName>
    <definedName name="AGY" localSheetId="2">#REF!</definedName>
    <definedName name="AGY">#REF!</definedName>
    <definedName name="AGY_00Ea" localSheetId="5">#REF!</definedName>
    <definedName name="AGY_00Ea" localSheetId="2">#REF!</definedName>
    <definedName name="AGY_00Ea">#REF!</definedName>
    <definedName name="AGY_00EPS" localSheetId="5">#REF!</definedName>
    <definedName name="AGY_00EPS" localSheetId="2">#REF!</definedName>
    <definedName name="AGY_00EPS">#REF!</definedName>
    <definedName name="AGY_01Ea" localSheetId="5">#REF!</definedName>
    <definedName name="AGY_01Ea" localSheetId="2">#REF!</definedName>
    <definedName name="AGY_01Ea">#REF!</definedName>
    <definedName name="AGY_01EPS" localSheetId="5">#REF!</definedName>
    <definedName name="AGY_01EPS" localSheetId="2">#REF!</definedName>
    <definedName name="AGY_01EPS">#REF!</definedName>
    <definedName name="AGY_99Ea" localSheetId="5">#REF!</definedName>
    <definedName name="AGY_99Ea" localSheetId="2">#REF!</definedName>
    <definedName name="AGY_99Ea">#REF!</definedName>
    <definedName name="AGY_99EPS" localSheetId="5">#REF!</definedName>
    <definedName name="AGY_99EPS" localSheetId="2">#REF!</definedName>
    <definedName name="AGY_99EPS">#REF!</definedName>
    <definedName name="AGY_Rating">[16]Industry!$D$6</definedName>
    <definedName name="AGY_Target">[16]Industry!$C$6</definedName>
    <definedName name="alle01">[6]Sheet1!$Z$36</definedName>
    <definedName name="alle02">[6]Sheet1!$AE$36</definedName>
    <definedName name="alli01" localSheetId="5">'[3]Qtr. Product Sales'!#REF!</definedName>
    <definedName name="alli01" localSheetId="2">'[3]Qtr. Product Sales'!#REF!</definedName>
    <definedName name="alli01">'[3]Qtr. Product Sales'!#REF!</definedName>
    <definedName name="alli02" localSheetId="5">'[3]Qtr. Product Sales'!#REF!</definedName>
    <definedName name="alli02" localSheetId="2">'[3]Qtr. Product Sales'!#REF!</definedName>
    <definedName name="alli02">'[3]Qtr. Product Sales'!#REF!</definedName>
    <definedName name="ALLY" localSheetId="5">#REF!</definedName>
    <definedName name="ALLY" localSheetId="2">#REF!</definedName>
    <definedName name="ALLY">#REF!</definedName>
    <definedName name="amo00" localSheetId="5">#REF!</definedName>
    <definedName name="amo00" localSheetId="2">#REF!</definedName>
    <definedName name="amo00">#REF!</definedName>
    <definedName name="Amortisation" localSheetId="5">#REF!</definedName>
    <definedName name="Amortisation" localSheetId="2">#REF!</definedName>
    <definedName name="Amortisation">#REF!</definedName>
    <definedName name="Amortization_of_Acquired_Technology_Rights" localSheetId="5">#REF!</definedName>
    <definedName name="Amortization_of_Acquired_Technology_Rights" localSheetId="2">#REF!</definedName>
    <definedName name="Amortization_of_Acquired_Technology_Rights">#REF!</definedName>
    <definedName name="Amortization_of_Goodwill" localSheetId="5">#REF!</definedName>
    <definedName name="Amortization_of_Goodwill" localSheetId="2">#REF!</definedName>
    <definedName name="Amortization_of_Goodwill">#REF!</definedName>
    <definedName name="Amoxil">[12]Sales!$A$27:$AG$27</definedName>
    <definedName name="amtq100" localSheetId="5">'[3]Balance Sheet Cash Flow'!#REF!</definedName>
    <definedName name="amtq100" localSheetId="2">'[3]Balance Sheet Cash Flow'!#REF!</definedName>
    <definedName name="amtq100">'[3]Balance Sheet Cash Flow'!#REF!</definedName>
    <definedName name="amtq101" localSheetId="5">'[3]Balance Sheet Cash Flow'!#REF!</definedName>
    <definedName name="amtq101" localSheetId="2">'[3]Balance Sheet Cash Flow'!#REF!</definedName>
    <definedName name="amtq101">'[3]Balance Sheet Cash Flow'!#REF!</definedName>
    <definedName name="amtq102" localSheetId="5">'[3]Balance Sheet Cash Flow'!#REF!</definedName>
    <definedName name="amtq102" localSheetId="2">'[3]Balance Sheet Cash Flow'!#REF!</definedName>
    <definedName name="amtq102">'[3]Balance Sheet Cash Flow'!#REF!</definedName>
    <definedName name="amtq103" localSheetId="5">'[3]Balance Sheet Cash Flow'!#REF!</definedName>
    <definedName name="amtq103" localSheetId="2">'[3]Balance Sheet Cash Flow'!#REF!</definedName>
    <definedName name="amtq103">'[3]Balance Sheet Cash Flow'!#REF!</definedName>
    <definedName name="amtq104" localSheetId="5">'[3]Balance Sheet Cash Flow'!#REF!</definedName>
    <definedName name="amtq104" localSheetId="2">'[3]Balance Sheet Cash Flow'!#REF!</definedName>
    <definedName name="amtq104">'[3]Balance Sheet Cash Flow'!#REF!</definedName>
    <definedName name="amtq105" localSheetId="5">'[3]Balance Sheet Cash Flow'!#REF!</definedName>
    <definedName name="amtq105" localSheetId="2">'[3]Balance Sheet Cash Flow'!#REF!</definedName>
    <definedName name="amtq105">'[3]Balance Sheet Cash Flow'!#REF!</definedName>
    <definedName name="amtq200" localSheetId="5">'[3]Balance Sheet Cash Flow'!#REF!</definedName>
    <definedName name="amtq200" localSheetId="2">'[3]Balance Sheet Cash Flow'!#REF!</definedName>
    <definedName name="amtq200">'[3]Balance Sheet Cash Flow'!#REF!</definedName>
    <definedName name="amtq201" localSheetId="5">'[3]Balance Sheet Cash Flow'!#REF!</definedName>
    <definedName name="amtq201" localSheetId="2">'[3]Balance Sheet Cash Flow'!#REF!</definedName>
    <definedName name="amtq201">'[3]Balance Sheet Cash Flow'!#REF!</definedName>
    <definedName name="amtq202" localSheetId="5">'[3]Balance Sheet Cash Flow'!#REF!</definedName>
    <definedName name="amtq202" localSheetId="2">'[3]Balance Sheet Cash Flow'!#REF!</definedName>
    <definedName name="amtq202">'[3]Balance Sheet Cash Flow'!#REF!</definedName>
    <definedName name="amtq203" localSheetId="5">'[3]Balance Sheet Cash Flow'!#REF!</definedName>
    <definedName name="amtq203" localSheetId="2">'[3]Balance Sheet Cash Flow'!#REF!</definedName>
    <definedName name="amtq203">'[3]Balance Sheet Cash Flow'!#REF!</definedName>
    <definedName name="amtq204" localSheetId="5">'[3]Balance Sheet Cash Flow'!#REF!</definedName>
    <definedName name="amtq204" localSheetId="2">'[3]Balance Sheet Cash Flow'!#REF!</definedName>
    <definedName name="amtq204">'[3]Balance Sheet Cash Flow'!#REF!</definedName>
    <definedName name="amtq205" localSheetId="5">'[3]Balance Sheet Cash Flow'!#REF!</definedName>
    <definedName name="amtq205" localSheetId="2">'[3]Balance Sheet Cash Flow'!#REF!</definedName>
    <definedName name="amtq205">'[3]Balance Sheet Cash Flow'!#REF!</definedName>
    <definedName name="amtq300" localSheetId="5">'[3]Balance Sheet Cash Flow'!#REF!</definedName>
    <definedName name="amtq300" localSheetId="2">'[3]Balance Sheet Cash Flow'!#REF!</definedName>
    <definedName name="amtq300">'[3]Balance Sheet Cash Flow'!#REF!</definedName>
    <definedName name="amtq301" localSheetId="5">'[3]Balance Sheet Cash Flow'!#REF!</definedName>
    <definedName name="amtq301" localSheetId="2">'[3]Balance Sheet Cash Flow'!#REF!</definedName>
    <definedName name="amtq301">'[3]Balance Sheet Cash Flow'!#REF!</definedName>
    <definedName name="amtq302" localSheetId="5">'[3]Balance Sheet Cash Flow'!#REF!</definedName>
    <definedName name="amtq302" localSheetId="2">'[3]Balance Sheet Cash Flow'!#REF!</definedName>
    <definedName name="amtq302">'[3]Balance Sheet Cash Flow'!#REF!</definedName>
    <definedName name="amtq303" localSheetId="5">'[3]Balance Sheet Cash Flow'!#REF!</definedName>
    <definedName name="amtq303" localSheetId="2">'[3]Balance Sheet Cash Flow'!#REF!</definedName>
    <definedName name="amtq303">'[3]Balance Sheet Cash Flow'!#REF!</definedName>
    <definedName name="amtq304" localSheetId="5">'[3]Balance Sheet Cash Flow'!#REF!</definedName>
    <definedName name="amtq304" localSheetId="2">'[3]Balance Sheet Cash Flow'!#REF!</definedName>
    <definedName name="amtq304">'[3]Balance Sheet Cash Flow'!#REF!</definedName>
    <definedName name="amtq305" localSheetId="5">'[3]Balance Sheet Cash Flow'!#REF!</definedName>
    <definedName name="amtq305" localSheetId="2">'[3]Balance Sheet Cash Flow'!#REF!</definedName>
    <definedName name="amtq305">'[3]Balance Sheet Cash Flow'!#REF!</definedName>
    <definedName name="amtq400" localSheetId="5">'[3]Balance Sheet Cash Flow'!#REF!</definedName>
    <definedName name="amtq400" localSheetId="2">'[3]Balance Sheet Cash Flow'!#REF!</definedName>
    <definedName name="amtq400">'[3]Balance Sheet Cash Flow'!#REF!</definedName>
    <definedName name="amtq401" localSheetId="5">'[3]Balance Sheet Cash Flow'!#REF!</definedName>
    <definedName name="amtq401" localSheetId="2">'[3]Balance Sheet Cash Flow'!#REF!</definedName>
    <definedName name="amtq401">'[3]Balance Sheet Cash Flow'!#REF!</definedName>
    <definedName name="amtq402" localSheetId="5">'[3]Balance Sheet Cash Flow'!#REF!</definedName>
    <definedName name="amtq402" localSheetId="2">'[3]Balance Sheet Cash Flow'!#REF!</definedName>
    <definedName name="amtq402">'[3]Balance Sheet Cash Flow'!#REF!</definedName>
    <definedName name="amtq403" localSheetId="5">'[3]Balance Sheet Cash Flow'!#REF!</definedName>
    <definedName name="amtq403" localSheetId="2">'[3]Balance Sheet Cash Flow'!#REF!</definedName>
    <definedName name="amtq403">'[3]Balance Sheet Cash Flow'!#REF!</definedName>
    <definedName name="amtq404" localSheetId="5">'[3]Balance Sheet Cash Flow'!#REF!</definedName>
    <definedName name="amtq404" localSheetId="2">'[3]Balance Sheet Cash Flow'!#REF!</definedName>
    <definedName name="amtq404">'[3]Balance Sheet Cash Flow'!#REF!</definedName>
    <definedName name="amtq405" localSheetId="5">'[3]Balance Sheet Cash Flow'!#REF!</definedName>
    <definedName name="amtq405" localSheetId="2">'[3]Balance Sheet Cash Flow'!#REF!</definedName>
    <definedName name="amtq405">'[3]Balance Sheet Cash Flow'!#REF!</definedName>
    <definedName name="Androderm" localSheetId="5">[12]Sales!#REF!</definedName>
    <definedName name="Androderm" localSheetId="2">[12]Sales!#REF!</definedName>
    <definedName name="Androderm">[12]Sales!#REF!</definedName>
    <definedName name="annual" localSheetId="5">'[17]IGT MODEL'!#REF!</definedName>
    <definedName name="annual" localSheetId="2">'[17]IGT MODEL'!#REF!</definedName>
    <definedName name="annual">'[17]IGT MODEL'!#REF!</definedName>
    <definedName name="Argentina" localSheetId="4">#REF!</definedName>
    <definedName name="Argentina" localSheetId="5">#REF!</definedName>
    <definedName name="Argentina" localSheetId="2">#REF!</definedName>
    <definedName name="Argentina">#REF!</definedName>
    <definedName name="ASCA" localSheetId="5">#REF!</definedName>
    <definedName name="ASCA" localSheetId="2">#REF!</definedName>
    <definedName name="ASCA">#REF!</definedName>
    <definedName name="ASCA_00EPS">'[18]Earnings Model'!$I$61</definedName>
    <definedName name="ASCA_99EPS">'[18]Earnings Model'!$D$61</definedName>
    <definedName name="ASCA_CONS00" localSheetId="5">#REF!</definedName>
    <definedName name="ASCA_CONS00" localSheetId="2">#REF!</definedName>
    <definedName name="ASCA_CONS00">#REF!</definedName>
    <definedName name="ASCA_CONS01" localSheetId="5">#REF!</definedName>
    <definedName name="ASCA_CONS01" localSheetId="2">#REF!</definedName>
    <definedName name="ASCA_CONS01">#REF!</definedName>
    <definedName name="ASCA_CONS99" localSheetId="5">#REF!</definedName>
    <definedName name="ASCA_CONS99" localSheetId="2">#REF!</definedName>
    <definedName name="ASCA_CONS99">#REF!</definedName>
    <definedName name="ASCA_CONSENSUS" localSheetId="5">#REF!</definedName>
    <definedName name="ASCA_CONSENSUS" localSheetId="2">#REF!</definedName>
    <definedName name="ASCA_CONSENSUS">#REF!</definedName>
    <definedName name="as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dfasdf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ASSOC" localSheetId="5">#REF!</definedName>
    <definedName name="ASSOC" localSheetId="2">#REF!</definedName>
    <definedName name="ASSOC">#REF!</definedName>
    <definedName name="Associates" localSheetId="5">#REF!</definedName>
    <definedName name="Associates" localSheetId="2">#REF!</definedName>
    <definedName name="Associates">#REF!</definedName>
    <definedName name="Augmentin">[12]Sales!$A$26:$AG$26</definedName>
    <definedName name="Average_invested_capital">'[15]Invested capital_VDF'!$C$89:$AZ$89</definedName>
    <definedName name="Average_invested_capital_DCF">[15]DCF_VDF!$C$78:$AZ$78</definedName>
    <definedName name="AvgUUPerMo">[6]__FDSCACHE__!$F$34:$N$34</definedName>
    <definedName name="AZR" localSheetId="5">#REF!</definedName>
    <definedName name="AZR" localSheetId="2">#REF!</definedName>
    <definedName name="AZR">#REF!</definedName>
    <definedName name="AZR_00Ea" localSheetId="5">#REF!</definedName>
    <definedName name="AZR_00Ea" localSheetId="2">#REF!</definedName>
    <definedName name="AZR_00Ea">#REF!</definedName>
    <definedName name="AZR_00EPS" localSheetId="5">#REF!</definedName>
    <definedName name="AZR_00EPS" localSheetId="2">#REF!</definedName>
    <definedName name="AZR_00EPS">#REF!</definedName>
    <definedName name="azr_01ea" localSheetId="5">'[19]AZR Earnings Model'!#REF!</definedName>
    <definedName name="azr_01ea" localSheetId="2">'[19]AZR Earnings Model'!#REF!</definedName>
    <definedName name="azr_01ea">'[19]AZR Earnings Model'!#REF!</definedName>
    <definedName name="AZR_99Ea" localSheetId="5">#REF!</definedName>
    <definedName name="AZR_99Ea" localSheetId="2">#REF!</definedName>
    <definedName name="AZR_99Ea">#REF!</definedName>
    <definedName name="AZR_99EPS" localSheetId="5">#REF!</definedName>
    <definedName name="AZR_99EPS" localSheetId="2">#REF!</definedName>
    <definedName name="AZR_99EPS">#REF!</definedName>
    <definedName name="AZR_Rating">[16]Industry!$D$7</definedName>
    <definedName name="AZR_Target">[16]Industry!$C$7</definedName>
    <definedName name="b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BACK_A">[20]AcqIS:AcqBSCF!$A$54:$N$55</definedName>
    <definedName name="Bactroban">[12]Sales!$A$35:$AG$35</definedName>
    <definedName name="bcash00" localSheetId="5">'[3]Balance Sheet Cash Flow'!#REF!</definedName>
    <definedName name="bcash00" localSheetId="2">'[3]Balance Sheet Cash Flow'!#REF!</definedName>
    <definedName name="bcash00">'[3]Balance Sheet Cash Flow'!#REF!</definedName>
    <definedName name="bcash00\" localSheetId="5">#REF!</definedName>
    <definedName name="bcash00\" localSheetId="2">#REF!</definedName>
    <definedName name="bcash00\">#REF!</definedName>
    <definedName name="bcash01" localSheetId="5">'[3]Balance Sheet Cash Flow'!#REF!</definedName>
    <definedName name="bcash01" localSheetId="2">'[3]Balance Sheet Cash Flow'!#REF!</definedName>
    <definedName name="bcash01">'[3]Balance Sheet Cash Flow'!#REF!</definedName>
    <definedName name="bcash02" localSheetId="5">'[3]Balance Sheet Cash Flow'!#REF!</definedName>
    <definedName name="bcash02" localSheetId="2">'[3]Balance Sheet Cash Flow'!#REF!</definedName>
    <definedName name="bcash02">'[3]Balance Sheet Cash Flow'!#REF!</definedName>
    <definedName name="bcash03" localSheetId="5">#REF!</definedName>
    <definedName name="bcash03" localSheetId="2">#REF!</definedName>
    <definedName name="bcash03">#REF!</definedName>
    <definedName name="bcash04" localSheetId="5">#REF!</definedName>
    <definedName name="bcash04" localSheetId="2">#REF!</definedName>
    <definedName name="bcash04">#REF!</definedName>
    <definedName name="bcd" hidden="1">{#N/A,#N/A,FALSE,"Inc";#N/A,#N/A,FALSE,"Prod";#N/A,#N/A,FALSE,"QInc";#N/A,#N/A,FALSE,"QProd"}</definedName>
    <definedName name="bcdf" hidden="1">{#N/A,#N/A,FALSE,"Inc";#N/A,#N/A,FALSE,"Prod";#N/A,#N/A,FALSE,"QInc";#N/A,#N/A,FALSE,"QProd"}</definedName>
    <definedName name="bdcdfgbzvgsdfb" localSheetId="5">[7]NOPAT_VDF!#REF!</definedName>
    <definedName name="bdcdfgbzvgsdfb" localSheetId="2">[7]NOPAT_VDF!#REF!</definedName>
    <definedName name="bdcdfgbzvgsdfb">[7]NOPAT_VDF!#REF!</definedName>
    <definedName name="bdebt00" localSheetId="5">'[3]Balance Sheet Cash Flow'!#REF!</definedName>
    <definedName name="bdebt00" localSheetId="2">'[3]Balance Sheet Cash Flow'!#REF!</definedName>
    <definedName name="bdebt00">'[3]Balance Sheet Cash Flow'!#REF!</definedName>
    <definedName name="bdebt01" localSheetId="5">'[3]Balance Sheet Cash Flow'!#REF!</definedName>
    <definedName name="bdebt01" localSheetId="2">'[3]Balance Sheet Cash Flow'!#REF!</definedName>
    <definedName name="bdebt01">'[3]Balance Sheet Cash Flow'!#REF!</definedName>
    <definedName name="bdebt02" localSheetId="5">'[3]Balance Sheet Cash Flow'!#REF!</definedName>
    <definedName name="bdebt02" localSheetId="2">'[3]Balance Sheet Cash Flow'!#REF!</definedName>
    <definedName name="bdebt02">'[3]Balance Sheet Cash Flow'!#REF!</definedName>
    <definedName name="bdebt03" localSheetId="5">#REF!</definedName>
    <definedName name="bdebt03" localSheetId="2">#REF!</definedName>
    <definedName name="bdebt03">#REF!</definedName>
    <definedName name="bdebt04" localSheetId="5">#REF!</definedName>
    <definedName name="bdebt04" localSheetId="2">#REF!</definedName>
    <definedName name="bdebt04">#REF!</definedName>
    <definedName name="Belle_SC_Own_Pct" localSheetId="5">#REF!</definedName>
    <definedName name="Belle_SC_Own_Pct" localSheetId="2">#REF!</definedName>
    <definedName name="Belle_SC_Own_Pct">#REF!</definedName>
    <definedName name="beta_company" localSheetId="5">#REF!</definedName>
    <definedName name="beta_company" localSheetId="2">#REF!</definedName>
    <definedName name="beta_company">#REF!</definedName>
    <definedName name="beta_current" localSheetId="5">#REF!</definedName>
    <definedName name="beta_current" localSheetId="2">#REF!</definedName>
    <definedName name="beta_current">#REF!</definedName>
    <definedName name="beta_rd" localSheetId="5">#REF!</definedName>
    <definedName name="beta_rd" localSheetId="2">#REF!</definedName>
    <definedName name="beta_rd">#REF!</definedName>
    <definedName name="BLPH1" localSheetId="5" hidden="1">#REF!</definedName>
    <definedName name="BLPH1" localSheetId="2" hidden="1">#REF!</definedName>
    <definedName name="BLPH1" hidden="1">#REF!</definedName>
    <definedName name="BLPH11" localSheetId="5" hidden="1">#REF!</definedName>
    <definedName name="BLPH11" localSheetId="2" hidden="1">#REF!</definedName>
    <definedName name="BLPH11" hidden="1">#REF!</definedName>
    <definedName name="BLPH12" localSheetId="5" hidden="1">#REF!</definedName>
    <definedName name="BLPH12" localSheetId="2" hidden="1">#REF!</definedName>
    <definedName name="BLPH12" hidden="1">#REF!</definedName>
    <definedName name="BLPH2" localSheetId="5" hidden="1">#REF!</definedName>
    <definedName name="BLPH2" localSheetId="2" hidden="1">#REF!</definedName>
    <definedName name="BLPH2" hidden="1">#REF!</definedName>
    <definedName name="BLPH3" localSheetId="5" hidden="1">[21]stats!#REF!</definedName>
    <definedName name="BLPH3" localSheetId="2" hidden="1">[21]stats!#REF!</definedName>
    <definedName name="BLPH3" hidden="1">[21]stats!#REF!</definedName>
    <definedName name="BLPH4" localSheetId="5" hidden="1">#REF!</definedName>
    <definedName name="BLPH4" localSheetId="2" hidden="1">#REF!</definedName>
    <definedName name="BLPH4" hidden="1">#REF!</definedName>
    <definedName name="BLPH5" localSheetId="5" hidden="1">#REF!</definedName>
    <definedName name="BLPH5" localSheetId="2" hidden="1">#REF!</definedName>
    <definedName name="BLPH5" hidden="1">#REF!</definedName>
    <definedName name="BLPH6" localSheetId="5" hidden="1">#REF!</definedName>
    <definedName name="BLPH6" localSheetId="2" hidden="1">#REF!</definedName>
    <definedName name="BLPH6" hidden="1">#REF!</definedName>
    <definedName name="BMYEPS1">[6]Inputs!$AE$38</definedName>
    <definedName name="BMYEPS2">[6]Inputs!$AJ$38</definedName>
    <definedName name="BOTTLING">"printbottling"</definedName>
    <definedName name="BRL_32872" localSheetId="5">[12]Sales!#REF!</definedName>
    <definedName name="BRL_32872" localSheetId="2">[12]Sales!#REF!</definedName>
    <definedName name="BRL_32872">[12]Sales!#REF!</definedName>
    <definedName name="BRL_49653" localSheetId="5">[12]Sales!#REF!</definedName>
    <definedName name="BRL_49653" localSheetId="2">[12]Sales!#REF!</definedName>
    <definedName name="BRL_49653">[12]Sales!#REF!</definedName>
    <definedName name="BSMinorities" localSheetId="5">#REF!</definedName>
    <definedName name="BSMinorities" localSheetId="2">#REF!</definedName>
    <definedName name="BSMinorities">#REF!</definedName>
    <definedName name="Button3">"Button2"</definedName>
    <definedName name="BYD" localSheetId="5">#REF!</definedName>
    <definedName name="BYD" localSheetId="2">#REF!</definedName>
    <definedName name="BYD">#REF!</definedName>
    <definedName name="BYD_00Ea" localSheetId="5">#REF!</definedName>
    <definedName name="BYD_00Ea" localSheetId="2">#REF!</definedName>
    <definedName name="BYD_00Ea">#REF!</definedName>
    <definedName name="BYD_00EPS" localSheetId="5">#REF!</definedName>
    <definedName name="BYD_00EPS" localSheetId="2">#REF!</definedName>
    <definedName name="BYD_00EPS">#REF!</definedName>
    <definedName name="BYD_01Ea" localSheetId="5">#REF!</definedName>
    <definedName name="BYD_01Ea" localSheetId="2">#REF!</definedName>
    <definedName name="BYD_01Ea">#REF!</definedName>
    <definedName name="BYD_01EPS" localSheetId="5">#REF!</definedName>
    <definedName name="BYD_01EPS" localSheetId="2">#REF!</definedName>
    <definedName name="BYD_01EPS">#REF!</definedName>
    <definedName name="BYD_99Ea" localSheetId="5">#REF!</definedName>
    <definedName name="BYD_99Ea" localSheetId="2">#REF!</definedName>
    <definedName name="BYD_99Ea">#REF!</definedName>
    <definedName name="BYD_99EPS" localSheetId="5">#REF!</definedName>
    <definedName name="BYD_99EPS" localSheetId="2">#REF!</definedName>
    <definedName name="BYD_99EPS">#REF!</definedName>
    <definedName name="BYD_EPS01" localSheetId="5">#REF!</definedName>
    <definedName name="BYD_EPS01" localSheetId="2">#REF!</definedName>
    <definedName name="BYD_EPS01">#REF!</definedName>
    <definedName name="BYD_Rating">[16]Industry!$D$8</definedName>
    <definedName name="BYD_Target">[16]Industry!$C$8</definedName>
    <definedName name="Calif" localSheetId="5">'[22]FRXQH&amp;Q'!#REF!</definedName>
    <definedName name="Calif" localSheetId="2">'[22]FRXQH&amp;Q'!#REF!</definedName>
    <definedName name="Calif">'[22]FRXQH&amp;Q'!#REF!</definedName>
    <definedName name="Campylobacter">[12]Sales!$A$89:$AG$89</definedName>
    <definedName name="Cap_Interest">[23]ProForma!$A$169:$IV$169</definedName>
    <definedName name="CAPEX" localSheetId="5">#REF!</definedName>
    <definedName name="CAPEX" localSheetId="2">#REF!</definedName>
    <definedName name="CAPEX">#REF!</definedName>
    <definedName name="CAPEX__Financial" localSheetId="5">#REF!</definedName>
    <definedName name="CAPEX__Financial" localSheetId="2">#REF!</definedName>
    <definedName name="CAPEX__Financial">#REF!</definedName>
    <definedName name="CAPEX__Intangibles" localSheetId="5">#REF!</definedName>
    <definedName name="CAPEX__Intangibles" localSheetId="2">#REF!</definedName>
    <definedName name="CAPEX__Intangibles">#REF!</definedName>
    <definedName name="CAPEX_SALES" localSheetId="5">#REF!</definedName>
    <definedName name="CAPEX_SALES" localSheetId="2">#REF!</definedName>
    <definedName name="CAPEX_SALES">#REF!</definedName>
    <definedName name="Cash_DCF">[15]DCF_VDF!$C$33:$AZ$33</definedName>
    <definedName name="CASH_FLOW_ANALYSIS" localSheetId="5">#REF!</definedName>
    <definedName name="CASH_FLOW_ANALYSIS" localSheetId="2">#REF!</definedName>
    <definedName name="CASH_FLOW_ANALYSIS">#REF!</definedName>
    <definedName name="Cash_fore" localSheetId="5">#REF!</definedName>
    <definedName name="Cash_fore" localSheetId="2">#REF!</definedName>
    <definedName name="Cash_fore">#REF!</definedName>
    <definedName name="Cash_growth_fore" localSheetId="5">#REF!</definedName>
    <definedName name="Cash_growth_fore" localSheetId="2">#REF!</definedName>
    <definedName name="Cash_growth_fore">#REF!</definedName>
    <definedName name="Cash_Operating_Taxes">[15]NOPAT_VDF!$C$39:$AU$39</definedName>
    <definedName name="Cash_operating_taxes_fore" localSheetId="5">#REF!</definedName>
    <definedName name="Cash_operating_taxes_fore" localSheetId="2">#REF!</definedName>
    <definedName name="Cash_operating_taxes_fore">#REF!</definedName>
    <definedName name="cash\flow" localSheetId="5">'[17]IGT MODEL'!#REF!</definedName>
    <definedName name="cash\flow" localSheetId="2">'[17]IGT MODEL'!#REF!</definedName>
    <definedName name="cash\flow">'[17]IGT MODEL'!#REF!</definedName>
    <definedName name="CCL" localSheetId="5">#REF!</definedName>
    <definedName name="CCL" localSheetId="2">#REF!</definedName>
    <definedName name="CCL">#REF!</definedName>
    <definedName name="c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CFPS__DM" localSheetId="5">#REF!</definedName>
    <definedName name="CFPS__DM" localSheetId="2">#REF!</definedName>
    <definedName name="CFPS__DM">#REF!</definedName>
    <definedName name="CFPS_Curr_Yr" localSheetId="5">#REF!</definedName>
    <definedName name="CFPS_Curr_Yr" localSheetId="2">#REF!</definedName>
    <definedName name="CFPS_Curr_Yr">#REF!</definedName>
    <definedName name="CFPS_Lst_Yr" localSheetId="5">#REF!</definedName>
    <definedName name="CFPS_Lst_Yr" localSheetId="2">#REF!</definedName>
    <definedName name="CFPS_Lst_Yr">#REF!</definedName>
    <definedName name="CFPS_Next_Yr" localSheetId="5">#REF!</definedName>
    <definedName name="CFPS_Next_Yr" localSheetId="2">#REF!</definedName>
    <definedName name="CFPS_Next_Yr">#REF!</definedName>
    <definedName name="Change_in_NWC" localSheetId="5">#REF!</definedName>
    <definedName name="Change_in_NWC" localSheetId="2">#REF!</definedName>
    <definedName name="Change_in_NWC">#REF!</definedName>
    <definedName name="Charts" localSheetId="5">#REF!</definedName>
    <definedName name="Charts" localSheetId="2">#REF!</definedName>
    <definedName name="Charts">#REF!</definedName>
    <definedName name="Charts1" localSheetId="4">#REF!</definedName>
    <definedName name="Charts1" localSheetId="5">#REF!</definedName>
    <definedName name="Charts1" localSheetId="2">#REF!</definedName>
    <definedName name="Charts1">#REF!</definedName>
    <definedName name="Charts2" localSheetId="4">#REF!</definedName>
    <definedName name="Charts2" localSheetId="5">#REF!</definedName>
    <definedName name="Charts2" localSheetId="2">#REF!</definedName>
    <definedName name="Charts2">#REF!</definedName>
    <definedName name="CHH">'[24]THE LINK FOR ALL'!$B$42</definedName>
    <definedName name="CHH_CONS00">'[24]THE LINK FOR ALL'!$F$15</definedName>
    <definedName name="CHH_CONS01">'[24]THE LINK FOR ALL'!$G$15</definedName>
    <definedName name="CHH_CONS99" localSheetId="5">#REF!</definedName>
    <definedName name="CHH_CONS99" localSheetId="2">#REF!</definedName>
    <definedName name="CHH_CONS99">#REF!</definedName>
    <definedName name="Chile1" localSheetId="4">#REF!</definedName>
    <definedName name="Chile1" localSheetId="5">#REF!</definedName>
    <definedName name="Chile1" localSheetId="2">#REF!</definedName>
    <definedName name="Chile1">#REF!</definedName>
    <definedName name="Chile2" localSheetId="4">#REF!</definedName>
    <definedName name="Chile2" localSheetId="5">#REF!</definedName>
    <definedName name="Chile2" localSheetId="2">#REF!</definedName>
    <definedName name="Chile2">#REF!</definedName>
    <definedName name="clar01" localSheetId="5">'[6]Qtr. Sales'!#REF!</definedName>
    <definedName name="clar01" localSheetId="2">'[6]Qtr. Sales'!#REF!</definedName>
    <definedName name="clar01">'[6]Qtr. Sales'!#REF!</definedName>
    <definedName name="clar02" localSheetId="5">'[6]Qtr. Sales'!#REF!</definedName>
    <definedName name="clar02" localSheetId="2">'[6]Qtr. Sales'!#REF!</definedName>
    <definedName name="clar02">'[6]Qtr. Sales'!#REF!</definedName>
    <definedName name="Classic_flu">[12]Sales!$A$67:$AG$67</definedName>
    <definedName name="CleanArea" localSheetId="5">#REF!,#REF!</definedName>
    <definedName name="CleanArea" localSheetId="2">#REF!,#REF!</definedName>
    <definedName name="CleanArea">#REF!,#REF!</definedName>
    <definedName name="Closed_End" localSheetId="4">#REF!</definedName>
    <definedName name="Closed_End" localSheetId="5">#REF!</definedName>
    <definedName name="Closed_End" localSheetId="2">#REF!</definedName>
    <definedName name="Closed_End">#REF!</definedName>
    <definedName name="cogs" localSheetId="5">#REF!</definedName>
    <definedName name="cogs" localSheetId="2">#REF!</definedName>
    <definedName name="cogs">#REF!</definedName>
    <definedName name="COGS_1997_EBIT" localSheetId="5">#REF!</definedName>
    <definedName name="COGS_1997_EBIT" localSheetId="2">#REF!</definedName>
    <definedName name="COGS_1997_EBIT">#REF!</definedName>
    <definedName name="COGS_1998_EBIT" localSheetId="5">#REF!</definedName>
    <definedName name="COGS_1998_EBIT" localSheetId="2">#REF!</definedName>
    <definedName name="COGS_1998_EBIT">#REF!</definedName>
    <definedName name="COGS_1999_EBIT" localSheetId="5">#REF!</definedName>
    <definedName name="COGS_1999_EBIT" localSheetId="2">#REF!</definedName>
    <definedName name="COGS_1999_EBIT">#REF!</definedName>
    <definedName name="COGS_2000_EBIT" localSheetId="5">#REF!</definedName>
    <definedName name="COGS_2000_EBIT" localSheetId="2">#REF!</definedName>
    <definedName name="COGS_2000_EBIT">#REF!</definedName>
    <definedName name="COGS_2001_EBIT" localSheetId="5">#REF!</definedName>
    <definedName name="COGS_2001_EBIT" localSheetId="2">#REF!</definedName>
    <definedName name="COGS_2001_EBIT">#REF!</definedName>
    <definedName name="COGS_2002_EBIT" localSheetId="5">#REF!</definedName>
    <definedName name="COGS_2002_EBIT" localSheetId="2">#REF!</definedName>
    <definedName name="COGS_2002_EBIT">#REF!</definedName>
    <definedName name="COGS_2003_EBIT" localSheetId="5">#REF!</definedName>
    <definedName name="COGS_2003_EBIT" localSheetId="2">#REF!</definedName>
    <definedName name="COGS_2003_EBIT">#REF!</definedName>
    <definedName name="COGS_2004_EBIT" localSheetId="5">#REF!</definedName>
    <definedName name="COGS_2004_EBIT" localSheetId="2">#REF!</definedName>
    <definedName name="COGS_2004_EBIT">#REF!</definedName>
    <definedName name="COGS_2005_EBIT" localSheetId="5">#REF!</definedName>
    <definedName name="COGS_2005_EBIT" localSheetId="2">#REF!</definedName>
    <definedName name="COGS_2005_EBIT">#REF!</definedName>
    <definedName name="COGS_2006_EBIT" localSheetId="5">#REF!</definedName>
    <definedName name="COGS_2006_EBIT" localSheetId="2">#REF!</definedName>
    <definedName name="COGS_2006_EBIT">#REF!</definedName>
    <definedName name="CONSOLIDATED_BALANCE_SHEET" localSheetId="5">#REF!</definedName>
    <definedName name="CONSOLIDATED_BALANCE_SHEET" localSheetId="2">#REF!</definedName>
    <definedName name="CONSOLIDATED_BALANCE_SHEET">#REF!</definedName>
    <definedName name="CONTRACT_PD" localSheetId="5">#REF!</definedName>
    <definedName name="CONTRACT_PD" localSheetId="2">#REF!</definedName>
    <definedName name="CONTRACT_PD">#REF!</definedName>
    <definedName name="ConversionRate" localSheetId="5">#REF!</definedName>
    <definedName name="ConversionRate" localSheetId="2">#REF!</definedName>
    <definedName name="ConversionRate">#REF!</definedName>
    <definedName name="Coreg_Kredex">[12]Sales!$A$100:$AG$100</definedName>
    <definedName name="Cost_capital_copy" localSheetId="5">#REF!</definedName>
    <definedName name="Cost_capital_copy" localSheetId="2">#REF!</definedName>
    <definedName name="Cost_capital_copy">#REF!</definedName>
    <definedName name="cost_debt" localSheetId="5">#REF!</definedName>
    <definedName name="cost_debt" localSheetId="2">#REF!</definedName>
    <definedName name="cost_debt">#REF!</definedName>
    <definedName name="Cost_of_capital" localSheetId="5">#REF!</definedName>
    <definedName name="Cost_of_capital" localSheetId="2">#REF!</definedName>
    <definedName name="Cost_of_capital">#REF!</definedName>
    <definedName name="Cost_of_Sales" localSheetId="5">#REF!</definedName>
    <definedName name="Cost_of_Sales" localSheetId="2">#REF!</definedName>
    <definedName name="Cost_of_Sales">#REF!</definedName>
    <definedName name="cost_pref" localSheetId="5">#REF!</definedName>
    <definedName name="cost_pref" localSheetId="2">#REF!</definedName>
    <definedName name="cost_pref">#REF!</definedName>
    <definedName name="costperhead" localSheetId="5">#REF!</definedName>
    <definedName name="costperhead" localSheetId="2">#REF!</definedName>
    <definedName name="costperhead">#REF!</definedName>
    <definedName name="Creditor_days" localSheetId="5">#REF!</definedName>
    <definedName name="Creditor_days" localSheetId="2">#REF!</definedName>
    <definedName name="Creditor_days">#REF!</definedName>
    <definedName name="_xlnm.Criteria" localSheetId="5">[25]Comps!#REF!</definedName>
    <definedName name="_xlnm.Criteria" localSheetId="2">[25]Comps!#REF!</definedName>
    <definedName name="_xlnm.Criteria">[25]Comps!#REF!</definedName>
    <definedName name="Criteria_MI" localSheetId="5">[25]Comps!#REF!</definedName>
    <definedName name="Criteria_MI" localSheetId="2">[25]Comps!#REF!</definedName>
    <definedName name="Criteria_MI">[25]Comps!#REF!</definedName>
    <definedName name="CSDS" localSheetId="5">#REF!</definedName>
    <definedName name="CSDS" localSheetId="2">#REF!</definedName>
    <definedName name="CSDS">#REF!</definedName>
    <definedName name="CSDS_CONS00" localSheetId="5">#REF!</definedName>
    <definedName name="CSDS_CONS00" localSheetId="2">#REF!</definedName>
    <definedName name="CSDS_CONS00">#REF!</definedName>
    <definedName name="CSDS_CONS01" localSheetId="5">#REF!</definedName>
    <definedName name="CSDS_CONS01" localSheetId="2">#REF!</definedName>
    <definedName name="CSDS_CONS01">#REF!</definedName>
    <definedName name="CSDS_CONS99" localSheetId="5">#REF!</definedName>
    <definedName name="CSDS_CONS99" localSheetId="2">#REF!</definedName>
    <definedName name="CSDS_CONS99">#REF!</definedName>
    <definedName name="CSDS_CONSENSUS" localSheetId="5">#REF!</definedName>
    <definedName name="CSDS_CONSENSUS" localSheetId="2">#REF!</definedName>
    <definedName name="CSDS_CONSENSUS">#REF!</definedName>
    <definedName name="current_bus_wacc" localSheetId="5">#REF!</definedName>
    <definedName name="current_bus_wacc" localSheetId="2">#REF!</definedName>
    <definedName name="current_bus_wacc">#REF!</definedName>
    <definedName name="Customer_deposits_growth_fore" localSheetId="5">#REF!</definedName>
    <definedName name="Customer_deposits_growth_fore" localSheetId="2">#REF!</definedName>
    <definedName name="Customer_deposits_growth_fore">#REF!</definedName>
    <definedName name="_xlnm.Database" localSheetId="5">[25]Comps!#REF!</definedName>
    <definedName name="_xlnm.Database" localSheetId="2">[25]Comps!#REF!</definedName>
    <definedName name="_xlnm.Database">[25]Comps!#REF!</definedName>
    <definedName name="Database_MI" localSheetId="5">[25]Comps!#REF!</definedName>
    <definedName name="Database_MI" localSheetId="2">[25]Comps!#REF!</definedName>
    <definedName name="Database_MI">[25]Comps!#REF!</definedName>
    <definedName name="Date" localSheetId="5">#REF!</definedName>
    <definedName name="Date" localSheetId="2">#REF!</definedName>
    <definedName name="Date">#REF!</definedName>
    <definedName name="DCF_EY1">[15]DCF_VDF!$D$1:$D$65536</definedName>
    <definedName name="DCF_EY10">[15]DCF_VDF!$M$1:$M$65536</definedName>
    <definedName name="DCF_EY14">[15]DCF_VDF!$Q$1:$Q$65536</definedName>
    <definedName name="DCF_EY15">[15]DCF_VDF!$R$1:$R$65536</definedName>
    <definedName name="DCF_EY2">[15]DCF_VDF!$E$1:$E$65536</definedName>
    <definedName name="DCF_EY24">[15]DCF_VDF!$AA$1:$AA$65536</definedName>
    <definedName name="DCF_EY25">[15]DCF_VDF!$AB$1:$AB$65536</definedName>
    <definedName name="DCF_EY3">[15]DCF_VDF!$F$1:$F$65536</definedName>
    <definedName name="DCF_EY4">[15]DCF_VDF!$G$1:$G$65536</definedName>
    <definedName name="DCF_EY5">[15]DCF_VDF!$H$1:$H$65536</definedName>
    <definedName name="DCF_EY9">[15]DCF_VDF!$L$1:$L$65536</definedName>
    <definedName name="DCF_P">[15]DCF_VDF!$C$1:$C$65536</definedName>
    <definedName name="DCFCashFlowCapitalExpenditureTotal" localSheetId="5">#REF!</definedName>
    <definedName name="DCFCashFlowCapitalExpenditureTotal" localSheetId="2">#REF!</definedName>
    <definedName name="DCFCashFlowCapitalExpenditureTotal">#REF!</definedName>
    <definedName name="DCFCashFlowChangeinNWI" localSheetId="5">#REF!</definedName>
    <definedName name="DCFCashFlowChangeinNWI" localSheetId="2">#REF!</definedName>
    <definedName name="DCFCashFlowChangeinNWI">#REF!</definedName>
    <definedName name="DCFCashFlowFirstLineofBusinessCapitalExpenditureTotal" localSheetId="5">#REF!</definedName>
    <definedName name="DCFCashFlowFirstLineofBusinessCapitalExpenditureTotal" localSheetId="2">#REF!</definedName>
    <definedName name="DCFCashFlowFirstLineofBusinessCapitalExpenditureTotal">#REF!</definedName>
    <definedName name="DCFCashFlowFirstLineofBusinessChangeinNWI" localSheetId="5">#REF!</definedName>
    <definedName name="DCFCashFlowFirstLineofBusinessChangeinNWI" localSheetId="2">#REF!</definedName>
    <definedName name="DCFCashFlowFirstLineofBusinessChangeinNWI">#REF!</definedName>
    <definedName name="DCFCashFlowFirstLineofBusinessOtherFCFAdjustments" localSheetId="5">#REF!</definedName>
    <definedName name="DCFCashFlowFirstLineofBusinessOtherFCFAdjustments" localSheetId="2">#REF!</definedName>
    <definedName name="DCFCashFlowFirstLineofBusinessOtherFCFAdjustments">#REF!</definedName>
    <definedName name="DCFCashFlowOtherFCFAdjustments" localSheetId="5">#REF!</definedName>
    <definedName name="DCFCashFlowOtherFCFAdjustments" localSheetId="2">#REF!</definedName>
    <definedName name="DCFCashFlowOtherFCFAdjustments">#REF!</definedName>
    <definedName name="DCFCashFlowSecondLineofBusinessCapitalExpenditureTotal" localSheetId="5">#REF!</definedName>
    <definedName name="DCFCashFlowSecondLineofBusinessCapitalExpenditureTotal" localSheetId="2">#REF!</definedName>
    <definedName name="DCFCashFlowSecondLineofBusinessCapitalExpenditureTotal">#REF!</definedName>
    <definedName name="DCFCashFlowSecondLineofBusinessChangeinNWI" localSheetId="5">#REF!</definedName>
    <definedName name="DCFCashFlowSecondLineofBusinessChangeinNWI" localSheetId="2">#REF!</definedName>
    <definedName name="DCFCashFlowSecondLineofBusinessChangeinNWI">#REF!</definedName>
    <definedName name="DCFCashFlowSecondLineofBusinessOtherFCFAdjustments" localSheetId="5">#REF!</definedName>
    <definedName name="DCFCashFlowSecondLineofBusinessOtherFCFAdjustments" localSheetId="2">#REF!</definedName>
    <definedName name="DCFCashFlowSecondLineofBusinessOtherFCFAdjustments">#REF!</definedName>
    <definedName name="DCFCashFlowThirdLineofBusinessCapitalExpenditureTotal" localSheetId="5">#REF!</definedName>
    <definedName name="DCFCashFlowThirdLineofBusinessCapitalExpenditureTotal" localSheetId="2">#REF!</definedName>
    <definedName name="DCFCashFlowThirdLineofBusinessCapitalExpenditureTotal">#REF!</definedName>
    <definedName name="DCFCashFlowThirdLineofBusinessChangeinNWI" localSheetId="5">#REF!</definedName>
    <definedName name="DCFCashFlowThirdLineofBusinessChangeinNWI" localSheetId="2">#REF!</definedName>
    <definedName name="DCFCashFlowThirdLineofBusinessChangeinNWI">#REF!</definedName>
    <definedName name="DCFCashFlowThirdLineofBusinessOtherFCFAdjustments" localSheetId="5">#REF!</definedName>
    <definedName name="DCFCashFlowThirdLineofBusinessOtherFCFAdjustments" localSheetId="2">#REF!</definedName>
    <definedName name="DCFCashFlowThirdLineofBusinessOtherFCFAdjustments">#REF!</definedName>
    <definedName name="DCFDiscountRate" localSheetId="5">#REF!</definedName>
    <definedName name="DCFDiscountRate" localSheetId="2">#REF!</definedName>
    <definedName name="DCFDiscountRate">#REF!</definedName>
    <definedName name="DCFFirstLineofBusinessDiscountRate" localSheetId="5">#REF!</definedName>
    <definedName name="DCFFirstLineofBusinessDiscountRate" localSheetId="2">#REF!</definedName>
    <definedName name="DCFFirstLineofBusinessDiscountRate">#REF!</definedName>
    <definedName name="DCFIncomeEarningsBeforeInterestAfterTax" localSheetId="5">#REF!</definedName>
    <definedName name="DCFIncomeEarningsBeforeInterestAfterTax" localSheetId="2">#REF!</definedName>
    <definedName name="DCFIncomeEarningsBeforeInterestAfterTax">#REF!</definedName>
    <definedName name="DCFIncomeEBIAT" localSheetId="5">#REF!</definedName>
    <definedName name="DCFIncomeEBIAT" localSheetId="2">#REF!</definedName>
    <definedName name="DCFIncomeEBIAT">#REF!</definedName>
    <definedName name="DCFIncomeFCF" localSheetId="5">#REF!</definedName>
    <definedName name="DCFIncomeFCF" localSheetId="2">#REF!</definedName>
    <definedName name="DCFIncomeFCF">#REF!</definedName>
    <definedName name="DCFIncomeFirstLineofBusinessEarningsBeforeInterestAfterTax" localSheetId="5">#REF!</definedName>
    <definedName name="DCFIncomeFirstLineofBusinessEarningsBeforeInterestAfterTax" localSheetId="2">#REF!</definedName>
    <definedName name="DCFIncomeFirstLineofBusinessEarningsBeforeInterestAfterTax">#REF!</definedName>
    <definedName name="DCFIncomeFirstLineofBusinessFreeCashFlowUnlevered" localSheetId="5">#REF!</definedName>
    <definedName name="DCFIncomeFirstLineofBusinessFreeCashFlowUnlevered" localSheetId="2">#REF!</definedName>
    <definedName name="DCFIncomeFirstLineofBusinessFreeCashFlowUnlevered">#REF!</definedName>
    <definedName name="DCFIncomeFirstLineofBusinessOperatingCashFlow" localSheetId="5">#REF!</definedName>
    <definedName name="DCFIncomeFirstLineofBusinessOperatingCashFlow" localSheetId="2">#REF!</definedName>
    <definedName name="DCFIncomeFirstLineofBusinessOperatingCashFlow">#REF!</definedName>
    <definedName name="DCFIncomeFirstLineofBusinessOperatingIncome" localSheetId="5">#REF!</definedName>
    <definedName name="DCFIncomeFirstLineofBusinessOperatingIncome" localSheetId="2">#REF!</definedName>
    <definedName name="DCFIncomeFirstLineofBusinessOperatingIncome">#REF!</definedName>
    <definedName name="DCFIncomeFreeCashFlowUnlevered" localSheetId="5">#REF!</definedName>
    <definedName name="DCFIncomeFreeCashFlowUnlevered" localSheetId="2">#REF!</definedName>
    <definedName name="DCFIncomeFreeCashFlowUnlevered">#REF!</definedName>
    <definedName name="DCFIncomeOperatingCashFlow" localSheetId="5">#REF!</definedName>
    <definedName name="DCFIncomeOperatingCashFlow" localSheetId="2">#REF!</definedName>
    <definedName name="DCFIncomeOperatingCashFlow">#REF!</definedName>
    <definedName name="DCFIncomeOperatingIncome" localSheetId="5">#REF!</definedName>
    <definedName name="DCFIncomeOperatingIncome" localSheetId="2">#REF!</definedName>
    <definedName name="DCFIncomeOperatingIncome">#REF!</definedName>
    <definedName name="DCFIncomeSecondLineofBusinessEarningsBeforeInterestAfterTax" localSheetId="5">#REF!</definedName>
    <definedName name="DCFIncomeSecondLineofBusinessEarningsBeforeInterestAfterTax" localSheetId="2">#REF!</definedName>
    <definedName name="DCFIncomeSecondLineofBusinessEarningsBeforeInterestAfterTax">#REF!</definedName>
    <definedName name="DCFIncomeSecondLineofBusinessFreeCashFlowUnlevered" localSheetId="5">#REF!</definedName>
    <definedName name="DCFIncomeSecondLineofBusinessFreeCashFlowUnlevered" localSheetId="2">#REF!</definedName>
    <definedName name="DCFIncomeSecondLineofBusinessFreeCashFlowUnlevered">#REF!</definedName>
    <definedName name="DCFIncomeSecondLineofBusinessOperatingCashFlow" localSheetId="5">#REF!</definedName>
    <definedName name="DCFIncomeSecondLineofBusinessOperatingCashFlow" localSheetId="2">#REF!</definedName>
    <definedName name="DCFIncomeSecondLineofBusinessOperatingCashFlow">#REF!</definedName>
    <definedName name="DCFIncomeSecondLineofBusinessOperatingIncome" localSheetId="5">#REF!</definedName>
    <definedName name="DCFIncomeSecondLineofBusinessOperatingIncome" localSheetId="2">#REF!</definedName>
    <definedName name="DCFIncomeSecondLineofBusinessOperatingIncome">#REF!</definedName>
    <definedName name="DCFIncomeThirdLineofBusinessEarningsBeforeInterestAfterTax" localSheetId="5">#REF!</definedName>
    <definedName name="DCFIncomeThirdLineofBusinessEarningsBeforeInterestAfterTax" localSheetId="2">#REF!</definedName>
    <definedName name="DCFIncomeThirdLineofBusinessEarningsBeforeInterestAfterTax">#REF!</definedName>
    <definedName name="DCFIncomeThirdLineofBusinessFreeCashFlowUnlevered" localSheetId="5">#REF!</definedName>
    <definedName name="DCFIncomeThirdLineofBusinessFreeCashFlowUnlevered" localSheetId="2">#REF!</definedName>
    <definedName name="DCFIncomeThirdLineofBusinessFreeCashFlowUnlevered">#REF!</definedName>
    <definedName name="DCFIncomeThirdLineofBusinessOperatingCashFlow" localSheetId="5">#REF!</definedName>
    <definedName name="DCFIncomeThirdLineofBusinessOperatingCashFlow" localSheetId="2">#REF!</definedName>
    <definedName name="DCFIncomeThirdLineofBusinessOperatingCashFlow">#REF!</definedName>
    <definedName name="DCFIncomeThirdLineofBusinessOperatingIncome" localSheetId="5">#REF!</definedName>
    <definedName name="DCFIncomeThirdLineofBusinessOperatingIncome" localSheetId="2">#REF!</definedName>
    <definedName name="DCFIncomeThirdLineofBusinessOperatingIncome">#REF!</definedName>
    <definedName name="DCFNonOpOtherExFirstLineOfBusinessIncomeTaxesRate" localSheetId="5">#REF!</definedName>
    <definedName name="DCFNonOpOtherExFirstLineOfBusinessIncomeTaxesRate" localSheetId="2">#REF!</definedName>
    <definedName name="DCFNonOpOtherExFirstLineOfBusinessIncomeTaxesRate">#REF!</definedName>
    <definedName name="DCFNonOpOtherExIncomeTaxesRate" localSheetId="5">#REF!</definedName>
    <definedName name="DCFNonOpOtherExIncomeTaxesRate" localSheetId="2">#REF!</definedName>
    <definedName name="DCFNonOpOtherExIncomeTaxesRate">#REF!</definedName>
    <definedName name="DCFNonOpOtherExSecondLineOfBusinessIncomeTaxesRate" localSheetId="5">#REF!</definedName>
    <definedName name="DCFNonOpOtherExSecondLineOfBusinessIncomeTaxesRate" localSheetId="2">#REF!</definedName>
    <definedName name="DCFNonOpOtherExSecondLineOfBusinessIncomeTaxesRate">#REF!</definedName>
    <definedName name="DCFOpExDepreciationAmortization" localSheetId="5">#REF!</definedName>
    <definedName name="DCFOpExDepreciationAmortization" localSheetId="2">#REF!</definedName>
    <definedName name="DCFOpExDepreciationAmortization">#REF!</definedName>
    <definedName name="DCFOpExFirstLineofBusinessDepreciationAmortization" localSheetId="5">#REF!</definedName>
    <definedName name="DCFOpExFirstLineofBusinessDepreciationAmortization" localSheetId="2">#REF!</definedName>
    <definedName name="DCFOpExFirstLineofBusinessDepreciationAmortization">#REF!</definedName>
    <definedName name="DCFOpExSecondLineofBusinessDepreciationAmortization" localSheetId="5">#REF!</definedName>
    <definedName name="DCFOpExSecondLineofBusinessDepreciationAmortization" localSheetId="2">#REF!</definedName>
    <definedName name="DCFOpExSecondLineofBusinessDepreciationAmortization">#REF!</definedName>
    <definedName name="DCFOpExThirdLineofBusinessDepreciationAmortization" localSheetId="5">#REF!</definedName>
    <definedName name="DCFOpExThirdLineofBusinessDepreciationAmortization" localSheetId="2">#REF!</definedName>
    <definedName name="DCFOpExThirdLineofBusinessDepreciationAmortization">#REF!</definedName>
    <definedName name="DCFRevenuesFirstLineofBusinessTotal" localSheetId="5">#REF!</definedName>
    <definedName name="DCFRevenuesFirstLineofBusinessTotal" localSheetId="2">#REF!</definedName>
    <definedName name="DCFRevenuesFirstLineofBusinessTotal">#REF!</definedName>
    <definedName name="DCFRevenuesOther">0</definedName>
    <definedName name="DCFRevenuesSecondLineofBusinessTotal" localSheetId="5">#REF!</definedName>
    <definedName name="DCFRevenuesSecondLineofBusinessTotal" localSheetId="2">#REF!</definedName>
    <definedName name="DCFRevenuesSecondLineofBusinessTotal">#REF!</definedName>
    <definedName name="DCFRevenuesThirdLineofBusinessTotal" localSheetId="5">#REF!</definedName>
    <definedName name="DCFRevenuesThirdLineofBusinessTotal" localSheetId="2">#REF!</definedName>
    <definedName name="DCFRevenuesThirdLineofBusinessTotal">#REF!</definedName>
    <definedName name="DCFRevenuesTotal" localSheetId="5">#REF!</definedName>
    <definedName name="DCFRevenuesTotal" localSheetId="2">#REF!</definedName>
    <definedName name="DCFRevenuesTotal">#REF!</definedName>
    <definedName name="DCFSecondLineofBusinessDiscountRate" localSheetId="5">#REF!</definedName>
    <definedName name="DCFSecondLineofBusinessDiscountRate" localSheetId="2">#REF!</definedName>
    <definedName name="DCFSecondLineofBusinessDiscountRate">#REF!</definedName>
    <definedName name="DCFStatsPOPS" localSheetId="5">#REF!</definedName>
    <definedName name="DCFStatsPOPS" localSheetId="2">#REF!</definedName>
    <definedName name="DCFStatsPOPS">#REF!</definedName>
    <definedName name="DCFStatsPOPsEnding" localSheetId="5">#REF!</definedName>
    <definedName name="DCFStatsPOPsEnding" localSheetId="2">#REF!</definedName>
    <definedName name="DCFStatsPOPsEnding">#REF!</definedName>
    <definedName name="DCFStatsPOPSFirstLineOfBusiness" localSheetId="5">#REF!</definedName>
    <definedName name="DCFStatsPOPSFirstLineOfBusiness" localSheetId="2">#REF!</definedName>
    <definedName name="DCFStatsPOPSFirstLineOfBusiness">#REF!</definedName>
    <definedName name="DCFStatsPOPsFirstLineofBusinessEnding" localSheetId="5">#REF!</definedName>
    <definedName name="DCFStatsPOPsFirstLineofBusinessEnding" localSheetId="2">#REF!</definedName>
    <definedName name="DCFStatsPOPsFirstLineofBusinessEnding">#REF!</definedName>
    <definedName name="DCFStatsPOPsSecondLineofBusinessEnding" localSheetId="5">#REF!</definedName>
    <definedName name="DCFStatsPOPsSecondLineofBusinessEnding" localSheetId="2">#REF!</definedName>
    <definedName name="DCFStatsPOPsSecondLineofBusinessEnding">#REF!</definedName>
    <definedName name="DCFStatsPOPsThirdLineofBusinessEnding" localSheetId="5">#REF!</definedName>
    <definedName name="DCFStatsPOPsThirdLineofBusinessEnding" localSheetId="2">#REF!</definedName>
    <definedName name="DCFStatsPOPsThirdLineofBusinessEnding">#REF!</definedName>
    <definedName name="DCFStatsSubscribersEnding" localSheetId="5">#REF!</definedName>
    <definedName name="DCFStatsSubscribersEnding" localSheetId="2">#REF!</definedName>
    <definedName name="DCFStatsSubscribersEnding">#REF!</definedName>
    <definedName name="DCFStatsSubscribersFirstLineofBusinessEnding" localSheetId="5">#REF!</definedName>
    <definedName name="DCFStatsSubscribersFirstLineofBusinessEnding" localSheetId="2">#REF!</definedName>
    <definedName name="DCFStatsSubscribersFirstLineofBusinessEnding">#REF!</definedName>
    <definedName name="DCFStatsSubscribersSecondLineofBusinessEnding" localSheetId="5">#REF!</definedName>
    <definedName name="DCFStatsSubscribersSecondLineofBusinessEnding" localSheetId="2">#REF!</definedName>
    <definedName name="DCFStatsSubscribersSecondLineofBusinessEnding">#REF!</definedName>
    <definedName name="DCFStatsSubscribersThirdLineofBusinessEnding" localSheetId="5">#REF!</definedName>
    <definedName name="DCFStatsSubscribersThirdLineofBusinessEnding" localSheetId="2">#REF!</definedName>
    <definedName name="DCFStatsSubscribersThirdLineofBusinessEnding">#REF!</definedName>
    <definedName name="DCFThirdLineofBusinessDiscountRate" localSheetId="5">#REF!</definedName>
    <definedName name="DCFThirdLineofBusinessDiscountRate" localSheetId="2">#REF!</definedName>
    <definedName name="DCFThirdLineofBusinessDiscountRate">#REF!</definedName>
    <definedName name="ddd" localSheetId="5" hidden="1">'[1]quarterly income and e&amp;p'!#REF!</definedName>
    <definedName name="ddd" localSheetId="2" hidden="1">'[1]quarterly income and e&amp;p'!#REF!</definedName>
    <definedName name="ddd" hidden="1">'[1]quarterly income and e&amp;p'!#REF!</definedName>
    <definedName name="Debt_growth">[15]NOPAT_VDF!$M$153:$Q$153</definedName>
    <definedName name="Debtor_days" localSheetId="5">#REF!</definedName>
    <definedName name="Debtor_days" localSheetId="2">#REF!</definedName>
    <definedName name="Debtor_days">#REF!</definedName>
    <definedName name="Deferred_Charges" localSheetId="5">#REF!</definedName>
    <definedName name="Deferred_Charges" localSheetId="2">#REF!</definedName>
    <definedName name="Deferred_Charges">#REF!</definedName>
    <definedName name="Deferred_tax_asset_growth_fore" localSheetId="5">#REF!</definedName>
    <definedName name="Deferred_tax_asset_growth_fore" localSheetId="2">#REF!</definedName>
    <definedName name="Deferred_tax_asset_growth_fore">#REF!</definedName>
    <definedName name="Deferred_tax_liability_growth_fore" localSheetId="5">#REF!</definedName>
    <definedName name="Deferred_tax_liability_growth_fore" localSheetId="2">#REF!</definedName>
    <definedName name="Deferred_tax_liability_growth_fore">#REF!</definedName>
    <definedName name="Dep_and_Amort">[15]NOPAT_VDF!$C$100:$AU$100</definedName>
    <definedName name="Dep_margin_fore" localSheetId="5">#REF!</definedName>
    <definedName name="Dep_margin_fore" localSheetId="2">#REF!</definedName>
    <definedName name="Dep_margin_fore">#REF!</definedName>
    <definedName name="depa00" localSheetId="5">'[3]Balance Sheet Cash Flow'!#REF!</definedName>
    <definedName name="depa00" localSheetId="2">'[3]Balance Sheet Cash Flow'!#REF!</definedName>
    <definedName name="depa00">'[3]Balance Sheet Cash Flow'!#REF!</definedName>
    <definedName name="depa01" localSheetId="5">'[3]Balance Sheet Cash Flow'!#REF!</definedName>
    <definedName name="depa01" localSheetId="2">'[3]Balance Sheet Cash Flow'!#REF!</definedName>
    <definedName name="depa01">'[3]Balance Sheet Cash Flow'!#REF!</definedName>
    <definedName name="depa02" localSheetId="5">'[3]Balance Sheet Cash Flow'!#REF!</definedName>
    <definedName name="depa02" localSheetId="2">'[3]Balance Sheet Cash Flow'!#REF!</definedName>
    <definedName name="depa02">'[3]Balance Sheet Cash Flow'!#REF!</definedName>
    <definedName name="depa03" localSheetId="5">'[3]Balance Sheet Cash Flow'!#REF!</definedName>
    <definedName name="depa03" localSheetId="2">'[3]Balance Sheet Cash Flow'!#REF!</definedName>
    <definedName name="depa03">'[3]Balance Sheet Cash Flow'!#REF!</definedName>
    <definedName name="depa04" localSheetId="5">'[3]Balance Sheet Cash Flow'!#REF!</definedName>
    <definedName name="depa04" localSheetId="2">'[3]Balance Sheet Cash Flow'!#REF!</definedName>
    <definedName name="depa04">'[3]Balance Sheet Cash Flow'!#REF!</definedName>
    <definedName name="depa05" localSheetId="5">'[3]Balance Sheet Cash Flow'!#REF!</definedName>
    <definedName name="depa05" localSheetId="2">'[3]Balance Sheet Cash Flow'!#REF!</definedName>
    <definedName name="depa05">'[3]Balance Sheet Cash Flow'!#REF!</definedName>
    <definedName name="depa06" localSheetId="5">'[3]Balance Sheet Cash Flow'!#REF!</definedName>
    <definedName name="depa06" localSheetId="2">'[3]Balance Sheet Cash Flow'!#REF!</definedName>
    <definedName name="depa06">'[3]Balance Sheet Cash Flow'!#REF!</definedName>
    <definedName name="depa07" localSheetId="5">'[3]Balance Sheet Cash Flow'!#REF!</definedName>
    <definedName name="depa07" localSheetId="2">'[3]Balance Sheet Cash Flow'!#REF!</definedName>
    <definedName name="depa07">'[3]Balance Sheet Cash Flow'!#REF!</definedName>
    <definedName name="depq100" localSheetId="5">'[3]Balance Sheet Cash Flow'!#REF!</definedName>
    <definedName name="depq100" localSheetId="2">'[3]Balance Sheet Cash Flow'!#REF!</definedName>
    <definedName name="depq100">'[3]Balance Sheet Cash Flow'!#REF!</definedName>
    <definedName name="depq101" localSheetId="5">'[3]Balance Sheet Cash Flow'!#REF!</definedName>
    <definedName name="depq101" localSheetId="2">'[3]Balance Sheet Cash Flow'!#REF!</definedName>
    <definedName name="depq101">'[3]Balance Sheet Cash Flow'!#REF!</definedName>
    <definedName name="depq200" localSheetId="5">'[3]Balance Sheet Cash Flow'!#REF!</definedName>
    <definedName name="depq200" localSheetId="2">'[3]Balance Sheet Cash Flow'!#REF!</definedName>
    <definedName name="depq200">'[3]Balance Sheet Cash Flow'!#REF!</definedName>
    <definedName name="depq201" localSheetId="5">'[3]Balance Sheet Cash Flow'!#REF!</definedName>
    <definedName name="depq201" localSheetId="2">'[3]Balance Sheet Cash Flow'!#REF!</definedName>
    <definedName name="depq201">'[3]Balance Sheet Cash Flow'!#REF!</definedName>
    <definedName name="depq300" localSheetId="5">'[3]Balance Sheet Cash Flow'!#REF!</definedName>
    <definedName name="depq300" localSheetId="2">'[3]Balance Sheet Cash Flow'!#REF!</definedName>
    <definedName name="depq300">'[3]Balance Sheet Cash Flow'!#REF!</definedName>
    <definedName name="depq301" localSheetId="5">'[3]Balance Sheet Cash Flow'!#REF!</definedName>
    <definedName name="depq301" localSheetId="2">'[3]Balance Sheet Cash Flow'!#REF!</definedName>
    <definedName name="depq301">'[3]Balance Sheet Cash Flow'!#REF!</definedName>
    <definedName name="depq4" localSheetId="5">[26]BSCF!#REF!</definedName>
    <definedName name="depq4" localSheetId="2">[26]BSCF!#REF!</definedName>
    <definedName name="depq4">[26]BSCF!#REF!</definedName>
    <definedName name="depq400" localSheetId="5">'[3]Balance Sheet Cash Flow'!#REF!</definedName>
    <definedName name="depq400" localSheetId="2">'[3]Balance Sheet Cash Flow'!#REF!</definedName>
    <definedName name="depq400">'[3]Balance Sheet Cash Flow'!#REF!</definedName>
    <definedName name="depq401" localSheetId="5">'[3]Balance Sheet Cash Flow'!#REF!</definedName>
    <definedName name="depq401" localSheetId="2">'[3]Balance Sheet Cash Flow'!#REF!</definedName>
    <definedName name="depq401">'[3]Balance Sheet Cash Flow'!#REF!</definedName>
    <definedName name="depq402" localSheetId="5">'[27]Balance Sheet Cash Flow'!#REF!</definedName>
    <definedName name="depq402" localSheetId="2">'[27]Balance Sheet Cash Flow'!#REF!</definedName>
    <definedName name="depq402">'[27]Balance Sheet Cash Flow'!#REF!</definedName>
    <definedName name="depq403" localSheetId="5">'[27]Balance Sheet Cash Flow'!#REF!</definedName>
    <definedName name="depq403" localSheetId="2">'[27]Balance Sheet Cash Flow'!#REF!</definedName>
    <definedName name="depq403">'[27]Balance Sheet Cash Flow'!#REF!</definedName>
    <definedName name="Depreciation">[15]NOPAT_VDF!$C$104:$AE$104</definedName>
    <definedName name="Depreciation___Amortization" localSheetId="5">#REF!</definedName>
    <definedName name="Depreciation___Amortization" localSheetId="2">#REF!</definedName>
    <definedName name="Depreciation___Amortization">#REF!</definedName>
    <definedName name="Depreciation_fore" localSheetId="5">#REF!</definedName>
    <definedName name="Depreciation_fore" localSheetId="2">#REF!</definedName>
    <definedName name="Depreciation_fore">#REF!</definedName>
    <definedName name="Depreciation_of_PP_E" localSheetId="5">#REF!</definedName>
    <definedName name="Depreciation_of_PP_E" localSheetId="2">#REF!</definedName>
    <definedName name="Depreciation_of_PP_E">#REF!</definedName>
    <definedName name="dfssfdfsd" localSheetId="5">[7]NOPAT_VDF!#REF!</definedName>
    <definedName name="dfssfdfsd" localSheetId="2">[7]NOPAT_VDF!#REF!</definedName>
    <definedName name="dfssfdfsd">[7]NOPAT_VDF!#REF!</definedName>
    <definedName name="diab01">'[26]Qtr. Product Sales'!$U$221</definedName>
    <definedName name="diab02">'[26]Qtr. Product Sales'!$Z$221</definedName>
    <definedName name="Diluted_shares">'[6]Quarterly Product Sales'!$A$315:$IV$315</definedName>
    <definedName name="Disposals" localSheetId="5">#REF!</definedName>
    <definedName name="Disposals" localSheetId="2">#REF!</definedName>
    <definedName name="Disposals">#REF!</definedName>
    <definedName name="Diversified" localSheetId="5">[12]Sales!#REF!</definedName>
    <definedName name="Diversified" localSheetId="2">[12]Sales!#REF!</definedName>
    <definedName name="Diversified">[12]Sales!#REF!</definedName>
    <definedName name="DnA_fore" localSheetId="5">#REF!</definedName>
    <definedName name="DnA_fore" localSheetId="2">#REF!</definedName>
    <definedName name="DnA_fore">#REF!</definedName>
    <definedName name="DnA_growth_fore" localSheetId="5">#REF!</definedName>
    <definedName name="DnA_growth_fore" localSheetId="2">#REF!</definedName>
    <definedName name="DnA_growth_fore">#REF!</definedName>
    <definedName name="DOSESPLIT_1">'[28]Scenario Builder'!$C$5:$L$5</definedName>
    <definedName name="DOSESPLIT_10">'[28]Scenario Builder'!$C$14:$L$14</definedName>
    <definedName name="DOSESPLIT_11">'[28]Scenario Builder'!$C$15:$L$15</definedName>
    <definedName name="DOSESPLIT_2">'[28]Scenario Builder'!$C$6:$L$6</definedName>
    <definedName name="DOSESPLIT_3">'[28]Scenario Builder'!$C$7:$L$7</definedName>
    <definedName name="DOSESPLIT_4">'[28]Scenario Builder'!$C$8:$L$8</definedName>
    <definedName name="DOSESPLIT_5">'[28]Scenario Builder'!$C$9:$L$9</definedName>
    <definedName name="DOSESPLIT_6">'[28]Scenario Builder'!$C$10:$L$10</definedName>
    <definedName name="DOSESPLIT_7">'[28]Scenario Builder'!$C$11:$L$11</definedName>
    <definedName name="DOSESPLIT_8">'[28]Scenario Builder'!$C$12:$L$12</definedName>
    <definedName name="DOSESPLIT_9">'[28]Scenario Builder'!$C$13:$L$13</definedName>
    <definedName name="Download_series" localSheetId="5">[29]!Download_series</definedName>
    <definedName name="Download_series" localSheetId="2">[29]!Download_series</definedName>
    <definedName name="Download_series">[29]!Download_series</definedName>
    <definedName name="dps_" localSheetId="5">#REF!</definedName>
    <definedName name="dps_" localSheetId="2">#REF!</definedName>
    <definedName name="dps_">#REF!</definedName>
    <definedName name="DPS__DM__Ord" localSheetId="5">#REF!</definedName>
    <definedName name="DPS__DM__Ord" localSheetId="2">#REF!</definedName>
    <definedName name="DPS__DM__Ord">#REF!</definedName>
    <definedName name="DPS__DM__Pref" localSheetId="5">#REF!</definedName>
    <definedName name="DPS__DM__Pref" localSheetId="2">#REF!</definedName>
    <definedName name="DPS__DM__Pref">#REF!</definedName>
    <definedName name="DPS_Curr_Yr" localSheetId="5">#REF!</definedName>
    <definedName name="DPS_Curr_Yr" localSheetId="2">#REF!</definedName>
    <definedName name="DPS_Curr_Yr">#REF!</definedName>
    <definedName name="DPS_Lst_Yr" localSheetId="5">#REF!</definedName>
    <definedName name="DPS_Lst_Yr" localSheetId="2">#REF!</definedName>
    <definedName name="DPS_Lst_Yr">#REF!</definedName>
    <definedName name="DPS_Next_Yr" localSheetId="5">#REF!</definedName>
    <definedName name="DPS_Next_Yr" localSheetId="2">#REF!</definedName>
    <definedName name="DPS_Next_Yr">#REF!</definedName>
    <definedName name="dps_ratio" localSheetId="5">#REF!</definedName>
    <definedName name="dps_ratio" localSheetId="2">#REF!</definedName>
    <definedName name="dps_ratio">#REF!</definedName>
    <definedName name="DS0_S0">OFFSET([30]Sheet2!$R$48,1,-1,MAX(2,COUNTA(OFFSET([30]Sheet2!$R$48,1,0,65493,1))+1),1)</definedName>
    <definedName name="DS0_S1">OFFSET([30]Sheet2!$R$48,1,0,MAX(2,COUNTA(OFFSET([30]Sheet2!$R$48,1,0,65493,1))+1),1)</definedName>
    <definedName name="dupo01" localSheetId="5">'[31]Qtr. Product Sales'!#REF!</definedName>
    <definedName name="dupo01" localSheetId="2">'[31]Qtr. Product Sales'!#REF!</definedName>
    <definedName name="dupo01">'[31]Qtr. Product Sales'!#REF!</definedName>
    <definedName name="dupo02" localSheetId="5">'[31]Qtr. Product Sales'!#REF!</definedName>
    <definedName name="dupo02" localSheetId="2">'[31]Qtr. Product Sales'!#REF!</definedName>
    <definedName name="dupo02">'[31]Qtr. Product Sales'!#REF!</definedName>
    <definedName name="DVFA___SG_EPS__DM" localSheetId="5">#REF!</definedName>
    <definedName name="DVFA___SG_EPS__DM" localSheetId="2">#REF!</definedName>
    <definedName name="DVFA___SG_EPS__DM">#REF!</definedName>
    <definedName name="DVFA___SG_Net_Profit" localSheetId="5">#REF!</definedName>
    <definedName name="DVFA___SG_Net_Profit" localSheetId="2">#REF!</definedName>
    <definedName name="DVFA___SG_Net_Profit">#REF!</definedName>
    <definedName name="Dyazide" localSheetId="5">[12]Sales!#REF!</definedName>
    <definedName name="Dyazide" localSheetId="2">[12]Sales!#REF!</definedName>
    <definedName name="Dyazide">[12]Sales!#REF!</definedName>
    <definedName name="earn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arnings" localSheetId="5">#REF!</definedName>
    <definedName name="earnings" localSheetId="2">#REF!</definedName>
    <definedName name="earnings">#REF!</definedName>
    <definedName name="earn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EBDIT" localSheetId="5">#REF!</definedName>
    <definedName name="EBDIT" localSheetId="2">#REF!</definedName>
    <definedName name="EBDIT">#REF!</definedName>
    <definedName name="EBIT">[15]NOPAT_VDF!$C$17:$AZ$17</definedName>
    <definedName name="EBIT_CONT_BUS_NO_RD" localSheetId="5">#REF!</definedName>
    <definedName name="EBIT_CONT_BUS_NO_RD" localSheetId="2">#REF!</definedName>
    <definedName name="EBIT_CONT_BUS_NO_RD">#REF!</definedName>
    <definedName name="EBIT_CONT_BUS_RD" localSheetId="5">#REF!</definedName>
    <definedName name="EBIT_CONT_BUS_RD" localSheetId="2">#REF!</definedName>
    <definedName name="EBIT_CONT_BUS_RD">#REF!</definedName>
    <definedName name="EBIT_fore" localSheetId="5">#REF!</definedName>
    <definedName name="EBIT_fore" localSheetId="2">#REF!</definedName>
    <definedName name="EBIT_fore">#REF!</definedName>
    <definedName name="EBIT_margin">[15]NOPAT_VDF!$C$111:$AU$111</definedName>
    <definedName name="EBIT_margin_fore" localSheetId="5">#REF!</definedName>
    <definedName name="EBIT_margin_fore" localSheetId="2">#REF!</definedName>
    <definedName name="EBIT_margin_fore">#REF!</definedName>
    <definedName name="ebit00" localSheetId="5">'[3]quarterly income'!#REF!</definedName>
    <definedName name="ebit00" localSheetId="2">'[3]quarterly income'!#REF!</definedName>
    <definedName name="ebit00">'[3]quarterly income'!#REF!</definedName>
    <definedName name="ebit01" localSheetId="5">'[3]quarterly income'!#REF!</definedName>
    <definedName name="ebit01" localSheetId="2">'[3]quarterly income'!#REF!</definedName>
    <definedName name="ebit01">'[3]quarterly income'!#REF!</definedName>
    <definedName name="ebit02" localSheetId="5">'[3]quarterly income'!#REF!</definedName>
    <definedName name="ebit02" localSheetId="2">'[3]quarterly income'!#REF!</definedName>
    <definedName name="ebit02">'[3]quarterly income'!#REF!</definedName>
    <definedName name="EBITA">[15]NOPAT_VDF!$C$101:$AZ$101</definedName>
    <definedName name="EBITA_fore" localSheetId="5">#REF!</definedName>
    <definedName name="EBITA_fore" localSheetId="2">#REF!</definedName>
    <definedName name="EBITA_fore">#REF!</definedName>
    <definedName name="EBITDA">[15]NOPAT_VDF!$C$102:$AE$102</definedName>
    <definedName name="EBITDA_DCF">[15]DCF_VDF!$C$15:$AZ$15</definedName>
    <definedName name="EBITDA_fore" localSheetId="5">#REF!</definedName>
    <definedName name="EBITDA_fore" localSheetId="2">#REF!</definedName>
    <definedName name="EBITDA_fore">#REF!</definedName>
    <definedName name="EBITDA_growth_avg" localSheetId="5">[15]NOPAT_VDF!#REF!</definedName>
    <definedName name="EBITDA_growth_avg" localSheetId="2">[15]NOPAT_VDF!#REF!</definedName>
    <definedName name="EBITDA_growth_avg">[15]NOPAT_VDF!#REF!</definedName>
    <definedName name="EBITDA_margin">[15]NOPAT_VDF!$C$109:$AZ$109</definedName>
    <definedName name="EBITDA_margin_fore" localSheetId="5">#REF!</definedName>
    <definedName name="EBITDA_margin_fore" localSheetId="2">#REF!</definedName>
    <definedName name="EBITDA_margin_fore">#REF!</definedName>
    <definedName name="EBITDA_Margin_projection" localSheetId="5">#REF!</definedName>
    <definedName name="EBITDA_Margin_projection" localSheetId="2">#REF!</definedName>
    <definedName name="EBITDA_Margin_projection">#REF!</definedName>
    <definedName name="EBITDA_Share" localSheetId="5">[15]NOPAT_VDF!#REF!</definedName>
    <definedName name="EBITDA_Share" localSheetId="2">[15]NOPAT_VDF!#REF!</definedName>
    <definedName name="EBITDA_Share">[15]NOPAT_VDF!#REF!</definedName>
    <definedName name="eCommRev">[6]__FDSCACHE__!$F$78:$N$78</definedName>
    <definedName name="eef">[6]QTRTEMP!$C$6</definedName>
    <definedName name="effe01">[6]Sheet1!$Z$42</definedName>
    <definedName name="effe02">[6]Sheet1!$AE$42</definedName>
    <definedName name="Engerix_B">[12]Sales!$A$64:$AG$64</definedName>
    <definedName name="Enterotoxogenic_E_coli">[12]Sales!$A$91:$AG$91</definedName>
    <definedName name="ENTERPRISE_VALUE" localSheetId="5">#REF!</definedName>
    <definedName name="ENTERPRISE_VALUE" localSheetId="2">#REF!</definedName>
    <definedName name="ENTERPRISE_VALUE">#REF!</definedName>
    <definedName name="EPS">[15]NOPAT_VDF!$C$96:$AU$96</definedName>
    <definedName name="EPS_Curr_Qtr" localSheetId="5">#REF!</definedName>
    <definedName name="EPS_Curr_Qtr" localSheetId="2">#REF!</definedName>
    <definedName name="EPS_Curr_Qtr">#REF!</definedName>
    <definedName name="EPS_Curr_Yr" localSheetId="5">#REF!</definedName>
    <definedName name="EPS_Curr_Yr" localSheetId="2">#REF!</definedName>
    <definedName name="EPS_Curr_Yr">#REF!</definedName>
    <definedName name="EPS_growth_avg" localSheetId="5">[15]NOPAT_VDF!#REF!</definedName>
    <definedName name="EPS_growth_avg" localSheetId="2">[15]NOPAT_VDF!#REF!</definedName>
    <definedName name="EPS_growth_avg">[15]NOPAT_VDF!#REF!</definedName>
    <definedName name="EPS_Growth_Rate" localSheetId="5">#REF!</definedName>
    <definedName name="EPS_Growth_Rate" localSheetId="2">#REF!</definedName>
    <definedName name="EPS_Growth_Rate">#REF!</definedName>
    <definedName name="EPS_Lst_Yr" localSheetId="5">#REF!</definedName>
    <definedName name="EPS_Lst_Yr" localSheetId="2">#REF!</definedName>
    <definedName name="EPS_Lst_Yr">#REF!</definedName>
    <definedName name="EPS_Next_Yr" localSheetId="5">#REF!</definedName>
    <definedName name="EPS_Next_Yr" localSheetId="2">#REF!</definedName>
    <definedName name="EPS_Next_Yr">#REF!</definedName>
    <definedName name="EPS_Qtr_Date" localSheetId="5">#REF!</definedName>
    <definedName name="EPS_Qtr_Date" localSheetId="2">#REF!</definedName>
    <definedName name="EPS_Qtr_Date">#REF!</definedName>
    <definedName name="eps00" localSheetId="5">'[3]quarterly income'!#REF!</definedName>
    <definedName name="eps00" localSheetId="2">'[3]quarterly income'!#REF!</definedName>
    <definedName name="eps00">'[3]quarterly income'!#REF!</definedName>
    <definedName name="eps00gw" localSheetId="5">'[31]quarterly income'!#REF!</definedName>
    <definedName name="eps00gw" localSheetId="2">'[31]quarterly income'!#REF!</definedName>
    <definedName name="eps00gw">'[31]quarterly income'!#REF!</definedName>
    <definedName name="eps01gw" localSheetId="5">'[31]quarterly income'!#REF!</definedName>
    <definedName name="eps01gw" localSheetId="2">'[31]quarterly income'!#REF!</definedName>
    <definedName name="eps01gw">'[31]quarterly income'!#REF!</definedName>
    <definedName name="eps02gw" localSheetId="5">'[31]quarterly income'!#REF!</definedName>
    <definedName name="eps02gw" localSheetId="2">'[31]quarterly income'!#REF!</definedName>
    <definedName name="eps02gw">'[31]quarterly income'!#REF!</definedName>
    <definedName name="eps03gw" localSheetId="5">'[31]quarterly income'!#REF!</definedName>
    <definedName name="eps03gw" localSheetId="2">'[31]quarterly income'!#REF!</definedName>
    <definedName name="eps03gw">'[31]quarterly income'!#REF!</definedName>
    <definedName name="eps04gw" localSheetId="5">'[31]quarterly income'!#REF!</definedName>
    <definedName name="eps04gw" localSheetId="2">'[31]quarterly income'!#REF!</definedName>
    <definedName name="eps04gw">'[31]quarterly income'!#REF!</definedName>
    <definedName name="eps05gw" localSheetId="5">'[31]quarterly income'!#REF!</definedName>
    <definedName name="eps05gw" localSheetId="2">'[31]quarterly income'!#REF!</definedName>
    <definedName name="eps05gw">'[31]quarterly income'!#REF!</definedName>
    <definedName name="eps06gw" localSheetId="5">'[31]quarterly income'!#REF!</definedName>
    <definedName name="eps06gw" localSheetId="2">'[31]quarterly income'!#REF!</definedName>
    <definedName name="eps06gw">'[31]quarterly income'!#REF!</definedName>
    <definedName name="eps07gw" localSheetId="5">#REF!</definedName>
    <definedName name="eps07gw" localSheetId="2">#REF!</definedName>
    <definedName name="eps07gw">#REF!</definedName>
    <definedName name="eps99gw" localSheetId="5">#REF!</definedName>
    <definedName name="eps99gw" localSheetId="2">#REF!</definedName>
    <definedName name="eps99gw">#REF!</definedName>
    <definedName name="epsgw07" localSheetId="5">#REF!</definedName>
    <definedName name="epsgw07" localSheetId="2">#REF!</definedName>
    <definedName name="epsgw07">#REF!</definedName>
    <definedName name="Equity_Ticker" localSheetId="5">#REF!</definedName>
    <definedName name="Equity_Ticker" localSheetId="2">#REF!</definedName>
    <definedName name="Equity_Ticker">#REF!</definedName>
    <definedName name="erf">[6]QTRTEMP!$C$5</definedName>
    <definedName name="ESA">'[24]THE LINK FOR ALL'!$B$52</definedName>
    <definedName name="ESA_CONS00">'[24]THE LINK FOR ALL'!$F$28</definedName>
    <definedName name="ESA_CONS01">'[24]THE LINK FOR ALL'!$G$28</definedName>
    <definedName name="ESA_CONS99" localSheetId="5">#REF!</definedName>
    <definedName name="ESA_CONS99" localSheetId="2">#REF!</definedName>
    <definedName name="ESA_CONS99">#REF!</definedName>
    <definedName name="EV" localSheetId="5">#REF!</definedName>
    <definedName name="EV" localSheetId="2">#REF!</definedName>
    <definedName name="EV">#REF!</definedName>
    <definedName name="EV_EBDIT" localSheetId="5">#REF!</definedName>
    <definedName name="EV_EBDIT" localSheetId="2">#REF!</definedName>
    <definedName name="EV_EBDIT">#REF!</definedName>
    <definedName name="EV_EBIT" localSheetId="5">#REF!</definedName>
    <definedName name="EV_EBIT" localSheetId="2">#REF!</definedName>
    <definedName name="EV_EBIT">#REF!</definedName>
    <definedName name="EV_SALES" localSheetId="5">#REF!</definedName>
    <definedName name="EV_SALES" localSheetId="2">#REF!</definedName>
    <definedName name="EV_SALES">#REF!</definedName>
    <definedName name="evis01">'[26]Qtr. Product Sales'!$U$173</definedName>
    <definedName name="evis02">'[26]Qtr. Product Sales'!$Z$173</definedName>
    <definedName name="ExcelPath">#N/A</definedName>
    <definedName name="Excess_cash">'[15]Invested capital_VDF'!$C$5:$AE$5</definedName>
    <definedName name="EXIT" localSheetId="5">#REF!</definedName>
    <definedName name="EXIT" localSheetId="2">#REF!</definedName>
    <definedName name="EXIT">#REF!</definedName>
    <definedName name="Expl_forecast_1st_yr" localSheetId="5">#REF!</definedName>
    <definedName name="Expl_forecast_1st_yr" localSheetId="2">#REF!</definedName>
    <definedName name="Expl_forecast_1st_yr">#REF!</definedName>
    <definedName name="Expl_forecast_2nd_yr" localSheetId="5">#REF!</definedName>
    <definedName name="Expl_forecast_2nd_yr" localSheetId="2">#REF!</definedName>
    <definedName name="Expl_forecast_2nd_yr">#REF!</definedName>
    <definedName name="Expl_forecast_3rd_yr" localSheetId="5">#REF!</definedName>
    <definedName name="Expl_forecast_3rd_yr" localSheetId="2">#REF!</definedName>
    <definedName name="Expl_forecast_3rd_yr">#REF!</definedName>
    <definedName name="EXPLICIT_SWITCH" localSheetId="5">#REF!</definedName>
    <definedName name="EXPLICIT_SWITCH" localSheetId="2">#REF!</definedName>
    <definedName name="EXPLICIT_SWITCH">#REF!</definedName>
    <definedName name="ExtExpFactor">[6]QTRTEMP!$C$6</definedName>
    <definedName name="_xlnm.Extract" localSheetId="5">[25]Comps!#REF!</definedName>
    <definedName name="_xlnm.Extract" localSheetId="2">[25]Comps!#REF!</definedName>
    <definedName name="_xlnm.Extract">[25]Comps!#REF!</definedName>
    <definedName name="Extract_MI" localSheetId="5">[25]Comps!#REF!</definedName>
    <definedName name="Extract_MI" localSheetId="2">[25]Comps!#REF!</definedName>
    <definedName name="Extract_MI">[25]Comps!#REF!</definedName>
    <definedName name="Extraordinary_Expenses" localSheetId="5">#REF!</definedName>
    <definedName name="Extraordinary_Expenses" localSheetId="2">#REF!</definedName>
    <definedName name="Extraordinary_Expenses">#REF!</definedName>
    <definedName name="Extraordinary_Income" localSheetId="5">#REF!</definedName>
    <definedName name="Extraordinary_Income" localSheetId="2">#REF!</definedName>
    <definedName name="Extraordinary_Income">#REF!</definedName>
    <definedName name="ExtRevFactor">[6]QTRTEMP!$C$5</definedName>
    <definedName name="Famvir" localSheetId="5">[12]Sales!#REF!</definedName>
    <definedName name="Famvir" localSheetId="2">[12]Sales!#REF!</definedName>
    <definedName name="Famvir">[12]Sales!#REF!</definedName>
    <definedName name="Financial_Statement">'[17]IGT MODEL'!$A$1:$AH$95</definedName>
    <definedName name="Fixed_asset_turns">'[15]Invested capital_VDF'!$C$99:$AU$99</definedName>
    <definedName name="Fixed_asset_turns_fore" localSheetId="5">#REF!</definedName>
    <definedName name="Fixed_asset_turns_fore" localSheetId="2">#REF!</definedName>
    <definedName name="Fixed_asset_turns_fore">#REF!</definedName>
    <definedName name="fixed_assets" localSheetId="5">#REF!</definedName>
    <definedName name="fixed_assets" localSheetId="2">#REF!</definedName>
    <definedName name="fixed_assets">#REF!</definedName>
    <definedName name="ForecastVersion">'[4]#REF'!$A$2</definedName>
    <definedName name="fosa01" localSheetId="5">'[32]Qtr. Product Sales'!#REF!</definedName>
    <definedName name="fosa01" localSheetId="2">'[32]Qtr. Product Sales'!#REF!</definedName>
    <definedName name="fosa01">'[32]Qtr. Product Sales'!#REF!</definedName>
    <definedName name="fosa02" localSheetId="5">'[32]Qtr. Product Sales'!#REF!</definedName>
    <definedName name="fosa02" localSheetId="2">'[32]Qtr. Product Sales'!#REF!</definedName>
    <definedName name="fosa02">'[32]Qtr. Product Sales'!#REF!</definedName>
    <definedName name="FR_CODE_COPY_LINK">" "</definedName>
    <definedName name="FR_CODE_DOWNLOAD_START">" "</definedName>
    <definedName name="FR_CODE_STOCK_LINK">" "</definedName>
    <definedName name="FR_COM_ABBR">" "</definedName>
    <definedName name="FR_COM_ABBR_LINK">" "</definedName>
    <definedName name="FR_COM_AGG">0</definedName>
    <definedName name="FR_COM_NAME_LINK" localSheetId="5">#REF!</definedName>
    <definedName name="FR_COM_NAME_LINK" localSheetId="2">#REF!</definedName>
    <definedName name="FR_COM_NAME_LINK">#REF!</definedName>
    <definedName name="FR_COU_ABBR">" "</definedName>
    <definedName name="FR_COU_ABBR_LINK">" "</definedName>
    <definedName name="FR_COU_NAME_LINK">" "</definedName>
    <definedName name="FR_DATABOX_DOWNLOAD">"N"</definedName>
    <definedName name="FR_DISP_HIDDEN">FALSE</definedName>
    <definedName name="FR_END_DATE">"'"</definedName>
    <definedName name="FR_LINKS_OVERRUN">TRUE</definedName>
    <definedName name="FR_LOG_END_DATE">"'"</definedName>
    <definedName name="FR_LOG_START_DATE">"'"</definedName>
    <definedName name="FR_REPORT_TYPE">""</definedName>
    <definedName name="FR_RPT_AREA_LINK">" "</definedName>
    <definedName name="FR_RPT_FOOTER_LINK">" "</definedName>
    <definedName name="FR_RPT_HEADER_LINK">" "</definedName>
    <definedName name="FR_RPT_LINE_SPACING">1</definedName>
    <definedName name="FR_RPT_PAGE_BREAK">0</definedName>
    <definedName name="FR_SHOW_LINK_MARKER">TRUE</definedName>
    <definedName name="FR_START_DATE">"'"</definedName>
    <definedName name="FR_USE_BILLIONS">FALSE</definedName>
    <definedName name="FR_USE_DIMFAC">TRUE</definedName>
    <definedName name="FR_USE_LOCAL_CCY">TRUE</definedName>
    <definedName name="FR_USE_PRICEFACTORING">FALSE</definedName>
    <definedName name="FR_WORKBOOK">"K:\sectors\DrugLrgCap\MODELS\PFE-model.xls"</definedName>
    <definedName name="FS">'[24]THE LINK FOR ALL'!$B$46</definedName>
    <definedName name="FS_00EA">'[33]Earnings Model 4-26-00'!$P$26</definedName>
    <definedName name="FS_00EPS" localSheetId="5">#REF!</definedName>
    <definedName name="FS_00EPS" localSheetId="2">#REF!</definedName>
    <definedName name="FS_00EPS">#REF!</definedName>
    <definedName name="FS_01EA">'[33]Earnings Model 4-26-00'!$U$26</definedName>
    <definedName name="FS_01EPS" localSheetId="5">#REF!</definedName>
    <definedName name="FS_01EPS" localSheetId="2">#REF!</definedName>
    <definedName name="FS_01EPS">#REF!</definedName>
    <definedName name="FS_99EA">'[33]Earnings Model 4-26-00'!$K$26</definedName>
    <definedName name="FS_99EPS" localSheetId="5">#REF!</definedName>
    <definedName name="FS_99EPS" localSheetId="2">#REF!</definedName>
    <definedName name="FS_99EPS">#REF!</definedName>
    <definedName name="FS_CONS00" localSheetId="5">#REF!</definedName>
    <definedName name="FS_CONS00" localSheetId="2">#REF!</definedName>
    <definedName name="FS_CONS00">#REF!</definedName>
    <definedName name="FS_CONS01" localSheetId="5">#REF!</definedName>
    <definedName name="FS_CONS01" localSheetId="2">#REF!</definedName>
    <definedName name="FS_CONS01">#REF!</definedName>
    <definedName name="FS_CONS99" localSheetId="5">#REF!</definedName>
    <definedName name="FS_CONS99" localSheetId="2">#REF!</definedName>
    <definedName name="FS_CONS99">#REF!</definedName>
    <definedName name="FS_Rating">'[16]Industry (2)'!$D$5</definedName>
    <definedName name="FS_Target">'[16]Industry (2)'!$C$5</definedName>
    <definedName name="FY_1996" localSheetId="5">#REF!</definedName>
    <definedName name="FY_1996" localSheetId="2">#REF!</definedName>
    <definedName name="FY_1996">#REF!</definedName>
    <definedName name="Gaming_Device_Demand" localSheetId="5">'[17]IGT MODEL'!#REF!</definedName>
    <definedName name="Gaming_Device_Demand" localSheetId="2">'[17]IGT MODEL'!#REF!</definedName>
    <definedName name="Gaming_Device_Demand">'[17]IGT MODEL'!#REF!</definedName>
    <definedName name="Gaming_Device_Demand_Analysis" localSheetId="5">'[17]IGT MODEL'!#REF!</definedName>
    <definedName name="Gaming_Device_Demand_Analysis" localSheetId="2">'[17]IGT MODEL'!#REF!</definedName>
    <definedName name="Gaming_Device_Demand_Analysis">'[17]IGT MODEL'!#REF!</definedName>
    <definedName name="GAX" localSheetId="5">#REF!</definedName>
    <definedName name="GAX" localSheetId="2">#REF!</definedName>
    <definedName name="GAX">#REF!</definedName>
    <definedName name="gd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emz01">'[26]Qtr. Product Sales'!$U$287</definedName>
    <definedName name="gemz02">'[26]Qtr. Product Sales'!$Z$287</definedName>
    <definedName name="GeneralAnnualizingFactor" localSheetId="5">#REF!</definedName>
    <definedName name="GeneralAnnualizingFactor" localSheetId="2">#REF!</definedName>
    <definedName name="GeneralAnnualizingFactor">#REF!</definedName>
    <definedName name="GeneralCompanyName" localSheetId="5">#REF!</definedName>
    <definedName name="GeneralCompanyName" localSheetId="2">#REF!</definedName>
    <definedName name="GeneralCompanyName">#REF!</definedName>
    <definedName name="GeneralConsolidatedBusiness" localSheetId="5">#REF!</definedName>
    <definedName name="GeneralConsolidatedBusiness" localSheetId="2">#REF!</definedName>
    <definedName name="GeneralConsolidatedBusiness">#REF!</definedName>
    <definedName name="GeneralDate" localSheetId="5">#REF!</definedName>
    <definedName name="GeneralDate" localSheetId="2">#REF!</definedName>
    <definedName name="GeneralDate">#REF!</definedName>
    <definedName name="GeneralFirstLineofBusiness" localSheetId="5">#REF!</definedName>
    <definedName name="GeneralFirstLineofBusiness" localSheetId="2">#REF!</definedName>
    <definedName name="GeneralFirstLineofBusiness">#REF!</definedName>
    <definedName name="GeneralMonthsInPeriod" localSheetId="5">#REF!</definedName>
    <definedName name="GeneralMonthsInPeriod" localSheetId="2">#REF!</definedName>
    <definedName name="GeneralMonthsInPeriod">#REF!</definedName>
    <definedName name="GeneralSecondLineofBusiness" localSheetId="5">#REF!</definedName>
    <definedName name="GeneralSecondLineofBusiness" localSheetId="2">#REF!</definedName>
    <definedName name="GeneralSecondLineofBusiness">#REF!</definedName>
    <definedName name="GeneralThirdLineofBusiness" localSheetId="5">#REF!</definedName>
    <definedName name="GeneralThirdLineofBusiness" localSheetId="2">#REF!</definedName>
    <definedName name="GeneralThirdLineofBusiness">#REF!</definedName>
    <definedName name="GeneralTicker" localSheetId="5">#REF!</definedName>
    <definedName name="GeneralTicker" localSheetId="2">#REF!</definedName>
    <definedName name="GeneralTicker">#REF!</definedName>
    <definedName name="GeneralTimeStrip" localSheetId="5">#REF!</definedName>
    <definedName name="GeneralTimeStrip" localSheetId="2">#REF!</definedName>
    <definedName name="GeneralTimeStrip">#REF!</definedName>
    <definedName name="Germany_Sales" localSheetId="5">#REF!</definedName>
    <definedName name="Germany_Sales" localSheetId="2">#REF!</definedName>
    <definedName name="Germany_Sales">#REF!</definedName>
    <definedName name="gls_ACT_EST_ROW" localSheetId="4" hidden="1">#REF!</definedName>
    <definedName name="gls_ACT_EST_ROW" localSheetId="5" hidden="1">#REF!</definedName>
    <definedName name="gls_ACT_EST_ROW" localSheetId="2" hidden="1">#REF!</definedName>
    <definedName name="gls_ACT_EST_ROW" hidden="1">#REF!</definedName>
    <definedName name="gls_ACT_FORM_OFFSET" localSheetId="4" hidden="1">#REF!</definedName>
    <definedName name="gls_ACT_FORM_OFFSET" localSheetId="5" hidden="1">#REF!</definedName>
    <definedName name="gls_ACT_FORM_OFFSET" localSheetId="2" hidden="1">#REF!</definedName>
    <definedName name="gls_ACT_FORM_OFFSET" hidden="1">#REF!</definedName>
    <definedName name="gls_AnalystEmpNoHeading" localSheetId="4" hidden="1">#REF!</definedName>
    <definedName name="gls_AnalystEmpNoHeading" localSheetId="5" hidden="1">#REF!</definedName>
    <definedName name="gls_AnalystEmpNoHeading" localSheetId="2" hidden="1">#REF!</definedName>
    <definedName name="gls_AnalystEmpNoHeading" hidden="1">#REF!</definedName>
    <definedName name="gls_AnalystNameHeading" localSheetId="4" hidden="1">#REF!</definedName>
    <definedName name="gls_AnalystNameHeading" localSheetId="5" hidden="1">#REF!</definedName>
    <definedName name="gls_AnalystNameHeading" localSheetId="2" hidden="1">#REF!</definedName>
    <definedName name="gls_AnalystNameHeading" hidden="1">#REF!</definedName>
    <definedName name="gls_EST_FORM_OFFSET" localSheetId="4" hidden="1">#REF!</definedName>
    <definedName name="gls_EST_FORM_OFFSET" localSheetId="5" hidden="1">#REF!</definedName>
    <definedName name="gls_EST_FORM_OFFSET" localSheetId="2" hidden="1">#REF!</definedName>
    <definedName name="gls_EST_FORM_OFFSET" hidden="1">#REF!</definedName>
    <definedName name="gls_EXTERNAL_COL_REF" localSheetId="4" hidden="1">#REF!</definedName>
    <definedName name="gls_EXTERNAL_COL_REF" localSheetId="5" hidden="1">#REF!</definedName>
    <definedName name="gls_EXTERNAL_COL_REF" localSheetId="2" hidden="1">#REF!</definedName>
    <definedName name="gls_EXTERNAL_COL_REF" hidden="1">#REF!</definedName>
    <definedName name="gls_FIRST_ITEM" localSheetId="4" hidden="1">#REF!</definedName>
    <definedName name="gls_FIRST_ITEM" localSheetId="5" hidden="1">#REF!</definedName>
    <definedName name="gls_FIRST_ITEM" localSheetId="2" hidden="1">#REF!</definedName>
    <definedName name="gls_FIRST_ITEM" hidden="1">#REF!</definedName>
    <definedName name="gls_FIRST_PK" localSheetId="4" hidden="1">#REF!</definedName>
    <definedName name="gls_FIRST_PK" localSheetId="5" hidden="1">#REF!</definedName>
    <definedName name="gls_FIRST_PK" localSheetId="2" hidden="1">#REF!</definedName>
    <definedName name="gls_FIRST_PK" hidden="1">#REF!</definedName>
    <definedName name="gls_FIRST_ROWMULT" localSheetId="4" hidden="1">#REF!</definedName>
    <definedName name="gls_FIRST_ROWMULT" localSheetId="5" hidden="1">#REF!</definedName>
    <definedName name="gls_FIRST_ROWMULT" localSheetId="2" hidden="1">#REF!</definedName>
    <definedName name="gls_FIRST_ROWMULT" hidden="1">#REF!</definedName>
    <definedName name="gls_FIRST_UNITS" localSheetId="4" hidden="1">#REF!</definedName>
    <definedName name="gls_FIRST_UNITS" localSheetId="5" hidden="1">#REF!</definedName>
    <definedName name="gls_FIRST_UNITS" localSheetId="2" hidden="1">#REF!</definedName>
    <definedName name="gls_FIRST_UNITS" hidden="1">#REF!</definedName>
    <definedName name="gls_FIXED_NAMES" localSheetId="4" hidden="1">#REF!</definedName>
    <definedName name="gls_FIXED_NAMES" localSheetId="5" hidden="1">#REF!</definedName>
    <definedName name="gls_FIXED_NAMES" localSheetId="2" hidden="1">#REF!</definedName>
    <definedName name="gls_FIXED_NAMES" hidden="1">#REF!</definedName>
    <definedName name="gls_FONT_STATUS" localSheetId="4" hidden="1">#REF!</definedName>
    <definedName name="gls_FONT_STATUS" localSheetId="5" hidden="1">#REF!</definedName>
    <definedName name="gls_FONT_STATUS" localSheetId="2" hidden="1">#REF!</definedName>
    <definedName name="gls_FONT_STATUS" hidden="1">#REF!</definedName>
    <definedName name="gls_GenAccountingConvention" localSheetId="4" hidden="1">#REF!</definedName>
    <definedName name="gls_GenAccountingConvention" localSheetId="5" hidden="1">#REF!</definedName>
    <definedName name="gls_GenAccountingConvention" localSheetId="2" hidden="1">#REF!</definedName>
    <definedName name="gls_GenAccountingConvention" hidden="1">#REF!</definedName>
    <definedName name="gls_GenAdditionalInfo" localSheetId="5" hidden="1">#REF!</definedName>
    <definedName name="gls_GenAdditionalInfo" localSheetId="2" hidden="1">#REF!</definedName>
    <definedName name="gls_GenAdditionalInfo" hidden="1">#REF!</definedName>
    <definedName name="gls_GenComments" localSheetId="5" hidden="1">#REF!</definedName>
    <definedName name="gls_GenComments" localSheetId="2" hidden="1">#REF!</definedName>
    <definedName name="gls_GenComments" hidden="1">#REF!</definedName>
    <definedName name="gls_GenCompany" localSheetId="4" hidden="1">#REF!</definedName>
    <definedName name="gls_GenCompany" localSheetId="5" hidden="1">#REF!</definedName>
    <definedName name="gls_GenCompany" localSheetId="2" hidden="1">#REF!</definedName>
    <definedName name="gls_GenCompany" hidden="1">#REF!</definedName>
    <definedName name="gls_GenCompanyInfo" localSheetId="4" hidden="1">#REF!</definedName>
    <definedName name="gls_GenCompanyInfo" localSheetId="5" hidden="1">#REF!</definedName>
    <definedName name="gls_GenCompanyInfo" localSheetId="2" hidden="1">#REF!</definedName>
    <definedName name="gls_GenCompanyInfo" hidden="1">#REF!</definedName>
    <definedName name="gls_GenCountry" localSheetId="4" hidden="1">#REF!</definedName>
    <definedName name="gls_GenCountry" localSheetId="5" hidden="1">#REF!</definedName>
    <definedName name="gls_GenCountry" localSheetId="2" hidden="1">#REF!</definedName>
    <definedName name="gls_GenCountry" hidden="1">#REF!</definedName>
    <definedName name="gls_GenCurrency" localSheetId="4" hidden="1">#REF!</definedName>
    <definedName name="gls_GenCurrency" localSheetId="5" hidden="1">#REF!</definedName>
    <definedName name="gls_GenCurrency" localSheetId="2" hidden="1">#REF!</definedName>
    <definedName name="gls_GenCurrency" hidden="1">#REF!</definedName>
    <definedName name="gls_GenCurrencyMultiplier" localSheetId="4" hidden="1">#REF!</definedName>
    <definedName name="gls_GenCurrencyMultiplier" localSheetId="5" hidden="1">#REF!</definedName>
    <definedName name="gls_GenCurrencyMultiplier" localSheetId="2" hidden="1">#REF!</definedName>
    <definedName name="gls_GenCurrencyMultiplier" hidden="1">#REF!</definedName>
    <definedName name="gls_GenEnterCompInfo" localSheetId="4" hidden="1">#REF!</definedName>
    <definedName name="gls_GenEnterCompInfo" localSheetId="5" hidden="1">#REF!</definedName>
    <definedName name="gls_GenEnterCompInfo" localSheetId="2" hidden="1">#REF!</definedName>
    <definedName name="gls_GenEnterCompInfo" hidden="1">#REF!</definedName>
    <definedName name="gls_GenEPSComment" localSheetId="5" hidden="1">#REF!</definedName>
    <definedName name="gls_GenEPSComment" localSheetId="2" hidden="1">#REF!</definedName>
    <definedName name="gls_GenEPSComment" hidden="1">#REF!</definedName>
    <definedName name="gls_GenHomeRegion" localSheetId="5" hidden="1">#REF!</definedName>
    <definedName name="gls_GenHomeRegion" localSheetId="2" hidden="1">#REF!</definedName>
    <definedName name="gls_GenHomeRegion" hidden="1">#REF!</definedName>
    <definedName name="gls_GenLastPriceTargetRevised" localSheetId="4" hidden="1">#REF!</definedName>
    <definedName name="gls_GenLastPriceTargetRevised" localSheetId="5" hidden="1">#REF!</definedName>
    <definedName name="gls_GenLastPriceTargetRevised" localSheetId="2" hidden="1">#REF!</definedName>
    <definedName name="gls_GenLastPriceTargetRevised" hidden="1">#REF!</definedName>
    <definedName name="gls_GenLastPublished" localSheetId="4" hidden="1">#REF!</definedName>
    <definedName name="gls_GenLastPublished" localSheetId="5" hidden="1">#REF!</definedName>
    <definedName name="gls_GenLastPublished" localSheetId="2" hidden="1">#REF!</definedName>
    <definedName name="gls_GenLastPublished" hidden="1">#REF!</definedName>
    <definedName name="gls_GenLastRecRevised" localSheetId="4" hidden="1">#REF!</definedName>
    <definedName name="gls_GenLastRecRevised" localSheetId="5" hidden="1">#REF!</definedName>
    <definedName name="gls_GenLastRecRevised" localSheetId="2" hidden="1">#REF!</definedName>
    <definedName name="gls_GenLastRecRevised" hidden="1">#REF!</definedName>
    <definedName name="gls_GenMainInfo" localSheetId="4" hidden="1">#REF!</definedName>
    <definedName name="gls_GenMainInfo" localSheetId="5" hidden="1">#REF!</definedName>
    <definedName name="gls_GenMainInfo" localSheetId="2" hidden="1">#REF!</definedName>
    <definedName name="gls_GenMainInfo" hidden="1">#REF!</definedName>
    <definedName name="gls_GenNoteComment" localSheetId="5" hidden="1">#REF!</definedName>
    <definedName name="gls_GenNoteComment" localSheetId="2" hidden="1">#REF!</definedName>
    <definedName name="gls_GenNoteComment" hidden="1">#REF!</definedName>
    <definedName name="gls_GenProfile" localSheetId="4" hidden="1">#REF!</definedName>
    <definedName name="gls_GenProfile" localSheetId="5" hidden="1">#REF!</definedName>
    <definedName name="gls_GenProfile" localSheetId="2" hidden="1">#REF!</definedName>
    <definedName name="gls_GenProfile" hidden="1">#REF!</definedName>
    <definedName name="gls_GenRecComment" localSheetId="4" hidden="1">#REF!</definedName>
    <definedName name="gls_GenRecComment" localSheetId="5" hidden="1">#REF!</definedName>
    <definedName name="gls_GenRecComment" localSheetId="2" hidden="1">#REF!</definedName>
    <definedName name="gls_GenRecComment" hidden="1">#REF!</definedName>
    <definedName name="gls_GenSaleslineInfo" localSheetId="5" hidden="1">#REF!</definedName>
    <definedName name="gls_GenSaleslineInfo" localSheetId="2" hidden="1">#REF!</definedName>
    <definedName name="gls_GenSaleslineInfo" hidden="1">#REF!</definedName>
    <definedName name="gls_GenSalesSplitByRegion" localSheetId="5" hidden="1">#REF!</definedName>
    <definedName name="gls_GenSalesSplitByRegion" localSheetId="2" hidden="1">#REF!</definedName>
    <definedName name="gls_GenSalesSplitByRegion" hidden="1">#REF!</definedName>
    <definedName name="gls_GenSalesSplitHeading" localSheetId="5" hidden="1">#REF!</definedName>
    <definedName name="gls_GenSalesSplitHeading" localSheetId="2" hidden="1">#REF!</definedName>
    <definedName name="gls_GenSalesSplitHeading" hidden="1">#REF!</definedName>
    <definedName name="gls_GenSheetVersion" localSheetId="4" hidden="1">#REF!</definedName>
    <definedName name="gls_GenSheetVersion" localSheetId="5" hidden="1">#REF!</definedName>
    <definedName name="gls_GenSheetVersion" localSheetId="2" hidden="1">#REF!</definedName>
    <definedName name="gls_GenSheetVersion" hidden="1">#REF!</definedName>
    <definedName name="gls_genStockCore" localSheetId="4" hidden="1">#REF!</definedName>
    <definedName name="gls_genStockCore" localSheetId="5" hidden="1">#REF!</definedName>
    <definedName name="gls_genStockCore" localSheetId="2" hidden="1">#REF!</definedName>
    <definedName name="gls_genStockCore" hidden="1">#REF!</definedName>
    <definedName name="gls_genStockRec" localSheetId="4" hidden="1">#REF!</definedName>
    <definedName name="gls_genStockRec" localSheetId="5" hidden="1">#REF!</definedName>
    <definedName name="gls_genStockRec" localSheetId="2" hidden="1">#REF!</definedName>
    <definedName name="gls_genStockRec" hidden="1">#REF!</definedName>
    <definedName name="gls_GenTargetCurrency" localSheetId="4" hidden="1">#REF!</definedName>
    <definedName name="gls_GenTargetCurrency" localSheetId="5" hidden="1">#REF!</definedName>
    <definedName name="gls_GenTargetCurrency" localSheetId="2" hidden="1">#REF!</definedName>
    <definedName name="gls_GenTargetCurrency" hidden="1">#REF!</definedName>
    <definedName name="gls_IssuedStockClassHeading" localSheetId="4" hidden="1">#REF!</definedName>
    <definedName name="gls_IssuedStockClassHeading" localSheetId="5" hidden="1">#REF!</definedName>
    <definedName name="gls_IssuedStockClassHeading" localSheetId="2" hidden="1">#REF!</definedName>
    <definedName name="gls_IssuedStockClassHeading" hidden="1">#REF!</definedName>
    <definedName name="gls_IssuedStockCodeHeading" localSheetId="4" hidden="1">#REF!</definedName>
    <definedName name="gls_IssuedStockCodeHeading" localSheetId="5" hidden="1">#REF!</definedName>
    <definedName name="gls_IssuedStockCodeHeading" localSheetId="2" hidden="1">#REF!</definedName>
    <definedName name="gls_IssuedStockCodeHeading" hidden="1">#REF!</definedName>
    <definedName name="gls_IssuedStockFreeFloatHeading" localSheetId="4" hidden="1">#REF!</definedName>
    <definedName name="gls_IssuedStockFreeFloatHeading" localSheetId="5" hidden="1">#REF!</definedName>
    <definedName name="gls_IssuedStockFreeFloatHeading" localSheetId="2" hidden="1">#REF!</definedName>
    <definedName name="gls_IssuedStockFreeFloatHeading" hidden="1">#REF!</definedName>
    <definedName name="gls_KEY_DATA" localSheetId="4" hidden="1">#REF!</definedName>
    <definedName name="gls_KEY_DATA" localSheetId="5" hidden="1">#REF!</definedName>
    <definedName name="gls_KEY_DATA" localSheetId="2" hidden="1">#REF!</definedName>
    <definedName name="gls_KEY_DATA" hidden="1">#REF!</definedName>
    <definedName name="gls_KEY_VALUE" localSheetId="4" hidden="1">#REF!</definedName>
    <definedName name="gls_KEY_VALUE" localSheetId="5" hidden="1">#REF!</definedName>
    <definedName name="gls_KEY_VALUE" localSheetId="2" hidden="1">#REF!</definedName>
    <definedName name="gls_KEY_VALUE" hidden="1">#REF!</definedName>
    <definedName name="gls_PERIOD_CODE" localSheetId="4" hidden="1">#REF!</definedName>
    <definedName name="gls_PERIOD_CODE" localSheetId="5" hidden="1">#REF!</definedName>
    <definedName name="gls_PERIOD_CODE" localSheetId="2" hidden="1">#REF!</definedName>
    <definedName name="gls_PERIOD_CODE" hidden="1">#REF!</definedName>
    <definedName name="gls_PERIOD_INDICATOR" localSheetId="4" hidden="1">#REF!</definedName>
    <definedName name="gls_PERIOD_INDICATOR" localSheetId="5" hidden="1">#REF!</definedName>
    <definedName name="gls_PERIOD_INDICATOR" localSheetId="2" hidden="1">#REF!</definedName>
    <definedName name="gls_PERIOD_INDICATOR" hidden="1">#REF!</definedName>
    <definedName name="gls_PERIOD_PARENT_OR_CONSOL" localSheetId="4" hidden="1">#REF!</definedName>
    <definedName name="gls_PERIOD_PARENT_OR_CONSOL" localSheetId="5" hidden="1">#REF!</definedName>
    <definedName name="gls_PERIOD_PARENT_OR_CONSOL" localSheetId="2" hidden="1">#REF!</definedName>
    <definedName name="gls_PERIOD_PARENT_OR_CONSOL" hidden="1">#REF!</definedName>
    <definedName name="gls_PERIOD_TYPE" localSheetId="4" hidden="1">#REF!</definedName>
    <definedName name="gls_PERIOD_TYPE" localSheetId="5" hidden="1">#REF!</definedName>
    <definedName name="gls_PERIOD_TYPE" localSheetId="2" hidden="1">#REF!</definedName>
    <definedName name="gls_PERIOD_TYPE" hidden="1">#REF!</definedName>
    <definedName name="gls_PrincipalStockClass" localSheetId="4" hidden="1">#REF!</definedName>
    <definedName name="gls_PrincipalStockClass" localSheetId="5" hidden="1">#REF!</definedName>
    <definedName name="gls_PrincipalStockClass" localSheetId="2" hidden="1">#REF!</definedName>
    <definedName name="gls_PrincipalStockClass" hidden="1">#REF!</definedName>
    <definedName name="gls_Recommendations" localSheetId="5" hidden="1">#REF!</definedName>
    <definedName name="gls_Recommendations" localSheetId="2" hidden="1">#REF!</definedName>
    <definedName name="gls_Recommendations" hidden="1">#REF!</definedName>
    <definedName name="gls_SASS5HistEPSGrowth" localSheetId="5" hidden="1">#REF!</definedName>
    <definedName name="gls_SASS5HistEPSGrowth" localSheetId="2" hidden="1">#REF!</definedName>
    <definedName name="gls_SASS5HistEPSGrowth" hidden="1">#REF!</definedName>
    <definedName name="gls_SASS5ProjEPSGrowth" localSheetId="5" hidden="1">#REF!</definedName>
    <definedName name="gls_SASS5ProjEPSGrowth" localSheetId="2" hidden="1">#REF!</definedName>
    <definedName name="gls_SASS5ProjEPSGrowth" hidden="1">#REF!</definedName>
    <definedName name="gls_SASSDirectorHoldings" localSheetId="5" hidden="1">#REF!</definedName>
    <definedName name="gls_SASSDirectorHoldings" localSheetId="2" hidden="1">#REF!</definedName>
    <definedName name="gls_SASSDirectorHoldings" hidden="1">#REF!</definedName>
    <definedName name="gls_SASSEPS45AGR" localSheetId="5" hidden="1">#REF!</definedName>
    <definedName name="gls_SASSEPS45AGR" localSheetId="2" hidden="1">#REF!</definedName>
    <definedName name="gls_SASSEPS45AGR" hidden="1">#REF!</definedName>
    <definedName name="gls_SASSIsInterimLastAnnounce" localSheetId="5" hidden="1">#REF!</definedName>
    <definedName name="gls_SASSIsInterimLastAnnounce" localSheetId="2" hidden="1">#REF!</definedName>
    <definedName name="gls_SASSIsInterimLastAnnounce" hidden="1">#REF!</definedName>
    <definedName name="gls_SASSLastAnnounce" localSheetId="5" hidden="1">#REF!</definedName>
    <definedName name="gls_SASSLastAnnounce" localSheetId="2" hidden="1">#REF!</definedName>
    <definedName name="gls_SASSLastAnnounce" hidden="1">#REF!</definedName>
    <definedName name="gls_SASSNETDIV45AGR" localSheetId="5" hidden="1">#REF!</definedName>
    <definedName name="gls_SASSNETDIV45AGR" localSheetId="2" hidden="1">#REF!</definedName>
    <definedName name="gls_SASSNETDIV45AGR" hidden="1">#REF!</definedName>
    <definedName name="gls_ShareholderClassHeading" localSheetId="4" hidden="1">#REF!</definedName>
    <definedName name="gls_ShareholderClassHeading" localSheetId="5" hidden="1">#REF!</definedName>
    <definedName name="gls_ShareholderClassHeading" localSheetId="2" hidden="1">#REF!</definedName>
    <definedName name="gls_ShareholderClassHeading" hidden="1">#REF!</definedName>
    <definedName name="gls_ShareholderHolding" localSheetId="4" hidden="1">#REF!</definedName>
    <definedName name="gls_ShareholderHolding" localSheetId="5" hidden="1">#REF!</definedName>
    <definedName name="gls_ShareholderHolding" localSheetId="2" hidden="1">#REF!</definedName>
    <definedName name="gls_ShareholderHolding" hidden="1">#REF!</definedName>
    <definedName name="gls_ShareholderHoldingHeading" localSheetId="4" hidden="1">#REF!</definedName>
    <definedName name="gls_ShareholderHoldingHeading" localSheetId="5" hidden="1">#REF!</definedName>
    <definedName name="gls_ShareholderHoldingHeading" localSheetId="2" hidden="1">#REF!</definedName>
    <definedName name="gls_ShareholderHoldingHeading" hidden="1">#REF!</definedName>
    <definedName name="gls_ShareholderName" localSheetId="4" hidden="1">#REF!</definedName>
    <definedName name="gls_ShareholderName" localSheetId="5" hidden="1">#REF!</definedName>
    <definedName name="gls_ShareholderName" localSheetId="2" hidden="1">#REF!</definedName>
    <definedName name="gls_ShareholderName" hidden="1">#REF!</definedName>
    <definedName name="gls_ShareholderNameHeading" localSheetId="4" hidden="1">#REF!</definedName>
    <definedName name="gls_ShareholderNameHeading" localSheetId="5" hidden="1">#REF!</definedName>
    <definedName name="gls_ShareholderNameHeading" localSheetId="2" hidden="1">#REF!</definedName>
    <definedName name="gls_ShareholderNameHeading" hidden="1">#REF!</definedName>
    <definedName name="gls_ShareholdingName" localSheetId="4" hidden="1">#REF!</definedName>
    <definedName name="gls_ShareholdingName" localSheetId="5" hidden="1">#REF!</definedName>
    <definedName name="gls_ShareholdingName" localSheetId="2" hidden="1">#REF!</definedName>
    <definedName name="gls_ShareholdingName" hidden="1">#REF!</definedName>
    <definedName name="gls_SPARE_YEARS" localSheetId="4" hidden="1">#REF!</definedName>
    <definedName name="gls_SPARE_YEARS" localSheetId="5" hidden="1">#REF!</definedName>
    <definedName name="gls_SPARE_YEARS" localSheetId="2" hidden="1">#REF!</definedName>
    <definedName name="gls_SPARE_YEARS" hidden="1">#REF!</definedName>
    <definedName name="gls_START_FORMULA_OVERRIDEABLE" localSheetId="4" hidden="1">#REF!</definedName>
    <definedName name="gls_START_FORMULA_OVERRIDEABLE" localSheetId="5" hidden="1">#REF!</definedName>
    <definedName name="gls_START_FORMULA_OVERRIDEABLE" localSheetId="2" hidden="1">#REF!</definedName>
    <definedName name="gls_START_FORMULA_OVERRIDEABLE" hidden="1">#REF!</definedName>
    <definedName name="gls_START_LOCAL_NAMES" localSheetId="4" hidden="1">#REF!</definedName>
    <definedName name="gls_START_LOCAL_NAMES" localSheetId="5" hidden="1">#REF!</definedName>
    <definedName name="gls_START_LOCAL_NAMES" localSheetId="2" hidden="1">#REF!</definedName>
    <definedName name="gls_START_LOCAL_NAMES" hidden="1">#REF!</definedName>
    <definedName name="gls_START_PERIOD_CURRENCY" localSheetId="4" hidden="1">#REF!</definedName>
    <definedName name="gls_START_PERIOD_CURRENCY" localSheetId="5" hidden="1">#REF!</definedName>
    <definedName name="gls_START_PERIOD_CURRENCY" localSheetId="2" hidden="1">#REF!</definedName>
    <definedName name="gls_START_PERIOD_CURRENCY" hidden="1">#REF!</definedName>
    <definedName name="gls_START_STATUS" localSheetId="4" hidden="1">#REF!</definedName>
    <definedName name="gls_START_STATUS" localSheetId="5" hidden="1">#REF!</definedName>
    <definedName name="gls_START_STATUS" localSheetId="2" hidden="1">#REF!</definedName>
    <definedName name="gls_START_STATUS" hidden="1">#REF!</definedName>
    <definedName name="gls_START_USER_REQ" localSheetId="5" hidden="1">#REF!</definedName>
    <definedName name="gls_START_USER_REQ" localSheetId="2" hidden="1">#REF!</definedName>
    <definedName name="gls_START_USER_REQ" hidden="1">#REF!</definedName>
    <definedName name="gls_START_USER_STATUS" localSheetId="4" hidden="1">#REF!</definedName>
    <definedName name="gls_START_USER_STATUS" localSheetId="5" hidden="1">#REF!</definedName>
    <definedName name="gls_START_USER_STATUS" localSheetId="2" hidden="1">#REF!</definedName>
    <definedName name="gls_START_USER_STATUS" hidden="1">#REF!</definedName>
    <definedName name="gls_START_VALIDATION" localSheetId="4" hidden="1">#REF!</definedName>
    <definedName name="gls_START_VALIDATION" localSheetId="5" hidden="1">#REF!</definedName>
    <definedName name="gls_START_VALIDATION" localSheetId="2" hidden="1">#REF!</definedName>
    <definedName name="gls_START_VALIDATION" hidden="1">#REF!</definedName>
    <definedName name="gls_START_WHAT" localSheetId="4" hidden="1">#REF!</definedName>
    <definedName name="gls_START_WHAT" localSheetId="5" hidden="1">#REF!</definedName>
    <definedName name="gls_START_WHAT" localSheetId="2" hidden="1">#REF!</definedName>
    <definedName name="gls_START_WHAT" hidden="1">#REF!</definedName>
    <definedName name="gls_START_YEAR" localSheetId="4" hidden="1">#REF!</definedName>
    <definedName name="gls_START_YEAR" localSheetId="5" hidden="1">#REF!</definedName>
    <definedName name="gls_START_YEAR" localSheetId="2" hidden="1">#REF!</definedName>
    <definedName name="gls_START_YEAR" hidden="1">#REF!</definedName>
    <definedName name="gls_TEMP_PERIOD_CODE" localSheetId="4" hidden="1">#REF!</definedName>
    <definedName name="gls_TEMP_PERIOD_CODE" localSheetId="5" hidden="1">#REF!</definedName>
    <definedName name="gls_TEMP_PERIOD_CODE" localSheetId="2" hidden="1">#REF!</definedName>
    <definedName name="gls_TEMP_PERIOD_CODE" hidden="1">#REF!</definedName>
    <definedName name="gls_YEAR_AE_CONTROL" localSheetId="4" hidden="1">#REF!</definedName>
    <definedName name="gls_YEAR_AE_CONTROL" localSheetId="5" hidden="1">#REF!</definedName>
    <definedName name="gls_YEAR_AE_CONTROL" localSheetId="2" hidden="1">#REF!</definedName>
    <definedName name="gls_YEAR_AE_CONTROL" hidden="1">#REF!</definedName>
    <definedName name="gls_YEAR_END_ROW" localSheetId="4" hidden="1">#REF!</definedName>
    <definedName name="gls_YEAR_END_ROW" localSheetId="5" hidden="1">#REF!</definedName>
    <definedName name="gls_YEAR_END_ROW" localSheetId="2" hidden="1">#REF!</definedName>
    <definedName name="gls_YEAR_END_ROW" hidden="1">#REF!</definedName>
    <definedName name="gluc01" localSheetId="5">[6]REPORTER!#REF!</definedName>
    <definedName name="gluc01" localSheetId="2">[6]REPORTER!#REF!</definedName>
    <definedName name="gluc01">[6]REPORTER!#REF!</definedName>
    <definedName name="gluc02" localSheetId="5">[6]REPORTER!#REF!</definedName>
    <definedName name="gluc02" localSheetId="2">[6]REPORTER!#REF!</definedName>
    <definedName name="gluc02">[6]REPORTER!#REF!</definedName>
    <definedName name="gluco01">[6]REPORTER!$P$244</definedName>
    <definedName name="gluco02">[6]REPORTER!$U$244</definedName>
    <definedName name="GMTC" localSheetId="5">#REF!</definedName>
    <definedName name="GMTC" localSheetId="2">#REF!</definedName>
    <definedName name="GMTC">#REF!</definedName>
    <definedName name="GMTC_CONS00" localSheetId="5">#REF!</definedName>
    <definedName name="GMTC_CONS00" localSheetId="2">#REF!</definedName>
    <definedName name="GMTC_CONS00">#REF!</definedName>
    <definedName name="GMTC_CONS01" localSheetId="5">#REF!</definedName>
    <definedName name="GMTC_CONS01" localSheetId="2">#REF!</definedName>
    <definedName name="GMTC_CONS01">#REF!</definedName>
    <definedName name="GMTC_CONS99" localSheetId="5">#REF!</definedName>
    <definedName name="GMTC_CONS99" localSheetId="2">#REF!</definedName>
    <definedName name="GMTC_CONS99">#REF!</definedName>
    <definedName name="GND" localSheetId="5">#REF!</definedName>
    <definedName name="GND" localSheetId="2">#REF!</definedName>
    <definedName name="GND">#REF!</definedName>
    <definedName name="GND_CONSENSUS" localSheetId="5">#REF!</definedName>
    <definedName name="GND_CONSENSUS" localSheetId="2">#REF!</definedName>
    <definedName name="GND_CONSENSUS">#REF!</definedName>
    <definedName name="Goodwill_growth_fore" localSheetId="5">#REF!</definedName>
    <definedName name="Goodwill_growth_fore" localSheetId="2">#REF!</definedName>
    <definedName name="Goodwill_growth_fore">#REF!</definedName>
    <definedName name="gresdfrgh" localSheetId="5">'[7]Invested capital_VDF'!#REF!</definedName>
    <definedName name="gresdfrgh" localSheetId="2">'[7]Invested capital_VDF'!#REF!</definedName>
    <definedName name="gresdfrgh">'[7]Invested capital_VDF'!#REF!</definedName>
    <definedName name="Gross_inc_growth" localSheetId="5">[15]NOPAT_VDF!#REF!</definedName>
    <definedName name="Gross_inc_growth" localSheetId="2">[15]NOPAT_VDF!#REF!</definedName>
    <definedName name="Gross_inc_growth">[15]NOPAT_VDF!#REF!</definedName>
    <definedName name="Gross_income">[15]NOPAT_VDF!$C$10:$AE$10</definedName>
    <definedName name="Gross_income_fore" localSheetId="5">#REF!</definedName>
    <definedName name="Gross_income_fore" localSheetId="2">#REF!</definedName>
    <definedName name="Gross_income_fore">#REF!</definedName>
    <definedName name="Gross_income_growth_avg" localSheetId="5">#REF!</definedName>
    <definedName name="Gross_income_growth_avg" localSheetId="2">#REF!</definedName>
    <definedName name="Gross_income_growth_avg">#REF!</definedName>
    <definedName name="Gross_margin_fore" localSheetId="5">#REF!</definedName>
    <definedName name="Gross_margin_fore" localSheetId="2">#REF!</definedName>
    <definedName name="Gross_margin_fore">#REF!</definedName>
    <definedName name="growthrate">'[4]#REF'!$W$43</definedName>
    <definedName name="GT" localSheetId="5">'[34]FRX BS&amp;CF'!#REF!</definedName>
    <definedName name="GT" localSheetId="2">'[34]FRX BS&amp;CF'!#REF!</definedName>
    <definedName name="GT">'[34]FRX BS&amp;CF'!#REF!</definedName>
    <definedName name="GTK" localSheetId="5">#REF!</definedName>
    <definedName name="GTK" localSheetId="2">#REF!</definedName>
    <definedName name="GTK">#REF!</definedName>
    <definedName name="GUC">'[24]THE LINK FOR ALL'!$B$53</definedName>
    <definedName name="GUC_CONS00">'[24]THE LINK FOR ALL'!$F$25</definedName>
    <definedName name="GUC_CONS01">'[24]THE LINK FOR ALL'!$G$25</definedName>
    <definedName name="GUC_CONS99" localSheetId="5">#REF!</definedName>
    <definedName name="GUC_CONS99" localSheetId="2">#REF!</definedName>
    <definedName name="GUC_CONS99">#REF!</definedName>
    <definedName name="guidanc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uide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guide2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Halfan" localSheetId="5">[12]Sales!#REF!</definedName>
    <definedName name="Halfan" localSheetId="2">[12]Sales!#REF!</definedName>
    <definedName name="Halfan">[12]Sales!#REF!</definedName>
    <definedName name="Havrix">[12]Sales!$A$65:$AG$65</definedName>
    <definedName name="hCash_Flow" localSheetId="4">'[13]Annual Model'!#REF!</definedName>
    <definedName name="hCash_Flow" localSheetId="5">'[13]Annual Model'!#REF!</definedName>
    <definedName name="hCash_Flow" localSheetId="2">'[13]Annual Model'!#REF!</definedName>
    <definedName name="hCash_Flow">'[13]Annual Model'!#REF!</definedName>
    <definedName name="Headcount" localSheetId="5">#REF!</definedName>
    <definedName name="Headcount" localSheetId="2">#REF!</definedName>
    <definedName name="Headcount">#REF!</definedName>
    <definedName name="Herpes_simplex_Hep_B">[12]Sales!$A$94:$AG$94</definedName>
    <definedName name="HET">[35]Prices!$B$12</definedName>
    <definedName name="HET_00Ea" localSheetId="5">#REF!</definedName>
    <definedName name="HET_00Ea" localSheetId="2">#REF!</definedName>
    <definedName name="HET_00Ea">#REF!</definedName>
    <definedName name="HET_00EPS" localSheetId="5">#REF!</definedName>
    <definedName name="HET_00EPS" localSheetId="2">#REF!</definedName>
    <definedName name="HET_00EPS">#REF!</definedName>
    <definedName name="HET_01Ea" localSheetId="5">#REF!</definedName>
    <definedName name="HET_01Ea" localSheetId="2">#REF!</definedName>
    <definedName name="HET_01Ea">#REF!</definedName>
    <definedName name="HET_01EPS" localSheetId="5">#REF!</definedName>
    <definedName name="HET_01EPS" localSheetId="2">#REF!</definedName>
    <definedName name="HET_01EPS">#REF!</definedName>
    <definedName name="HET_99Ea" localSheetId="5">#REF!</definedName>
    <definedName name="HET_99Ea" localSheetId="2">#REF!</definedName>
    <definedName name="HET_99Ea">#REF!</definedName>
    <definedName name="HET_99EPS" localSheetId="5">#REF!</definedName>
    <definedName name="HET_99EPS" localSheetId="2">#REF!</definedName>
    <definedName name="HET_99EPS">#REF!</definedName>
    <definedName name="HET_Rating">[16]Industry!$D$9</definedName>
    <definedName name="HET_Target">[16]Industry!$C$9</definedName>
    <definedName name="HLT">'[24]THE LINK FOR ALL'!$B$43</definedName>
    <definedName name="HLT_00EA" localSheetId="5">#REF!</definedName>
    <definedName name="HLT_00EA" localSheetId="2">#REF!</definedName>
    <definedName name="HLT_00EA">#REF!</definedName>
    <definedName name="HLT_00EPS" localSheetId="5">#REF!</definedName>
    <definedName name="HLT_00EPS" localSheetId="2">#REF!</definedName>
    <definedName name="HLT_00EPS">#REF!</definedName>
    <definedName name="HLT_01EA" localSheetId="5">#REF!</definedName>
    <definedName name="HLT_01EA" localSheetId="2">#REF!</definedName>
    <definedName name="HLT_01EA">#REF!</definedName>
    <definedName name="HLT_01EPS" localSheetId="5">#REF!</definedName>
    <definedName name="HLT_01EPS" localSheetId="2">#REF!</definedName>
    <definedName name="HLT_01EPS">#REF!</definedName>
    <definedName name="HLT_99EA" localSheetId="5">#REF!</definedName>
    <definedName name="HLT_99EA" localSheetId="2">#REF!</definedName>
    <definedName name="HLT_99EA">#REF!</definedName>
    <definedName name="HLT_99EPS" localSheetId="5">#REF!</definedName>
    <definedName name="HLT_99EPS" localSheetId="2">#REF!</definedName>
    <definedName name="HLT_99EPS">#REF!</definedName>
    <definedName name="HLT_CONS00" localSheetId="5">'[24]THE LINK FOR ALL'!#REF!</definedName>
    <definedName name="HLT_CONS00" localSheetId="2">'[24]THE LINK FOR ALL'!#REF!</definedName>
    <definedName name="HLT_CONS00">'[24]THE LINK FOR ALL'!#REF!</definedName>
    <definedName name="HLT_CONS01" localSheetId="5">'[24]THE LINK FOR ALL'!#REF!</definedName>
    <definedName name="HLT_CONS01" localSheetId="2">'[24]THE LINK FOR ALL'!#REF!</definedName>
    <definedName name="HLT_CONS01">'[24]THE LINK FOR ALL'!#REF!</definedName>
    <definedName name="HLT_CONS99" localSheetId="5">'[24]THE LINK FOR ALL'!#REF!</definedName>
    <definedName name="HLT_CONS99" localSheetId="2">'[24]THE LINK FOR ALL'!#REF!</definedName>
    <definedName name="HLT_CONS99">'[24]THE LINK FOR ALL'!#REF!</definedName>
    <definedName name="HLT_Rating">'[16]Industry (2)'!$D$6</definedName>
    <definedName name="HLT_Target">'[16]Industry (2)'!$C$6</definedName>
    <definedName name="HMT" localSheetId="5">#REF!</definedName>
    <definedName name="HMT" localSheetId="2">#REF!</definedName>
    <definedName name="HMT">#REF!</definedName>
    <definedName name="HMT_CONS00" localSheetId="5">#REF!</definedName>
    <definedName name="HMT_CONS00" localSheetId="2">#REF!</definedName>
    <definedName name="HMT_CONS00">#REF!</definedName>
    <definedName name="HMT_CONS01" localSheetId="5">#REF!</definedName>
    <definedName name="HMT_CONS01" localSheetId="2">#REF!</definedName>
    <definedName name="HMT_CONS01">#REF!</definedName>
    <definedName name="HMT_CONS99" localSheetId="5">#REF!</definedName>
    <definedName name="HMT_CONS99" localSheetId="2">#REF!</definedName>
    <definedName name="HMT_CONS99">#REF!</definedName>
    <definedName name="HOT">'[24]THE LINK FOR ALL'!$B$45</definedName>
    <definedName name="HOT_00EA" localSheetId="5">#REF!</definedName>
    <definedName name="HOT_00EA" localSheetId="2">#REF!</definedName>
    <definedName name="HOT_00EA">#REF!</definedName>
    <definedName name="HOT_00EPS" localSheetId="5">#REF!</definedName>
    <definedName name="HOT_00EPS" localSheetId="2">#REF!</definedName>
    <definedName name="HOT_00EPS">#REF!</definedName>
    <definedName name="HOT_01EA" localSheetId="5">#REF!</definedName>
    <definedName name="HOT_01EA" localSheetId="2">#REF!</definedName>
    <definedName name="HOT_01EA">#REF!</definedName>
    <definedName name="HOT_01EPS" localSheetId="5">#REF!</definedName>
    <definedName name="HOT_01EPS" localSheetId="2">#REF!</definedName>
    <definedName name="HOT_01EPS">#REF!</definedName>
    <definedName name="HOT_99EA" localSheetId="5">#REF!</definedName>
    <definedName name="HOT_99EA" localSheetId="2">#REF!</definedName>
    <definedName name="HOT_99EA">#REF!</definedName>
    <definedName name="HOT_99EPS" localSheetId="5">#REF!</definedName>
    <definedName name="HOT_99EPS" localSheetId="2">#REF!</definedName>
    <definedName name="HOT_99EPS">#REF!</definedName>
    <definedName name="HOT_CONS00" localSheetId="5">#REF!</definedName>
    <definedName name="HOT_CONS00" localSheetId="2">#REF!</definedName>
    <definedName name="HOT_CONS00">#REF!</definedName>
    <definedName name="HOT_CONS01" localSheetId="5">#REF!</definedName>
    <definedName name="HOT_CONS01" localSheetId="2">#REF!</definedName>
    <definedName name="HOT_CONS01">#REF!</definedName>
    <definedName name="HOT_CONS99" localSheetId="5">#REF!</definedName>
    <definedName name="HOT_CONS99" localSheetId="2">#REF!</definedName>
    <definedName name="HOT_CONS99">#REF!</definedName>
    <definedName name="HOT_Rating">'[16]Industry (2)'!$D$8</definedName>
    <definedName name="HOT_Target">'[16]Industry (2)'!$C$8</definedName>
    <definedName name="Human_Papilloma_virus">[12]Sales!$A$95:$AG$95</definedName>
    <definedName name="HWCC_CONSENSUS" localSheetId="5">#REF!</definedName>
    <definedName name="HWCC_CONSENSUS" localSheetId="2">#REF!</definedName>
    <definedName name="HWCC_CONSENSUS">#REF!</definedName>
    <definedName name="HWD" localSheetId="5">#REF!</definedName>
    <definedName name="HWD" localSheetId="2">#REF!</definedName>
    <definedName name="HWD">#REF!</definedName>
    <definedName name="HWD_CONS00" localSheetId="5">#REF!</definedName>
    <definedName name="HWD_CONS00" localSheetId="2">#REF!</definedName>
    <definedName name="HWD_CONS00">#REF!</definedName>
    <definedName name="HWD_CONS01" localSheetId="5">#REF!</definedName>
    <definedName name="HWD_CONS01" localSheetId="2">#REF!</definedName>
    <definedName name="HWD_CONS01">#REF!</definedName>
    <definedName name="HWD_CONS99" localSheetId="5">#REF!</definedName>
    <definedName name="HWD_CONS99" localSheetId="2">#REF!</definedName>
    <definedName name="HWD_CONS99">#REF!</definedName>
    <definedName name="Hycamtin">[12]Sales!$A$80:$AG$80</definedName>
    <definedName name="iBalance_Sheet" localSheetId="4">'[13]Annual Model'!#REF!</definedName>
    <definedName name="iBalance_Sheet" localSheetId="5">'[13]Annual Model'!#REF!</definedName>
    <definedName name="iBalance_Sheet" localSheetId="2">'[13]Annual Model'!#REF!</definedName>
    <definedName name="iBalance_Sheet">'[13]Annual Model'!#REF!</definedName>
    <definedName name="IC_1">'[15]Invested capital_VDF'!$P$1:$P$65536</definedName>
    <definedName name="IC_2">'[15]Invested capital_VDF'!$O$1:$O$65536</definedName>
    <definedName name="IC_P">'[15]Invested capital_VDF'!$Q$1:$Q$65536</definedName>
    <definedName name="IC_P1">'[15]Invested capital_VDF'!$R$1:$R$65536</definedName>
    <definedName name="IC_P2">'[15]Invested capital_VDF'!$S$1:$S$65536</definedName>
    <definedName name="IC_P3">'[7]Invested capital_VDF'!$T$1:$T$65536</definedName>
    <definedName name="Idoxifene">[12]Sales!$A$81:$AG$81</definedName>
    <definedName name="IGT" localSheetId="5">#REF!</definedName>
    <definedName name="IGT" localSheetId="2">#REF!</definedName>
    <definedName name="IGT">#REF!</definedName>
    <definedName name="IGT_00Ea" localSheetId="5">#REF!</definedName>
    <definedName name="IGT_00Ea" localSheetId="2">#REF!</definedName>
    <definedName name="IGT_00Ea">#REF!</definedName>
    <definedName name="IGT_00EPS" localSheetId="5">#REF!</definedName>
    <definedName name="IGT_00EPS" localSheetId="2">#REF!</definedName>
    <definedName name="IGT_00EPS">#REF!</definedName>
    <definedName name="IGT_01Ea" localSheetId="5">#REF!</definedName>
    <definedName name="IGT_01Ea" localSheetId="2">#REF!</definedName>
    <definedName name="IGT_01Ea">#REF!</definedName>
    <definedName name="IGT_01EPS" localSheetId="5">#REF!</definedName>
    <definedName name="IGT_01EPS" localSheetId="2">#REF!</definedName>
    <definedName name="IGT_01EPS">#REF!</definedName>
    <definedName name="IGT_99Ea" localSheetId="5">#REF!</definedName>
    <definedName name="IGT_99Ea" localSheetId="2">#REF!</definedName>
    <definedName name="IGT_99Ea">#REF!</definedName>
    <definedName name="IGT_99EPS" localSheetId="5">#REF!</definedName>
    <definedName name="IGT_99EPS" localSheetId="2">#REF!</definedName>
    <definedName name="IGT_99EPS">#REF!</definedName>
    <definedName name="IGT_Rating">[16]Industry!$D$11</definedName>
    <definedName name="IGT_Target">[16]Industry!$C$11</definedName>
    <definedName name="ImpressionEquivalent">'[4]#REF'!$C$179</definedName>
    <definedName name="Inc_cap_RnD_fore" localSheetId="5">#REF!</definedName>
    <definedName name="Inc_cap_RnD_fore" localSheetId="2">#REF!</definedName>
    <definedName name="Inc_cap_RnD_fore">#REF!</definedName>
    <definedName name="inc_tax" localSheetId="5">#REF!</definedName>
    <definedName name="inc_tax" localSheetId="2">#REF!</definedName>
    <definedName name="inc_tax">#REF!</definedName>
    <definedName name="Income_before_taxes" localSheetId="5">[15]NOPAT_VDF!#REF!</definedName>
    <definedName name="Income_before_taxes" localSheetId="2">[15]NOPAT_VDF!#REF!</definedName>
    <definedName name="Income_before_taxes">[15]NOPAT_VDF!#REF!</definedName>
    <definedName name="Income_equivalents">[15]NOPAT_VDF!$C$30:$AZ$30</definedName>
    <definedName name="Income_equivalents_fore" localSheetId="5">#REF!</definedName>
    <definedName name="Income_equivalents_fore" localSheetId="2">#REF!</definedName>
    <definedName name="Income_equivalents_fore">#REF!</definedName>
    <definedName name="Income_form_uncons_subs_fore" localSheetId="5">#REF!</definedName>
    <definedName name="Income_form_uncons_subs_fore" localSheetId="2">#REF!</definedName>
    <definedName name="Income_form_uncons_subs_fore">#REF!</definedName>
    <definedName name="Income_from_Unconsolidated_Subs">[15]NOPAT_VDF!$C$48:$AZ$48</definedName>
    <definedName name="Income_tax">[15]NOPAT_VDF!$C$34:$AE$34</definedName>
    <definedName name="Income_tax_fore" localSheetId="5">#REF!</definedName>
    <definedName name="Income_tax_fore" localSheetId="2">#REF!</definedName>
    <definedName name="Income_tax_fore">#REF!</definedName>
    <definedName name="Income_tax_growth_fore" localSheetId="5">#REF!</definedName>
    <definedName name="Income_tax_growth_fore" localSheetId="2">#REF!</definedName>
    <definedName name="Income_tax_growth_fore">#REF!</definedName>
    <definedName name="Income_taxes_payable_growth_fore" localSheetId="5">#REF!</definedName>
    <definedName name="Income_taxes_payable_growth_fore" localSheetId="2">#REF!</definedName>
    <definedName name="Income_taxes_payable_growth_fore">#REF!</definedName>
    <definedName name="Increase_cap_RnD_fore" localSheetId="5">#REF!</definedName>
    <definedName name="Increase_cap_RnD_fore" localSheetId="2">#REF!</definedName>
    <definedName name="Increase_cap_RnD_fore">#REF!</definedName>
    <definedName name="Increase_Capitalized_R_D_net">[15]NOPAT_VDF!$C$22:$AZ$22</definedName>
    <definedName name="Increase_in_other_liabilities" localSheetId="5">[15]NOPAT_VDF!#REF!</definedName>
    <definedName name="Increase_in_other_liabilities" localSheetId="2">[15]NOPAT_VDF!#REF!</definedName>
    <definedName name="Increase_in_other_liabilities">[15]NOPAT_VDF!#REF!</definedName>
    <definedName name="Infanrix">[12]Sales!$A$86:$AG$86</definedName>
    <definedName name="InfoNext">#N/A</definedName>
    <definedName name="InfoPrev">#N/A</definedName>
    <definedName name="Int_Rate_Assump">[23]ProForma!$A$192:$IV$192</definedName>
    <definedName name="Intangible_Assets" localSheetId="5">#REF!</definedName>
    <definedName name="Intangible_Assets" localSheetId="2">#REF!</definedName>
    <definedName name="Intangible_Assets">#REF!</definedName>
    <definedName name="Interest_exp_growth_fore" localSheetId="5">#REF!</definedName>
    <definedName name="Interest_exp_growth_fore" localSheetId="2">#REF!</definedName>
    <definedName name="Interest_exp_growth_fore">#REF!</definedName>
    <definedName name="Interest_exp_inc_fore" localSheetId="5">#REF!</definedName>
    <definedName name="Interest_exp_inc_fore" localSheetId="2">#REF!</definedName>
    <definedName name="Interest_exp_inc_fore">#REF!</definedName>
    <definedName name="Interest_expense_income">[15]NOPAT_VDF!$C$63:$AE$63</definedName>
    <definedName name="Inventory_growth_fore" localSheetId="5">#REF!</definedName>
    <definedName name="Inventory_growth_fore" localSheetId="2">#REF!</definedName>
    <definedName name="Inventory_growth_fore">#REF!</definedName>
    <definedName name="Invested_capital">'[15]Invested capital_VDF'!$C$87:$AE$87</definedName>
    <definedName name="Invested_capital_DCF">[15]DCF_VDF!$C$77:$AZ$77</definedName>
    <definedName name="Invested_capital_growth_fore" localSheetId="5">#REF!</definedName>
    <definedName name="Invested_capital_growth_fore" localSheetId="2">#REF!</definedName>
    <definedName name="Invested_capital_growth_fore">#REF!</definedName>
    <definedName name="Invested_capital_turns">'[15]Invested capital_VDF'!$C$102:$AU$102</definedName>
    <definedName name="Invested_capital_turns_DCF">[15]DCF_VDF!$C$83:$AZ$83</definedName>
    <definedName name="Invested_capital_turns_fore" localSheetId="5">#REF!</definedName>
    <definedName name="Invested_capital_turns_fore" localSheetId="2">#REF!</definedName>
    <definedName name="Invested_capital_turns_fore">#REF!</definedName>
    <definedName name="IQ_1_4_CONSTRUCTION_GROSS_LOANS_FFIEC" hidden="1">"c13402"</definedName>
    <definedName name="IQ_1_4_CONSTRUCTION_LL_REC_DOM_FFIEC" hidden="1">"c12899"</definedName>
    <definedName name="IQ_1_4_CONSTRUCTION_LOAN_COMMITMENTS_UNUSED_FFIEC" hidden="1">"c13244"</definedName>
    <definedName name="IQ_1_4_CONSTRUCTION_LOANS_DUE_30_89_FFIEC" hidden="1">"c13257"</definedName>
    <definedName name="IQ_1_4_CONSTRUCTION_LOANS_DUE_90_FFIEC" hidden="1">"c13285"</definedName>
    <definedName name="IQ_1_4_CONSTRUCTION_LOANS_NON_ACCRUAL_FFIEC" hidden="1">"c13311"</definedName>
    <definedName name="IQ_1_4_CONSTRUCTION_RISK_BASED_FFIEC" hidden="1">"c13423"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RES_DOM_FFIEC" hidden="1">"c15269"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30YR_FIXED_MORTGAGE" hidden="1">"c6811"</definedName>
    <definedName name="IQ_30YR_FIXED_MORTGAGE_FC" hidden="1">"c7691"</definedName>
    <definedName name="IQ_30YR_FIXED_MORTGAGE_POP" hidden="1">"c7031"</definedName>
    <definedName name="IQ_30YR_FIXED_MORTGAGE_POP_FC" hidden="1">"c7911"</definedName>
    <definedName name="IQ_30YR_FIXED_MORTGAGE_YOY" hidden="1">"c7251"</definedName>
    <definedName name="IQ_30YR_FIXED_MORTGAGE_YOY_FC" hidden="1">"c8131"</definedName>
    <definedName name="IQ_ABS_AVAIL_SALE_FFIEC" hidden="1">"c12802"</definedName>
    <definedName name="IQ_ABS_FFIEC" hidden="1">"c12788"</definedName>
    <definedName name="IQ_ABS_INVEST_SECURITIES_FFIEC" hidden="1">"c13461"</definedName>
    <definedName name="IQ_ABS_PERIOD" hidden="1">"c13823"</definedName>
    <definedName name="IQ_ABS_PERIOD_EST" hidden="1">"c16122"</definedName>
    <definedName name="IQ_ACCEPTANCES_OTHER_FOREIGN_BANKS_LL_REC_FFIEC" hidden="1">"c15293"</definedName>
    <definedName name="IQ_ACCEPTANCES_OTHER_US_BANKS_LL_REC_FFIEC" hidden="1">"c15292"</definedName>
    <definedName name="IQ_ACCOUNT_CHANGE" hidden="1">"c1449"</definedName>
    <definedName name="IQ_ACCOUNT_CODE_INTEREST_PENALTIES" hidden="1">"c15741"</definedName>
    <definedName name="IQ_ACCOUNTING_FFIEC" hidden="1">"c13054"</definedName>
    <definedName name="IQ_ACCOUNTING_STANDARD" hidden="1">"c4539"</definedName>
    <definedName name="IQ_ACCOUNTING_STANDARD_CIQ" hidden="1">"c5092"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RUED_INTEREST_RECEIVABLE_FFIEC" hidden="1">"c12842"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_WIRELESS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COST_SUB" hidden="1">"c15807"</definedName>
    <definedName name="IQ_ACQUISITION_RE_ASSETS" hidden="1">"c1628"</definedName>
    <definedName name="IQ_ACTUAL_PRODUCTION_ALUM" hidden="1">"c9247"</definedName>
    <definedName name="IQ_ACTUAL_PRODUCTION_CATHODE_COP" hidden="1">"c9192"</definedName>
    <definedName name="IQ_ACTUAL_PRODUCTION_COAL" hidden="1">"c9821"</definedName>
    <definedName name="IQ_ACTUAL_PRODUCTION_COP" hidden="1">"c9191"</definedName>
    <definedName name="IQ_ACTUAL_PRODUCTION_DIAM" hidden="1">"c9671"</definedName>
    <definedName name="IQ_ACTUAL_PRODUCTION_GOLD" hidden="1">"c9032"</definedName>
    <definedName name="IQ_ACTUAL_PRODUCTION_IRON" hidden="1">"c9406"</definedName>
    <definedName name="IQ_ACTUAL_PRODUCTION_LEAD" hidden="1">"c9459"</definedName>
    <definedName name="IQ_ACTUAL_PRODUCTION_MANG" hidden="1">"c9512"</definedName>
    <definedName name="IQ_ACTUAL_PRODUCTION_MET_COAL" hidden="1">"c9761"</definedName>
    <definedName name="IQ_ACTUAL_PRODUCTION_MOLYB" hidden="1">"c9724"</definedName>
    <definedName name="IQ_ACTUAL_PRODUCTION_NICK" hidden="1">"c9300"</definedName>
    <definedName name="IQ_ACTUAL_PRODUCTION_PLAT" hidden="1">"c9138"</definedName>
    <definedName name="IQ_ACTUAL_PRODUCTION_SILVER" hidden="1">"c9085"</definedName>
    <definedName name="IQ_ACTUAL_PRODUCTION_STEAM" hidden="1">"c9791"</definedName>
    <definedName name="IQ_ACTUAL_PRODUCTION_TITAN" hidden="1">"c9565"</definedName>
    <definedName name="IQ_ACTUAL_PRODUCTION_URAN" hidden="1">"c9618"</definedName>
    <definedName name="IQ_ACTUAL_PRODUCTION_ZINC" hidden="1">"c9353"</definedName>
    <definedName name="IQ_AD" hidden="1">"c7"</definedName>
    <definedName name="IQ_ADD_PAID_IN" hidden="1">"c1344"</definedName>
    <definedName name="IQ_ADD_TAX_POSITIONS_CURRENT_YR" hidden="1">"c15733"</definedName>
    <definedName name="IQ_ADD_TAX_POSITIONS_PRIOR_YRS" hidden="1">"c15735"</definedName>
    <definedName name="IQ_ADDIN" hidden="1">"AUTO"</definedName>
    <definedName name="IQ_ADDITIONAL_NON_INT_INC_FDIC" hidden="1">"c6574"</definedName>
    <definedName name="IQ_ADDITIONS_NON_ACCRUAL_ASSET_DURING_QTR_FFIEC" hidden="1">"c15349"</definedName>
    <definedName name="IQ_ADJ_AVG_BANK_ASSETS" hidden="1">"c2671"</definedName>
    <definedName name="IQ_ADJUSTABLE_RATE_LOANS_FDIC" hidden="1">"c6375"</definedName>
    <definedName name="IQ_ADJUSTED_NAV_COVERED" hidden="1">"c9963"</definedName>
    <definedName name="IQ_ADJUSTED_NAV_GROUP" hidden="1">"c9949"</definedName>
    <definedName name="IQ_ADMIN_RATIO" hidden="1">"c2784"</definedName>
    <definedName name="IQ_ADVERTISING" hidden="1">"c2246"</definedName>
    <definedName name="IQ_ADVERTISING_MARKETING" hidden="1">"c1566"</definedName>
    <definedName name="IQ_ADVERTISING_MARKETING_EXPENSES_FFIEC" hidden="1">"c13048"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FO" hidden="1">"c8756"</definedName>
    <definedName name="IQ_AFFO_DILUTED" hidden="1">"c16188"</definedName>
    <definedName name="IQ_AFFO_PER_SHARE_BASIC" hidden="1">"c8869"</definedName>
    <definedName name="IQ_AFFO_PER_SHARE_DILUTED" hidden="1">"c8870"</definedName>
    <definedName name="IQ_AFS_INVEST_SECURITIES_FFIEC" hidden="1">"c13456"</definedName>
    <definedName name="IQ_AFS_SECURITIES_TIER_1_FFIEC" hidden="1">"c13343"</definedName>
    <definedName name="IQ_AFTER_TAX_INCOME_FDIC" hidden="1">"c6583"</definedName>
    <definedName name="IQ_AG_PROD_FARM_LOANS_DOM_QUARTERLY_AVG_FFIEC" hidden="1">"c15477"</definedName>
    <definedName name="IQ_AGENCY" hidden="1">"c8960"</definedName>
    <definedName name="IQ_AGENCY_INVEST_SECURITIES_FFIEC" hidden="1">"c13458"</definedName>
    <definedName name="IQ_AGG_CORPORATE_SHARES" hidden="1">"c13781"</definedName>
    <definedName name="IQ_AGG_CORPORATE_VALUE" hidden="1">"c13774"</definedName>
    <definedName name="IQ_AGG_ESOP_SHARES" hidden="1">"c13782"</definedName>
    <definedName name="IQ_AGG_ESOP_VALUE" hidden="1">"c13775"</definedName>
    <definedName name="IQ_AGG_FOUNDATION_SHARES" hidden="1">"c13783"</definedName>
    <definedName name="IQ_AGG_FOUNDATION_VALUE" hidden="1">"c13776"</definedName>
    <definedName name="IQ_AGG_HEDGEFUND_SHARES" hidden="1">"c13785"</definedName>
    <definedName name="IQ_AGG_HEDGEFUND_VALUE" hidden="1">"c13778"</definedName>
    <definedName name="IQ_AGG_INSIDER_SHARES" hidden="1">"c13780"</definedName>
    <definedName name="IQ_AGG_INSIDER_VALUE" hidden="1">"c13773"</definedName>
    <definedName name="IQ_AGG_INSTITUTIONAL_SHARES" hidden="1">"c13779"</definedName>
    <definedName name="IQ_AGG_INSTITUTIONAL_VALUE" hidden="1">"c13772"</definedName>
    <definedName name="IQ_AGG_OTHER_SHARES" hidden="1">"c13784"</definedName>
    <definedName name="IQ_AGG_OTHER_VALUE" hidden="1">"c13777"</definedName>
    <definedName name="IQ_AGRICULTURAL_GROSS_LOANS_FFIEC" hidden="1">"c13413"</definedName>
    <definedName name="IQ_AGRICULTURAL_LOANS_FOREIGN_FFIEC" hidden="1">"c13481"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GRICULTURAL_RISK_BASED_FFIEC" hidden="1">"c13434"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AVG_PSGR_FARE" hidden="1">"c10029"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NUMBER_HRS_FLOWN" hidden="1">"c10037"</definedName>
    <definedName name="IQ_AIR_NUMBER_OPERATING_AIRCRAFT_AVG" hidden="1">"c10035"</definedName>
    <definedName name="IQ_AIR_NUMBER_TRIPS_FLOWN" hidden="1">"c10030"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EX_PER_ASK_EXCL_FUEL" hidden="1">"c10034"</definedName>
    <definedName name="IQ_AIR_OPEX_PER_ASM_EXCL_FUEL" hidden="1">"c10033"</definedName>
    <definedName name="IQ_AIR_OPTIONS" hidden="1">"c2837"</definedName>
    <definedName name="IQ_AIR_ORDERS" hidden="1">"c2836"</definedName>
    <definedName name="IQ_AIR_OWNED" hidden="1">"c2832"</definedName>
    <definedName name="IQ_AIR_PERCENTAGE_SALES_VIA_INTERNET" hidden="1">"c10036"</definedName>
    <definedName name="IQ_AIR_PSGR_HAUL_AVG_LENGTH_KM" hidden="1">"c10032"</definedName>
    <definedName name="IQ_AIR_PSGR_HAUL_AVG_LENGTH_MILES" hidden="1">"c10031"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_OTHER_DEPOSITS_FOREIGN_DEP_FFIEC" hidden="1">"c15347"</definedName>
    <definedName name="IQ_ALL_OTHER_INVEST_UNCONSOL_SUBS_FFIEC" hidden="1">"c15275"</definedName>
    <definedName name="IQ_ALL_OTHER_LEASES_CHARGE_OFFS_FFIEC" hidden="1">"c13185"</definedName>
    <definedName name="IQ_ALL_OTHER_LEASES_RECOV_FFIEC" hidden="1">"c13207"</definedName>
    <definedName name="IQ_ALL_OTHER_LOANS_CHARGE_OFFS_FFIEC" hidden="1">"c13183"</definedName>
    <definedName name="IQ_ALL_OTHER_LOANS_RECOV_FFIEC" hidden="1">"c13205"</definedName>
    <definedName name="IQ_ALL_OTHER_TRADING_LIABILITIES_DOM_FFIEC" hidden="1">"c12942"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_LL_LOSSES_FFIEC" hidden="1">"c12810"</definedName>
    <definedName name="IQ_ALLOWABLE_T2_CAPITAL_FFIEC" hidden="1">"c13150"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CREDIT_LOSSES_OFF_BS_FFIEC" hidden="1">"c12871"</definedName>
    <definedName name="IQ_ALLOWANCE_LL_LOSSES_T2_FFIEC" hidden="1">"c13146"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_IMPAIRMENT_OTHER_INTANGIBLE_ASSETS_FFIEC" hidden="1">"c13026"</definedName>
    <definedName name="IQ_AMORT_EXPENSE_FDIC" hidden="1">"c6677"</definedName>
    <definedName name="IQ_AMORTIZATION" hidden="1">"c1591"</definedName>
    <definedName name="IQ_AMORTIZED_COST_FDIC" hidden="1">"c6426"</definedName>
    <definedName name="IQ_AMOUNT_FINANCIAL_LOC_CONVEYED_FFIEC" hidden="1">"c13250"</definedName>
    <definedName name="IQ_AMOUNT_PERFORMANCE_LOC_CONVEYED_FFIEC" hidden="1">"c13252"</definedName>
    <definedName name="IQ_AMT_OUT" hidden="1">"c2145"</definedName>
    <definedName name="IQ_ANALYST_DET_EST" hidden="1">"c12043"</definedName>
    <definedName name="IQ_ANALYST_DET_EST_CIQ" hidden="1">"c12103"</definedName>
    <definedName name="IQ_ANALYST_DET_EST_THOM" hidden="1">"c12071"</definedName>
    <definedName name="IQ_ANALYST_EMAIL" hidden="1">"c13738"</definedName>
    <definedName name="IQ_ANALYST_NAME" hidden="1">"c13736"</definedName>
    <definedName name="IQ_ANALYST_NON_PER_DET_EST" hidden="1">"c12755"</definedName>
    <definedName name="IQ_ANALYST_NON_PER_DET_EST_CIQ" hidden="1">"c12756"</definedName>
    <definedName name="IQ_ANALYST_NON_PER_DET_EST_THOM" hidden="1">"c12759"</definedName>
    <definedName name="IQ_ANALYST_PHONE" hidden="1">"c13737"</definedName>
    <definedName name="IQ_ANALYST_START_DATE" hidden="1">"c13740"</definedName>
    <definedName name="IQ_ANNU_DISTRIBUTION_UNIT" hidden="1">"c3004"</definedName>
    <definedName name="IQ_ANNUAL_PREMIUM_EQUIVALENT_NEW_BUSINESS" hidden="1">"c9972"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NNUITY_SALES_FEES_COMMISSIONS_FFIEC" hidden="1">"c13007"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PPLICABLE_INCOME_TAXES_FTE_FFIEC" hidden="1">"c13853"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RPU_ANALOG_CABLE" hidden="1">"c2864"</definedName>
    <definedName name="IQ_ARPU_BASIC_CABLE" hidden="1">"c2866"</definedName>
    <definedName name="IQ_ARPU_BBAND" hidden="1">"c2867"</definedName>
    <definedName name="IQ_ARPU_DIG_CABLE" hidden="1">"c2865"</definedName>
    <definedName name="IQ_ARPU_PHONE" hidden="1">"c2868"</definedName>
    <definedName name="IQ_ARPU_POSTPAID_WIRELESS" hidden="1">"c15758"</definedName>
    <definedName name="IQ_ARPU_PREPAID_WIRELESS" hidden="1">"c15759"</definedName>
    <definedName name="IQ_ARPU_RETAIL_WIRELESS" hidden="1">"c15760"</definedName>
    <definedName name="IQ_ARPU_SATELLITE" hidden="1">"c15790"</definedName>
    <definedName name="IQ_ARPU_TOTAL" hidden="1">"c2869"</definedName>
    <definedName name="IQ_ARPU_WHOLESALE_WIRELESS" hidden="1">"c15761"</definedName>
    <definedName name="IQ_ARPU_WIRELESS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SUPPLE" hidden="1">"c13812"</definedName>
    <definedName name="IQ_ASSET_WRITEDOWN_UTI" hidden="1">"c61"</definedName>
    <definedName name="IQ_ASSETS_AP" hidden="1">"c8883"</definedName>
    <definedName name="IQ_ASSETS_AP_ABS" hidden="1">"c8902"</definedName>
    <definedName name="IQ_ASSETS_CAP_LEASE_DEPR" hidden="1">"c2068"</definedName>
    <definedName name="IQ_ASSETS_CAP_LEASE_GROSS" hidden="1">"c2069"</definedName>
    <definedName name="IQ_ASSETS_FAIR_VALUE" hidden="1">"c13843"</definedName>
    <definedName name="IQ_ASSETS_HELD_FDIC" hidden="1">"c6305"</definedName>
    <definedName name="IQ_ASSETS_LEVEL_1" hidden="1">"c13839"</definedName>
    <definedName name="IQ_ASSETS_LEVEL_2" hidden="1">"c13840"</definedName>
    <definedName name="IQ_ASSETS_LEVEL_3" hidden="1">"c13841"</definedName>
    <definedName name="IQ_ASSETS_NAME_AP" hidden="1">"c8921"</definedName>
    <definedName name="IQ_ASSETS_NAME_AP_ABS" hidden="1">"c8940"</definedName>
    <definedName name="IQ_ASSETS_NETTING_OTHER_ADJUSTMENTS" hidden="1">"c13842"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REPRICE_ASSETS_TOT_FFIEC" hidden="1">"c13454"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IGNED_RESERVES_COAL" hidden="1">"c15912"</definedName>
    <definedName name="IQ_ASSIGNED_RESERVES_TO_TOTAL_RESERVES_COAL" hidden="1">"c15955"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LOSSES" hidden="1">"c15870"</definedName>
    <definedName name="IQ_ASSUMED_PC_EARNED" hidden="1">"c2746"</definedName>
    <definedName name="IQ_ASSUMED_PREMIUMS_EARNED_GROSS_PREMIUMS_EARNED" hidden="1">"c15886"</definedName>
    <definedName name="IQ_ASSUMED_PREMIUMS_WRITTEN_GROSS_PREMIUMS_WRITTEN" hidden="1">"c15884"</definedName>
    <definedName name="IQ_ASSUMED_WRITTEN" hidden="1">"c2725"</definedName>
    <definedName name="IQ_ATM_FEES_FFIEC" hidden="1">"c13042"</definedName>
    <definedName name="IQ_ATM_INTERCHANGE_EXPENSES_FFIEC" hidden="1">"c13056"</definedName>
    <definedName name="IQ_AUDITOR_NAME" hidden="1">"c1539"</definedName>
    <definedName name="IQ_AUDITOR_OPINION" hidden="1">"c1540"</definedName>
    <definedName name="IQ_AUM" hidden="1">"c10043"</definedName>
    <definedName name="IQ_AUM_EQUITY_FUNDS" hidden="1">"c10039"</definedName>
    <definedName name="IQ_AUM_FIXED_INCOME_FUNDS" hidden="1">"c10040"</definedName>
    <definedName name="IQ_AUM_MONEY_MARKET_FUNDS" hidden="1">"c10041"</definedName>
    <definedName name="IQ_AUM_OTHER" hidden="1">"c10042"</definedName>
    <definedName name="IQ_AUTO_LOANS_TOTAL_LOANS" hidden="1">"c15713"</definedName>
    <definedName name="IQ_AUTO_REGIST_NEW" hidden="1">"c6923"</definedName>
    <definedName name="IQ_AUTO_REGIST_NEW_APR" hidden="1">"c7583"</definedName>
    <definedName name="IQ_AUTO_REGIST_NEW_APR_FC" hidden="1">"c8463"</definedName>
    <definedName name="IQ_AUTO_REGIST_NEW_FC" hidden="1">"c7803"</definedName>
    <definedName name="IQ_AUTO_REGIST_NEW_POP" hidden="1">"c7143"</definedName>
    <definedName name="IQ_AUTO_REGIST_NEW_POP_FC" hidden="1">"c8023"</definedName>
    <definedName name="IQ_AUTO_REGIST_NEW_YOY" hidden="1">"c7363"</definedName>
    <definedName name="IQ_AUTO_REGIST_NEW_YOY_FC" hidden="1">"c8243"</definedName>
    <definedName name="IQ_AUTO_SALES_DOM" hidden="1">"c6852"</definedName>
    <definedName name="IQ_AUTO_SALES_DOM_APR" hidden="1">"c7512"</definedName>
    <definedName name="IQ_AUTO_SALES_DOM_APR_FC" hidden="1">"c8392"</definedName>
    <definedName name="IQ_AUTO_SALES_DOM_FC" hidden="1">"c7732"</definedName>
    <definedName name="IQ_AUTO_SALES_DOM_POP" hidden="1">"c7072"</definedName>
    <definedName name="IQ_AUTO_SALES_DOM_POP_FC" hidden="1">"c7952"</definedName>
    <definedName name="IQ_AUTO_SALES_DOM_YOY" hidden="1">"c7292"</definedName>
    <definedName name="IQ_AUTO_SALES_DOM_YOY_FC" hidden="1">"c8172"</definedName>
    <definedName name="IQ_AUTO_SALES_FOREIGN" hidden="1">"c6873"</definedName>
    <definedName name="IQ_AUTO_SALES_FOREIGN_APR" hidden="1">"c7533"</definedName>
    <definedName name="IQ_AUTO_SALES_FOREIGN_APR_FC" hidden="1">"c8413"</definedName>
    <definedName name="IQ_AUTO_SALES_FOREIGN_FC" hidden="1">"c7753"</definedName>
    <definedName name="IQ_AUTO_SALES_FOREIGN_POP" hidden="1">"c7093"</definedName>
    <definedName name="IQ_AUTO_SALES_FOREIGN_POP_FC" hidden="1">"c7973"</definedName>
    <definedName name="IQ_AUTO_SALES_FOREIGN_YOY" hidden="1">"c7313"</definedName>
    <definedName name="IQ_AUTO_SALES_FOREIGN_YOY_FC" hidden="1">"c8193"</definedName>
    <definedName name="IQ_AUTO_WRITTEN" hidden="1">"c62"</definedName>
    <definedName name="IQ_AVAIL_FOR_SALE_FAIR_VALUE_TOT_FFIEC" hidden="1">"c15399"</definedName>
    <definedName name="IQ_AVAIL_FOR_SALE_LEVEL_1_FFIEC" hidden="1">"c15421"</definedName>
    <definedName name="IQ_AVAIL_FOR_SALE_LEVEL_2_FFIEC" hidden="1">"c15434"</definedName>
    <definedName name="IQ_AVAIL_FOR_SALE_LEVEL_3_FFIEC" hidden="1">"c15447"</definedName>
    <definedName name="IQ_AVAILABLE_FOR_SALE_FDIC" hidden="1">"c6409"</definedName>
    <definedName name="IQ_AVAILABLE_SALE_SEC_FFIEC" hidden="1">"c12791"</definedName>
    <definedName name="IQ_AVERAGE_ASSETS_FDIC" hidden="1">"c6362"</definedName>
    <definedName name="IQ_AVERAGE_ASSETS_QUART_FDIC" hidden="1">"c6363"</definedName>
    <definedName name="IQ_AVERAGE_DEPOSITS" hidden="1">"c15256"</definedName>
    <definedName name="IQ_AVERAGE_EARNING_ASSETS_FDIC" hidden="1">"c6748"</definedName>
    <definedName name="IQ_AVERAGE_EQUITY_FDIC" hidden="1">"c6749"</definedName>
    <definedName name="IQ_AVERAGE_INTEREST_BEARING_DEPOSITS" hidden="1">"c15254"</definedName>
    <definedName name="IQ_AVERAGE_LOANS_FDIC" hidden="1">"c6750"</definedName>
    <definedName name="IQ_AVERAGE_LOANS_HFI" hidden="1">"c15251"</definedName>
    <definedName name="IQ_AVERAGE_LOANS_HFS" hidden="1">"c15252"</definedName>
    <definedName name="IQ_AVERAGE_NON_INTEREST_BEARING_DEPOSITS" hidden="1">"c15255"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CIQ" hidden="1">"c3612"</definedName>
    <definedName name="IQ_AVG_BROKER_REC_NO" hidden="1">"c64"</definedName>
    <definedName name="IQ_AVG_BROKER_REC_NO_CIQ" hidden="1">"c4657"</definedName>
    <definedName name="IQ_AVG_BROKER_REC_NO_REUT" hidden="1">"c5315"</definedName>
    <definedName name="IQ_AVG_BROKER_REC_NO_THOM" hidden="1">"c5094"</definedName>
    <definedName name="IQ_AVG_BROKER_REC_REUT" hidden="1">"c3630"</definedName>
    <definedName name="IQ_AVG_BROKER_REC_THOM" hidden="1">"c3648"</definedName>
    <definedName name="IQ_AVG_CALORIFIC_VALUE_COAL" hidden="1">"c9828"</definedName>
    <definedName name="IQ_AVG_CALORIFIC_VALUE_MET_COAL" hidden="1">"c9764"</definedName>
    <definedName name="IQ_AVG_CALORIFIC_VALUE_STEAM" hidden="1">"c9794"</definedName>
    <definedName name="IQ_AVG_DAILY_VOL" hidden="1">"c65"</definedName>
    <definedName name="IQ_AVG_EMPLOYEES" hidden="1">"c6019"</definedName>
    <definedName name="IQ_AVG_GRADE_ALUM" hidden="1">"c9254"</definedName>
    <definedName name="IQ_AVG_GRADE_COP" hidden="1">"c9201"</definedName>
    <definedName name="IQ_AVG_GRADE_DIAM" hidden="1">"c9678"</definedName>
    <definedName name="IQ_AVG_GRADE_GOLD" hidden="1">"c9039"</definedName>
    <definedName name="IQ_AVG_GRADE_IRON" hidden="1">"c9413"</definedName>
    <definedName name="IQ_AVG_GRADE_LEAD" hidden="1">"c9466"</definedName>
    <definedName name="IQ_AVG_GRADE_MANG" hidden="1">"c9519"</definedName>
    <definedName name="IQ_AVG_GRADE_MOLYB" hidden="1">"c9731"</definedName>
    <definedName name="IQ_AVG_GRADE_NICK" hidden="1">"c9307"</definedName>
    <definedName name="IQ_AVG_GRADE_PLAT" hidden="1">"c9145"</definedName>
    <definedName name="IQ_AVG_GRADE_SILVER" hidden="1">"c9092"</definedName>
    <definedName name="IQ_AVG_GRADE_TITAN" hidden="1">"c9572"</definedName>
    <definedName name="IQ_AVG_GRADE_URAN" hidden="1">"c9625"</definedName>
    <definedName name="IQ_AVG_GRADE_ZINC" hidden="1">"c9360"</definedName>
    <definedName name="IQ_AVG_INDUSTRY_REC" hidden="1">"c4455"</definedName>
    <definedName name="IQ_AVG_INDUSTRY_REC_CIQ" hidden="1">"c4984"</definedName>
    <definedName name="IQ_AVG_INDUSTRY_REC_NO" hidden="1">"c4454"</definedName>
    <definedName name="IQ_AVG_INDUSTRY_REC_NO_CIQ" hidden="1">"c4983"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INV_HOMEBUILDING" hidden="1">"c15812"</definedName>
    <definedName name="IQ_AVG_INV_HOMES" hidden="1">"c15810"</definedName>
    <definedName name="IQ_AVG_INV_LAND_LOTS" hidden="1">"c15811"</definedName>
    <definedName name="IQ_AVG_MKTCAP" hidden="1">"c80"</definedName>
    <definedName name="IQ_AVG_PRICE" hidden="1">"c81"</definedName>
    <definedName name="IQ_AVG_PRODUCTION_PER_MINE_ALUM" hidden="1">"c9249"</definedName>
    <definedName name="IQ_AVG_PRODUCTION_PER_MINE_COAL" hidden="1">"c9823"</definedName>
    <definedName name="IQ_AVG_PRODUCTION_PER_MINE_COP" hidden="1">"c9194"</definedName>
    <definedName name="IQ_AVG_PRODUCTION_PER_MINE_DIAM" hidden="1">"c9673"</definedName>
    <definedName name="IQ_AVG_PRODUCTION_PER_MINE_GOLD" hidden="1">"c9034"</definedName>
    <definedName name="IQ_AVG_PRODUCTION_PER_MINE_IRON" hidden="1">"c9408"</definedName>
    <definedName name="IQ_AVG_PRODUCTION_PER_MINE_LEAD" hidden="1">"c9461"</definedName>
    <definedName name="IQ_AVG_PRODUCTION_PER_MINE_MANG" hidden="1">"c9514"</definedName>
    <definedName name="IQ_AVG_PRODUCTION_PER_MINE_MOLYB" hidden="1">"c9726"</definedName>
    <definedName name="IQ_AVG_PRODUCTION_PER_MINE_NICK" hidden="1">"c9302"</definedName>
    <definedName name="IQ_AVG_PRODUCTION_PER_MINE_PLAT" hidden="1">"c9140"</definedName>
    <definedName name="IQ_AVG_PRODUCTION_PER_MINE_SILVER" hidden="1">"c9087"</definedName>
    <definedName name="IQ_AVG_PRODUCTION_PER_MINE_TITAN" hidden="1">"c9567"</definedName>
    <definedName name="IQ_AVG_PRODUCTION_PER_MINE_URAN" hidden="1">"c9620"</definedName>
    <definedName name="IQ_AVG_PRODUCTION_PER_MINE_ZINC" hidden="1">"c9355"</definedName>
    <definedName name="IQ_AVG_REAL_PRICE_POST_TREAT_REFINING_ALUM" hidden="1">"c9259"</definedName>
    <definedName name="IQ_AVG_REAL_PRICE_POST_TREAT_REFINING_COP" hidden="1">"c9206"</definedName>
    <definedName name="IQ_AVG_REAL_PRICE_POST_TREAT_REFINING_DIAM" hidden="1">"c9683"</definedName>
    <definedName name="IQ_AVG_REAL_PRICE_POST_TREAT_REFINING_GOLD" hidden="1">"c9044"</definedName>
    <definedName name="IQ_AVG_REAL_PRICE_POST_TREAT_REFINING_IRON" hidden="1">"c9418"</definedName>
    <definedName name="IQ_AVG_REAL_PRICE_POST_TREAT_REFINING_LEAD" hidden="1">"c9471"</definedName>
    <definedName name="IQ_AVG_REAL_PRICE_POST_TREAT_REFINING_MANG" hidden="1">"c9524"</definedName>
    <definedName name="IQ_AVG_REAL_PRICE_POST_TREAT_REFINING_MOLYB" hidden="1">"c9736"</definedName>
    <definedName name="IQ_AVG_REAL_PRICE_POST_TREAT_REFINING_NICK" hidden="1">"c9311"</definedName>
    <definedName name="IQ_AVG_REAL_PRICE_POST_TREAT_REFINING_PLAT" hidden="1">"c9150"</definedName>
    <definedName name="IQ_AVG_REAL_PRICE_POST_TREAT_REFINING_SILVER" hidden="1">"c9097"</definedName>
    <definedName name="IQ_AVG_REAL_PRICE_POST_TREAT_REFINING_TITAN" hidden="1">"c9577"</definedName>
    <definedName name="IQ_AVG_REAL_PRICE_POST_TREAT_REFINING_URAN" hidden="1">"c9630"</definedName>
    <definedName name="IQ_AVG_REAL_PRICE_POST_TREAT_REFINING_ZINC" hidden="1">"c9365"</definedName>
    <definedName name="IQ_AVG_REAL_PRICE_PRE_TREAT_REFINING_ALUM" hidden="1">"c9258"</definedName>
    <definedName name="IQ_AVG_REAL_PRICE_PRE_TREAT_REFINING_COP" hidden="1">"c9205"</definedName>
    <definedName name="IQ_AVG_REAL_PRICE_PRE_TREAT_REFINING_DIAM" hidden="1">"c9682"</definedName>
    <definedName name="IQ_AVG_REAL_PRICE_PRE_TREAT_REFINING_GOLD" hidden="1">"c9043"</definedName>
    <definedName name="IQ_AVG_REAL_PRICE_PRE_TREAT_REFINING_IRON" hidden="1">"c9417"</definedName>
    <definedName name="IQ_AVG_REAL_PRICE_PRE_TREAT_REFINING_LEAD" hidden="1">"c9470"</definedName>
    <definedName name="IQ_AVG_REAL_PRICE_PRE_TREAT_REFINING_MANG" hidden="1">"c9523"</definedName>
    <definedName name="IQ_AVG_REAL_PRICE_PRE_TREAT_REFINING_MOLYB" hidden="1">"c9735"</definedName>
    <definedName name="IQ_AVG_REAL_PRICE_PRE_TREAT_REFINING_NICK" hidden="1">"c9312"</definedName>
    <definedName name="IQ_AVG_REAL_PRICE_PRE_TREAT_REFINING_PLAT" hidden="1">"c9149"</definedName>
    <definedName name="IQ_AVG_REAL_PRICE_PRE_TREAT_REFINING_SILVER" hidden="1">"c9096"</definedName>
    <definedName name="IQ_AVG_REAL_PRICE_PRE_TREAT_REFINING_TITAN" hidden="1">"c9576"</definedName>
    <definedName name="IQ_AVG_REAL_PRICE_PRE_TREAT_REFINING_URAN" hidden="1">"c9629"</definedName>
    <definedName name="IQ_AVG_REAL_PRICE_PRE_TREAT_REFINING_ZINC" hidden="1">"c9364"</definedName>
    <definedName name="IQ_AVG_REALIZED_PRICE_AFTER_HEDGING_ALUM" hidden="1">"c9257"</definedName>
    <definedName name="IQ_AVG_REALIZED_PRICE_AFTER_HEDGING_COAL" hidden="1">"c9830"</definedName>
    <definedName name="IQ_AVG_REALIZED_PRICE_AFTER_HEDGING_COP" hidden="1">"c9204"</definedName>
    <definedName name="IQ_AVG_REALIZED_PRICE_AFTER_HEDGING_DIAM" hidden="1">"c9681"</definedName>
    <definedName name="IQ_AVG_REALIZED_PRICE_AFTER_HEDGING_GOLD" hidden="1">"c9042"</definedName>
    <definedName name="IQ_AVG_REALIZED_PRICE_AFTER_HEDGING_IRON" hidden="1">"c9416"</definedName>
    <definedName name="IQ_AVG_REALIZED_PRICE_AFTER_HEDGING_LEAD" hidden="1">"c9469"</definedName>
    <definedName name="IQ_AVG_REALIZED_PRICE_AFTER_HEDGING_MANG" hidden="1">"c9522"</definedName>
    <definedName name="IQ_AVG_REALIZED_PRICE_AFTER_HEDGING_MET_COAL" hidden="1">"c9766"</definedName>
    <definedName name="IQ_AVG_REALIZED_PRICE_AFTER_HEDGING_MOLYB" hidden="1">"c9734"</definedName>
    <definedName name="IQ_AVG_REALIZED_PRICE_AFTER_HEDGING_NICK" hidden="1">"c9310"</definedName>
    <definedName name="IQ_AVG_REALIZED_PRICE_AFTER_HEDGING_PLAT" hidden="1">"c9148"</definedName>
    <definedName name="IQ_AVG_REALIZED_PRICE_AFTER_HEDGING_SILVER" hidden="1">"c9095"</definedName>
    <definedName name="IQ_AVG_REALIZED_PRICE_AFTER_HEDGING_STEAM" hidden="1">"c9796"</definedName>
    <definedName name="IQ_AVG_REALIZED_PRICE_AFTER_HEDGING_TITAN" hidden="1">"c9575"</definedName>
    <definedName name="IQ_AVG_REALIZED_PRICE_AFTER_HEDGING_URAN" hidden="1">"c9628"</definedName>
    <definedName name="IQ_AVG_REALIZED_PRICE_AFTER_HEDGING_ZINC" hidden="1">"c9363"</definedName>
    <definedName name="IQ_AVG_REALIZED_PRICE_BEFORE_HEDGING_ALUM" hidden="1">"c9256"</definedName>
    <definedName name="IQ_AVG_REALIZED_PRICE_BEFORE_HEDGING_COAL" hidden="1">"c9829"</definedName>
    <definedName name="IQ_AVG_REALIZED_PRICE_BEFORE_HEDGING_COP" hidden="1">"c9203"</definedName>
    <definedName name="IQ_AVG_REALIZED_PRICE_BEFORE_HEDGING_DIAM" hidden="1">"c9680"</definedName>
    <definedName name="IQ_AVG_REALIZED_PRICE_BEFORE_HEDGING_GOLD" hidden="1">"c9041"</definedName>
    <definedName name="IQ_AVG_REALIZED_PRICE_BEFORE_HEDGING_IRON" hidden="1">"c9415"</definedName>
    <definedName name="IQ_AVG_REALIZED_PRICE_BEFORE_HEDGING_LEAD" hidden="1">"c9468"</definedName>
    <definedName name="IQ_AVG_REALIZED_PRICE_BEFORE_HEDGING_MANG" hidden="1">"c9521"</definedName>
    <definedName name="IQ_AVG_REALIZED_PRICE_BEFORE_HEDGING_MET_COAL" hidden="1">"c9765"</definedName>
    <definedName name="IQ_AVG_REALIZED_PRICE_BEFORE_HEDGING_MOLYB" hidden="1">"c9733"</definedName>
    <definedName name="IQ_AVG_REALIZED_PRICE_BEFORE_HEDGING_NICK" hidden="1">"c9309"</definedName>
    <definedName name="IQ_AVG_REALIZED_PRICE_BEFORE_HEDGING_PLAT" hidden="1">"c9147"</definedName>
    <definedName name="IQ_AVG_REALIZED_PRICE_BEFORE_HEDGING_SILVER" hidden="1">"c9094"</definedName>
    <definedName name="IQ_AVG_REALIZED_PRICE_BEFORE_HEDGING_STEAM" hidden="1">"c9795"</definedName>
    <definedName name="IQ_AVG_REALIZED_PRICE_BEFORE_HEDGING_TITAN" hidden="1">"c9574"</definedName>
    <definedName name="IQ_AVG_REALIZED_PRICE_BEFORE_HEDGING_URAN" hidden="1">"c9627"</definedName>
    <definedName name="IQ_AVG_REALIZED_PRICE_BEFORE_HEDGING_ZINC" hidden="1">"c9362"</definedName>
    <definedName name="IQ_AVG_SHAREOUTSTANDING" hidden="1">"c83"</definedName>
    <definedName name="IQ_AVG_TEMP_EMPLOYEES" hidden="1">"c6020"</definedName>
    <definedName name="IQ_AVG_TEV" hidden="1">"c84"</definedName>
    <definedName name="IQ_AVG_TOTAL_ASSETS_LEVERAGE_CAPITAL_FFIEC" hidden="1">"c13159"</definedName>
    <definedName name="IQ_AVG_TOTAL_ASSETS_LEVERAGE_RATIO_FFIEC" hidden="1">"c13154"</definedName>
    <definedName name="IQ_AVG_VOLUME" hidden="1">"c1346"</definedName>
    <definedName name="IQ_AVG_WAGES" hidden="1">"c6812"</definedName>
    <definedName name="IQ_AVG_WAGES_APR" hidden="1">"c7472"</definedName>
    <definedName name="IQ_AVG_WAGES_APR_FC" hidden="1">"c8352"</definedName>
    <definedName name="IQ_AVG_WAGES_FC" hidden="1">"c7692"</definedName>
    <definedName name="IQ_AVG_WAGES_POP" hidden="1">"c7032"</definedName>
    <definedName name="IQ_AVG_WAGES_POP_FC" hidden="1">"c7912"</definedName>
    <definedName name="IQ_AVG_WAGES_YOY" hidden="1">"c7252"</definedName>
    <definedName name="IQ_AVG_WAGES_YOY_FC" hidden="1">"c8132"</definedName>
    <definedName name="IQ_BALANCE_GOODS_APR_FC_UNUSED" hidden="1">"c8353"</definedName>
    <definedName name="IQ_BALANCE_GOODS_APR_FC_UNUSED_UNUSED_UNUSED" hidden="1">"c8353"</definedName>
    <definedName name="IQ_BALANCE_GOODS_APR_UNUSED" hidden="1">"c7473"</definedName>
    <definedName name="IQ_BALANCE_GOODS_APR_UNUSED_UNUSED_UNUSED" hidden="1">"c7473"</definedName>
    <definedName name="IQ_BALANCE_GOODS_FC_UNUSED" hidden="1">"c7693"</definedName>
    <definedName name="IQ_BALANCE_GOODS_FC_UNUSED_UNUSED_UNUSED" hidden="1">"c7693"</definedName>
    <definedName name="IQ_BALANCE_GOODS_POP_FC_UNUSED" hidden="1">"c7913"</definedName>
    <definedName name="IQ_BALANCE_GOODS_POP_FC_UNUSED_UNUSED_UNUSED" hidden="1">"c7913"</definedName>
    <definedName name="IQ_BALANCE_GOODS_POP_UNUSED" hidden="1">"c7033"</definedName>
    <definedName name="IQ_BALANCE_GOODS_POP_UNUSED_UNUSED_UNUSED" hidden="1">"c7033"</definedName>
    <definedName name="IQ_BALANCE_GOODS_REAL" hidden="1">"c6952"</definedName>
    <definedName name="IQ_BALANCE_GOODS_REAL_APR" hidden="1">"c7612"</definedName>
    <definedName name="IQ_BALANCE_GOODS_REAL_APR_FC" hidden="1">"c8492"</definedName>
    <definedName name="IQ_BALANCE_GOODS_REAL_FC" hidden="1">"c7832"</definedName>
    <definedName name="IQ_BALANCE_GOODS_REAL_POP" hidden="1">"c7172"</definedName>
    <definedName name="IQ_BALANCE_GOODS_REAL_POP_FC" hidden="1">"c8052"</definedName>
    <definedName name="IQ_BALANCE_GOODS_REAL_SAAR" hidden="1">"c6953"</definedName>
    <definedName name="IQ_BALANCE_GOODS_REAL_SAAR_APR" hidden="1">"c7613"</definedName>
    <definedName name="IQ_BALANCE_GOODS_REAL_SAAR_APR_FC" hidden="1">"c8493"</definedName>
    <definedName name="IQ_BALANCE_GOODS_REAL_SAAR_FC" hidden="1">"c7833"</definedName>
    <definedName name="IQ_BALANCE_GOODS_REAL_SAAR_POP" hidden="1">"c7173"</definedName>
    <definedName name="IQ_BALANCE_GOODS_REAL_SAAR_POP_FC" hidden="1">"c8053"</definedName>
    <definedName name="IQ_BALANCE_GOODS_REAL_SAAR_USD_APR_FC" hidden="1">"c11893"</definedName>
    <definedName name="IQ_BALANCE_GOODS_REAL_SAAR_USD_FC" hidden="1">"c11890"</definedName>
    <definedName name="IQ_BALANCE_GOODS_REAL_SAAR_USD_POP_FC" hidden="1">"c11891"</definedName>
    <definedName name="IQ_BALANCE_GOODS_REAL_SAAR_USD_YOY_FC" hidden="1">"c11892"</definedName>
    <definedName name="IQ_BALANCE_GOODS_REAL_SAAR_YOY" hidden="1">"c7393"</definedName>
    <definedName name="IQ_BALANCE_GOODS_REAL_SAAR_YOY_FC" hidden="1">"c8273"</definedName>
    <definedName name="IQ_BALANCE_GOODS_REAL_USD_APR_FC" hidden="1">"c11889"</definedName>
    <definedName name="IQ_BALANCE_GOODS_REAL_USD_FC" hidden="1">"c11886"</definedName>
    <definedName name="IQ_BALANCE_GOODS_REAL_USD_POP_FC" hidden="1">"c11887"</definedName>
    <definedName name="IQ_BALANCE_GOODS_REAL_USD_YOY_FC" hidden="1">"c11888"</definedName>
    <definedName name="IQ_BALANCE_GOODS_REAL_YOY" hidden="1">"c7392"</definedName>
    <definedName name="IQ_BALANCE_GOODS_REAL_YOY_FC" hidden="1">"c8272"</definedName>
    <definedName name="IQ_BALANCE_GOODS_SAAR" hidden="1">"c6814"</definedName>
    <definedName name="IQ_BALANCE_GOODS_SAAR_APR" hidden="1">"c7474"</definedName>
    <definedName name="IQ_BALANCE_GOODS_SAAR_APR_FC" hidden="1">"c8354"</definedName>
    <definedName name="IQ_BALANCE_GOODS_SAAR_FC" hidden="1">"c7694"</definedName>
    <definedName name="IQ_BALANCE_GOODS_SAAR_POP" hidden="1">"c7034"</definedName>
    <definedName name="IQ_BALANCE_GOODS_SAAR_POP_FC" hidden="1">"c7914"</definedName>
    <definedName name="IQ_BALANCE_GOODS_SAAR_USD_APR_FC" hidden="1">"c11762"</definedName>
    <definedName name="IQ_BALANCE_GOODS_SAAR_USD_FC" hidden="1">"c11759"</definedName>
    <definedName name="IQ_BALANCE_GOODS_SAAR_USD_POP_FC" hidden="1">"c11760"</definedName>
    <definedName name="IQ_BALANCE_GOODS_SAAR_USD_YOY_FC" hidden="1">"c11761"</definedName>
    <definedName name="IQ_BALANCE_GOODS_SAAR_YOY" hidden="1">"c7254"</definedName>
    <definedName name="IQ_BALANCE_GOODS_SAAR_YOY_FC" hidden="1">"c8134"</definedName>
    <definedName name="IQ_BALANCE_GOODS_UNUSED" hidden="1">"c6813"</definedName>
    <definedName name="IQ_BALANCE_GOODS_UNUSED_UNUSED_UNUSED" hidden="1">"c6813"</definedName>
    <definedName name="IQ_BALANCE_GOODS_USD_APR_FC" hidden="1">"c11758"</definedName>
    <definedName name="IQ_BALANCE_GOODS_USD_FC" hidden="1">"c11755"</definedName>
    <definedName name="IQ_BALANCE_GOODS_USD_POP_FC" hidden="1">"c11756"</definedName>
    <definedName name="IQ_BALANCE_GOODS_USD_YOY_FC" hidden="1">"c11757"</definedName>
    <definedName name="IQ_BALANCE_GOODS_YOY_FC_UNUSED" hidden="1">"c8133"</definedName>
    <definedName name="IQ_BALANCE_GOODS_YOY_FC_UNUSED_UNUSED_UNUSED" hidden="1">"c8133"</definedName>
    <definedName name="IQ_BALANCE_GOODS_YOY_UNUSED" hidden="1">"c7253"</definedName>
    <definedName name="IQ_BALANCE_GOODS_YOY_UNUSED_UNUSED_UNUSED" hidden="1">"c7253"</definedName>
    <definedName name="IQ_BALANCE_SERV_APR_FC_UNUSED" hidden="1">"c8355"</definedName>
    <definedName name="IQ_BALANCE_SERV_APR_FC_UNUSED_UNUSED_UNUSED" hidden="1">"c8355"</definedName>
    <definedName name="IQ_BALANCE_SERV_APR_UNUSED" hidden="1">"c7475"</definedName>
    <definedName name="IQ_BALANCE_SERV_APR_UNUSED_UNUSED_UNUSED" hidden="1">"c7475"</definedName>
    <definedName name="IQ_BALANCE_SERV_FC_UNUSED" hidden="1">"c7695"</definedName>
    <definedName name="IQ_BALANCE_SERV_FC_UNUSED_UNUSED_UNUSED" hidden="1">"c7695"</definedName>
    <definedName name="IQ_BALANCE_SERV_POP_FC_UNUSED" hidden="1">"c7915"</definedName>
    <definedName name="IQ_BALANCE_SERV_POP_FC_UNUSED_UNUSED_UNUSED" hidden="1">"c7915"</definedName>
    <definedName name="IQ_BALANCE_SERV_POP_UNUSED" hidden="1">"c7035"</definedName>
    <definedName name="IQ_BALANCE_SERV_POP_UNUSED_UNUSED_UNUSED" hidden="1">"c7035"</definedName>
    <definedName name="IQ_BALANCE_SERV_SAAR" hidden="1">"c6816"</definedName>
    <definedName name="IQ_BALANCE_SERV_SAAR_APR" hidden="1">"c7476"</definedName>
    <definedName name="IQ_BALANCE_SERV_SAAR_APR_FC" hidden="1">"c8356"</definedName>
    <definedName name="IQ_BALANCE_SERV_SAAR_FC" hidden="1">"c7696"</definedName>
    <definedName name="IQ_BALANCE_SERV_SAAR_POP" hidden="1">"c7036"</definedName>
    <definedName name="IQ_BALANCE_SERV_SAAR_POP_FC" hidden="1">"c7916"</definedName>
    <definedName name="IQ_BALANCE_SERV_SAAR_YOY" hidden="1">"c7256"</definedName>
    <definedName name="IQ_BALANCE_SERV_SAAR_YOY_FC" hidden="1">"c8136"</definedName>
    <definedName name="IQ_BALANCE_SERV_UNUSED" hidden="1">"c6815"</definedName>
    <definedName name="IQ_BALANCE_SERV_UNUSED_UNUSED_UNUSED" hidden="1">"c6815"</definedName>
    <definedName name="IQ_BALANCE_SERV_USD_APR_FC" hidden="1">"c11766"</definedName>
    <definedName name="IQ_BALANCE_SERV_USD_FC" hidden="1">"c11763"</definedName>
    <definedName name="IQ_BALANCE_SERV_USD_POP_FC" hidden="1">"c11764"</definedName>
    <definedName name="IQ_BALANCE_SERV_USD_YOY_FC" hidden="1">"c11765"</definedName>
    <definedName name="IQ_BALANCE_SERV_YOY_FC_UNUSED" hidden="1">"c8135"</definedName>
    <definedName name="IQ_BALANCE_SERV_YOY_FC_UNUSED_UNUSED_UNUSED" hidden="1">"c8135"</definedName>
    <definedName name="IQ_BALANCE_SERV_YOY_UNUSED" hidden="1">"c7255"</definedName>
    <definedName name="IQ_BALANCE_SERV_YOY_UNUSED_UNUSED_UNUSED" hidden="1">"c7255"</definedName>
    <definedName name="IQ_BALANCE_SERVICES_REAL" hidden="1">"c6954"</definedName>
    <definedName name="IQ_BALANCE_SERVICES_REAL_APR" hidden="1">"c7614"</definedName>
    <definedName name="IQ_BALANCE_SERVICES_REAL_APR_FC" hidden="1">"c8494"</definedName>
    <definedName name="IQ_BALANCE_SERVICES_REAL_FC" hidden="1">"c7834"</definedName>
    <definedName name="IQ_BALANCE_SERVICES_REAL_POP" hidden="1">"c7174"</definedName>
    <definedName name="IQ_BALANCE_SERVICES_REAL_POP_FC" hidden="1">"c8054"</definedName>
    <definedName name="IQ_BALANCE_SERVICES_REAL_SAAR" hidden="1">"c6955"</definedName>
    <definedName name="IQ_BALANCE_SERVICES_REAL_SAAR_APR" hidden="1">"c7615"</definedName>
    <definedName name="IQ_BALANCE_SERVICES_REAL_SAAR_APR_FC" hidden="1">"c8495"</definedName>
    <definedName name="IQ_BALANCE_SERVICES_REAL_SAAR_FC" hidden="1">"c7835"</definedName>
    <definedName name="IQ_BALANCE_SERVICES_REAL_SAAR_POP" hidden="1">"c7175"</definedName>
    <definedName name="IQ_BALANCE_SERVICES_REAL_SAAR_POP_FC" hidden="1">"c8055"</definedName>
    <definedName name="IQ_BALANCE_SERVICES_REAL_SAAR_YOY" hidden="1">"c7395"</definedName>
    <definedName name="IQ_BALANCE_SERVICES_REAL_SAAR_YOY_FC" hidden="1">"c8275"</definedName>
    <definedName name="IQ_BALANCE_SERVICES_REAL_USD_APR_FC" hidden="1">"c11897"</definedName>
    <definedName name="IQ_BALANCE_SERVICES_REAL_USD_FC" hidden="1">"c11894"</definedName>
    <definedName name="IQ_BALANCE_SERVICES_REAL_USD_POP_FC" hidden="1">"c11895"</definedName>
    <definedName name="IQ_BALANCE_SERVICES_REAL_USD_YOY_FC" hidden="1">"c11896"</definedName>
    <definedName name="IQ_BALANCE_SERVICES_REAL_YOY" hidden="1">"c7394"</definedName>
    <definedName name="IQ_BALANCE_SERVICES_REAL_YOY_FC" hidden="1">"c8274"</definedName>
    <definedName name="IQ_BALANCE_TRADE_APR_FC_UNUSED" hidden="1">"c8357"</definedName>
    <definedName name="IQ_BALANCE_TRADE_APR_FC_UNUSED_UNUSED_UNUSED" hidden="1">"c8357"</definedName>
    <definedName name="IQ_BALANCE_TRADE_APR_UNUSED" hidden="1">"c7477"</definedName>
    <definedName name="IQ_BALANCE_TRADE_APR_UNUSED_UNUSED_UNUSED" hidden="1">"c7477"</definedName>
    <definedName name="IQ_BALANCE_TRADE_FC_UNUSED" hidden="1">"c7697"</definedName>
    <definedName name="IQ_BALANCE_TRADE_FC_UNUSED_UNUSED_UNUSED" hidden="1">"c7697"</definedName>
    <definedName name="IQ_BALANCE_TRADE_POP_FC_UNUSED" hidden="1">"c7917"</definedName>
    <definedName name="IQ_BALANCE_TRADE_POP_FC_UNUSED_UNUSED_UNUSED" hidden="1">"c7917"</definedName>
    <definedName name="IQ_BALANCE_TRADE_POP_UNUSED" hidden="1">"c7037"</definedName>
    <definedName name="IQ_BALANCE_TRADE_POP_UNUSED_UNUSED_UNUSED" hidden="1">"c7037"</definedName>
    <definedName name="IQ_BALANCE_TRADE_REAL" hidden="1">"c6956"</definedName>
    <definedName name="IQ_BALANCE_TRADE_REAL_APR" hidden="1">"c7616"</definedName>
    <definedName name="IQ_BALANCE_TRADE_REAL_APR_FC" hidden="1">"c8496"</definedName>
    <definedName name="IQ_BALANCE_TRADE_REAL_FC" hidden="1">"c7836"</definedName>
    <definedName name="IQ_BALANCE_TRADE_REAL_POP" hidden="1">"c7176"</definedName>
    <definedName name="IQ_BALANCE_TRADE_REAL_POP_FC" hidden="1">"c8056"</definedName>
    <definedName name="IQ_BALANCE_TRADE_REAL_SAAR" hidden="1">"c6957"</definedName>
    <definedName name="IQ_BALANCE_TRADE_REAL_SAAR_APR" hidden="1">"c7617"</definedName>
    <definedName name="IQ_BALANCE_TRADE_REAL_SAAR_APR_FC" hidden="1">"c8497"</definedName>
    <definedName name="IQ_BALANCE_TRADE_REAL_SAAR_FC" hidden="1">"c7837"</definedName>
    <definedName name="IQ_BALANCE_TRADE_REAL_SAAR_POP" hidden="1">"c7177"</definedName>
    <definedName name="IQ_BALANCE_TRADE_REAL_SAAR_POP_FC" hidden="1">"c8057"</definedName>
    <definedName name="IQ_BALANCE_TRADE_REAL_SAAR_USD_APR_FC" hidden="1">"c11905"</definedName>
    <definedName name="IQ_BALANCE_TRADE_REAL_SAAR_USD_FC" hidden="1">"c11902"</definedName>
    <definedName name="IQ_BALANCE_TRADE_REAL_SAAR_USD_POP_FC" hidden="1">"c11903"</definedName>
    <definedName name="IQ_BALANCE_TRADE_REAL_SAAR_USD_YOY_FC" hidden="1">"c11904"</definedName>
    <definedName name="IQ_BALANCE_TRADE_REAL_SAAR_YOY" hidden="1">"c7397"</definedName>
    <definedName name="IQ_BALANCE_TRADE_REAL_SAAR_YOY_FC" hidden="1">"c8277"</definedName>
    <definedName name="IQ_BALANCE_TRADE_REAL_USD_APR_FC" hidden="1">"c11901"</definedName>
    <definedName name="IQ_BALANCE_TRADE_REAL_USD_FC" hidden="1">"c11898"</definedName>
    <definedName name="IQ_BALANCE_TRADE_REAL_USD_POP_FC" hidden="1">"c11899"</definedName>
    <definedName name="IQ_BALANCE_TRADE_REAL_USD_YOY_FC" hidden="1">"c11900"</definedName>
    <definedName name="IQ_BALANCE_TRADE_REAL_YOY" hidden="1">"c7396"</definedName>
    <definedName name="IQ_BALANCE_TRADE_REAL_YOY_FC" hidden="1">"c8276"</definedName>
    <definedName name="IQ_BALANCE_TRADE_SAAR" hidden="1">"c6818"</definedName>
    <definedName name="IQ_BALANCE_TRADE_SAAR_APR" hidden="1">"c7478"</definedName>
    <definedName name="IQ_BALANCE_TRADE_SAAR_APR_FC" hidden="1">"c8358"</definedName>
    <definedName name="IQ_BALANCE_TRADE_SAAR_FC" hidden="1">"c7698"</definedName>
    <definedName name="IQ_BALANCE_TRADE_SAAR_POP" hidden="1">"c7038"</definedName>
    <definedName name="IQ_BALANCE_TRADE_SAAR_POP_FC" hidden="1">"c7918"</definedName>
    <definedName name="IQ_BALANCE_TRADE_SAAR_USD_APR_FC" hidden="1">"c11774"</definedName>
    <definedName name="IQ_BALANCE_TRADE_SAAR_USD_FC" hidden="1">"c11771"</definedName>
    <definedName name="IQ_BALANCE_TRADE_SAAR_USD_POP_FC" hidden="1">"c11772"</definedName>
    <definedName name="IQ_BALANCE_TRADE_SAAR_USD_YOY_FC" hidden="1">"c11773"</definedName>
    <definedName name="IQ_BALANCE_TRADE_SAAR_YOY" hidden="1">"c7258"</definedName>
    <definedName name="IQ_BALANCE_TRADE_SAAR_YOY_FC" hidden="1">"c8138"</definedName>
    <definedName name="IQ_BALANCE_TRADE_UNUSED" hidden="1">"c6817"</definedName>
    <definedName name="IQ_BALANCE_TRADE_UNUSED_UNUSED_UNUSED" hidden="1">"c6817"</definedName>
    <definedName name="IQ_BALANCE_TRADE_USD_APR_FC" hidden="1">"c11770"</definedName>
    <definedName name="IQ_BALANCE_TRADE_USD_FC" hidden="1">"c11767"</definedName>
    <definedName name="IQ_BALANCE_TRADE_USD_POP_FC" hidden="1">"c11768"</definedName>
    <definedName name="IQ_BALANCE_TRADE_USD_YOY_FC" hidden="1">"c11769"</definedName>
    <definedName name="IQ_BALANCE_TRADE_YOY_FC_UNUSED" hidden="1">"c8137"</definedName>
    <definedName name="IQ_BALANCE_TRADE_YOY_FC_UNUSED_UNUSED_UNUSED" hidden="1">"c8137"</definedName>
    <definedName name="IQ_BALANCE_TRADE_YOY_UNUSED" hidden="1">"c7257"</definedName>
    <definedName name="IQ_BALANCE_TRADE_YOY_UNUSED_UNUSED_UNUSED" hidden="1">"c7257"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LOAN_LIST" hidden="1">"c13507"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ING_FEES_OPERATING_INC_FFIEC" hidden="1">"c13386"</definedName>
    <definedName name="IQ_BANKS_FOREIGN_COUNTRIES_NON_TRANS_ACCTS_FFIEC" hidden="1">"c15326"</definedName>
    <definedName name="IQ_BANKS_FOREIGN_COUNTRIES_TOTAL_DEPOSITS_FDIC" hidden="1">"c6475"</definedName>
    <definedName name="IQ_BANKS_FOREIGN_COUNTRIES_TRANS_ACCTS_FFIEC" hidden="1">"c15318"</definedName>
    <definedName name="IQ_BASE_RENT" hidden="1">"c16017"</definedName>
    <definedName name="IQ_BASE_RENT_OPERATING_LEASE_EXPIRING_AFTER_FIVE" hidden="1">"c16107"</definedName>
    <definedName name="IQ_BASE_RENT_OPERATING_LEASE_EXPIRING_CY" hidden="1">"c16101"</definedName>
    <definedName name="IQ_BASE_RENT_OPERATING_LEASE_EXPIRING_CY1" hidden="1">"c16102"</definedName>
    <definedName name="IQ_BASE_RENT_OPERATING_LEASE_EXPIRING_CY2" hidden="1">"c16103"</definedName>
    <definedName name="IQ_BASE_RENT_OPERATING_LEASE_EXPIRING_CY3" hidden="1">"c16104"</definedName>
    <definedName name="IQ_BASE_RENT_OPERATING_LEASE_EXPIRING_CY4" hidden="1">"c16105"</definedName>
    <definedName name="IQ_BASE_RENT_OPERATING_LEASE_EXPIRING_NEXT_FIVE" hidden="1">"c16106"</definedName>
    <definedName name="IQ_BASE_RENT_OPERATING_LEASE_EXPIRING_TOTAL" hidden="1">"c16108"</definedName>
    <definedName name="IQ_BASE_RENT_RENTAL_REVENUE" hidden="1">"c16062"</definedName>
    <definedName name="IQ_BASIC_EPS_EXCL" hidden="1">"c85"</definedName>
    <definedName name="IQ_BASIC_EPS_INCL" hidden="1">"c86"</definedName>
    <definedName name="IQ_BASIC_NAV_SHARES" hidden="1">"c16012"</definedName>
    <definedName name="IQ_BASIC_NORMAL_EPS" hidden="1">"c1592"</definedName>
    <definedName name="IQ_BASIC_OUTSTANDING_CURRENT_EST" hidden="1">"c4128"</definedName>
    <definedName name="IQ_BASIC_OUTSTANDING_CURRENT_EST_CIQ" hidden="1">"c4541"</definedName>
    <definedName name="IQ_BASIC_OUTSTANDING_CURRENT_HIGH_EST" hidden="1">"c4129"</definedName>
    <definedName name="IQ_BASIC_OUTSTANDING_CURRENT_HIGH_EST_CIQ" hidden="1">"c4542"</definedName>
    <definedName name="IQ_BASIC_OUTSTANDING_CURRENT_LOW_EST" hidden="1">"c4130"</definedName>
    <definedName name="IQ_BASIC_OUTSTANDING_CURRENT_LOW_EST_CIQ" hidden="1">"c4543"</definedName>
    <definedName name="IQ_BASIC_OUTSTANDING_CURRENT_MEDIAN_EST" hidden="1">"c4131"</definedName>
    <definedName name="IQ_BASIC_OUTSTANDING_CURRENT_MEDIAN_EST_CIQ" hidden="1">"c4544"</definedName>
    <definedName name="IQ_BASIC_OUTSTANDING_CURRENT_NUM_EST" hidden="1">"c4132"</definedName>
    <definedName name="IQ_BASIC_OUTSTANDING_CURRENT_NUM_EST_CIQ" hidden="1">"c4545"</definedName>
    <definedName name="IQ_BASIC_OUTSTANDING_CURRENT_STDDEV_EST" hidden="1">"c4133"</definedName>
    <definedName name="IQ_BASIC_OUTSTANDING_CURRENT_STDDEV_EST_CIQ" hidden="1">"c4546"</definedName>
    <definedName name="IQ_BASIC_OUTSTANDING_EST" hidden="1">"c4134"</definedName>
    <definedName name="IQ_BASIC_OUTSTANDING_EST_CIQ" hidden="1">"c4547"</definedName>
    <definedName name="IQ_BASIC_OUTSTANDING_HIGH_EST" hidden="1">"c4135"</definedName>
    <definedName name="IQ_BASIC_OUTSTANDING_HIGH_EST_CIQ" hidden="1">"c4548"</definedName>
    <definedName name="IQ_BASIC_OUTSTANDING_LOW_EST" hidden="1">"c4136"</definedName>
    <definedName name="IQ_BASIC_OUTSTANDING_LOW_EST_CIQ" hidden="1">"c4549"</definedName>
    <definedName name="IQ_BASIC_OUTSTANDING_MEDIAN_EST" hidden="1">"c4137"</definedName>
    <definedName name="IQ_BASIC_OUTSTANDING_MEDIAN_EST_CIQ" hidden="1">"c4550"</definedName>
    <definedName name="IQ_BASIC_OUTSTANDING_NUM_EST" hidden="1">"c4138"</definedName>
    <definedName name="IQ_BASIC_OUTSTANDING_NUM_EST_CIQ" hidden="1">"c4551"</definedName>
    <definedName name="IQ_BASIC_OUTSTANDING_STDDEV_EST" hidden="1">"c4139"</definedName>
    <definedName name="IQ_BASIC_OUTSTANDING_STDDEV_EST_CIQ" hidden="1">"c4552"</definedName>
    <definedName name="IQ_BASIC_WEIGHT" hidden="1">"c87"</definedName>
    <definedName name="IQ_BASIC_WEIGHT_EST" hidden="1">"c4140"</definedName>
    <definedName name="IQ_BASIC_WEIGHT_EST_CIQ" hidden="1">"c4553"</definedName>
    <definedName name="IQ_BASIC_WEIGHT_GUIDANCE" hidden="1">"c4141"</definedName>
    <definedName name="IQ_BASIC_WEIGHT_HIGH_EST" hidden="1">"c4142"</definedName>
    <definedName name="IQ_BASIC_WEIGHT_HIGH_EST_CIQ" hidden="1">"c4554"</definedName>
    <definedName name="IQ_BASIC_WEIGHT_LOW_EST" hidden="1">"c4143"</definedName>
    <definedName name="IQ_BASIC_WEIGHT_LOW_EST_CIQ" hidden="1">"c4555"</definedName>
    <definedName name="IQ_BASIC_WEIGHT_MEDIAN_EST" hidden="1">"c4144"</definedName>
    <definedName name="IQ_BASIC_WEIGHT_MEDIAN_EST_CIQ" hidden="1">"c4556"</definedName>
    <definedName name="IQ_BASIC_WEIGHT_NUM_EST" hidden="1">"c4145"</definedName>
    <definedName name="IQ_BASIC_WEIGHT_NUM_EST_CIQ" hidden="1">"c4557"</definedName>
    <definedName name="IQ_BASIC_WEIGHT_STDDEV_EST" hidden="1">"c4146"</definedName>
    <definedName name="IQ_BASIC_WEIGHT_STDDEV_EST_CIQ" hidden="1">"c4558"</definedName>
    <definedName name="IQ_BENCHMARK_SECURITY" hidden="1">"c2154"</definedName>
    <definedName name="IQ_BENCHMARK_SPRD" hidden="1">"c2153"</definedName>
    <definedName name="IQ_BENCHMARK_YIELD" hidden="1">"c8955"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"c11749"</definedName>
    <definedName name="IQ_BOARD_MEMBER" hidden="1">"c96"</definedName>
    <definedName name="IQ_BOARD_MEMBER_ASSISTANT_EMAIL" hidden="1">"c15179"</definedName>
    <definedName name="IQ_BOARD_MEMBER_ASSISTANT_FAX" hidden="1">"c15181"</definedName>
    <definedName name="IQ_BOARD_MEMBER_ASSISTANT_NAME" hidden="1">"c15178"</definedName>
    <definedName name="IQ_BOARD_MEMBER_ASSISTANT_PHONE" hidden="1">"c15180"</definedName>
    <definedName name="IQ_BOARD_MEMBER_BACKGROUND" hidden="1">"c2101"</definedName>
    <definedName name="IQ_BOARD_MEMBER_DIRECT_FAX" hidden="1">"c15176"</definedName>
    <definedName name="IQ_BOARD_MEMBER_DIRECT_PHONE" hidden="1">"c15175"</definedName>
    <definedName name="IQ_BOARD_MEMBER_EMAIL" hidden="1">"c15177"</definedName>
    <definedName name="IQ_BOARD_MEMBER_ID" hidden="1">"c13756"</definedName>
    <definedName name="IQ_BOARD_MEMBER_MAIN_FAX" hidden="1">"c15174"</definedName>
    <definedName name="IQ_BOARD_MEMBER_MAIN_PHONE" hidden="1">"c15173"</definedName>
    <definedName name="IQ_BOARD_MEMBER_OFFICE_ADDRESS" hidden="1">"c15172"</definedName>
    <definedName name="IQ_BOARD_MEMBER_TITLE" hidden="1">"c97"</definedName>
    <definedName name="IQ_BOND_COUPON" hidden="1">"c2183"</definedName>
    <definedName name="IQ_BOND_COUPON_TYPE" hidden="1">"c2184"</definedName>
    <definedName name="IQ_BOND_LIST" hidden="1">"c13505"</definedName>
    <definedName name="IQ_BOND_PRICE" hidden="1">"c2162"</definedName>
    <definedName name="IQ_BORROWED_MONEY_QUARTERLY_AVG_FFIEC" hidden="1">"c13091"</definedName>
    <definedName name="IQ_BORROWINGS_LESS_1YR_ASSETS_TOT_FFIEC" hidden="1">"c13450"</definedName>
    <definedName name="IQ_BROK_COMISSION" hidden="1">"c98"</definedName>
    <definedName name="IQ_BROK_COMMISSION" hidden="1">"c3514"</definedName>
    <definedName name="IQ_BROKER_DEPOSIT_LESS_THAN_100000_1_YR_LESS_FFIEC" hidden="1">"c15307"</definedName>
    <definedName name="IQ_BROKER_DEPOSIT_LESS_THAN_100000_1_YR_MORE_FFIEC" hidden="1">"c15308"</definedName>
    <definedName name="IQ_BROKER_DEPOSIT_LESS_THAN_100000_FFIEC" hidden="1">"c15306"</definedName>
    <definedName name="IQ_BROKER_DEPOSIT_MORE_THAN_100000_1_YR_LESS_FFIEC" hidden="1">"c15310"</definedName>
    <definedName name="IQ_BROKER_DEPOSIT_MORE_THAN_100000_1_YR_MORE_FFIEC" hidden="1">"c15311"</definedName>
    <definedName name="IQ_BROKER_DEPOSIT_MORE_THAN_100000_FFIEC" hidden="1">"c15309"</definedName>
    <definedName name="IQ_BROKERED_DEPOSITS_FDIC" hidden="1">"c6486"</definedName>
    <definedName name="IQ_BUDGET_BALANCE_APR_FC_UNUSED" hidden="1">"c8359"</definedName>
    <definedName name="IQ_BUDGET_BALANCE_APR_FC_UNUSED_UNUSED_UNUSED" hidden="1">"c8359"</definedName>
    <definedName name="IQ_BUDGET_BALANCE_APR_UNUSED" hidden="1">"c7479"</definedName>
    <definedName name="IQ_BUDGET_BALANCE_APR_UNUSED_UNUSED_UNUSED" hidden="1">"c7479"</definedName>
    <definedName name="IQ_BUDGET_BALANCE_FC_UNUSED" hidden="1">"c7699"</definedName>
    <definedName name="IQ_BUDGET_BALANCE_FC_UNUSED_UNUSED_UNUSED" hidden="1">"c7699"</definedName>
    <definedName name="IQ_BUDGET_BALANCE_POP_FC_UNUSED" hidden="1">"c7919"</definedName>
    <definedName name="IQ_BUDGET_BALANCE_POP_FC_UNUSED_UNUSED_UNUSED" hidden="1">"c7919"</definedName>
    <definedName name="IQ_BUDGET_BALANCE_POP_UNUSED" hidden="1">"c7039"</definedName>
    <definedName name="IQ_BUDGET_BALANCE_POP_UNUSED_UNUSED_UNUSED" hidden="1">"c7039"</definedName>
    <definedName name="IQ_BUDGET_BALANCE_SAAR" hidden="1">"c6820"</definedName>
    <definedName name="IQ_BUDGET_BALANCE_SAAR_APR" hidden="1">"c7480"</definedName>
    <definedName name="IQ_BUDGET_BALANCE_SAAR_APR_FC" hidden="1">"c8360"</definedName>
    <definedName name="IQ_BUDGET_BALANCE_SAAR_FC" hidden="1">"c7700"</definedName>
    <definedName name="IQ_BUDGET_BALANCE_SAAR_POP" hidden="1">"c7040"</definedName>
    <definedName name="IQ_BUDGET_BALANCE_SAAR_POP_FC" hidden="1">"c7920"</definedName>
    <definedName name="IQ_BUDGET_BALANCE_SAAR_YOY" hidden="1">"c7260"</definedName>
    <definedName name="IQ_BUDGET_BALANCE_SAAR_YOY_FC" hidden="1">"c8140"</definedName>
    <definedName name="IQ_BUDGET_BALANCE_UNUSED" hidden="1">"c6819"</definedName>
    <definedName name="IQ_BUDGET_BALANCE_UNUSED_UNUSED_UNUSED" hidden="1">"c6819"</definedName>
    <definedName name="IQ_BUDGET_BALANCE_YOY_FC_UNUSED" hidden="1">"c8139"</definedName>
    <definedName name="IQ_BUDGET_BALANCE_YOY_FC_UNUSED_UNUSED_UNUSED" hidden="1">"c8139"</definedName>
    <definedName name="IQ_BUDGET_BALANCE_YOY_UNUSED" hidden="1">"c7259"</definedName>
    <definedName name="IQ_BUDGET_BALANCE_YOY_UNUSED_UNUSED_UNUSED" hidden="1">"c7259"</definedName>
    <definedName name="IQ_BUDGET_RECEIPTS_APR_FC_UNUSED" hidden="1">"c8361"</definedName>
    <definedName name="IQ_BUDGET_RECEIPTS_APR_FC_UNUSED_UNUSED_UNUSED" hidden="1">"c8361"</definedName>
    <definedName name="IQ_BUDGET_RECEIPTS_APR_UNUSED" hidden="1">"c7481"</definedName>
    <definedName name="IQ_BUDGET_RECEIPTS_APR_UNUSED_UNUSED_UNUSED" hidden="1">"c7481"</definedName>
    <definedName name="IQ_BUDGET_RECEIPTS_FC_UNUSED" hidden="1">"c7701"</definedName>
    <definedName name="IQ_BUDGET_RECEIPTS_FC_UNUSED_UNUSED_UNUSED" hidden="1">"c7701"</definedName>
    <definedName name="IQ_BUDGET_RECEIPTS_POP_FC_UNUSED" hidden="1">"c7921"</definedName>
    <definedName name="IQ_BUDGET_RECEIPTS_POP_FC_UNUSED_UNUSED_UNUSED" hidden="1">"c7921"</definedName>
    <definedName name="IQ_BUDGET_RECEIPTS_POP_UNUSED" hidden="1">"c7041"</definedName>
    <definedName name="IQ_BUDGET_RECEIPTS_POP_UNUSED_UNUSED_UNUSED" hidden="1">"c7041"</definedName>
    <definedName name="IQ_BUDGET_RECEIPTS_UNUSED" hidden="1">"c6821"</definedName>
    <definedName name="IQ_BUDGET_RECEIPTS_UNUSED_UNUSED_UNUSED" hidden="1">"c6821"</definedName>
    <definedName name="IQ_BUDGET_RECEIPTS_YOY_FC_UNUSED" hidden="1">"c8141"</definedName>
    <definedName name="IQ_BUDGET_RECEIPTS_YOY_FC_UNUSED_UNUSED_UNUSED" hidden="1">"c8141"</definedName>
    <definedName name="IQ_BUDGET_RECEIPTS_YOY_UNUSED" hidden="1">"c7261"</definedName>
    <definedName name="IQ_BUDGET_RECEIPTS_YOY_UNUSED_UNUSED_UNUSED" hidden="1">"c7261"</definedName>
    <definedName name="IQ_BUDGET_SPENDING" hidden="1">"c6822"</definedName>
    <definedName name="IQ_BUDGET_SPENDING_APR" hidden="1">"c7482"</definedName>
    <definedName name="IQ_BUDGET_SPENDING_APR_FC" hidden="1">"c8362"</definedName>
    <definedName name="IQ_BUDGET_SPENDING_FC" hidden="1">"c7702"</definedName>
    <definedName name="IQ_BUDGET_SPENDING_POP" hidden="1">"c7042"</definedName>
    <definedName name="IQ_BUDGET_SPENDING_POP_FC" hidden="1">"c7922"</definedName>
    <definedName name="IQ_BUDGET_SPENDING_REAL" hidden="1">"c6958"</definedName>
    <definedName name="IQ_BUDGET_SPENDING_REAL_APR" hidden="1">"c7618"</definedName>
    <definedName name="IQ_BUDGET_SPENDING_REAL_APR_FC" hidden="1">"c8498"</definedName>
    <definedName name="IQ_BUDGET_SPENDING_REAL_FC" hidden="1">"c7838"</definedName>
    <definedName name="IQ_BUDGET_SPENDING_REAL_POP" hidden="1">"c7178"</definedName>
    <definedName name="IQ_BUDGET_SPENDING_REAL_POP_FC" hidden="1">"c8058"</definedName>
    <definedName name="IQ_BUDGET_SPENDING_REAL_SAAR" hidden="1">"c6959"</definedName>
    <definedName name="IQ_BUDGET_SPENDING_REAL_SAAR_APR" hidden="1">"c7619"</definedName>
    <definedName name="IQ_BUDGET_SPENDING_REAL_SAAR_APR_FC" hidden="1">"c8499"</definedName>
    <definedName name="IQ_BUDGET_SPENDING_REAL_SAAR_FC" hidden="1">"c7839"</definedName>
    <definedName name="IQ_BUDGET_SPENDING_REAL_SAAR_POP" hidden="1">"c7179"</definedName>
    <definedName name="IQ_BUDGET_SPENDING_REAL_SAAR_POP_FC" hidden="1">"c8059"</definedName>
    <definedName name="IQ_BUDGET_SPENDING_REAL_SAAR_USD" hidden="1">"c11906"</definedName>
    <definedName name="IQ_BUDGET_SPENDING_REAL_SAAR_USD_APR" hidden="1">"c11909"</definedName>
    <definedName name="IQ_BUDGET_SPENDING_REAL_SAAR_USD_POP" hidden="1">"c11907"</definedName>
    <definedName name="IQ_BUDGET_SPENDING_REAL_SAAR_USD_YOY" hidden="1">"c11908"</definedName>
    <definedName name="IQ_BUDGET_SPENDING_REAL_SAAR_YOY" hidden="1">"c7399"</definedName>
    <definedName name="IQ_BUDGET_SPENDING_REAL_SAAR_YOY_FC" hidden="1">"c8279"</definedName>
    <definedName name="IQ_BUDGET_SPENDING_REAL_YOY" hidden="1">"c7398"</definedName>
    <definedName name="IQ_BUDGET_SPENDING_REAL_YOY_FC" hidden="1">"c8278"</definedName>
    <definedName name="IQ_BUDGET_SPENDING_SAAR" hidden="1">"c6823"</definedName>
    <definedName name="IQ_BUDGET_SPENDING_SAAR_APR" hidden="1">"c7483"</definedName>
    <definedName name="IQ_BUDGET_SPENDING_SAAR_APR_FC" hidden="1">"c8363"</definedName>
    <definedName name="IQ_BUDGET_SPENDING_SAAR_FC" hidden="1">"c7703"</definedName>
    <definedName name="IQ_BUDGET_SPENDING_SAAR_POP" hidden="1">"c7043"</definedName>
    <definedName name="IQ_BUDGET_SPENDING_SAAR_POP_FC" hidden="1">"c7923"</definedName>
    <definedName name="IQ_BUDGET_SPENDING_SAAR_USD_APR_FC" hidden="1">"c11782"</definedName>
    <definedName name="IQ_BUDGET_SPENDING_SAAR_USD_FC" hidden="1">"c11779"</definedName>
    <definedName name="IQ_BUDGET_SPENDING_SAAR_USD_POP_FC" hidden="1">"c11780"</definedName>
    <definedName name="IQ_BUDGET_SPENDING_SAAR_USD_YOY_FC" hidden="1">"c11781"</definedName>
    <definedName name="IQ_BUDGET_SPENDING_SAAR_YOY" hidden="1">"c7263"</definedName>
    <definedName name="IQ_BUDGET_SPENDING_SAAR_YOY_FC" hidden="1">"c8143"</definedName>
    <definedName name="IQ_BUDGET_SPENDING_USD_APR_FC" hidden="1">"c11778"</definedName>
    <definedName name="IQ_BUDGET_SPENDING_USD_FC" hidden="1">"c11775"</definedName>
    <definedName name="IQ_BUDGET_SPENDING_USD_POP_FC" hidden="1">"c11776"</definedName>
    <definedName name="IQ_BUDGET_SPENDING_USD_YOY_FC" hidden="1">"c11777"</definedName>
    <definedName name="IQ_BUDGET_SPENDING_YOY" hidden="1">"c7262"</definedName>
    <definedName name="IQ_BUDGET_SPENDING_YOY_FC" hidden="1">"c8142"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DESCRIPTION" hidden="1">"c15589"</definedName>
    <definedName name="IQ_BUS_SEG_DESCRIPTION_ABS" hidden="1">"c15577"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IC" hidden="1">"c15588"</definedName>
    <definedName name="IQ_BUS_SEG_NAIC_ABS" hidden="1">"c15576"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PRIMARY_GIC" hidden="1">"c15584"</definedName>
    <definedName name="IQ_BUS_SEG_PRIMARY_GIC_ABS" hidden="1">"c15572"</definedName>
    <definedName name="IQ_BUS_SEG_PRIMARY_SIC" hidden="1">"c15586"</definedName>
    <definedName name="IQ_BUS_SEG_PRIMARY_SIC_ABS" hidden="1">"c15574"</definedName>
    <definedName name="IQ_BUS_SEG_REV" hidden="1">"c4068"</definedName>
    <definedName name="IQ_BUS_SEG_REV_ABS" hidden="1">"c4090"</definedName>
    <definedName name="IQ_BUS_SEG_REV_TOTAL" hidden="1">"c4106"</definedName>
    <definedName name="IQ_BUS_SEG_SECONDARY_GIC" hidden="1">"c15585"</definedName>
    <definedName name="IQ_BUS_SEG_SECONDARY_GIC_ABS" hidden="1">"c15573"</definedName>
    <definedName name="IQ_BUS_SEG_SECONDARY_SIC" hidden="1">"c15587"</definedName>
    <definedName name="IQ_BUS_SEG_SECONDARY_SIC_ABS" hidden="1">"c15575"</definedName>
    <definedName name="IQ_BUSINESS_COMBINATIONS_FFIEC" hidden="1">"c12967"</definedName>
    <definedName name="IQ_BUSINESS_DESCRIPTION" hidden="1">"c322"</definedName>
    <definedName name="IQ_BV_ACT_OR_EST_CIQ" hidden="1">"c5068"</definedName>
    <definedName name="IQ_BV_EST" hidden="1">"c5624"</definedName>
    <definedName name="IQ_BV_EST_CIQ" hidden="1">"c4737"</definedName>
    <definedName name="IQ_BV_HIGH_EST" hidden="1">"c5626"</definedName>
    <definedName name="IQ_BV_HIGH_EST_CIQ" hidden="1">"c4739"</definedName>
    <definedName name="IQ_BV_LOW_EST" hidden="1">"c5627"</definedName>
    <definedName name="IQ_BV_LOW_EST_CIQ" hidden="1">"c4740"</definedName>
    <definedName name="IQ_BV_MEDIAN_EST" hidden="1">"c5625"</definedName>
    <definedName name="IQ_BV_MEDIAN_EST_CIQ" hidden="1">"c4738"</definedName>
    <definedName name="IQ_BV_NUM_EST" hidden="1">"c5628"</definedName>
    <definedName name="IQ_BV_NUM_EST_CIQ" hidden="1">"c4741"</definedName>
    <definedName name="IQ_BV_OVER_SHARES" hidden="1">"c1349"</definedName>
    <definedName name="IQ_BV_SHARE" hidden="1">"c100"</definedName>
    <definedName name="IQ_BV_SHARE_ACT_OR_EST" hidden="1">"c3587"</definedName>
    <definedName name="IQ_BV_SHARE_ACT_OR_EST_CIQ" hidden="1">"c5072"</definedName>
    <definedName name="IQ_BV_SHARE_ACT_OR_EST_REUT" hidden="1">"c5477"</definedName>
    <definedName name="IQ_BV_SHARE_ACT_OR_EST_THOM" hidden="1">"c5312"</definedName>
    <definedName name="IQ_BV_SHARE_DET_EST" hidden="1">"c12047"</definedName>
    <definedName name="IQ_BV_SHARE_DET_EST_CIQ" hidden="1">"c12107"</definedName>
    <definedName name="IQ_BV_SHARE_DET_EST_CURRENCY" hidden="1">"c12456"</definedName>
    <definedName name="IQ_BV_SHARE_DET_EST_CURRENCY_CIQ" hidden="1">"c12500"</definedName>
    <definedName name="IQ_BV_SHARE_DET_EST_CURRENCY_THOM" hidden="1">"c12476"</definedName>
    <definedName name="IQ_BV_SHARE_DET_EST_DATE" hidden="1">"c12200"</definedName>
    <definedName name="IQ_BV_SHARE_DET_EST_DATE_CIQ" hidden="1">"c12253"</definedName>
    <definedName name="IQ_BV_SHARE_DET_EST_DATE_THOM" hidden="1">"c12225"</definedName>
    <definedName name="IQ_BV_SHARE_DET_EST_INCL" hidden="1">"c12339"</definedName>
    <definedName name="IQ_BV_SHARE_DET_EST_INCL_CIQ" hidden="1">"c12383"</definedName>
    <definedName name="IQ_BV_SHARE_DET_EST_INCL_THOM" hidden="1">"c12359"</definedName>
    <definedName name="IQ_BV_SHARE_DET_EST_ORIGIN" hidden="1">"c12573"</definedName>
    <definedName name="IQ_BV_SHARE_DET_EST_ORIGIN_CIQ" hidden="1">"c12622"</definedName>
    <definedName name="IQ_BV_SHARE_DET_EST_ORIGIN_THOM" hidden="1">"c12595"</definedName>
    <definedName name="IQ_BV_SHARE_DET_EST_THOM" hidden="1">"c12075"</definedName>
    <definedName name="IQ_BV_SHARE_EST" hidden="1">"c3541"</definedName>
    <definedName name="IQ_BV_SHARE_EST_CIQ" hidden="1">"c3800"</definedName>
    <definedName name="IQ_BV_SHARE_EST_REUT" hidden="1">"c5439"</definedName>
    <definedName name="IQ_BV_SHARE_EST_THOM" hidden="1">"c4020"</definedName>
    <definedName name="IQ_BV_SHARE_HIGH_EST" hidden="1">"c3542"</definedName>
    <definedName name="IQ_BV_SHARE_HIGH_EST_CIQ" hidden="1">"c3802"</definedName>
    <definedName name="IQ_BV_SHARE_HIGH_EST_REUT" hidden="1">"c5441"</definedName>
    <definedName name="IQ_BV_SHARE_HIGH_EST_THOM" hidden="1">"c4022"</definedName>
    <definedName name="IQ_BV_SHARE_LOW_EST" hidden="1">"c3543"</definedName>
    <definedName name="IQ_BV_SHARE_LOW_EST_CIQ" hidden="1">"c3803"</definedName>
    <definedName name="IQ_BV_SHARE_LOW_EST_REUT" hidden="1">"c5442"</definedName>
    <definedName name="IQ_BV_SHARE_LOW_EST_THOM" hidden="1">"c4023"</definedName>
    <definedName name="IQ_BV_SHARE_MEDIAN_EST" hidden="1">"c3544"</definedName>
    <definedName name="IQ_BV_SHARE_MEDIAN_EST_CIQ" hidden="1">"c3801"</definedName>
    <definedName name="IQ_BV_SHARE_MEDIAN_EST_REUT" hidden="1">"c5440"</definedName>
    <definedName name="IQ_BV_SHARE_MEDIAN_EST_THOM" hidden="1">"c4021"</definedName>
    <definedName name="IQ_BV_SHARE_NUM_EST" hidden="1">"c3539"</definedName>
    <definedName name="IQ_BV_SHARE_NUM_EST_CIQ" hidden="1">"c3804"</definedName>
    <definedName name="IQ_BV_SHARE_NUM_EST_REUT" hidden="1">"c5443"</definedName>
    <definedName name="IQ_BV_SHARE_NUM_EST_THOM" hidden="1">"c4024"</definedName>
    <definedName name="IQ_BV_SHARE_STDDEV_EST" hidden="1">"c3540"</definedName>
    <definedName name="IQ_BV_SHARE_STDDEV_EST_CIQ" hidden="1">"c3805"</definedName>
    <definedName name="IQ_BV_SHARE_STDDEV_EST_REUT" hidden="1">"c5444"</definedName>
    <definedName name="IQ_BV_SHARE_STDDEV_EST_THOM" hidden="1">"c4025"</definedName>
    <definedName name="IQ_BV_STDDEV_EST" hidden="1">"c5629"</definedName>
    <definedName name="IQ_BV_STDDEV_EST_CIQ" hidden="1">"c4742"</definedName>
    <definedName name="IQ_CA_AP" hidden="1">"c8881"</definedName>
    <definedName name="IQ_CA_AP_ABS" hidden="1">"c8900"</definedName>
    <definedName name="IQ_CA_NAME_AP" hidden="1">"c8919"</definedName>
    <definedName name="IQ_CA_NAME_AP_ABS" hidden="1">"c8938"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BUS_PHONE" hidden="1">"c15773"</definedName>
    <definedName name="IQ_CABLE_SUBS_DIG" hidden="1">"c2856"</definedName>
    <definedName name="IQ_CABLE_SUBS_LONG_DIST_PHONE" hidden="1">"c15775"</definedName>
    <definedName name="IQ_CABLE_SUBS_NON_VIDEO" hidden="1">"c2860"</definedName>
    <definedName name="IQ_CABLE_SUBS_PHONE" hidden="1">"c2859"</definedName>
    <definedName name="IQ_CABLE_SUBS_RES_PHONE" hidden="1">"c15772"</definedName>
    <definedName name="IQ_CABLE_SUBS_SATELITE" hidden="1">"c15771"</definedName>
    <definedName name="IQ_CABLE_SUBS_TOTAL" hidden="1">"c2862"</definedName>
    <definedName name="IQ_CABLE_SUBS_WHOLE_PHONE" hidden="1">"c15774"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CIQ" hidden="1">"c6808"</definedName>
    <definedName name="IQ_CAL_Q_EST_REUT" hidden="1">"c6800"</definedName>
    <definedName name="IQ_CAL_Q_EST_THOM" hidden="1">"c6804"</definedName>
    <definedName name="IQ_CAL_Y" hidden="1">"c102"</definedName>
    <definedName name="IQ_CAL_Y_EST" hidden="1">"c6797"</definedName>
    <definedName name="IQ_CAL_Y_EST_CIQ" hidden="1">"c6809"</definedName>
    <definedName name="IQ_CAL_Y_EST_REUT" hidden="1">"c6801"</definedName>
    <definedName name="IQ_CAL_Y_EST_THOM" hidden="1">"c6805"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INVEST_CABLE" hidden="1">"c15794"</definedName>
    <definedName name="IQ_CAP_INVEST_COMMERCIAL" hidden="1">"c15800"</definedName>
    <definedName name="IQ_CAP_INVEST_CUST_PREMISE_EQUIP" hidden="1">"c15795"</definedName>
    <definedName name="IQ_CAP_INVEST_LINE_EXTENSIONS" hidden="1">"c15797"</definedName>
    <definedName name="IQ_CAP_INVEST_SCALABLE_INFRASTRUCTURE" hidden="1">"c15796"</definedName>
    <definedName name="IQ_CAP_INVEST_SUPPORT" hidden="1">"c15799"</definedName>
    <definedName name="IQ_CAP_INVEST_UPGRADE_REBUILD" hidden="1">"c15798"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_UTIL_RATE" hidden="1">"c6824"</definedName>
    <definedName name="IQ_CAP_UTIL_RATE_POP" hidden="1">"c7044"</definedName>
    <definedName name="IQ_CAP_UTIL_RATE_YOY" hidden="1">"c7264"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ACT_OR_EST" hidden="1">"c3584"</definedName>
    <definedName name="IQ_CAPEX_ACT_OR_EST_CIQ" hidden="1">"c5071"</definedName>
    <definedName name="IQ_CAPEX_ACT_OR_EST_REUT" hidden="1">"c5474"</definedName>
    <definedName name="IQ_CAPEX_ACT_OR_EST_THOM" hidden="1">"c5546"</definedName>
    <definedName name="IQ_CAPEX_BNK" hidden="1">"c110"</definedName>
    <definedName name="IQ_CAPEX_BR" hidden="1">"c111"</definedName>
    <definedName name="IQ_CAPEX_DET_EST" hidden="1">"c12048"</definedName>
    <definedName name="IQ_CAPEX_DET_EST_CIQ" hidden="1">"c12108"</definedName>
    <definedName name="IQ_CAPEX_DET_EST_CURRENCY" hidden="1">"c12457"</definedName>
    <definedName name="IQ_CAPEX_DET_EST_CURRENCY_CIQ" hidden="1">"c12501"</definedName>
    <definedName name="IQ_CAPEX_DET_EST_CURRENCY_THOM" hidden="1">"c12477"</definedName>
    <definedName name="IQ_CAPEX_DET_EST_DATE" hidden="1">"c12201"</definedName>
    <definedName name="IQ_CAPEX_DET_EST_DATE_CIQ" hidden="1">"c12254"</definedName>
    <definedName name="IQ_CAPEX_DET_EST_DATE_THOM" hidden="1">"c12226"</definedName>
    <definedName name="IQ_CAPEX_DET_EST_INCL" hidden="1">"c12340"</definedName>
    <definedName name="IQ_CAPEX_DET_EST_INCL_CIQ" hidden="1">"c12384"</definedName>
    <definedName name="IQ_CAPEX_DET_EST_INCL_THOM" hidden="1">"c12360"</definedName>
    <definedName name="IQ_CAPEX_DET_EST_ORIGIN" hidden="1">"c12765"</definedName>
    <definedName name="IQ_CAPEX_DET_EST_ORIGIN_CIQ" hidden="1">"c12766"</definedName>
    <definedName name="IQ_CAPEX_DET_EST_ORIGIN_CIQ_COL" hidden="1">"c12767"</definedName>
    <definedName name="IQ_CAPEX_DET_EST_ORIGIN_THOM" hidden="1">"c12596"</definedName>
    <definedName name="IQ_CAPEX_DET_EST_THOM" hidden="1">"c12076"</definedName>
    <definedName name="IQ_CAPEX_EST" hidden="1">"c3523"</definedName>
    <definedName name="IQ_CAPEX_EST_CIQ" hidden="1">"c3807"</definedName>
    <definedName name="IQ_CAPEX_EST_REUT" hidden="1">"c3969"</definedName>
    <definedName name="IQ_CAPEX_EST_THOM" hidden="1">"c5502"</definedName>
    <definedName name="IQ_CAPEX_FIN" hidden="1">"c112"</definedName>
    <definedName name="IQ_CAPEX_GUIDANCE" hidden="1">"c4150"</definedName>
    <definedName name="IQ_CAPEX_GUIDANCE_CIQ" hidden="1">"c4562"</definedName>
    <definedName name="IQ_CAPEX_HIGH_EST" hidden="1">"c3524"</definedName>
    <definedName name="IQ_CAPEX_HIGH_EST_CIQ" hidden="1">"c3809"</definedName>
    <definedName name="IQ_CAPEX_HIGH_EST_REUT" hidden="1">"c3971"</definedName>
    <definedName name="IQ_CAPEX_HIGH_EST_THOM" hidden="1">"c5504"</definedName>
    <definedName name="IQ_CAPEX_HIGH_GUIDANCE" hidden="1">"c4180"</definedName>
    <definedName name="IQ_CAPEX_HIGH_GUIDANCE_CIQ" hidden="1">"c4592"</definedName>
    <definedName name="IQ_CAPEX_INS" hidden="1">"c113"</definedName>
    <definedName name="IQ_CAPEX_LOW_EST" hidden="1">"c3525"</definedName>
    <definedName name="IQ_CAPEX_LOW_EST_CIQ" hidden="1">"c3810"</definedName>
    <definedName name="IQ_CAPEX_LOW_EST_REUT" hidden="1">"c3972"</definedName>
    <definedName name="IQ_CAPEX_LOW_EST_THOM" hidden="1">"c5505"</definedName>
    <definedName name="IQ_CAPEX_LOW_GUIDANCE" hidden="1">"c4220"</definedName>
    <definedName name="IQ_CAPEX_LOW_GUIDANCE_CIQ" hidden="1">"c4632"</definedName>
    <definedName name="IQ_CAPEX_MEDIAN_EST" hidden="1">"c3526"</definedName>
    <definedName name="IQ_CAPEX_MEDIAN_EST_CIQ" hidden="1">"c3808"</definedName>
    <definedName name="IQ_CAPEX_MEDIAN_EST_REUT" hidden="1">"c3970"</definedName>
    <definedName name="IQ_CAPEX_MEDIAN_EST_THOM" hidden="1">"c5503"</definedName>
    <definedName name="IQ_CAPEX_NUM_EST" hidden="1">"c3521"</definedName>
    <definedName name="IQ_CAPEX_NUM_EST_CIQ" hidden="1">"c3811"</definedName>
    <definedName name="IQ_CAPEX_NUM_EST_REUT" hidden="1">"c3973"</definedName>
    <definedName name="IQ_CAPEX_NUM_EST_THOM" hidden="1">"c5506"</definedName>
    <definedName name="IQ_CAPEX_STDDEV_EST" hidden="1">"c3522"</definedName>
    <definedName name="IQ_CAPEX_STDDEV_EST_CIQ" hidden="1">"c3812"</definedName>
    <definedName name="IQ_CAPEX_STDDEV_EST_REUT" hidden="1">"c3974"</definedName>
    <definedName name="IQ_CAPEX_STDDEV_EST_THOM" hidden="1">"c5507"</definedName>
    <definedName name="IQ_CAPEX_UTI" hidden="1">"c114"</definedName>
    <definedName name="IQ_CAPITAL_ALLOCATION_ADJUSTMENT_FOREIGN_FFIEC" hidden="1">"c15389"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_RAISED_PERIOD_COVERED" hidden="1">"c9959"</definedName>
    <definedName name="IQ_CAPITAL_RAISED_PERIOD_GROUP" hidden="1">"c9945"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BALANCES_DUE_FFIEC" hidden="1">"c12773"</definedName>
    <definedName name="IQ_CASH_BANKS_FOREIGN_COUNTRIES_DOM_FFIEC" hidden="1">"c15289"</definedName>
    <definedName name="IQ_CASH_COLLECTION_UNPOSTED_DEBITS_CURRENCY_FFIEC" hidden="1">"c15279"</definedName>
    <definedName name="IQ_CASH_COLLECTION_UNPOSTED_DEBITS_DOM_FFIEC" hidden="1">"c15286"</definedName>
    <definedName name="IQ_CASH_CONVERSION" hidden="1">"c117"</definedName>
    <definedName name="IQ_CASH_COST_ALUM" hidden="1">"c9252"</definedName>
    <definedName name="IQ_CASH_COST_COAL" hidden="1">"c9825"</definedName>
    <definedName name="IQ_CASH_COST_COP" hidden="1">"c9199"</definedName>
    <definedName name="IQ_CASH_COST_DIAM" hidden="1">"c9676"</definedName>
    <definedName name="IQ_CASH_COST_GOLD" hidden="1">"c9037"</definedName>
    <definedName name="IQ_CASH_COST_IRON" hidden="1">"c9411"</definedName>
    <definedName name="IQ_CASH_COST_LEAD" hidden="1">"c9464"</definedName>
    <definedName name="IQ_CASH_COST_MANG" hidden="1">"c9517"</definedName>
    <definedName name="IQ_CASH_COST_MET_COAL" hidden="1">"c9762"</definedName>
    <definedName name="IQ_CASH_COST_MOLYB" hidden="1">"c9729"</definedName>
    <definedName name="IQ_CASH_COST_NICK" hidden="1">"c9305"</definedName>
    <definedName name="IQ_CASH_COST_PER_SUB" hidden="1">"c15763"</definedName>
    <definedName name="IQ_CASH_COST_PLAT" hidden="1">"c9143"</definedName>
    <definedName name="IQ_CASH_COST_SILVER" hidden="1">"c9090"</definedName>
    <definedName name="IQ_CASH_COST_STEAM" hidden="1">"c9792"</definedName>
    <definedName name="IQ_CASH_COST_TITAN" hidden="1">"c9570"</definedName>
    <definedName name="IQ_CASH_COST_URAN" hidden="1">"c9623"</definedName>
    <definedName name="IQ_CASH_COST_ZINC" hidden="1">"c9358"</definedName>
    <definedName name="IQ_CASH_DEPOSITORY_INSTIT_US_DOM_FFIEC" hidden="1">"c15288"</definedName>
    <definedName name="IQ_CASH_DIVIDENDS_NET_INCOME_FDIC" hidden="1">"c6738"</definedName>
    <definedName name="IQ_CASH_DUE_BANKS" hidden="1">"c1351"</definedName>
    <definedName name="IQ_CASH_DUE_OTHER_FED_RESERVE_BANKS_DOM_FFIEC" hidden="1">"c15290"</definedName>
    <definedName name="IQ_CASH_DUE_OTHER_FED_RESERVE_BANKS_FFIEC" hidden="1">"c15284"</definedName>
    <definedName name="IQ_CASH_DUE_US_BRANCH_FOREIGN_BANK_FFIEC" hidden="1">"c15280"</definedName>
    <definedName name="IQ_CASH_EPS_ACT_OR_EST" hidden="1">"c5638"</definedName>
    <definedName name="IQ_CASH_EPS_ACT_OR_EST_THOM" hidden="1">"c5646"</definedName>
    <definedName name="IQ_CASH_EPS_DET_EST_CURRENCY_THOM" hidden="1">"c12478"</definedName>
    <definedName name="IQ_CASH_EPS_DET_EST_DATE_THOM" hidden="1">"c12227"</definedName>
    <definedName name="IQ_CASH_EPS_DET_EST_INCL_THOM" hidden="1">"c12361"</definedName>
    <definedName name="IQ_CASH_EPS_DET_EST_ORIGIN_THOM" hidden="1">"c12597"</definedName>
    <definedName name="IQ_CASH_EPS_DET_EST_THOM" hidden="1">"c12077"</definedName>
    <definedName name="IQ_CASH_EPS_EST" hidden="1">"c5631"</definedName>
    <definedName name="IQ_CASH_EPS_EST_THOM" hidden="1">"c5639"</definedName>
    <definedName name="IQ_CASH_EPS_HIGH_EST" hidden="1">"c5633"</definedName>
    <definedName name="IQ_CASH_EPS_HIGH_EST_THOM" hidden="1">"c5641"</definedName>
    <definedName name="IQ_CASH_EPS_LOW_EST" hidden="1">"c5634"</definedName>
    <definedName name="IQ_CASH_EPS_LOW_EST_THOM" hidden="1">"c5642"</definedName>
    <definedName name="IQ_CASH_EPS_MEDIAN_EST" hidden="1">"c5632"</definedName>
    <definedName name="IQ_CASH_EPS_MEDIAN_EST_THOM" hidden="1">"c5640"</definedName>
    <definedName name="IQ_CASH_EPS_NUM_EST" hidden="1">"c5635"</definedName>
    <definedName name="IQ_CASH_EPS_NUM_EST_THOM" hidden="1">"c5643"</definedName>
    <definedName name="IQ_CASH_EPS_STDDEV_EST" hidden="1">"c5636"</definedName>
    <definedName name="IQ_CASH_EPS_STDDEV_EST_THOM" hidden="1">"c5644"</definedName>
    <definedName name="IQ_CASH_EQUIV" hidden="1">"c118"</definedName>
    <definedName name="IQ_CASH_FINAN" hidden="1">"c119"</definedName>
    <definedName name="IQ_CASH_FINAN_AP" hidden="1">"c8890"</definedName>
    <definedName name="IQ_CASH_FINAN_AP_ABS" hidden="1">"c8909"</definedName>
    <definedName name="IQ_CASH_FINAN_NAME_AP" hidden="1">"c8928"</definedName>
    <definedName name="IQ_CASH_FINAN_NAME_AP_ABS" hidden="1">"c8947"</definedName>
    <definedName name="IQ_CASH_FINAN_SUBTOTAL_AP" hidden="1">"c10111"</definedName>
    <definedName name="IQ_CASH_FLOW_ACT_OR_EST" hidden="1">"c4154"</definedName>
    <definedName name="IQ_CASH_FLOW_ACT_OR_EST_CIQ" hidden="1">"c4566"</definedName>
    <definedName name="IQ_CASH_FLOW_EST" hidden="1">"c4153"</definedName>
    <definedName name="IQ_CASH_FLOW_EST_CIQ" hidden="1">"c4565"</definedName>
    <definedName name="IQ_CASH_FLOW_GUIDANCE" hidden="1">"c4155"</definedName>
    <definedName name="IQ_CASH_FLOW_GUIDANCE_CIQ" hidden="1">"c4567"</definedName>
    <definedName name="IQ_CASH_FLOW_HIGH_EST" hidden="1">"c4156"</definedName>
    <definedName name="IQ_CASH_FLOW_HIGH_EST_CIQ" hidden="1">"c4568"</definedName>
    <definedName name="IQ_CASH_FLOW_HIGH_GUIDANCE" hidden="1">"c4201"</definedName>
    <definedName name="IQ_CASH_FLOW_HIGH_GUIDANCE_CIQ" hidden="1">"c4613"</definedName>
    <definedName name="IQ_CASH_FLOW_LOW_EST" hidden="1">"c4157"</definedName>
    <definedName name="IQ_CASH_FLOW_LOW_EST_CIQ" hidden="1">"c4569"</definedName>
    <definedName name="IQ_CASH_FLOW_LOW_GUIDANCE" hidden="1">"c4241"</definedName>
    <definedName name="IQ_CASH_FLOW_LOW_GUIDANCE_CIQ" hidden="1">"c4653"</definedName>
    <definedName name="IQ_CASH_FLOW_MEDIAN_EST" hidden="1">"c4158"</definedName>
    <definedName name="IQ_CASH_FLOW_MEDIAN_EST_CIQ" hidden="1">"c4570"</definedName>
    <definedName name="IQ_CASH_FLOW_NUM_EST" hidden="1">"c4159"</definedName>
    <definedName name="IQ_CASH_FLOW_NUM_EST_CIQ" hidden="1">"c4571"</definedName>
    <definedName name="IQ_CASH_FLOW_STDDEV_EST" hidden="1">"c4160"</definedName>
    <definedName name="IQ_CASH_FLOW_STDDEV_EST_CIQ" hidden="1">"c4572"</definedName>
    <definedName name="IQ_CASH_FOREIGN_BRANCH_OTHER_US_BANKS_FFIEC" hidden="1">"c15282"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NET" hidden="1">"c12753"</definedName>
    <definedName name="IQ_CASH_INTEREST_OPER" hidden="1">"c6293"</definedName>
    <definedName name="IQ_CASH_INTEREST_RECEIVED" hidden="1">"c12754"</definedName>
    <definedName name="IQ_CASH_INVEST" hidden="1">"c121"</definedName>
    <definedName name="IQ_CASH_INVEST_AP" hidden="1">"c8889"</definedName>
    <definedName name="IQ_CASH_INVEST_AP_ABS" hidden="1">"c8908"</definedName>
    <definedName name="IQ_CASH_INVEST_NAME_AP" hidden="1">"c8927"</definedName>
    <definedName name="IQ_CASH_INVEST_NAME_AP_ABS" hidden="1">"c8946"</definedName>
    <definedName name="IQ_CASH_INVEST_SUBTOTAL_AP" hidden="1">"c8991"</definedName>
    <definedName name="IQ_CASH_OPER" hidden="1">"c122"</definedName>
    <definedName name="IQ_CASH_OPER_ACT_OR_EST" hidden="1">"c4164"</definedName>
    <definedName name="IQ_CASH_OPER_ACT_OR_EST_CIQ" hidden="1">"c4576"</definedName>
    <definedName name="IQ_CASH_OPER_AP" hidden="1">"c8888"</definedName>
    <definedName name="IQ_CASH_OPER_AP_ABS" hidden="1">"c8907"</definedName>
    <definedName name="IQ_CASH_OPER_EST" hidden="1">"c4163"</definedName>
    <definedName name="IQ_CASH_OPER_EST_CIQ" hidden="1">"c4575"</definedName>
    <definedName name="IQ_CASH_OPER_GUIDANCE" hidden="1">"c4165"</definedName>
    <definedName name="IQ_CASH_OPER_GUIDANCE_CIQ" hidden="1">"c4577"</definedName>
    <definedName name="IQ_CASH_OPER_HIGH_EST" hidden="1">"c4166"</definedName>
    <definedName name="IQ_CASH_OPER_HIGH_EST_CIQ" hidden="1">"c4578"</definedName>
    <definedName name="IQ_CASH_OPER_HIGH_GUIDANCE" hidden="1">"c4185"</definedName>
    <definedName name="IQ_CASH_OPER_HIGH_GUIDANCE_CIQ" hidden="1">"c4597"</definedName>
    <definedName name="IQ_CASH_OPER_LOW_EST" hidden="1">"c4244"</definedName>
    <definedName name="IQ_CASH_OPER_LOW_EST_CIQ" hidden="1">"c4768"</definedName>
    <definedName name="IQ_CASH_OPER_LOW_GUIDANCE" hidden="1">"c4225"</definedName>
    <definedName name="IQ_CASH_OPER_LOW_GUIDANCE_CIQ" hidden="1">"c4637"</definedName>
    <definedName name="IQ_CASH_OPER_MEDIAN_EST" hidden="1">"c4245"</definedName>
    <definedName name="IQ_CASH_OPER_MEDIAN_EST_CIQ" hidden="1">"c4771"</definedName>
    <definedName name="IQ_CASH_OPER_NAME_AP" hidden="1">"c8926"</definedName>
    <definedName name="IQ_CASH_OPER_NAME_AP_ABS" hidden="1">"c8945"</definedName>
    <definedName name="IQ_CASH_OPER_NUM_EST" hidden="1">"c4246"</definedName>
    <definedName name="IQ_CASH_OPER_NUM_EST_CIQ" hidden="1">"c4772"</definedName>
    <definedName name="IQ_CASH_OPER_STDDEV_EST" hidden="1">"c4247"</definedName>
    <definedName name="IQ_CASH_OPER_STDDEV_EST_CIQ" hidden="1">"c4773"</definedName>
    <definedName name="IQ_CASH_OPER_SUBTOTAL_AP" hidden="1">"c8990"</definedName>
    <definedName name="IQ_CASH_OTHER_ADJ_AP" hidden="1">"c8891"</definedName>
    <definedName name="IQ_CASH_OTHER_ADJ_AP_ABS" hidden="1">"c8910"</definedName>
    <definedName name="IQ_CASH_OTHER_ADJ_NAME_AP" hidden="1">"c8929"</definedName>
    <definedName name="IQ_CASH_OTHER_ADJ_NAME_AP_ABS" hidden="1">"c8948"</definedName>
    <definedName name="IQ_CASH_OTHER_BANKS_FOREIGN_COUNTRIES_FFIEC" hidden="1">"c15283"</definedName>
    <definedName name="IQ_CASH_OTHER_US_COMM_BANK_DEP_INSTIT_FFIEC" hidden="1">"c15281"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ST_INVEST_EST" hidden="1">"c4249"</definedName>
    <definedName name="IQ_CASH_ST_INVEST_EST_CIQ" hidden="1">"c4775"</definedName>
    <definedName name="IQ_CASH_ST_INVEST_GUIDANCE" hidden="1">"c4250"</definedName>
    <definedName name="IQ_CASH_ST_INVEST_GUIDANCE_CIQ" hidden="1">"c4776"</definedName>
    <definedName name="IQ_CASH_ST_INVEST_HIGH_EST" hidden="1">"c4251"</definedName>
    <definedName name="IQ_CASH_ST_INVEST_HIGH_EST_CIQ" hidden="1">"c4777"</definedName>
    <definedName name="IQ_CASH_ST_INVEST_HIGH_GUIDANCE" hidden="1">"c4195"</definedName>
    <definedName name="IQ_CASH_ST_INVEST_HIGH_GUIDANCE_CIQ" hidden="1">"c4607"</definedName>
    <definedName name="IQ_CASH_ST_INVEST_LOW_EST" hidden="1">"c4252"</definedName>
    <definedName name="IQ_CASH_ST_INVEST_LOW_EST_CIQ" hidden="1">"c4778"</definedName>
    <definedName name="IQ_CASH_ST_INVEST_LOW_GUIDANCE" hidden="1">"c4235"</definedName>
    <definedName name="IQ_CASH_ST_INVEST_LOW_GUIDANCE_CIQ" hidden="1">"c4647"</definedName>
    <definedName name="IQ_CASH_ST_INVEST_MEDIAN_EST" hidden="1">"c4253"</definedName>
    <definedName name="IQ_CASH_ST_INVEST_MEDIAN_EST_CIQ" hidden="1">"c4779"</definedName>
    <definedName name="IQ_CASH_ST_INVEST_NUM_EST" hidden="1">"c4254"</definedName>
    <definedName name="IQ_CASH_ST_INVEST_NUM_EST_CIQ" hidden="1">"c4780"</definedName>
    <definedName name="IQ_CASH_ST_INVEST_STDDEV_EST" hidden="1">"c4255"</definedName>
    <definedName name="IQ_CASH_ST_INVEST_STDDEV_EST_CIQ" hidden="1">"c4781"</definedName>
    <definedName name="IQ_CASH_STRUCTURED_PRODUCTS_AVAIL_SALE_FFIEC" hidden="1">"c15263"</definedName>
    <definedName name="IQ_CASH_STRUCTURED_PRODUCTS_FFIEC" hidden="1">"c15260"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ATASTROPHIC_LOSS_RATIO" hidden="1">"c15881"</definedName>
    <definedName name="IQ_CCE_FDIC" hidden="1">"c6296"</definedName>
    <definedName name="IQ_CDS_5YR_CIQID" hidden="1">"c11751"</definedName>
    <definedName name="IQ_CDS_ASK" hidden="1">"c6027"</definedName>
    <definedName name="IQ_CDS_BID" hidden="1">"c6026"</definedName>
    <definedName name="IQ_CDS_CURRENCY" hidden="1">"c6031"</definedName>
    <definedName name="IQ_CDS_DERIVATIVES_BENEFICIARY_FFIEC" hidden="1">"c13119"</definedName>
    <definedName name="IQ_CDS_DERIVATIVES_GUARANTOR_FFIEC" hidden="1">"c13112"</definedName>
    <definedName name="IQ_CDS_EVAL_DATE" hidden="1">"c6029"</definedName>
    <definedName name="IQ_CDS_LIST" hidden="1">"c13510"</definedName>
    <definedName name="IQ_CDS_LOAN_LIST" hidden="1">"c13518"</definedName>
    <definedName name="IQ_CDS_MID" hidden="1">"c6028"</definedName>
    <definedName name="IQ_CDS_NAME" hidden="1">"c6034"</definedName>
    <definedName name="IQ_CDS_SENIOR_LIST" hidden="1">"c13508"</definedName>
    <definedName name="IQ_CDS_SUB_LIST" hidden="1">"c13509"</definedName>
    <definedName name="IQ_CDS_TERM" hidden="1">"c6030"</definedName>
    <definedName name="IQ_CDS_TYPE" hidden="1">"c6025"</definedName>
    <definedName name="IQ_CEDED_AH_EARNED" hidden="1">"c2743"</definedName>
    <definedName name="IQ_CEDED_CLAIM_ADJ_EXP_RESERVE_BOP" hidden="1">"c15875"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LOSSES" hidden="1">"c15872"</definedName>
    <definedName name="IQ_CEDED_PC_EARNED" hidden="1">"c2748"</definedName>
    <definedName name="IQ_CEDED_PREMIUMS_EARNED_GROSS_PREMIUMS_EARNED" hidden="1">"c15887"</definedName>
    <definedName name="IQ_CEDED_PREMIUMS_WRITTEN_GROSS_PREMIUMS_WRITTEN" hidden="1">"c15885"</definedName>
    <definedName name="IQ_CEDED_WRITTEN" hidden="1">"c2727"</definedName>
    <definedName name="IQ_CEO_ID" hidden="1">"c15210"</definedName>
    <definedName name="IQ_CEO_NAME" hidden="1">"c15209"</definedName>
    <definedName name="IQ_CERTIFIED_OFFICIAL_CHECKS_TRANS_ACCTS_FFIEC" hidden="1">"c15320"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FO_ID" hidden="1">"c15212"</definedName>
    <definedName name="IQ_CFO_NAME" hidden="1">"c15211"</definedName>
    <definedName name="IQ_CFPS_ACT_OR_EST" hidden="1">"c2217"</definedName>
    <definedName name="IQ_CFPS_ACT_OR_EST_CIQ" hidden="1">"c5061"</definedName>
    <definedName name="IQ_CFPS_ACT_OR_EST_REUT" hidden="1">"c5463"</definedName>
    <definedName name="IQ_CFPS_ACT_OR_EST_THOM" hidden="1">"c5301"</definedName>
    <definedName name="IQ_CFPS_DET_EST" hidden="1">"c12049"</definedName>
    <definedName name="IQ_CFPS_DET_EST_CIQ" hidden="1">"c12109"</definedName>
    <definedName name="IQ_CFPS_DET_EST_CURRENCY" hidden="1">"c12458"</definedName>
    <definedName name="IQ_CFPS_DET_EST_CURRENCY_CIQ" hidden="1">"c12502"</definedName>
    <definedName name="IQ_CFPS_DET_EST_CURRENCY_THOM" hidden="1">"c12479"</definedName>
    <definedName name="IQ_CFPS_DET_EST_DATE" hidden="1">"c12202"</definedName>
    <definedName name="IQ_CFPS_DET_EST_DATE_CIQ" hidden="1">"c12255"</definedName>
    <definedName name="IQ_CFPS_DET_EST_DATE_THOM" hidden="1">"c12228"</definedName>
    <definedName name="IQ_CFPS_DET_EST_INCL" hidden="1">"c12341"</definedName>
    <definedName name="IQ_CFPS_DET_EST_INCL_CIQ" hidden="1">"c12385"</definedName>
    <definedName name="IQ_CFPS_DET_EST_INCL_THOM" hidden="1">"c12362"</definedName>
    <definedName name="IQ_CFPS_DET_EST_ORIGIN" hidden="1">"c12575"</definedName>
    <definedName name="IQ_CFPS_DET_EST_ORIGIN_CIQ" hidden="1">"c12624"</definedName>
    <definedName name="IQ_CFPS_DET_EST_ORIGIN_THOM" hidden="1">"c12598"</definedName>
    <definedName name="IQ_CFPS_DET_EST_THOM" hidden="1">"c12078"</definedName>
    <definedName name="IQ_CFPS_EST" hidden="1">"c1667"</definedName>
    <definedName name="IQ_CFPS_EST_CIQ" hidden="1">"c3675"</definedName>
    <definedName name="IQ_CFPS_EST_REUT" hidden="1">"c3844"</definedName>
    <definedName name="IQ_CFPS_EST_THOM" hidden="1">"c4006"</definedName>
    <definedName name="IQ_CFPS_GUIDANCE" hidden="1">"c4256"</definedName>
    <definedName name="IQ_CFPS_GUIDANCE_CIQ" hidden="1">"c4782"</definedName>
    <definedName name="IQ_CFPS_HIGH_EST" hidden="1">"c1669"</definedName>
    <definedName name="IQ_CFPS_HIGH_EST_CIQ" hidden="1">"c3677"</definedName>
    <definedName name="IQ_CFPS_HIGH_EST_REUT" hidden="1">"c3846"</definedName>
    <definedName name="IQ_CFPS_HIGH_EST_THOM" hidden="1">"c4008"</definedName>
    <definedName name="IQ_CFPS_HIGH_GUIDANCE" hidden="1">"c4167"</definedName>
    <definedName name="IQ_CFPS_HIGH_GUIDANCE_CIQ" hidden="1">"c4579"</definedName>
    <definedName name="IQ_CFPS_LOW_EST" hidden="1">"c1670"</definedName>
    <definedName name="IQ_CFPS_LOW_EST_CIQ" hidden="1">"c3678"</definedName>
    <definedName name="IQ_CFPS_LOW_EST_REUT" hidden="1">"c3847"</definedName>
    <definedName name="IQ_CFPS_LOW_EST_THOM" hidden="1">"c4009"</definedName>
    <definedName name="IQ_CFPS_LOW_GUIDANCE" hidden="1">"c4207"</definedName>
    <definedName name="IQ_CFPS_LOW_GUIDANCE_CIQ" hidden="1">"c4619"</definedName>
    <definedName name="IQ_CFPS_MEDIAN_EST" hidden="1">"c1668"</definedName>
    <definedName name="IQ_CFPS_MEDIAN_EST_CIQ" hidden="1">"c3676"</definedName>
    <definedName name="IQ_CFPS_MEDIAN_EST_REUT" hidden="1">"c3845"</definedName>
    <definedName name="IQ_CFPS_MEDIAN_EST_THOM" hidden="1">"c4007"</definedName>
    <definedName name="IQ_CFPS_NUM_EST" hidden="1">"c1671"</definedName>
    <definedName name="IQ_CFPS_NUM_EST_CIQ" hidden="1">"c3679"</definedName>
    <definedName name="IQ_CFPS_NUM_EST_REUT" hidden="1">"c3848"</definedName>
    <definedName name="IQ_CFPS_NUM_EST_THOM" hidden="1">"c4010"</definedName>
    <definedName name="IQ_CFPS_STDDEV_EST" hidden="1">"c1672"</definedName>
    <definedName name="IQ_CFPS_STDDEV_EST_CIQ" hidden="1">"c3680"</definedName>
    <definedName name="IQ_CFPS_STDDEV_EST_REUT" hidden="1">"c3849"</definedName>
    <definedName name="IQ_CFPS_STDDEV_EST_THOM" hidden="1">"c4011"</definedName>
    <definedName name="IQ_CH" hidden="1">110000</definedName>
    <definedName name="IQ_CHAIRMAN_ID" hidden="1">"c15218"</definedName>
    <definedName name="IQ_CHAIRMAN_NAME" hidden="1">"c15217"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F_TAX_TOTAL" hidden="1">"c15557"</definedName>
    <definedName name="IQ_CHANGE_DEPOSIT_ACCT" hidden="1">"c148"</definedName>
    <definedName name="IQ_CHANGE_FAIR_VALUE_FINANCIAL_LIAB_T1_FFIEC" hidden="1">"c13138"</definedName>
    <definedName name="IQ_CHANGE_FAIR_VALUE_OPTIONS_FFIEC" hidden="1">"c13045"</definedName>
    <definedName name="IQ_CHANGE_INC_TAX" hidden="1">"c149"</definedName>
    <definedName name="IQ_CHANGE_INS_RES_LIAB" hidden="1">"c150"</definedName>
    <definedName name="IQ_CHANGE_INVENT" hidden="1">"c6826"</definedName>
    <definedName name="IQ_CHANGE_INVENT_APR" hidden="1">"c7486"</definedName>
    <definedName name="IQ_CHANGE_INVENT_POP" hidden="1">"c7046"</definedName>
    <definedName name="IQ_CHANGE_INVENT_REAL_APR_FC_UNUSED" hidden="1">"c8500"</definedName>
    <definedName name="IQ_CHANGE_INVENT_REAL_APR_FC_UNUSED_UNUSED_UNUSED" hidden="1">"c8500"</definedName>
    <definedName name="IQ_CHANGE_INVENT_REAL_APR_UNUSED" hidden="1">"c7620"</definedName>
    <definedName name="IQ_CHANGE_INVENT_REAL_APR_UNUSED_UNUSED_UNUSED" hidden="1">"c7620"</definedName>
    <definedName name="IQ_CHANGE_INVENT_REAL_FC_UNUSED" hidden="1">"c7840"</definedName>
    <definedName name="IQ_CHANGE_INVENT_REAL_FC_UNUSED_UNUSED_UNUSED" hidden="1">"c7840"</definedName>
    <definedName name="IQ_CHANGE_INVENT_REAL_POP_FC_UNUSED" hidden="1">"c8060"</definedName>
    <definedName name="IQ_CHANGE_INVENT_REAL_POP_FC_UNUSED_UNUSED_UNUSED" hidden="1">"c8060"</definedName>
    <definedName name="IQ_CHANGE_INVENT_REAL_POP_UNUSED" hidden="1">"c7180"</definedName>
    <definedName name="IQ_CHANGE_INVENT_REAL_POP_UNUSED_UNUSED_UNUSED" hidden="1">"c7180"</definedName>
    <definedName name="IQ_CHANGE_INVENT_REAL_SAAR" hidden="1">"c6962"</definedName>
    <definedName name="IQ_CHANGE_INVENT_REAL_SAAR_APR" hidden="1">"c7622"</definedName>
    <definedName name="IQ_CHANGE_INVENT_REAL_SAAR_APR_FC" hidden="1">"c8502"</definedName>
    <definedName name="IQ_CHANGE_INVENT_REAL_SAAR_FC" hidden="1">"c7842"</definedName>
    <definedName name="IQ_CHANGE_INVENT_REAL_SAAR_POP" hidden="1">"c7182"</definedName>
    <definedName name="IQ_CHANGE_INVENT_REAL_SAAR_POP_FC" hidden="1">"c8062"</definedName>
    <definedName name="IQ_CHANGE_INVENT_REAL_SAAR_USD_APR_FC" hidden="1">"c11917"</definedName>
    <definedName name="IQ_CHANGE_INVENT_REAL_SAAR_USD_FC" hidden="1">"c11914"</definedName>
    <definedName name="IQ_CHANGE_INVENT_REAL_SAAR_USD_POP_FC" hidden="1">"c11915"</definedName>
    <definedName name="IQ_CHANGE_INVENT_REAL_SAAR_USD_YOY_FC" hidden="1">"c11916"</definedName>
    <definedName name="IQ_CHANGE_INVENT_REAL_SAAR_YOY" hidden="1">"c7402"</definedName>
    <definedName name="IQ_CHANGE_INVENT_REAL_SAAR_YOY_FC" hidden="1">"c8282"</definedName>
    <definedName name="IQ_CHANGE_INVENT_REAL_UNUSED" hidden="1">"c6960"</definedName>
    <definedName name="IQ_CHANGE_INVENT_REAL_UNUSED_UNUSED_UNUSED" hidden="1">"c6960"</definedName>
    <definedName name="IQ_CHANGE_INVENT_REAL_USD_APR_FC" hidden="1">"c11913"</definedName>
    <definedName name="IQ_CHANGE_INVENT_REAL_USD_FC" hidden="1">"c11910"</definedName>
    <definedName name="IQ_CHANGE_INVENT_REAL_USD_POP_FC" hidden="1">"c11911"</definedName>
    <definedName name="IQ_CHANGE_INVENT_REAL_USD_YOY_FC" hidden="1">"c11912"</definedName>
    <definedName name="IQ_CHANGE_INVENT_REAL_YOY_FC_UNUSED" hidden="1">"c8280"</definedName>
    <definedName name="IQ_CHANGE_INVENT_REAL_YOY_FC_UNUSED_UNUSED_UNUSED" hidden="1">"c8280"</definedName>
    <definedName name="IQ_CHANGE_INVENT_REAL_YOY_UNUSED" hidden="1">"c7400"</definedName>
    <definedName name="IQ_CHANGE_INVENT_REAL_YOY_UNUSED_UNUSED_UNUSED" hidden="1">"c7400"</definedName>
    <definedName name="IQ_CHANGE_INVENT_SAAR" hidden="1">"c6827"</definedName>
    <definedName name="IQ_CHANGE_INVENT_SAAR_APR" hidden="1">"c7487"</definedName>
    <definedName name="IQ_CHANGE_INVENT_SAAR_APR_FC" hidden="1">"c8367"</definedName>
    <definedName name="IQ_CHANGE_INVENT_SAAR_FC" hidden="1">"c7707"</definedName>
    <definedName name="IQ_CHANGE_INVENT_SAAR_POP" hidden="1">"c7047"</definedName>
    <definedName name="IQ_CHANGE_INVENT_SAAR_POP_FC" hidden="1">"c7927"</definedName>
    <definedName name="IQ_CHANGE_INVENT_SAAR_YOY" hidden="1">"c7267"</definedName>
    <definedName name="IQ_CHANGE_INVENT_SAAR_YOY_FC" hidden="1">"c8147"</definedName>
    <definedName name="IQ_CHANGE_INVENT_YOY" hidden="1">"c7266"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PRIVATE_INVENT" hidden="1">"c6828"</definedName>
    <definedName name="IQ_CHANGE_PRIVATE_INVENT_APR" hidden="1">"c7488"</definedName>
    <definedName name="IQ_CHANGE_PRIVATE_INVENT_APR_FC" hidden="1">"c8368"</definedName>
    <definedName name="IQ_CHANGE_PRIVATE_INVENT_FC" hidden="1">"c7708"</definedName>
    <definedName name="IQ_CHANGE_PRIVATE_INVENT_POP" hidden="1">"c7048"</definedName>
    <definedName name="IQ_CHANGE_PRIVATE_INVENT_POP_FC" hidden="1">"c7928"</definedName>
    <definedName name="IQ_CHANGE_PRIVATE_INVENT_YOY" hidden="1">"c7268"</definedName>
    <definedName name="IQ_CHANGE_PRIVATE_INVENT_YOY_FC" hidden="1">"c8148"</definedName>
    <definedName name="IQ_CHANGE_TRADING_ASSETS" hidden="1">"c159"</definedName>
    <definedName name="IQ_CHANGE_UNEARN_REV" hidden="1">"c160"</definedName>
    <definedName name="IQ_CHANGE_UNRECOG_TAX_BENEFIT_1_YR_MAX" hidden="1">"c15747"</definedName>
    <definedName name="IQ_CHANGE_UNRECOG_TAX_BENEFIT_1_YR_MIN" hidden="1">"c15746"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HICAGO_PMI" hidden="1">"c6829"</definedName>
    <definedName name="IQ_CHICAGO_PMI_APR" hidden="1">"c7489"</definedName>
    <definedName name="IQ_CHICAGO_PMI_APR_FC" hidden="1">"c8369"</definedName>
    <definedName name="IQ_CHICAGO_PMI_FC" hidden="1">"c7709"</definedName>
    <definedName name="IQ_CHICAGO_PMI_POP" hidden="1">"c7049"</definedName>
    <definedName name="IQ_CHICAGO_PMI_POP_FC" hidden="1">"c7929"</definedName>
    <definedName name="IQ_CHICAGO_PMI_YOY" hidden="1">"c7269"</definedName>
    <definedName name="IQ_CHICAGO_PMI_YOY_FC" hidden="1">"c8149"</definedName>
    <definedName name="IQ_CHURN_BASIC_CABLE" hidden="1">"c2871"</definedName>
    <definedName name="IQ_CHURN_BBAND" hidden="1">"c2872"</definedName>
    <definedName name="IQ_CHURN_DIG_CABLE" hidden="1">"c2870"</definedName>
    <definedName name="IQ_CHURN_PHONE" hidden="1">"c2873"</definedName>
    <definedName name="IQ_CHURN_POSTPAID_WIRELESS" hidden="1">"c2121"</definedName>
    <definedName name="IQ_CHURN_PREPAID_WIRELESS" hidden="1">"c2120"</definedName>
    <definedName name="IQ_CHURN_SATELLITE" hidden="1">"c15791"</definedName>
    <definedName name="IQ_CHURN_TOTAL" hidden="1">"c2874"</definedName>
    <definedName name="IQ_CHURN_TOTAL_WIRELESS" hidden="1">"c2122"</definedName>
    <definedName name="IQ_CITY" hidden="1">"c166"</definedName>
    <definedName name="IQ_CL_AP" hidden="1">"c8884"</definedName>
    <definedName name="IQ_CL_AP_ABS" hidden="1">"c8903"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NAME_AP" hidden="1">"c8922"</definedName>
    <definedName name="IQ_CL_NAME_AP_ABS" hidden="1">"c8941"</definedName>
    <definedName name="IQ_CL_OBLIGATION_IMMEDIATE" hidden="1">"c2253"</definedName>
    <definedName name="IQ_CLAIMS_ADJUSTMENT_EXP_PC_FFIEC" hidden="1">"c13100"</definedName>
    <definedName name="IQ_CLASS_MARKETCAP" hidden="1">"c13512"</definedName>
    <definedName name="IQ_CLASS_SHARESOUTSTANDING" hidden="1">"c13513"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D_END_1_4_FAM_LOANS_TOT_LOANS_FFIEC" hidden="1">"c13866"</definedName>
    <definedName name="IQ_CLOSED_END_1_4_FIRST_LIENS_TRADING_DOM_FFIEC" hidden="1">"c12928"</definedName>
    <definedName name="IQ_CLOSED_END_1_4_JR_LIENS_LL_REC_DOM_FFIEC" hidden="1">"c12904"</definedName>
    <definedName name="IQ_CLOSED_END_1_4_JUNIOR_LIENS_TRADING_DOM_FFIEC" hidden="1">"c12929"</definedName>
    <definedName name="IQ_CLOSED_END_SEC_1_4_1ST_LIENS_CHARGE_OFFS_FFIEC" hidden="1">"c13169"</definedName>
    <definedName name="IQ_CLOSED_END_SEC_1_4_1ST_LIENS_DUE_30_89_FFIEC" hidden="1">"c13261"</definedName>
    <definedName name="IQ_CLOSED_END_SEC_1_4_1ST_LIENS_DUE_90_FFIEC" hidden="1">"c13289"</definedName>
    <definedName name="IQ_CLOSED_END_SEC_1_4_1ST_LIENS_NON_ACCRUAL_FFIEC" hidden="1">"c13315"</definedName>
    <definedName name="IQ_CLOSED_END_SEC_1_4_1ST_LIENS_RECOV_FFIEC" hidden="1">"c13191"</definedName>
    <definedName name="IQ_CLOSED_END_SEC_1_4_JR_LIENS_CHARGE_OFFS_FFIEC" hidden="1">"c13170"</definedName>
    <definedName name="IQ_CLOSED_END_SEC_1_4_JR_LIENS_DUE_30_89_FFIEC" hidden="1">"c13262"</definedName>
    <definedName name="IQ_CLOSED_END_SEC_1_4_JR_LIENS_DUE_90_FFIEC" hidden="1">"c13290"</definedName>
    <definedName name="IQ_CLOSED_END_SEC_1_4_JR_LIENS_NON_ACCRUAL_FFIEC" hidden="1">"c13316"</definedName>
    <definedName name="IQ_CLOSED_END_SEC_1_4_JR_LIENS_RECOV_FFIEC" hidden="1">"c13192"</definedName>
    <definedName name="IQ_CLOSED_END_SEC_1_4_RESIDENT_CHARGE_OFFS_FFIEC" hidden="1">"c15397"</definedName>
    <definedName name="IQ_CLOSED_END_SEC_1_4_RESIDENT_DUE_30_89_FFIEC" hidden="1">"c15413"</definedName>
    <definedName name="IQ_CLOSED_END_SEC_1_4_RESIDENT_DUE_90_FFIEC" hidden="1">"c15417"</definedName>
    <definedName name="IQ_CLOSED_END_SEC_1_4_RESIDENT_NON_ACCRUAL_FFIEC" hidden="1">"c15460"</definedName>
    <definedName name="IQ_CLOSED_END_SEC_1_4_RESIDENT_RECOV_FFIEC" hidden="1">"c15398"</definedName>
    <definedName name="IQ_CLOSED_END_SECURED_1_4_FIRST_LIENS_LL_REC_DOM_FFIEC" hidden="1">"c12903"</definedName>
    <definedName name="IQ_CLOSED_LOANS_GROSS_LOANS_FFIEC" hidden="1">"c13399"</definedName>
    <definedName name="IQ_CLOSED_LOANS_RISK_BASED_FFIEC" hidden="1">"c13420"</definedName>
    <definedName name="IQ_CLOSEPRICE" hidden="1">"c174"</definedName>
    <definedName name="IQ_CLOSEPRICE_ADJ" hidden="1">"c2115"</definedName>
    <definedName name="IQ_CMBS_ISSUED_AVAIL_SALE_FFIEC" hidden="1">"c12800"</definedName>
    <definedName name="IQ_CMBS_ISSUED_FFIEC" hidden="1">"c12786"</definedName>
    <definedName name="IQ_CMO_FDIC" hidden="1">"c6406"</definedName>
    <definedName name="IQ_COAL_SALES_TO_OPERATING_REVENUE_COAL" hidden="1">"c15954"</definedName>
    <definedName name="IQ_COGS" hidden="1">"c175"</definedName>
    <definedName name="IQ_COLLATERAL_TYPE" hidden="1">"c8954"</definedName>
    <definedName name="IQ_COLLECTION_DOMESTIC_FDIC" hidden="1">"c6387"</definedName>
    <definedName name="IQ_COM_TARGET_PRICE" hidden="1">"c13606"</definedName>
    <definedName name="IQ_COM_TARGET_PRICE_CIQ" hidden="1">"c13599"</definedName>
    <definedName name="IQ_COM_TARGET_PRICE_DET_EST" hidden="1">"c13610"</definedName>
    <definedName name="IQ_COM_TARGET_PRICE_DET_EST_CIQ" hidden="1">"c13603"</definedName>
    <definedName name="IQ_COM_TARGET_PRICE_HIGH" hidden="1">"c13607"</definedName>
    <definedName name="IQ_COM_TARGET_PRICE_HIGH_CIQ" hidden="1">"c13600"</definedName>
    <definedName name="IQ_COM_TARGET_PRICE_LOW" hidden="1">"c13608"</definedName>
    <definedName name="IQ_COM_TARGET_PRICE_LOW_CIQ" hidden="1">"c13601"</definedName>
    <definedName name="IQ_COM_TARGET_PRICE_MEDIAN" hidden="1">"c13609"</definedName>
    <definedName name="IQ_COM_TARGET_PRICE_MEDIAN_CIQ" hidden="1">"c13602"</definedName>
    <definedName name="IQ_COM_TARGET_PRICE_NUM" hidden="1">"c13604"</definedName>
    <definedName name="IQ_COM_TARGET_PRICE_NUM_CIQ" hidden="1">"c13597"</definedName>
    <definedName name="IQ_COM_TARGET_PRICE_STDDEV" hidden="1">"c13605"</definedName>
    <definedName name="IQ_COM_TARGET_PRICE_STDDEV_CIQ" hidden="1">"c13598"</definedName>
    <definedName name="IQ_COMBINED_RATIO" hidden="1">"c176"</definedName>
    <definedName name="IQ_COMM_BANKS_OTHER_DEP_INST_US_TRANS_ACCTS_FFIEC" hidden="1">"c15317"</definedName>
    <definedName name="IQ_COMM_BANKS_OTHER_INST_US_NON_TRANS_ACCTS_FFIEC" hidden="1">"c15325"</definedName>
    <definedName name="IQ_COMM_IND_LOANS_TOT_LOANS_FFIEC" hidden="1">"c13874"</definedName>
    <definedName name="IQ_COMM_INDUSTRIAL_LL_REC_FFIEC" hidden="1">"c18880"</definedName>
    <definedName name="IQ_COMM_INDUSTRIAL_LOANS_FFIEC" hidden="1">"c12821"</definedName>
    <definedName name="IQ_COMM_INDUSTRIAL_NON_US_LL_REC_FFIEC" hidden="1">"c12888"</definedName>
    <definedName name="IQ_COMM_INDUSTRIAL_US_LL_REC_FFIEC" hidden="1">"c12887"</definedName>
    <definedName name="IQ_COMM_RE_FARM_LOANS_TOT_LOANS_FFIEC" hidden="1">"c13872"</definedName>
    <definedName name="IQ_COMM_RE_NONFARM_NONRES_TOT_LOANS_FFIEC" hidden="1">"c13871"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DOM_QUARTERLY_AVG_FFIEC" hidden="1">"c15478"</definedName>
    <definedName name="IQ_COMMERCIAL_INDUSTRIAL_GROSS_LOANS_FFIEC" hidden="1">"c13410"</definedName>
    <definedName name="IQ_COMMERCIAL_INDUSTRIAL_LOANS_DUE_30_89_FFIEC" hidden="1">"c13271"</definedName>
    <definedName name="IQ_COMMERCIAL_INDUSTRIAL_LOANS_DUE_90_FFIEC" hidden="1">"c13297"</definedName>
    <definedName name="IQ_COMMERCIAL_INDUSTRIAL_LOANS_LL_REC_DOM_FFIEC" hidden="1">"c12910"</definedName>
    <definedName name="IQ_COMMERCIAL_INDUSTRIAL_LOANS_NET_FDIC" hidden="1">"c6317"</definedName>
    <definedName name="IQ_COMMERCIAL_INDUSTRIAL_LOANS_NON_ACCRUAL_FFIEC" hidden="1">"c13323"</definedName>
    <definedName name="IQ_COMMERCIAL_INDUSTRIAL_NET_CHARGE_OFFS_FDIC" hidden="1">"c6636"</definedName>
    <definedName name="IQ_COMMERCIAL_INDUSTRIAL_NON_US_CHARGE_OFFS_FFIEC" hidden="1">"c13179"</definedName>
    <definedName name="IQ_COMMERCIAL_INDUSTRIAL_NON_US_DUE_30_89_FFIEC" hidden="1">"c15415"</definedName>
    <definedName name="IQ_COMMERCIAL_INDUSTRIAL_NON_US_DUE_90_FFIEC" hidden="1">"c15419"</definedName>
    <definedName name="IQ_COMMERCIAL_INDUSTRIAL_NON_US_NON_ACCRUAL_FFIEC" hidden="1">"c15464"</definedName>
    <definedName name="IQ_COMMERCIAL_INDUSTRIAL_NON_US_RECOV_FFIEC" hidden="1">"c13201"</definedName>
    <definedName name="IQ_COMMERCIAL_INDUSTRIAL_RECOVERIES_FDIC" hidden="1">"c6617"</definedName>
    <definedName name="IQ_COMMERCIAL_INDUSTRIAL_RISK_BASED_FFIEC" hidden="1">"c13431"</definedName>
    <definedName name="IQ_COMMERCIAL_INDUSTRIAL_TOTAL_LOANS_FOREIGN_FDIC" hidden="1">"c6451"</definedName>
    <definedName name="IQ_COMMERCIAL_INDUSTRIAL_TRADING_DOM_FFIEC" hidden="1">"c12932"</definedName>
    <definedName name="IQ_COMMERCIAL_INDUSTRIAL_US_CHARGE_OFFS_FFIEC" hidden="1">"c13178"</definedName>
    <definedName name="IQ_COMMERCIAL_INDUSTRIAL_US_DUE_30_89_FFIEC" hidden="1">"c15414"</definedName>
    <definedName name="IQ_COMMERCIAL_INDUSTRIAL_US_DUE_90_FFIEC" hidden="1">"c15418"</definedName>
    <definedName name="IQ_COMMERCIAL_INDUSTRIAL_US_NON_ACCRUAL_FFIEC" hidden="1">"c15463"</definedName>
    <definedName name="IQ_COMMERCIAL_INDUSTRIAL_US_RECOV_FFIEC" hidden="1">"c13200"</definedName>
    <definedName name="IQ_COMMERCIAL_INVEST_CABLE_INVEST" hidden="1">"c15806"</definedName>
    <definedName name="IQ_COMMERCIAL_LOANS_TOTAL_LOANS" hidden="1">"c15709"</definedName>
    <definedName name="IQ_COMMERCIAL_MORT" hidden="1">"c179"</definedName>
    <definedName name="IQ_COMMERCIAL_OTHER_LOC_FFIEC" hidden="1">"c13253"</definedName>
    <definedName name="IQ_COMMERCIAL_PAPER_ASSETS_TOT_FFIEC" hidden="1">"c13449"</definedName>
    <definedName name="IQ_COMMERCIAL_PAPER_FFIEC" hidden="1">"c12863"</definedName>
    <definedName name="IQ_COMMERCIAL_RE_CONSTRUCTION_LAND_DEV_FDIC" hidden="1">"c6526"</definedName>
    <definedName name="IQ_COMMERCIAL_RE_GROSS_LOANS_FFIEC" hidden="1">"c13400"</definedName>
    <definedName name="IQ_COMMERCIAL_RE_LOANS_FDIC" hidden="1">"c6312"</definedName>
    <definedName name="IQ_COMMERCIAL_RE_LOANS_TOTAL_LOANS" hidden="1">"c15710"</definedName>
    <definedName name="IQ_COMMERCIAL_RE_RISK_BASED_FFIEC" hidden="1">"c13421"</definedName>
    <definedName name="IQ_COMMISS_FEES" hidden="1">"c180"</definedName>
    <definedName name="IQ_COMMISSION_DEF" hidden="1">"c181"</definedName>
    <definedName name="IQ_COMMITMENTS_BUY_SEC_OTHER_OFF_BS_FFIEC" hidden="1">"c13128"</definedName>
    <definedName name="IQ_COMMITMENTS_COMMERCIAL_RE_UNUSED_FFIEC" hidden="1">"c13243"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ITMENTS_SELL_SEC_OTHER_OFF_BS_FFIEC" hidden="1">"c13129"</definedName>
    <definedName name="IQ_COMMODITY_EXPOSURE_FFIEC" hidden="1">"c13061"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"c13596"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MON_STOCK_FFIEC" hidden="1">"c12876"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ICKER_NO_EXCH" hidden="1">"c15490"</definedName>
    <definedName name="IQ_COMPANY_TYPE" hidden="1">"c2096"</definedName>
    <definedName name="IQ_COMPANY_WEBSITE" hidden="1">"c220"</definedName>
    <definedName name="IQ_COMPANY_ZIP" hidden="1">"c221"</definedName>
    <definedName name="IQ_COMPETITOR_ALL" hidden="1">"c13754"</definedName>
    <definedName name="IQ_COMPETITOR_NAMED_BY_COMPANY" hidden="1">"c13751"</definedName>
    <definedName name="IQ_COMPETITOR_NAMED_BY_COMPETITOR" hidden="1">"c13752"</definedName>
    <definedName name="IQ_COMPETITOR_NAMED_BY_THIRDPARTY" hidden="1">"c13753"</definedName>
    <definedName name="IQ_COMPOSITE_CYCLICAL_IND" hidden="1">"c6830"</definedName>
    <definedName name="IQ_COMPOSITE_CYCLICAL_IND_APR" hidden="1">"c7490"</definedName>
    <definedName name="IQ_COMPOSITE_CYCLICAL_IND_APR_FC" hidden="1">"c8370"</definedName>
    <definedName name="IQ_COMPOSITE_CYCLICAL_IND_FC" hidden="1">"c7710"</definedName>
    <definedName name="IQ_COMPOSITE_CYCLICAL_IND_POP" hidden="1">"c7050"</definedName>
    <definedName name="IQ_COMPOSITE_CYCLICAL_IND_POP_FC" hidden="1">"c7930"</definedName>
    <definedName name="IQ_COMPOSITE_CYCLICAL_IND_YOY" hidden="1">"c7270"</definedName>
    <definedName name="IQ_COMPOSITE_CYCLICAL_IND_YOY_FC" hidden="1">"c8150"</definedName>
    <definedName name="IQ_CONSOL_BEDS" hidden="1">"c8782"</definedName>
    <definedName name="IQ_CONSOL_PROP_OPERATIONAL" hidden="1">"c8758"</definedName>
    <definedName name="IQ_CONSOL_PROP_OTHER_OWNED" hidden="1">"c8760"</definedName>
    <definedName name="IQ_CONSOL_PROP_TOTAL" hidden="1">"c8761"</definedName>
    <definedName name="IQ_CONSOL_PROP_UNDEVELOPED" hidden="1">"c8759"</definedName>
    <definedName name="IQ_CONSOL_ROOMS" hidden="1">"c8786"</definedName>
    <definedName name="IQ_CONSOL_SQ_FT_OPERATIONAL" hidden="1">"c8774"</definedName>
    <definedName name="IQ_CONSOL_SQ_FT_OTHER_OWNED" hidden="1">"c8776"</definedName>
    <definedName name="IQ_CONSOL_SQ_FT_TOTAL" hidden="1">"c8777"</definedName>
    <definedName name="IQ_CONSOL_SQ_FT_UNDEVELOPED" hidden="1">"c8775"</definedName>
    <definedName name="IQ_CONSOL_UNITS_OPERATIONAL" hidden="1">"c8766"</definedName>
    <definedName name="IQ_CONSOL_UNITS_OTHER_OWNED" hidden="1">"c8768"</definedName>
    <definedName name="IQ_CONSOL_UNITS_TOTAL" hidden="1">"c8769"</definedName>
    <definedName name="IQ_CONSOL_UNITS_UNDEVELOPED" hidden="1">"c8767"</definedName>
    <definedName name="IQ_CONSOLIDATED_ASSETS_QUARTERLY_AVG_FFIEC" hidden="1">"c13087"</definedName>
    <definedName name="IQ_CONSOLIDATED_NI_FOREIGN_FFIEC" hidden="1">"c15396"</definedName>
    <definedName name="IQ_CONST_LAND_DEV_LOANS_TOT_LOANS_FFIEC" hidden="1">"c13865"</definedName>
    <definedName name="IQ_CONST_LAND_DEVELOP_OTHER_DOM_CHARGE_OFFS_FFIEC" hidden="1">"c13628"</definedName>
    <definedName name="IQ_CONST_LAND_DEVELOP_OTHER_DOM_RECOV_FFIEC" hidden="1">"c13632"</definedName>
    <definedName name="IQ_CONSTRUCTION_DEV_LOANS_FDIC" hidden="1">"c6313"</definedName>
    <definedName name="IQ_CONSTRUCTION_LAND_DEV_DOM_FFIEC" hidden="1">"c15267"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L_REC_DOM_FFIEC" hidden="1">"c12900"</definedName>
    <definedName name="IQ_CONSTRUCTION_LOANS" hidden="1">"c222"</definedName>
    <definedName name="IQ_CONSTRUCTION_LOANS_DOM_DUE_30_89_FFIEC" hidden="1">"c13256"</definedName>
    <definedName name="IQ_CONSTRUCTION_LOANS_DOM_DUE_90_FFIEC" hidden="1">"c13284"</definedName>
    <definedName name="IQ_CONSTRUCTION_LOANS_DOM_NON_ACCRUAL_FFIEC" hidden="1">"c13310"</definedName>
    <definedName name="IQ_CONSTRUCTION_LOANS_GROSS_LOANS_FFIEC" hidden="1">"c13401"</definedName>
    <definedName name="IQ_CONSTRUCTION_LOANS_TOTAL_LOANS" hidden="1">"c15711"</definedName>
    <definedName name="IQ_CONSTRUCTION_RISK_BASED_FFIEC" hidden="1">"c13422"</definedName>
    <definedName name="IQ_CONSULTING_FFIEC" hidden="1">"c13055"</definedName>
    <definedName name="IQ_CONSUMER_COMFORT" hidden="1">"c6831"</definedName>
    <definedName name="IQ_CONSUMER_COMFORT_APR" hidden="1">"c7491"</definedName>
    <definedName name="IQ_CONSUMER_COMFORT_APR_FC" hidden="1">"c8371"</definedName>
    <definedName name="IQ_CONSUMER_COMFORT_FC" hidden="1">"c7711"</definedName>
    <definedName name="IQ_CONSUMER_COMFORT_POP" hidden="1">"c7051"</definedName>
    <definedName name="IQ_CONSUMER_COMFORT_POP_FC" hidden="1">"c7931"</definedName>
    <definedName name="IQ_CONSUMER_CONFIDENCE" hidden="1">"c6832"</definedName>
    <definedName name="IQ_CONSUMER_CONFIDENCE_APR" hidden="1">"c7492"</definedName>
    <definedName name="IQ_CONSUMER_CONFIDENCE_APR_FC" hidden="1">"c8372"</definedName>
    <definedName name="IQ_CONSUMER_CONFIDENCE_FC" hidden="1">"c7712"</definedName>
    <definedName name="IQ_CONSUMER_CONFIDENCE_POP" hidden="1">"c7052"</definedName>
    <definedName name="IQ_CONSUMER_CONFIDENCE_POP_FC" hidden="1">"c7932"</definedName>
    <definedName name="IQ_CONSUMER_CONFIDENCE_YOY" hidden="1">"c7272"</definedName>
    <definedName name="IQ_CONSUMER_CONFIDENCE_YOY_FC" hidden="1">"c8152"</definedName>
    <definedName name="IQ_CONSUMER_LEASES_LL_REC_FFIEC" hidden="1">"c12895"</definedName>
    <definedName name="IQ_CONSUMER_LENDING" hidden="1">"c6833"</definedName>
    <definedName name="IQ_CONSUMER_LENDING_APR" hidden="1">"c7493"</definedName>
    <definedName name="IQ_CONSUMER_LENDING_APR_FC" hidden="1">"c8373"</definedName>
    <definedName name="IQ_CONSUMER_LENDING_FC" hidden="1">"c7713"</definedName>
    <definedName name="IQ_CONSUMER_LENDING_GROSS" hidden="1">"c6878"</definedName>
    <definedName name="IQ_CONSUMER_LENDING_GROSS_APR" hidden="1">"c7538"</definedName>
    <definedName name="IQ_CONSUMER_LENDING_GROSS_APR_FC" hidden="1">"c8418"</definedName>
    <definedName name="IQ_CONSUMER_LENDING_GROSS_FC" hidden="1">"c7758"</definedName>
    <definedName name="IQ_CONSUMER_LENDING_GROSS_POP" hidden="1">"c7098"</definedName>
    <definedName name="IQ_CONSUMER_LENDING_GROSS_POP_FC" hidden="1">"c7978"</definedName>
    <definedName name="IQ_CONSUMER_LENDING_GROSS_YOY" hidden="1">"c7318"</definedName>
    <definedName name="IQ_CONSUMER_LENDING_GROSS_YOY_FC" hidden="1">"c8198"</definedName>
    <definedName name="IQ_CONSUMER_LENDING_NET" hidden="1">"c6922"</definedName>
    <definedName name="IQ_CONSUMER_LENDING_NET_APR" hidden="1">"c7582"</definedName>
    <definedName name="IQ_CONSUMER_LENDING_NET_APR_FC" hidden="1">"c8462"</definedName>
    <definedName name="IQ_CONSUMER_LENDING_NET_FC" hidden="1">"c7802"</definedName>
    <definedName name="IQ_CONSUMER_LENDING_NET_POP" hidden="1">"c7142"</definedName>
    <definedName name="IQ_CONSUMER_LENDING_NET_POP_FC" hidden="1">"c8022"</definedName>
    <definedName name="IQ_CONSUMER_LENDING_NET_YOY" hidden="1">"c7362"</definedName>
    <definedName name="IQ_CONSUMER_LENDING_NET_YOY_FC" hidden="1">"c8242"</definedName>
    <definedName name="IQ_CONSUMER_LENDING_POP" hidden="1">"c7053"</definedName>
    <definedName name="IQ_CONSUMER_LENDING_POP_FC" hidden="1">"c7933"</definedName>
    <definedName name="IQ_CONSUMER_LENDING_TOTAL" hidden="1">"c7018"</definedName>
    <definedName name="IQ_CONSUMER_LENDING_TOTAL_APR" hidden="1">"c7678"</definedName>
    <definedName name="IQ_CONSUMER_LENDING_TOTAL_APR_FC" hidden="1">"c8558"</definedName>
    <definedName name="IQ_CONSUMER_LENDING_TOTAL_FC" hidden="1">"c7898"</definedName>
    <definedName name="IQ_CONSUMER_LENDING_TOTAL_POP" hidden="1">"c7238"</definedName>
    <definedName name="IQ_CONSUMER_LENDING_TOTAL_POP_FC" hidden="1">"c8118"</definedName>
    <definedName name="IQ_CONSUMER_LENDING_TOTAL_YOY" hidden="1">"c7458"</definedName>
    <definedName name="IQ_CONSUMER_LENDING_TOTAL_YOY_FC" hidden="1">"c8338"</definedName>
    <definedName name="IQ_CONSUMER_LENDING_YOY" hidden="1">"c7273"</definedName>
    <definedName name="IQ_CONSUMER_LENDING_YOY_FC" hidden="1">"c8153"</definedName>
    <definedName name="IQ_CONSUMER_LOANS" hidden="1">"c223"</definedName>
    <definedName name="IQ_CONSUMER_LOANS_LL_REC_DOM_FFIEC" hidden="1">"c12911"</definedName>
    <definedName name="IQ_CONSUMER_LOANS_TOT_LOANS_FFIEC" hidden="1">"c13875"</definedName>
    <definedName name="IQ_CONSUMER_LOANS_TOTAL_LOANS" hidden="1">"c15712"</definedName>
    <definedName name="IQ_CONSUMER_SPENDING" hidden="1">"c6834"</definedName>
    <definedName name="IQ_CONSUMER_SPENDING_APR" hidden="1">"c7494"</definedName>
    <definedName name="IQ_CONSUMER_SPENDING_APR_FC" hidden="1">"c8374"</definedName>
    <definedName name="IQ_CONSUMER_SPENDING_DURABLE" hidden="1">"c6835"</definedName>
    <definedName name="IQ_CONSUMER_SPENDING_DURABLE_APR" hidden="1">"c7495"</definedName>
    <definedName name="IQ_CONSUMER_SPENDING_DURABLE_APR_FC" hidden="1">"c8375"</definedName>
    <definedName name="IQ_CONSUMER_SPENDING_DURABLE_FC" hidden="1">"c7715"</definedName>
    <definedName name="IQ_CONSUMER_SPENDING_DURABLE_POP" hidden="1">"c7055"</definedName>
    <definedName name="IQ_CONSUMER_SPENDING_DURABLE_POP_FC" hidden="1">"c7935"</definedName>
    <definedName name="IQ_CONSUMER_SPENDING_DURABLE_REAL" hidden="1">"c6964"</definedName>
    <definedName name="IQ_CONSUMER_SPENDING_DURABLE_REAL_APR" hidden="1">"c7624"</definedName>
    <definedName name="IQ_CONSUMER_SPENDING_DURABLE_REAL_APR_FC" hidden="1">"c8504"</definedName>
    <definedName name="IQ_CONSUMER_SPENDING_DURABLE_REAL_FC" hidden="1">"c7844"</definedName>
    <definedName name="IQ_CONSUMER_SPENDING_DURABLE_REAL_POP" hidden="1">"c7184"</definedName>
    <definedName name="IQ_CONSUMER_SPENDING_DURABLE_REAL_POP_FC" hidden="1">"c8064"</definedName>
    <definedName name="IQ_CONSUMER_SPENDING_DURABLE_REAL_SAAR" hidden="1">"c6965"</definedName>
    <definedName name="IQ_CONSUMER_SPENDING_DURABLE_REAL_SAAR_APR" hidden="1">"c7625"</definedName>
    <definedName name="IQ_CONSUMER_SPENDING_DURABLE_REAL_SAAR_APR_FC" hidden="1">"c8505"</definedName>
    <definedName name="IQ_CONSUMER_SPENDING_DURABLE_REAL_SAAR_FC" hidden="1">"c7845"</definedName>
    <definedName name="IQ_CONSUMER_SPENDING_DURABLE_REAL_SAAR_POP" hidden="1">"c7185"</definedName>
    <definedName name="IQ_CONSUMER_SPENDING_DURABLE_REAL_SAAR_POP_FC" hidden="1">"c8065"</definedName>
    <definedName name="IQ_CONSUMER_SPENDING_DURABLE_REAL_SAAR_YOY" hidden="1">"c7405"</definedName>
    <definedName name="IQ_CONSUMER_SPENDING_DURABLE_REAL_SAAR_YOY_FC" hidden="1">"c8285"</definedName>
    <definedName name="IQ_CONSUMER_SPENDING_DURABLE_REAL_YOY" hidden="1">"c7404"</definedName>
    <definedName name="IQ_CONSUMER_SPENDING_DURABLE_REAL_YOY_FC" hidden="1">"c8284"</definedName>
    <definedName name="IQ_CONSUMER_SPENDING_DURABLE_YOY" hidden="1">"c7275"</definedName>
    <definedName name="IQ_CONSUMER_SPENDING_DURABLE_YOY_FC" hidden="1">"c8155"</definedName>
    <definedName name="IQ_CONSUMER_SPENDING_FC" hidden="1">"c7714"</definedName>
    <definedName name="IQ_CONSUMER_SPENDING_NONDURABLE" hidden="1">"c6836"</definedName>
    <definedName name="IQ_CONSUMER_SPENDING_NONDURABLE_APR" hidden="1">"c7496"</definedName>
    <definedName name="IQ_CONSUMER_SPENDING_NONDURABLE_APR_FC" hidden="1">"c8376"</definedName>
    <definedName name="IQ_CONSUMER_SPENDING_NONDURABLE_FC" hidden="1">"c7716"</definedName>
    <definedName name="IQ_CONSUMER_SPENDING_NONDURABLE_POP" hidden="1">"c7056"</definedName>
    <definedName name="IQ_CONSUMER_SPENDING_NONDURABLE_POP_FC" hidden="1">"c7936"</definedName>
    <definedName name="IQ_CONSUMER_SPENDING_NONDURABLE_REAL" hidden="1">"c6966"</definedName>
    <definedName name="IQ_CONSUMER_SPENDING_NONDURABLE_REAL_APR" hidden="1">"c7626"</definedName>
    <definedName name="IQ_CONSUMER_SPENDING_NONDURABLE_REAL_APR_FC" hidden="1">"c8506"</definedName>
    <definedName name="IQ_CONSUMER_SPENDING_NONDURABLE_REAL_FC" hidden="1">"c7846"</definedName>
    <definedName name="IQ_CONSUMER_SPENDING_NONDURABLE_REAL_POP" hidden="1">"c7186"</definedName>
    <definedName name="IQ_CONSUMER_SPENDING_NONDURABLE_REAL_POP_FC" hidden="1">"c8066"</definedName>
    <definedName name="IQ_CONSUMER_SPENDING_NONDURABLE_REAL_SAAR" hidden="1">"c6967"</definedName>
    <definedName name="IQ_CONSUMER_SPENDING_NONDURABLE_REAL_SAAR_APR" hidden="1">"c7627"</definedName>
    <definedName name="IQ_CONSUMER_SPENDING_NONDURABLE_REAL_SAAR_APR_FC" hidden="1">"c8507"</definedName>
    <definedName name="IQ_CONSUMER_SPENDING_NONDURABLE_REAL_SAAR_FC" hidden="1">"c7847"</definedName>
    <definedName name="IQ_CONSUMER_SPENDING_NONDURABLE_REAL_SAAR_POP" hidden="1">"c7187"</definedName>
    <definedName name="IQ_CONSUMER_SPENDING_NONDURABLE_REAL_SAAR_POP_FC" hidden="1">"c8067"</definedName>
    <definedName name="IQ_CONSUMER_SPENDING_NONDURABLE_REAL_SAAR_YOY" hidden="1">"c7407"</definedName>
    <definedName name="IQ_CONSUMER_SPENDING_NONDURABLE_REAL_SAAR_YOY_FC" hidden="1">"c8287"</definedName>
    <definedName name="IQ_CONSUMER_SPENDING_NONDURABLE_REAL_YOY" hidden="1">"c7406"</definedName>
    <definedName name="IQ_CONSUMER_SPENDING_NONDURABLE_REAL_YOY_FC" hidden="1">"c8286"</definedName>
    <definedName name="IQ_CONSUMER_SPENDING_NONDURABLE_YOY" hidden="1">"c7276"</definedName>
    <definedName name="IQ_CONSUMER_SPENDING_NONDURABLE_YOY_FC" hidden="1">"c8156"</definedName>
    <definedName name="IQ_CONSUMER_SPENDING_POP" hidden="1">"c7054"</definedName>
    <definedName name="IQ_CONSUMER_SPENDING_POP_FC" hidden="1">"c7934"</definedName>
    <definedName name="IQ_CONSUMER_SPENDING_REAL" hidden="1">"c6963"</definedName>
    <definedName name="IQ_CONSUMER_SPENDING_REAL_APR" hidden="1">"c7623"</definedName>
    <definedName name="IQ_CONSUMER_SPENDING_REAL_APR_FC" hidden="1">"c8503"</definedName>
    <definedName name="IQ_CONSUMER_SPENDING_REAL_FC" hidden="1">"c7843"</definedName>
    <definedName name="IQ_CONSUMER_SPENDING_REAL_POP" hidden="1">"c7183"</definedName>
    <definedName name="IQ_CONSUMER_SPENDING_REAL_POP_FC" hidden="1">"c8063"</definedName>
    <definedName name="IQ_CONSUMER_SPENDING_REAL_SAAR" hidden="1">"c6968"</definedName>
    <definedName name="IQ_CONSUMER_SPENDING_REAL_SAAR_APR" hidden="1">"c7628"</definedName>
    <definedName name="IQ_CONSUMER_SPENDING_REAL_SAAR_APR_FC" hidden="1">"c8508"</definedName>
    <definedName name="IQ_CONSUMER_SPENDING_REAL_SAAR_FC" hidden="1">"c7848"</definedName>
    <definedName name="IQ_CONSUMER_SPENDING_REAL_SAAR_POP" hidden="1">"c7188"</definedName>
    <definedName name="IQ_CONSUMER_SPENDING_REAL_SAAR_POP_FC" hidden="1">"c8068"</definedName>
    <definedName name="IQ_CONSUMER_SPENDING_REAL_SAAR_YOY" hidden="1">"c7408"</definedName>
    <definedName name="IQ_CONSUMER_SPENDING_REAL_SAAR_YOY_FC" hidden="1">"c8288"</definedName>
    <definedName name="IQ_CONSUMER_SPENDING_REAL_USD_APR_FC" hidden="1">"c11921"</definedName>
    <definedName name="IQ_CONSUMER_SPENDING_REAL_USD_FC" hidden="1">"c11918"</definedName>
    <definedName name="IQ_CONSUMER_SPENDING_REAL_USD_POP_FC" hidden="1">"c11919"</definedName>
    <definedName name="IQ_CONSUMER_SPENDING_REAL_USD_YOY_FC" hidden="1">"c11920"</definedName>
    <definedName name="IQ_CONSUMER_SPENDING_REAL_YOY" hidden="1">"c7403"</definedName>
    <definedName name="IQ_CONSUMER_SPENDING_REAL_YOY_FC" hidden="1">"c8283"</definedName>
    <definedName name="IQ_CONSUMER_SPENDING_SERVICES" hidden="1">"c6837"</definedName>
    <definedName name="IQ_CONSUMER_SPENDING_SERVICES_APR" hidden="1">"c7497"</definedName>
    <definedName name="IQ_CONSUMER_SPENDING_SERVICES_APR_FC" hidden="1">"c8377"</definedName>
    <definedName name="IQ_CONSUMER_SPENDING_SERVICES_FC" hidden="1">"c7717"</definedName>
    <definedName name="IQ_CONSUMER_SPENDING_SERVICES_POP" hidden="1">"c7057"</definedName>
    <definedName name="IQ_CONSUMER_SPENDING_SERVICES_POP_FC" hidden="1">"c7937"</definedName>
    <definedName name="IQ_CONSUMER_SPENDING_SERVICES_REAL" hidden="1">"c6969"</definedName>
    <definedName name="IQ_CONSUMER_SPENDING_SERVICES_REAL_APR" hidden="1">"c7629"</definedName>
    <definedName name="IQ_CONSUMER_SPENDING_SERVICES_REAL_APR_FC" hidden="1">"c8509"</definedName>
    <definedName name="IQ_CONSUMER_SPENDING_SERVICES_REAL_FC" hidden="1">"c7849"</definedName>
    <definedName name="IQ_CONSUMER_SPENDING_SERVICES_REAL_POP" hidden="1">"c7189"</definedName>
    <definedName name="IQ_CONSUMER_SPENDING_SERVICES_REAL_POP_FC" hidden="1">"c8069"</definedName>
    <definedName name="IQ_CONSUMER_SPENDING_SERVICES_REAL_SAAR" hidden="1">"c6970"</definedName>
    <definedName name="IQ_CONSUMER_SPENDING_SERVICES_REAL_SAAR_APR" hidden="1">"c7630"</definedName>
    <definedName name="IQ_CONSUMER_SPENDING_SERVICES_REAL_SAAR_APR_FC" hidden="1">"c8510"</definedName>
    <definedName name="IQ_CONSUMER_SPENDING_SERVICES_REAL_SAAR_FC" hidden="1">"c7850"</definedName>
    <definedName name="IQ_CONSUMER_SPENDING_SERVICES_REAL_SAAR_POP" hidden="1">"c7190"</definedName>
    <definedName name="IQ_CONSUMER_SPENDING_SERVICES_REAL_SAAR_POP_FC" hidden="1">"c8070"</definedName>
    <definedName name="IQ_CONSUMER_SPENDING_SERVICES_REAL_SAAR_YOY" hidden="1">"c7410"</definedName>
    <definedName name="IQ_CONSUMER_SPENDING_SERVICES_REAL_SAAR_YOY_FC" hidden="1">"c8290"</definedName>
    <definedName name="IQ_CONSUMER_SPENDING_SERVICES_REAL_YOY" hidden="1">"c7409"</definedName>
    <definedName name="IQ_CONSUMER_SPENDING_SERVICES_REAL_YOY_FC" hidden="1">"c8289"</definedName>
    <definedName name="IQ_CONSUMER_SPENDING_SERVICES_YOY" hidden="1">"c7277"</definedName>
    <definedName name="IQ_CONSUMER_SPENDING_SERVICES_YOY_FC" hidden="1">"c8157"</definedName>
    <definedName name="IQ_CONSUMER_SPENDING_YOY" hidden="1">"c7274"</definedName>
    <definedName name="IQ_CONSUMER_SPENDING_YOY_FC" hidden="1">"c8154"</definedName>
    <definedName name="IQ_CONTINGENT_LIABILITIES" hidden="1">"c18873"</definedName>
    <definedName name="IQ_CONTRACT_OBLIGATION_AFTER_FIVE" hidden="1">"c15691"</definedName>
    <definedName name="IQ_CONTRACT_OBLIGATION_CY" hidden="1">"c15685"</definedName>
    <definedName name="IQ_CONTRACT_OBLIGATION_CY1" hidden="1">"c15686"</definedName>
    <definedName name="IQ_CONTRACT_OBLIGATION_CY2" hidden="1">"c15687"</definedName>
    <definedName name="IQ_CONTRACT_OBLIGATION_CY3" hidden="1">"c15688"</definedName>
    <definedName name="IQ_CONTRACT_OBLIGATION_CY4" hidden="1">"c15689"</definedName>
    <definedName name="IQ_CONTRACT_OBLIGATION_NEXT_FIVE" hidden="1">"c15690"</definedName>
    <definedName name="IQ_CONTRACT_OBLIGATION_TOTAL" hidden="1">"c15692"</definedName>
    <definedName name="IQ_CONTRACTS_OTHER_COMMODITIES_EQUITIES_FDIC" hidden="1">"c6522"</definedName>
    <definedName name="IQ_CONTRACTS_OTHER_COMMODITIES_EQUITIES._FDIC" hidden="1">"c6522"</definedName>
    <definedName name="IQ_CONTRIB_ID_DET_EST" hidden="1">"c12045"</definedName>
    <definedName name="IQ_CONTRIB_ID_DET_EST_CIQ" hidden="1">"c12105"</definedName>
    <definedName name="IQ_CONTRIB_ID_DET_EST_THOM" hidden="1">"c12073"</definedName>
    <definedName name="IQ_CONTRIB_ID_NON_PER_DET_EST" hidden="1">"c13824"</definedName>
    <definedName name="IQ_CONTRIB_ID_NON_PER_DET_EST_CIQ" hidden="1">"c13825"</definedName>
    <definedName name="IQ_CONTRIB_NAME_DET_EST" hidden="1">"c12046"</definedName>
    <definedName name="IQ_CONTRIB_NAME_DET_EST_CIQ" hidden="1">"c12106"</definedName>
    <definedName name="IQ_CONTRIB_NAME_DET_EST_THOM" hidden="1">"c12074"</definedName>
    <definedName name="IQ_CONTRIB_NAME_NON_PER_DET_EST" hidden="1">"c12760"</definedName>
    <definedName name="IQ_CONTRIB_NAME_NON_PER_DET_EST_CIQ" hidden="1">"c12761"</definedName>
    <definedName name="IQ_CONTRIB_NAME_NON_PER_DET_EST_THOM" hidden="1">"c12764"</definedName>
    <definedName name="IQ_CONTRIB_REC_DET_EST" hidden="1">"c12051"</definedName>
    <definedName name="IQ_CONTRIB_REC_DET_EST_CIQ" hidden="1">"c12111"</definedName>
    <definedName name="IQ_CONTRIB_REC_DET_EST_DATE" hidden="1">"c12204"</definedName>
    <definedName name="IQ_CONTRIB_REC_DET_EST_DATE_CIQ" hidden="1">"c12257"</definedName>
    <definedName name="IQ_CONTRIB_REC_DET_EST_DATE_THOM" hidden="1">"c12230"</definedName>
    <definedName name="IQ_CONTRIB_REC_DET_EST_ORIGIN" hidden="1">"c12577"</definedName>
    <definedName name="IQ_CONTRIB_REC_DET_EST_ORIGIN_CIQ" hidden="1">"c12626"</definedName>
    <definedName name="IQ_CONTRIB_REC_DET_EST_ORIGIN_THOM" hidden="1">"c12600"</definedName>
    <definedName name="IQ_CONTRIB_REC_DET_EST_THOM" hidden="1">"c12080"</definedName>
    <definedName name="IQ_CONTRIBUTOR_CIQID" hidden="1">"c13742"</definedName>
    <definedName name="IQ_CONTRIBUTOR_NAME" hidden="1">"c13735"</definedName>
    <definedName name="IQ_CONTRIBUTOR_START_DATE" hidden="1">"c13741"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SION_COMMON_FFIEC" hidden="1">"c12964"</definedName>
    <definedName name="IQ_CONVERSION_PREF_FFIEC" hidden="1">"c12962"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O_ID" hidden="1">"c15222"</definedName>
    <definedName name="IQ_COO_NAME" hidden="1">"c15221"</definedName>
    <definedName name="IQ_CORE_CAPITAL_RATIO_FDIC" hidden="1">"c6745"</definedName>
    <definedName name="IQ_CORE_DEPOSITS_ASSETS_TOT_FFIEC" hidden="1">"c13442"</definedName>
    <definedName name="IQ_CORE_DEPOSITS_FFIEC" hidden="1">"c13862"</definedName>
    <definedName name="IQ_CORE_DEPOSITS_TOT_DEPOSITS_FFIEC" hidden="1">"c13911"</definedName>
    <definedName name="IQ_CORE_TIER_ONE_CAPITAL" hidden="1">"c15244"</definedName>
    <definedName name="IQ_CORE_TIER_ONE_CAPITAL_RATIO" hidden="1">"c15240"</definedName>
    <definedName name="IQ_CORP_GOODS_PRICE_INDEX_APR_FC_UNUSED" hidden="1">"c8381"</definedName>
    <definedName name="IQ_CORP_GOODS_PRICE_INDEX_APR_FC_UNUSED_UNUSED_UNUSED" hidden="1">"c8381"</definedName>
    <definedName name="IQ_CORP_GOODS_PRICE_INDEX_APR_UNUSED" hidden="1">"c7501"</definedName>
    <definedName name="IQ_CORP_GOODS_PRICE_INDEX_APR_UNUSED_UNUSED_UNUSED" hidden="1">"c7501"</definedName>
    <definedName name="IQ_CORP_GOODS_PRICE_INDEX_FC_UNUSED" hidden="1">"c7721"</definedName>
    <definedName name="IQ_CORP_GOODS_PRICE_INDEX_FC_UNUSED_UNUSED_UNUSED" hidden="1">"c7721"</definedName>
    <definedName name="IQ_CORP_GOODS_PRICE_INDEX_POP_FC_UNUSED" hidden="1">"c7941"</definedName>
    <definedName name="IQ_CORP_GOODS_PRICE_INDEX_POP_FC_UNUSED_UNUSED_UNUSED" hidden="1">"c7941"</definedName>
    <definedName name="IQ_CORP_GOODS_PRICE_INDEX_POP_UNUSED" hidden="1">"c7061"</definedName>
    <definedName name="IQ_CORP_GOODS_PRICE_INDEX_POP_UNUSED_UNUSED_UNUSED" hidden="1">"c7061"</definedName>
    <definedName name="IQ_CORP_GOODS_PRICE_INDEX_UNUSED" hidden="1">"c6841"</definedName>
    <definedName name="IQ_CORP_GOODS_PRICE_INDEX_UNUSED_UNUSED_UNUSED" hidden="1">"c6841"</definedName>
    <definedName name="IQ_CORP_GOODS_PRICE_INDEX_YOY_FC_UNUSED" hidden="1">"c8161"</definedName>
    <definedName name="IQ_CORP_GOODS_PRICE_INDEX_YOY_FC_UNUSED_UNUSED_UNUSED" hidden="1">"c8161"</definedName>
    <definedName name="IQ_CORP_GOODS_PRICE_INDEX_YOY_UNUSED" hidden="1">"c7281"</definedName>
    <definedName name="IQ_CORP_GOODS_PRICE_INDEX_YOY_UNUSED_UNUSED_UNUSED" hidden="1">"c7281"</definedName>
    <definedName name="IQ_CORP_PROFITS" hidden="1">"c6843"</definedName>
    <definedName name="IQ_CORP_PROFITS_AFTER_TAX_SAAR" hidden="1">"c6842"</definedName>
    <definedName name="IQ_CORP_PROFITS_AFTER_TAX_SAAR_APR" hidden="1">"c7502"</definedName>
    <definedName name="IQ_CORP_PROFITS_AFTER_TAX_SAAR_APR_FC" hidden="1">"c8382"</definedName>
    <definedName name="IQ_CORP_PROFITS_AFTER_TAX_SAAR_FC" hidden="1">"c7722"</definedName>
    <definedName name="IQ_CORP_PROFITS_AFTER_TAX_SAAR_POP" hidden="1">"c7062"</definedName>
    <definedName name="IQ_CORP_PROFITS_AFTER_TAX_SAAR_POP_FC" hidden="1">"c7942"</definedName>
    <definedName name="IQ_CORP_PROFITS_AFTER_TAX_SAAR_YOY" hidden="1">"c7282"</definedName>
    <definedName name="IQ_CORP_PROFITS_AFTER_TAX_SAAR_YOY_FC" hidden="1">"c8162"</definedName>
    <definedName name="IQ_CORP_PROFITS_APR" hidden="1">"c7503"</definedName>
    <definedName name="IQ_CORP_PROFITS_APR_FC" hidden="1">"c8383"</definedName>
    <definedName name="IQ_CORP_PROFITS_FC" hidden="1">"c7723"</definedName>
    <definedName name="IQ_CORP_PROFITS_POP" hidden="1">"c7063"</definedName>
    <definedName name="IQ_CORP_PROFITS_POP_FC" hidden="1">"c7943"</definedName>
    <definedName name="IQ_CORP_PROFITS_SAAR" hidden="1">"c6844"</definedName>
    <definedName name="IQ_CORP_PROFITS_SAAR_APR" hidden="1">"c7504"</definedName>
    <definedName name="IQ_CORP_PROFITS_SAAR_APR_FC" hidden="1">"c8384"</definedName>
    <definedName name="IQ_CORP_PROFITS_SAAR_FC" hidden="1">"c7724"</definedName>
    <definedName name="IQ_CORP_PROFITS_SAAR_POP" hidden="1">"c7064"</definedName>
    <definedName name="IQ_CORP_PROFITS_SAAR_POP_FC" hidden="1">"c7944"</definedName>
    <definedName name="IQ_CORP_PROFITS_SAAR_YOY" hidden="1">"c7284"</definedName>
    <definedName name="IQ_CORP_PROFITS_SAAR_YOY_FC" hidden="1">"c8164"</definedName>
    <definedName name="IQ_CORP_PROFITS_YOY" hidden="1">"c7283"</definedName>
    <definedName name="IQ_CORP_PROFITS_YOY_FC" hidden="1">"c8163"</definedName>
    <definedName name="IQ_CORPORATE_OVER_TOTAL" hidden="1">"c13767"</definedName>
    <definedName name="IQ_COST_BORROWED_FUNDS_FFIEC" hidden="1">"c13492"</definedName>
    <definedName name="IQ_COST_BORROWING" hidden="1">"c2936"</definedName>
    <definedName name="IQ_COST_BORROWINGS" hidden="1">"c225"</definedName>
    <definedName name="IQ_COST_CAPITAL_NEW_BUSINESS" hidden="1">"c9968"</definedName>
    <definedName name="IQ_COST_FOREIGN_DEPOSITS_FFIEC" hidden="1">"c13490"</definedName>
    <definedName name="IQ_COST_FUNDS" hidden="1">"c15726"</definedName>
    <definedName name="IQ_COST_FUNDS_PURCHASED_FFIEC" hidden="1">"c13491"</definedName>
    <definedName name="IQ_COST_INT_DEPOSITS_FFIEC" hidden="1">"c13489"</definedName>
    <definedName name="IQ_COST_OF_FUNDING_ASSETS_FDIC" hidden="1">"c6725"</definedName>
    <definedName name="IQ_COST_REV" hidden="1">"c226"</definedName>
    <definedName name="IQ_COST_REVENUE" hidden="1">"c1359"</definedName>
    <definedName name="IQ_COST_SALES_COAL" hidden="1">"c15933"</definedName>
    <definedName name="IQ_COST_SALES_PER_UNIT_SOLD_COAL" hidden="1">"c15944"</definedName>
    <definedName name="IQ_COST_SALES_TO_SALES_COAL" hidden="1">"c15951"</definedName>
    <definedName name="IQ_COST_SAVINGS" hidden="1">"c227"</definedName>
    <definedName name="IQ_COST_SERVICE" hidden="1">"c228"</definedName>
    <definedName name="IQ_COST_SOLVENCY_CAPITAL_COVERED" hidden="1">"c9965"</definedName>
    <definedName name="IQ_COST_SOLVENCY_CAPITAL_GROUP" hidden="1">"c9951"</definedName>
    <definedName name="IQ_COST_TOTAL_BORROWINGS" hidden="1">"c229"</definedName>
    <definedName name="IQ_COUNTRY_NAME" hidden="1">"c230"</definedName>
    <definedName name="IQ_COUNTRY_NAME_ECON" hidden="1">"c11752"</definedName>
    <definedName name="IQ_COUPON_FORMULA" hidden="1">"c8965"</definedName>
    <definedName name="IQ_COVERAGE_RATIO" hidden="1">"c15243"</definedName>
    <definedName name="IQ_COVERED_POPS" hidden="1">"c2124"</definedName>
    <definedName name="IQ_COVERED_WIRELESS_POPS" hidden="1">"c2124"</definedName>
    <definedName name="IQ_CP" hidden="1">"c2495"</definedName>
    <definedName name="IQ_CP_PCT" hidden="1">"c2496"</definedName>
    <definedName name="IQ_CPI" hidden="1">"c6845"</definedName>
    <definedName name="IQ_CPI_APR" hidden="1">"c7505"</definedName>
    <definedName name="IQ_CPI_APR_FC" hidden="1">"c8385"</definedName>
    <definedName name="IQ_CPI_CORE" hidden="1">"c6838"</definedName>
    <definedName name="IQ_CPI_CORE_APR" hidden="1">"c7498"</definedName>
    <definedName name="IQ_CPI_CORE_POP" hidden="1">"c7058"</definedName>
    <definedName name="IQ_CPI_CORE_YOY" hidden="1">"c7278"</definedName>
    <definedName name="IQ_CPI_FC" hidden="1">"c7725"</definedName>
    <definedName name="IQ_CPI_POP" hidden="1">"c7065"</definedName>
    <definedName name="IQ_CPI_POP_FC" hidden="1">"c7945"</definedName>
    <definedName name="IQ_CPI_YOY" hidden="1">"c7285"</definedName>
    <definedName name="IQ_CPI_YOY_FC" hidden="1">"c8165"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GROSS_LOANS_FFIEC" hidden="1">"c13412"</definedName>
    <definedName name="IQ_CREDIT_CARD_INTERCHANGE_FEES_FFIEC" hidden="1">"c13046"</definedName>
    <definedName name="IQ_CREDIT_CARD_LINES_FDIC" hidden="1">"c6525"</definedName>
    <definedName name="IQ_CREDIT_CARD_LINES_UNUSED_FFIEC" hidden="1">"c13242"</definedName>
    <definedName name="IQ_CREDIT_CARD_LOANS_CHARGE_OFFS_FFIEC" hidden="1">"c13180"</definedName>
    <definedName name="IQ_CREDIT_CARD_LOANS_DOM_QUARTERLY_AVG_FFIEC" hidden="1">"c15480"</definedName>
    <definedName name="IQ_CREDIT_CARD_LOANS_DUE_30_89_FFIEC" hidden="1">"c13272"</definedName>
    <definedName name="IQ_CREDIT_CARD_LOANS_DUE_90_FFIEC" hidden="1">"c13298"</definedName>
    <definedName name="IQ_CREDIT_CARD_LOANS_FDIC" hidden="1">"c6319"</definedName>
    <definedName name="IQ_CREDIT_CARD_LOANS_NON_ACCRUAL_FFIEC" hidden="1">"c13324"</definedName>
    <definedName name="IQ_CREDIT_CARD_LOANS_RECOV_FFIEC" hidden="1">"c13202"</definedName>
    <definedName name="IQ_CREDIT_CARD_NET_CHARGE_OFFS_FDIC" hidden="1">"c6654"</definedName>
    <definedName name="IQ_CREDIT_CARD_RECOVERIES_FDIC" hidden="1">"c6653"</definedName>
    <definedName name="IQ_CREDIT_CARD_RISK_BASED_FFIEC" hidden="1">"c13433"</definedName>
    <definedName name="IQ_CREDIT_CARDS_CONSUMER_LOANS_FFIEC" hidden="1">"c12822"</definedName>
    <definedName name="IQ_CREDIT_CARDS_LL_REC_FFIEC" hidden="1">"c12889"</definedName>
    <definedName name="IQ_CREDIT_CARDS_LOANS_TRADING_DOM_FFIEC" hidden="1">"c12933"</definedName>
    <definedName name="IQ_CREDIT_EXPOSURE" hidden="1">"c10038"</definedName>
    <definedName name="IQ_CREDIT_EXPOSURE_FFIEC" hidden="1">"c13062"</definedName>
    <definedName name="IQ_CREDIT_LOSS_CF" hidden="1">"c232"</definedName>
    <definedName name="IQ_CREDIT_LOSS_PROVISION_NET_CHARGE_OFFS_FDIC" hidden="1">"c6734"</definedName>
    <definedName name="IQ_CREDIT_LOSSES_DERIVATIVES_FFIEC" hidden="1">"c13068"</definedName>
    <definedName name="IQ_CREDIT_OPTIONS_DERIVATIVES_BENEFICIARY_FFIEC" hidden="1">"c13121"</definedName>
    <definedName name="IQ_CREDIT_OPTIONS_DERIVATIVES_GUARANTOR_FFIEC" hidden="1">"c13114"</definedName>
    <definedName name="IQ_CUMULATIVE_PREFERREDS_T2_FFIEC" hidden="1">"c13145"</definedName>
    <definedName name="IQ_CUMULATIVE_SPLIT_FACTOR" hidden="1">"c2094"</definedName>
    <definedName name="IQ_CURR_ACCT_BALANCE_APR_FC_UNUSED" hidden="1">"c8387"</definedName>
    <definedName name="IQ_CURR_ACCT_BALANCE_APR_FC_UNUSED_UNUSED_UNUSED" hidden="1">"c8387"</definedName>
    <definedName name="IQ_CURR_ACCT_BALANCE_APR_UNUSED" hidden="1">"c7507"</definedName>
    <definedName name="IQ_CURR_ACCT_BALANCE_APR_UNUSED_UNUSED_UNUSED" hidden="1">"c7507"</definedName>
    <definedName name="IQ_CURR_ACCT_BALANCE_FC_UNUSED" hidden="1">"c7727"</definedName>
    <definedName name="IQ_CURR_ACCT_BALANCE_FC_UNUSED_UNUSED_UNUSED" hidden="1">"c7727"</definedName>
    <definedName name="IQ_CURR_ACCT_BALANCE_PCT" hidden="1">"c6846"</definedName>
    <definedName name="IQ_CURR_ACCT_BALANCE_PCT_FC" hidden="1">"c7726"</definedName>
    <definedName name="IQ_CURR_ACCT_BALANCE_PCT_POP" hidden="1">"c7066"</definedName>
    <definedName name="IQ_CURR_ACCT_BALANCE_PCT_POP_FC" hidden="1">"c7946"</definedName>
    <definedName name="IQ_CURR_ACCT_BALANCE_PCT_YOY" hidden="1">"c7286"</definedName>
    <definedName name="IQ_CURR_ACCT_BALANCE_PCT_YOY_FC" hidden="1">"c8166"</definedName>
    <definedName name="IQ_CURR_ACCT_BALANCE_POP_FC_UNUSED" hidden="1">"c7947"</definedName>
    <definedName name="IQ_CURR_ACCT_BALANCE_POP_FC_UNUSED_UNUSED_UNUSED" hidden="1">"c7947"</definedName>
    <definedName name="IQ_CURR_ACCT_BALANCE_POP_UNUSED" hidden="1">"c7067"</definedName>
    <definedName name="IQ_CURR_ACCT_BALANCE_POP_UNUSED_UNUSED_UNUSED" hidden="1">"c7067"</definedName>
    <definedName name="IQ_CURR_ACCT_BALANCE_SAAR" hidden="1">"c6848"</definedName>
    <definedName name="IQ_CURR_ACCT_BALANCE_SAAR_APR" hidden="1">"c7508"</definedName>
    <definedName name="IQ_CURR_ACCT_BALANCE_SAAR_APR_FC" hidden="1">"c8388"</definedName>
    <definedName name="IQ_CURR_ACCT_BALANCE_SAAR_FC" hidden="1">"c7728"</definedName>
    <definedName name="IQ_CURR_ACCT_BALANCE_SAAR_POP" hidden="1">"c7068"</definedName>
    <definedName name="IQ_CURR_ACCT_BALANCE_SAAR_POP_FC" hidden="1">"c7948"</definedName>
    <definedName name="IQ_CURR_ACCT_BALANCE_SAAR_USD_APR_FC" hidden="1">"c11797"</definedName>
    <definedName name="IQ_CURR_ACCT_BALANCE_SAAR_USD_FC" hidden="1">"c11794"</definedName>
    <definedName name="IQ_CURR_ACCT_BALANCE_SAAR_USD_POP_FC" hidden="1">"c11795"</definedName>
    <definedName name="IQ_CURR_ACCT_BALANCE_SAAR_USD_YOY_FC" hidden="1">"c11796"</definedName>
    <definedName name="IQ_CURR_ACCT_BALANCE_SAAR_YOY" hidden="1">"c7288"</definedName>
    <definedName name="IQ_CURR_ACCT_BALANCE_SAAR_YOY_FC" hidden="1">"c8168"</definedName>
    <definedName name="IQ_CURR_ACCT_BALANCE_UNUSED" hidden="1">"c6847"</definedName>
    <definedName name="IQ_CURR_ACCT_BALANCE_UNUSED_UNUSED_UNUSED" hidden="1">"c6847"</definedName>
    <definedName name="IQ_CURR_ACCT_BALANCE_USD" hidden="1">"c11786"</definedName>
    <definedName name="IQ_CURR_ACCT_BALANCE_USD_APR" hidden="1">"c11789"</definedName>
    <definedName name="IQ_CURR_ACCT_BALANCE_USD_APR_FC" hidden="1">"c11793"</definedName>
    <definedName name="IQ_CURR_ACCT_BALANCE_USD_FC" hidden="1">"c11790"</definedName>
    <definedName name="IQ_CURR_ACCT_BALANCE_USD_POP" hidden="1">"c11787"</definedName>
    <definedName name="IQ_CURR_ACCT_BALANCE_USD_POP_FC" hidden="1">"c11791"</definedName>
    <definedName name="IQ_CURR_ACCT_BALANCE_USD_YOY" hidden="1">"c11788"</definedName>
    <definedName name="IQ_CURR_ACCT_BALANCE_USD_YOY_FC" hidden="1">"c11792"</definedName>
    <definedName name="IQ_CURR_ACCT_BALANCE_YOY_FC_UNUSED" hidden="1">"c8167"</definedName>
    <definedName name="IQ_CURR_ACCT_BALANCE_YOY_FC_UNUSED_UNUSED_UNUSED" hidden="1">"c8167"</definedName>
    <definedName name="IQ_CURR_ACCT_BALANCE_YOY_UNUSED" hidden="1">"c7287"</definedName>
    <definedName name="IQ_CURR_ACCT_BALANCE_YOY_UNUSED_UNUSED_UNUSED" hidden="1">"c7287"</definedName>
    <definedName name="IQ_CURR_ACCT_INC_RECEIPTS" hidden="1">"c6849"</definedName>
    <definedName name="IQ_CURR_ACCT_INC_RECEIPTS_APR" hidden="1">"c7509"</definedName>
    <definedName name="IQ_CURR_ACCT_INC_RECEIPTS_APR_FC" hidden="1">"c8389"</definedName>
    <definedName name="IQ_CURR_ACCT_INC_RECEIPTS_FC" hidden="1">"c7729"</definedName>
    <definedName name="IQ_CURR_ACCT_INC_RECEIPTS_POP" hidden="1">"c7069"</definedName>
    <definedName name="IQ_CURR_ACCT_INC_RECEIPTS_POP_FC" hidden="1">"c7949"</definedName>
    <definedName name="IQ_CURR_ACCT_INC_RECEIPTS_YOY" hidden="1">"c7289"</definedName>
    <definedName name="IQ_CURR_ACCT_INC_RECEIPTS_YOY_FC" hidden="1">"c8169"</definedName>
    <definedName name="IQ_CURR_DOMESTIC_TAXES" hidden="1">"c2074"</definedName>
    <definedName name="IQ_CURR_FOREIGN_TAXES" hidden="1">"c2075"</definedName>
    <definedName name="IQ_CURRENCY_COIN_DOM_FFIEC" hidden="1">"c15287"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USIP" hidden="1">"c2245"</definedName>
    <definedName name="IQ_CUST_PREMISE_EQUIP_CABLE_INVEST" hidden="1">"c15801"</definedName>
    <definedName name="IQ_CUSTOMER_LIAB_ACCEPTANCES_OUT_FFIEC" hidden="1">"c12835"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TA_PROCESSING_EXP_FFIEC" hidden="1">"c13047"</definedName>
    <definedName name="IQ_DATED_DATE" hidden="1">"c2185"</definedName>
    <definedName name="IQ_DAY_COUNT" hidden="1">"c2161"</definedName>
    <definedName name="IQ_DAYS_COVER_SHORT" hidden="1">"c1578"</definedName>
    <definedName name="IQ_DAYS_DELAY" hidden="1">"c8963"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1_5_INVEST_SECURITIES_FFIEC" hidden="1">"c13465"</definedName>
    <definedName name="IQ_DEBT_ADJ" hidden="1">"c2515"</definedName>
    <definedName name="IQ_DEBT_ADJ_PCT" hidden="1">"c2516"</definedName>
    <definedName name="IQ_DEBT_EQUITY_EST" hidden="1">"c4257"</definedName>
    <definedName name="IQ_DEBT_EQUITY_EST_CIQ" hidden="1">"c4783"</definedName>
    <definedName name="IQ_DEBT_EQUITY_HIGH_EST" hidden="1">"c4258"</definedName>
    <definedName name="IQ_DEBT_EQUITY_HIGH_EST_CIQ" hidden="1">"c4784"</definedName>
    <definedName name="IQ_DEBT_EQUITY_LOW_EST" hidden="1">"c4259"</definedName>
    <definedName name="IQ_DEBT_EQUITY_LOW_EST_CIQ" hidden="1">"c4785"</definedName>
    <definedName name="IQ_DEBT_EQUITY_MEDIAN_EST" hidden="1">"c4260"</definedName>
    <definedName name="IQ_DEBT_EQUITY_MEDIAN_EST_CIQ" hidden="1">"c4786"</definedName>
    <definedName name="IQ_DEBT_EQUITY_NUM_EST" hidden="1">"c4261"</definedName>
    <definedName name="IQ_DEBT_EQUITY_NUM_EST_CIQ" hidden="1">"c4787"</definedName>
    <definedName name="IQ_DEBT_EQUITY_STDDEV_EST" hidden="1">"c4262"</definedName>
    <definedName name="IQ_DEBT_EQUITY_STDDEV_EST_CIQ" hidden="1">"c4788"</definedName>
    <definedName name="IQ_DEBT_EQUIV_NET_PBO" hidden="1">"c2938"</definedName>
    <definedName name="IQ_DEBT_EQUIV_OPER_LEASE" hidden="1">"c2935"</definedName>
    <definedName name="IQ_DEBT_LESS_1YR_INVEST_SECURITIES_FFIEC" hidden="1">"c13464"</definedName>
    <definedName name="IQ_DEBT_MATURING_MORE_THAN_ONE_YEAR_FFIEC" hidden="1">"c13164"</definedName>
    <definedName name="IQ_DEBT_MATURING_WITHIN_ONE_YEAR_FFIEC" hidden="1">"c13163"</definedName>
    <definedName name="IQ_DEBT_SEC_OVER_5YR_INVEST_SECURITIES_FFIEC" hidden="1">"c13466"</definedName>
    <definedName name="IQ_DEBT_SECURITIES_FOREIGN_FFIEC" hidden="1">"c13484"</definedName>
    <definedName name="IQ_DEBT_SECURITIES_OTHER_ASSETS_DUE_30_89_FFIEC" hidden="1">"c13279"</definedName>
    <definedName name="IQ_DEBT_SECURITIES_OTHER_ASSETS_DUE_90_FFIEC" hidden="1">"c13305"</definedName>
    <definedName name="IQ_DEBT_SECURITIES_OTHER_ASSETS_NON_ACCRUAL_FFIEC" hidden="1">"c13331"</definedName>
    <definedName name="IQ_DECREASE_INT_EXPENSE_FFIEC" hidden="1">"c13064"</definedName>
    <definedName name="IQ_DEDUCTIONS_TOTAL_RISK_BASED_CAPITAL_FFIEC" hidden="1">"c13152"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SPENDING_REAL_SAAR" hidden="1">"c6971"</definedName>
    <definedName name="IQ_DEF_SPENDING_REAL_SAAR_APR" hidden="1">"c7631"</definedName>
    <definedName name="IQ_DEF_SPENDING_REAL_SAAR_APR_FC" hidden="1">"c8511"</definedName>
    <definedName name="IQ_DEF_SPENDING_REAL_SAAR_FC" hidden="1">"c7851"</definedName>
    <definedName name="IQ_DEF_SPENDING_REAL_SAAR_POP" hidden="1">"c7191"</definedName>
    <definedName name="IQ_DEF_SPENDING_REAL_SAAR_POP_FC" hidden="1">"c8071"</definedName>
    <definedName name="IQ_DEF_SPENDING_REAL_SAAR_YOY" hidden="1">"c7411"</definedName>
    <definedName name="IQ_DEF_SPENDING_REAL_SAAR_YOY_FC" hidden="1">"c8291"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CONTINGENT_RENT" hidden="1">"c16181"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_ASSETS_FFIEC" hidden="1">"c12843"</definedName>
    <definedName name="IQ_DEFERRED_TAX_ASSETS_T1_FFIEC" hidden="1">"c13141"</definedName>
    <definedName name="IQ_DEFERRED_TAX_LIAB_FFIEC" hidden="1">"c12870"</definedName>
    <definedName name="IQ_DEFERRED_TAX_NAV" hidden="1">"c16003"</definedName>
    <definedName name="IQ_DEFERRED_TAX_NNAV" hidden="1">"c16008"</definedName>
    <definedName name="IQ_DEFERRED_TAXES" hidden="1">"c1356"</definedName>
    <definedName name="IQ_DELIVERED_HOMES_NEW_ORDERS" hidden="1">"c15821"</definedName>
    <definedName name="IQ_DELIVERED_HOMES_PRICE_NEW_ORDER_PRICE" hidden="1">"c15822"</definedName>
    <definedName name="IQ_DEMAND_DEP" hidden="1">"c320"</definedName>
    <definedName name="IQ_DEMAND_DEPOSITS_COMMERCIAL_BANK_SUBS_FFIEC" hidden="1">"c12945"</definedName>
    <definedName name="IQ_DEMAND_DEPOSITS_FDIC" hidden="1">"c6489"</definedName>
    <definedName name="IQ_DEMAND_DEPOSITS_TOT_DEPOSITS_FFIEC" hidden="1">"c13902"</definedName>
    <definedName name="IQ_DEPOSIT_ACCOUNTS_LESS_THAN_100K_FDIC" hidden="1">"c6494"</definedName>
    <definedName name="IQ_DEPOSIT_ACCOUNTS_MORE_THAN_100K_FDIC" hidden="1">"c6492"</definedName>
    <definedName name="IQ_DEPOSITORY_INST_ACCEPTANCES_LL_REC_DOM_FFIEC" hidden="1">"c12908"</definedName>
    <definedName name="IQ_DEPOSITORY_INST_GROSS_LOANS_FFIEC" hidden="1">"c13409"</definedName>
    <definedName name="IQ_DEPOSITORY_INST_RISK_BASED_FFIEC" hidden="1">"c13430"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100K_MORE_ASSETS_TOT_FFIEC" hidden="1">"c13444"</definedName>
    <definedName name="IQ_DEPOSITS_DOM_FFIEC" hidden="1">"c12850"</definedName>
    <definedName name="IQ_DEPOSITS_FAIR_VALUE_TOT_FFIEC" hidden="1">"c13213"</definedName>
    <definedName name="IQ_DEPOSITS_FIN" hidden="1">"c321"</definedName>
    <definedName name="IQ_DEPOSITS_FOREIGN_BANKS_FOREIGN_AGENCIES_FFIEC" hidden="1">"c15344"</definedName>
    <definedName name="IQ_DEPOSITS_FOREIGN_FFIEC" hidden="1">"c12853"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100K_COMMERCIAL_BANK_SUBS_FFIEC" hidden="1">"c12948"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LEVEL_1_FFIEC" hidden="1">"c13221"</definedName>
    <definedName name="IQ_DEPOSITS_LEVEL_2_FFIEC" hidden="1">"c13229"</definedName>
    <definedName name="IQ_DEPOSITS_LEVEL_3_FFIEC" hidden="1">"c13237"</definedName>
    <definedName name="IQ_DEPOSITS_MORE_100K_COMMERCIAL_BANK_SUBS_FFIEC" hidden="1">"c12949"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_ASSETS_FAIR_VALUE_TOT_FFIEC" hidden="1">"c15403"</definedName>
    <definedName name="IQ_DERIVATIVE_ASSETS_LEVEL_1_FFIEC" hidden="1">"c15425"</definedName>
    <definedName name="IQ_DERIVATIVE_ASSETS_LEVEL_2_FFIEC" hidden="1">"c15438"</definedName>
    <definedName name="IQ_DERIVATIVE_ASSETS_LEVEL_3_FFIEC" hidden="1">"c15451"</definedName>
    <definedName name="IQ_DERIVATIVE_LIABILITIES_FAIR_VALUE_TOT_FFIEC" hidden="1">"c15407"</definedName>
    <definedName name="IQ_DERIVATIVE_LIABILITIES_LEVEL_1_FFIEC" hidden="1">"c15429"</definedName>
    <definedName name="IQ_DERIVATIVE_LIABILITIES_LEVEL_2_FFIEC" hidden="1">"c15442"</definedName>
    <definedName name="IQ_DERIVATIVE_LIABILITIES_LEVEL_3_FFIEC" hidden="1">"c15455"</definedName>
    <definedName name="IQ_DERIVATIVES_FDIC" hidden="1">"c6523"</definedName>
    <definedName name="IQ_DERIVATIVES_NEGATIVE_FAIR_VALUE_DOM_FFIEC" hidden="1">"c12943"</definedName>
    <definedName name="IQ_DERIVATIVES_NEGATIVE_VALUE_FFIEC" hidden="1">"c12861"</definedName>
    <definedName name="IQ_DERIVATIVES_POS_FAIR_VALUE_FFIEC" hidden="1">"c12827"</definedName>
    <definedName name="IQ_DERIVATIVES_POSITIVE_FAIR_VALUE_TRADING_DOM_FFIEC" hidden="1">"c12938"</definedName>
    <definedName name="IQ_DESCRIPTION_LONG" hidden="1">"c1520"</definedName>
    <definedName name="IQ_DEVELOP_LAND" hidden="1">"c323"</definedName>
    <definedName name="IQ_DEVELOPMENT_EXPENSE" hidden="1">"c16040"</definedName>
    <definedName name="IQ_DEVELOPMENT_REVENUE" hidden="1">"c16024"</definedName>
    <definedName name="IQ_DIC" hidden="1">"c13834"</definedName>
    <definedName name="IQ_DIFF_LASTCLOSE_TARGET_PRICE" hidden="1">"c1854"</definedName>
    <definedName name="IQ_DIFF_LASTCLOSE_TARGET_PRICE_CIQ" hidden="1">"c4767"</definedName>
    <definedName name="IQ_DIFF_LASTCLOSE_TARGET_PRICE_REUT" hidden="1">"c5436"</definedName>
    <definedName name="IQ_DIFF_LASTCLOSE_TARGET_PRICE_THOM" hidden="1">"c5278"</definedName>
    <definedName name="IQ_DIG_SUB_BASIC_SUB" hidden="1">"c15788"</definedName>
    <definedName name="IQ_DIGITAL_SUB_TOTAL_HOMES_PASSED" hidden="1">"c15769"</definedName>
    <definedName name="IQ_DIGITAL_VIDEO_PENETRATION" hidden="1">"c15768"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OUTSTANDING_CURRENT_EST" hidden="1">"c4263"</definedName>
    <definedName name="IQ_DILUT_OUTSTANDING_CURRENT_EST_CIQ" hidden="1">"c4789"</definedName>
    <definedName name="IQ_DILUT_OUTSTANDING_CURRENT_HIGH_EST" hidden="1">"c4264"</definedName>
    <definedName name="IQ_DILUT_OUTSTANDING_CURRENT_HIGH_EST_CIQ" hidden="1">"c4790"</definedName>
    <definedName name="IQ_DILUT_OUTSTANDING_CURRENT_LOW_EST" hidden="1">"c4265"</definedName>
    <definedName name="IQ_DILUT_OUTSTANDING_CURRENT_LOW_EST_CIQ" hidden="1">"c4791"</definedName>
    <definedName name="IQ_DILUT_OUTSTANDING_CURRENT_MEDIAN_EST" hidden="1">"c4266"</definedName>
    <definedName name="IQ_DILUT_OUTSTANDING_CURRENT_MEDIAN_EST_CIQ" hidden="1">"c4792"</definedName>
    <definedName name="IQ_DILUT_OUTSTANDING_CURRENT_NUM_EST" hidden="1">"c4267"</definedName>
    <definedName name="IQ_DILUT_OUTSTANDING_CURRENT_NUM_EST_CIQ" hidden="1">"c4793"</definedName>
    <definedName name="IQ_DILUT_OUTSTANDING_CURRENT_STDDEV_EST" hidden="1">"c4268"</definedName>
    <definedName name="IQ_DILUT_OUTSTANDING_CURRENT_STDDEV_EST_CIQ" hidden="1">"c4794"</definedName>
    <definedName name="IQ_DILUT_WEIGHT" hidden="1">"c326"</definedName>
    <definedName name="IQ_DILUT_WEIGHT_EST" hidden="1">"c4269"</definedName>
    <definedName name="IQ_DILUT_WEIGHT_EST_CIQ" hidden="1">"c4795"</definedName>
    <definedName name="IQ_DILUT_WEIGHT_GUIDANCE" hidden="1">"c4270"</definedName>
    <definedName name="IQ_DILUT_WEIGHT_HIGH_EST" hidden="1">"c4271"</definedName>
    <definedName name="IQ_DILUT_WEIGHT_HIGH_EST_CIQ" hidden="1">"c4796"</definedName>
    <definedName name="IQ_DILUT_WEIGHT_LOW_EST" hidden="1">"c4272"</definedName>
    <definedName name="IQ_DILUT_WEIGHT_LOW_EST_CIQ" hidden="1">"c4797"</definedName>
    <definedName name="IQ_DILUT_WEIGHT_MEDIAN_EST" hidden="1">"c4273"</definedName>
    <definedName name="IQ_DILUT_WEIGHT_MEDIAN_EST_CIQ" hidden="1">"c4798"</definedName>
    <definedName name="IQ_DILUT_WEIGHT_NUM_EST" hidden="1">"c4274"</definedName>
    <definedName name="IQ_DILUT_WEIGHT_NUM_EST_CIQ" hidden="1">"c4799"</definedName>
    <definedName name="IQ_DILUT_WEIGHT_STDDEV_EST" hidden="1">"c4275"</definedName>
    <definedName name="IQ_DILUT_WEIGHT_STDDEV_EST_CIQ" hidden="1">"c4800"</definedName>
    <definedName name="IQ_DILUTED_EPRA_NAV" hidden="1">"c16005"</definedName>
    <definedName name="IQ_DILUTED_EPRA_NAV_SHARE_RE" hidden="1">"c16014"</definedName>
    <definedName name="IQ_DILUTED_EPRA_NNAV" hidden="1">"c16010"</definedName>
    <definedName name="IQ_DILUTED_EPRA_NNAV_SHARE_RE" hidden="1">"c16015"</definedName>
    <definedName name="IQ_DILUTED_NAV_RE" hidden="1">"c15998"</definedName>
    <definedName name="IQ_DILUTED_NAV_SHARE_RE" hidden="1">"c16013"</definedName>
    <definedName name="IQ_DILUTED_NAV_SHARES" hidden="1">"c16016"</definedName>
    <definedName name="IQ_DILUTION_EFFECT_NAV" hidden="1">"c15997"</definedName>
    <definedName name="IQ_DIRECT_AH_EARNED" hidden="1">"c2740"</definedName>
    <definedName name="IQ_DIRECT_EARNED" hidden="1">"c2730"</definedName>
    <definedName name="IQ_DIRECT_INDIRECT_RE_VENTURES_FFIEC" hidden="1">"c15266"</definedName>
    <definedName name="IQ_DIRECT_INDIRECT_RE_VENTURES_UNCONSOL_FFIEC" hidden="1">"c15274"</definedName>
    <definedName name="IQ_DIRECT_LIFE_EARNED" hidden="1">"c2735"</definedName>
    <definedName name="IQ_DIRECT_LIFE_IN_FORCE" hidden="1">"c2765"</definedName>
    <definedName name="IQ_DIRECT_LOSSES" hidden="1">"c15869"</definedName>
    <definedName name="IQ_DIRECT_PC_EARNED" hidden="1">"c2745"</definedName>
    <definedName name="IQ_DIRECT_WRITTEN" hidden="1">"c2724"</definedName>
    <definedName name="IQ_DIRECTORS_FEES_FFIEC" hidden="1">"c13049"</definedName>
    <definedName name="IQ_DISALLOWED_DEFERRED_TAX_ASSETS_FFIEC" hidden="1">"c13157"</definedName>
    <definedName name="IQ_DISALLOWED_GOODWILL_INTANGIBLE_ASSETS_FFIEC" hidden="1">"c13155"</definedName>
    <definedName name="IQ_DISALLOWED_GOODWILL_INTANGIBLES_T1_FFIEC" hidden="1">"c13137"</definedName>
    <definedName name="IQ_DISALLOWED_SERVICING_ASSETS_FFIEC" hidden="1">"c13156"</definedName>
    <definedName name="IQ_DISALLOWED_SERVICING_ASSETS_T1_FFIEC" hidden="1">"c13140"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CRETIONARY_CAPEX" hidden="1">"c16183"</definedName>
    <definedName name="IQ_DISPOSABLE_PERSONAL_INC" hidden="1">"c6850"</definedName>
    <definedName name="IQ_DISPOSABLE_PERSONAL_INC_APR" hidden="1">"c7510"</definedName>
    <definedName name="IQ_DISPOSABLE_PERSONAL_INC_APR_FC" hidden="1">"c8390"</definedName>
    <definedName name="IQ_DISPOSABLE_PERSONAL_INC_FC" hidden="1">"c7730"</definedName>
    <definedName name="IQ_DISPOSABLE_PERSONAL_INC_POP" hidden="1">"c7070"</definedName>
    <definedName name="IQ_DISPOSABLE_PERSONAL_INC_POP_FC" hidden="1">"c7950"</definedName>
    <definedName name="IQ_DISPOSABLE_PERSONAL_INC_REAL" hidden="1">"c11922"</definedName>
    <definedName name="IQ_DISPOSABLE_PERSONAL_INC_REAL_APR" hidden="1">"c11925"</definedName>
    <definedName name="IQ_DISPOSABLE_PERSONAL_INC_REAL_POP" hidden="1">"c11923"</definedName>
    <definedName name="IQ_DISPOSABLE_PERSONAL_INC_REAL_YOY" hidden="1">"c11924"</definedName>
    <definedName name="IQ_DISPOSABLE_PERSONAL_INC_SAAR" hidden="1">"c6851"</definedName>
    <definedName name="IQ_DISPOSABLE_PERSONAL_INC_SAAR_APR" hidden="1">"c7511"</definedName>
    <definedName name="IQ_DISPOSABLE_PERSONAL_INC_SAAR_APR_FC" hidden="1">"c8391"</definedName>
    <definedName name="IQ_DISPOSABLE_PERSONAL_INC_SAAR_FC" hidden="1">"c7731"</definedName>
    <definedName name="IQ_DISPOSABLE_PERSONAL_INC_SAAR_POP" hidden="1">"c7071"</definedName>
    <definedName name="IQ_DISPOSABLE_PERSONAL_INC_SAAR_POP_FC" hidden="1">"c7951"</definedName>
    <definedName name="IQ_DISPOSABLE_PERSONAL_INC_SAAR_USD_APR_FC" hidden="1">"c11805"</definedName>
    <definedName name="IQ_DISPOSABLE_PERSONAL_INC_SAAR_USD_FC" hidden="1">"c11802"</definedName>
    <definedName name="IQ_DISPOSABLE_PERSONAL_INC_SAAR_USD_POP_FC" hidden="1">"c11803"</definedName>
    <definedName name="IQ_DISPOSABLE_PERSONAL_INC_SAAR_USD_YOY_FC" hidden="1">"c11804"</definedName>
    <definedName name="IQ_DISPOSABLE_PERSONAL_INC_SAAR_YOY" hidden="1">"c7291"</definedName>
    <definedName name="IQ_DISPOSABLE_PERSONAL_INC_SAAR_YOY_FC" hidden="1">"c8171"</definedName>
    <definedName name="IQ_DISPOSABLE_PERSONAL_INC_USD_APR_FC" hidden="1">"c11801"</definedName>
    <definedName name="IQ_DISPOSABLE_PERSONAL_INC_USD_FC" hidden="1">"c11798"</definedName>
    <definedName name="IQ_DISPOSABLE_PERSONAL_INC_USD_POP_FC" hidden="1">"c11799"</definedName>
    <definedName name="IQ_DISPOSABLE_PERSONAL_INC_USD_YOY_FC" hidden="1">"c11800"</definedName>
    <definedName name="IQ_DISPOSABLE_PERSONAL_INC_YOY" hidden="1">"c7290"</definedName>
    <definedName name="IQ_DISPOSABLE_PERSONAL_INC_YOY_FC" hidden="1">"c8170"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ACT_OR_EST_CIQ" hidden="1">"c4803"</definedName>
    <definedName name="IQ_DISTRIBUTABLE_CASH_EST" hidden="1">"c4277"</definedName>
    <definedName name="IQ_DISTRIBUTABLE_CASH_EST_CIQ" hidden="1">"c4802"</definedName>
    <definedName name="IQ_DISTRIBUTABLE_CASH_GUIDANCE" hidden="1">"c4279"</definedName>
    <definedName name="IQ_DISTRIBUTABLE_CASH_GUIDANCE_CIQ" hidden="1">"c4804"</definedName>
    <definedName name="IQ_DISTRIBUTABLE_CASH_HIGH_EST" hidden="1">"c4280"</definedName>
    <definedName name="IQ_DISTRIBUTABLE_CASH_HIGH_EST_CIQ" hidden="1">"c4805"</definedName>
    <definedName name="IQ_DISTRIBUTABLE_CASH_HIGH_GUIDANCE" hidden="1">"c4198"</definedName>
    <definedName name="IQ_DISTRIBUTABLE_CASH_HIGH_GUIDANCE_CIQ" hidden="1">"c4610"</definedName>
    <definedName name="IQ_DISTRIBUTABLE_CASH_LOW_EST" hidden="1">"c4281"</definedName>
    <definedName name="IQ_DISTRIBUTABLE_CASH_LOW_EST_CIQ" hidden="1">"c4806"</definedName>
    <definedName name="IQ_DISTRIBUTABLE_CASH_LOW_GUIDANCE" hidden="1">"c4238"</definedName>
    <definedName name="IQ_DISTRIBUTABLE_CASH_LOW_GUIDANCE_CIQ" hidden="1">"c4650"</definedName>
    <definedName name="IQ_DISTRIBUTABLE_CASH_MEDIAN_EST" hidden="1">"c4282"</definedName>
    <definedName name="IQ_DISTRIBUTABLE_CASH_MEDIAN_EST_CIQ" hidden="1">"c4807"</definedName>
    <definedName name="IQ_DISTRIBUTABLE_CASH_NUM_EST" hidden="1">"c4283"</definedName>
    <definedName name="IQ_DISTRIBUTABLE_CASH_NUM_EST_CIQ" hidden="1">"c4808"</definedName>
    <definedName name="IQ_DISTRIBUTABLE_CASH_PAYOUT" hidden="1">"c3005"</definedName>
    <definedName name="IQ_DISTRIBUTABLE_CASH_PER_SHARE_DILUTED" hidden="1">"c16191"</definedName>
    <definedName name="IQ_DISTRIBUTABLE_CASH_SHARE" hidden="1">"c3003"</definedName>
    <definedName name="IQ_DISTRIBUTABLE_CASH_SHARE_ACT_OR_EST" hidden="1">"c4286"</definedName>
    <definedName name="IQ_DISTRIBUTABLE_CASH_SHARE_ACT_OR_EST_CIQ" hidden="1">"c4811"</definedName>
    <definedName name="IQ_DISTRIBUTABLE_CASH_SHARE_EST" hidden="1">"c4285"</definedName>
    <definedName name="IQ_DISTRIBUTABLE_CASH_SHARE_EST_CIQ" hidden="1">"c4810"</definedName>
    <definedName name="IQ_DISTRIBUTABLE_CASH_SHARE_GUIDANCE" hidden="1">"c4287"</definedName>
    <definedName name="IQ_DISTRIBUTABLE_CASH_SHARE_GUIDANCE_CIQ" hidden="1">"c4812"</definedName>
    <definedName name="IQ_DISTRIBUTABLE_CASH_SHARE_HIGH_EST" hidden="1">"c4288"</definedName>
    <definedName name="IQ_DISTRIBUTABLE_CASH_SHARE_HIGH_EST_CIQ" hidden="1">"c4813"</definedName>
    <definedName name="IQ_DISTRIBUTABLE_CASH_SHARE_HIGH_GUIDANCE" hidden="1">"c4199"</definedName>
    <definedName name="IQ_DISTRIBUTABLE_CASH_SHARE_HIGH_GUIDANCE_CIQ" hidden="1">"c4611"</definedName>
    <definedName name="IQ_DISTRIBUTABLE_CASH_SHARE_LOW_EST" hidden="1">"c4289"</definedName>
    <definedName name="IQ_DISTRIBUTABLE_CASH_SHARE_LOW_EST_CIQ" hidden="1">"c4814"</definedName>
    <definedName name="IQ_DISTRIBUTABLE_CASH_SHARE_LOW_GUIDANCE" hidden="1">"c4239"</definedName>
    <definedName name="IQ_DISTRIBUTABLE_CASH_SHARE_LOW_GUIDANCE_CIQ" hidden="1">"c4651"</definedName>
    <definedName name="IQ_DISTRIBUTABLE_CASH_SHARE_MEDIAN_EST" hidden="1">"c4290"</definedName>
    <definedName name="IQ_DISTRIBUTABLE_CASH_SHARE_MEDIAN_EST_CIQ" hidden="1">"c4815"</definedName>
    <definedName name="IQ_DISTRIBUTABLE_CASH_SHARE_NUM_EST" hidden="1">"c4291"</definedName>
    <definedName name="IQ_DISTRIBUTABLE_CASH_SHARE_NUM_EST_CIQ" hidden="1">"c4816"</definedName>
    <definedName name="IQ_DISTRIBUTABLE_CASH_SHARE_STDDEV_EST" hidden="1">"c4292"</definedName>
    <definedName name="IQ_DISTRIBUTABLE_CASH_SHARE_STDDEV_EST_CIQ" hidden="1">"c4817"</definedName>
    <definedName name="IQ_DISTRIBUTABLE_CASH_SHARES_BASIC" hidden="1">"c16189"</definedName>
    <definedName name="IQ_DISTRIBUTABLE_CASH_SHARES_DILUTED" hidden="1">"c16190"</definedName>
    <definedName name="IQ_DISTRIBUTABLE_CASH_STDDEV_EST" hidden="1">"c4294"</definedName>
    <definedName name="IQ_DISTRIBUTABLE_CASH_STDDEV_EST_CIQ" hidden="1">"c4819"</definedName>
    <definedName name="IQ_DIV_AMOUNT" hidden="1">"c3041"</definedName>
    <definedName name="IQ_DIV_PAYMENT_DATE" hidden="1">"c2205"</definedName>
    <definedName name="IQ_DIV_PAYMENT_TYPE" hidden="1">"c12752"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EST" hidden="1">"c4296"</definedName>
    <definedName name="IQ_DIVIDEND_EST_CIQ" hidden="1">"c4821"</definedName>
    <definedName name="IQ_DIVIDEND_HIGH_EST" hidden="1">"c4297"</definedName>
    <definedName name="IQ_DIVIDEND_HIGH_EST_CIQ" hidden="1">"c4822"</definedName>
    <definedName name="IQ_DIVIDEND_LOW_EST" hidden="1">"c4298"</definedName>
    <definedName name="IQ_DIVIDEND_LOW_EST_CIQ" hidden="1">"c4823"</definedName>
    <definedName name="IQ_DIVIDEND_MEDIAN_EST" hidden="1">"c4299"</definedName>
    <definedName name="IQ_DIVIDEND_MEDIAN_EST_CIQ" hidden="1">"c4824"</definedName>
    <definedName name="IQ_DIVIDEND_NUM_EST" hidden="1">"c4300"</definedName>
    <definedName name="IQ_DIVIDEND_NUM_EST_CIQ" hidden="1">"c4825"</definedName>
    <definedName name="IQ_DIVIDEND_STDDEV_EST" hidden="1">"c4301"</definedName>
    <definedName name="IQ_DIVIDEND_STDDEV_EST_CIQ" hidden="1">"c4826"</definedName>
    <definedName name="IQ_DIVIDEND_YIELD" hidden="1">"c332"</definedName>
    <definedName name="IQ_DIVIDENDS_DECLARED_COMMON_FDIC" hidden="1">"c6659"</definedName>
    <definedName name="IQ_DIVIDENDS_DECLARED_COMMON_FFIEC" hidden="1">"c12969"</definedName>
    <definedName name="IQ_DIVIDENDS_DECLARED_PREFERRED_FDIC" hidden="1">"c6658"</definedName>
    <definedName name="IQ_DIVIDENDS_DECLARED_PREFERRED_FFIEC" hidden="1">"c12968"</definedName>
    <definedName name="IQ_DIVIDENDS_FDIC" hidden="1">"c6660"</definedName>
    <definedName name="IQ_DIVIDENDS_NET_INCOME_FFIEC" hidden="1">"c13349"</definedName>
    <definedName name="IQ_DIVIDENDS_PAID_DECLARED_PERIOD_COVERED" hidden="1">"c9960"</definedName>
    <definedName name="IQ_DIVIDENDS_PAID_DECLARED_PERIOD_GROUP" hidden="1">"c9946"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OM_OFFICE_DEPOSITS_TOT_DEPOSITS_FFIEC" hidden="1">"c13910"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PS_ACT_OR_EST" hidden="1">"c2218"</definedName>
    <definedName name="IQ_DPS_ACT_OR_EST_CIQ" hidden="1">"c5062"</definedName>
    <definedName name="IQ_DPS_ACT_OR_EST_REUT" hidden="1">"c5464"</definedName>
    <definedName name="IQ_DPS_ACT_OR_EST_THOM" hidden="1">"c5302"</definedName>
    <definedName name="IQ_DPS_DET_EST" hidden="1">"c12052"</definedName>
    <definedName name="IQ_DPS_DET_EST_CIQ" hidden="1">"c12112"</definedName>
    <definedName name="IQ_DPS_DET_EST_CURRENCY" hidden="1">"c12459"</definedName>
    <definedName name="IQ_DPS_DET_EST_CURRENCY_CIQ" hidden="1">"c12503"</definedName>
    <definedName name="IQ_DPS_DET_EST_CURRENCY_THOM" hidden="1">"c12480"</definedName>
    <definedName name="IQ_DPS_DET_EST_DATE" hidden="1">"c12205"</definedName>
    <definedName name="IQ_DPS_DET_EST_DATE_CIQ" hidden="1">"c12258"</definedName>
    <definedName name="IQ_DPS_DET_EST_DATE_THOM" hidden="1">"c12231"</definedName>
    <definedName name="IQ_DPS_DET_EST_INCL" hidden="1">"c12342"</definedName>
    <definedName name="IQ_DPS_DET_EST_INCL_CIQ" hidden="1">"c12386"</definedName>
    <definedName name="IQ_DPS_DET_EST_INCL_THOM" hidden="1">"c12363"</definedName>
    <definedName name="IQ_DPS_DET_EST_ORIGIN" hidden="1">"c12578"</definedName>
    <definedName name="IQ_DPS_DET_EST_ORIGIN_CIQ" hidden="1">"c12627"</definedName>
    <definedName name="IQ_DPS_DET_EST_ORIGIN_THOM" hidden="1">"c12601"</definedName>
    <definedName name="IQ_DPS_DET_EST_THOM" hidden="1">"c12081"</definedName>
    <definedName name="IQ_DPS_EST" hidden="1">"c1674"</definedName>
    <definedName name="IQ_DPS_EST_BOTTOM_UP" hidden="1">"c5493"</definedName>
    <definedName name="IQ_DPS_EST_BOTTOM_UP_CIQ" hidden="1">"c12030"</definedName>
    <definedName name="IQ_DPS_EST_BOTTOM_UP_REUT" hidden="1">"c5501"</definedName>
    <definedName name="IQ_DPS_EST_CIQ" hidden="1">"c3682"</definedName>
    <definedName name="IQ_DPS_EST_REUT" hidden="1">"c3851"</definedName>
    <definedName name="IQ_DPS_EST_THOM" hidden="1">"c4013"</definedName>
    <definedName name="IQ_DPS_GUIDANCE" hidden="1">"c4302"</definedName>
    <definedName name="IQ_DPS_GUIDANCE_CIQ" hidden="1">"c4827"</definedName>
    <definedName name="IQ_DPS_HIGH_EST" hidden="1">"c1676"</definedName>
    <definedName name="IQ_DPS_HIGH_EST_CIQ" hidden="1">"c3684"</definedName>
    <definedName name="IQ_DPS_HIGH_EST_REUT" hidden="1">"c3853"</definedName>
    <definedName name="IQ_DPS_HIGH_EST_THOM" hidden="1">"c4015"</definedName>
    <definedName name="IQ_DPS_HIGH_GUIDANCE" hidden="1">"c4168"</definedName>
    <definedName name="IQ_DPS_HIGH_GUIDANCE_CIQ" hidden="1">"c4580"</definedName>
    <definedName name="IQ_DPS_LOW_EST" hidden="1">"c1677"</definedName>
    <definedName name="IQ_DPS_LOW_EST_CIQ" hidden="1">"c3685"</definedName>
    <definedName name="IQ_DPS_LOW_EST_REUT" hidden="1">"c3854"</definedName>
    <definedName name="IQ_DPS_LOW_EST_THOM" hidden="1">"c4016"</definedName>
    <definedName name="IQ_DPS_LOW_GUIDANCE" hidden="1">"c4208"</definedName>
    <definedName name="IQ_DPS_LOW_GUIDANCE_CIQ" hidden="1">"c4620"</definedName>
    <definedName name="IQ_DPS_MEDIAN_EST" hidden="1">"c1675"</definedName>
    <definedName name="IQ_DPS_MEDIAN_EST_CIQ" hidden="1">"c3683"</definedName>
    <definedName name="IQ_DPS_MEDIAN_EST_REUT" hidden="1">"c3852"</definedName>
    <definedName name="IQ_DPS_MEDIAN_EST_THOM" hidden="1">"c4014"</definedName>
    <definedName name="IQ_DPS_NUM_EST" hidden="1">"c1678"</definedName>
    <definedName name="IQ_DPS_NUM_EST_CIQ" hidden="1">"c3686"</definedName>
    <definedName name="IQ_DPS_NUM_EST_REUT" hidden="1">"c3855"</definedName>
    <definedName name="IQ_DPS_NUM_EST_THOM" hidden="1">"c4017"</definedName>
    <definedName name="IQ_DPS_STDDEV_EST" hidden="1">"c1679"</definedName>
    <definedName name="IQ_DPS_STDDEV_EST_CIQ" hidden="1">"c3687"</definedName>
    <definedName name="IQ_DPS_STDDEV_EST_REUT" hidden="1">"c3856"</definedName>
    <definedName name="IQ_DPS_STDDEV_EST_THOM" hidden="1">"c4018"</definedName>
    <definedName name="IQ_DURABLE_INVENTORIES" hidden="1">"c6853"</definedName>
    <definedName name="IQ_DURABLE_INVENTORIES_APR" hidden="1">"c7513"</definedName>
    <definedName name="IQ_DURABLE_INVENTORIES_APR_FC" hidden="1">"c8393"</definedName>
    <definedName name="IQ_DURABLE_INVENTORIES_FC" hidden="1">"c7733"</definedName>
    <definedName name="IQ_DURABLE_INVENTORIES_POP" hidden="1">"c7073"</definedName>
    <definedName name="IQ_DURABLE_INVENTORIES_POP_FC" hidden="1">"c7953"</definedName>
    <definedName name="IQ_DURABLE_INVENTORIES_YOY" hidden="1">"c7293"</definedName>
    <definedName name="IQ_DURABLE_INVENTORIES_YOY_FC" hidden="1">"c8173"</definedName>
    <definedName name="IQ_DURABLE_ORDERS" hidden="1">"c6854"</definedName>
    <definedName name="IQ_DURABLE_ORDERS_APR" hidden="1">"c7514"</definedName>
    <definedName name="IQ_DURABLE_ORDERS_APR_FC" hidden="1">"c8394"</definedName>
    <definedName name="IQ_DURABLE_ORDERS_FC" hidden="1">"c7734"</definedName>
    <definedName name="IQ_DURABLE_ORDERS_POP" hidden="1">"c7074"</definedName>
    <definedName name="IQ_DURABLE_ORDERS_POP_FC" hidden="1">"c7954"</definedName>
    <definedName name="IQ_DURABLE_ORDERS_YOY" hidden="1">"c7294"</definedName>
    <definedName name="IQ_DURABLE_ORDERS_YOY_FC" hidden="1">"c8174"</definedName>
    <definedName name="IQ_DURABLE_SHIPMENTS" hidden="1">"c6855"</definedName>
    <definedName name="IQ_DURABLE_SHIPMENTS_APR" hidden="1">"c7515"</definedName>
    <definedName name="IQ_DURABLE_SHIPMENTS_APR_FC" hidden="1">"c8395"</definedName>
    <definedName name="IQ_DURABLE_SHIPMENTS_FC" hidden="1">"c7735"</definedName>
    <definedName name="IQ_DURABLE_SHIPMENTS_POP" hidden="1">"c7075"</definedName>
    <definedName name="IQ_DURABLE_SHIPMENTS_POP_FC" hidden="1">"c7955"</definedName>
    <definedName name="IQ_DURABLE_SHIPMENTS_YOY" hidden="1">"c7295"</definedName>
    <definedName name="IQ_DURABLE_SHIPMENTS_YOY_FC" hidden="1">"c8175"</definedName>
    <definedName name="IQ_DURATION" hidden="1">"c2181"</definedName>
    <definedName name="IQ_EARNING_ASSET_INT_BEAR_LIABILITIES" hidden="1">"c15703"</definedName>
    <definedName name="IQ_EARNING_ASSET_YIELD" hidden="1">"c343"</definedName>
    <definedName name="IQ_EARNING_ASSETS_AVG_ASSETS_FFIEC" hidden="1">"c13354"</definedName>
    <definedName name="IQ_EARNING_ASSETS_FDIC" hidden="1">"c6360"</definedName>
    <definedName name="IQ_EARNING_ASSETS_QUARTERLY_AVG_FFIEC" hidden="1">"c13086"</definedName>
    <definedName name="IQ_EARNING_ASSETS_REPRICE_ASSETS_TOT_FFIEC" hidden="1">"c13451"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CIQ" hidden="1">"c4656"</definedName>
    <definedName name="IQ_EARNINGS_ANNOUNCE_DATE_REUT" hidden="1">"c5314"</definedName>
    <definedName name="IQ_EARNINGS_ANNOUNCE_DATE_THOM" hidden="1">"c5093"</definedName>
    <definedName name="IQ_EARNINGS_CO_FFIEC" hidden="1">"c13032"</definedName>
    <definedName name="IQ_EARNINGS_CONT_OPS_HOMEBUILDING_SALES" hidden="1">"c15817"</definedName>
    <definedName name="IQ_EARNINGS_COVERAGE_LOSSES_FFIEC" hidden="1">"c13351"</definedName>
    <definedName name="IQ_EARNINGS_COVERAGE_NET_CHARGE_OFFS_FDIC" hidden="1">"c6735"</definedName>
    <definedName name="IQ_EARNINGS_LIFE_INSURANCE_FFIEC" hidden="1">"c13041"</definedName>
    <definedName name="IQ_EARNINGS_PERIOD_COVERED" hidden="1">"c9958"</definedName>
    <definedName name="IQ_EARNINGS_PERIOD_GROUP" hidden="1">"c9944"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ACT_OR_EST" hidden="1">"c2219"</definedName>
    <definedName name="IQ_EBIT_ACT_OR_EST_CIQ" hidden="1">"c5063"</definedName>
    <definedName name="IQ_EBIT_ACT_OR_EST_REUT" hidden="1">"c5465"</definedName>
    <definedName name="IQ_EBIT_ACT_OR_EST_THOM" hidden="1">"c5303"</definedName>
    <definedName name="IQ_EBIT_DET_EST" hidden="1">"c12053"</definedName>
    <definedName name="IQ_EBIT_DET_EST_CIQ" hidden="1">"c12113"</definedName>
    <definedName name="IQ_EBIT_DET_EST_CURRENCY" hidden="1">"c12460"</definedName>
    <definedName name="IQ_EBIT_DET_EST_CURRENCY_CIQ" hidden="1">"c12504"</definedName>
    <definedName name="IQ_EBIT_DET_EST_CURRENCY_THOM" hidden="1">"c12481"</definedName>
    <definedName name="IQ_EBIT_DET_EST_DATE" hidden="1">"c12206"</definedName>
    <definedName name="IQ_EBIT_DET_EST_DATE_CIQ" hidden="1">"c12259"</definedName>
    <definedName name="IQ_EBIT_DET_EST_DATE_THOM" hidden="1">"c12232"</definedName>
    <definedName name="IQ_EBIT_DET_EST_INCL" hidden="1">"c12343"</definedName>
    <definedName name="IQ_EBIT_DET_EST_INCL_CIQ" hidden="1">"c12387"</definedName>
    <definedName name="IQ_EBIT_DET_EST_INCL_THOM" hidden="1">"c12364"</definedName>
    <definedName name="IQ_EBIT_DET_EST_ORIGIN" hidden="1">"c12579"</definedName>
    <definedName name="IQ_EBIT_DET_EST_ORIGIN_CIQ" hidden="1">"c12628"</definedName>
    <definedName name="IQ_EBIT_DET_EST_ORIGIN_THOM" hidden="1">"c12602"</definedName>
    <definedName name="IQ_EBIT_DET_EST_THOM" hidden="1">"c12082"</definedName>
    <definedName name="IQ_EBIT_EQ_INC" hidden="1">"c3498"</definedName>
    <definedName name="IQ_EBIT_EQ_INC_EXCL_SBC" hidden="1">"c3502"</definedName>
    <definedName name="IQ_EBIT_EST" hidden="1">"c1681"</definedName>
    <definedName name="IQ_EBIT_EST_CIQ" hidden="1">"c4674"</definedName>
    <definedName name="IQ_EBIT_EST_REUT" hidden="1">"c5333"</definedName>
    <definedName name="IQ_EBIT_EST_THOM" hidden="1">"c5105"</definedName>
    <definedName name="IQ_EBIT_EXCL_SBC" hidden="1">"c3082"</definedName>
    <definedName name="IQ_EBIT_GUIDANCE" hidden="1">"c4303"</definedName>
    <definedName name="IQ_EBIT_GUIDANCE_CIQ" hidden="1">"c4828"</definedName>
    <definedName name="IQ_EBIT_GW_ACT_OR_EST" hidden="1">"c4306"</definedName>
    <definedName name="IQ_EBIT_GW_ACT_OR_EST_CIQ" hidden="1">"c4831"</definedName>
    <definedName name="IQ_EBIT_GW_EST" hidden="1">"c4305"</definedName>
    <definedName name="IQ_EBIT_GW_EST_CIQ" hidden="1">"c4830"</definedName>
    <definedName name="IQ_EBIT_GW_GUIDANCE" hidden="1">"c4307"</definedName>
    <definedName name="IQ_EBIT_GW_GUIDANCE_CIQ" hidden="1">"c4832"</definedName>
    <definedName name="IQ_EBIT_GW_HIGH_EST" hidden="1">"c4308"</definedName>
    <definedName name="IQ_EBIT_GW_HIGH_EST_CIQ" hidden="1">"c4833"</definedName>
    <definedName name="IQ_EBIT_GW_HIGH_GUIDANCE" hidden="1">"c4171"</definedName>
    <definedName name="IQ_EBIT_GW_HIGH_GUIDANCE_CIQ" hidden="1">"c4583"</definedName>
    <definedName name="IQ_EBIT_GW_LOW_EST" hidden="1">"c4309"</definedName>
    <definedName name="IQ_EBIT_GW_LOW_EST_CIQ" hidden="1">"c4834"</definedName>
    <definedName name="IQ_EBIT_GW_LOW_GUIDANCE" hidden="1">"c4211"</definedName>
    <definedName name="IQ_EBIT_GW_LOW_GUIDANCE_CIQ" hidden="1">"c4623"</definedName>
    <definedName name="IQ_EBIT_GW_MEDIAN_EST" hidden="1">"c4310"</definedName>
    <definedName name="IQ_EBIT_GW_MEDIAN_EST_CIQ" hidden="1">"c4835"</definedName>
    <definedName name="IQ_EBIT_GW_NUM_EST" hidden="1">"c4311"</definedName>
    <definedName name="IQ_EBIT_GW_NUM_EST_CIQ" hidden="1">"c4836"</definedName>
    <definedName name="IQ_EBIT_GW_STDDEV_EST" hidden="1">"c4312"</definedName>
    <definedName name="IQ_EBIT_GW_STDDEV_EST_CIQ" hidden="1">"c4837"</definedName>
    <definedName name="IQ_EBIT_HIGH_EST" hidden="1">"c1683"</definedName>
    <definedName name="IQ_EBIT_HIGH_EST_CIQ" hidden="1">"c4676"</definedName>
    <definedName name="IQ_EBIT_HIGH_EST_REUT" hidden="1">"c5335"</definedName>
    <definedName name="IQ_EBIT_HIGH_EST_THOM" hidden="1">"c5107"</definedName>
    <definedName name="IQ_EBIT_HIGH_GUIDANCE" hidden="1">"c4172"</definedName>
    <definedName name="IQ_EBIT_HIGH_GUIDANCE_CIQ" hidden="1">"c4584"</definedName>
    <definedName name="IQ_EBIT_HOMEBUILDING_SALES" hidden="1">"c15815"</definedName>
    <definedName name="IQ_EBIT_INT" hidden="1">"c360"</definedName>
    <definedName name="IQ_EBIT_LOW_EST" hidden="1">"c1684"</definedName>
    <definedName name="IQ_EBIT_LOW_EST_CIQ" hidden="1">"c4677"</definedName>
    <definedName name="IQ_EBIT_LOW_EST_REUT" hidden="1">"c5336"</definedName>
    <definedName name="IQ_EBIT_LOW_EST_THOM" hidden="1">"c5108"</definedName>
    <definedName name="IQ_EBIT_LOW_GUIDANCE" hidden="1">"c4212"</definedName>
    <definedName name="IQ_EBIT_LOW_GUIDANCE_CIQ" hidden="1">"c4624"</definedName>
    <definedName name="IQ_EBIT_MARGIN" hidden="1">"c359"</definedName>
    <definedName name="IQ_EBIT_MEDIAN_EST" hidden="1">"c1682"</definedName>
    <definedName name="IQ_EBIT_MEDIAN_EST_CIQ" hidden="1">"c4675"</definedName>
    <definedName name="IQ_EBIT_MEDIAN_EST_REUT" hidden="1">"c5334"</definedName>
    <definedName name="IQ_EBIT_MEDIAN_EST_THOM" hidden="1">"c5106"</definedName>
    <definedName name="IQ_EBIT_NUM_EST" hidden="1">"c1685"</definedName>
    <definedName name="IQ_EBIT_NUM_EST_CIQ" hidden="1">"c4678"</definedName>
    <definedName name="IQ_EBIT_NUM_EST_REUT" hidden="1">"c5337"</definedName>
    <definedName name="IQ_EBIT_NUM_EST_THOM" hidden="1">"c5109"</definedName>
    <definedName name="IQ_EBIT_OVER_IE" hidden="1">"c1369"</definedName>
    <definedName name="IQ_EBIT_SBC_ACT_OR_EST" hidden="1">"c4316"</definedName>
    <definedName name="IQ_EBIT_SBC_ACT_OR_EST_CIQ" hidden="1">"c4841"</definedName>
    <definedName name="IQ_EBIT_SBC_EST" hidden="1">"c4315"</definedName>
    <definedName name="IQ_EBIT_SBC_EST_CIQ" hidden="1">"c4840"</definedName>
    <definedName name="IQ_EBIT_SBC_GUIDANCE" hidden="1">"c4317"</definedName>
    <definedName name="IQ_EBIT_SBC_GUIDANCE_CIQ" hidden="1">"c4842"</definedName>
    <definedName name="IQ_EBIT_SBC_GW_ACT_OR_EST" hidden="1">"c4320"</definedName>
    <definedName name="IQ_EBIT_SBC_GW_ACT_OR_EST_CIQ" hidden="1">"c4845"</definedName>
    <definedName name="IQ_EBIT_SBC_GW_EST" hidden="1">"c4319"</definedName>
    <definedName name="IQ_EBIT_SBC_GW_EST_CIQ" hidden="1">"c4844"</definedName>
    <definedName name="IQ_EBIT_SBC_GW_GUIDANCE" hidden="1">"c4321"</definedName>
    <definedName name="IQ_EBIT_SBC_GW_GUIDANCE_CIQ" hidden="1">"c4846"</definedName>
    <definedName name="IQ_EBIT_SBC_GW_HIGH_EST" hidden="1">"c4322"</definedName>
    <definedName name="IQ_EBIT_SBC_GW_HIGH_EST_CIQ" hidden="1">"c4847"</definedName>
    <definedName name="IQ_EBIT_SBC_GW_HIGH_GUIDANCE" hidden="1">"c4193"</definedName>
    <definedName name="IQ_EBIT_SBC_GW_HIGH_GUIDANCE_CIQ" hidden="1">"c4605"</definedName>
    <definedName name="IQ_EBIT_SBC_GW_LOW_EST" hidden="1">"c4323"</definedName>
    <definedName name="IQ_EBIT_SBC_GW_LOW_EST_CIQ" hidden="1">"c4848"</definedName>
    <definedName name="IQ_EBIT_SBC_GW_LOW_GUIDANCE" hidden="1">"c4233"</definedName>
    <definedName name="IQ_EBIT_SBC_GW_LOW_GUIDANCE_CIQ" hidden="1">"c4645"</definedName>
    <definedName name="IQ_EBIT_SBC_GW_MEDIAN_EST" hidden="1">"c4324"</definedName>
    <definedName name="IQ_EBIT_SBC_GW_MEDIAN_EST_CIQ" hidden="1">"c4849"</definedName>
    <definedName name="IQ_EBIT_SBC_GW_NUM_EST" hidden="1">"c4325"</definedName>
    <definedName name="IQ_EBIT_SBC_GW_NUM_EST_CIQ" hidden="1">"c4850"</definedName>
    <definedName name="IQ_EBIT_SBC_GW_STDDEV_EST" hidden="1">"c4326"</definedName>
    <definedName name="IQ_EBIT_SBC_GW_STDDEV_EST_CIQ" hidden="1">"c4851"</definedName>
    <definedName name="IQ_EBIT_SBC_HIGH_EST" hidden="1">"c4328"</definedName>
    <definedName name="IQ_EBIT_SBC_HIGH_EST_CIQ" hidden="1">"c4853"</definedName>
    <definedName name="IQ_EBIT_SBC_HIGH_GUIDANCE" hidden="1">"c4192"</definedName>
    <definedName name="IQ_EBIT_SBC_HIGH_GUIDANCE_CIQ" hidden="1">"c4604"</definedName>
    <definedName name="IQ_EBIT_SBC_LOW_EST" hidden="1">"c4329"</definedName>
    <definedName name="IQ_EBIT_SBC_LOW_EST_CIQ" hidden="1">"c4854"</definedName>
    <definedName name="IQ_EBIT_SBC_LOW_GUIDANCE" hidden="1">"c4232"</definedName>
    <definedName name="IQ_EBIT_SBC_LOW_GUIDANCE_CIQ" hidden="1">"c4644"</definedName>
    <definedName name="IQ_EBIT_SBC_MEDIAN_EST" hidden="1">"c4330"</definedName>
    <definedName name="IQ_EBIT_SBC_MEDIAN_EST_CIQ" hidden="1">"c4855"</definedName>
    <definedName name="IQ_EBIT_SBC_NUM_EST" hidden="1">"c4331"</definedName>
    <definedName name="IQ_EBIT_SBC_NUM_EST_CIQ" hidden="1">"c4856"</definedName>
    <definedName name="IQ_EBIT_SBC_STDDEV_EST" hidden="1">"c4332"</definedName>
    <definedName name="IQ_EBIT_SBC_STDDEV_EST_CIQ" hidden="1">"c4857"</definedName>
    <definedName name="IQ_EBIT_STDDEV_EST" hidden="1">"c1686"</definedName>
    <definedName name="IQ_EBIT_STDDEV_EST_CIQ" hidden="1">"c4679"</definedName>
    <definedName name="IQ_EBIT_STDDEV_EST_REUT" hidden="1">"c5338"</definedName>
    <definedName name="IQ_EBIT_STDDEV_EST_THOM" hidden="1">"c5110"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ACT_OR_EST" hidden="1">"c2215"</definedName>
    <definedName name="IQ_EBITDA_ACT_OR_EST_CIQ" hidden="1">"c5060"</definedName>
    <definedName name="IQ_EBITDA_ACT_OR_EST_REUT" hidden="1">"c5462"</definedName>
    <definedName name="IQ_EBITDA_ACT_OR_EST_THOM" hidden="1">"c5300"</definedName>
    <definedName name="IQ_EBITDA_CAPEX_INT" hidden="1">"c368"</definedName>
    <definedName name="IQ_EBITDA_CAPEX_OVER_TOTAL_IE" hidden="1">"c1370"</definedName>
    <definedName name="IQ_EBITDA_DET_EST" hidden="1">"c12054"</definedName>
    <definedName name="IQ_EBITDA_DET_EST_CIQ" hidden="1">"c12114"</definedName>
    <definedName name="IQ_EBITDA_DET_EST_CURRENCY" hidden="1">"c12461"</definedName>
    <definedName name="IQ_EBITDA_DET_EST_CURRENCY_CIQ" hidden="1">"c12505"</definedName>
    <definedName name="IQ_EBITDA_DET_EST_CURRENCY_THOM" hidden="1">"c12482"</definedName>
    <definedName name="IQ_EBITDA_DET_EST_DATE" hidden="1">"c12207"</definedName>
    <definedName name="IQ_EBITDA_DET_EST_DATE_CIQ" hidden="1">"c12260"</definedName>
    <definedName name="IQ_EBITDA_DET_EST_DATE_THOM" hidden="1">"c12233"</definedName>
    <definedName name="IQ_EBITDA_DET_EST_INCL" hidden="1">"c12344"</definedName>
    <definedName name="IQ_EBITDA_DET_EST_INCL_CIQ" hidden="1">"c12388"</definedName>
    <definedName name="IQ_EBITDA_DET_EST_INCL_THOM" hidden="1">"c12365"</definedName>
    <definedName name="IQ_EBITDA_DET_EST_ORIGIN" hidden="1">"c12580"</definedName>
    <definedName name="IQ_EBITDA_DET_EST_ORIGIN_CIQ" hidden="1">"c12629"</definedName>
    <definedName name="IQ_EBITDA_DET_EST_ORIGIN_THOM" hidden="1">"c12603"</definedName>
    <definedName name="IQ_EBITDA_DET_EST_THOM" hidden="1">"c12083"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CIQ" hidden="1">"c3622"</definedName>
    <definedName name="IQ_EBITDA_EST_REUT" hidden="1">"c3640"</definedName>
    <definedName name="IQ_EBITDA_EST_THOM" hidden="1">"c3658"</definedName>
    <definedName name="IQ_EBITDA_EXCL_SBC" hidden="1">"c3081"</definedName>
    <definedName name="IQ_EBITDA_GUIDANCE" hidden="1">"c4334"</definedName>
    <definedName name="IQ_EBITDA_GUIDANCE_CIQ" hidden="1">"c4859"</definedName>
    <definedName name="IQ_EBITDA_HIGH_EST" hidden="1">"c370"</definedName>
    <definedName name="IQ_EBITDA_HIGH_EST_CIQ" hidden="1">"c3624"</definedName>
    <definedName name="IQ_EBITDA_HIGH_EST_REUT" hidden="1">"c3642"</definedName>
    <definedName name="IQ_EBITDA_HIGH_EST_THOM" hidden="1">"c3660"</definedName>
    <definedName name="IQ_EBITDA_HIGH_GUIDANCE" hidden="1">"c4170"</definedName>
    <definedName name="IQ_EBITDA_HIGH_GUIDANCE_CIQ" hidden="1">"c4582"</definedName>
    <definedName name="IQ_EBITDA_HOMEBUILDING_SALES" hidden="1">"c15814"</definedName>
    <definedName name="IQ_EBITDA_INT" hidden="1">"c373"</definedName>
    <definedName name="IQ_EBITDA_LOW_EST" hidden="1">"c371"</definedName>
    <definedName name="IQ_EBITDA_LOW_EST_CIQ" hidden="1">"c3625"</definedName>
    <definedName name="IQ_EBITDA_LOW_EST_REUT" hidden="1">"c3643"</definedName>
    <definedName name="IQ_EBITDA_LOW_EST_THOM" hidden="1">"c3661"</definedName>
    <definedName name="IQ_EBITDA_LOW_GUIDANCE" hidden="1">"c4210"</definedName>
    <definedName name="IQ_EBITDA_LOW_GUIDANCE_CIQ" hidden="1">"c4622"</definedName>
    <definedName name="IQ_EBITDA_MARGIN" hidden="1">"c372"</definedName>
    <definedName name="IQ_EBITDA_MEDIAN_EST" hidden="1">"c1663"</definedName>
    <definedName name="IQ_EBITDA_MEDIAN_EST_CIQ" hidden="1">"c3623"</definedName>
    <definedName name="IQ_EBITDA_MEDIAN_EST_REUT" hidden="1">"c3641"</definedName>
    <definedName name="IQ_EBITDA_MEDIAN_EST_THOM" hidden="1">"c3659"</definedName>
    <definedName name="IQ_EBITDA_NUM_EST" hidden="1">"c374"</definedName>
    <definedName name="IQ_EBITDA_NUM_EST_CIQ" hidden="1">"c3626"</definedName>
    <definedName name="IQ_EBITDA_NUM_EST_REUT" hidden="1">"c3644"</definedName>
    <definedName name="IQ_EBITDA_NUM_EST_THOM" hidden="1">"c3662"</definedName>
    <definedName name="IQ_EBITDA_OVER_TOTAL_IE" hidden="1">"c1371"</definedName>
    <definedName name="IQ_EBITDA_SBC_ACT_OR_EST" hidden="1">"c4337"</definedName>
    <definedName name="IQ_EBITDA_SBC_ACT_OR_EST_CIQ" hidden="1">"c4862"</definedName>
    <definedName name="IQ_EBITDA_SBC_EST" hidden="1">"c4336"</definedName>
    <definedName name="IQ_EBITDA_SBC_EST_CIQ" hidden="1">"c4861"</definedName>
    <definedName name="IQ_EBITDA_SBC_GUIDANCE" hidden="1">"c4338"</definedName>
    <definedName name="IQ_EBITDA_SBC_GUIDANCE_CIQ" hidden="1">"c4863"</definedName>
    <definedName name="IQ_EBITDA_SBC_HIGH_EST" hidden="1">"c4339"</definedName>
    <definedName name="IQ_EBITDA_SBC_HIGH_EST_CIQ" hidden="1">"c4864"</definedName>
    <definedName name="IQ_EBITDA_SBC_HIGH_GUIDANCE" hidden="1">"c4194"</definedName>
    <definedName name="IQ_EBITDA_SBC_HIGH_GUIDANCE_CIQ" hidden="1">"c4606"</definedName>
    <definedName name="IQ_EBITDA_SBC_LOW_EST" hidden="1">"c4340"</definedName>
    <definedName name="IQ_EBITDA_SBC_LOW_EST_CIQ" hidden="1">"c4865"</definedName>
    <definedName name="IQ_EBITDA_SBC_LOW_GUIDANCE" hidden="1">"c4234"</definedName>
    <definedName name="IQ_EBITDA_SBC_LOW_GUIDANCE_CIQ" hidden="1">"c4646"</definedName>
    <definedName name="IQ_EBITDA_SBC_MEDIAN_EST" hidden="1">"c4341"</definedName>
    <definedName name="IQ_EBITDA_SBC_MEDIAN_EST_CIQ" hidden="1">"c4866"</definedName>
    <definedName name="IQ_EBITDA_SBC_NUM_EST" hidden="1">"c4342"</definedName>
    <definedName name="IQ_EBITDA_SBC_NUM_EST_CIQ" hidden="1">"c4867"</definedName>
    <definedName name="IQ_EBITDA_SBC_STDDEV_EST" hidden="1">"c4343"</definedName>
    <definedName name="IQ_EBITDA_SBC_STDDEV_EST_CIQ" hidden="1">"c4868"</definedName>
    <definedName name="IQ_EBITDA_STDDEV_EST" hidden="1">"c375"</definedName>
    <definedName name="IQ_EBITDA_STDDEV_EST_CIQ" hidden="1">"c3627"</definedName>
    <definedName name="IQ_EBITDA_STDDEV_EST_REUT" hidden="1">"c3645"</definedName>
    <definedName name="IQ_EBITDA_STDDEV_EST_THOM" hidden="1">"c3663"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FIEC" hidden="1">"c13029"</definedName>
    <definedName name="IQ_EBT_FIN" hidden="1">"c386"</definedName>
    <definedName name="IQ_EBT_FTE_FFIEC" hidden="1">"c13037"</definedName>
    <definedName name="IQ_EBT_GAAP_GUIDANCE" hidden="1">"c4345"</definedName>
    <definedName name="IQ_EBT_GAAP_GUIDANCE_CIQ" hidden="1">"c4870"</definedName>
    <definedName name="IQ_EBT_GAAP_HIGH_GUIDANCE" hidden="1">"c4174"</definedName>
    <definedName name="IQ_EBT_GAAP_HIGH_GUIDANCE_CIQ" hidden="1">"c4586"</definedName>
    <definedName name="IQ_EBT_GAAP_LOW_GUIDANCE" hidden="1">"c4214"</definedName>
    <definedName name="IQ_EBT_GAAP_LOW_GUIDANCE_CIQ" hidden="1">"c4626"</definedName>
    <definedName name="IQ_EBT_GUIDANCE" hidden="1">"c4346"</definedName>
    <definedName name="IQ_EBT_GUIDANCE_CIQ" hidden="1">"c4871"</definedName>
    <definedName name="IQ_EBT_GW_GUIDANCE" hidden="1">"c4347"</definedName>
    <definedName name="IQ_EBT_GW_GUIDANCE_CIQ" hidden="1">"c4872"</definedName>
    <definedName name="IQ_EBT_GW_HIGH_GUIDANCE" hidden="1">"c4175"</definedName>
    <definedName name="IQ_EBT_GW_HIGH_GUIDANCE_CIQ" hidden="1">"c4587"</definedName>
    <definedName name="IQ_EBT_GW_LOW_GUIDANCE" hidden="1">"c4215"</definedName>
    <definedName name="IQ_EBT_GW_LOW_GUIDANCE_CIQ" hidden="1">"c4627"</definedName>
    <definedName name="IQ_EBT_HIGH_GUIDANCE" hidden="1">"c4173"</definedName>
    <definedName name="IQ_EBT_HIGH_GUIDANCE_CIQ" hidden="1">"c4585"</definedName>
    <definedName name="IQ_EBT_HOMEBUILDING_SALES" hidden="1">"c15816"</definedName>
    <definedName name="IQ_EBT_INCL_MARGIN" hidden="1">"c387"</definedName>
    <definedName name="IQ_EBT_INS" hidden="1">"c388"</definedName>
    <definedName name="IQ_EBT_LOW_GUIDANCE" hidden="1">"c4213"</definedName>
    <definedName name="IQ_EBT_LOW_GUIDANCE_CIQ" hidden="1">"c4625"</definedName>
    <definedName name="IQ_EBT_RE" hidden="1">"c6215"</definedName>
    <definedName name="IQ_EBT_REIT" hidden="1">"c389"</definedName>
    <definedName name="IQ_EBT_SBC_ACT_OR_EST" hidden="1">"c4350"</definedName>
    <definedName name="IQ_EBT_SBC_ACT_OR_EST_CIQ" hidden="1">"c4875"</definedName>
    <definedName name="IQ_EBT_SBC_EST" hidden="1">"c4349"</definedName>
    <definedName name="IQ_EBT_SBC_EST_CIQ" hidden="1">"c4874"</definedName>
    <definedName name="IQ_EBT_SBC_GUIDANCE" hidden="1">"c4351"</definedName>
    <definedName name="IQ_EBT_SBC_GUIDANCE_CIQ" hidden="1">"c4876"</definedName>
    <definedName name="IQ_EBT_SBC_GW_ACT_OR_EST" hidden="1">"c4354"</definedName>
    <definedName name="IQ_EBT_SBC_GW_ACT_OR_EST_CIQ" hidden="1">"c4879"</definedName>
    <definedName name="IQ_EBT_SBC_GW_EST" hidden="1">"c4353"</definedName>
    <definedName name="IQ_EBT_SBC_GW_EST_CIQ" hidden="1">"c4878"</definedName>
    <definedName name="IQ_EBT_SBC_GW_GUIDANCE" hidden="1">"c4355"</definedName>
    <definedName name="IQ_EBT_SBC_GW_GUIDANCE_CIQ" hidden="1">"c4880"</definedName>
    <definedName name="IQ_EBT_SBC_GW_HIGH_EST" hidden="1">"c4356"</definedName>
    <definedName name="IQ_EBT_SBC_GW_HIGH_EST_CIQ" hidden="1">"c4881"</definedName>
    <definedName name="IQ_EBT_SBC_GW_HIGH_GUIDANCE" hidden="1">"c4191"</definedName>
    <definedName name="IQ_EBT_SBC_GW_HIGH_GUIDANCE_CIQ" hidden="1">"c4603"</definedName>
    <definedName name="IQ_EBT_SBC_GW_LOW_EST" hidden="1">"c4357"</definedName>
    <definedName name="IQ_EBT_SBC_GW_LOW_EST_CIQ" hidden="1">"c4882"</definedName>
    <definedName name="IQ_EBT_SBC_GW_LOW_GUIDANCE" hidden="1">"c4231"</definedName>
    <definedName name="IQ_EBT_SBC_GW_LOW_GUIDANCE_CIQ" hidden="1">"c4643"</definedName>
    <definedName name="IQ_EBT_SBC_GW_MEDIAN_EST" hidden="1">"c4358"</definedName>
    <definedName name="IQ_EBT_SBC_GW_MEDIAN_EST_CIQ" hidden="1">"c4883"</definedName>
    <definedName name="IQ_EBT_SBC_GW_NUM_EST" hidden="1">"c4359"</definedName>
    <definedName name="IQ_EBT_SBC_GW_NUM_EST_CIQ" hidden="1">"c4884"</definedName>
    <definedName name="IQ_EBT_SBC_GW_STDDEV_EST" hidden="1">"c4360"</definedName>
    <definedName name="IQ_EBT_SBC_GW_STDDEV_EST_CIQ" hidden="1">"c4885"</definedName>
    <definedName name="IQ_EBT_SBC_HIGH_EST" hidden="1">"c4362"</definedName>
    <definedName name="IQ_EBT_SBC_HIGH_EST_CIQ" hidden="1">"c4887"</definedName>
    <definedName name="IQ_EBT_SBC_HIGH_GUIDANCE" hidden="1">"c4190"</definedName>
    <definedName name="IQ_EBT_SBC_HIGH_GUIDANCE_CIQ" hidden="1">"c4602"</definedName>
    <definedName name="IQ_EBT_SBC_LOW_EST" hidden="1">"c4363"</definedName>
    <definedName name="IQ_EBT_SBC_LOW_EST_CIQ" hidden="1">"c4888"</definedName>
    <definedName name="IQ_EBT_SBC_LOW_GUIDANCE" hidden="1">"c4230"</definedName>
    <definedName name="IQ_EBT_SBC_LOW_GUIDANCE_CIQ" hidden="1">"c4642"</definedName>
    <definedName name="IQ_EBT_SBC_MEDIAN_EST" hidden="1">"c4364"</definedName>
    <definedName name="IQ_EBT_SBC_MEDIAN_EST_CIQ" hidden="1">"c4889"</definedName>
    <definedName name="IQ_EBT_SBC_NUM_EST" hidden="1">"c4365"</definedName>
    <definedName name="IQ_EBT_SBC_NUM_EST_CIQ" hidden="1">"c4890"</definedName>
    <definedName name="IQ_EBT_SBC_STDDEV_EST" hidden="1">"c4366"</definedName>
    <definedName name="IQ_EBT_SBC_STDDEV_EST_CIQ" hidden="1">"c4891"</definedName>
    <definedName name="IQ_EBT_SUBTOTAL_AP" hidden="1">"c8982"</definedName>
    <definedName name="IQ_EBT_UTI" hidden="1">"c390"</definedName>
    <definedName name="IQ_ECO_METRIC_6825_UNUSED" hidden="1">"c6825"</definedName>
    <definedName name="IQ_ECO_METRIC_6825_UNUSED_UNUSED_UNUSED" hidden="1">"c6825"</definedName>
    <definedName name="IQ_ECO_METRIC_6839_UNUSED" hidden="1">"c6839"</definedName>
    <definedName name="IQ_ECO_METRIC_6839_UNUSED_UNUSED_UNUSED" hidden="1">"c6839"</definedName>
    <definedName name="IQ_ECO_METRIC_6896_UNUSED" hidden="1">"c6896"</definedName>
    <definedName name="IQ_ECO_METRIC_6896_UNUSED_UNUSED_UNUSED" hidden="1">"c6896"</definedName>
    <definedName name="IQ_ECO_METRIC_6897_UNUSED" hidden="1">"c6897"</definedName>
    <definedName name="IQ_ECO_METRIC_6897_UNUSED_UNUSED_UNUSED" hidden="1">"c6897"</definedName>
    <definedName name="IQ_ECO_METRIC_6927" hidden="1">"c6927"</definedName>
    <definedName name="IQ_ECO_METRIC_6988_UNUSED" hidden="1">"c6988"</definedName>
    <definedName name="IQ_ECO_METRIC_6988_UNUSED_UNUSED_UNUSED" hidden="1">"c6988"</definedName>
    <definedName name="IQ_ECO_METRIC_7045_UNUSED" hidden="1">"c7045"</definedName>
    <definedName name="IQ_ECO_METRIC_7045_UNUSED_UNUSED_UNUSED" hidden="1">"c7045"</definedName>
    <definedName name="IQ_ECO_METRIC_7059_UNUSED" hidden="1">"c7059"</definedName>
    <definedName name="IQ_ECO_METRIC_7059_UNUSED_UNUSED_UNUSED" hidden="1">"c7059"</definedName>
    <definedName name="IQ_ECO_METRIC_7116_UNUSED" hidden="1">"c7116"</definedName>
    <definedName name="IQ_ECO_METRIC_7116_UNUSED_UNUSED_UNUSED" hidden="1">"c7116"</definedName>
    <definedName name="IQ_ECO_METRIC_7117_UNUSED" hidden="1">"c7117"</definedName>
    <definedName name="IQ_ECO_METRIC_7117_UNUSED_UNUSED_UNUSED" hidden="1">"c7117"</definedName>
    <definedName name="IQ_ECO_METRIC_7147" hidden="1">"c7147"</definedName>
    <definedName name="IQ_ECO_METRIC_7208_UNUSED" hidden="1">"c7208"</definedName>
    <definedName name="IQ_ECO_METRIC_7208_UNUSED_UNUSED_UNUSED" hidden="1">"c7208"</definedName>
    <definedName name="IQ_ECO_METRIC_7265_UNUSED" hidden="1">"c7265"</definedName>
    <definedName name="IQ_ECO_METRIC_7265_UNUSED_UNUSED_UNUSED" hidden="1">"c7265"</definedName>
    <definedName name="IQ_ECO_METRIC_7279_UNUSED" hidden="1">"c7279"</definedName>
    <definedName name="IQ_ECO_METRIC_7279_UNUSED_UNUSED_UNUSED" hidden="1">"c7279"</definedName>
    <definedName name="IQ_ECO_METRIC_7336_UNUSED" hidden="1">"c7336"</definedName>
    <definedName name="IQ_ECO_METRIC_7336_UNUSED_UNUSED_UNUSED" hidden="1">"c7336"</definedName>
    <definedName name="IQ_ECO_METRIC_7337_UNUSED" hidden="1">"c7337"</definedName>
    <definedName name="IQ_ECO_METRIC_7337_UNUSED_UNUSED_UNUSED" hidden="1">"c7337"</definedName>
    <definedName name="IQ_ECO_METRIC_7367" hidden="1">"c7367"</definedName>
    <definedName name="IQ_ECO_METRIC_7428_UNUSED" hidden="1">"c7428"</definedName>
    <definedName name="IQ_ECO_METRIC_7428_UNUSED_UNUSED_UNUSED" hidden="1">"c7428"</definedName>
    <definedName name="IQ_ECO_METRIC_7556_UNUSED" hidden="1">"c7556"</definedName>
    <definedName name="IQ_ECO_METRIC_7556_UNUSED_UNUSED_UNUSED" hidden="1">"c7556"</definedName>
    <definedName name="IQ_ECO_METRIC_7557_UNUSED" hidden="1">"c7557"</definedName>
    <definedName name="IQ_ECO_METRIC_7557_UNUSED_UNUSED_UNUSED" hidden="1">"c7557"</definedName>
    <definedName name="IQ_ECO_METRIC_7587" hidden="1">"c7587"</definedName>
    <definedName name="IQ_ECO_METRIC_7648_UNUSED" hidden="1">"c7648"</definedName>
    <definedName name="IQ_ECO_METRIC_7648_UNUSED_UNUSED_UNUSED" hidden="1">"c7648"</definedName>
    <definedName name="IQ_ECO_METRIC_7704" hidden="1">"c7704"</definedName>
    <definedName name="IQ_ECO_METRIC_7705_UNUSED" hidden="1">"c7705"</definedName>
    <definedName name="IQ_ECO_METRIC_7705_UNUSED_UNUSED_UNUSED" hidden="1">"c7705"</definedName>
    <definedName name="IQ_ECO_METRIC_7706" hidden="1">"c7706"</definedName>
    <definedName name="IQ_ECO_METRIC_7718" hidden="1">"c7718"</definedName>
    <definedName name="IQ_ECO_METRIC_7719_UNUSED" hidden="1">"c7719"</definedName>
    <definedName name="IQ_ECO_METRIC_7719_UNUSED_UNUSED_UNUSED" hidden="1">"c7719"</definedName>
    <definedName name="IQ_ECO_METRIC_7776_UNUSED" hidden="1">"c7776"</definedName>
    <definedName name="IQ_ECO_METRIC_7776_UNUSED_UNUSED_UNUSED" hidden="1">"c7776"</definedName>
    <definedName name="IQ_ECO_METRIC_7777_UNUSED" hidden="1">"c7777"</definedName>
    <definedName name="IQ_ECO_METRIC_7777_UNUSED_UNUSED_UNUSED" hidden="1">"c7777"</definedName>
    <definedName name="IQ_ECO_METRIC_7807" hidden="1">"c7807"</definedName>
    <definedName name="IQ_ECO_METRIC_7811" hidden="1">"c7811"</definedName>
    <definedName name="IQ_ECO_METRIC_7868_UNUSED" hidden="1">"c7868"</definedName>
    <definedName name="IQ_ECO_METRIC_7868_UNUSED_UNUSED_UNUSED" hidden="1">"c7868"</definedName>
    <definedName name="IQ_ECO_METRIC_7873" hidden="1">"c7873"</definedName>
    <definedName name="IQ_ECO_METRIC_7924" hidden="1">"c7924"</definedName>
    <definedName name="IQ_ECO_METRIC_7925_UNUSED" hidden="1">"c7925"</definedName>
    <definedName name="IQ_ECO_METRIC_7925_UNUSED_UNUSED_UNUSED" hidden="1">"c7925"</definedName>
    <definedName name="IQ_ECO_METRIC_7926" hidden="1">"c7926"</definedName>
    <definedName name="IQ_ECO_METRIC_7938" hidden="1">"c7938"</definedName>
    <definedName name="IQ_ECO_METRIC_7939_UNUSED" hidden="1">"c7939"</definedName>
    <definedName name="IQ_ECO_METRIC_7939_UNUSED_UNUSED_UNUSED" hidden="1">"c7939"</definedName>
    <definedName name="IQ_ECO_METRIC_7996_UNUSED" hidden="1">"c7996"</definedName>
    <definedName name="IQ_ECO_METRIC_7996_UNUSED_UNUSED_UNUSED" hidden="1">"c7996"</definedName>
    <definedName name="IQ_ECO_METRIC_7997_UNUSED" hidden="1">"c7997"</definedName>
    <definedName name="IQ_ECO_METRIC_7997_UNUSED_UNUSED_UNUSED" hidden="1">"c7997"</definedName>
    <definedName name="IQ_ECO_METRIC_8027" hidden="1">"c8027"</definedName>
    <definedName name="IQ_ECO_METRIC_8031" hidden="1">"c8031"</definedName>
    <definedName name="IQ_ECO_METRIC_8088_UNUSED" hidden="1">"c8088"</definedName>
    <definedName name="IQ_ECO_METRIC_8088_UNUSED_UNUSED_UNUSED" hidden="1">"c8088"</definedName>
    <definedName name="IQ_ECO_METRIC_8093" hidden="1">"c8093"</definedName>
    <definedName name="IQ_ECO_METRIC_8144" hidden="1">"c8144"</definedName>
    <definedName name="IQ_ECO_METRIC_8145_UNUSED" hidden="1">"c8145"</definedName>
    <definedName name="IQ_ECO_METRIC_8145_UNUSED_UNUSED_UNUSED" hidden="1">"c8145"</definedName>
    <definedName name="IQ_ECO_METRIC_8146" hidden="1">"c8146"</definedName>
    <definedName name="IQ_ECO_METRIC_8158" hidden="1">"c8158"</definedName>
    <definedName name="IQ_ECO_METRIC_8159_UNUSED" hidden="1">"c8159"</definedName>
    <definedName name="IQ_ECO_METRIC_8159_UNUSED_UNUSED_UNUSED" hidden="1">"c8159"</definedName>
    <definedName name="IQ_ECO_METRIC_8216_UNUSED" hidden="1">"c8216"</definedName>
    <definedName name="IQ_ECO_METRIC_8216_UNUSED_UNUSED_UNUSED" hidden="1">"c8216"</definedName>
    <definedName name="IQ_ECO_METRIC_8217_UNUSED" hidden="1">"c8217"</definedName>
    <definedName name="IQ_ECO_METRIC_8217_UNUSED_UNUSED_UNUSED" hidden="1">"c8217"</definedName>
    <definedName name="IQ_ECO_METRIC_8247" hidden="1">"c8247"</definedName>
    <definedName name="IQ_ECO_METRIC_8251" hidden="1">"c8251"</definedName>
    <definedName name="IQ_ECO_METRIC_8308_UNUSED" hidden="1">"c8308"</definedName>
    <definedName name="IQ_ECO_METRIC_8308_UNUSED_UNUSED_UNUSED" hidden="1">"c8308"</definedName>
    <definedName name="IQ_ECO_METRIC_8313" hidden="1">"c8313"</definedName>
    <definedName name="IQ_ECO_METRIC_8366" hidden="1">"c8366"</definedName>
    <definedName name="IQ_ECO_METRIC_8378" hidden="1">"c8378"</definedName>
    <definedName name="IQ_ECO_METRIC_8436_UNUSED" hidden="1">"c8436"</definedName>
    <definedName name="IQ_ECO_METRIC_8436_UNUSED_UNUSED_UNUSED" hidden="1">"c8436"</definedName>
    <definedName name="IQ_ECO_METRIC_8437_UNUSED" hidden="1">"c8437"</definedName>
    <definedName name="IQ_ECO_METRIC_8437_UNUSED_UNUSED_UNUSED" hidden="1">"c8437"</definedName>
    <definedName name="IQ_ECO_METRIC_8467" hidden="1">"c8467"</definedName>
    <definedName name="IQ_ECO_METRIC_8471" hidden="1">"c8471"</definedName>
    <definedName name="IQ_ECO_METRIC_8528_UNUSED" hidden="1">"c8528"</definedName>
    <definedName name="IQ_ECO_METRIC_8528_UNUSED_UNUSED_UNUSED" hidden="1">"c8528"</definedName>
    <definedName name="IQ_ECO_METRIC_8533" hidden="1">"c8533"</definedName>
    <definedName name="IQ_ECS_AUTHORIZED_SHARES" hidden="1">"c5583"</definedName>
    <definedName name="IQ_ECS_AUTHORIZED_SHARES_ABS" hidden="1">"c5597"</definedName>
    <definedName name="IQ_ECS_AUTHORIZED_SHARES_OTHER" hidden="1">"c15613"</definedName>
    <definedName name="IQ_ECS_AUTHORIZED_SHARES_OTHER_ABS" hidden="1">"c15630"</definedName>
    <definedName name="IQ_ECS_CONVERT_FACTOR" hidden="1">"c5581"</definedName>
    <definedName name="IQ_ECS_CONVERT_FACTOR_ABS" hidden="1">"c5595"</definedName>
    <definedName name="IQ_ECS_CONVERT_FACTOR_OTHER" hidden="1">"c15611"</definedName>
    <definedName name="IQ_ECS_CONVERT_FACTOR_OTHER_ABS" hidden="1">"c15628"</definedName>
    <definedName name="IQ_ECS_CONVERT_INTO" hidden="1">"c5580"</definedName>
    <definedName name="IQ_ECS_CONVERT_INTO_ABS" hidden="1">"c5594"</definedName>
    <definedName name="IQ_ECS_CONVERT_INTO_OTHER" hidden="1">"c15610"</definedName>
    <definedName name="IQ_ECS_CONVERT_INTO_OTHER_ABS" hidden="1">"c15627"</definedName>
    <definedName name="IQ_ECS_CONVERT_PRIMARY_FACTOR" hidden="1">"c15592"</definedName>
    <definedName name="IQ_ECS_CONVERT_PRIMARY_FACTOR_ABS" hidden="1">"c15596"</definedName>
    <definedName name="IQ_ECS_CONVERT_TYPE" hidden="1">"c5579"</definedName>
    <definedName name="IQ_ECS_CONVERT_TYPE_ABS" hidden="1">"c5593"</definedName>
    <definedName name="IQ_ECS_CONVERT_TYPE_OTHER" hidden="1">"c15609"</definedName>
    <definedName name="IQ_ECS_CONVERT_TYPE_OTHER_ABS" hidden="1">"c15626"</definedName>
    <definedName name="IQ_ECS_INACTIVE_DATE" hidden="1">"c5576"</definedName>
    <definedName name="IQ_ECS_INACTIVE_DATE_ABS" hidden="1">"c5590"</definedName>
    <definedName name="IQ_ECS_INACTIVE_DATE_OTHER" hidden="1">"c15606"</definedName>
    <definedName name="IQ_ECS_INACTIVE_DATE_OTHER_ABS" hidden="1">"c15623"</definedName>
    <definedName name="IQ_ECS_NAME" hidden="1">"c5571"</definedName>
    <definedName name="IQ_ECS_NAME_ABS" hidden="1">"c5585"</definedName>
    <definedName name="IQ_ECS_NAME_OTHER" hidden="1">"c15599"</definedName>
    <definedName name="IQ_ECS_NAME_OTHER_ABS" hidden="1">"c15616"</definedName>
    <definedName name="IQ_ECS_NUM_SHAREHOLDERS" hidden="1">"c5584"</definedName>
    <definedName name="IQ_ECS_NUM_SHAREHOLDERS_ABS" hidden="1">"c5598"</definedName>
    <definedName name="IQ_ECS_NUM_SHAREHOLDERS_OTHER" hidden="1">"c15615"</definedName>
    <definedName name="IQ_ECS_NUM_SHAREHOLDERS_OTHER_ABS" hidden="1">"c15632"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PAR_VALUE_CURRENCY_OTHER" hidden="1">"c15608"</definedName>
    <definedName name="IQ_ECS_PAR_VALUE_CURRENCY_OTHER_ABS" hidden="1">"c15625"</definedName>
    <definedName name="IQ_ECS_PAR_VALUE_OTHER" hidden="1">"c15607"</definedName>
    <definedName name="IQ_ECS_PAR_VALUE_OTHER_ABS" hidden="1">"c15624"</definedName>
    <definedName name="IQ_ECS_PARTICIPATE_FLAG" hidden="1">"c15591"</definedName>
    <definedName name="IQ_ECS_PARTICIPATE_FLAG_ABS" hidden="1">"c15595"</definedName>
    <definedName name="IQ_ECS_PARTICIPATE_FLAG_OTHER" hidden="1">"c15614"</definedName>
    <definedName name="IQ_ECS_PARTICIPATE_FLAG_OTHER_ABS" hidden="1">"c15631"</definedName>
    <definedName name="IQ_ECS_SHARES_OUT_BS_DATE" hidden="1">"c5572"</definedName>
    <definedName name="IQ_ECS_SHARES_OUT_BS_DATE_ABS" hidden="1">"c5586"</definedName>
    <definedName name="IQ_ECS_SHARES_OUT_BS_DATE_OTHER" hidden="1">"c15600"</definedName>
    <definedName name="IQ_ECS_SHARES_OUT_BS_DATE_OTHER_ABS" hidden="1">"c15617"</definedName>
    <definedName name="IQ_ECS_SHARES_OUT_FILING_DATE" hidden="1">"c5573"</definedName>
    <definedName name="IQ_ECS_SHARES_OUT_FILING_DATE_ABS" hidden="1">"c5587"</definedName>
    <definedName name="IQ_ECS_SHARES_OUT_FILING_DATE_OTHER" hidden="1">"c15601"</definedName>
    <definedName name="IQ_ECS_SHARES_OUT_FILING_DATE_OTHER_ABS" hidden="1">"c15618"</definedName>
    <definedName name="IQ_ECS_START_DATE" hidden="1">"c5575"</definedName>
    <definedName name="IQ_ECS_START_DATE_ABS" hidden="1">"c5589"</definedName>
    <definedName name="IQ_ECS_START_DATE_OTHER" hidden="1">"c15605"</definedName>
    <definedName name="IQ_ECS_START_DATE_OTHER_ABS" hidden="1">"c15622"</definedName>
    <definedName name="IQ_ECS_TICKER" hidden="1">"c15594"</definedName>
    <definedName name="IQ_ECS_TICKER_ABS" hidden="1">"c15598"</definedName>
    <definedName name="IQ_ECS_TICKER_OTHER" hidden="1">"c15603"</definedName>
    <definedName name="IQ_ECS_TICKER_OTHER_ABS" hidden="1">"c15620"</definedName>
    <definedName name="IQ_ECS_TRADING_ITEM_CIQID" hidden="1">"c15593"</definedName>
    <definedName name="IQ_ECS_TRADING_ITEM_CIQID_ABS" hidden="1">"c15597"</definedName>
    <definedName name="IQ_ECS_TRADING_ITEM_CIQID_OTHER" hidden="1">"c15602"</definedName>
    <definedName name="IQ_ECS_TRADING_ITEM_CIQID_OTHER_ABS" hidden="1">"c15619"</definedName>
    <definedName name="IQ_ECS_TYPE" hidden="1">"c5574"</definedName>
    <definedName name="IQ_ECS_TYPE_ABS" hidden="1">"c5588"</definedName>
    <definedName name="IQ_ECS_TYPE_OTHER" hidden="1">"c15604"</definedName>
    <definedName name="IQ_ECS_TYPE_OTHER_ABS" hidden="1">"c15621"</definedName>
    <definedName name="IQ_ECS_VOTING" hidden="1">"c5582"</definedName>
    <definedName name="IQ_ECS_VOTING_ABS" hidden="1">"c5596"</definedName>
    <definedName name="IQ_ECS_VOTING_OTHER" hidden="1">"c15612"</definedName>
    <definedName name="IQ_ECS_VOTING_OTHER_ABS" hidden="1">"c15629"</definedName>
    <definedName name="IQ_EFFECT_SPECIAL_CHARGE" hidden="1">"c1595"</definedName>
    <definedName name="IQ_EFFECT_TAX_RATE" hidden="1">"c1899"</definedName>
    <definedName name="IQ_EFFECTIVE_DATE" hidden="1">"c8966"</definedName>
    <definedName name="IQ_EFFICIENCY_RATIO" hidden="1">"c391"</definedName>
    <definedName name="IQ_EFFICIENCY_RATIO_FDIC" hidden="1">"c6736"</definedName>
    <definedName name="IQ_ELIMINATIONS_CONSOL_OFFICES_FOREIGN_FFIEC" hidden="1">"c15395"</definedName>
    <definedName name="IQ_EMBEDDED_VAL_COVERED" hidden="1">"c9962"</definedName>
    <definedName name="IQ_EMBEDDED_VAL_COVERED_BEG" hidden="1">"c9957"</definedName>
    <definedName name="IQ_EMBEDDED_VAL_GROUP" hidden="1">"c9948"</definedName>
    <definedName name="IQ_EMBEDDED_VAL_GROUP_BEG" hidden="1">"c9943"</definedName>
    <definedName name="IQ_EMPLOY_COST_INDEX_BENEFITS" hidden="1">"c6857"</definedName>
    <definedName name="IQ_EMPLOY_COST_INDEX_BENEFITS_APR" hidden="1">"c7517"</definedName>
    <definedName name="IQ_EMPLOY_COST_INDEX_BENEFITS_APR_FC" hidden="1">"c8397"</definedName>
    <definedName name="IQ_EMPLOY_COST_INDEX_BENEFITS_FC" hidden="1">"c7737"</definedName>
    <definedName name="IQ_EMPLOY_COST_INDEX_BENEFITS_POP" hidden="1">"c7077"</definedName>
    <definedName name="IQ_EMPLOY_COST_INDEX_BENEFITS_POP_FC" hidden="1">"c7957"</definedName>
    <definedName name="IQ_EMPLOY_COST_INDEX_BENEFITS_YOY" hidden="1">"c7297"</definedName>
    <definedName name="IQ_EMPLOY_COST_INDEX_BENEFITS_YOY_FC" hidden="1">"c8177"</definedName>
    <definedName name="IQ_EMPLOY_COST_INDEX_COMP" hidden="1">"c6856"</definedName>
    <definedName name="IQ_EMPLOY_COST_INDEX_COMP_APR" hidden="1">"c7516"</definedName>
    <definedName name="IQ_EMPLOY_COST_INDEX_COMP_APR_FC" hidden="1">"c8396"</definedName>
    <definedName name="IQ_EMPLOY_COST_INDEX_COMP_FC" hidden="1">"c7736"</definedName>
    <definedName name="IQ_EMPLOY_COST_INDEX_COMP_POP" hidden="1">"c7076"</definedName>
    <definedName name="IQ_EMPLOY_COST_INDEX_COMP_POP_FC" hidden="1">"c7956"</definedName>
    <definedName name="IQ_EMPLOY_COST_INDEX_COMP_YOY" hidden="1">"c7296"</definedName>
    <definedName name="IQ_EMPLOY_COST_INDEX_COMP_YOY_FC" hidden="1">"c8176"</definedName>
    <definedName name="IQ_EMPLOY_COST_INDEX_WAGE_SALARY" hidden="1">"c6858"</definedName>
    <definedName name="IQ_EMPLOY_COST_INDEX_WAGE_SALARY_APR" hidden="1">"c7518"</definedName>
    <definedName name="IQ_EMPLOY_COST_INDEX_WAGE_SALARY_APR_FC" hidden="1">"c8398"</definedName>
    <definedName name="IQ_EMPLOY_COST_INDEX_WAGE_SALARY_FC" hidden="1">"c7738"</definedName>
    <definedName name="IQ_EMPLOY_COST_INDEX_WAGE_SALARY_POP" hidden="1">"c7078"</definedName>
    <definedName name="IQ_EMPLOY_COST_INDEX_WAGE_SALARY_POP_FC" hidden="1">"c7958"</definedName>
    <definedName name="IQ_EMPLOY_COST_INDEX_WAGE_SALARY_YOY" hidden="1">"c7298"</definedName>
    <definedName name="IQ_EMPLOY_COST_INDEX_WAGE_SALARY_YOY_FC" hidden="1">"c8178"</definedName>
    <definedName name="IQ_EMPLOYEES" hidden="1">"c392"</definedName>
    <definedName name="IQ_EMPLOYEES_FFIEC" hidden="1">"c13035"</definedName>
    <definedName name="IQ_EMPLOYEES_UNDER_UNION_CONTRACTS" hidden="1">"c16109"</definedName>
    <definedName name="IQ_ENTERPRISE_VALUE" hidden="1">"c1348"</definedName>
    <definedName name="IQ_ENTITLEMENT_DET_EST" hidden="1">"c12044"</definedName>
    <definedName name="IQ_ENTITLEMENT_DET_EST_CIQ" hidden="1">"c12104"</definedName>
    <definedName name="IQ_ENTITLEMENT_DET_EST_THOM" hidden="1">"c12072"</definedName>
    <definedName name="IQ_ENTREPRENEURAL_PROPERTY_INC" hidden="1">"c6859"</definedName>
    <definedName name="IQ_ENTREPRENEURAL_PROPERTY_INC_APR" hidden="1">"c7519"</definedName>
    <definedName name="IQ_ENTREPRENEURAL_PROPERTY_INC_APR_FC" hidden="1">"c8399"</definedName>
    <definedName name="IQ_ENTREPRENEURAL_PROPERTY_INC_FC" hidden="1">"c7739"</definedName>
    <definedName name="IQ_ENTREPRENEURAL_PROPERTY_INC_POP" hidden="1">"c7079"</definedName>
    <definedName name="IQ_ENTREPRENEURAL_PROPERTY_INC_POP_FC" hidden="1">"c7959"</definedName>
    <definedName name="IQ_ENTREPRENEURAL_PROPERTY_INC_YOY" hidden="1">"c7299"</definedName>
    <definedName name="IQ_ENTREPRENEURAL_PROPERTY_INC_YOY_FC" hidden="1">"c8179"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ACT_OR_EST" hidden="1">"c2213"</definedName>
    <definedName name="IQ_EPS_ACT_OR_EST_CIQ" hidden="1">"c5058"</definedName>
    <definedName name="IQ_EPS_ACT_OR_EST_REUT" hidden="1">"c5460"</definedName>
    <definedName name="IQ_EPS_ACT_OR_EST_THOM" hidden="1">"c5298"</definedName>
    <definedName name="IQ_EPS_AP" hidden="1">"c8880"</definedName>
    <definedName name="IQ_EPS_AP_ABS" hidden="1">"c8899"</definedName>
    <definedName name="IQ_EPS_DET_EST" hidden="1">"c13571"</definedName>
    <definedName name="IQ_EPS_DET_EST_CIQ" hidden="1">"c13573"</definedName>
    <definedName name="IQ_EPS_DET_EST_CURRENCY" hidden="1">"c13583"</definedName>
    <definedName name="IQ_EPS_DET_EST_CURRENCY_CIQ" hidden="1">"c13585"</definedName>
    <definedName name="IQ_EPS_DET_EST_CURRENCY_THOM" hidden="1">"c12484"</definedName>
    <definedName name="IQ_EPS_DET_EST_DATE" hidden="1">"c13575"</definedName>
    <definedName name="IQ_EPS_DET_EST_DATE_CIQ" hidden="1">"c13577"</definedName>
    <definedName name="IQ_EPS_DET_EST_DATE_THOM" hidden="1">"c12235"</definedName>
    <definedName name="IQ_EPS_DET_EST_INCL" hidden="1">"c13587"</definedName>
    <definedName name="IQ_EPS_DET_EST_INCL_CIQ" hidden="1">"c13589"</definedName>
    <definedName name="IQ_EPS_DET_EST_INCL_THOM" hidden="1">"c12367"</definedName>
    <definedName name="IQ_EPS_DET_EST_ORIGIN" hidden="1">"c13579"</definedName>
    <definedName name="IQ_EPS_DET_EST_ORIGIN_CIQ" hidden="1">"c13581"</definedName>
    <definedName name="IQ_EPS_DET_EST_ORIGIN_THOM" hidden="1">"c12605"</definedName>
    <definedName name="IQ_EPS_DET_EST_THOM" hidden="1">"c12085"</definedName>
    <definedName name="IQ_EPS_EST" hidden="1">"c399"</definedName>
    <definedName name="IQ_EPS_EST_BOTTOM_UP" hidden="1">"c5489"</definedName>
    <definedName name="IQ_EPS_EST_BOTTOM_UP_CIQ" hidden="1">"c12026"</definedName>
    <definedName name="IQ_EPS_EST_BOTTOM_UP_REUT" hidden="1">"c5497"</definedName>
    <definedName name="IQ_EPS_EST_BOTTOM_UP_THOM" hidden="1">"c5647"</definedName>
    <definedName name="IQ_EPS_EST_CIQ" hidden="1">"c4994"</definedName>
    <definedName name="IQ_EPS_EST_REUT" hidden="1">"c5453"</definedName>
    <definedName name="IQ_EPS_EST_THOM" hidden="1">"c5290"</definedName>
    <definedName name="IQ_EPS_EXCL_GUIDANCE" hidden="1">"c4368"</definedName>
    <definedName name="IQ_EPS_EXCL_GUIDANCE_CIQ" hidden="1">"c4893"</definedName>
    <definedName name="IQ_EPS_EXCL_HIGH_GUIDANCE" hidden="1">"c4369"</definedName>
    <definedName name="IQ_EPS_EXCL_HIGH_GUIDANCE_CIQ" hidden="1">"c4894"</definedName>
    <definedName name="IQ_EPS_EXCL_LOW_GUIDANCE" hidden="1">"c4204"</definedName>
    <definedName name="IQ_EPS_EXCL_LOW_GUIDANCE_CIQ" hidden="1">"c4616"</definedName>
    <definedName name="IQ_EPS_GAAP_GUIDANCE" hidden="1">"c4370"</definedName>
    <definedName name="IQ_EPS_GAAP_GUIDANCE_CIQ" hidden="1">"c4895"</definedName>
    <definedName name="IQ_EPS_GAAP_HIGH_GUIDANCE" hidden="1">"c4371"</definedName>
    <definedName name="IQ_EPS_GAAP_HIGH_GUIDANCE_CIQ" hidden="1">"c4896"</definedName>
    <definedName name="IQ_EPS_GAAP_LOW_GUIDANCE" hidden="1">"c4205"</definedName>
    <definedName name="IQ_EPS_GAAP_LOW_GUIDANCE_CIQ" hidden="1">"c4617"</definedName>
    <definedName name="IQ_EPS_GROWTH_GUIDANCE" hidden="1">"c13495"</definedName>
    <definedName name="IQ_EPS_GROWTH_HIGH_GUIDANCE" hidden="1">"c13496"</definedName>
    <definedName name="IQ_EPS_GROWTH_LOW_GUIDANCE" hidden="1">"c13497"</definedName>
    <definedName name="IQ_EPS_GW_ACT_OR_EST" hidden="1">"c2223"</definedName>
    <definedName name="IQ_EPS_GW_ACT_OR_EST_CIQ" hidden="1">"c5066"</definedName>
    <definedName name="IQ_EPS_GW_ACT_OR_EST_REUT" hidden="1">"c5469"</definedName>
    <definedName name="IQ_EPS_GW_DET_EST" hidden="1">"c12056"</definedName>
    <definedName name="IQ_EPS_GW_DET_EST_CIQ" hidden="1">"c12118"</definedName>
    <definedName name="IQ_EPS_GW_DET_EST_CURRENCY" hidden="1">"c12463"</definedName>
    <definedName name="IQ_EPS_GW_DET_EST_CURRENCY_CIQ" hidden="1">"c12509"</definedName>
    <definedName name="IQ_EPS_GW_DET_EST_CURRENCY_THOM" hidden="1">"c12485"</definedName>
    <definedName name="IQ_EPS_GW_DET_EST_DATE" hidden="1">"c12209"</definedName>
    <definedName name="IQ_EPS_GW_DET_EST_DATE_CIQ" hidden="1">"c12264"</definedName>
    <definedName name="IQ_EPS_GW_DET_EST_DATE_THOM" hidden="1">"c12236"</definedName>
    <definedName name="IQ_EPS_GW_DET_EST_INCL" hidden="1">"c12346"</definedName>
    <definedName name="IQ_EPS_GW_DET_EST_INCL_CIQ" hidden="1">"c12392"</definedName>
    <definedName name="IQ_EPS_GW_DET_EST_INCL_THOM" hidden="1">"c12368"</definedName>
    <definedName name="IQ_EPS_GW_DET_EST_ORIGIN" hidden="1">"c12582"</definedName>
    <definedName name="IQ_EPS_GW_DET_EST_ORIGIN_CIQ" hidden="1">"c12633"</definedName>
    <definedName name="IQ_EPS_GW_DET_EST_ORIGIN_THOM" hidden="1">"c12606"</definedName>
    <definedName name="IQ_EPS_GW_DET_EST_THOM" hidden="1">"c12086"</definedName>
    <definedName name="IQ_EPS_GW_EST" hidden="1">"c1737"</definedName>
    <definedName name="IQ_EPS_GW_EST_BOTTOM_UP" hidden="1">"c5491"</definedName>
    <definedName name="IQ_EPS_GW_EST_BOTTOM_UP_CIQ" hidden="1">"c12028"</definedName>
    <definedName name="IQ_EPS_GW_EST_BOTTOM_UP_REUT" hidden="1">"c5499"</definedName>
    <definedName name="IQ_EPS_GW_EST_CIQ" hidden="1">"c4723"</definedName>
    <definedName name="IQ_EPS_GW_EST_REUT" hidden="1">"c5389"</definedName>
    <definedName name="IQ_EPS_GW_EST_THOM" hidden="1">"c5133"</definedName>
    <definedName name="IQ_EPS_GW_GUIDANCE" hidden="1">"c4372"</definedName>
    <definedName name="IQ_EPS_GW_GUIDANCE_CIQ" hidden="1">"c4897"</definedName>
    <definedName name="IQ_EPS_GW_HIGH_EST" hidden="1">"c1739"</definedName>
    <definedName name="IQ_EPS_GW_HIGH_EST_CIQ" hidden="1">"c4725"</definedName>
    <definedName name="IQ_EPS_GW_HIGH_EST_REUT" hidden="1">"c5391"</definedName>
    <definedName name="IQ_EPS_GW_HIGH_EST_THOM" hidden="1">"c5135"</definedName>
    <definedName name="IQ_EPS_GW_HIGH_GUIDANCE" hidden="1">"c4373"</definedName>
    <definedName name="IQ_EPS_GW_HIGH_GUIDANCE_CIQ" hidden="1">"c4898"</definedName>
    <definedName name="IQ_EPS_GW_LOW_EST" hidden="1">"c1740"</definedName>
    <definedName name="IQ_EPS_GW_LOW_EST_CIQ" hidden="1">"c4726"</definedName>
    <definedName name="IQ_EPS_GW_LOW_EST_REUT" hidden="1">"c5392"</definedName>
    <definedName name="IQ_EPS_GW_LOW_EST_THOM" hidden="1">"c5136"</definedName>
    <definedName name="IQ_EPS_GW_LOW_GUIDANCE" hidden="1">"c4206"</definedName>
    <definedName name="IQ_EPS_GW_LOW_GUIDANCE_CIQ" hidden="1">"c4618"</definedName>
    <definedName name="IQ_EPS_GW_MEDIAN_EST" hidden="1">"c1738"</definedName>
    <definedName name="IQ_EPS_GW_MEDIAN_EST_CIQ" hidden="1">"c4724"</definedName>
    <definedName name="IQ_EPS_GW_MEDIAN_EST_REUT" hidden="1">"c5390"</definedName>
    <definedName name="IQ_EPS_GW_MEDIAN_EST_THOM" hidden="1">"c5134"</definedName>
    <definedName name="IQ_EPS_GW_NUM_EST" hidden="1">"c1741"</definedName>
    <definedName name="IQ_EPS_GW_NUM_EST_CIQ" hidden="1">"c4727"</definedName>
    <definedName name="IQ_EPS_GW_NUM_EST_REUT" hidden="1">"c5393"</definedName>
    <definedName name="IQ_EPS_GW_NUM_EST_THOM" hidden="1">"c5137"</definedName>
    <definedName name="IQ_EPS_GW_STDDEV_EST" hidden="1">"c1742"</definedName>
    <definedName name="IQ_EPS_GW_STDDEV_EST_CIQ" hidden="1">"c4728"</definedName>
    <definedName name="IQ_EPS_GW_STDDEV_EST_REUT" hidden="1">"c5394"</definedName>
    <definedName name="IQ_EPS_GW_STDDEV_EST_THOM" hidden="1">"c5138"</definedName>
    <definedName name="IQ_EPS_HIGH_EST" hidden="1">"c400"</definedName>
    <definedName name="IQ_EPS_HIGH_EST_CIQ" hidden="1">"c4995"</definedName>
    <definedName name="IQ_EPS_HIGH_EST_REUT" hidden="1">"c5454"</definedName>
    <definedName name="IQ_EPS_HIGH_EST_THOM" hidden="1">"c5291"</definedName>
    <definedName name="IQ_EPS_LOW_EST" hidden="1">"c401"</definedName>
    <definedName name="IQ_EPS_LOW_EST_CIQ" hidden="1">"c4996"</definedName>
    <definedName name="IQ_EPS_LOW_EST_REUT" hidden="1">"c5455"</definedName>
    <definedName name="IQ_EPS_LOW_EST_THOM" hidden="1">"c5292"</definedName>
    <definedName name="IQ_EPS_MEDIAN_EST" hidden="1">"c1661"</definedName>
    <definedName name="IQ_EPS_MEDIAN_EST_CIQ" hidden="1">"c4997"</definedName>
    <definedName name="IQ_EPS_MEDIAN_EST_REUT" hidden="1">"c5456"</definedName>
    <definedName name="IQ_EPS_MEDIAN_EST_THOM" hidden="1">"c5293"</definedName>
    <definedName name="IQ_EPS_NAME_AP" hidden="1">"c8918"</definedName>
    <definedName name="IQ_EPS_NAME_AP_ABS" hidden="1">"c8937"</definedName>
    <definedName name="IQ_EPS_NORM" hidden="1">"c1902"</definedName>
    <definedName name="IQ_EPS_NORM_DET_EST" hidden="1">"c12058"</definedName>
    <definedName name="IQ_EPS_NORM_DET_EST_CIQ" hidden="1">"c12120"</definedName>
    <definedName name="IQ_EPS_NORM_DET_EST_CURRENCY" hidden="1">"c12465"</definedName>
    <definedName name="IQ_EPS_NORM_DET_EST_CURRENCY_CIQ" hidden="1">"c12511"</definedName>
    <definedName name="IQ_EPS_NORM_DET_EST_DATE" hidden="1">"c12211"</definedName>
    <definedName name="IQ_EPS_NORM_DET_EST_DATE_CIQ" hidden="1">"c12266"</definedName>
    <definedName name="IQ_EPS_NORM_DET_EST_INCL" hidden="1">"c12348"</definedName>
    <definedName name="IQ_EPS_NORM_DET_EST_INCL_CIQ" hidden="1">"c12394"</definedName>
    <definedName name="IQ_EPS_NORM_DET_EST_ORIGIN" hidden="1">"c12583"</definedName>
    <definedName name="IQ_EPS_NORM_DET_EST_ORIGIN_CIQ" hidden="1">"c12635"</definedName>
    <definedName name="IQ_EPS_NORM_EST" hidden="1">"c2226"</definedName>
    <definedName name="IQ_EPS_NORM_EST_BOTTOM_UP" hidden="1">"c5490"</definedName>
    <definedName name="IQ_EPS_NORM_EST_BOTTOM_UP_CIQ" hidden="1">"c12027"</definedName>
    <definedName name="IQ_EPS_NORM_EST_BOTTOM_UP_REUT" hidden="1">"c5498"</definedName>
    <definedName name="IQ_EPS_NORM_EST_CIQ" hidden="1">"c4667"</definedName>
    <definedName name="IQ_EPS_NORM_EST_REUT" hidden="1">"c5326"</definedName>
    <definedName name="IQ_EPS_NORM_HIGH_EST" hidden="1">"c2228"</definedName>
    <definedName name="IQ_EPS_NORM_HIGH_EST_CIQ" hidden="1">"c4669"</definedName>
    <definedName name="IQ_EPS_NORM_HIGH_EST_REUT" hidden="1">"c5328"</definedName>
    <definedName name="IQ_EPS_NORM_LOW_EST" hidden="1">"c2229"</definedName>
    <definedName name="IQ_EPS_NORM_LOW_EST_CIQ" hidden="1">"c4670"</definedName>
    <definedName name="IQ_EPS_NORM_LOW_EST_REUT" hidden="1">"c5329"</definedName>
    <definedName name="IQ_EPS_NORM_MEDIAN_EST" hidden="1">"c2227"</definedName>
    <definedName name="IQ_EPS_NORM_MEDIAN_EST_CIQ" hidden="1">"c4668"</definedName>
    <definedName name="IQ_EPS_NORM_MEDIAN_EST_REUT" hidden="1">"c5327"</definedName>
    <definedName name="IQ_EPS_NORM_NUM_EST" hidden="1">"c2230"</definedName>
    <definedName name="IQ_EPS_NORM_NUM_EST_CIQ" hidden="1">"c4671"</definedName>
    <definedName name="IQ_EPS_NORM_NUM_EST_REUT" hidden="1">"c5330"</definedName>
    <definedName name="IQ_EPS_NORM_STDDEV_EST" hidden="1">"c2231"</definedName>
    <definedName name="IQ_EPS_NORM_STDDEV_EST_CIQ" hidden="1">"c4672"</definedName>
    <definedName name="IQ_EPS_NORM_STDDEV_EST_REUT" hidden="1">"c5331"</definedName>
    <definedName name="IQ_EPS_NUM_EST" hidden="1">"c402"</definedName>
    <definedName name="IQ_EPS_NUM_EST_CIQ" hidden="1">"c4992"</definedName>
    <definedName name="IQ_EPS_NUM_EST_REUT" hidden="1">"c5451"</definedName>
    <definedName name="IQ_EPS_NUM_EST_THOM" hidden="1">"c5288"</definedName>
    <definedName name="IQ_EPS_REPORT_ACT_OR_EST" hidden="1">"c2224"</definedName>
    <definedName name="IQ_EPS_REPORT_ACT_OR_EST_CIQ" hidden="1">"c5067"</definedName>
    <definedName name="IQ_EPS_REPORT_ACT_OR_EST_REUT" hidden="1">"c5470"</definedName>
    <definedName name="IQ_EPS_REPORT_ACT_OR_EST_THOM" hidden="1">"c5307"</definedName>
    <definedName name="IQ_EPS_REPORTED_DET_EST" hidden="1">"c12057"</definedName>
    <definedName name="IQ_EPS_REPORTED_DET_EST_CIQ" hidden="1">"c12119"</definedName>
    <definedName name="IQ_EPS_REPORTED_DET_EST_CURRENCY" hidden="1">"c12464"</definedName>
    <definedName name="IQ_EPS_REPORTED_DET_EST_CURRENCY_CIQ" hidden="1">"c12510"</definedName>
    <definedName name="IQ_EPS_REPORTED_DET_EST_CURRENCY_THOM" hidden="1">"c12486"</definedName>
    <definedName name="IQ_EPS_REPORTED_DET_EST_DATE" hidden="1">"c12210"</definedName>
    <definedName name="IQ_EPS_REPORTED_DET_EST_DATE_CIQ" hidden="1">"c12265"</definedName>
    <definedName name="IQ_EPS_REPORTED_DET_EST_DATE_THOM" hidden="1">"c12237"</definedName>
    <definedName name="IQ_EPS_REPORTED_DET_EST_INCL" hidden="1">"c12347"</definedName>
    <definedName name="IQ_EPS_REPORTED_DET_EST_INCL_CIQ" hidden="1">"c12393"</definedName>
    <definedName name="IQ_EPS_REPORTED_DET_EST_INCL_THOM" hidden="1">"c12369"</definedName>
    <definedName name="IQ_EPS_REPORTED_DET_EST_ORIGIN" hidden="1">"c12772"</definedName>
    <definedName name="IQ_EPS_REPORTED_DET_EST_ORIGIN_CIQ" hidden="1">"c12634"</definedName>
    <definedName name="IQ_EPS_REPORTED_DET_EST_ORIGIN_THOM" hidden="1">"c12607"</definedName>
    <definedName name="IQ_EPS_REPORTED_DET_EST_THOM" hidden="1">"c12087"</definedName>
    <definedName name="IQ_EPS_REPORTED_EST" hidden="1">"c1744"</definedName>
    <definedName name="IQ_EPS_REPORTED_EST_BOTTOM_UP" hidden="1">"c5492"</definedName>
    <definedName name="IQ_EPS_REPORTED_EST_BOTTOM_UP_CIQ" hidden="1">"c12029"</definedName>
    <definedName name="IQ_EPS_REPORTED_EST_BOTTOM_UP_REUT" hidden="1">"c5500"</definedName>
    <definedName name="IQ_EPS_REPORTED_EST_CIQ" hidden="1">"c4730"</definedName>
    <definedName name="IQ_EPS_REPORTED_EST_REUT" hidden="1">"c5396"</definedName>
    <definedName name="IQ_EPS_REPORTED_EST_THOM" hidden="1">"c5140"</definedName>
    <definedName name="IQ_EPS_REPORTED_HIGH_EST" hidden="1">"c1746"</definedName>
    <definedName name="IQ_EPS_REPORTED_HIGH_EST_CIQ" hidden="1">"c4732"</definedName>
    <definedName name="IQ_EPS_REPORTED_HIGH_EST_REUT" hidden="1">"c5398"</definedName>
    <definedName name="IQ_EPS_REPORTED_HIGH_EST_THOM" hidden="1">"c5142"</definedName>
    <definedName name="IQ_EPS_REPORTED_LOW_EST" hidden="1">"c1747"</definedName>
    <definedName name="IQ_EPS_REPORTED_LOW_EST_CIQ" hidden="1">"c4733"</definedName>
    <definedName name="IQ_EPS_REPORTED_LOW_EST_REUT" hidden="1">"c5399"</definedName>
    <definedName name="IQ_EPS_REPORTED_LOW_EST_THOM" hidden="1">"c5143"</definedName>
    <definedName name="IQ_EPS_REPORTED_MEDIAN_EST" hidden="1">"c1745"</definedName>
    <definedName name="IQ_EPS_REPORTED_MEDIAN_EST_CIQ" hidden="1">"c4731"</definedName>
    <definedName name="IQ_EPS_REPORTED_MEDIAN_EST_REUT" hidden="1">"c5397"</definedName>
    <definedName name="IQ_EPS_REPORTED_MEDIAN_EST_THOM" hidden="1">"c5141"</definedName>
    <definedName name="IQ_EPS_REPORTED_NUM_EST" hidden="1">"c1748"</definedName>
    <definedName name="IQ_EPS_REPORTED_NUM_EST_CIQ" hidden="1">"c4734"</definedName>
    <definedName name="IQ_EPS_REPORTED_NUM_EST_REUT" hidden="1">"c5400"</definedName>
    <definedName name="IQ_EPS_REPORTED_NUM_EST_THOM" hidden="1">"c5144"</definedName>
    <definedName name="IQ_EPS_REPORTED_STDDEV_EST" hidden="1">"c1749"</definedName>
    <definedName name="IQ_EPS_REPORTED_STDDEV_EST_CIQ" hidden="1">"c4735"</definedName>
    <definedName name="IQ_EPS_REPORTED_STDDEV_EST_REUT" hidden="1">"c5401"</definedName>
    <definedName name="IQ_EPS_REPORTED_STDDEV_EST_THOM" hidden="1">"c5145"</definedName>
    <definedName name="IQ_EPS_SBC_ACT_OR_EST" hidden="1">"c4376"</definedName>
    <definedName name="IQ_EPS_SBC_ACT_OR_EST_CIQ" hidden="1">"c4901"</definedName>
    <definedName name="IQ_EPS_SBC_EST" hidden="1">"c4375"</definedName>
    <definedName name="IQ_EPS_SBC_EST_CIQ" hidden="1">"c4900"</definedName>
    <definedName name="IQ_EPS_SBC_GUIDANCE" hidden="1">"c4377"</definedName>
    <definedName name="IQ_EPS_SBC_GUIDANCE_CIQ" hidden="1">"c4902"</definedName>
    <definedName name="IQ_EPS_SBC_GW_ACT_OR_EST" hidden="1">"c4380"</definedName>
    <definedName name="IQ_EPS_SBC_GW_ACT_OR_EST_CIQ" hidden="1">"c4905"</definedName>
    <definedName name="IQ_EPS_SBC_GW_EST" hidden="1">"c4379"</definedName>
    <definedName name="IQ_EPS_SBC_GW_EST_CIQ" hidden="1">"c4904"</definedName>
    <definedName name="IQ_EPS_SBC_GW_GUIDANCE" hidden="1">"c4381"</definedName>
    <definedName name="IQ_EPS_SBC_GW_GUIDANCE_CIQ" hidden="1">"c4906"</definedName>
    <definedName name="IQ_EPS_SBC_GW_HIGH_EST" hidden="1">"c4382"</definedName>
    <definedName name="IQ_EPS_SBC_GW_HIGH_EST_CIQ" hidden="1">"c4907"</definedName>
    <definedName name="IQ_EPS_SBC_GW_HIGH_GUIDANCE" hidden="1">"c4189"</definedName>
    <definedName name="IQ_EPS_SBC_GW_HIGH_GUIDANCE_CIQ" hidden="1">"c4601"</definedName>
    <definedName name="IQ_EPS_SBC_GW_LOW_EST" hidden="1">"c4383"</definedName>
    <definedName name="IQ_EPS_SBC_GW_LOW_EST_CIQ" hidden="1">"c4908"</definedName>
    <definedName name="IQ_EPS_SBC_GW_LOW_GUIDANCE" hidden="1">"c4229"</definedName>
    <definedName name="IQ_EPS_SBC_GW_LOW_GUIDANCE_CIQ" hidden="1">"c4641"</definedName>
    <definedName name="IQ_EPS_SBC_GW_MEDIAN_EST" hidden="1">"c4384"</definedName>
    <definedName name="IQ_EPS_SBC_GW_MEDIAN_EST_CIQ" hidden="1">"c4909"</definedName>
    <definedName name="IQ_EPS_SBC_GW_NUM_EST" hidden="1">"c4385"</definedName>
    <definedName name="IQ_EPS_SBC_GW_NUM_EST_CIQ" hidden="1">"c4910"</definedName>
    <definedName name="IQ_EPS_SBC_GW_STDDEV_EST" hidden="1">"c4386"</definedName>
    <definedName name="IQ_EPS_SBC_GW_STDDEV_EST_CIQ" hidden="1">"c4911"</definedName>
    <definedName name="IQ_EPS_SBC_HIGH_EST" hidden="1">"c4388"</definedName>
    <definedName name="IQ_EPS_SBC_HIGH_EST_CIQ" hidden="1">"c4913"</definedName>
    <definedName name="IQ_EPS_SBC_HIGH_GUIDANCE" hidden="1">"c4188"</definedName>
    <definedName name="IQ_EPS_SBC_HIGH_GUIDANCE_CIQ" hidden="1">"c4600"</definedName>
    <definedName name="IQ_EPS_SBC_LOW_EST" hidden="1">"c4389"</definedName>
    <definedName name="IQ_EPS_SBC_LOW_EST_CIQ" hidden="1">"c4914"</definedName>
    <definedName name="IQ_EPS_SBC_LOW_GUIDANCE" hidden="1">"c4228"</definedName>
    <definedName name="IQ_EPS_SBC_LOW_GUIDANCE_CIQ" hidden="1">"c4640"</definedName>
    <definedName name="IQ_EPS_SBC_MEDIAN_EST" hidden="1">"c4390"</definedName>
    <definedName name="IQ_EPS_SBC_MEDIAN_EST_CIQ" hidden="1">"c4915"</definedName>
    <definedName name="IQ_EPS_SBC_NUM_EST" hidden="1">"c4391"</definedName>
    <definedName name="IQ_EPS_SBC_NUM_EST_CIQ" hidden="1">"c4916"</definedName>
    <definedName name="IQ_EPS_SBC_STDDEV_EST" hidden="1">"c4392"</definedName>
    <definedName name="IQ_EPS_SBC_STDDEV_EST_CIQ" hidden="1">"c4917"</definedName>
    <definedName name="IQ_EPS_STDDEV_EST" hidden="1">"c403"</definedName>
    <definedName name="IQ_EPS_STDDEV_EST_CIQ" hidden="1">"c4993"</definedName>
    <definedName name="IQ_EPS_STDDEV_EST_REUT" hidden="1">"c5452"</definedName>
    <definedName name="IQ_EPS_STDDEV_EST_THOM" hidden="1">"c5289"</definedName>
    <definedName name="IQ_EQUITY_AFFIL" hidden="1">"c1451"</definedName>
    <definedName name="IQ_EQUITY_AP" hidden="1">"c8887"</definedName>
    <definedName name="IQ_EQUITY_AP_ABS" hidden="1">"c8906"</definedName>
    <definedName name="IQ_EQUITY_ASSETS_TOT_FFIEC" hidden="1">"c13436"</definedName>
    <definedName name="IQ_EQUITY_BEG_EXCL_FFIEC" hidden="1">"c12957"</definedName>
    <definedName name="IQ_EQUITY_BEG_FFIEC" hidden="1">"c12959"</definedName>
    <definedName name="IQ_EQUITY_CAPITAL_ASSETS_FDIC" hidden="1">"c6744"</definedName>
    <definedName name="IQ_EQUITY_CAPITAL_QUARTERLY_AVG_FFIEC" hidden="1">"c13092"</definedName>
    <definedName name="IQ_EQUITY_ENDING_FFIEC" hidden="1">"c12973"</definedName>
    <definedName name="IQ_EQUITY_FDIC" hidden="1">"c6353"</definedName>
    <definedName name="IQ_EQUITY_INDEX_EXPOSURE_FFIEC" hidden="1">"c13060"</definedName>
    <definedName name="IQ_EQUITY_LIST" hidden="1">"c15158"</definedName>
    <definedName name="IQ_EQUITY_METHOD" hidden="1">"c404"</definedName>
    <definedName name="IQ_EQUITY_NAME_AP" hidden="1">"c8925"</definedName>
    <definedName name="IQ_EQUITY_NAME_AP_ABS" hidden="1">"c8944"</definedName>
    <definedName name="IQ_EQUITY_SEC_FAIR_VALUE_FFIEC" hidden="1">"c12805"</definedName>
    <definedName name="IQ_EQUITY_SEC_INVEST_SECURITIES_FFIEC" hidden="1">"c13463"</definedName>
    <definedName name="IQ_EQUITY_SECURITIES_FDIC" hidden="1">"c6304"</definedName>
    <definedName name="IQ_EQUITY_SECURITIES_QUARTERLY_AVG_FFIEC" hidden="1">"c15474"</definedName>
    <definedName name="IQ_EQUITY_SECURITIES_WITHOUT_FAIR_VALUES_FFIEC" hidden="1">"c12846"</definedName>
    <definedName name="IQ_EQUITY_SECURITY_EXPOSURES_FDIC" hidden="1">"c6664"</definedName>
    <definedName name="IQ_EQUITY_TIER_ONE_CAPITAL" hidden="1">"c15246"</definedName>
    <definedName name="IQ_EQUITY_TIER_ONE_CAPITAL_RATIO" hidden="1">"c15242"</definedName>
    <definedName name="IQ_EQV_OVER_BV" hidden="1">"c1596"</definedName>
    <definedName name="IQ_EQV_OVER_LTM_PRETAX_INC" hidden="1">"c1390"</definedName>
    <definedName name="IQ_ESOP_DEBT" hidden="1">"c1597"</definedName>
    <definedName name="IQ_ESOP_DEBT_GUARANTEED_FFIEC" hidden="1">"c12971"</definedName>
    <definedName name="IQ_ESOP_OVER_TOTAL" hidden="1">"c13768"</definedName>
    <definedName name="IQ_EST_ACT_BV" hidden="1">"c5630"</definedName>
    <definedName name="IQ_EST_ACT_BV_CIQ" hidden="1">"c4743"</definedName>
    <definedName name="IQ_EST_ACT_BV_SHARE" hidden="1">"c3549"</definedName>
    <definedName name="IQ_EST_ACT_BV_SHARE_CIQ" hidden="1">"c3806"</definedName>
    <definedName name="IQ_EST_ACT_BV_SHARE_REUT" hidden="1">"c5445"</definedName>
    <definedName name="IQ_EST_ACT_BV_SHARE_THOM" hidden="1">"c4026"</definedName>
    <definedName name="IQ_EST_ACT_CAPEX" hidden="1">"c3546"</definedName>
    <definedName name="IQ_EST_ACT_CAPEX_CIQ" hidden="1">"c3813"</definedName>
    <definedName name="IQ_EST_ACT_CAPEX_REUT" hidden="1">"c3975"</definedName>
    <definedName name="IQ_EST_ACT_CAPEX_THOM" hidden="1">"c5508"</definedName>
    <definedName name="IQ_EST_ACT_CASH_EPS" hidden="1">"c5637"</definedName>
    <definedName name="IQ_EST_ACT_CASH_EPS_THOM" hidden="1">"c5645"</definedName>
    <definedName name="IQ_EST_ACT_CASH_FLOW" hidden="1">"c4394"</definedName>
    <definedName name="IQ_EST_ACT_CASH_FLOW_CIQ" hidden="1">"c4919"</definedName>
    <definedName name="IQ_EST_ACT_CASH_OPER" hidden="1">"c4395"</definedName>
    <definedName name="IQ_EST_ACT_CASH_OPER_CIQ" hidden="1">"c4920"</definedName>
    <definedName name="IQ_EST_ACT_CFPS" hidden="1">"c1673"</definedName>
    <definedName name="IQ_EST_ACT_CFPS_CIQ" hidden="1">"c3681"</definedName>
    <definedName name="IQ_EST_ACT_CFPS_REUT" hidden="1">"c3850"</definedName>
    <definedName name="IQ_EST_ACT_CFPS_THOM" hidden="1">"c4012"</definedName>
    <definedName name="IQ_EST_ACT_DISTRIBUTABLE_CASH" hidden="1">"c4396"</definedName>
    <definedName name="IQ_EST_ACT_DISTRIBUTABLE_CASH_CIQ" hidden="1">"c4921"</definedName>
    <definedName name="IQ_EST_ACT_DISTRIBUTABLE_CASH_SHARE" hidden="1">"c4397"</definedName>
    <definedName name="IQ_EST_ACT_DISTRIBUTABLE_CASH_SHARE_CIQ" hidden="1">"c4922"</definedName>
    <definedName name="IQ_EST_ACT_DPS" hidden="1">"c1680"</definedName>
    <definedName name="IQ_EST_ACT_DPS_CIQ" hidden="1">"c3688"</definedName>
    <definedName name="IQ_EST_ACT_DPS_REUT" hidden="1">"c3857"</definedName>
    <definedName name="IQ_EST_ACT_DPS_THOM" hidden="1">"c4019"</definedName>
    <definedName name="IQ_EST_ACT_EBIT" hidden="1">"c1687"</definedName>
    <definedName name="IQ_EST_ACT_EBIT_CIQ" hidden="1">"c4680"</definedName>
    <definedName name="IQ_EST_ACT_EBIT_GW" hidden="1">"c4398"</definedName>
    <definedName name="IQ_EST_ACT_EBIT_GW_CIQ" hidden="1">"c4923"</definedName>
    <definedName name="IQ_EST_ACT_EBIT_REUT" hidden="1">"c5339"</definedName>
    <definedName name="IQ_EST_ACT_EBIT_SBC" hidden="1">"c4399"</definedName>
    <definedName name="IQ_EST_ACT_EBIT_SBC_CIQ" hidden="1">"c4924"</definedName>
    <definedName name="IQ_EST_ACT_EBIT_SBC_GW" hidden="1">"c4400"</definedName>
    <definedName name="IQ_EST_ACT_EBIT_SBC_GW_CIQ" hidden="1">"c4925"</definedName>
    <definedName name="IQ_EST_ACT_EBIT_THOM" hidden="1">"c5111"</definedName>
    <definedName name="IQ_EST_ACT_EBITDA" hidden="1">"c1664"</definedName>
    <definedName name="IQ_EST_ACT_EBITDA_CIQ" hidden="1">"c3667"</definedName>
    <definedName name="IQ_EST_ACT_EBITDA_REUT" hidden="1">"c3836"</definedName>
    <definedName name="IQ_EST_ACT_EBITDA_SBC" hidden="1">"c4401"</definedName>
    <definedName name="IQ_EST_ACT_EBITDA_SBC_CIQ" hidden="1">"c4926"</definedName>
    <definedName name="IQ_EST_ACT_EBITDA_THOM" hidden="1">"c3998"</definedName>
    <definedName name="IQ_EST_ACT_EBT_SBC" hidden="1">"c4402"</definedName>
    <definedName name="IQ_EST_ACT_EBT_SBC_CIQ" hidden="1">"c4927"</definedName>
    <definedName name="IQ_EST_ACT_EBT_SBC_GW" hidden="1">"c4403"</definedName>
    <definedName name="IQ_EST_ACT_EBT_SBC_GW_CIQ" hidden="1">"c4928"</definedName>
    <definedName name="IQ_EST_ACT_EPS" hidden="1">"c1648"</definedName>
    <definedName name="IQ_EST_ACT_EPS_CIQ" hidden="1">"c4998"</definedName>
    <definedName name="IQ_EST_ACT_EPS_GW" hidden="1">"c1743"</definedName>
    <definedName name="IQ_EST_ACT_EPS_GW_CIQ" hidden="1">"c4729"</definedName>
    <definedName name="IQ_EST_ACT_EPS_GW_REUT" hidden="1">"c5395"</definedName>
    <definedName name="IQ_EST_ACT_EPS_GW_THOM" hidden="1">"c5139"</definedName>
    <definedName name="IQ_EST_ACT_EPS_NORM" hidden="1">"c2232"</definedName>
    <definedName name="IQ_EST_ACT_EPS_NORM_CIQ" hidden="1">"c4673"</definedName>
    <definedName name="IQ_EST_ACT_EPS_NORM_REUT" hidden="1">"c5332"</definedName>
    <definedName name="IQ_EST_ACT_EPS_REPORTED" hidden="1">"c1750"</definedName>
    <definedName name="IQ_EST_ACT_EPS_REPORTED_CIQ" hidden="1">"c4736"</definedName>
    <definedName name="IQ_EST_ACT_EPS_REPORTED_REUT" hidden="1">"c5402"</definedName>
    <definedName name="IQ_EST_ACT_EPS_REPORTED_THOM" hidden="1">"c5146"</definedName>
    <definedName name="IQ_EST_ACT_EPS_REUT" hidden="1">"c5457"</definedName>
    <definedName name="IQ_EST_ACT_EPS_SBC" hidden="1">"c4404"</definedName>
    <definedName name="IQ_EST_ACT_EPS_SBC_CIQ" hidden="1">"c4929"</definedName>
    <definedName name="IQ_EST_ACT_EPS_SBC_GW" hidden="1">"c4405"</definedName>
    <definedName name="IQ_EST_ACT_EPS_SBC_GW_CIQ" hidden="1">"c4930"</definedName>
    <definedName name="IQ_EST_ACT_EPS_THOM" hidden="1">"c5294"</definedName>
    <definedName name="IQ_EST_ACT_FFO" hidden="1">"c4407"</definedName>
    <definedName name="IQ_EST_ACT_FFO_ADJ" hidden="1">"c4406"</definedName>
    <definedName name="IQ_EST_ACT_FFO_ADJ_CIQ" hidden="1">"c4931"</definedName>
    <definedName name="IQ_EST_ACT_FFO_CIQ" hidden="1">"c4932"</definedName>
    <definedName name="IQ_EST_ACT_FFO_REUT" hidden="1">"c3843"</definedName>
    <definedName name="IQ_EST_ACT_FFO_SHARE" hidden="1">"c1666"</definedName>
    <definedName name="IQ_EST_ACT_FFO_SHARE_CIQ" hidden="1">"c3674"</definedName>
    <definedName name="IQ_EST_ACT_FFO_THOM" hidden="1">"c4005"</definedName>
    <definedName name="IQ_EST_ACT_GROSS_MARGIN" hidden="1">"c5553"</definedName>
    <definedName name="IQ_EST_ACT_GROSS_MARGIN_THOM" hidden="1">"c5561"</definedName>
    <definedName name="IQ_EST_ACT_MAINT_CAPEX" hidden="1">"c4408"</definedName>
    <definedName name="IQ_EST_ACT_MAINT_CAPEX_CIQ" hidden="1">"c4933"</definedName>
    <definedName name="IQ_EST_ACT_NAV" hidden="1">"c1757"</definedName>
    <definedName name="IQ_EST_ACT_NAV_SHARE" hidden="1">"c5608"</definedName>
    <definedName name="IQ_EST_ACT_NAV_SHARE_CIQ" hidden="1">"c12031"</definedName>
    <definedName name="IQ_EST_ACT_NAV_SHARE_REUT" hidden="1">"c5616"</definedName>
    <definedName name="IQ_EST_ACT_NAV_THOM" hidden="1">"c5600"</definedName>
    <definedName name="IQ_EST_ACT_NET_DEBT" hidden="1">"c3545"</definedName>
    <definedName name="IQ_EST_ACT_NET_DEBT_CIQ" hidden="1">"c3820"</definedName>
    <definedName name="IQ_EST_ACT_NET_DEBT_REUT" hidden="1">"c5446"</definedName>
    <definedName name="IQ_EST_ACT_NET_DEBT_THOM" hidden="1">"c4033"</definedName>
    <definedName name="IQ_EST_ACT_NI" hidden="1">"c1722"</definedName>
    <definedName name="IQ_EST_ACT_NI_CIQ" hidden="1">"c4708"</definedName>
    <definedName name="IQ_EST_ACT_NI_GW" hidden="1">"c1729"</definedName>
    <definedName name="IQ_EST_ACT_NI_GW_CIQ" hidden="1">"c4715"</definedName>
    <definedName name="IQ_EST_ACT_NI_GW_REUT" hidden="1">"c5381"</definedName>
    <definedName name="IQ_EST_ACT_NI_REPORTED" hidden="1">"c1736"</definedName>
    <definedName name="IQ_EST_ACT_NI_REPORTED_CIQ" hidden="1">"c4722"</definedName>
    <definedName name="IQ_EST_ACT_NI_REPORTED_REUT" hidden="1">"c5388"</definedName>
    <definedName name="IQ_EST_ACT_NI_REUT" hidden="1">"c5374"</definedName>
    <definedName name="IQ_EST_ACT_NI_SBC" hidden="1">"c4409"</definedName>
    <definedName name="IQ_EST_ACT_NI_SBC_CIQ" hidden="1">"c4934"</definedName>
    <definedName name="IQ_EST_ACT_NI_SBC_GW" hidden="1">"c4410"</definedName>
    <definedName name="IQ_EST_ACT_NI_SBC_GW_CIQ" hidden="1">"c4935"</definedName>
    <definedName name="IQ_EST_ACT_NI_THOM" hidden="1">"c5132"</definedName>
    <definedName name="IQ_EST_ACT_OPER_INC" hidden="1">"c1694"</definedName>
    <definedName name="IQ_EST_ACT_OPER_INC_CIQ" hidden="1">"c12016"</definedName>
    <definedName name="IQ_EST_ACT_OPER_INC_REUT" hidden="1">"c5346"</definedName>
    <definedName name="IQ_EST_ACT_OPER_INC_THOM" hidden="1">"c5118"</definedName>
    <definedName name="IQ_EST_ACT_PRETAX_GW_INC" hidden="1">"c1708"</definedName>
    <definedName name="IQ_EST_ACT_PRETAX_GW_INC_CIQ" hidden="1">"c4694"</definedName>
    <definedName name="IQ_EST_ACT_PRETAX_GW_INC_REUT" hidden="1">"c5360"</definedName>
    <definedName name="IQ_EST_ACT_PRETAX_INC" hidden="1">"c1701"</definedName>
    <definedName name="IQ_EST_ACT_PRETAX_INC_CIQ" hidden="1">"c4687"</definedName>
    <definedName name="IQ_EST_ACT_PRETAX_INC_REUT" hidden="1">"c5353"</definedName>
    <definedName name="IQ_EST_ACT_PRETAX_INC_THOM" hidden="1">"c5125"</definedName>
    <definedName name="IQ_EST_ACT_PRETAX_REPORT_INC" hidden="1">"c1715"</definedName>
    <definedName name="IQ_EST_ACT_PRETAX_REPORT_INC_CIQ" hidden="1">"c4701"</definedName>
    <definedName name="IQ_EST_ACT_PRETAX_REPORT_INC_REUT" hidden="1">"c5367"</definedName>
    <definedName name="IQ_EST_ACT_RECURRING_PROFIT" hidden="1">"c4411"</definedName>
    <definedName name="IQ_EST_ACT_RECURRING_PROFIT_CIQ" hidden="1">"c4936"</definedName>
    <definedName name="IQ_EST_ACT_RECURRING_PROFIT_SHARE" hidden="1">"c4412"</definedName>
    <definedName name="IQ_EST_ACT_RECURRING_PROFIT_SHARE_CIQ" hidden="1">"c4937"</definedName>
    <definedName name="IQ_EST_ACT_RETURN_ASSETS" hidden="1">"c3547"</definedName>
    <definedName name="IQ_EST_ACT_RETURN_ASSETS_REUT" hidden="1">"c3996"</definedName>
    <definedName name="IQ_EST_ACT_RETURN_ASSETS_THOM" hidden="1">"c4040"</definedName>
    <definedName name="IQ_EST_ACT_RETURN_EQUITY" hidden="1">"c3548"</definedName>
    <definedName name="IQ_EST_ACT_RETURN_EQUITY_REUT" hidden="1">"c3989"</definedName>
    <definedName name="IQ_EST_ACT_RETURN_EQUITY_THOM" hidden="1">"c5287"</definedName>
    <definedName name="IQ_EST_ACT_REV" hidden="1">"c2113"</definedName>
    <definedName name="IQ_EST_ACT_REV_CIQ" hidden="1">"c3666"</definedName>
    <definedName name="IQ_EST_ACT_REV_REUT" hidden="1">"c3835"</definedName>
    <definedName name="IQ_EST_ACT_REV_THOM" hidden="1">"c3997"</definedName>
    <definedName name="IQ_EST_BV_SHARE_DIFF" hidden="1">"c4147"</definedName>
    <definedName name="IQ_EST_BV_SHARE_DIFF_CIQ" hidden="1">"c4559"</definedName>
    <definedName name="IQ_EST_BV_SHARE_SURPRISE_PERCENT" hidden="1">"c4148"</definedName>
    <definedName name="IQ_EST_BV_SHARE_SURPRISE_PERCENT_CIQ" hidden="1">"c4560"</definedName>
    <definedName name="IQ_EST_CAPEX_DIFF" hidden="1">"c4149"</definedName>
    <definedName name="IQ_EST_CAPEX_DIFF_CIQ" hidden="1">"c4561"</definedName>
    <definedName name="IQ_EST_CAPEX_GROWTH_1YR" hidden="1">"c3588"</definedName>
    <definedName name="IQ_EST_CAPEX_GROWTH_1YR_CIQ" hidden="1">"c4972"</definedName>
    <definedName name="IQ_EST_CAPEX_GROWTH_1YR_REUT" hidden="1">"c5447"</definedName>
    <definedName name="IQ_EST_CAPEX_GROWTH_1YR_THOM" hidden="1">"c5542"</definedName>
    <definedName name="IQ_EST_CAPEX_GROWTH_2YR" hidden="1">"c3589"</definedName>
    <definedName name="IQ_EST_CAPEX_GROWTH_2YR_CIQ" hidden="1">"c4973"</definedName>
    <definedName name="IQ_EST_CAPEX_GROWTH_2YR_REUT" hidden="1">"c5448"</definedName>
    <definedName name="IQ_EST_CAPEX_GROWTH_2YR_THOM" hidden="1">"c5543"</definedName>
    <definedName name="IQ_EST_CAPEX_GROWTH_Q_1YR" hidden="1">"c3590"</definedName>
    <definedName name="IQ_EST_CAPEX_GROWTH_Q_1YR_CIQ" hidden="1">"c4974"</definedName>
    <definedName name="IQ_EST_CAPEX_GROWTH_Q_1YR_REUT" hidden="1">"c5449"</definedName>
    <definedName name="IQ_EST_CAPEX_GROWTH_Q_1YR_THOM" hidden="1">"c5544"</definedName>
    <definedName name="IQ_EST_CAPEX_SEQ_GROWTH_Q" hidden="1">"c3591"</definedName>
    <definedName name="IQ_EST_CAPEX_SEQ_GROWTH_Q_CIQ" hidden="1">"c4975"</definedName>
    <definedName name="IQ_EST_CAPEX_SEQ_GROWTH_Q_REUT" hidden="1">"c5450"</definedName>
    <definedName name="IQ_EST_CAPEX_SEQ_GROWTH_Q_THOM" hidden="1">"c5545"</definedName>
    <definedName name="IQ_EST_CAPEX_SURPRISE_PERCENT" hidden="1">"c4151"</definedName>
    <definedName name="IQ_EST_CAPEX_SURPRISE_PERCENT_CIQ" hidden="1">"c4563"</definedName>
    <definedName name="IQ_EST_CASH_FLOW_DIFF" hidden="1">"c4152"</definedName>
    <definedName name="IQ_EST_CASH_FLOW_DIFF_CIQ" hidden="1">"c4564"</definedName>
    <definedName name="IQ_EST_CASH_FLOW_SURPRISE_PERCENT" hidden="1">"c4161"</definedName>
    <definedName name="IQ_EST_CASH_FLOW_SURPRISE_PERCENT_CIQ" hidden="1">"c4573"</definedName>
    <definedName name="IQ_EST_CASH_OPER_DIFF" hidden="1">"c4162"</definedName>
    <definedName name="IQ_EST_CASH_OPER_DIFF_CIQ" hidden="1">"c4574"</definedName>
    <definedName name="IQ_EST_CASH_OPER_SURPRISE_PERCENT" hidden="1">"c4248"</definedName>
    <definedName name="IQ_EST_CASH_OPER_SURPRISE_PERCENT_CIQ" hidden="1">"c4774"</definedName>
    <definedName name="IQ_EST_CFPS_DIFF" hidden="1">"c1871"</definedName>
    <definedName name="IQ_EST_CFPS_DIFF_CIQ" hidden="1">"c3723"</definedName>
    <definedName name="IQ_EST_CFPS_DIFF_REUT" hidden="1">"c3892"</definedName>
    <definedName name="IQ_EST_CFPS_DIFF_THOM" hidden="1">"c5188"</definedName>
    <definedName name="IQ_EST_CFPS_GROWTH_1YR" hidden="1">"c1774"</definedName>
    <definedName name="IQ_EST_CFPS_GROWTH_1YR_CIQ" hidden="1">"c3709"</definedName>
    <definedName name="IQ_EST_CFPS_GROWTH_1YR_REUT" hidden="1">"c3878"</definedName>
    <definedName name="IQ_EST_CFPS_GROWTH_1YR_THOM" hidden="1">"c5174"</definedName>
    <definedName name="IQ_EST_CFPS_GROWTH_2YR" hidden="1">"c1775"</definedName>
    <definedName name="IQ_EST_CFPS_GROWTH_2YR_CIQ" hidden="1">"c3710"</definedName>
    <definedName name="IQ_EST_CFPS_GROWTH_2YR_REUT" hidden="1">"c3879"</definedName>
    <definedName name="IQ_EST_CFPS_GROWTH_2YR_THOM" hidden="1">"c5175"</definedName>
    <definedName name="IQ_EST_CFPS_GROWTH_Q_1YR" hidden="1">"c1776"</definedName>
    <definedName name="IQ_EST_CFPS_GROWTH_Q_1YR_CIQ" hidden="1">"c3711"</definedName>
    <definedName name="IQ_EST_CFPS_GROWTH_Q_1YR_REUT" hidden="1">"c3880"</definedName>
    <definedName name="IQ_EST_CFPS_GROWTH_Q_1YR_THOM" hidden="1">"c5176"</definedName>
    <definedName name="IQ_EST_CFPS_SEQ_GROWTH_Q" hidden="1">"c1777"</definedName>
    <definedName name="IQ_EST_CFPS_SEQ_GROWTH_Q_CIQ" hidden="1">"c3712"</definedName>
    <definedName name="IQ_EST_CFPS_SEQ_GROWTH_Q_REUT" hidden="1">"c3881"</definedName>
    <definedName name="IQ_EST_CFPS_SEQ_GROWTH_Q_THOM" hidden="1">"c5177"</definedName>
    <definedName name="IQ_EST_CFPS_SURPRISE_PERCENT" hidden="1">"c1872"</definedName>
    <definedName name="IQ_EST_CFPS_SURPRISE_PERCENT_CIQ" hidden="1">"c3724"</definedName>
    <definedName name="IQ_EST_CFPS_SURPRISE_PERCENT_REUT" hidden="1">"c3893"</definedName>
    <definedName name="IQ_EST_CFPS_SURPRISE_PERCENT_THOM" hidden="1">"c5189"</definedName>
    <definedName name="IQ_EST_CURRENCY" hidden="1">"c2140"</definedName>
    <definedName name="IQ_EST_CURRENCY_CIQ" hidden="1">"c4769"</definedName>
    <definedName name="IQ_EST_CURRENCY_REUT" hidden="1">"c5437"</definedName>
    <definedName name="IQ_EST_CURRENCY_THOM" hidden="1">"c5280"</definedName>
    <definedName name="IQ_EST_DATE" hidden="1">"c1634"</definedName>
    <definedName name="IQ_EST_DATE_CIQ" hidden="1">"c4770"</definedName>
    <definedName name="IQ_EST_DATE_REUT" hidden="1">"c5438"</definedName>
    <definedName name="IQ_EST_DATE_THOM" hidden="1">"c5281"</definedName>
    <definedName name="IQ_EST_DISTRIBUTABLE_CASH_DIFF" hidden="1">"c4276"</definedName>
    <definedName name="IQ_EST_DISTRIBUTABLE_CASH_DIFF_CIQ" hidden="1">"c4801"</definedName>
    <definedName name="IQ_EST_DISTRIBUTABLE_CASH_GROWTH_1YR" hidden="1">"c4413"</definedName>
    <definedName name="IQ_EST_DISTRIBUTABLE_CASH_GROWTH_1YR_CIQ" hidden="1">"c4938"</definedName>
    <definedName name="IQ_EST_DISTRIBUTABLE_CASH_GROWTH_2YR" hidden="1">"c4414"</definedName>
    <definedName name="IQ_EST_DISTRIBUTABLE_CASH_GROWTH_2YR_CIQ" hidden="1">"c4939"</definedName>
    <definedName name="IQ_EST_DISTRIBUTABLE_CASH_GROWTH_Q_1YR" hidden="1">"c4415"</definedName>
    <definedName name="IQ_EST_DISTRIBUTABLE_CASH_GROWTH_Q_1YR_CIQ" hidden="1">"c4940"</definedName>
    <definedName name="IQ_EST_DISTRIBUTABLE_CASH_SEQ_GROWTH_Q" hidden="1">"c4416"</definedName>
    <definedName name="IQ_EST_DISTRIBUTABLE_CASH_SEQ_GROWTH_Q_CIQ" hidden="1">"c4941"</definedName>
    <definedName name="IQ_EST_DISTRIBUTABLE_CASH_SHARE_DIFF" hidden="1">"c4284"</definedName>
    <definedName name="IQ_EST_DISTRIBUTABLE_CASH_SHARE_DIFF_CIQ" hidden="1">"c4809"</definedName>
    <definedName name="IQ_EST_DISTRIBUTABLE_CASH_SHARE_GROWTH_1YR" hidden="1">"c4417"</definedName>
    <definedName name="IQ_EST_DISTRIBUTABLE_CASH_SHARE_GROWTH_1YR_CIQ" hidden="1">"c4942"</definedName>
    <definedName name="IQ_EST_DISTRIBUTABLE_CASH_SHARE_GROWTH_2YR" hidden="1">"c4418"</definedName>
    <definedName name="IQ_EST_DISTRIBUTABLE_CASH_SHARE_GROWTH_2YR_CIQ" hidden="1">"c4943"</definedName>
    <definedName name="IQ_EST_DISTRIBUTABLE_CASH_SHARE_GROWTH_Q_1YR" hidden="1">"c4419"</definedName>
    <definedName name="IQ_EST_DISTRIBUTABLE_CASH_SHARE_GROWTH_Q_1YR_CIQ" hidden="1">"c4944"</definedName>
    <definedName name="IQ_EST_DISTRIBUTABLE_CASH_SHARE_SEQ_GROWTH_Q" hidden="1">"c4420"</definedName>
    <definedName name="IQ_EST_DISTRIBUTABLE_CASH_SHARE_SEQ_GROWTH_Q_CIQ" hidden="1">"c4945"</definedName>
    <definedName name="IQ_EST_DISTRIBUTABLE_CASH_SHARE_SURPRISE_PERCENT" hidden="1">"c4293"</definedName>
    <definedName name="IQ_EST_DISTRIBUTABLE_CASH_SHARE_SURPRISE_PERCENT_CIQ" hidden="1">"c4818"</definedName>
    <definedName name="IQ_EST_DISTRIBUTABLE_CASH_SURPRISE_PERCENT" hidden="1">"c4295"</definedName>
    <definedName name="IQ_EST_DISTRIBUTABLE_CASH_SURPRISE_PERCENT_CIQ" hidden="1">"c4820"</definedName>
    <definedName name="IQ_EST_DPS_DIFF" hidden="1">"c1873"</definedName>
    <definedName name="IQ_EST_DPS_DIFF_CIQ" hidden="1">"c3725"</definedName>
    <definedName name="IQ_EST_DPS_DIFF_REUT" hidden="1">"c3894"</definedName>
    <definedName name="IQ_EST_DPS_DIFF_THOM" hidden="1">"c5190"</definedName>
    <definedName name="IQ_EST_DPS_GROWTH_1YR" hidden="1">"c1778"</definedName>
    <definedName name="IQ_EST_DPS_GROWTH_1YR_CIQ" hidden="1">"c3713"</definedName>
    <definedName name="IQ_EST_DPS_GROWTH_1YR_REUT" hidden="1">"c3882"</definedName>
    <definedName name="IQ_EST_DPS_GROWTH_1YR_THOM" hidden="1">"c5178"</definedName>
    <definedName name="IQ_EST_DPS_GROWTH_2YR" hidden="1">"c1779"</definedName>
    <definedName name="IQ_EST_DPS_GROWTH_2YR_CIQ" hidden="1">"c3714"</definedName>
    <definedName name="IQ_EST_DPS_GROWTH_2YR_REUT" hidden="1">"c3883"</definedName>
    <definedName name="IQ_EST_DPS_GROWTH_2YR_THOM" hidden="1">"c5179"</definedName>
    <definedName name="IQ_EST_DPS_GROWTH_Q_1YR" hidden="1">"c1780"</definedName>
    <definedName name="IQ_EST_DPS_GROWTH_Q_1YR_CIQ" hidden="1">"c3715"</definedName>
    <definedName name="IQ_EST_DPS_GROWTH_Q_1YR_REUT" hidden="1">"c3884"</definedName>
    <definedName name="IQ_EST_DPS_GROWTH_Q_1YR_THOM" hidden="1">"c5180"</definedName>
    <definedName name="IQ_EST_DPS_SEQ_GROWTH_Q" hidden="1">"c1781"</definedName>
    <definedName name="IQ_EST_DPS_SEQ_GROWTH_Q_CIQ" hidden="1">"c3716"</definedName>
    <definedName name="IQ_EST_DPS_SEQ_GROWTH_Q_REUT" hidden="1">"c3885"</definedName>
    <definedName name="IQ_EST_DPS_SEQ_GROWTH_Q_THOM" hidden="1">"c5181"</definedName>
    <definedName name="IQ_EST_DPS_SURPRISE_PERCENT" hidden="1">"c1874"</definedName>
    <definedName name="IQ_EST_DPS_SURPRISE_PERCENT_CIQ" hidden="1">"c3726"</definedName>
    <definedName name="IQ_EST_DPS_SURPRISE_PERCENT_REUT" hidden="1">"c3895"</definedName>
    <definedName name="IQ_EST_DPS_SURPRISE_PERCENT_THOM" hidden="1">"c5191"</definedName>
    <definedName name="IQ_EST_EBIT_DIFF" hidden="1">"c1875"</definedName>
    <definedName name="IQ_EST_EBIT_DIFF_CIQ" hidden="1">"c4747"</definedName>
    <definedName name="IQ_EST_EBIT_DIFF_REUT" hidden="1">"c5413"</definedName>
    <definedName name="IQ_EST_EBIT_DIFF_THOM" hidden="1">"c5192"</definedName>
    <definedName name="IQ_EST_EBIT_GW_DIFF" hidden="1">"c4304"</definedName>
    <definedName name="IQ_EST_EBIT_GW_DIFF_CIQ" hidden="1">"c4829"</definedName>
    <definedName name="IQ_EST_EBIT_GW_SURPRISE_PERCENT" hidden="1">"c4313"</definedName>
    <definedName name="IQ_EST_EBIT_GW_SURPRISE_PERCENT_CIQ" hidden="1">"c4838"</definedName>
    <definedName name="IQ_EST_EBIT_SBC_DIFF" hidden="1">"c4314"</definedName>
    <definedName name="IQ_EST_EBIT_SBC_DIFF_CIQ" hidden="1">"c4839"</definedName>
    <definedName name="IQ_EST_EBIT_SBC_GW_DIFF" hidden="1">"c4318"</definedName>
    <definedName name="IQ_EST_EBIT_SBC_GW_DIFF_CIQ" hidden="1">"c4843"</definedName>
    <definedName name="IQ_EST_EBIT_SBC_GW_SURPRISE_PERCENT" hidden="1">"c4327"</definedName>
    <definedName name="IQ_EST_EBIT_SBC_GW_SURPRISE_PERCENT_CIQ" hidden="1">"c4852"</definedName>
    <definedName name="IQ_EST_EBIT_SBC_SURPRISE_PERCENT" hidden="1">"c4333"</definedName>
    <definedName name="IQ_EST_EBIT_SBC_SURPRISE_PERCENT_CIQ" hidden="1">"c4858"</definedName>
    <definedName name="IQ_EST_EBIT_SURPRISE_PERCENT" hidden="1">"c1876"</definedName>
    <definedName name="IQ_EST_EBIT_SURPRISE_PERCENT_CIQ" hidden="1">"c4748"</definedName>
    <definedName name="IQ_EST_EBIT_SURPRISE_PERCENT_REUT" hidden="1">"c5414"</definedName>
    <definedName name="IQ_EST_EBIT_SURPRISE_PERCENT_THOM" hidden="1">"c5193"</definedName>
    <definedName name="IQ_EST_EBITDA_DIFF" hidden="1">"c1867"</definedName>
    <definedName name="IQ_EST_EBITDA_DIFF_CIQ" hidden="1">"c3719"</definedName>
    <definedName name="IQ_EST_EBITDA_DIFF_REUT" hidden="1">"c3888"</definedName>
    <definedName name="IQ_EST_EBITDA_DIFF_THOM" hidden="1">"c5184"</definedName>
    <definedName name="IQ_EST_EBITDA_GROWTH_1YR" hidden="1">"c1766"</definedName>
    <definedName name="IQ_EST_EBITDA_GROWTH_1YR_CIQ" hidden="1">"c3695"</definedName>
    <definedName name="IQ_EST_EBITDA_GROWTH_1YR_REUT" hidden="1">"c3864"</definedName>
    <definedName name="IQ_EST_EBITDA_GROWTH_1YR_THOM" hidden="1">"c5161"</definedName>
    <definedName name="IQ_EST_EBITDA_GROWTH_2YR" hidden="1">"c1767"</definedName>
    <definedName name="IQ_EST_EBITDA_GROWTH_2YR_CIQ" hidden="1">"c3696"</definedName>
    <definedName name="IQ_EST_EBITDA_GROWTH_2YR_REUT" hidden="1">"c3865"</definedName>
    <definedName name="IQ_EST_EBITDA_GROWTH_2YR_THOM" hidden="1">"c5162"</definedName>
    <definedName name="IQ_EST_EBITDA_GROWTH_Q_1YR" hidden="1">"c1768"</definedName>
    <definedName name="IQ_EST_EBITDA_GROWTH_Q_1YR_CIQ" hidden="1">"c3697"</definedName>
    <definedName name="IQ_EST_EBITDA_GROWTH_Q_1YR_REUT" hidden="1">"c3866"</definedName>
    <definedName name="IQ_EST_EBITDA_GROWTH_Q_1YR_THOM" hidden="1">"c5163"</definedName>
    <definedName name="IQ_EST_EBITDA_SBC_DIFF" hidden="1">"c4335"</definedName>
    <definedName name="IQ_EST_EBITDA_SBC_DIFF_CIQ" hidden="1">"c4860"</definedName>
    <definedName name="IQ_EST_EBITDA_SBC_SURPRISE_PERCENT" hidden="1">"c4344"</definedName>
    <definedName name="IQ_EST_EBITDA_SBC_SURPRISE_PERCENT_CIQ" hidden="1">"c4869"</definedName>
    <definedName name="IQ_EST_EBITDA_SEQ_GROWTH_Q" hidden="1">"c1769"</definedName>
    <definedName name="IQ_EST_EBITDA_SEQ_GROWTH_Q_CIQ" hidden="1">"c3698"</definedName>
    <definedName name="IQ_EST_EBITDA_SEQ_GROWTH_Q_REUT" hidden="1">"c3867"</definedName>
    <definedName name="IQ_EST_EBITDA_SEQ_GROWTH_Q_THOM" hidden="1">"c5164"</definedName>
    <definedName name="IQ_EST_EBITDA_SURPRISE_PERCENT" hidden="1">"c1868"</definedName>
    <definedName name="IQ_EST_EBITDA_SURPRISE_PERCENT_CIQ" hidden="1">"c3720"</definedName>
    <definedName name="IQ_EST_EBITDA_SURPRISE_PERCENT_REUT" hidden="1">"c3889"</definedName>
    <definedName name="IQ_EST_EBITDA_SURPRISE_PERCENT_THOM" hidden="1">"c5185"</definedName>
    <definedName name="IQ_EST_EBT_SBC_DIFF" hidden="1">"c4348"</definedName>
    <definedName name="IQ_EST_EBT_SBC_DIFF_CIQ" hidden="1">"c4873"</definedName>
    <definedName name="IQ_EST_EBT_SBC_GW_DIFF" hidden="1">"c4352"</definedName>
    <definedName name="IQ_EST_EBT_SBC_GW_DIFF_CIQ" hidden="1">"c4877"</definedName>
    <definedName name="IQ_EST_EBT_SBC_GW_SURPRISE_PERCENT" hidden="1">"c4361"</definedName>
    <definedName name="IQ_EST_EBT_SBC_GW_SURPRISE_PERCENT_CIQ" hidden="1">"c4886"</definedName>
    <definedName name="IQ_EST_EBT_SBC_SURPRISE_PERCENT" hidden="1">"c4367"</definedName>
    <definedName name="IQ_EST_EBT_SBC_SURPRISE_PERCENT_CIQ" hidden="1">"c4892"</definedName>
    <definedName name="IQ_EST_EPS_DIFF" hidden="1">"c1864"</definedName>
    <definedName name="IQ_EST_EPS_DIFF_CIQ" hidden="1">"c4999"</definedName>
    <definedName name="IQ_EST_EPS_DIFF_REUT" hidden="1">"c5458"</definedName>
    <definedName name="IQ_EST_EPS_DIFF_THOM" hidden="1">"c5295"</definedName>
    <definedName name="IQ_EST_EPS_GROWTH_1YR" hidden="1">"c1636"</definedName>
    <definedName name="IQ_EST_EPS_GROWTH_1YR_CIQ" hidden="1">"c3628"</definedName>
    <definedName name="IQ_EST_EPS_GROWTH_1YR_REUT" hidden="1">"c3646"</definedName>
    <definedName name="IQ_EST_EPS_GROWTH_1YR_THOM" hidden="1">"c3664"</definedName>
    <definedName name="IQ_EST_EPS_GROWTH_2YR" hidden="1">"c1637"</definedName>
    <definedName name="IQ_EST_EPS_GROWTH_2YR_CIQ" hidden="1">"c3689"</definedName>
    <definedName name="IQ_EST_EPS_GROWTH_2YR_REUT" hidden="1">"c3858"</definedName>
    <definedName name="IQ_EST_EPS_GROWTH_2YR_THOM" hidden="1">"c5154"</definedName>
    <definedName name="IQ_EST_EPS_GROWTH_5YR" hidden="1">"c1655"</definedName>
    <definedName name="IQ_EST_EPS_GROWTH_5YR_BOTTOM_UP" hidden="1">"c5487"</definedName>
    <definedName name="IQ_EST_EPS_GROWTH_5YR_BOTTOM_UP_CIQ" hidden="1">"c12024"</definedName>
    <definedName name="IQ_EST_EPS_GROWTH_5YR_BOTTOM_UP_REUT" hidden="1">"c5495"</definedName>
    <definedName name="IQ_EST_EPS_GROWTH_5YR_CIQ" hidden="1">"c3615"</definedName>
    <definedName name="IQ_EST_EPS_GROWTH_5YR_HIGH" hidden="1">"c1657"</definedName>
    <definedName name="IQ_EST_EPS_GROWTH_5YR_HIGH_CIQ" hidden="1">"c4663"</definedName>
    <definedName name="IQ_EST_EPS_GROWTH_5YR_HIGH_REUT" hidden="1">"c5322"</definedName>
    <definedName name="IQ_EST_EPS_GROWTH_5YR_HIGH_THOM" hidden="1">"c5101"</definedName>
    <definedName name="IQ_EST_EPS_GROWTH_5YR_LOW" hidden="1">"c1658"</definedName>
    <definedName name="IQ_EST_EPS_GROWTH_5YR_LOW_CIQ" hidden="1">"c4664"</definedName>
    <definedName name="IQ_EST_EPS_GROWTH_5YR_LOW_REUT" hidden="1">"c5323"</definedName>
    <definedName name="IQ_EST_EPS_GROWTH_5YR_LOW_THOM" hidden="1">"c5102"</definedName>
    <definedName name="IQ_EST_EPS_GROWTH_5YR_MEDIAN" hidden="1">"c1656"</definedName>
    <definedName name="IQ_EST_EPS_GROWTH_5YR_MEDIAN_CIQ" hidden="1">"c5480"</definedName>
    <definedName name="IQ_EST_EPS_GROWTH_5YR_MEDIAN_REUT" hidden="1">"c5321"</definedName>
    <definedName name="IQ_EST_EPS_GROWTH_5YR_MEDIAN_THOM" hidden="1">"c5100"</definedName>
    <definedName name="IQ_EST_EPS_GROWTH_5YR_NUM" hidden="1">"c1659"</definedName>
    <definedName name="IQ_EST_EPS_GROWTH_5YR_NUM_CIQ" hidden="1">"c4665"</definedName>
    <definedName name="IQ_EST_EPS_GROWTH_5YR_NUM_REUT" hidden="1">"c5324"</definedName>
    <definedName name="IQ_EST_EPS_GROWTH_5YR_NUM_THOM" hidden="1">"c5103"</definedName>
    <definedName name="IQ_EST_EPS_GROWTH_5YR_REUT" hidden="1">"c3633"</definedName>
    <definedName name="IQ_EST_EPS_GROWTH_5YR_STDDEV" hidden="1">"c1660"</definedName>
    <definedName name="IQ_EST_EPS_GROWTH_5YR_STDDEV_CIQ" hidden="1">"c4666"</definedName>
    <definedName name="IQ_EST_EPS_GROWTH_5YR_STDDEV_REUT" hidden="1">"c5325"</definedName>
    <definedName name="IQ_EST_EPS_GROWTH_5YR_STDDEV_THOM" hidden="1">"c5104"</definedName>
    <definedName name="IQ_EST_EPS_GROWTH_5YR_THOM" hidden="1">"c3651"</definedName>
    <definedName name="IQ_EST_EPS_GROWTH_Q_1YR" hidden="1">"c1641"</definedName>
    <definedName name="IQ_EST_EPS_GROWTH_Q_1YR_CIQ" hidden="1">"c4744"</definedName>
    <definedName name="IQ_EST_EPS_GROWTH_Q_1YR_REUT" hidden="1">"c5410"</definedName>
    <definedName name="IQ_EST_EPS_GROWTH_Q_1YR_THOM" hidden="1">"c5155"</definedName>
    <definedName name="IQ_EST_EPS_GW_DIFF" hidden="1">"c1891"</definedName>
    <definedName name="IQ_EST_EPS_GW_DIFF_CIQ" hidden="1">"c4761"</definedName>
    <definedName name="IQ_EST_EPS_GW_DIFF_REUT" hidden="1">"c5429"</definedName>
    <definedName name="IQ_EST_EPS_GW_DIFF_THOM" hidden="1">"c5200"</definedName>
    <definedName name="IQ_EST_EPS_GW_SURPRISE_PERCENT" hidden="1">"c1892"</definedName>
    <definedName name="IQ_EST_EPS_GW_SURPRISE_PERCENT_CIQ" hidden="1">"c4762"</definedName>
    <definedName name="IQ_EST_EPS_GW_SURPRISE_PERCENT_REUT" hidden="1">"c5430"</definedName>
    <definedName name="IQ_EST_EPS_GW_SURPRISE_PERCENT_THOM" hidden="1">"c5201"</definedName>
    <definedName name="IQ_EST_EPS_NORM_DIFF" hidden="1">"c2247"</definedName>
    <definedName name="IQ_EST_EPS_NORM_DIFF_CIQ" hidden="1">"c4745"</definedName>
    <definedName name="IQ_EST_EPS_NORM_DIFF_REUT" hidden="1">"c5411"</definedName>
    <definedName name="IQ_EST_EPS_NORM_SURPRISE_PERCENT" hidden="1">"c2248"</definedName>
    <definedName name="IQ_EST_EPS_NORM_SURPRISE_PERCENT_CIQ" hidden="1">"c4746"</definedName>
    <definedName name="IQ_EST_EPS_NORM_SURPRISE_PERCENT_REUT" hidden="1">"c5412"</definedName>
    <definedName name="IQ_EST_EPS_REPORT_DIFF" hidden="1">"c1893"</definedName>
    <definedName name="IQ_EST_EPS_REPORT_DIFF_CIQ" hidden="1">"c4763"</definedName>
    <definedName name="IQ_EST_EPS_REPORT_DIFF_REUT" hidden="1">"c5431"</definedName>
    <definedName name="IQ_EST_EPS_REPORT_DIFF_THOM" hidden="1">"c5202"</definedName>
    <definedName name="IQ_EST_EPS_REPORT_SURPRISE_PERCENT" hidden="1">"c1894"</definedName>
    <definedName name="IQ_EST_EPS_REPORT_SURPRISE_PERCENT_CIQ" hidden="1">"c4764"</definedName>
    <definedName name="IQ_EST_EPS_REPORT_SURPRISE_PERCENT_REUT" hidden="1">"c5432"</definedName>
    <definedName name="IQ_EST_EPS_REPORT_SURPRISE_PERCENT_THOM" hidden="1">"c5203"</definedName>
    <definedName name="IQ_EST_EPS_SBC_DIFF" hidden="1">"c4374"</definedName>
    <definedName name="IQ_EST_EPS_SBC_DIFF_CIQ" hidden="1">"c4899"</definedName>
    <definedName name="IQ_EST_EPS_SBC_GW_DIFF" hidden="1">"c4378"</definedName>
    <definedName name="IQ_EST_EPS_SBC_GW_DIFF_CIQ" hidden="1">"c4903"</definedName>
    <definedName name="IQ_EST_EPS_SBC_GW_SURPRISE_PERCENT" hidden="1">"c4387"</definedName>
    <definedName name="IQ_EST_EPS_SBC_GW_SURPRISE_PERCENT_CIQ" hidden="1">"c4912"</definedName>
    <definedName name="IQ_EST_EPS_SBC_SURPRISE_PERCENT" hidden="1">"c4393"</definedName>
    <definedName name="IQ_EST_EPS_SBC_SURPRISE_PERCENT_CIQ" hidden="1">"c4918"</definedName>
    <definedName name="IQ_EST_EPS_SEQ_GROWTH_Q" hidden="1">"c1764"</definedName>
    <definedName name="IQ_EST_EPS_SEQ_GROWTH_Q_CIQ" hidden="1">"c3690"</definedName>
    <definedName name="IQ_EST_EPS_SEQ_GROWTH_Q_REUT" hidden="1">"c3859"</definedName>
    <definedName name="IQ_EST_EPS_SEQ_GROWTH_Q_THOM" hidden="1">"c5156"</definedName>
    <definedName name="IQ_EST_EPS_SURPRISE_PERCENT" hidden="1">"c1635"</definedName>
    <definedName name="IQ_EST_EPS_SURPRISE_PERCENT_CIQ" hidden="1">"c5000"</definedName>
    <definedName name="IQ_EST_EPS_SURPRISE_PERCENT_REUT" hidden="1">"c5459"</definedName>
    <definedName name="IQ_EST_EPS_SURPRISE_PERCENT_THOM" hidden="1">"c5296"</definedName>
    <definedName name="IQ_EST_FAIR_VALUE_MORT_SERVICING_ASSETS_FFIEC" hidden="1">"c12956"</definedName>
    <definedName name="IQ_EST_FFO_ADJ_DIFF" hidden="1">"c4433"</definedName>
    <definedName name="IQ_EST_FFO_ADJ_DIFF_CIQ" hidden="1">"c4958"</definedName>
    <definedName name="IQ_EST_FFO_ADJ_GROWTH_1YR" hidden="1">"c4421"</definedName>
    <definedName name="IQ_EST_FFO_ADJ_GROWTH_1YR_CIQ" hidden="1">"c4946"</definedName>
    <definedName name="IQ_EST_FFO_ADJ_GROWTH_2YR" hidden="1">"c4422"</definedName>
    <definedName name="IQ_EST_FFO_ADJ_GROWTH_2YR_CIQ" hidden="1">"c4947"</definedName>
    <definedName name="IQ_EST_FFO_ADJ_GROWTH_Q_1YR" hidden="1">"c4423"</definedName>
    <definedName name="IQ_EST_FFO_ADJ_GROWTH_Q_1YR_CIQ" hidden="1">"c4948"</definedName>
    <definedName name="IQ_EST_FFO_ADJ_SEQ_GROWTH_Q" hidden="1">"c4424"</definedName>
    <definedName name="IQ_EST_FFO_ADJ_SEQ_GROWTH_Q_CIQ" hidden="1">"c4949"</definedName>
    <definedName name="IQ_EST_FFO_ADJ_SURPRISE_PERCENT" hidden="1">"c4442"</definedName>
    <definedName name="IQ_EST_FFO_ADJ_SURPRISE_PERCENT_CIQ" hidden="1">"c4967"</definedName>
    <definedName name="IQ_EST_FFO_DIFF" hidden="1">"c4444"</definedName>
    <definedName name="IQ_EST_FFO_DIFF_CIQ" hidden="1">"c4969"</definedName>
    <definedName name="IQ_EST_FFO_DIFF_REUT" hidden="1">"c3890"</definedName>
    <definedName name="IQ_EST_FFO_DIFF_THOM" hidden="1">"c5186"</definedName>
    <definedName name="IQ_EST_FFO_GROWTH_1YR" hidden="1">"c4425"</definedName>
    <definedName name="IQ_EST_FFO_GROWTH_1YR_CIQ" hidden="1">"c4950"</definedName>
    <definedName name="IQ_EST_FFO_GROWTH_1YR_REUT" hidden="1">"c3874"</definedName>
    <definedName name="IQ_EST_FFO_GROWTH_1YR_THOM" hidden="1">"c5170"</definedName>
    <definedName name="IQ_EST_FFO_GROWTH_2YR" hidden="1">"c4426"</definedName>
    <definedName name="IQ_EST_FFO_GROWTH_2YR_CIQ" hidden="1">"c4951"</definedName>
    <definedName name="IQ_EST_FFO_GROWTH_2YR_REUT" hidden="1">"c3875"</definedName>
    <definedName name="IQ_EST_FFO_GROWTH_2YR_THOM" hidden="1">"c5171"</definedName>
    <definedName name="IQ_EST_FFO_GROWTH_Q_1YR" hidden="1">"c4427"</definedName>
    <definedName name="IQ_EST_FFO_GROWTH_Q_1YR_CIQ" hidden="1">"c4952"</definedName>
    <definedName name="IQ_EST_FFO_GROWTH_Q_1YR_REUT" hidden="1">"c3876"</definedName>
    <definedName name="IQ_EST_FFO_GROWTH_Q_1YR_THOM" hidden="1">"c5172"</definedName>
    <definedName name="IQ_EST_FFO_SEQ_GROWTH_Q" hidden="1">"c4428"</definedName>
    <definedName name="IQ_EST_FFO_SEQ_GROWTH_Q_CIQ" hidden="1">"c4953"</definedName>
    <definedName name="IQ_EST_FFO_SEQ_GROWTH_Q_REUT" hidden="1">"c3877"</definedName>
    <definedName name="IQ_EST_FFO_SEQ_GROWTH_Q_THOM" hidden="1">"c5173"</definedName>
    <definedName name="IQ_EST_FFO_SHARE_DIFF" hidden="1">"c1869"</definedName>
    <definedName name="IQ_EST_FFO_SHARE_DIFF_CIQ" hidden="1">"c3721"</definedName>
    <definedName name="IQ_EST_FFO_SHARE_GROWTH_1YR" hidden="1">"c1770"</definedName>
    <definedName name="IQ_EST_FFO_SHARE_GROWTH_1YR_CIQ" hidden="1">"c3705"</definedName>
    <definedName name="IQ_EST_FFO_SHARE_GROWTH_2YR" hidden="1">"c1771"</definedName>
    <definedName name="IQ_EST_FFO_SHARE_GROWTH_2YR_CIQ" hidden="1">"c3706"</definedName>
    <definedName name="IQ_EST_FFO_SHARE_GROWTH_Q_1YR" hidden="1">"c1772"</definedName>
    <definedName name="IQ_EST_FFO_SHARE_GROWTH_Q_1YR_CIQ" hidden="1">"c3707"</definedName>
    <definedName name="IQ_EST_FFO_SHARE_SEQ_GROWTH_Q" hidden="1">"c1773"</definedName>
    <definedName name="IQ_EST_FFO_SHARE_SEQ_GROWTH_Q_CIQ" hidden="1">"c3708"</definedName>
    <definedName name="IQ_EST_FFO_SHARE_SURPRISE_PERCENT" hidden="1">"c1870"</definedName>
    <definedName name="IQ_EST_FFO_SHARE_SURPRISE_PERCENT_CIQ" hidden="1">"c3722"</definedName>
    <definedName name="IQ_EST_FFO_SURPRISE_PERCENT" hidden="1">"c4453"</definedName>
    <definedName name="IQ_EST_FFO_SURPRISE_PERCENT_CIQ" hidden="1">"c4982"</definedName>
    <definedName name="IQ_EST_FFO_SURPRISE_PERCENT_REUT" hidden="1">"c3891"</definedName>
    <definedName name="IQ_EST_FFO_SURPRISE_PERCENT_THOM" hidden="1">"c5187"</definedName>
    <definedName name="IQ_EST_FOOTNOTE" hidden="1">"c4540"</definedName>
    <definedName name="IQ_EST_FOOTNOTE_CIQ" hidden="1">"c12022"</definedName>
    <definedName name="IQ_EST_FOOTNOTE_REUT" hidden="1">"c5478"</definedName>
    <definedName name="IQ_EST_FOOTNOTE_THOM" hidden="1">"c5313"</definedName>
    <definedName name="IQ_EST_MAINT_CAPEX_DIFF" hidden="1">"c4456"</definedName>
    <definedName name="IQ_EST_MAINT_CAPEX_DIFF_CIQ" hidden="1">"c4985"</definedName>
    <definedName name="IQ_EST_MAINT_CAPEX_GROWTH_1YR" hidden="1">"c4429"</definedName>
    <definedName name="IQ_EST_MAINT_CAPEX_GROWTH_1YR_CIQ" hidden="1">"c4954"</definedName>
    <definedName name="IQ_EST_MAINT_CAPEX_GROWTH_2YR" hidden="1">"c4430"</definedName>
    <definedName name="IQ_EST_MAINT_CAPEX_GROWTH_2YR_CIQ" hidden="1">"c4955"</definedName>
    <definedName name="IQ_EST_MAINT_CAPEX_GROWTH_Q_1YR" hidden="1">"c4431"</definedName>
    <definedName name="IQ_EST_MAINT_CAPEX_GROWTH_Q_1YR_CIQ" hidden="1">"c4956"</definedName>
    <definedName name="IQ_EST_MAINT_CAPEX_SEQ_GROWTH_Q" hidden="1">"c4432"</definedName>
    <definedName name="IQ_EST_MAINT_CAPEX_SEQ_GROWTH_Q_CIQ" hidden="1">"c4957"</definedName>
    <definedName name="IQ_EST_MAINT_CAPEX_SURPRISE_PERCENT" hidden="1">"c4465"</definedName>
    <definedName name="IQ_EST_MAINT_CAPEX_SURPRISE_PERCENT_CIQ" hidden="1">"c5003"</definedName>
    <definedName name="IQ_EST_NAV_DIFF" hidden="1">"c1895"</definedName>
    <definedName name="IQ_EST_NAV_SHARE_SURPRISE_PERCENT" hidden="1">"c1896"</definedName>
    <definedName name="IQ_EST_NAV_SURPRISE_PERCENT" hidden="1">"c12040"</definedName>
    <definedName name="IQ_EST_NET_DEBT_DIFF" hidden="1">"c4466"</definedName>
    <definedName name="IQ_EST_NET_DEBT_DIFF_CIQ" hidden="1">"c5004"</definedName>
    <definedName name="IQ_EST_NET_DEBT_SURPRISE_PERCENT" hidden="1">"c4468"</definedName>
    <definedName name="IQ_EST_NET_DEBT_SURPRISE_PERCENT_CIQ" hidden="1">"c5006"</definedName>
    <definedName name="IQ_EST_NEXT_EARNINGS_DATE" hidden="1">"c13591"</definedName>
    <definedName name="IQ_EST_NI_DIFF" hidden="1">"c1885"</definedName>
    <definedName name="IQ_EST_NI_DIFF_CIQ" hidden="1">"c4755"</definedName>
    <definedName name="IQ_EST_NI_DIFF_REUT" hidden="1">"c5423"</definedName>
    <definedName name="IQ_EST_NI_DIFF_THOM" hidden="1">"c5198"</definedName>
    <definedName name="IQ_EST_NI_GW_DIFF" hidden="1">"c1887"</definedName>
    <definedName name="IQ_EST_NI_GW_DIFF_CIQ" hidden="1">"c4757"</definedName>
    <definedName name="IQ_EST_NI_GW_DIFF_REUT" hidden="1">"c5425"</definedName>
    <definedName name="IQ_EST_NI_GW_SURPRISE_PERCENT" hidden="1">"c1888"</definedName>
    <definedName name="IQ_EST_NI_GW_SURPRISE_PERCENT_CIQ" hidden="1">"c4758"</definedName>
    <definedName name="IQ_EST_NI_GW_SURPRISE_PERCENT_REUT" hidden="1">"c5426"</definedName>
    <definedName name="IQ_EST_NI_REPORT_DIFF" hidden="1">"c1889"</definedName>
    <definedName name="IQ_EST_NI_REPORT_DIFF_CIQ" hidden="1">"c4759"</definedName>
    <definedName name="IQ_EST_NI_REPORT_DIFF_REUT" hidden="1">"c5427"</definedName>
    <definedName name="IQ_EST_NI_REPORT_SURPRISE_PERCENT" hidden="1">"c1890"</definedName>
    <definedName name="IQ_EST_NI_REPORT_SURPRISE_PERCENT_CIQ" hidden="1">"c4760"</definedName>
    <definedName name="IQ_EST_NI_REPORT_SURPRISE_PERCENT_REUT" hidden="1">"c5428"</definedName>
    <definedName name="IQ_EST_NI_SBC_DIFF" hidden="1">"c4472"</definedName>
    <definedName name="IQ_EST_NI_SBC_DIFF_CIQ" hidden="1">"c5010"</definedName>
    <definedName name="IQ_EST_NI_SBC_GW_DIFF" hidden="1">"c4476"</definedName>
    <definedName name="IQ_EST_NI_SBC_GW_DIFF_CIQ" hidden="1">"c5014"</definedName>
    <definedName name="IQ_EST_NI_SBC_GW_SURPRISE_PERCENT" hidden="1">"c4485"</definedName>
    <definedName name="IQ_EST_NI_SBC_GW_SURPRISE_PERCENT_CIQ" hidden="1">"c5023"</definedName>
    <definedName name="IQ_EST_NI_SBC_SURPRISE_PERCENT" hidden="1">"c4491"</definedName>
    <definedName name="IQ_EST_NI_SBC_SURPRISE_PERCENT_CIQ" hidden="1">"c5029"</definedName>
    <definedName name="IQ_EST_NI_SURPRISE_PERCENT" hidden="1">"c1886"</definedName>
    <definedName name="IQ_EST_NI_SURPRISE_PERCENT_CIQ" hidden="1">"c4756"</definedName>
    <definedName name="IQ_EST_NI_SURPRISE_PERCENT_REUT" hidden="1">"c5424"</definedName>
    <definedName name="IQ_EST_NI_SURPRISE_PERCENT_THOM" hidden="1">"c5199"</definedName>
    <definedName name="IQ_EST_NUM_BUY" hidden="1">"c1759"</definedName>
    <definedName name="IQ_EST_NUM_HIGH_REC" hidden="1">"c5649"</definedName>
    <definedName name="IQ_EST_NUM_HIGH_REC_CIQ" hidden="1">"c3701"</definedName>
    <definedName name="IQ_EST_NUM_HIGH_REC_REUT" hidden="1">"c3870"</definedName>
    <definedName name="IQ_EST_NUM_HIGH_REC_THOM" hidden="1">"c5166"</definedName>
    <definedName name="IQ_EST_NUM_HIGHEST_REC" hidden="1">"c5648"</definedName>
    <definedName name="IQ_EST_NUM_HIGHEST_REC_CIQ" hidden="1">"c3700"</definedName>
    <definedName name="IQ_EST_NUM_HIGHEST_REC_REUT" hidden="1">"c3869"</definedName>
    <definedName name="IQ_EST_NUM_HIGHEST_REC_THOM" hidden="1">"c5165"</definedName>
    <definedName name="IQ_EST_NUM_HOLD" hidden="1">"c1761"</definedName>
    <definedName name="IQ_EST_NUM_LOW_REC" hidden="1">"c5651"</definedName>
    <definedName name="IQ_EST_NUM_LOW_REC_CIQ" hidden="1">"c3703"</definedName>
    <definedName name="IQ_EST_NUM_LOW_REC_REUT" hidden="1">"c3872"</definedName>
    <definedName name="IQ_EST_NUM_LOW_REC_THOM" hidden="1">"c5168"</definedName>
    <definedName name="IQ_EST_NUM_LOWEST_REC" hidden="1">"c5652"</definedName>
    <definedName name="IQ_EST_NUM_LOWEST_REC_CIQ" hidden="1">"c3704"</definedName>
    <definedName name="IQ_EST_NUM_LOWEST_REC_REUT" hidden="1">"c3873"</definedName>
    <definedName name="IQ_EST_NUM_LOWEST_REC_THOM" hidden="1">"c5169"</definedName>
    <definedName name="IQ_EST_NUM_NEUTRAL_REC" hidden="1">"c5650"</definedName>
    <definedName name="IQ_EST_NUM_NEUTRAL_REC_CIQ" hidden="1">"c3702"</definedName>
    <definedName name="IQ_EST_NUM_NEUTRAL_REC_REUT" hidden="1">"c3871"</definedName>
    <definedName name="IQ_EST_NUM_NEUTRAL_REC_THOM" hidden="1">"c5167"</definedName>
    <definedName name="IQ_EST_NUM_NO_OPINION" hidden="1">"c1758"</definedName>
    <definedName name="IQ_EST_NUM_NO_OPINION_CIQ" hidden="1">"c3699"</definedName>
    <definedName name="IQ_EST_NUM_NO_OPINION_REUT" hidden="1">"c3868"</definedName>
    <definedName name="IQ_EST_NUM_OUTPERFORM" hidden="1">"c1760"</definedName>
    <definedName name="IQ_EST_NUM_SELL" hidden="1">"c1763"</definedName>
    <definedName name="IQ_EST_NUM_UNDERPERFORM" hidden="1">"c1762"</definedName>
    <definedName name="IQ_EST_OPER_INC_DIFF" hidden="1">"c1877"</definedName>
    <definedName name="IQ_EST_OPER_INC_DIFF_CIQ" hidden="1">"c12017"</definedName>
    <definedName name="IQ_EST_OPER_INC_DIFF_REUT" hidden="1">"c5415"</definedName>
    <definedName name="IQ_EST_OPER_INC_DIFF_THOM" hidden="1">"c5194"</definedName>
    <definedName name="IQ_EST_OPER_INC_SURPRISE_PERCENT" hidden="1">"c1878"</definedName>
    <definedName name="IQ_EST_OPER_INC_SURPRISE_PERCENT_CIQ" hidden="1">"c12018"</definedName>
    <definedName name="IQ_EST_OPER_INC_SURPRISE_PERCENT_REUT" hidden="1">"c5416"</definedName>
    <definedName name="IQ_EST_OPER_INC_SURPRISE_PERCENT_THOM" hidden="1">"c5195"</definedName>
    <definedName name="IQ_EST_PRE_TAX_DIFF" hidden="1">"c1879"</definedName>
    <definedName name="IQ_EST_PRE_TAX_DIFF_CIQ" hidden="1">"c4749"</definedName>
    <definedName name="IQ_EST_PRE_TAX_DIFF_REUT" hidden="1">"c5417"</definedName>
    <definedName name="IQ_EST_PRE_TAX_DIFF_THOM" hidden="1">"c5196"</definedName>
    <definedName name="IQ_EST_PRE_TAX_GW_DIFF" hidden="1">"c1881"</definedName>
    <definedName name="IQ_EST_PRE_TAX_GW_DIFF_CIQ" hidden="1">"c4751"</definedName>
    <definedName name="IQ_EST_PRE_TAX_GW_DIFF_REUT" hidden="1">"c5419"</definedName>
    <definedName name="IQ_EST_PRE_TAX_GW_SURPRISE_PERCENT" hidden="1">"c1882"</definedName>
    <definedName name="IQ_EST_PRE_TAX_GW_SURPRISE_PERCENT_CIQ" hidden="1">"c4752"</definedName>
    <definedName name="IQ_EST_PRE_TAX_GW_SURPRISE_PERCENT_REUT" hidden="1">"c5420"</definedName>
    <definedName name="IQ_EST_PRE_TAX_REPORT_DIFF" hidden="1">"c1883"</definedName>
    <definedName name="IQ_EST_PRE_TAX_REPORT_DIFF_CIQ" hidden="1">"c4753"</definedName>
    <definedName name="IQ_EST_PRE_TAX_REPORT_DIFF_REUT" hidden="1">"c5421"</definedName>
    <definedName name="IQ_EST_PRE_TAX_REPORT_SURPRISE_PERCENT" hidden="1">"c1884"</definedName>
    <definedName name="IQ_EST_PRE_TAX_REPORT_SURPRISE_PERCENT_CIQ" hidden="1">"c4754"</definedName>
    <definedName name="IQ_EST_PRE_TAX_REPORT_SURPRISE_PERCENT_REUT" hidden="1">"c5422"</definedName>
    <definedName name="IQ_EST_PRE_TAX_SURPRISE_PERCENT" hidden="1">"c1880"</definedName>
    <definedName name="IQ_EST_PRE_TAX_SURPRISE_PERCENT_CIQ" hidden="1">"c4750"</definedName>
    <definedName name="IQ_EST_PRE_TAX_SURPRISE_PERCENT_REUT" hidden="1">"c5418"</definedName>
    <definedName name="IQ_EST_PRE_TAX_SURPRISE_PERCENT_THOM" hidden="1">"c5197"</definedName>
    <definedName name="IQ_EST_RECURRING_PROFIT_SHARE_DIFF" hidden="1">"c4505"</definedName>
    <definedName name="IQ_EST_RECURRING_PROFIT_SHARE_DIFF_CIQ" hidden="1">"c5043"</definedName>
    <definedName name="IQ_EST_RECURRING_PROFIT_SHARE_SURPRISE_PERCENT" hidden="1">"c4515"</definedName>
    <definedName name="IQ_EST_RECURRING_PROFIT_SHARE_SURPRISE_PERCENT_CIQ" hidden="1">"c5053"</definedName>
    <definedName name="IQ_EST_REV_DIFF" hidden="1">"c1865"</definedName>
    <definedName name="IQ_EST_REV_DIFF_CIQ" hidden="1">"c3717"</definedName>
    <definedName name="IQ_EST_REV_DIFF_REUT" hidden="1">"c3886"</definedName>
    <definedName name="IQ_EST_REV_DIFF_THOM" hidden="1">"c5182"</definedName>
    <definedName name="IQ_EST_REV_GROWTH_1YR" hidden="1">"c1638"</definedName>
    <definedName name="IQ_EST_REV_GROWTH_1YR_CIQ" hidden="1">"c3691"</definedName>
    <definedName name="IQ_EST_REV_GROWTH_1YR_REUT" hidden="1">"c3860"</definedName>
    <definedName name="IQ_EST_REV_GROWTH_1YR_THOM" hidden="1">"c5157"</definedName>
    <definedName name="IQ_EST_REV_GROWTH_2YR" hidden="1">"c1639"</definedName>
    <definedName name="IQ_EST_REV_GROWTH_2YR_CIQ" hidden="1">"c3692"</definedName>
    <definedName name="IQ_EST_REV_GROWTH_2YR_REUT" hidden="1">"c3861"</definedName>
    <definedName name="IQ_EST_REV_GROWTH_2YR_THOM" hidden="1">"c5158"</definedName>
    <definedName name="IQ_EST_REV_GROWTH_Q_1YR" hidden="1">"c1640"</definedName>
    <definedName name="IQ_EST_REV_GROWTH_Q_1YR_CIQ" hidden="1">"c3693"</definedName>
    <definedName name="IQ_EST_REV_GROWTH_Q_1YR_REUT" hidden="1">"c3862"</definedName>
    <definedName name="IQ_EST_REV_GROWTH_Q_1YR_THOM" hidden="1">"c5159"</definedName>
    <definedName name="IQ_EST_REV_SEQ_GROWTH_Q" hidden="1">"c1765"</definedName>
    <definedName name="IQ_EST_REV_SEQ_GROWTH_Q_CIQ" hidden="1">"c3694"</definedName>
    <definedName name="IQ_EST_REV_SEQ_GROWTH_Q_REUT" hidden="1">"c3863"</definedName>
    <definedName name="IQ_EST_REV_SEQ_GROWTH_Q_THOM" hidden="1">"c5160"</definedName>
    <definedName name="IQ_EST_REV_SURPRISE_PERCENT" hidden="1">"c1866"</definedName>
    <definedName name="IQ_EST_REV_SURPRISE_PERCENT_CIQ" hidden="1">"c3718"</definedName>
    <definedName name="IQ_EST_REV_SURPRISE_PERCENT_REUT" hidden="1">"c3887"</definedName>
    <definedName name="IQ_EST_REV_SURPRISE_PERCENT_THOM" hidden="1">"c5183"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VENT_DATE" hidden="1">"c13819"</definedName>
    <definedName name="IQ_EVENT_ID" hidden="1">"c13818"</definedName>
    <definedName name="IQ_EVENT_TIME" hidden="1">"c13820"</definedName>
    <definedName name="IQ_EVENT_TYPE" hidden="1">"c13821"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IMBURSE_RENTAL_REVENUE" hidden="1">"c16064"</definedName>
    <definedName name="IQ_EXP_RETURN_PENSION_DOMESTIC" hidden="1">"c407"</definedName>
    <definedName name="IQ_EXP_RETURN_PENSION_FOREIGN" hidden="1">"c408"</definedName>
    <definedName name="IQ_EXPENSE_REIMBURSEMENTS" hidden="1">"c16020"</definedName>
    <definedName name="IQ_EXPENSES_AP" hidden="1">"c8875"</definedName>
    <definedName name="IQ_EXPENSES_AP_ABS" hidden="1">"c8894"</definedName>
    <definedName name="IQ_EXPENSES_FIXED_ASSETS_FFIEC" hidden="1">"c13024"</definedName>
    <definedName name="IQ_EXPENSES_NAME_AP" hidden="1">"c8913"</definedName>
    <definedName name="IQ_EXPENSES_NAME_AP_ABS" hidden="1">"c8932"</definedName>
    <definedName name="IQ_EXPLORATION_EXPENDITURE_ALUM" hidden="1">"c9255"</definedName>
    <definedName name="IQ_EXPLORATION_EXPENDITURE_COAL" hidden="1">"c9827"</definedName>
    <definedName name="IQ_EXPLORATION_EXPENDITURE_COP" hidden="1">"c9202"</definedName>
    <definedName name="IQ_EXPLORATION_EXPENDITURE_DIAM" hidden="1">"c9679"</definedName>
    <definedName name="IQ_EXPLORATION_EXPENDITURE_GOLD" hidden="1">"c9040"</definedName>
    <definedName name="IQ_EXPLORATION_EXPENDITURE_IRON" hidden="1">"c9414"</definedName>
    <definedName name="IQ_EXPLORATION_EXPENDITURE_LEAD" hidden="1">"c9467"</definedName>
    <definedName name="IQ_EXPLORATION_EXPENDITURE_MANG" hidden="1">"c9520"</definedName>
    <definedName name="IQ_EXPLORATION_EXPENDITURE_MOLYB" hidden="1">"c9732"</definedName>
    <definedName name="IQ_EXPLORATION_EXPENDITURE_NICK" hidden="1">"c9308"</definedName>
    <definedName name="IQ_EXPLORATION_EXPENDITURE_PLAT" hidden="1">"c9146"</definedName>
    <definedName name="IQ_EXPLORATION_EXPENDITURE_SILVER" hidden="1">"c9093"</definedName>
    <definedName name="IQ_EXPLORATION_EXPENDITURE_TITAN" hidden="1">"c9573"</definedName>
    <definedName name="IQ_EXPLORATION_EXPENDITURE_URAN" hidden="1">"c9626"</definedName>
    <definedName name="IQ_EXPLORATION_EXPENDITURE_ZINC" hidden="1">"c9361"</definedName>
    <definedName name="IQ_EXPLORE_DRILL" hidden="1">"c409"</definedName>
    <definedName name="IQ_EXPLORE_DRILL_EXP_TOTAL" hidden="1">"c13850"</definedName>
    <definedName name="IQ_EXPORT_PRICE_INDEX" hidden="1">"c6860"</definedName>
    <definedName name="IQ_EXPORT_PRICE_INDEX_APR" hidden="1">"c7520"</definedName>
    <definedName name="IQ_EXPORT_PRICE_INDEX_APR_FC" hidden="1">"c8400"</definedName>
    <definedName name="IQ_EXPORT_PRICE_INDEX_FC" hidden="1">"c7740"</definedName>
    <definedName name="IQ_EXPORT_PRICE_INDEX_POP" hidden="1">"c7080"</definedName>
    <definedName name="IQ_EXPORT_PRICE_INDEX_POP_FC" hidden="1">"c7960"</definedName>
    <definedName name="IQ_EXPORT_PRICE_INDEX_YOY" hidden="1">"c7300"</definedName>
    <definedName name="IQ_EXPORT_PRICE_INDEX_YOY_FC" hidden="1">"c8180"</definedName>
    <definedName name="IQ_EXPORTS_APR_FC_UNUSED" hidden="1">"c8401"</definedName>
    <definedName name="IQ_EXPORTS_APR_FC_UNUSED_UNUSED_UNUSED" hidden="1">"c8401"</definedName>
    <definedName name="IQ_EXPORTS_APR_UNUSED" hidden="1">"c7521"</definedName>
    <definedName name="IQ_EXPORTS_APR_UNUSED_UNUSED_UNUSED" hidden="1">"c7521"</definedName>
    <definedName name="IQ_EXPORTS_FACTOR_SERVICES" hidden="1">"c6862"</definedName>
    <definedName name="IQ_EXPORTS_FACTOR_SERVICES_APR" hidden="1">"c7522"</definedName>
    <definedName name="IQ_EXPORTS_FACTOR_SERVICES_APR_FC" hidden="1">"c8402"</definedName>
    <definedName name="IQ_EXPORTS_FACTOR_SERVICES_FC" hidden="1">"c7742"</definedName>
    <definedName name="IQ_EXPORTS_FACTOR_SERVICES_POP" hidden="1">"c7082"</definedName>
    <definedName name="IQ_EXPORTS_FACTOR_SERVICES_POP_FC" hidden="1">"c7962"</definedName>
    <definedName name="IQ_EXPORTS_FACTOR_SERVICES_SAAR" hidden="1">"c6863"</definedName>
    <definedName name="IQ_EXPORTS_FACTOR_SERVICES_SAAR_APR" hidden="1">"c7523"</definedName>
    <definedName name="IQ_EXPORTS_FACTOR_SERVICES_SAAR_APR_FC" hidden="1">"c8403"</definedName>
    <definedName name="IQ_EXPORTS_FACTOR_SERVICES_SAAR_FC" hidden="1">"c7743"</definedName>
    <definedName name="IQ_EXPORTS_FACTOR_SERVICES_SAAR_POP" hidden="1">"c7083"</definedName>
    <definedName name="IQ_EXPORTS_FACTOR_SERVICES_SAAR_POP_FC" hidden="1">"c7963"</definedName>
    <definedName name="IQ_EXPORTS_FACTOR_SERVICES_SAAR_USD_APR_FC" hidden="1">"c11817"</definedName>
    <definedName name="IQ_EXPORTS_FACTOR_SERVICES_SAAR_USD_FC" hidden="1">"c11814"</definedName>
    <definedName name="IQ_EXPORTS_FACTOR_SERVICES_SAAR_USD_POP_FC" hidden="1">"c11815"</definedName>
    <definedName name="IQ_EXPORTS_FACTOR_SERVICES_SAAR_USD_YOY_FC" hidden="1">"c11816"</definedName>
    <definedName name="IQ_EXPORTS_FACTOR_SERVICES_SAAR_YOY" hidden="1">"c7303"</definedName>
    <definedName name="IQ_EXPORTS_FACTOR_SERVICES_SAAR_YOY_FC" hidden="1">"c8183"</definedName>
    <definedName name="IQ_EXPORTS_FACTOR_SERVICES_USD_APR_FC" hidden="1">"c11813"</definedName>
    <definedName name="IQ_EXPORTS_FACTOR_SERVICES_USD_FC" hidden="1">"c11810"</definedName>
    <definedName name="IQ_EXPORTS_FACTOR_SERVICES_USD_POP_FC" hidden="1">"c11811"</definedName>
    <definedName name="IQ_EXPORTS_FACTOR_SERVICES_USD_YOY_FC" hidden="1">"c11812"</definedName>
    <definedName name="IQ_EXPORTS_FACTOR_SERVICES_YOY" hidden="1">"c7302"</definedName>
    <definedName name="IQ_EXPORTS_FACTOR_SERVICES_YOY_FC" hidden="1">"c8182"</definedName>
    <definedName name="IQ_EXPORTS_FC_UNUSED" hidden="1">"c7741"</definedName>
    <definedName name="IQ_EXPORTS_FC_UNUSED_UNUSED_UNUSED" hidden="1">"c7741"</definedName>
    <definedName name="IQ_EXPORTS_GOODS" hidden="1">"c6864"</definedName>
    <definedName name="IQ_EXPORTS_GOODS_APR" hidden="1">"c7524"</definedName>
    <definedName name="IQ_EXPORTS_GOODS_APR_FC" hidden="1">"c8404"</definedName>
    <definedName name="IQ_EXPORTS_GOODS_FC" hidden="1">"c7744"</definedName>
    <definedName name="IQ_EXPORTS_GOODS_NONFACTOR_SERVICES" hidden="1">"c6865"</definedName>
    <definedName name="IQ_EXPORTS_GOODS_NONFACTOR_SERVICES_APR" hidden="1">"c7525"</definedName>
    <definedName name="IQ_EXPORTS_GOODS_NONFACTOR_SERVICES_APR_FC" hidden="1">"c8405"</definedName>
    <definedName name="IQ_EXPORTS_GOODS_NONFACTOR_SERVICES_FC" hidden="1">"c7745"</definedName>
    <definedName name="IQ_EXPORTS_GOODS_NONFACTOR_SERVICES_POP" hidden="1">"c7085"</definedName>
    <definedName name="IQ_EXPORTS_GOODS_NONFACTOR_SERVICES_POP_FC" hidden="1">"c7965"</definedName>
    <definedName name="IQ_EXPORTS_GOODS_NONFACTOR_SERVICES_YOY" hidden="1">"c7305"</definedName>
    <definedName name="IQ_EXPORTS_GOODS_NONFACTOR_SERVICES_YOY_FC" hidden="1">"c8185"</definedName>
    <definedName name="IQ_EXPORTS_GOODS_POP" hidden="1">"c7084"</definedName>
    <definedName name="IQ_EXPORTS_GOODS_POP_FC" hidden="1">"c7964"</definedName>
    <definedName name="IQ_EXPORTS_GOODS_REAL" hidden="1">"c6973"</definedName>
    <definedName name="IQ_EXPORTS_GOODS_REAL_APR" hidden="1">"c7633"</definedName>
    <definedName name="IQ_EXPORTS_GOODS_REAL_APR_FC" hidden="1">"c8513"</definedName>
    <definedName name="IQ_EXPORTS_GOODS_REAL_FC" hidden="1">"c7853"</definedName>
    <definedName name="IQ_EXPORTS_GOODS_REAL_POP" hidden="1">"c7193"</definedName>
    <definedName name="IQ_EXPORTS_GOODS_REAL_POP_FC" hidden="1">"c8073"</definedName>
    <definedName name="IQ_EXPORTS_GOODS_REAL_SAAR" hidden="1">"c11930"</definedName>
    <definedName name="IQ_EXPORTS_GOODS_REAL_SAAR_APR" hidden="1">"c11933"</definedName>
    <definedName name="IQ_EXPORTS_GOODS_REAL_SAAR_APR_FC_UNUSED" hidden="1">"c8512"</definedName>
    <definedName name="IQ_EXPORTS_GOODS_REAL_SAAR_APR_FC_UNUSED_UNUSED_UNUSED" hidden="1">"c8512"</definedName>
    <definedName name="IQ_EXPORTS_GOODS_REAL_SAAR_APR_UNUSED" hidden="1">"c7632"</definedName>
    <definedName name="IQ_EXPORTS_GOODS_REAL_SAAR_APR_UNUSED_UNUSED_UNUSED" hidden="1">"c7632"</definedName>
    <definedName name="IQ_EXPORTS_GOODS_REAL_SAAR_FC_UNUSED" hidden="1">"c7852"</definedName>
    <definedName name="IQ_EXPORTS_GOODS_REAL_SAAR_FC_UNUSED_UNUSED_UNUSED" hidden="1">"c7852"</definedName>
    <definedName name="IQ_EXPORTS_GOODS_REAL_SAAR_POP" hidden="1">"c11931"</definedName>
    <definedName name="IQ_EXPORTS_GOODS_REAL_SAAR_POP_FC_UNUSED" hidden="1">"c8072"</definedName>
    <definedName name="IQ_EXPORTS_GOODS_REAL_SAAR_POP_FC_UNUSED_UNUSED_UNUSED" hidden="1">"c8072"</definedName>
    <definedName name="IQ_EXPORTS_GOODS_REAL_SAAR_POP_UNUSED" hidden="1">"c7192"</definedName>
    <definedName name="IQ_EXPORTS_GOODS_REAL_SAAR_POP_UNUSED_UNUSED_UNUSED" hidden="1">"c7192"</definedName>
    <definedName name="IQ_EXPORTS_GOODS_REAL_SAAR_UNUSED" hidden="1">"c6972"</definedName>
    <definedName name="IQ_EXPORTS_GOODS_REAL_SAAR_UNUSED_UNUSED_UNUSED" hidden="1">"c6972"</definedName>
    <definedName name="IQ_EXPORTS_GOODS_REAL_SAAR_YOY" hidden="1">"c11932"</definedName>
    <definedName name="IQ_EXPORTS_GOODS_REAL_SAAR_YOY_FC_UNUSED" hidden="1">"c8292"</definedName>
    <definedName name="IQ_EXPORTS_GOODS_REAL_SAAR_YOY_FC_UNUSED_UNUSED_UNUSED" hidden="1">"c8292"</definedName>
    <definedName name="IQ_EXPORTS_GOODS_REAL_SAAR_YOY_UNUSED" hidden="1">"c7412"</definedName>
    <definedName name="IQ_EXPORTS_GOODS_REAL_SAAR_YOY_UNUSED_UNUSED_UNUSED" hidden="1">"c7412"</definedName>
    <definedName name="IQ_EXPORTS_GOODS_REAL_YOY" hidden="1">"c7413"</definedName>
    <definedName name="IQ_EXPORTS_GOODS_REAL_YOY_FC" hidden="1">"c8293"</definedName>
    <definedName name="IQ_EXPORTS_GOODS_SERVICES" hidden="1">"c6866"</definedName>
    <definedName name="IQ_EXPORTS_GOODS_SERVICES_APR" hidden="1">"c7526"</definedName>
    <definedName name="IQ_EXPORTS_GOODS_SERVICES_APR_FC" hidden="1">"c8406"</definedName>
    <definedName name="IQ_EXPORTS_GOODS_SERVICES_FC" hidden="1">"c7746"</definedName>
    <definedName name="IQ_EXPORTS_GOODS_SERVICES_POP" hidden="1">"c7086"</definedName>
    <definedName name="IQ_EXPORTS_GOODS_SERVICES_POP_FC" hidden="1">"c7966"</definedName>
    <definedName name="IQ_EXPORTS_GOODS_SERVICES_REAL" hidden="1">"c6974"</definedName>
    <definedName name="IQ_EXPORTS_GOODS_SERVICES_REAL_APR" hidden="1">"c7634"</definedName>
    <definedName name="IQ_EXPORTS_GOODS_SERVICES_REAL_APR_FC" hidden="1">"c8514"</definedName>
    <definedName name="IQ_EXPORTS_GOODS_SERVICES_REAL_FC" hidden="1">"c7854"</definedName>
    <definedName name="IQ_EXPORTS_GOODS_SERVICES_REAL_POP" hidden="1">"c7194"</definedName>
    <definedName name="IQ_EXPORTS_GOODS_SERVICES_REAL_POP_FC" hidden="1">"c8074"</definedName>
    <definedName name="IQ_EXPORTS_GOODS_SERVICES_REAL_SAAR" hidden="1">"c6975"</definedName>
    <definedName name="IQ_EXPORTS_GOODS_SERVICES_REAL_SAAR_APR" hidden="1">"c7635"</definedName>
    <definedName name="IQ_EXPORTS_GOODS_SERVICES_REAL_SAAR_APR_FC" hidden="1">"c8515"</definedName>
    <definedName name="IQ_EXPORTS_GOODS_SERVICES_REAL_SAAR_FC" hidden="1">"c7855"</definedName>
    <definedName name="IQ_EXPORTS_GOODS_SERVICES_REAL_SAAR_POP" hidden="1">"c7195"</definedName>
    <definedName name="IQ_EXPORTS_GOODS_SERVICES_REAL_SAAR_POP_FC" hidden="1">"c8075"</definedName>
    <definedName name="IQ_EXPORTS_GOODS_SERVICES_REAL_SAAR_YOY" hidden="1">"c7415"</definedName>
    <definedName name="IQ_EXPORTS_GOODS_SERVICES_REAL_SAAR_YOY_FC" hidden="1">"c8295"</definedName>
    <definedName name="IQ_EXPORTS_GOODS_SERVICES_REAL_USD" hidden="1">"c11926"</definedName>
    <definedName name="IQ_EXPORTS_GOODS_SERVICES_REAL_USD_APR" hidden="1">"c11929"</definedName>
    <definedName name="IQ_EXPORTS_GOODS_SERVICES_REAL_USD_POP" hidden="1">"c11927"</definedName>
    <definedName name="IQ_EXPORTS_GOODS_SERVICES_REAL_USD_YOY" hidden="1">"c11928"</definedName>
    <definedName name="IQ_EXPORTS_GOODS_SERVICES_REAL_YOY" hidden="1">"c7414"</definedName>
    <definedName name="IQ_EXPORTS_GOODS_SERVICES_REAL_YOY_FC" hidden="1">"c8294"</definedName>
    <definedName name="IQ_EXPORTS_GOODS_SERVICES_SAAR" hidden="1">"c6867"</definedName>
    <definedName name="IQ_EXPORTS_GOODS_SERVICES_SAAR_APR" hidden="1">"c7527"</definedName>
    <definedName name="IQ_EXPORTS_GOODS_SERVICES_SAAR_APR_FC" hidden="1">"c8407"</definedName>
    <definedName name="IQ_EXPORTS_GOODS_SERVICES_SAAR_FC" hidden="1">"c7747"</definedName>
    <definedName name="IQ_EXPORTS_GOODS_SERVICES_SAAR_POP" hidden="1">"c7087"</definedName>
    <definedName name="IQ_EXPORTS_GOODS_SERVICES_SAAR_POP_FC" hidden="1">"c7967"</definedName>
    <definedName name="IQ_EXPORTS_GOODS_SERVICES_SAAR_YOY" hidden="1">"c7307"</definedName>
    <definedName name="IQ_EXPORTS_GOODS_SERVICES_SAAR_YOY_FC" hidden="1">"c8187"</definedName>
    <definedName name="IQ_EXPORTS_GOODS_SERVICES_USD" hidden="1">"c11822"</definedName>
    <definedName name="IQ_EXPORTS_GOODS_SERVICES_USD_APR" hidden="1">"c11825"</definedName>
    <definedName name="IQ_EXPORTS_GOODS_SERVICES_USD_POP" hidden="1">"c11823"</definedName>
    <definedName name="IQ_EXPORTS_GOODS_SERVICES_USD_YOY" hidden="1">"c11824"</definedName>
    <definedName name="IQ_EXPORTS_GOODS_SERVICES_YOY" hidden="1">"c7306"</definedName>
    <definedName name="IQ_EXPORTS_GOODS_SERVICES_YOY_FC" hidden="1">"c8186"</definedName>
    <definedName name="IQ_EXPORTS_GOODS_USD" hidden="1">"c11818"</definedName>
    <definedName name="IQ_EXPORTS_GOODS_USD_APR" hidden="1">"c11821"</definedName>
    <definedName name="IQ_EXPORTS_GOODS_USD_POP" hidden="1">"c11819"</definedName>
    <definedName name="IQ_EXPORTS_GOODS_USD_YOY" hidden="1">"c11820"</definedName>
    <definedName name="IQ_EXPORTS_GOODS_YOY" hidden="1">"c7304"</definedName>
    <definedName name="IQ_EXPORTS_GOODS_YOY_FC" hidden="1">"c8184"</definedName>
    <definedName name="IQ_EXPORTS_NONFACTOR_SERVICES" hidden="1">"c6868"</definedName>
    <definedName name="IQ_EXPORTS_NONFACTOR_SERVICES_APR" hidden="1">"c7528"</definedName>
    <definedName name="IQ_EXPORTS_NONFACTOR_SERVICES_APR_FC" hidden="1">"c8408"</definedName>
    <definedName name="IQ_EXPORTS_NONFACTOR_SERVICES_FC" hidden="1">"c7748"</definedName>
    <definedName name="IQ_EXPORTS_NONFACTOR_SERVICES_POP" hidden="1">"c7088"</definedName>
    <definedName name="IQ_EXPORTS_NONFACTOR_SERVICES_POP_FC" hidden="1">"c7968"</definedName>
    <definedName name="IQ_EXPORTS_NONFACTOR_SERVICES_YOY" hidden="1">"c7308"</definedName>
    <definedName name="IQ_EXPORTS_NONFACTOR_SERVICES_YOY_FC" hidden="1">"c8188"</definedName>
    <definedName name="IQ_EXPORTS_POP_FC_UNUSED" hidden="1">"c7961"</definedName>
    <definedName name="IQ_EXPORTS_POP_FC_UNUSED_UNUSED_UNUSED" hidden="1">"c7961"</definedName>
    <definedName name="IQ_EXPORTS_POP_UNUSED" hidden="1">"c7081"</definedName>
    <definedName name="IQ_EXPORTS_POP_UNUSED_UNUSED_UNUSED" hidden="1">"c7081"</definedName>
    <definedName name="IQ_EXPORTS_SERVICES_REAL" hidden="1">"c6977"</definedName>
    <definedName name="IQ_EXPORTS_SERVICES_REAL_APR" hidden="1">"c7637"</definedName>
    <definedName name="IQ_EXPORTS_SERVICES_REAL_APR_FC" hidden="1">"c8517"</definedName>
    <definedName name="IQ_EXPORTS_SERVICES_REAL_FC" hidden="1">"c7857"</definedName>
    <definedName name="IQ_EXPORTS_SERVICES_REAL_POP" hidden="1">"c7197"</definedName>
    <definedName name="IQ_EXPORTS_SERVICES_REAL_POP_FC" hidden="1">"c8077"</definedName>
    <definedName name="IQ_EXPORTS_SERVICES_REAL_SAAR" hidden="1">"c11934"</definedName>
    <definedName name="IQ_EXPORTS_SERVICES_REAL_SAAR_APR" hidden="1">"c11937"</definedName>
    <definedName name="IQ_EXPORTS_SERVICES_REAL_SAAR_APR_FC_UNUSED" hidden="1">"c8516"</definedName>
    <definedName name="IQ_EXPORTS_SERVICES_REAL_SAAR_APR_FC_UNUSED_UNUSED_UNUSED" hidden="1">"c8516"</definedName>
    <definedName name="IQ_EXPORTS_SERVICES_REAL_SAAR_APR_UNUSED" hidden="1">"c7636"</definedName>
    <definedName name="IQ_EXPORTS_SERVICES_REAL_SAAR_APR_UNUSED_UNUSED_UNUSED" hidden="1">"c7636"</definedName>
    <definedName name="IQ_EXPORTS_SERVICES_REAL_SAAR_FC_UNUSED" hidden="1">"c7856"</definedName>
    <definedName name="IQ_EXPORTS_SERVICES_REAL_SAAR_FC_UNUSED_UNUSED_UNUSED" hidden="1">"c7856"</definedName>
    <definedName name="IQ_EXPORTS_SERVICES_REAL_SAAR_POP" hidden="1">"c11935"</definedName>
    <definedName name="IQ_EXPORTS_SERVICES_REAL_SAAR_POP_FC_UNUSED" hidden="1">"c8076"</definedName>
    <definedName name="IQ_EXPORTS_SERVICES_REAL_SAAR_POP_FC_UNUSED_UNUSED_UNUSED" hidden="1">"c8076"</definedName>
    <definedName name="IQ_EXPORTS_SERVICES_REAL_SAAR_POP_UNUSED" hidden="1">"c7196"</definedName>
    <definedName name="IQ_EXPORTS_SERVICES_REAL_SAAR_POP_UNUSED_UNUSED_UNUSED" hidden="1">"c7196"</definedName>
    <definedName name="IQ_EXPORTS_SERVICES_REAL_SAAR_UNUSED" hidden="1">"c6976"</definedName>
    <definedName name="IQ_EXPORTS_SERVICES_REAL_SAAR_UNUSED_UNUSED_UNUSED" hidden="1">"c6976"</definedName>
    <definedName name="IQ_EXPORTS_SERVICES_REAL_SAAR_YOY" hidden="1">"c11936"</definedName>
    <definedName name="IQ_EXPORTS_SERVICES_REAL_SAAR_YOY_FC_UNUSED" hidden="1">"c8296"</definedName>
    <definedName name="IQ_EXPORTS_SERVICES_REAL_SAAR_YOY_FC_UNUSED_UNUSED_UNUSED" hidden="1">"c8296"</definedName>
    <definedName name="IQ_EXPORTS_SERVICES_REAL_SAAR_YOY_UNUSED" hidden="1">"c7416"</definedName>
    <definedName name="IQ_EXPORTS_SERVICES_REAL_SAAR_YOY_UNUSED_UNUSED_UNUSED" hidden="1">"c7416"</definedName>
    <definedName name="IQ_EXPORTS_SERVICES_REAL_YOY" hidden="1">"c7417"</definedName>
    <definedName name="IQ_EXPORTS_SERVICES_REAL_YOY_FC" hidden="1">"c8297"</definedName>
    <definedName name="IQ_EXPORTS_UNUSED" hidden="1">"c6861"</definedName>
    <definedName name="IQ_EXPORTS_UNUSED_UNUSED_UNUSED" hidden="1">"c6861"</definedName>
    <definedName name="IQ_EXPORTS_USD" hidden="1">"c11806"</definedName>
    <definedName name="IQ_EXPORTS_USD_APR" hidden="1">"c11809"</definedName>
    <definedName name="IQ_EXPORTS_USD_POP" hidden="1">"c11807"</definedName>
    <definedName name="IQ_EXPORTS_USD_YOY" hidden="1">"c11808"</definedName>
    <definedName name="IQ_EXPORTS_YOY_FC_UNUSED" hidden="1">"c8181"</definedName>
    <definedName name="IQ_EXPORTS_YOY_FC_UNUSED_UNUSED_UNUSED" hidden="1">"c8181"</definedName>
    <definedName name="IQ_EXPORTS_YOY_UNUSED" hidden="1">"c7301"</definedName>
    <definedName name="IQ_EXPORTS_YOY_UNUSED_UNUSED_UNUSED" hidden="1">"c7301"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AVG_ASSETS_FFIEC" hidden="1">"c13369"</definedName>
    <definedName name="IQ_EXTRA_ITEMS" hidden="1">"c1459"</definedName>
    <definedName name="IQ_EXTRA_ITEMS_OTHER_ADJUSTMENTS_FOREIGN_FFIEC" hidden="1">"c15392"</definedName>
    <definedName name="IQ_EXTRAORDINARY_GAINS_FDIC" hidden="1">"c6586"</definedName>
    <definedName name="IQ_EXTRAORDINARY_ITEMS_FFIEC" hidden="1">"c13033"</definedName>
    <definedName name="IQ_FAD" hidden="1">"c8757"</definedName>
    <definedName name="IQ_FAD_PAYOUT_RATIO" hidden="1">"c8872"</definedName>
    <definedName name="IQ_FAIR_VALUE_CHANGE_INCL_EARNINGS" hidden="1">"c13849"</definedName>
    <definedName name="IQ_FAIR_VALUE_DEBT" hidden="1">"c16007"</definedName>
    <definedName name="IQ_FAIR_VALUE_FDIC" hidden="1">"c6427"</definedName>
    <definedName name="IQ_FAIR_VALUE_FIN_INSTRUMENTS_NAV" hidden="1">"c16002"</definedName>
    <definedName name="IQ_FAIR_VALUE_FIN_INSTRUMENTS_NNAV" hidden="1">"c16006"</definedName>
    <definedName name="IQ_FAIR_VALUE_TRADING_PROP" hidden="1">"c16001"</definedName>
    <definedName name="IQ_FARM_LOANS_NET_FDIC" hidden="1">"c6316"</definedName>
    <definedName name="IQ_FARM_LOANS_TOT_LOANS_FFIEC" hidden="1">"c13870"</definedName>
    <definedName name="IQ_FARM_LOANS_TOTAL_LOANS_FOREIGN_FDIC" hidden="1">"c6450"</definedName>
    <definedName name="IQ_FARMLAND_DOM_FFIEC" hidden="1">"c15268"</definedName>
    <definedName name="IQ_FARMLAND_LOANS_FDIC" hidden="1">"c6314"</definedName>
    <definedName name="IQ_FDIC" hidden="1">"c417"</definedName>
    <definedName name="IQ_FDIC_DEPOSIT_INSURANCE_FFIEC" hidden="1">"c13053"</definedName>
    <definedName name="IQ_FED_BUDGET_RECEIPTS" hidden="1">"c6869"</definedName>
    <definedName name="IQ_FED_BUDGET_RECEIPTS_APR" hidden="1">"c7529"</definedName>
    <definedName name="IQ_FED_BUDGET_RECEIPTS_APR_FC" hidden="1">"c8409"</definedName>
    <definedName name="IQ_FED_BUDGET_RECEIPTS_FC" hidden="1">"c7749"</definedName>
    <definedName name="IQ_FED_BUDGET_RECEIPTS_POP" hidden="1">"c7089"</definedName>
    <definedName name="IQ_FED_BUDGET_RECEIPTS_POP_FC" hidden="1">"c7969"</definedName>
    <definedName name="IQ_FED_BUDGET_RECEIPTS_YOY" hidden="1">"c7309"</definedName>
    <definedName name="IQ_FED_BUDGET_RECEIPTS_YOY_FC" hidden="1">"c8189"</definedName>
    <definedName name="IQ_FED_FUND_PURCHASED_SEC_SOLD_REPURCHASE_FFIEC" hidden="1">"c15489"</definedName>
    <definedName name="IQ_FED_FUND_SOLD_SEC_PURCHASED_RESELL_FFIEC" hidden="1">"c15488"</definedName>
    <definedName name="IQ_FED_FUNDS_PURCH_SEC_SOLD_FAIR_VALUE_TOT_FFIEC" hidden="1">"c15406"</definedName>
    <definedName name="IQ_FED_FUNDS_PURCH_SEC_SOLD_LEVEL_1_FFIEC" hidden="1">"c15428"</definedName>
    <definedName name="IQ_FED_FUNDS_PURCH_SEC_SOLD_LEVEL_2_FFIEC" hidden="1">"c15441"</definedName>
    <definedName name="IQ_FED_FUNDS_PURCH_SEC_SOLD_LEVEL_3_FFIEC" hidden="1">"c15454"</definedName>
    <definedName name="IQ_FED_FUNDS_PURCHASED_DOM_FFIEC" hidden="1">"c12856"</definedName>
    <definedName name="IQ_FED_FUNDS_PURCHASED_FDIC" hidden="1">"c6343"</definedName>
    <definedName name="IQ_FED_FUNDS_PURCHASED_QUARTERLY_AVG_FFIEC" hidden="1">"c13090"</definedName>
    <definedName name="IQ_FED_FUNDS_SOLD_DOM_FFIEC" hidden="1">"c12806"</definedName>
    <definedName name="IQ_FED_FUNDS_SOLD_FDIC" hidden="1">"c6307"</definedName>
    <definedName name="IQ_FED_FUNDS_SOLD_QUARTERLY_AVG_FFIEC" hidden="1">"c13080"</definedName>
    <definedName name="IQ_FED_FUNDS_SOLD_SEC_PURCH_FAIR_VALUE_TOT_FFIEC" hidden="1">"c15402"</definedName>
    <definedName name="IQ_FED_FUNDS_SOLD_SEC_PURCH_LEVEL_1_FFIEC" hidden="1">"c15424"</definedName>
    <definedName name="IQ_FED_FUNDS_SOLD_SEC_PURCH_LEVEL_2_FFIEC" hidden="1">"c15437"</definedName>
    <definedName name="IQ_FED_FUNDS_SOLD_SEC_PURCH_LEVEL_3_FFIEC" hidden="1">"c15450"</definedName>
    <definedName name="IQ_FEDFUNDS_SOLD" hidden="1">"c2256"</definedName>
    <definedName name="IQ_FEES_COMMISSIONS_BROKERAGE_FFIEC" hidden="1">"c13005"</definedName>
    <definedName name="IQ_FEES_OTHER_INCOME" hidden="1">"c15257"</definedName>
    <definedName name="IQ_FFO" hidden="1">"c1574"</definedName>
    <definedName name="IQ_FFO_ACT_OR_EST" hidden="1">"c4446"</definedName>
    <definedName name="IQ_FFO_ADJ_ACT_OR_EST" hidden="1">"c4435"</definedName>
    <definedName name="IQ_FFO_ADJ_ACT_OR_EST_CIQ" hidden="1">"c4960"</definedName>
    <definedName name="IQ_FFO_ADJ_EST" hidden="1">"c4434"</definedName>
    <definedName name="IQ_FFO_ADJ_EST_CIQ" hidden="1">"c4959"</definedName>
    <definedName name="IQ_FFO_ADJ_GUIDANCE" hidden="1">"c4436"</definedName>
    <definedName name="IQ_FFO_ADJ_GUIDANCE_CIQ" hidden="1">"c4961"</definedName>
    <definedName name="IQ_FFO_ADJ_HIGH_EST" hidden="1">"c4437"</definedName>
    <definedName name="IQ_FFO_ADJ_HIGH_EST_CIQ" hidden="1">"c4962"</definedName>
    <definedName name="IQ_FFO_ADJ_HIGH_GUIDANCE" hidden="1">"c4202"</definedName>
    <definedName name="IQ_FFO_ADJ_HIGH_GUIDANCE_CIQ" hidden="1">"c4614"</definedName>
    <definedName name="IQ_FFO_ADJ_LOW_EST" hidden="1">"c4438"</definedName>
    <definedName name="IQ_FFO_ADJ_LOW_EST_CIQ" hidden="1">"c4963"</definedName>
    <definedName name="IQ_FFO_ADJ_LOW_GUIDANCE" hidden="1">"c4242"</definedName>
    <definedName name="IQ_FFO_ADJ_LOW_GUIDANCE_CIQ" hidden="1">"c4654"</definedName>
    <definedName name="IQ_FFO_ADJ_MEDIAN_EST" hidden="1">"c4439"</definedName>
    <definedName name="IQ_FFO_ADJ_MEDIAN_EST_CIQ" hidden="1">"c4964"</definedName>
    <definedName name="IQ_FFO_ADJ_NUM_EST" hidden="1">"c4440"</definedName>
    <definedName name="IQ_FFO_ADJ_NUM_EST_CIQ" hidden="1">"c4965"</definedName>
    <definedName name="IQ_FFO_ADJ_STDDEV_EST" hidden="1">"c4441"</definedName>
    <definedName name="IQ_FFO_ADJ_STDDEV_EST_CIQ" hidden="1">"c4966"</definedName>
    <definedName name="IQ_FFO_DILUTED" hidden="1">"c16186"</definedName>
    <definedName name="IQ_FFO_EST" hidden="1">"c4445"</definedName>
    <definedName name="IQ_FFO_EST_CIQ" hidden="1">"c4970"</definedName>
    <definedName name="IQ_FFO_EST_DET_EST" hidden="1">"c12059"</definedName>
    <definedName name="IQ_FFO_EST_DET_EST_CIQ" hidden="1">"c12121"</definedName>
    <definedName name="IQ_FFO_EST_DET_EST_CURRENCY" hidden="1">"c12466"</definedName>
    <definedName name="IQ_FFO_EST_DET_EST_CURRENCY_CIQ" hidden="1">"c12512"</definedName>
    <definedName name="IQ_FFO_EST_DET_EST_CURRENCY_THOM" hidden="1">"c12487"</definedName>
    <definedName name="IQ_FFO_EST_DET_EST_DATE" hidden="1">"c12212"</definedName>
    <definedName name="IQ_FFO_EST_DET_EST_DATE_CIQ" hidden="1">"c12267"</definedName>
    <definedName name="IQ_FFO_EST_DET_EST_DATE_THOM" hidden="1">"c12238"</definedName>
    <definedName name="IQ_FFO_EST_DET_EST_INCL" hidden="1">"c12349"</definedName>
    <definedName name="IQ_FFO_EST_DET_EST_INCL_CIQ" hidden="1">"c12395"</definedName>
    <definedName name="IQ_FFO_EST_DET_EST_INCL_THOM" hidden="1">"c12370"</definedName>
    <definedName name="IQ_FFO_EST_DET_EST_ORIGIN" hidden="1">"c12722"</definedName>
    <definedName name="IQ_FFO_EST_DET_EST_ORIGIN_CIQ" hidden="1">"c12720"</definedName>
    <definedName name="IQ_FFO_EST_DET_EST_ORIGIN_THOM" hidden="1">"c12608"</definedName>
    <definedName name="IQ_FFO_EST_DET_EST_THOM" hidden="1">"c12088"</definedName>
    <definedName name="IQ_FFO_EST_REUT" hidden="1">"c3837"</definedName>
    <definedName name="IQ_FFO_EST_THOM" hidden="1">"c3999"</definedName>
    <definedName name="IQ_FFO_GUIDANCE" hidden="1">"c4443"</definedName>
    <definedName name="IQ_FFO_GUIDANCE_CIQ" hidden="1">"c4968"</definedName>
    <definedName name="IQ_FFO_HIGH_EST" hidden="1">"c4448"</definedName>
    <definedName name="IQ_FFO_HIGH_EST_CIQ" hidden="1">"c4977"</definedName>
    <definedName name="IQ_FFO_HIGH_EST_REUT" hidden="1">"c3839"</definedName>
    <definedName name="IQ_FFO_HIGH_EST_THOM" hidden="1">"c4001"</definedName>
    <definedName name="IQ_FFO_HIGH_GUIDANCE" hidden="1">"c4184"</definedName>
    <definedName name="IQ_FFO_HIGH_GUIDANCE_CIQ" hidden="1">"c4596"</definedName>
    <definedName name="IQ_FFO_LOW_EST" hidden="1">"c4449"</definedName>
    <definedName name="IQ_FFO_LOW_EST_CIQ" hidden="1">"c4978"</definedName>
    <definedName name="IQ_FFO_LOW_EST_REUT" hidden="1">"c3840"</definedName>
    <definedName name="IQ_FFO_LOW_EST_THOM" hidden="1">"c4002"</definedName>
    <definedName name="IQ_FFO_LOW_GUIDANCE" hidden="1">"c4224"</definedName>
    <definedName name="IQ_FFO_LOW_GUIDANCE_CIQ" hidden="1">"c4636"</definedName>
    <definedName name="IQ_FFO_MEDIAN_EST" hidden="1">"c4450"</definedName>
    <definedName name="IQ_FFO_MEDIAN_EST_CIQ" hidden="1">"c4979"</definedName>
    <definedName name="IQ_FFO_MEDIAN_EST_REUT" hidden="1">"c3838"</definedName>
    <definedName name="IQ_FFO_MEDIAN_EST_THOM" hidden="1">"c4000"</definedName>
    <definedName name="IQ_FFO_NUM_EST" hidden="1">"c4451"</definedName>
    <definedName name="IQ_FFO_NUM_EST_CIQ" hidden="1">"c4980"</definedName>
    <definedName name="IQ_FFO_NUM_EST_REUT" hidden="1">"c3841"</definedName>
    <definedName name="IQ_FFO_NUM_EST_THOM" hidden="1">"c4003"</definedName>
    <definedName name="IQ_FFO_PAYOUT_RATIO" hidden="1">"c3492"</definedName>
    <definedName name="IQ_FFO_PER_SHARE_BASIC" hidden="1">"c8867"</definedName>
    <definedName name="IQ_FFO_PER_SHARE_DILUTED" hidden="1">"c8868"</definedName>
    <definedName name="IQ_FFO_SHARE_ACT_OR_EST" hidden="1">"c2216"</definedName>
    <definedName name="IQ_FFO_SHARE_ACT_OR_EST_CIQ" hidden="1">"c4971"</definedName>
    <definedName name="IQ_FFO_SHARE_EST" hidden="1">"c418"</definedName>
    <definedName name="IQ_FFO_SHARE_EST_CIQ" hidden="1">"c3668"</definedName>
    <definedName name="IQ_FFO_SHARE_EST_DET_EST" hidden="1">"c12059"</definedName>
    <definedName name="IQ_FFO_SHARE_EST_DET_EST_CIQ" hidden="1">"c12121"</definedName>
    <definedName name="IQ_FFO_SHARE_EST_DET_EST_CURRENCY" hidden="1">"c12466"</definedName>
    <definedName name="IQ_FFO_SHARE_EST_DET_EST_CURRENCY_CIQ" hidden="1">"c12512"</definedName>
    <definedName name="IQ_FFO_SHARE_EST_DET_EST_DATE" hidden="1">"c12212"</definedName>
    <definedName name="IQ_FFO_SHARE_EST_DET_EST_DATE_CIQ" hidden="1">"c12267"</definedName>
    <definedName name="IQ_FFO_SHARE_EST_DET_EST_INCL" hidden="1">"c12349"</definedName>
    <definedName name="IQ_FFO_SHARE_EST_DET_EST_INCL_CIQ" hidden="1">"c12395"</definedName>
    <definedName name="IQ_FFO_SHARE_EST_DET_EST_ORIGIN" hidden="1">"c12722"</definedName>
    <definedName name="IQ_FFO_SHARE_EST_DET_EST_ORIGIN_CIQ" hidden="1">"c12720"</definedName>
    <definedName name="IQ_FFO_SHARE_GUIDANCE" hidden="1">"c4447"</definedName>
    <definedName name="IQ_FFO_SHARE_GUIDANCE_CIQ" hidden="1">"c4976"</definedName>
    <definedName name="IQ_FFO_SHARE_HIGH_EST" hidden="1">"c419"</definedName>
    <definedName name="IQ_FFO_SHARE_HIGH_EST_CIQ" hidden="1">"c3670"</definedName>
    <definedName name="IQ_FFO_SHARE_HIGH_GUIDANCE" hidden="1">"c4203"</definedName>
    <definedName name="IQ_FFO_SHARE_HIGH_GUIDANCE_CIQ" hidden="1">"c4615"</definedName>
    <definedName name="IQ_FFO_SHARE_LOW_EST" hidden="1">"c420"</definedName>
    <definedName name="IQ_FFO_SHARE_LOW_EST_CIQ" hidden="1">"c3671"</definedName>
    <definedName name="IQ_FFO_SHARE_LOW_GUIDANCE" hidden="1">"c4243"</definedName>
    <definedName name="IQ_FFO_SHARE_LOW_GUIDANCE_CIQ" hidden="1">"c4655"</definedName>
    <definedName name="IQ_FFO_SHARE_MEDIAN_EST" hidden="1">"c1665"</definedName>
    <definedName name="IQ_FFO_SHARE_MEDIAN_EST_CIQ" hidden="1">"c3669"</definedName>
    <definedName name="IQ_FFO_SHARE_NUM_EST" hidden="1">"c421"</definedName>
    <definedName name="IQ_FFO_SHARE_NUM_EST_CIQ" hidden="1">"c3672"</definedName>
    <definedName name="IQ_FFO_SHARE_SHARE_EST_DET_EST" hidden="1">"c12059"</definedName>
    <definedName name="IQ_FFO_SHARE_SHARE_EST_DET_EST_CIQ" hidden="1">"c12121"</definedName>
    <definedName name="IQ_FFO_SHARE_SHARE_EST_DET_EST_CURRENCY" hidden="1">"c12466"</definedName>
    <definedName name="IQ_FFO_SHARE_SHARE_EST_DET_EST_CURRENCY_CIQ" hidden="1">"c12512"</definedName>
    <definedName name="IQ_FFO_SHARE_SHARE_EST_DET_EST_DATE" hidden="1">"c12212"</definedName>
    <definedName name="IQ_FFO_SHARE_SHARE_EST_DET_EST_DATE_CIQ" hidden="1">"c12267"</definedName>
    <definedName name="IQ_FFO_SHARE_SHARE_EST_DET_EST_INCL" hidden="1">"c12349"</definedName>
    <definedName name="IQ_FFO_SHARE_SHARE_EST_DET_EST_INCL_CIQ" hidden="1">"c12395"</definedName>
    <definedName name="IQ_FFO_SHARE_SHARE_EST_DET_EST_ORIGIN" hidden="1">"c12722"</definedName>
    <definedName name="IQ_FFO_SHARE_SHARE_EST_DET_EST_ORIGIN_CIQ" hidden="1">"c12720"</definedName>
    <definedName name="IQ_FFO_SHARE_STDDEV_EST" hidden="1">"c422"</definedName>
    <definedName name="IQ_FFO_SHARE_STDDEV_EST_CIQ" hidden="1">"c3673"</definedName>
    <definedName name="IQ_FFO_SHARES_BASIC" hidden="1">"c16185"</definedName>
    <definedName name="IQ_FFO_SHARES_DILUTED" hidden="1">"c16187"</definedName>
    <definedName name="IQ_FFO_STDDEV_EST" hidden="1">"c4452"</definedName>
    <definedName name="IQ_FFO_STDDEV_EST_CIQ" hidden="1">"c4981"</definedName>
    <definedName name="IQ_FFO_STDDEV_EST_REUT" hidden="1">"c3842"</definedName>
    <definedName name="IQ_FFO_STDDEV_EST_THOM" hidden="1">"c4004"</definedName>
    <definedName name="IQ_FFO_TOTAL_REVENUE" hidden="1">"c16060"</definedName>
    <definedName name="IQ_FH" hidden="1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DUCIARY_INCOME_OPERATING_INC_FFIEC" hidden="1">"c13383"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_CURRENCY_AP" hidden="1">"c11747"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AL_LOC_FOREIGN_GUARANTEES_FFIEC" hidden="1">"c13249"</definedName>
    <definedName name="IQ_FINANCIAL_SERVICING_ASSETS_FAIR_VALUE_TOT_FFIEC" hidden="1">"c13212"</definedName>
    <definedName name="IQ_FINANCIAL_SERVICING_ASSETS_LEVEL_1_FFIEC" hidden="1">"c13220"</definedName>
    <definedName name="IQ_FINANCIAL_SERVICING_ASSETS_LEVEL_2_FFIEC" hidden="1">"c13228"</definedName>
    <definedName name="IQ_FINANCIAL_SERVICING_ASSETS_LEVEL_3_FFIEC" hidden="1">"c13236"</definedName>
    <definedName name="IQ_FINANCIAL_SERVICING_LIAB_FAIR_VALUE_TOT_FFIEC" hidden="1">"c13215"</definedName>
    <definedName name="IQ_FINANCIAL_SERVICING_LIAB_LEVEL_1_FFIEC" hidden="1">"c13223"</definedName>
    <definedName name="IQ_FINANCIAL_SERVICING_LIAB_LEVEL_2_FFIEC" hidden="1">"c13231"</definedName>
    <definedName name="IQ_FINANCIAL_SERVICING_LIAB_LEVEL_3_FFIEC" hidden="1">"c13239"</definedName>
    <definedName name="IQ_FINANCING_CASH" hidden="1">"c1405"</definedName>
    <definedName name="IQ_FINANCING_CASH_SUPPL" hidden="1">"c1406"</definedName>
    <definedName name="IQ_FINANCING_OBLIG_CURRENT" hidden="1">"c11753"</definedName>
    <definedName name="IQ_FINANCING_OBLIG_NON_CURRENT" hidden="1">"c11754"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CIQ" hidden="1">"c6806"</definedName>
    <definedName name="IQ_FISCAL_Q_EST_REUT" hidden="1">"c6798"</definedName>
    <definedName name="IQ_FISCAL_Q_EST_THOM" hidden="1">"c6802"</definedName>
    <definedName name="IQ_FISCAL_Y" hidden="1">"c441"</definedName>
    <definedName name="IQ_FISCAL_Y_EST" hidden="1">"c6795"</definedName>
    <definedName name="IQ_FISCAL_Y_EST_CIQ" hidden="1">"c6807"</definedName>
    <definedName name="IQ_FISCAL_Y_EST_REUT" hidden="1">"c6799"</definedName>
    <definedName name="IQ_FISCAL_Y_EST_THOM" hidden="1">"c6803"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_FREQUENCY" hidden="1">"c8964"</definedName>
    <definedName name="IQ_FIXED_ASSET_TURNS" hidden="1">"c445"</definedName>
    <definedName name="IQ_FIXED_INCOME_LIST" hidden="1">"c13504"</definedName>
    <definedName name="IQ_FIXED_INVEST_APR_FC_UNUSED" hidden="1">"c8410"</definedName>
    <definedName name="IQ_FIXED_INVEST_APR_FC_UNUSED_UNUSED_UNUSED" hidden="1">"c8410"</definedName>
    <definedName name="IQ_FIXED_INVEST_APR_UNUSED" hidden="1">"c7530"</definedName>
    <definedName name="IQ_FIXED_INVEST_APR_UNUSED_UNUSED_UNUSED" hidden="1">"c7530"</definedName>
    <definedName name="IQ_FIXED_INVEST_FC_UNUSED" hidden="1">"c7750"</definedName>
    <definedName name="IQ_FIXED_INVEST_FC_UNUSED_UNUSED_UNUSED" hidden="1">"c7750"</definedName>
    <definedName name="IQ_FIXED_INVEST_MACH_EQUIP" hidden="1">"c6871"</definedName>
    <definedName name="IQ_FIXED_INVEST_MACH_EQUIP_APR" hidden="1">"c7531"</definedName>
    <definedName name="IQ_FIXED_INVEST_MACH_EQUIP_APR_FC" hidden="1">"c8411"</definedName>
    <definedName name="IQ_FIXED_INVEST_MACH_EQUIP_FC" hidden="1">"c7751"</definedName>
    <definedName name="IQ_FIXED_INVEST_MACH_EQUIP_POP" hidden="1">"c7091"</definedName>
    <definedName name="IQ_FIXED_INVEST_MACH_EQUIP_POP_FC" hidden="1">"c7971"</definedName>
    <definedName name="IQ_FIXED_INVEST_MACH_EQUIP_REAL" hidden="1">"c6979"</definedName>
    <definedName name="IQ_FIXED_INVEST_MACH_EQUIP_REAL_APR" hidden="1">"c7639"</definedName>
    <definedName name="IQ_FIXED_INVEST_MACH_EQUIP_REAL_APR_FC" hidden="1">"c8519"</definedName>
    <definedName name="IQ_FIXED_INVEST_MACH_EQUIP_REAL_FC" hidden="1">"c7859"</definedName>
    <definedName name="IQ_FIXED_INVEST_MACH_EQUIP_REAL_POP" hidden="1">"c7199"</definedName>
    <definedName name="IQ_FIXED_INVEST_MACH_EQUIP_REAL_POP_FC" hidden="1">"c8079"</definedName>
    <definedName name="IQ_FIXED_INVEST_MACH_EQUIP_REAL_YOY" hidden="1">"c7419"</definedName>
    <definedName name="IQ_FIXED_INVEST_MACH_EQUIP_REAL_YOY_FC" hidden="1">"c8299"</definedName>
    <definedName name="IQ_FIXED_INVEST_MACH_EQUIP_YOY" hidden="1">"c7311"</definedName>
    <definedName name="IQ_FIXED_INVEST_MACH_EQUIP_YOY_FC" hidden="1">"c8191"</definedName>
    <definedName name="IQ_FIXED_INVEST_POP_FC_UNUSED" hidden="1">"c7970"</definedName>
    <definedName name="IQ_FIXED_INVEST_POP_FC_UNUSED_UNUSED_UNUSED" hidden="1">"c7970"</definedName>
    <definedName name="IQ_FIXED_INVEST_POP_UNUSED" hidden="1">"c7090"</definedName>
    <definedName name="IQ_FIXED_INVEST_POP_UNUSED_UNUSED_UNUSED" hidden="1">"c7090"</definedName>
    <definedName name="IQ_FIXED_INVEST_REAL_APR_FC_UNUSED" hidden="1">"c8518"</definedName>
    <definedName name="IQ_FIXED_INVEST_REAL_APR_FC_UNUSED_UNUSED_UNUSED" hidden="1">"c8518"</definedName>
    <definedName name="IQ_FIXED_INVEST_REAL_APR_UNUSED" hidden="1">"c7638"</definedName>
    <definedName name="IQ_FIXED_INVEST_REAL_APR_UNUSED_UNUSED_UNUSED" hidden="1">"c7638"</definedName>
    <definedName name="IQ_FIXED_INVEST_REAL_FC_UNUSED" hidden="1">"c7858"</definedName>
    <definedName name="IQ_FIXED_INVEST_REAL_FC_UNUSED_UNUSED_UNUSED" hidden="1">"c7858"</definedName>
    <definedName name="IQ_FIXED_INVEST_REAL_POP_FC_UNUSED" hidden="1">"c8078"</definedName>
    <definedName name="IQ_FIXED_INVEST_REAL_POP_FC_UNUSED_UNUSED_UNUSED" hidden="1">"c8078"</definedName>
    <definedName name="IQ_FIXED_INVEST_REAL_POP_UNUSED" hidden="1">"c7198"</definedName>
    <definedName name="IQ_FIXED_INVEST_REAL_POP_UNUSED_UNUSED_UNUSED" hidden="1">"c7198"</definedName>
    <definedName name="IQ_FIXED_INVEST_REAL_SAAR" hidden="1">"c6980"</definedName>
    <definedName name="IQ_FIXED_INVEST_REAL_SAAR_APR" hidden="1">"c7640"</definedName>
    <definedName name="IQ_FIXED_INVEST_REAL_SAAR_APR_FC" hidden="1">"c8520"</definedName>
    <definedName name="IQ_FIXED_INVEST_REAL_SAAR_FC" hidden="1">"c7860"</definedName>
    <definedName name="IQ_FIXED_INVEST_REAL_SAAR_POP" hidden="1">"c7200"</definedName>
    <definedName name="IQ_FIXED_INVEST_REAL_SAAR_POP_FC" hidden="1">"c8080"</definedName>
    <definedName name="IQ_FIXED_INVEST_REAL_SAAR_USD_APR_FC" hidden="1">"c11945"</definedName>
    <definedName name="IQ_FIXED_INVEST_REAL_SAAR_USD_FC" hidden="1">"c11942"</definedName>
    <definedName name="IQ_FIXED_INVEST_REAL_SAAR_USD_POP_FC" hidden="1">"c11943"</definedName>
    <definedName name="IQ_FIXED_INVEST_REAL_SAAR_USD_YOY_FC" hidden="1">"c11944"</definedName>
    <definedName name="IQ_FIXED_INVEST_REAL_SAAR_YOY" hidden="1">"c7420"</definedName>
    <definedName name="IQ_FIXED_INVEST_REAL_SAAR_YOY_FC" hidden="1">"c8300"</definedName>
    <definedName name="IQ_FIXED_INVEST_REAL_UNUSED" hidden="1">"c6978"</definedName>
    <definedName name="IQ_FIXED_INVEST_REAL_UNUSED_UNUSED_UNUSED" hidden="1">"c6978"</definedName>
    <definedName name="IQ_FIXED_INVEST_REAL_USD_APR_FC" hidden="1">"c11941"</definedName>
    <definedName name="IQ_FIXED_INVEST_REAL_USD_FC" hidden="1">"c11938"</definedName>
    <definedName name="IQ_FIXED_INVEST_REAL_USD_POP_FC" hidden="1">"c11939"</definedName>
    <definedName name="IQ_FIXED_INVEST_REAL_USD_YOY_FC" hidden="1">"c11940"</definedName>
    <definedName name="IQ_FIXED_INVEST_REAL_YOY_FC_UNUSED" hidden="1">"c8298"</definedName>
    <definedName name="IQ_FIXED_INVEST_REAL_YOY_FC_UNUSED_UNUSED_UNUSED" hidden="1">"c8298"</definedName>
    <definedName name="IQ_FIXED_INVEST_REAL_YOY_UNUSED" hidden="1">"c7418"</definedName>
    <definedName name="IQ_FIXED_INVEST_REAL_YOY_UNUSED_UNUSED_UNUSED" hidden="1">"c7418"</definedName>
    <definedName name="IQ_FIXED_INVEST_SAAR" hidden="1">"c6872"</definedName>
    <definedName name="IQ_FIXED_INVEST_SAAR_APR" hidden="1">"c7532"</definedName>
    <definedName name="IQ_FIXED_INVEST_SAAR_APR_FC" hidden="1">"c8412"</definedName>
    <definedName name="IQ_FIXED_INVEST_SAAR_FC" hidden="1">"c7752"</definedName>
    <definedName name="IQ_FIXED_INVEST_SAAR_POP" hidden="1">"c7092"</definedName>
    <definedName name="IQ_FIXED_INVEST_SAAR_POP_FC" hidden="1">"c7972"</definedName>
    <definedName name="IQ_FIXED_INVEST_SAAR_USD_APR_FC" hidden="1">"c11833"</definedName>
    <definedName name="IQ_FIXED_INVEST_SAAR_USD_FC" hidden="1">"c11830"</definedName>
    <definedName name="IQ_FIXED_INVEST_SAAR_USD_POP_FC" hidden="1">"c11831"</definedName>
    <definedName name="IQ_FIXED_INVEST_SAAR_USD_YOY_FC" hidden="1">"c11832"</definedName>
    <definedName name="IQ_FIXED_INVEST_SAAR_YOY" hidden="1">"c7312"</definedName>
    <definedName name="IQ_FIXED_INVEST_SAAR_YOY_FC" hidden="1">"c8192"</definedName>
    <definedName name="IQ_FIXED_INVEST_UNUSED" hidden="1">"c6870"</definedName>
    <definedName name="IQ_FIXED_INVEST_UNUSED_UNUSED_UNUSED" hidden="1">"c6870"</definedName>
    <definedName name="IQ_FIXED_INVEST_USD_APR_FC" hidden="1">"c11829"</definedName>
    <definedName name="IQ_FIXED_INVEST_USD_FC" hidden="1">"c11826"</definedName>
    <definedName name="IQ_FIXED_INVEST_USD_POP_FC" hidden="1">"c11827"</definedName>
    <definedName name="IQ_FIXED_INVEST_USD_YOY_FC" hidden="1">"c11828"</definedName>
    <definedName name="IQ_FIXED_INVEST_YOY_FC_UNUSED" hidden="1">"c8190"</definedName>
    <definedName name="IQ_FIXED_INVEST_YOY_FC_UNUSED_UNUSED_UNUSED" hidden="1">"c8190"</definedName>
    <definedName name="IQ_FIXED_INVEST_YOY_UNUSED" hidden="1">"c7310"</definedName>
    <definedName name="IQ_FIXED_INVEST_YOY_UNUSED_UNUSED_UNUSED" hidden="1">"c7310"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_GNMA_LOANS_FFIEC" hidden="1">"c15272"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DUE_30_89_FFIEC" hidden="1">"c13269"</definedName>
    <definedName name="IQ_FOREIGN_BANKS_DUE_90_FFIEC" hidden="1">"c13295"</definedName>
    <definedName name="IQ_FOREIGN_BANKS_LOAN_CHARG_OFFS_FDIC" hidden="1">"c6645"</definedName>
    <definedName name="IQ_FOREIGN_BANKS_NET_CHARGE_OFFS_FDIC" hidden="1">"c6647"</definedName>
    <definedName name="IQ_FOREIGN_BANKS_NON_ACCRUAL_FFIEC" hidden="1">"c13321"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ASSETS_TOT_FFIEC" hidden="1">"c13445"</definedName>
    <definedName name="IQ_FOREIGN_DEPOSITS_NONTRANSACTION_ACCOUNTS_FDIC" hidden="1">"c6549"</definedName>
    <definedName name="IQ_FOREIGN_DEPOSITS_TOT_FFIEC" hidden="1">"c13486"</definedName>
    <definedName name="IQ_FOREIGN_DEPOSITS_TOTAL_DEPOSITS" hidden="1">"c15719"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GOVT_OFFICIAL_INST_FOREIGN_DEP_FFIEC" hidden="1">"c15345"</definedName>
    <definedName name="IQ_FOREIGN_GOVT_OFFICIAL_INST_NON_TRANS_ACCTS_FFIEC" hidden="1">"c15327"</definedName>
    <definedName name="IQ_FOREIGN_GOVT_OFFICIAL_INST_TRANS_ACCTS_FFIEC" hidden="1">"c15319"</definedName>
    <definedName name="IQ_FOREIGN_LL_REC_FFIEC" hidden="1">"c12892"</definedName>
    <definedName name="IQ_FOREIGN_LOANS" hidden="1">"c448"</definedName>
    <definedName name="IQ_FOREIGN_LOANS_LEASES_FOREIGN_FFIEC" hidden="1">"c13478"</definedName>
    <definedName name="IQ_FOREIGN_LOANS_TOTAL_LOANS" hidden="1">"c15714"</definedName>
    <definedName name="IQ_FOUNDATION_OVER_TOTAL" hidden="1">"c13769"</definedName>
    <definedName name="IQ_FQ" hidden="1">500</definedName>
    <definedName name="IQ_FUEL" hidden="1">"c449"</definedName>
    <definedName name="IQ_FULL_TIME" hidden="1">"c450"</definedName>
    <definedName name="IQ_FULLY_INSURED_BROKERED_DEPOSITS_FFIEC" hidden="1">"c15305"</definedName>
    <definedName name="IQ_FULLY_INSURED_DEPOSITS_FDIC" hidden="1">"c6487"</definedName>
    <definedName name="IQ_FUND_FEE_INC_NON_INT_INC_FFIEC" hidden="1">"c13493"</definedName>
    <definedName name="IQ_FUND_NAV" hidden="1">"c15225"</definedName>
    <definedName name="IQ_FUNDING_DEPENDENCE_FFIEC" hidden="1">"c13336"</definedName>
    <definedName name="IQ_FUNDING_DEPENDENCE_ST_FFIEC" hidden="1">"c13337"</definedName>
    <definedName name="IQ_FUNDS_PURCHASED_ASSETS_TOT_FFIEC" hidden="1">"c13446"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FFIEC" hidden="1">"c13125"</definedName>
    <definedName name="IQ_FX_CONTRACTS_SPOT_FDIC" hidden="1">"c6356"</definedName>
    <definedName name="IQ_FX_EXPOSURE_FFIEC" hidden="1">"c13059"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EST_CIQ" hidden="1">"c13924"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CREDIT_DERIVATIVES_FFIEC" hidden="1">"c13066"</definedName>
    <definedName name="IQ_GAIN_CREDIT_DERIVATIVES_NON_TRADING_FFIEC" hidden="1">"c13067"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LOSS_HTM_AFS_SECURITIES_FOREIGN_FFIEC" hidden="1">"c15384"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AFS_AVG_ASSETS_FFIEC" hidden="1">"c13364"</definedName>
    <definedName name="IQ_GAINS_ASSETS_TOT_FFIEC" hidden="1">"c13073"</definedName>
    <definedName name="IQ_GAINS_AVAIL_SALE_EQUITY_SEC_T2_FFIEC" hidden="1">"c13147"</definedName>
    <definedName name="IQ_GAINS_AVAIL_SALE_SEC_T1_FFIEC" hidden="1">"c13131"</definedName>
    <definedName name="IQ_GAINS_CASH_FLOW_HEDGES_T1_FFIEC" hidden="1">"c13133"</definedName>
    <definedName name="IQ_GAINS_HTM_AVG_ASSETS_FFIEC" hidden="1">"c13363"</definedName>
    <definedName name="IQ_GAINS_INSTRUMENT_SPECIFIC_CREDIT_RISK_LIAB_FFIEC" hidden="1">"c13076"</definedName>
    <definedName name="IQ_GAINS_INSTRUMENT_SPECIFIC_RISK_FFIEC" hidden="1">"c13074"</definedName>
    <definedName name="IQ_GAINS_INSURANCE_ACTIVITIES_FFIEC" hidden="1">"c13072"</definedName>
    <definedName name="IQ_GAINS_LIABILITIES_FFIEC" hidden="1">"c13075"</definedName>
    <definedName name="IQ_GAINS_SALE_ASSETS_FDIC" hidden="1">"c6675"</definedName>
    <definedName name="IQ_GAINS_SALE_LOANS_LEASES_FFIEC" hidden="1">"c13013"</definedName>
    <definedName name="IQ_GAINS_SALE_OTHER_ASSETS_FFIEC" hidden="1">"c13015"</definedName>
    <definedName name="IQ_GAINS_SALE_OTHER_RE_OWNED_FFIEC" hidden="1">"c13014"</definedName>
    <definedName name="IQ_GAINS_SECURITIZATION_OPERATING_INC_FFIEC" hidden="1">"c13391"</definedName>
    <definedName name="IQ_GDP" hidden="1">"c6874"</definedName>
    <definedName name="IQ_GDP_APR" hidden="1">"c7534"</definedName>
    <definedName name="IQ_GDP_APR_FC" hidden="1">"c8414"</definedName>
    <definedName name="IQ_GDP_FC" hidden="1">"c7754"</definedName>
    <definedName name="IQ_GDP_POP" hidden="1">"c7094"</definedName>
    <definedName name="IQ_GDP_POP_FC" hidden="1">"c7974"</definedName>
    <definedName name="IQ_GDP_REAL" hidden="1">"c6981"</definedName>
    <definedName name="IQ_GDP_REAL_APR" hidden="1">"c7641"</definedName>
    <definedName name="IQ_GDP_REAL_APR_FC" hidden="1">"c8521"</definedName>
    <definedName name="IQ_GDP_REAL_FC" hidden="1">"c7861"</definedName>
    <definedName name="IQ_GDP_REAL_POP" hidden="1">"c7201"</definedName>
    <definedName name="IQ_GDP_REAL_POP_FC" hidden="1">"c8081"</definedName>
    <definedName name="IQ_GDP_REAL_SAAR" hidden="1">"c6982"</definedName>
    <definedName name="IQ_GDP_REAL_SAAR_APR" hidden="1">"c7642"</definedName>
    <definedName name="IQ_GDP_REAL_SAAR_APR_FC" hidden="1">"c8522"</definedName>
    <definedName name="IQ_GDP_REAL_SAAR_FC" hidden="1">"c7862"</definedName>
    <definedName name="IQ_GDP_REAL_SAAR_POP" hidden="1">"c7202"</definedName>
    <definedName name="IQ_GDP_REAL_SAAR_POP_FC" hidden="1">"c8082"</definedName>
    <definedName name="IQ_GDP_REAL_SAAR_YOY" hidden="1">"c7422"</definedName>
    <definedName name="IQ_GDP_REAL_SAAR_YOY_FC" hidden="1">"c8302"</definedName>
    <definedName name="IQ_GDP_REAL_USD" hidden="1">"c11946"</definedName>
    <definedName name="IQ_GDP_REAL_USD_APR" hidden="1">"c11949"</definedName>
    <definedName name="IQ_GDP_REAL_USD_POP" hidden="1">"c11947"</definedName>
    <definedName name="IQ_GDP_REAL_USD_YOY" hidden="1">"c11948"</definedName>
    <definedName name="IQ_GDP_REAL_YOY" hidden="1">"c7421"</definedName>
    <definedName name="IQ_GDP_REAL_YOY_FC" hidden="1">"c8301"</definedName>
    <definedName name="IQ_GDP_SAAR" hidden="1">"c6875"</definedName>
    <definedName name="IQ_GDP_SAAR_APR" hidden="1">"c7535"</definedName>
    <definedName name="IQ_GDP_SAAR_APR_FC" hidden="1">"c8415"</definedName>
    <definedName name="IQ_GDP_SAAR_FC" hidden="1">"c7755"</definedName>
    <definedName name="IQ_GDP_SAAR_POP" hidden="1">"c7095"</definedName>
    <definedName name="IQ_GDP_SAAR_POP_FC" hidden="1">"c7975"</definedName>
    <definedName name="IQ_GDP_SAAR_YOY" hidden="1">"c7315"</definedName>
    <definedName name="IQ_GDP_SAAR_YOY_FC" hidden="1">"c8195"</definedName>
    <definedName name="IQ_GDP_USD" hidden="1">"c11834"</definedName>
    <definedName name="IQ_GDP_USD_APR" hidden="1">"c11837"</definedName>
    <definedName name="IQ_GDP_USD_POP" hidden="1">"c11835"</definedName>
    <definedName name="IQ_GDP_USD_YOY" hidden="1">"c11836"</definedName>
    <definedName name="IQ_GDP_YOY" hidden="1">"c7314"</definedName>
    <definedName name="IQ_GDP_YOY_FC" hidden="1">"c8194"</definedName>
    <definedName name="IQ_GENERAL_ALLOWANCE" hidden="1">"c15248"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LA_PCT_LEASED_CONSOL" hidden="1">"c8810"</definedName>
    <definedName name="IQ_GLA_PCT_LEASED_MANAGED" hidden="1">"c8812"</definedName>
    <definedName name="IQ_GLA_PCT_LEASED_OTHER" hidden="1">"c8813"</definedName>
    <definedName name="IQ_GLA_PCT_LEASED_TOTAL" hidden="1">"c8814"</definedName>
    <definedName name="IQ_GLA_PCT_LEASED_UNCONSOL" hidden="1">"c8811"</definedName>
    <definedName name="IQ_GLA_SQ_FT_CONSOL" hidden="1">"c8790"</definedName>
    <definedName name="IQ_GLA_SQ_FT_MANAGED" hidden="1">"c8792"</definedName>
    <definedName name="IQ_GLA_SQ_FT_OTHER" hidden="1">"c8793"</definedName>
    <definedName name="IQ_GLA_SQ_FT_TOTAL" hidden="1">"c8794"</definedName>
    <definedName name="IQ_GLA_SQ_FT_UNCONSOL" hidden="1">"c8791"</definedName>
    <definedName name="IQ_GLA_SQ_METER_CONSOL" hidden="1">"c8795"</definedName>
    <definedName name="IQ_GLA_SQ_METER_MANAGED" hidden="1">"c8797"</definedName>
    <definedName name="IQ_GLA_SQ_METER_OTHER" hidden="1">"c8798"</definedName>
    <definedName name="IQ_GLA_SQ_METER_TOTAL" hidden="1">"c8799"</definedName>
    <definedName name="IQ_GLA_SQ_METER_UNCONSOL" hidden="1">"c8796"</definedName>
    <definedName name="IQ_GNMA_FDIC" hidden="1">"c6398"</definedName>
    <definedName name="IQ_GOODWILL_FDIC" hidden="1">"c6334"</definedName>
    <definedName name="IQ_GOODWILL_FFIEC" hidden="1">"c12836"</definedName>
    <definedName name="IQ_GOODWILL_IMPAIRMENT_FDIC" hidden="1">"c6678"</definedName>
    <definedName name="IQ_GOODWILL_IMPAIRMENT_FFIEC" hidden="1">"c13025"</definedName>
    <definedName name="IQ_GOODWILL_INTAN_FDIC" hidden="1">"c6333"</definedName>
    <definedName name="IQ_GOODWILL_NET" hidden="1">"c1380"</definedName>
    <definedName name="IQ_GOVT_PERSONAL_TAXES_RECEIPTS" hidden="1">"c6876"</definedName>
    <definedName name="IQ_GOVT_PERSONAL_TAXES_RECEIPTS_APR" hidden="1">"c7536"</definedName>
    <definedName name="IQ_GOVT_PERSONAL_TAXES_RECEIPTS_APR_FC" hidden="1">"c8416"</definedName>
    <definedName name="IQ_GOVT_PERSONAL_TAXES_RECEIPTS_FC" hidden="1">"c7756"</definedName>
    <definedName name="IQ_GOVT_PERSONAL_TAXES_RECEIPTS_POP" hidden="1">"c7096"</definedName>
    <definedName name="IQ_GOVT_PERSONAL_TAXES_RECEIPTS_POP_FC" hidden="1">"c7976"</definedName>
    <definedName name="IQ_GOVT_PERSONAL_TAXES_RECEIPTS_YOY" hidden="1">"c7316"</definedName>
    <definedName name="IQ_GOVT_PERSONAL_TAXES_RECEIPTS_YOY_FC" hidden="1">"c8196"</definedName>
    <definedName name="IQ_GOVT_RECEIPTS" hidden="1">"c6877"</definedName>
    <definedName name="IQ_GOVT_RECEIPTS_APR" hidden="1">"c7537"</definedName>
    <definedName name="IQ_GOVT_RECEIPTS_APR_FC" hidden="1">"c8417"</definedName>
    <definedName name="IQ_GOVT_RECEIPTS_FC" hidden="1">"c7757"</definedName>
    <definedName name="IQ_GOVT_RECEIPTS_POP" hidden="1">"c7097"</definedName>
    <definedName name="IQ_GOVT_RECEIPTS_POP_FC" hidden="1">"c7977"</definedName>
    <definedName name="IQ_GOVT_RECEIPTS_YOY" hidden="1">"c7317"</definedName>
    <definedName name="IQ_GOVT_RECEIPTS_YOY_FC" hidden="1">"c8197"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DD_BASIC" hidden="1">"c15776"</definedName>
    <definedName name="IQ_GROSS_ADD_BBAND" hidden="1">"c15779"</definedName>
    <definedName name="IQ_GROSS_ADD_DIG" hidden="1">"c15777"</definedName>
    <definedName name="IQ_GROSS_ADD_PHONE" hidden="1">"c15780"</definedName>
    <definedName name="IQ_GROSS_ADD_POSTPAID_WIRELESS" hidden="1">"c15750"</definedName>
    <definedName name="IQ_GROSS_ADD_PREPAID_WIRELESS" hidden="1">"c15751"</definedName>
    <definedName name="IQ_GROSS_ADD_RESELL_WHOLESALE_WIRELESS" hidden="1">"c15752"</definedName>
    <definedName name="IQ_GROSS_ADD_RGU" hidden="1">"c15781"</definedName>
    <definedName name="IQ_GROSS_ADD_SATELLITE" hidden="1">"c15778"</definedName>
    <definedName name="IQ_GROSS_ADD_TOTAL_WIRELESS" hidden="1">"c15753"</definedName>
    <definedName name="IQ_GROSS_AH_EARNED" hidden="1">"c2742"</definedName>
    <definedName name="IQ_GROSS_CLAIM_ADJ_EXP_RESERVE_BOP" hidden="1">"c15874"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LOSSES" hidden="1">"c15871"</definedName>
    <definedName name="IQ_GROSS_LOSSES_AVG_LOANS_FFIEC" hidden="1">"c13475"</definedName>
    <definedName name="IQ_GROSS_MARGIN" hidden="1">"c529"</definedName>
    <definedName name="IQ_GROSS_MARGIN_ACT_OR_EST" hidden="1">"c5554"</definedName>
    <definedName name="IQ_GROSS_MARGIN_ACT_OR_EST_THOM" hidden="1">"c5562"</definedName>
    <definedName name="IQ_GROSS_MARGIN_DET_EST_DATE_THOM" hidden="1">"c12239"</definedName>
    <definedName name="IQ_GROSS_MARGIN_DET_EST_INCL_THOM" hidden="1">"c12371"</definedName>
    <definedName name="IQ_GROSS_MARGIN_DET_EST_ORIGIN_THOM" hidden="1">"c12609"</definedName>
    <definedName name="IQ_GROSS_MARGIN_DET_EST_THOM" hidden="1">"c12089"</definedName>
    <definedName name="IQ_GROSS_MARGIN_EST" hidden="1">"c5547"</definedName>
    <definedName name="IQ_GROSS_MARGIN_EST_THOM" hidden="1">"c5555"</definedName>
    <definedName name="IQ_GROSS_MARGIN_HIGH_EST" hidden="1">"c5549"</definedName>
    <definedName name="IQ_GROSS_MARGIN_HIGH_EST_THOM" hidden="1">"c5557"</definedName>
    <definedName name="IQ_GROSS_MARGIN_LOW_EST" hidden="1">"c5550"</definedName>
    <definedName name="IQ_GROSS_MARGIN_LOW_EST_THOM" hidden="1">"c5558"</definedName>
    <definedName name="IQ_GROSS_MARGIN_MEDIAN_EST" hidden="1">"c5548"</definedName>
    <definedName name="IQ_GROSS_MARGIN_MEDIAN_EST_THOM" hidden="1">"c5556"</definedName>
    <definedName name="IQ_GROSS_MARGIN_NUM_EST" hidden="1">"c5551"</definedName>
    <definedName name="IQ_GROSS_MARGIN_NUM_EST_THOM" hidden="1">"c5559"</definedName>
    <definedName name="IQ_GROSS_MARGIN_STDDEV_EST" hidden="1">"c5552"</definedName>
    <definedName name="IQ_GROSS_MARGIN_STDDEV_EST_THOM" hidden="1">"c5560"</definedName>
    <definedName name="IQ_GROSS_PC_EARNED" hidden="1">"c2747"</definedName>
    <definedName name="IQ_GROSS_PREMIUMS_WRITTEN_AVG_ASSETS" hidden="1">"c15893"</definedName>
    <definedName name="IQ_GROSS_PREMIUMS_WRITTEN_AVG_EQUITY" hidden="1">"c15892"</definedName>
    <definedName name="IQ_GROSS_PREMIUMS_WRITTEN_AVG_STATUTORY_SURPLUS" hidden="1">"c15894"</definedName>
    <definedName name="IQ_GROSS_PROFIT" hidden="1">"c1378"</definedName>
    <definedName name="IQ_GROSS_SPRD" hidden="1">"c2155"</definedName>
    <definedName name="IQ_GROSS_WRITTEN" hidden="1">"c2726"</definedName>
    <definedName name="IQ_GROUP_EMBEDDED_VALUE_ASSET_MANAGEMENT" hidden="1">"c9955"</definedName>
    <definedName name="IQ_GROUP_EMBEDDED_VALUE_HEALTH" hidden="1">"c9954"</definedName>
    <definedName name="IQ_GROUP_EMBEDDED_VALUE_LIFE" hidden="1">"c9953"</definedName>
    <definedName name="IQ_GROUP_EMBEDDED_VALUE_LIFE_OTHER" hidden="1">"c9956"</definedName>
    <definedName name="IQ_GVKEY" hidden="1">"c15590"</definedName>
    <definedName name="IQ_GVKEY_OTHER" hidden="1">"c15633"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JUSTED_DISCHARGES" hidden="1">"c9977"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SO_COVERED_LIVES" hidden="1">"c9982"</definedName>
    <definedName name="IQ_HC_ASO_MEMBERSHIP" hidden="1">"c9985"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CASES" hidden="1">"c9978"</definedName>
    <definedName name="IQ_HC_CLAIMS_RESERVES" hidden="1">"c9989"</definedName>
    <definedName name="IQ_HC_DAYS_REV_OUT" hidden="1">"c5993"</definedName>
    <definedName name="IQ_HC_DISCHARGES" hidden="1">"c9976"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QUIVALENT_PATIENT_DAYS" hidden="1">"c9980"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L_EXPENSE_RATIO" hidden="1">"c9987"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CASE" hidden="1">"c9979"</definedName>
    <definedName name="IQ_HC_REV_PER_DISCHARGE" hidden="1">"c9990"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RISK_COVERED_LIVES" hidden="1">"c9981"</definedName>
    <definedName name="IQ_HC_RISK_MEMBERSHIP" hidden="1">"c9984"</definedName>
    <definedName name="IQ_HC_SALARIES_PCT_REV" hidden="1">"c5970"</definedName>
    <definedName name="IQ_HC_SGA_MARGIN" hidden="1">"c9988"</definedName>
    <definedName name="IQ_HC_SUPPLIES_PCT_REV" hidden="1">"c5971"</definedName>
    <definedName name="IQ_HC_TOTAL_COVERED_LIVES" hidden="1">"c9983"</definedName>
    <definedName name="IQ_HC_TOTAL_MEMBERSHIP" hidden="1">"c9986"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DGEFUND_OVER_TOTAL" hidden="1">"c13771"</definedName>
    <definedName name="IQ_HELD_MATURITY_FDIC" hidden="1">"c6408"</definedName>
    <definedName name="IQ_HG_ACQUIRED_FRANCHISE_HOTEL_PROPERTIES" hidden="1">"c8584"</definedName>
    <definedName name="IQ_HG_ACQUIRED_FRANCHISE_ROOMS" hidden="1">"c8614"</definedName>
    <definedName name="IQ_HG_ACQUIRED_HOTEL_PROPERTIES" hidden="1">"c8572"</definedName>
    <definedName name="IQ_HG_ACQUIRED_MANAGED_HOTEL_PROPERTIES" hidden="1">"c8590"</definedName>
    <definedName name="IQ_HG_ACQUIRED_MANAGED_ROOMS" hidden="1">"c8620"</definedName>
    <definedName name="IQ_HG_ACQUIRED_OTHER_HOTEL_PROPERTIES" hidden="1">"c8596"</definedName>
    <definedName name="IQ_HG_ACQUIRED_OTHER_ROOMS" hidden="1">"c8626"</definedName>
    <definedName name="IQ_HG_ACQUIRED_OWNED_HOTEL_PROPERTIES" hidden="1">"c8578"</definedName>
    <definedName name="IQ_HG_ACQUIRED_OWNED_ROOMS" hidden="1">"c8608"</definedName>
    <definedName name="IQ_HG_ACQUIRED_ROOMS" hidden="1">"c8602"</definedName>
    <definedName name="IQ_HG_ADR_CHANGE_FRANCHISE" hidden="1">"c8684"</definedName>
    <definedName name="IQ_HG_ADR_CHANGE_MANAGED" hidden="1">"c8685"</definedName>
    <definedName name="IQ_HG_ADR_CHANGE_OTHER" hidden="1">"c8686"</definedName>
    <definedName name="IQ_HG_ADR_CHANGE_OWNED" hidden="1">"c8683"</definedName>
    <definedName name="IQ_HG_ADR_CHANGE_OWNED_COMP" hidden="1">"c8709"</definedName>
    <definedName name="IQ_HG_ADR_CHANGE_TOTAL" hidden="1">"c8687"</definedName>
    <definedName name="IQ_HG_ADR_CHANGE_TOTAL_COMP" hidden="1">"c8710"</definedName>
    <definedName name="IQ_HG_ADR_FRANCHISE" hidden="1">"c8664"</definedName>
    <definedName name="IQ_HG_ADR_MANAGED" hidden="1">"c8665"</definedName>
    <definedName name="IQ_HG_ADR_OTHER" hidden="1">"c8666"</definedName>
    <definedName name="IQ_HG_ADR_OWNED" hidden="1">"c8663"</definedName>
    <definedName name="IQ_HG_ADR_OWNED_COMP" hidden="1">"c8701"</definedName>
    <definedName name="IQ_HG_ADR_TOTAL" hidden="1">"c8667"</definedName>
    <definedName name="IQ_HG_ADR_TOTAL_COMP" hidden="1">"c8702"</definedName>
    <definedName name="IQ_HG_CASINO_EXP_DIRECT_OPERATING_EXP" hidden="1">"c15981"</definedName>
    <definedName name="IQ_HG_CASINO_GROSS_PROFIT" hidden="1">"c15974"</definedName>
    <definedName name="IQ_HG_CASINO_MARGIN" hidden="1">"c15976"</definedName>
    <definedName name="IQ_HG_CASINO_OPERATING_MARGIN" hidden="1">"c15977"</definedName>
    <definedName name="IQ_HG_CASINOS_JV" hidden="1">"c8631"</definedName>
    <definedName name="IQ_HG_CASINOS_MANAGED" hidden="1">"c8632"</definedName>
    <definedName name="IQ_HG_CASINOS_OWNED" hidden="1">"c8630"</definedName>
    <definedName name="IQ_HG_CASINOS_TOTAL" hidden="1">"c8633"</definedName>
    <definedName name="IQ_HG_CLOSED_FRANCHISE_HOTEL_PROPERTIES" hidden="1">"c8586"</definedName>
    <definedName name="IQ_HG_CLOSED_FRANCHISE_ROOMS" hidden="1">"c8616"</definedName>
    <definedName name="IQ_HG_CLOSED_HOTEL_PROPERTIES" hidden="1">"c8574"</definedName>
    <definedName name="IQ_HG_CLOSED_MANAGED_HOTEL_PROPERTIES" hidden="1">"c8592"</definedName>
    <definedName name="IQ_HG_CLOSED_MANAGED_ROOMS" hidden="1">"c8622"</definedName>
    <definedName name="IQ_HG_CLOSED_OTHER_HOTEL_PROPERTIES" hidden="1">"c8598"</definedName>
    <definedName name="IQ_HG_CLOSED_OTHER_ROOMS" hidden="1">"c8628"</definedName>
    <definedName name="IQ_HG_CLOSED_OWNED_HOTEL_PROPERTIES" hidden="1">"c8580"</definedName>
    <definedName name="IQ_HG_CLOSED_OWNED_ROOMS" hidden="1">"c8610"</definedName>
    <definedName name="IQ_HG_CLOSED_ROOMS" hidden="1">"c8604"</definedName>
    <definedName name="IQ_HG_CONFERENCE_SPACE" hidden="1">"c15971"</definedName>
    <definedName name="IQ_HG_EXP_CASINO" hidden="1">"c8733"</definedName>
    <definedName name="IQ_HG_EXP_DEVELOPMENT" hidden="1">"c8738"</definedName>
    <definedName name="IQ_HG_EXP_DIRECT_CASINO_GAMING" hidden="1">"c15994"</definedName>
    <definedName name="IQ_HG_EXP_ENTERTAINMENT" hidden="1">"c8736"</definedName>
    <definedName name="IQ_HG_EXP_FOOD_BEV" hidden="1">"c8734"</definedName>
    <definedName name="IQ_HG_EXP_FRANCHISE_MANAGEMENT" hidden="1">"c8744"</definedName>
    <definedName name="IQ_HG_EXP_OTHER_DIRECT_HOTEL_MOTEL" hidden="1">"c15995"</definedName>
    <definedName name="IQ_HG_EXP_OTHER_MNGD_FRANCHISE_PROP" hidden="1">"c8742"</definedName>
    <definedName name="IQ_HG_EXP_OWNED_LEASED_CONSOL_JV" hidden="1">"c8740"</definedName>
    <definedName name="IQ_HG_EXP_REIMBURSEMENTS" hidden="1">"c8743"</definedName>
    <definedName name="IQ_HG_EXP_RETAIL" hidden="1">"c8737"</definedName>
    <definedName name="IQ_HG_EXP_ROOMS" hidden="1">"c8735"</definedName>
    <definedName name="IQ_HG_EXP_THEATRE_CONCESSION" hidden="1">"c8739"</definedName>
    <definedName name="IQ_HG_EXP_VACA_OWNERSHIP_RES" hidden="1">"c8741"</definedName>
    <definedName name="IQ_HG_FOOD_BEV_EXP_DIRECT_OPERATING_EXP" hidden="1">"c15980"</definedName>
    <definedName name="IQ_HG_FOOD_BEV_REV_TOTAL_REV" hidden="1">"c15983"</definedName>
    <definedName name="IQ_HG_FOOD_PROM_COSTS" hidden="1">"c8746"</definedName>
    <definedName name="IQ_HG_FRANCHISE_HOTEL_PROPERTIES_BEG" hidden="1">"c8582"</definedName>
    <definedName name="IQ_HG_FRANCHISE_ROOMS_BEG" hidden="1">"c8612"</definedName>
    <definedName name="IQ_HG_GAMING_SPACE_JV" hidden="1">"c8635"</definedName>
    <definedName name="IQ_HG_GAMING_SPACE_MANAGED" hidden="1">"c8636"</definedName>
    <definedName name="IQ_HG_GAMING_SPACE_OWNED" hidden="1">"c8634"</definedName>
    <definedName name="IQ_HG_GAMING_SPACE_TOTAL" hidden="1">"c8637"</definedName>
    <definedName name="IQ_HG_HOTEL_PROPERTIES_BEG" hidden="1">"c8570"</definedName>
    <definedName name="IQ_HG_LAND_AVAIL_JV" hidden="1">"c8647"</definedName>
    <definedName name="IQ_HG_LAND_AVAIL_MANAGED" hidden="1">"c8648"</definedName>
    <definedName name="IQ_HG_LAND_AVAIL_OWNED" hidden="1">"c8646"</definedName>
    <definedName name="IQ_HG_LAND_AVAIL_TOTAL" hidden="1">"c8649"</definedName>
    <definedName name="IQ_HG_LAND_JV" hidden="1">"c8651"</definedName>
    <definedName name="IQ_HG_LAND_MANAGED" hidden="1">"c8652"</definedName>
    <definedName name="IQ_HG_LAND_OWNED" hidden="1">"c8650"</definedName>
    <definedName name="IQ_HG_LAND_TOTAL" hidden="1">"c8653"</definedName>
    <definedName name="IQ_HG_MANAGED_HOTEL_PROPERTIES_BEG" hidden="1">"c8588"</definedName>
    <definedName name="IQ_HG_MANAGED_ROOMS_BEG" hidden="1">"c8618"</definedName>
    <definedName name="IQ_HG_NUMBER_SUITES" hidden="1">"c15970"</definedName>
    <definedName name="IQ_HG_NUMBER_TABLES_AVG" hidden="1">"c15973"</definedName>
    <definedName name="IQ_HG_OCCUPANCY_CHANGE_FRANCHISE" hidden="1">"c8675"</definedName>
    <definedName name="IQ_HG_OCCUPANCY_CHANGE_MANAGED" hidden="1">"c8677"</definedName>
    <definedName name="IQ_HG_OCCUPANCY_CHANGE_OTHER" hidden="1">"c8679"</definedName>
    <definedName name="IQ_HG_OCCUPANCY_CHANGE_OWNED" hidden="1">"c8673"</definedName>
    <definedName name="IQ_HG_OCCUPANCY_CHANGE_OWNED_COMP" hidden="1">"c8705"</definedName>
    <definedName name="IQ_HG_OCCUPANCY_CHANGE_TOTAL" hidden="1">"c8681"</definedName>
    <definedName name="IQ_HG_OCCUPANCY_CHANGE_TOTAL_COMP" hidden="1">"c8707"</definedName>
    <definedName name="IQ_HG_OCCUPANCY_FRANCHISE" hidden="1">"c8659"</definedName>
    <definedName name="IQ_HG_OCCUPANCY_INCDEC_FRANCHISE" hidden="1">"c8676"</definedName>
    <definedName name="IQ_HG_OCCUPANCY_INCDEC_MANAGED" hidden="1">"c8678"</definedName>
    <definedName name="IQ_HG_OCCUPANCY_INCDEC_OTHER" hidden="1">"c8680"</definedName>
    <definedName name="IQ_HG_OCCUPANCY_INCDEC_OWNED" hidden="1">"c8674"</definedName>
    <definedName name="IQ_HG_OCCUPANCY_INCDEC_OWNED_COMP" hidden="1">"c8706"</definedName>
    <definedName name="IQ_HG_OCCUPANCY_INCDEC_TOTAL" hidden="1">"c8682"</definedName>
    <definedName name="IQ_HG_OCCUPANCY_INCDEC_TOTAL_COMP" hidden="1">"c8708"</definedName>
    <definedName name="IQ_HG_OCCUPANCY_MANAGED" hidden="1">"c8660"</definedName>
    <definedName name="IQ_HG_OCCUPANCY_OTHER" hidden="1">"c8661"</definedName>
    <definedName name="IQ_HG_OCCUPANCY_OWNED" hidden="1">"c8658"</definedName>
    <definedName name="IQ_HG_OCCUPANCY_OWNED_COMP" hidden="1">"c8699"</definedName>
    <definedName name="IQ_HG_OCCUPANCY_TOTAL" hidden="1">"c8662"</definedName>
    <definedName name="IQ_HG_OCCUPANCY_TOTAL_COMP" hidden="1">"c8700"</definedName>
    <definedName name="IQ_HG_OPENED_FRANCHISE_HOTEL_PROPERTIES" hidden="1">"c8583"</definedName>
    <definedName name="IQ_HG_OPENED_FRANCHISE_ROOMS" hidden="1">"c8613"</definedName>
    <definedName name="IQ_HG_OPENED_HOTEL_PROPERTIES" hidden="1">"c8571"</definedName>
    <definedName name="IQ_HG_OPENED_MANAGED_HOTEL_PROPERTIES" hidden="1">"c8589"</definedName>
    <definedName name="IQ_HG_OPENED_MANAGED_ROOMS" hidden="1">"c8619"</definedName>
    <definedName name="IQ_HG_OPENED_OTHER_HOTEL_PROPERTIES" hidden="1">"c8595"</definedName>
    <definedName name="IQ_HG_OPENED_OTHER_ROOMS" hidden="1">"c8625"</definedName>
    <definedName name="IQ_HG_OPENED_OWNED_HOTEL_PROPERTIES" hidden="1">"c8577"</definedName>
    <definedName name="IQ_HG_OPENED_OWNED_ROOMS" hidden="1">"c8607"</definedName>
    <definedName name="IQ_HG_OPENED_ROOMS" hidden="1">"c8601"</definedName>
    <definedName name="IQ_HG_OTHER_HOTEL_PROPERTIES_BEG" hidden="1">"c8594"</definedName>
    <definedName name="IQ_HG_OTHER_PROM_COSTS" hidden="1">"c8747"</definedName>
    <definedName name="IQ_HG_OTHER_ROOMS_BEG" hidden="1">"c8624"</definedName>
    <definedName name="IQ_HG_OWNED_HOTEL_PROPERTIES_BEG" hidden="1">"c8576"</definedName>
    <definedName name="IQ_HG_OWNED_ROOMS_BEG" hidden="1">"c8606"</definedName>
    <definedName name="IQ_HG_PARKING_SPACES_JV" hidden="1">"c8655"</definedName>
    <definedName name="IQ_HG_PARKING_SPACES_MANAGED" hidden="1">"c8656"</definedName>
    <definedName name="IQ_HG_PARKING_SPACES_OWNED" hidden="1">"c8654"</definedName>
    <definedName name="IQ_HG_PARKING_SPACES_TOTAL" hidden="1">"c8657"</definedName>
    <definedName name="IQ_HG_PROMO_ALLOW_GROSS_OPERATING_REV" hidden="1">"c15979"</definedName>
    <definedName name="IQ_HG_REV_BASE_MANAGEMENT_FEES" hidden="1">"c8726"</definedName>
    <definedName name="IQ_HG_REV_CASINO" hidden="1">"c8713"</definedName>
    <definedName name="IQ_HG_REV_COST_REIMBURSEMENT" hidden="1">"c8728"</definedName>
    <definedName name="IQ_HG_REV_ENTERTAINMENT" hidden="1">"c8716"</definedName>
    <definedName name="IQ_HG_REV_FOOD_BEV" hidden="1">"c8714"</definedName>
    <definedName name="IQ_HG_REV_FRANCHISE" hidden="1">"c8725"</definedName>
    <definedName name="IQ_HG_REV_GROSS_OPERATING" hidden="1">"c15993"</definedName>
    <definedName name="IQ_HG_REV_INCENTIVE_MANAGEMENT_FEES" hidden="1">"c8727"</definedName>
    <definedName name="IQ_HG_REV_MANAGEMENT_FEES" hidden="1">"c8718"</definedName>
    <definedName name="IQ_HG_REV_OTHER_CASINO" hidden="1">"c15992"</definedName>
    <definedName name="IQ_HG_REV_OTHER_MNGD_FRANCHISE_PROP" hidden="1">"c8730"</definedName>
    <definedName name="IQ_HG_REV_OTHER_OP_SEGMENT" hidden="1">"c8721"</definedName>
    <definedName name="IQ_HG_REV_OTHER_OWNERSHIP_MIX" hidden="1">"c8731"</definedName>
    <definedName name="IQ_HG_REV_OWNED_LEASED_CONSOL_JV_HOTELS" hidden="1">"c8724"</definedName>
    <definedName name="IQ_HG_REV_PROMOTIONAL_ALLOWANCE" hidden="1">"c8722"</definedName>
    <definedName name="IQ_HG_REV_RACING" hidden="1">"c8719"</definedName>
    <definedName name="IQ_HG_REV_RETAIL" hidden="1">"c8717"</definedName>
    <definedName name="IQ_HG_REV_ROOMS" hidden="1">"c8715"</definedName>
    <definedName name="IQ_HG_REV_SLOT_MACHINE" hidden="1">"c15990"</definedName>
    <definedName name="IQ_HG_REV_TABLE" hidden="1">"c15991"</definedName>
    <definedName name="IQ_HG_REV_THEATRE_CONCESSION" hidden="1">"c8720"</definedName>
    <definedName name="IQ_HG_REV_TOTAL_OP_SEGMENT" hidden="1">"c8723"</definedName>
    <definedName name="IQ_HG_REV_TOTAL_OWNERSHIP_MIX" hidden="1">"c8732"</definedName>
    <definedName name="IQ_HG_REV_VACA_OWNERSHIP_RES_SALES_SVCS" hidden="1">"c8729"</definedName>
    <definedName name="IQ_HG_REVENUES_CHANGE_OWNED_COMP" hidden="1">"c8697"</definedName>
    <definedName name="IQ_HG_REVENUES_CHANGE_TOTAL_COMP" hidden="1">"c8698"</definedName>
    <definedName name="IQ_HG_REVPAR_CHANGE_MANAGED" hidden="1">"c8690"</definedName>
    <definedName name="IQ_HG_REVPAR_CHANGE_OTHER" hidden="1">"c8691"</definedName>
    <definedName name="IQ_HG_REVPAR_CHANGE_OWNED" hidden="1">"c8688"</definedName>
    <definedName name="IQ_HG_REVPAR_CHANGE_OWNED_COMP" hidden="1">"c8711"</definedName>
    <definedName name="IQ_HG_REVPAR_CHANGE_TOTAL" hidden="1">"c8692"</definedName>
    <definedName name="IQ_HG_REVPAR_CHANGE_TOTAL_COMP" hidden="1">"c8712"</definedName>
    <definedName name="IQ_HG_REVPAR_CHNAGE_FRANCHISE" hidden="1">"c8689"</definedName>
    <definedName name="IQ_HG_REVPAR_FRANCHISE" hidden="1">"c8669"</definedName>
    <definedName name="IQ_HG_REVPAR_MANAGED" hidden="1">"c8670"</definedName>
    <definedName name="IQ_HG_REVPAR_OTHER" hidden="1">"c8671"</definedName>
    <definedName name="IQ_HG_REVPAR_OWNED" hidden="1">"c8668"</definedName>
    <definedName name="IQ_HG_REVPAR_OWNED_COMP" hidden="1">"c8703"</definedName>
    <definedName name="IQ_HG_REVPAR_TOTAL" hidden="1">"c8672"</definedName>
    <definedName name="IQ_HG_REVPAR_TOTAL_COMP" hidden="1">"c8704"</definedName>
    <definedName name="IQ_HG_ROOM_EXP_DIRECT_OPERATING_EXP" hidden="1">"c15982"</definedName>
    <definedName name="IQ_HG_ROOM_GROSS_PROFIT" hidden="1">"c15975"</definedName>
    <definedName name="IQ_HG_ROOM_MARGIN" hidden="1">"c15978"</definedName>
    <definedName name="IQ_HG_ROOM_PROM_COSTS" hidden="1">"c8745"</definedName>
    <definedName name="IQ_HG_ROOM_REV_TOTAL_REV" hidden="1">"c15984"</definedName>
    <definedName name="IQ_HG_ROOMS_BEG" hidden="1">"c8600"</definedName>
    <definedName name="IQ_HG_SAME_PROPERTIES_CASINO_REV_CHANGE" hidden="1">"c15987"</definedName>
    <definedName name="IQ_HG_SAME_PROPERTIES_FOOD_BEV_REV_CHANGE" hidden="1">"c15989"</definedName>
    <definedName name="IQ_HG_SAME_PROPERTIES_ROOM_REV_CHANGE" hidden="1">"c15988"</definedName>
    <definedName name="IQ_HG_SAME_PROPERTIES_SLOT_MACHINE_REV_CHANGE" hidden="1">"c15985"</definedName>
    <definedName name="IQ_HG_SAME_PROPERTIES_TABLE_REV_CHANGE" hidden="1">"c15986"</definedName>
    <definedName name="IQ_HG_SLOT_MACHINES_AVG" hidden="1">"c15972"</definedName>
    <definedName name="IQ_HG_SLOT_MACHINES_JV" hidden="1">"c8639"</definedName>
    <definedName name="IQ_HG_SLOT_MACHINES_MANAGED" hidden="1">"c8640"</definedName>
    <definedName name="IQ_HG_SLOT_MACHINES_OWNED" hidden="1">"c8638"</definedName>
    <definedName name="IQ_HG_SLOT_MACHINES_TOTAL" hidden="1">"c8641"</definedName>
    <definedName name="IQ_HG_SOLD_FRANCHISE_HOTEL_PROPERTIES" hidden="1">"c8585"</definedName>
    <definedName name="IQ_HG_SOLD_FRANCHISE_ROOMS" hidden="1">"c8615"</definedName>
    <definedName name="IQ_HG_SOLD_HOTEL_PROPERTIES" hidden="1">"c8573"</definedName>
    <definedName name="IQ_HG_SOLD_MANAGED_HOTEL_PROPERTIES" hidden="1">"c8591"</definedName>
    <definedName name="IQ_HG_SOLD_MANAGED_ROOMS" hidden="1">"c8621"</definedName>
    <definedName name="IQ_HG_SOLD_OTHER_HOTEL_PROPERTIES" hidden="1">"c8597"</definedName>
    <definedName name="IQ_HG_SOLD_OTHER_ROOMS" hidden="1">"c8627"</definedName>
    <definedName name="IQ_HG_SOLD_OWNED_HOTEL_PROPERTIES" hidden="1">"c8579"</definedName>
    <definedName name="IQ_HG_SOLD_OWNED_ROOMS" hidden="1">"c8609"</definedName>
    <definedName name="IQ_HG_SOLD_ROOMS" hidden="1">"c8603"</definedName>
    <definedName name="IQ_HG_TABLE_GAMES_JV" hidden="1">"c8643"</definedName>
    <definedName name="IQ_HG_TABLE_GAMES_MANAGED" hidden="1">"c8644"</definedName>
    <definedName name="IQ_HG_TABLE_GAMES_OWNED" hidden="1">"c8642"</definedName>
    <definedName name="IQ_HG_TABLE_GAMES_TOTAL" hidden="1">"c8645"</definedName>
    <definedName name="IQ_HG_TABLES_JV" hidden="1">"c8643"</definedName>
    <definedName name="IQ_HG_TABLES_MANAGED" hidden="1">"c8644"</definedName>
    <definedName name="IQ_HG_TABLES_OWNED" hidden="1">"c8642"</definedName>
    <definedName name="IQ_HG_TABLES_TOTAL" hidden="1">"c8645"</definedName>
    <definedName name="IQ_HG_TOTAL_FRANCHISE_HOTEL_PROPERTIES" hidden="1">"c8587"</definedName>
    <definedName name="IQ_HG_TOTAL_FRANCHISE_ROOMS" hidden="1">"c8617"</definedName>
    <definedName name="IQ_HG_TOTAL_HOTEL_PROPERTIES" hidden="1">"c8575"</definedName>
    <definedName name="IQ_HG_TOTAL_MANAGED_HOTEL_PROPERTIES" hidden="1">"c8593"</definedName>
    <definedName name="IQ_HG_TOTAL_MANAGED_ROOMS" hidden="1">"c8623"</definedName>
    <definedName name="IQ_HG_TOTAL_OTHER_HOTEL_PROPERTIES" hidden="1">"c8599"</definedName>
    <definedName name="IQ_HG_TOTAL_OTHER_ROOMS" hidden="1">"c8629"</definedName>
    <definedName name="IQ_HG_TOTAL_OWNED_HOTEL_PROPERTIES" hidden="1">"c8581"</definedName>
    <definedName name="IQ_HG_TOTAL_OWNED_PROPERTIES_COMP" hidden="1">"c8693"</definedName>
    <definedName name="IQ_HG_TOTAL_OWNED_ROOMS" hidden="1">"c8611"</definedName>
    <definedName name="IQ_HG_TOTAL_OWNED_ROOMS_COMP" hidden="1">"c8695"</definedName>
    <definedName name="IQ_HG_TOTAL_PROM_COSTS" hidden="1">"c8748"</definedName>
    <definedName name="IQ_HG_TOTAL_PROPERTIES_COMP" hidden="1">"c8694"</definedName>
    <definedName name="IQ_HG_TOTAL_ROOMS" hidden="1">"c8605"</definedName>
    <definedName name="IQ_HG_TOTAL_ROOMS_COMP" hidden="1">"c8696"</definedName>
    <definedName name="IQ_HIGH_LOW_CLOSEPRICE_DATE" hidden="1">"c1204"</definedName>
    <definedName name="IQ_HIGH_SULFUR_CONTENT_RESERVES_COAL" hidden="1">"c15928"</definedName>
    <definedName name="IQ_HIGH_SULFURE_RESERVES_TO_TOTAL_RESERVES_COAL" hidden="1">"c15963"</definedName>
    <definedName name="IQ_HIGH_TARGET_PRICE" hidden="1">"c1651"</definedName>
    <definedName name="IQ_HIGH_TARGET_PRICE_CIQ" hidden="1">"c4659"</definedName>
    <definedName name="IQ_HIGH_TARGET_PRICE_REUT" hidden="1">"c5317"</definedName>
    <definedName name="IQ_HIGH_TARGET_PRICE_THOM" hidden="1">"c5096"</definedName>
    <definedName name="IQ_HIGHPRICE" hidden="1">"c545"</definedName>
    <definedName name="IQ_HOLDER_CIQID" hidden="1">"c13787"</definedName>
    <definedName name="IQ_HOLDER_CIQID_SECURITY" hidden="1">"c13794"</definedName>
    <definedName name="IQ_HOLDER_DERIVATIVES" hidden="1">"c13789"</definedName>
    <definedName name="IQ_HOLDER_DERIVATIVES_SECURITY" hidden="1">"c13796"</definedName>
    <definedName name="IQ_HOLDER_NAME" hidden="1">"c13786"</definedName>
    <definedName name="IQ_HOLDER_NAME_SECURITY" hidden="1">"c13793"</definedName>
    <definedName name="IQ_HOLDER_PERCENT" hidden="1">"c13790"</definedName>
    <definedName name="IQ_HOLDER_PERCENT_SECURITY" hidden="1">"c13831"</definedName>
    <definedName name="IQ_HOLDER_POSITION_DATE" hidden="1">"c13792"</definedName>
    <definedName name="IQ_HOLDER_POSITION_DATE_SECURITY" hidden="1">"c13798"</definedName>
    <definedName name="IQ_HOLDER_SHARES" hidden="1">"c13788"</definedName>
    <definedName name="IQ_HOLDER_SHARES_SECURITY" hidden="1">"c13795"</definedName>
    <definedName name="IQ_HOLDER_VALUE" hidden="1">"c13791"</definedName>
    <definedName name="IQ_HOLDER_VALUE_SECURITY" hidden="1">"c13797"</definedName>
    <definedName name="IQ_HOLDING_CIQID" hidden="1">"c13802"</definedName>
    <definedName name="IQ_HOLDING_NAME" hidden="1">"c13799"</definedName>
    <definedName name="IQ_HOLDING_PERCENT" hidden="1">"c13805"</definedName>
    <definedName name="IQ_HOLDING_PERCENT_PORTFOLIO" hidden="1">"c13806"</definedName>
    <definedName name="IQ_HOLDING_POSITION_DATE" hidden="1">"c13808"</definedName>
    <definedName name="IQ_HOLDING_SECURITY_TYPE" hidden="1">"c13803"</definedName>
    <definedName name="IQ_HOLDING_SHARES" hidden="1">"c13804"</definedName>
    <definedName name="IQ_HOLDING_TICKER" hidden="1">"c13800"</definedName>
    <definedName name="IQ_HOLDING_TRADING_ITEM_CIQID" hidden="1">"c13801"</definedName>
    <definedName name="IQ_HOLDING_VALUE" hidden="1">"c13807"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ANCELLATION_RATE" hidden="1">"c16192"</definedName>
    <definedName name="IQ_HOME_CANCELLATION_RATE_INCL_JV" hidden="1">"c16194"</definedName>
    <definedName name="IQ_HOME_CANCELLATION_RATE_JV" hidden="1">"c16193"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ANS_TOT_LOANS_FFIEC" hidden="1">"c13867"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SALES_NEW" hidden="1">"c6924"</definedName>
    <definedName name="IQ_HOME_SALES_NEW_APR" hidden="1">"c7584"</definedName>
    <definedName name="IQ_HOME_SALES_NEW_APR_FC" hidden="1">"c8464"</definedName>
    <definedName name="IQ_HOME_SALES_NEW_FC" hidden="1">"c7804"</definedName>
    <definedName name="IQ_HOME_SALES_NEW_POP" hidden="1">"c7144"</definedName>
    <definedName name="IQ_HOME_SALES_NEW_POP_FC" hidden="1">"c8024"</definedName>
    <definedName name="IQ_HOME_SALES_NEW_YOY" hidden="1">"c7364"</definedName>
    <definedName name="IQ_HOME_SALES_NEW_YOY_FC" hidden="1">"c8244"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BUILDING_COGS_SALES" hidden="1">"c15813"</definedName>
    <definedName name="IQ_HOMEBUILDING_INV_TURN" hidden="1">"c15819"</definedName>
    <definedName name="IQ_HOMEBUILDING_TURN" hidden="1">"c15820"</definedName>
    <definedName name="IQ_HOMEOWNERS_WRITTEN" hidden="1">"c546"</definedName>
    <definedName name="IQ_HOTEL_OPERATING_EXPENSE" hidden="1">"c16042"</definedName>
    <definedName name="IQ_HOTEL_OPERATING_REVENUE" hidden="1">"c16026"</definedName>
    <definedName name="IQ_HOURLY_COMP" hidden="1">"c6879"</definedName>
    <definedName name="IQ_HOURLY_COMP_APR" hidden="1">"c7539"</definedName>
    <definedName name="IQ_HOURLY_COMP_APR_FC" hidden="1">"c8419"</definedName>
    <definedName name="IQ_HOURLY_COMP_FC" hidden="1">"c7759"</definedName>
    <definedName name="IQ_HOURLY_COMP_POP" hidden="1">"c7099"</definedName>
    <definedName name="IQ_HOURLY_COMP_POP_FC" hidden="1">"c7979"</definedName>
    <definedName name="IQ_HOURLY_COMP_YOY" hidden="1">"c7319"</definedName>
    <definedName name="IQ_HOURLY_COMP_YOY_FC" hidden="1">"c8199"</definedName>
    <definedName name="IQ_HOUSING_COMPLETIONS" hidden="1">"c6881"</definedName>
    <definedName name="IQ_HOUSING_COMPLETIONS_APR" hidden="1">"c7541"</definedName>
    <definedName name="IQ_HOUSING_COMPLETIONS_APR_FC" hidden="1">"c8421"</definedName>
    <definedName name="IQ_HOUSING_COMPLETIONS_FC" hidden="1">"c7761"</definedName>
    <definedName name="IQ_HOUSING_COMPLETIONS_POP" hidden="1">"c7101"</definedName>
    <definedName name="IQ_HOUSING_COMPLETIONS_POP_FC" hidden="1">"c7981"</definedName>
    <definedName name="IQ_HOUSING_COMPLETIONS_SINGLE_FAM_APR_FC_UNUSED" hidden="1">"c8422"</definedName>
    <definedName name="IQ_HOUSING_COMPLETIONS_SINGLE_FAM_APR_FC_UNUSED_UNUSED_UNUSED" hidden="1">"c8422"</definedName>
    <definedName name="IQ_HOUSING_COMPLETIONS_SINGLE_FAM_APR_UNUSED" hidden="1">"c7542"</definedName>
    <definedName name="IQ_HOUSING_COMPLETIONS_SINGLE_FAM_APR_UNUSED_UNUSED_UNUSED" hidden="1">"c7542"</definedName>
    <definedName name="IQ_HOUSING_COMPLETIONS_SINGLE_FAM_FC_UNUSED" hidden="1">"c7762"</definedName>
    <definedName name="IQ_HOUSING_COMPLETIONS_SINGLE_FAM_FC_UNUSED_UNUSED_UNUSED" hidden="1">"c7762"</definedName>
    <definedName name="IQ_HOUSING_COMPLETIONS_SINGLE_FAM_POP_FC_UNUSED" hidden="1">"c7982"</definedName>
    <definedName name="IQ_HOUSING_COMPLETIONS_SINGLE_FAM_POP_FC_UNUSED_UNUSED_UNUSED" hidden="1">"c7982"</definedName>
    <definedName name="IQ_HOUSING_COMPLETIONS_SINGLE_FAM_POP_UNUSED" hidden="1">"c7102"</definedName>
    <definedName name="IQ_HOUSING_COMPLETIONS_SINGLE_FAM_POP_UNUSED_UNUSED_UNUSED" hidden="1">"c7102"</definedName>
    <definedName name="IQ_HOUSING_COMPLETIONS_SINGLE_FAM_UNUSED" hidden="1">"c6882"</definedName>
    <definedName name="IQ_HOUSING_COMPLETIONS_SINGLE_FAM_UNUSED_UNUSED_UNUSED" hidden="1">"c6882"</definedName>
    <definedName name="IQ_HOUSING_COMPLETIONS_SINGLE_FAM_YOY_FC_UNUSED" hidden="1">"c8202"</definedName>
    <definedName name="IQ_HOUSING_COMPLETIONS_SINGLE_FAM_YOY_FC_UNUSED_UNUSED_UNUSED" hidden="1">"c8202"</definedName>
    <definedName name="IQ_HOUSING_COMPLETIONS_SINGLE_FAM_YOY_UNUSED" hidden="1">"c7322"</definedName>
    <definedName name="IQ_HOUSING_COMPLETIONS_SINGLE_FAM_YOY_UNUSED_UNUSED_UNUSED" hidden="1">"c7322"</definedName>
    <definedName name="IQ_HOUSING_COMPLETIONS_YOY" hidden="1">"c7321"</definedName>
    <definedName name="IQ_HOUSING_COMPLETIONS_YOY_FC" hidden="1">"c8201"</definedName>
    <definedName name="IQ_HOUSING_PERMITS" hidden="1">"c6883"</definedName>
    <definedName name="IQ_HOUSING_PERMITS_APR" hidden="1">"c7543"</definedName>
    <definedName name="IQ_HOUSING_PERMITS_APR_FC" hidden="1">"c8423"</definedName>
    <definedName name="IQ_HOUSING_PERMITS_FC" hidden="1">"c7763"</definedName>
    <definedName name="IQ_HOUSING_PERMITS_POP" hidden="1">"c7103"</definedName>
    <definedName name="IQ_HOUSING_PERMITS_POP_FC" hidden="1">"c7983"</definedName>
    <definedName name="IQ_HOUSING_PERMITS_YOY" hidden="1">"c7323"</definedName>
    <definedName name="IQ_HOUSING_PERMITS_YOY_FC" hidden="1">"c8203"</definedName>
    <definedName name="IQ_HOUSING_STARTS" hidden="1">"c6884"</definedName>
    <definedName name="IQ_HOUSING_STARTS_APR" hidden="1">"c7544"</definedName>
    <definedName name="IQ_HOUSING_STARTS_APR_FC" hidden="1">"c8424"</definedName>
    <definedName name="IQ_HOUSING_STARTS_FC" hidden="1">"c7764"</definedName>
    <definedName name="IQ_HOUSING_STARTS_POP" hidden="1">"c7104"</definedName>
    <definedName name="IQ_HOUSING_STARTS_POP_FC" hidden="1">"c7984"</definedName>
    <definedName name="IQ_HOUSING_STARTS_SAAR" hidden="1">"c6885"</definedName>
    <definedName name="IQ_HOUSING_STARTS_SAAR_APR" hidden="1">"c7545"</definedName>
    <definedName name="IQ_HOUSING_STARTS_SAAR_APR_FC" hidden="1">"c8425"</definedName>
    <definedName name="IQ_HOUSING_STARTS_SAAR_FC" hidden="1">"c7765"</definedName>
    <definedName name="IQ_HOUSING_STARTS_SAAR_POP" hidden="1">"c7105"</definedName>
    <definedName name="IQ_HOUSING_STARTS_SAAR_POP_FC" hidden="1">"c7985"</definedName>
    <definedName name="IQ_HOUSING_STARTS_SAAR_YOY" hidden="1">"c7325"</definedName>
    <definedName name="IQ_HOUSING_STARTS_SAAR_YOY_FC" hidden="1">"c8205"</definedName>
    <definedName name="IQ_HOUSING_STARTS_YOY" hidden="1">"c7324"</definedName>
    <definedName name="IQ_HOUSING_STARTS_YOY_FC" hidden="1">"c8204"</definedName>
    <definedName name="IQ_HRS_WORKED_FULL_PT" hidden="1">"c6880"</definedName>
    <definedName name="IQ_HRS_WORKED_FULL_PT_APR" hidden="1">"c7540"</definedName>
    <definedName name="IQ_HRS_WORKED_FULL_PT_APR_FC" hidden="1">"c8420"</definedName>
    <definedName name="IQ_HRS_WORKED_FULL_PT_FC" hidden="1">"c7760"</definedName>
    <definedName name="IQ_HRS_WORKED_FULL_PT_POP" hidden="1">"c7100"</definedName>
    <definedName name="IQ_HRS_WORKED_FULL_PT_POP_FC" hidden="1">"c7980"</definedName>
    <definedName name="IQ_HRS_WORKED_FULL_PT_YOY" hidden="1">"c7320"</definedName>
    <definedName name="IQ_HRS_WORKED_FULL_PT_YOY_FC" hidden="1">"c8200"</definedName>
    <definedName name="IQ_HTM_INVEST_SECURITIES_FFIEC" hidden="1">"c13455"</definedName>
    <definedName name="IQ_HTM_SECURITIES_TIER_1_FFIEC" hidden="1">"c13342"</definedName>
    <definedName name="IQ_HYBRID_CAPITAL" hidden="1">"c15245"</definedName>
    <definedName name="IQ_HYBRID_STRUCTURED_PRODUCTS_AVAIL_SALE_FFIEC" hidden="1">"c15265"</definedName>
    <definedName name="IQ_HYBRID_STRUCTURED_PRODUCTS_FFIEC" hidden="1">"c15262"</definedName>
    <definedName name="IQ_IB_ADVISORY_UNDERWRITING_FEES_FOREIGN_FFIEC" hidden="1">"c15378"</definedName>
    <definedName name="IQ_IBF_COMM_INDUST_LOANS_FFIEC" hidden="1">"c15298"</definedName>
    <definedName name="IQ_IBF_DEPOSIT_LIABILITIES_DUE_TO_BANKS_FFIEC" hidden="1">"c15300"</definedName>
    <definedName name="IQ_IM_AVG_REV_PER_CLICK" hidden="1">"c9991"</definedName>
    <definedName name="IQ_IM_NUMBER_PAGE_VIEWS" hidden="1">"c9993"</definedName>
    <definedName name="IQ_IM_NUMBER_PAID_CLICKS" hidden="1">"c9995"</definedName>
    <definedName name="IQ_IM_NUMBER_PAID_CLICKS_GROWTH" hidden="1">"c9996"</definedName>
    <definedName name="IQ_IM_PAGE_VIEWS_GROWTH" hidden="1">"c9994"</definedName>
    <definedName name="IQ_IM_REV_PER_PAGE_VIEW_GROWTH" hidden="1">"c9992"</definedName>
    <definedName name="IQ_IM_TRAFFIC_ACQUISITION_CHANGE" hidden="1">"c9998"</definedName>
    <definedName name="IQ_IM_TRAFFIC_ACQUISITION_COST_TO_AD_REV_RATIO" hidden="1">"c10000"</definedName>
    <definedName name="IQ_IM_TRAFFIC_ACQUISITION_COST_TO_TOTAL_REV_RATIO" hidden="1">"c9999"</definedName>
    <definedName name="IQ_IM_TRAFFIC_ACQUISITION_COSTS" hidden="1">"c9997"</definedName>
    <definedName name="IQ_IMPACT_UNRECOG_TAX_BENEFIT_EFFECTIVE_TAX" hidden="1">"c15748"</definedName>
    <definedName name="IQ_IMPAIR_OIL" hidden="1">"c547"</definedName>
    <definedName name="IQ_IMPAIRED_LOANS" hidden="1">"c15250"</definedName>
    <definedName name="IQ_IMPAIRMENT_GW" hidden="1">"c548"</definedName>
    <definedName name="IQ_IMPAIRMENT_GW_SUPPLE" hidden="1">"c13811"</definedName>
    <definedName name="IQ_IMPORT_PRICE_INDEX" hidden="1">"c6886"</definedName>
    <definedName name="IQ_IMPORT_PRICE_INDEX_APR" hidden="1">"c7546"</definedName>
    <definedName name="IQ_IMPORT_PRICE_INDEX_APR_FC" hidden="1">"c8426"</definedName>
    <definedName name="IQ_IMPORT_PRICE_INDEX_FC" hidden="1">"c7766"</definedName>
    <definedName name="IQ_IMPORT_PRICE_INDEX_POP" hidden="1">"c7106"</definedName>
    <definedName name="IQ_IMPORT_PRICE_INDEX_POP_FC" hidden="1">"c7986"</definedName>
    <definedName name="IQ_IMPORT_PRICE_INDEX_YOY" hidden="1">"c7326"</definedName>
    <definedName name="IQ_IMPORT_PRICE_INDEX_YOY_FC" hidden="1">"c8206"</definedName>
    <definedName name="IQ_IMPORTS_GOODS" hidden="1">"c6887"</definedName>
    <definedName name="IQ_IMPORTS_GOODS_APR" hidden="1">"c7547"</definedName>
    <definedName name="IQ_IMPORTS_GOODS_APR_FC" hidden="1">"c8427"</definedName>
    <definedName name="IQ_IMPORTS_GOODS_FC" hidden="1">"c7767"</definedName>
    <definedName name="IQ_IMPORTS_GOODS_NONFACTOR_SERVICES" hidden="1">"c6888"</definedName>
    <definedName name="IQ_IMPORTS_GOODS_NONFACTOR_SERVICES_APR" hidden="1">"c7548"</definedName>
    <definedName name="IQ_IMPORTS_GOODS_NONFACTOR_SERVICES_APR_FC" hidden="1">"c8428"</definedName>
    <definedName name="IQ_IMPORTS_GOODS_NONFACTOR_SERVICES_FC" hidden="1">"c7768"</definedName>
    <definedName name="IQ_IMPORTS_GOODS_NONFACTOR_SERVICES_POP" hidden="1">"c7108"</definedName>
    <definedName name="IQ_IMPORTS_GOODS_NONFACTOR_SERVICES_POP_FC" hidden="1">"c7988"</definedName>
    <definedName name="IQ_IMPORTS_GOODS_NONFACTOR_SERVICES_YOY" hidden="1">"c7328"</definedName>
    <definedName name="IQ_IMPORTS_GOODS_NONFACTOR_SERVICES_YOY_FC" hidden="1">"c8208"</definedName>
    <definedName name="IQ_IMPORTS_GOODS_POP" hidden="1">"c7107"</definedName>
    <definedName name="IQ_IMPORTS_GOODS_POP_FC" hidden="1">"c7987"</definedName>
    <definedName name="IQ_IMPORTS_GOODS_REAL" hidden="1">"c11950"</definedName>
    <definedName name="IQ_IMPORTS_GOODS_REAL_APR" hidden="1">"c11953"</definedName>
    <definedName name="IQ_IMPORTS_GOODS_REAL_POP" hidden="1">"c11951"</definedName>
    <definedName name="IQ_IMPORTS_GOODS_REAL_SAAR_APR_FC_UNUSED" hidden="1">"c8523"</definedName>
    <definedName name="IQ_IMPORTS_GOODS_REAL_SAAR_APR_FC_UNUSED_UNUSED_UNUSED" hidden="1">"c8523"</definedName>
    <definedName name="IQ_IMPORTS_GOODS_REAL_SAAR_APR_UNUSED" hidden="1">"c7643"</definedName>
    <definedName name="IQ_IMPORTS_GOODS_REAL_SAAR_APR_UNUSED_UNUSED_UNUSED" hidden="1">"c7643"</definedName>
    <definedName name="IQ_IMPORTS_GOODS_REAL_SAAR_FC_UNUSED" hidden="1">"c7863"</definedName>
    <definedName name="IQ_IMPORTS_GOODS_REAL_SAAR_FC_UNUSED_UNUSED_UNUSED" hidden="1">"c7863"</definedName>
    <definedName name="IQ_IMPORTS_GOODS_REAL_SAAR_POP_FC_UNUSED" hidden="1">"c8083"</definedName>
    <definedName name="IQ_IMPORTS_GOODS_REAL_SAAR_POP_FC_UNUSED_UNUSED_UNUSED" hidden="1">"c8083"</definedName>
    <definedName name="IQ_IMPORTS_GOODS_REAL_SAAR_POP_UNUSED" hidden="1">"c7203"</definedName>
    <definedName name="IQ_IMPORTS_GOODS_REAL_SAAR_POP_UNUSED_UNUSED_UNUSED" hidden="1">"c7203"</definedName>
    <definedName name="IQ_IMPORTS_GOODS_REAL_SAAR_UNUSED" hidden="1">"c6983"</definedName>
    <definedName name="IQ_IMPORTS_GOODS_REAL_SAAR_UNUSED_UNUSED_UNUSED" hidden="1">"c6983"</definedName>
    <definedName name="IQ_IMPORTS_GOODS_REAL_SAAR_YOY_FC_UNUSED" hidden="1">"c8303"</definedName>
    <definedName name="IQ_IMPORTS_GOODS_REAL_SAAR_YOY_FC_UNUSED_UNUSED_UNUSED" hidden="1">"c8303"</definedName>
    <definedName name="IQ_IMPORTS_GOODS_REAL_SAAR_YOY_UNUSED" hidden="1">"c7423"</definedName>
    <definedName name="IQ_IMPORTS_GOODS_REAL_SAAR_YOY_UNUSED_UNUSED_UNUSED" hidden="1">"c7423"</definedName>
    <definedName name="IQ_IMPORTS_GOODS_REAL_YOY" hidden="1">"c11952"</definedName>
    <definedName name="IQ_IMPORTS_GOODS_SAAR" hidden="1">"c6891"</definedName>
    <definedName name="IQ_IMPORTS_GOODS_SAAR_APR" hidden="1">"c7551"</definedName>
    <definedName name="IQ_IMPORTS_GOODS_SAAR_APR_FC" hidden="1">"c8431"</definedName>
    <definedName name="IQ_IMPORTS_GOODS_SAAR_FC" hidden="1">"c7771"</definedName>
    <definedName name="IQ_IMPORTS_GOODS_SAAR_POP" hidden="1">"c7111"</definedName>
    <definedName name="IQ_IMPORTS_GOODS_SAAR_POP_FC" hidden="1">"c7991"</definedName>
    <definedName name="IQ_IMPORTS_GOODS_SAAR_USD_APR_FC" hidden="1">"c11849"</definedName>
    <definedName name="IQ_IMPORTS_GOODS_SAAR_USD_FC" hidden="1">"c11846"</definedName>
    <definedName name="IQ_IMPORTS_GOODS_SAAR_USD_POP_FC" hidden="1">"c11847"</definedName>
    <definedName name="IQ_IMPORTS_GOODS_SAAR_USD_YOY_FC" hidden="1">"c11848"</definedName>
    <definedName name="IQ_IMPORTS_GOODS_SAAR_YOY" hidden="1">"c7331"</definedName>
    <definedName name="IQ_IMPORTS_GOODS_SAAR_YOY_FC" hidden="1">"c8211"</definedName>
    <definedName name="IQ_IMPORTS_GOODS_SERVICES_APR_FC_UNUSED" hidden="1">"c8429"</definedName>
    <definedName name="IQ_IMPORTS_GOODS_SERVICES_APR_FC_UNUSED_UNUSED_UNUSED" hidden="1">"c8429"</definedName>
    <definedName name="IQ_IMPORTS_GOODS_SERVICES_APR_UNUSED" hidden="1">"c7549"</definedName>
    <definedName name="IQ_IMPORTS_GOODS_SERVICES_APR_UNUSED_UNUSED_UNUSED" hidden="1">"c7549"</definedName>
    <definedName name="IQ_IMPORTS_GOODS_SERVICES_FC_UNUSED" hidden="1">"c7769"</definedName>
    <definedName name="IQ_IMPORTS_GOODS_SERVICES_FC_UNUSED_UNUSED_UNUSED" hidden="1">"c7769"</definedName>
    <definedName name="IQ_IMPORTS_GOODS_SERVICES_POP_FC_UNUSED" hidden="1">"c7989"</definedName>
    <definedName name="IQ_IMPORTS_GOODS_SERVICES_POP_FC_UNUSED_UNUSED_UNUSED" hidden="1">"c7989"</definedName>
    <definedName name="IQ_IMPORTS_GOODS_SERVICES_POP_UNUSED" hidden="1">"c7109"</definedName>
    <definedName name="IQ_IMPORTS_GOODS_SERVICES_POP_UNUSED_UNUSED_UNUSED" hidden="1">"c7109"</definedName>
    <definedName name="IQ_IMPORTS_GOODS_SERVICES_REAL" hidden="1">"c6985"</definedName>
    <definedName name="IQ_IMPORTS_GOODS_SERVICES_REAL_APR" hidden="1">"c7645"</definedName>
    <definedName name="IQ_IMPORTS_GOODS_SERVICES_REAL_APR_FC" hidden="1">"c8525"</definedName>
    <definedName name="IQ_IMPORTS_GOODS_SERVICES_REAL_FC" hidden="1">"c7865"</definedName>
    <definedName name="IQ_IMPORTS_GOODS_SERVICES_REAL_POP" hidden="1">"c7205"</definedName>
    <definedName name="IQ_IMPORTS_GOODS_SERVICES_REAL_POP_FC" hidden="1">"c8085"</definedName>
    <definedName name="IQ_IMPORTS_GOODS_SERVICES_REAL_SAAR" hidden="1">"c11958"</definedName>
    <definedName name="IQ_IMPORTS_GOODS_SERVICES_REAL_SAAR_APR" hidden="1">"c11961"</definedName>
    <definedName name="IQ_IMPORTS_GOODS_SERVICES_REAL_SAAR_APR_FC_UNUSED" hidden="1">"c8524"</definedName>
    <definedName name="IQ_IMPORTS_GOODS_SERVICES_REAL_SAAR_APR_FC_UNUSED_UNUSED_UNUSED" hidden="1">"c8524"</definedName>
    <definedName name="IQ_IMPORTS_GOODS_SERVICES_REAL_SAAR_APR_UNUSED" hidden="1">"c7644"</definedName>
    <definedName name="IQ_IMPORTS_GOODS_SERVICES_REAL_SAAR_APR_UNUSED_UNUSED_UNUSED" hidden="1">"c7644"</definedName>
    <definedName name="IQ_IMPORTS_GOODS_SERVICES_REAL_SAAR_FC_UNUSED" hidden="1">"c7864"</definedName>
    <definedName name="IQ_IMPORTS_GOODS_SERVICES_REAL_SAAR_FC_UNUSED_UNUSED_UNUSED" hidden="1">"c7864"</definedName>
    <definedName name="IQ_IMPORTS_GOODS_SERVICES_REAL_SAAR_POP" hidden="1">"c11959"</definedName>
    <definedName name="IQ_IMPORTS_GOODS_SERVICES_REAL_SAAR_POP_FC_UNUSED" hidden="1">"c8084"</definedName>
    <definedName name="IQ_IMPORTS_GOODS_SERVICES_REAL_SAAR_POP_FC_UNUSED_UNUSED_UNUSED" hidden="1">"c8084"</definedName>
    <definedName name="IQ_IMPORTS_GOODS_SERVICES_REAL_SAAR_POP_UNUSED" hidden="1">"c7204"</definedName>
    <definedName name="IQ_IMPORTS_GOODS_SERVICES_REAL_SAAR_POP_UNUSED_UNUSED_UNUSED" hidden="1">"c7204"</definedName>
    <definedName name="IQ_IMPORTS_GOODS_SERVICES_REAL_SAAR_UNUSED" hidden="1">"c6984"</definedName>
    <definedName name="IQ_IMPORTS_GOODS_SERVICES_REAL_SAAR_UNUSED_UNUSED_UNUSED" hidden="1">"c6984"</definedName>
    <definedName name="IQ_IMPORTS_GOODS_SERVICES_REAL_SAAR_USD" hidden="1">"c11962"</definedName>
    <definedName name="IQ_IMPORTS_GOODS_SERVICES_REAL_SAAR_USD_APR" hidden="1">"c11965"</definedName>
    <definedName name="IQ_IMPORTS_GOODS_SERVICES_REAL_SAAR_USD_APR_FC" hidden="1">"c11969"</definedName>
    <definedName name="IQ_IMPORTS_GOODS_SERVICES_REAL_SAAR_USD_FC" hidden="1">"c11966"</definedName>
    <definedName name="IQ_IMPORTS_GOODS_SERVICES_REAL_SAAR_USD_POP" hidden="1">"c11963"</definedName>
    <definedName name="IQ_IMPORTS_GOODS_SERVICES_REAL_SAAR_USD_POP_FC" hidden="1">"c11967"</definedName>
    <definedName name="IQ_IMPORTS_GOODS_SERVICES_REAL_SAAR_USD_YOY" hidden="1">"c11964"</definedName>
    <definedName name="IQ_IMPORTS_GOODS_SERVICES_REAL_SAAR_USD_YOY_FC" hidden="1">"c11968"</definedName>
    <definedName name="IQ_IMPORTS_GOODS_SERVICES_REAL_SAAR_YOY" hidden="1">"c11960"</definedName>
    <definedName name="IQ_IMPORTS_GOODS_SERVICES_REAL_SAAR_YOY_FC_UNUSED" hidden="1">"c8304"</definedName>
    <definedName name="IQ_IMPORTS_GOODS_SERVICES_REAL_SAAR_YOY_FC_UNUSED_UNUSED_UNUSED" hidden="1">"c8304"</definedName>
    <definedName name="IQ_IMPORTS_GOODS_SERVICES_REAL_SAAR_YOY_UNUSED" hidden="1">"c7424"</definedName>
    <definedName name="IQ_IMPORTS_GOODS_SERVICES_REAL_SAAR_YOY_UNUSED_UNUSED_UNUSED" hidden="1">"c7424"</definedName>
    <definedName name="IQ_IMPORTS_GOODS_SERVICES_REAL_USD" hidden="1">"c11954"</definedName>
    <definedName name="IQ_IMPORTS_GOODS_SERVICES_REAL_USD_APR" hidden="1">"c11957"</definedName>
    <definedName name="IQ_IMPORTS_GOODS_SERVICES_REAL_USD_POP" hidden="1">"c11955"</definedName>
    <definedName name="IQ_IMPORTS_GOODS_SERVICES_REAL_USD_YOY" hidden="1">"c11956"</definedName>
    <definedName name="IQ_IMPORTS_GOODS_SERVICES_REAL_YOY" hidden="1">"c7425"</definedName>
    <definedName name="IQ_IMPORTS_GOODS_SERVICES_REAL_YOY_FC" hidden="1">"c8305"</definedName>
    <definedName name="IQ_IMPORTS_GOODS_SERVICES_SAAR" hidden="1">"c6890"</definedName>
    <definedName name="IQ_IMPORTS_GOODS_SERVICES_SAAR_APR" hidden="1">"c7550"</definedName>
    <definedName name="IQ_IMPORTS_GOODS_SERVICES_SAAR_APR_FC" hidden="1">"c8430"</definedName>
    <definedName name="IQ_IMPORTS_GOODS_SERVICES_SAAR_FC" hidden="1">"c7770"</definedName>
    <definedName name="IQ_IMPORTS_GOODS_SERVICES_SAAR_POP" hidden="1">"c7110"</definedName>
    <definedName name="IQ_IMPORTS_GOODS_SERVICES_SAAR_POP_FC" hidden="1">"c7990"</definedName>
    <definedName name="IQ_IMPORTS_GOODS_SERVICES_SAAR_YOY" hidden="1">"c7330"</definedName>
    <definedName name="IQ_IMPORTS_GOODS_SERVICES_SAAR_YOY_FC" hidden="1">"c8210"</definedName>
    <definedName name="IQ_IMPORTS_GOODS_SERVICES_UNUSED" hidden="1">"c6889"</definedName>
    <definedName name="IQ_IMPORTS_GOODS_SERVICES_UNUSED_UNUSED_UNUSED" hidden="1">"c6889"</definedName>
    <definedName name="IQ_IMPORTS_GOODS_SERVICES_USD" hidden="1">"c11842"</definedName>
    <definedName name="IQ_IMPORTS_GOODS_SERVICES_USD_APR" hidden="1">"c11845"</definedName>
    <definedName name="IQ_IMPORTS_GOODS_SERVICES_USD_POP" hidden="1">"c11843"</definedName>
    <definedName name="IQ_IMPORTS_GOODS_SERVICES_USD_YOY" hidden="1">"c11844"</definedName>
    <definedName name="IQ_IMPORTS_GOODS_SERVICES_YOY_FC_UNUSED" hidden="1">"c8209"</definedName>
    <definedName name="IQ_IMPORTS_GOODS_SERVICES_YOY_FC_UNUSED_UNUSED_UNUSED" hidden="1">"c8209"</definedName>
    <definedName name="IQ_IMPORTS_GOODS_SERVICES_YOY_UNUSED" hidden="1">"c7329"</definedName>
    <definedName name="IQ_IMPORTS_GOODS_SERVICES_YOY_UNUSED_UNUSED_UNUSED" hidden="1">"c7329"</definedName>
    <definedName name="IQ_IMPORTS_GOODS_USD_APR_FC" hidden="1">"c11841"</definedName>
    <definedName name="IQ_IMPORTS_GOODS_USD_FC" hidden="1">"c11838"</definedName>
    <definedName name="IQ_IMPORTS_GOODS_USD_POP_FC" hidden="1">"c11839"</definedName>
    <definedName name="IQ_IMPORTS_GOODS_USD_YOY_FC" hidden="1">"c11840"</definedName>
    <definedName name="IQ_IMPORTS_GOODS_YOY" hidden="1">"c7327"</definedName>
    <definedName name="IQ_IMPORTS_GOODS_YOY_FC" hidden="1">"c8207"</definedName>
    <definedName name="IQ_IMPORTS_NONFACTOR_SERVICES" hidden="1">"c6892"</definedName>
    <definedName name="IQ_IMPORTS_NONFACTOR_SERVICES_APR" hidden="1">"c7552"</definedName>
    <definedName name="IQ_IMPORTS_NONFACTOR_SERVICES_APR_FC" hidden="1">"c8432"</definedName>
    <definedName name="IQ_IMPORTS_NONFACTOR_SERVICES_FC" hidden="1">"c7772"</definedName>
    <definedName name="IQ_IMPORTS_NONFACTOR_SERVICES_POP" hidden="1">"c7112"</definedName>
    <definedName name="IQ_IMPORTS_NONFACTOR_SERVICES_POP_FC" hidden="1">"c7992"</definedName>
    <definedName name="IQ_IMPORTS_NONFACTOR_SERVICES_SAAR" hidden="1">"c6893"</definedName>
    <definedName name="IQ_IMPORTS_NONFACTOR_SERVICES_SAAR_APR" hidden="1">"c7553"</definedName>
    <definedName name="IQ_IMPORTS_NONFACTOR_SERVICES_SAAR_APR_FC" hidden="1">"c8433"</definedName>
    <definedName name="IQ_IMPORTS_NONFACTOR_SERVICES_SAAR_FC" hidden="1">"c7773"</definedName>
    <definedName name="IQ_IMPORTS_NONFACTOR_SERVICES_SAAR_POP" hidden="1">"c7113"</definedName>
    <definedName name="IQ_IMPORTS_NONFACTOR_SERVICES_SAAR_POP_FC" hidden="1">"c7993"</definedName>
    <definedName name="IQ_IMPORTS_NONFACTOR_SERVICES_SAAR_USD_APR_FC" hidden="1">"c11857"</definedName>
    <definedName name="IQ_IMPORTS_NONFACTOR_SERVICES_SAAR_USD_FC" hidden="1">"c11854"</definedName>
    <definedName name="IQ_IMPORTS_NONFACTOR_SERVICES_SAAR_USD_POP_FC" hidden="1">"c11855"</definedName>
    <definedName name="IQ_IMPORTS_NONFACTOR_SERVICES_SAAR_USD_YOY_FC" hidden="1">"c11856"</definedName>
    <definedName name="IQ_IMPORTS_NONFACTOR_SERVICES_SAAR_YOY" hidden="1">"c7333"</definedName>
    <definedName name="IQ_IMPORTS_NONFACTOR_SERVICES_SAAR_YOY_FC" hidden="1">"c8213"</definedName>
    <definedName name="IQ_IMPORTS_NONFACTOR_SERVICES_USD_APR_FC" hidden="1">"c11853"</definedName>
    <definedName name="IQ_IMPORTS_NONFACTOR_SERVICES_USD_FC" hidden="1">"c11850"</definedName>
    <definedName name="IQ_IMPORTS_NONFACTOR_SERVICES_USD_POP_FC" hidden="1">"c11851"</definedName>
    <definedName name="IQ_IMPORTS_NONFACTOR_SERVICES_USD_YOY_FC" hidden="1">"c11852"</definedName>
    <definedName name="IQ_IMPORTS_NONFACTOR_SERVICES_YOY" hidden="1">"c7332"</definedName>
    <definedName name="IQ_IMPORTS_NONFACTOR_SERVICES_YOY_FC" hidden="1">"c8212"</definedName>
    <definedName name="IQ_IMPORTS_SERVICES" hidden="1">"c11858"</definedName>
    <definedName name="IQ_IMPORTS_SERVICES_APR" hidden="1">"c11861"</definedName>
    <definedName name="IQ_IMPORTS_SERVICES_POP" hidden="1">"c11859"</definedName>
    <definedName name="IQ_IMPORTS_SERVICES_REAL" hidden="1">"c6986"</definedName>
    <definedName name="IQ_IMPORTS_SERVICES_REAL_APR" hidden="1">"c7646"</definedName>
    <definedName name="IQ_IMPORTS_SERVICES_REAL_APR_FC" hidden="1">"c8526"</definedName>
    <definedName name="IQ_IMPORTS_SERVICES_REAL_FC" hidden="1">"c7866"</definedName>
    <definedName name="IQ_IMPORTS_SERVICES_REAL_POP" hidden="1">"c7206"</definedName>
    <definedName name="IQ_IMPORTS_SERVICES_REAL_POP_FC" hidden="1">"c8086"</definedName>
    <definedName name="IQ_IMPORTS_SERVICES_REAL_YOY" hidden="1">"c7426"</definedName>
    <definedName name="IQ_IMPORTS_SERVICES_REAL_YOY_FC" hidden="1">"c8306"</definedName>
    <definedName name="IQ_IMPORTS_SERVICES_YOY" hidden="1">"c11860"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DOM_LOANS_FFIEC" hidden="1">"c12975"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CHECKS_FFIEC" hidden="1">"c13040"</definedName>
    <definedName name="IQ_INCOME_EARNED_FDIC" hidden="1">"c6359"</definedName>
    <definedName name="IQ_INCOME_FIDUCIARY_ACTIVITIES_FFIEC" hidden="1">"c13002"</definedName>
    <definedName name="IQ_INCOME_LEASE_FINANCING_REC_FFIEC" hidden="1">"c12980"</definedName>
    <definedName name="IQ_INCOME_LOANS_LEASES_TAX_EXEMPT_FFIEC" hidden="1">"c13038"</definedName>
    <definedName name="IQ_INCOME_OTHER_INSURANCE_ACTIVITIES_FFIEC" hidden="1">"c13009"</definedName>
    <definedName name="IQ_INCOME_SALE_MUTUAL_FUNDS_DOM_FFIEC" hidden="1">"c13069"</definedName>
    <definedName name="IQ_INCOME_SECURITIES_TAX_EXEMPT_FFIEC" hidden="1">"c13039"</definedName>
    <definedName name="IQ_INCOME_TAX_FOREIGN_FFIEC" hidden="1">"c15391"</definedName>
    <definedName name="IQ_INCOME_TAXES_FDIC" hidden="1">"c6582"</definedName>
    <definedName name="IQ_INCOME_TAXES_FFIEC" hidden="1">"c13030"</definedName>
    <definedName name="IQ_INCREASE_INT_INCOME_FFIEC" hidden="1">"c13063"</definedName>
    <definedName name="IQ_INDEX_CURRENCY" hidden="1">"c15224"</definedName>
    <definedName name="IQ_INDEX_LEADING_IND" hidden="1">"c6894"</definedName>
    <definedName name="IQ_INDEX_LEADING_IND_APR" hidden="1">"c7554"</definedName>
    <definedName name="IQ_INDEX_LEADING_IND_APR_FC" hidden="1">"c8434"</definedName>
    <definedName name="IQ_INDEX_LEADING_IND_FC" hidden="1">"c7774"</definedName>
    <definedName name="IQ_INDEX_LEADING_IND_POP" hidden="1">"c7114"</definedName>
    <definedName name="IQ_INDEX_LEADING_IND_POP_FC" hidden="1">"c7994"</definedName>
    <definedName name="IQ_INDEX_LEADING_IND_YOY" hidden="1">"c7334"</definedName>
    <definedName name="IQ_INDEX_LEADING_IND_YOY_FC" hidden="1">"c8214"</definedName>
    <definedName name="IQ_INDEX_TYPE" hidden="1">"c15223"</definedName>
    <definedName name="IQ_INDICATED_ATTRIB_ORE_RESOURCES_ALUM" hidden="1">"c9238"</definedName>
    <definedName name="IQ_INDICATED_ATTRIB_ORE_RESOURCES_COP" hidden="1">"c9182"</definedName>
    <definedName name="IQ_INDICATED_ATTRIB_ORE_RESOURCES_DIAM" hidden="1">"c9662"</definedName>
    <definedName name="IQ_INDICATED_ATTRIB_ORE_RESOURCES_GOLD" hidden="1">"c9023"</definedName>
    <definedName name="IQ_INDICATED_ATTRIB_ORE_RESOURCES_IRON" hidden="1">"c9397"</definedName>
    <definedName name="IQ_INDICATED_ATTRIB_ORE_RESOURCES_LEAD" hidden="1">"c9450"</definedName>
    <definedName name="IQ_INDICATED_ATTRIB_ORE_RESOURCES_MANG" hidden="1">"c9503"</definedName>
    <definedName name="IQ_INDICATED_ATTRIB_ORE_RESOURCES_MOLYB" hidden="1">"c9715"</definedName>
    <definedName name="IQ_INDICATED_ATTRIB_ORE_RESOURCES_NICK" hidden="1">"c9291"</definedName>
    <definedName name="IQ_INDICATED_ATTRIB_ORE_RESOURCES_PLAT" hidden="1">"c9129"</definedName>
    <definedName name="IQ_INDICATED_ATTRIB_ORE_RESOURCES_SILVER" hidden="1">"c9076"</definedName>
    <definedName name="IQ_INDICATED_ATTRIB_ORE_RESOURCES_TITAN" hidden="1">"c9556"</definedName>
    <definedName name="IQ_INDICATED_ATTRIB_ORE_RESOURCES_URAN" hidden="1">"c9609"</definedName>
    <definedName name="IQ_INDICATED_ATTRIB_ORE_RESOURCES_ZINC" hidden="1">"c9344"</definedName>
    <definedName name="IQ_INDICATED_ORE_RESOURCES_ALUM" hidden="1">"c9224"</definedName>
    <definedName name="IQ_INDICATED_ORE_RESOURCES_COP" hidden="1">"c9168"</definedName>
    <definedName name="IQ_INDICATED_ORE_RESOURCES_DIAM" hidden="1">"c9648"</definedName>
    <definedName name="IQ_INDICATED_ORE_RESOURCES_GOLD" hidden="1">"c9009"</definedName>
    <definedName name="IQ_INDICATED_ORE_RESOURCES_IRON" hidden="1">"c9383"</definedName>
    <definedName name="IQ_INDICATED_ORE_RESOURCES_LEAD" hidden="1">"c9436"</definedName>
    <definedName name="IQ_INDICATED_ORE_RESOURCES_MANG" hidden="1">"c9489"</definedName>
    <definedName name="IQ_INDICATED_ORE_RESOURCES_MOLYB" hidden="1">"c9701"</definedName>
    <definedName name="IQ_INDICATED_ORE_RESOURCES_NICK" hidden="1">"c9277"</definedName>
    <definedName name="IQ_INDICATED_ORE_RESOURCES_PLAT" hidden="1">"c9115"</definedName>
    <definedName name="IQ_INDICATED_ORE_RESOURCES_SILVER" hidden="1">"c9062"</definedName>
    <definedName name="IQ_INDICATED_ORE_RESOURCES_TITAN" hidden="1">"c9542"</definedName>
    <definedName name="IQ_INDICATED_ORE_RESOURCES_URAN" hidden="1">"c9595"</definedName>
    <definedName name="IQ_INDICATED_ORE_RESOURCES_ZINC" hidden="1">"c9330"</definedName>
    <definedName name="IQ_INDICATED_RECOV_ATTRIB_RESOURCES_ALUM" hidden="1">"c9243"</definedName>
    <definedName name="IQ_INDICATED_RECOV_ATTRIB_RESOURCES_COAL" hidden="1">"c9817"</definedName>
    <definedName name="IQ_INDICATED_RECOV_ATTRIB_RESOURCES_COP" hidden="1">"c9187"</definedName>
    <definedName name="IQ_INDICATED_RECOV_ATTRIB_RESOURCES_DIAM" hidden="1">"c9667"</definedName>
    <definedName name="IQ_INDICATED_RECOV_ATTRIB_RESOURCES_GOLD" hidden="1">"c9028"</definedName>
    <definedName name="IQ_INDICATED_RECOV_ATTRIB_RESOURCES_IRON" hidden="1">"c9402"</definedName>
    <definedName name="IQ_INDICATED_RECOV_ATTRIB_RESOURCES_LEAD" hidden="1">"c9455"</definedName>
    <definedName name="IQ_INDICATED_RECOV_ATTRIB_RESOURCES_MANG" hidden="1">"c9508"</definedName>
    <definedName name="IQ_INDICATED_RECOV_ATTRIB_RESOURCES_MET_COAL" hidden="1">"c9757"</definedName>
    <definedName name="IQ_INDICATED_RECOV_ATTRIB_RESOURCES_MOLYB" hidden="1">"c9720"</definedName>
    <definedName name="IQ_INDICATED_RECOV_ATTRIB_RESOURCES_NICK" hidden="1">"c9296"</definedName>
    <definedName name="IQ_INDICATED_RECOV_ATTRIB_RESOURCES_PLAT" hidden="1">"c9134"</definedName>
    <definedName name="IQ_INDICATED_RECOV_ATTRIB_RESOURCES_SILVER" hidden="1">"c9081"</definedName>
    <definedName name="IQ_INDICATED_RECOV_ATTRIB_RESOURCES_STEAM" hidden="1">"c9787"</definedName>
    <definedName name="IQ_INDICATED_RECOV_ATTRIB_RESOURCES_TITAN" hidden="1">"c9561"</definedName>
    <definedName name="IQ_INDICATED_RECOV_ATTRIB_RESOURCES_URAN" hidden="1">"c9614"</definedName>
    <definedName name="IQ_INDICATED_RECOV_ATTRIB_RESOURCES_ZINC" hidden="1">"c9349"</definedName>
    <definedName name="IQ_INDICATED_RECOV_RESOURCES_ALUM" hidden="1">"c9233"</definedName>
    <definedName name="IQ_INDICATED_RECOV_RESOURCES_COAL" hidden="1">"c9812"</definedName>
    <definedName name="IQ_INDICATED_RECOV_RESOURCES_COP" hidden="1">"c9177"</definedName>
    <definedName name="IQ_INDICATED_RECOV_RESOURCES_DIAM" hidden="1">"c9657"</definedName>
    <definedName name="IQ_INDICATED_RECOV_RESOURCES_GOLD" hidden="1">"c9018"</definedName>
    <definedName name="IQ_INDICATED_RECOV_RESOURCES_IRON" hidden="1">"c9392"</definedName>
    <definedName name="IQ_INDICATED_RECOV_RESOURCES_LEAD" hidden="1">"c9445"</definedName>
    <definedName name="IQ_INDICATED_RECOV_RESOURCES_MANG" hidden="1">"c9498"</definedName>
    <definedName name="IQ_INDICATED_RECOV_RESOURCES_MET_COAL" hidden="1">"c9752"</definedName>
    <definedName name="IQ_INDICATED_RECOV_RESOURCES_MOLYB" hidden="1">"c9710"</definedName>
    <definedName name="IQ_INDICATED_RECOV_RESOURCES_NICK" hidden="1">"c9286"</definedName>
    <definedName name="IQ_INDICATED_RECOV_RESOURCES_PLAT" hidden="1">"c9124"</definedName>
    <definedName name="IQ_INDICATED_RECOV_RESOURCES_SILVER" hidden="1">"c9071"</definedName>
    <definedName name="IQ_INDICATED_RECOV_RESOURCES_STEAM" hidden="1">"c9782"</definedName>
    <definedName name="IQ_INDICATED_RECOV_RESOURCES_TITAN" hidden="1">"c9551"</definedName>
    <definedName name="IQ_INDICATED_RECOV_RESOURCES_URAN" hidden="1">"c9604"</definedName>
    <definedName name="IQ_INDICATED_RECOV_RESOURCES_ZINC" hidden="1">"c9339"</definedName>
    <definedName name="IQ_INDICATED_RESOURCES_CALORIFIC_VALUE_COAL" hidden="1">"c9807"</definedName>
    <definedName name="IQ_INDICATED_RESOURCES_CALORIFIC_VALUE_MET_COAL" hidden="1">"c9747"</definedName>
    <definedName name="IQ_INDICATED_RESOURCES_CALORIFIC_VALUE_STEAM" hidden="1">"c9777"</definedName>
    <definedName name="IQ_INDICATED_RESOURCES_GRADE_ALUM" hidden="1">"c9225"</definedName>
    <definedName name="IQ_INDICATED_RESOURCES_GRADE_COP" hidden="1">"c9169"</definedName>
    <definedName name="IQ_INDICATED_RESOURCES_GRADE_DIAM" hidden="1">"c9649"</definedName>
    <definedName name="IQ_INDICATED_RESOURCES_GRADE_GOLD" hidden="1">"c9010"</definedName>
    <definedName name="IQ_INDICATED_RESOURCES_GRADE_IRON" hidden="1">"c9384"</definedName>
    <definedName name="IQ_INDICATED_RESOURCES_GRADE_LEAD" hidden="1">"c9437"</definedName>
    <definedName name="IQ_INDICATED_RESOURCES_GRADE_MANG" hidden="1">"c9490"</definedName>
    <definedName name="IQ_INDICATED_RESOURCES_GRADE_MOLYB" hidden="1">"c9702"</definedName>
    <definedName name="IQ_INDICATED_RESOURCES_GRADE_NICK" hidden="1">"c9278"</definedName>
    <definedName name="IQ_INDICATED_RESOURCES_GRADE_PLAT" hidden="1">"c9116"</definedName>
    <definedName name="IQ_INDICATED_RESOURCES_GRADE_SILVER" hidden="1">"c9063"</definedName>
    <definedName name="IQ_INDICATED_RESOURCES_GRADE_TITAN" hidden="1">"c9543"</definedName>
    <definedName name="IQ_INDICATED_RESOURCES_GRADE_URAN" hidden="1">"c9596"</definedName>
    <definedName name="IQ_INDICATED_RESOURCES_GRADE_ZINC" hidden="1">"c9331"</definedName>
    <definedName name="IQ_INDIVIDUAL" hidden="1">"c15182"</definedName>
    <definedName name="IQ_INDIVIDUAL_ACTIVE_BOARD_MEMBERSHIPS" hidden="1">"c15201"</definedName>
    <definedName name="IQ_INDIVIDUAL_ACTIVE_PRO_AFFILIATIONS" hidden="1">"c15199"</definedName>
    <definedName name="IQ_INDIVIDUAL_AGE" hidden="1">"c15191"</definedName>
    <definedName name="IQ_INDIVIDUAL_ASSISTANT_EMAIL" hidden="1">"c15206"</definedName>
    <definedName name="IQ_INDIVIDUAL_ASSISTANT_FAX" hidden="1">"c15208"</definedName>
    <definedName name="IQ_INDIVIDUAL_ASSISTANT_NAME" hidden="1">"c15205"</definedName>
    <definedName name="IQ_INDIVIDUAL_ASSISTANT_PHONE" hidden="1">"c15207"</definedName>
    <definedName name="IQ_INDIVIDUAL_BACKGROUND" hidden="1">"c15184"</definedName>
    <definedName name="IQ_INDIVIDUAL_DIRECT_FAX" hidden="1">"c15189"</definedName>
    <definedName name="IQ_INDIVIDUAL_DIRECT_PHONE" hidden="1">"c15188"</definedName>
    <definedName name="IQ_INDIVIDUAL_EDUCATION" hidden="1">"c15203"</definedName>
    <definedName name="IQ_INDIVIDUAL_EMAIL" hidden="1">"c15193"</definedName>
    <definedName name="IQ_INDIVIDUAL_FAMILY_LOAN_DOM_QUARTERLY_AVG_FFIEC" hidden="1">"c15479"</definedName>
    <definedName name="IQ_INDIVIDUAL_HOME_ADDRESS" hidden="1">"c15194"</definedName>
    <definedName name="IQ_INDIVIDUAL_HOME_FAX" hidden="1">"c15196"</definedName>
    <definedName name="IQ_INDIVIDUAL_HOME_PHONE" hidden="1">"c15195"</definedName>
    <definedName name="IQ_INDIVIDUAL_MAIN_FAX" hidden="1">"c15187"</definedName>
    <definedName name="IQ_INDIVIDUAL_MAIN_PHONE" hidden="1">"c15186"</definedName>
    <definedName name="IQ_INDIVIDUAL_MOBILE" hidden="1">"c15198"</definedName>
    <definedName name="IQ_INDIVIDUAL_NICKNAME" hidden="1">"c15192"</definedName>
    <definedName name="IQ_INDIVIDUAL_NOTES" hidden="1">"c15204"</definedName>
    <definedName name="IQ_INDIVIDUAL_OFFICE_ADDRESS" hidden="1">"c15185"</definedName>
    <definedName name="IQ_INDIVIDUAL_OTHER_PHONE" hidden="1">"c15197"</definedName>
    <definedName name="IQ_INDIVIDUAL_PARTNER_CORP_NON_TRANS_ACCTS_FFIEC" hidden="1">"c15322"</definedName>
    <definedName name="IQ_INDIVIDUAL_PARTNER_CORP_TRANS_ACCTS_FFIEC" hidden="1">"c15314"</definedName>
    <definedName name="IQ_INDIVIDUAL_PARTNER_CORPS_FOREIGN_DEP_FFIEC" hidden="1">"c15342"</definedName>
    <definedName name="IQ_INDIVIDUAL_PRIOR_BOARD_MEMBERSHIPS" hidden="1">"c15202"</definedName>
    <definedName name="IQ_INDIVIDUAL_PRIOR_PRO_AFFILIATIONS" hidden="1">"c15200"</definedName>
    <definedName name="IQ_INDIVIDUAL_SPECIALTY" hidden="1">"c15190"</definedName>
    <definedName name="IQ_INDIVIDUAL_TITLE" hidden="1">"c15183"</definedName>
    <definedName name="IQ_INDIVIDUALS_CHARGE_OFFS_FDIC" hidden="1">"c6599"</definedName>
    <definedName name="IQ_INDIVIDUALS_GROSS_LOANS_FFIEC" hidden="1">"c13411"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IVIDUALS_RISK_BASED_FFIEC" hidden="1">"c13432"</definedName>
    <definedName name="IQ_INDUSTRIAL_PROD" hidden="1">"c6895"</definedName>
    <definedName name="IQ_INDUSTRIAL_PROD_APR" hidden="1">"c7555"</definedName>
    <definedName name="IQ_INDUSTRIAL_PROD_APR_FC" hidden="1">"c8435"</definedName>
    <definedName name="IQ_INDUSTRIAL_PROD_FC" hidden="1">"c7775"</definedName>
    <definedName name="IQ_INDUSTRIAL_PROD_POP" hidden="1">"c7115"</definedName>
    <definedName name="IQ_INDUSTRIAL_PROD_POP_FC" hidden="1">"c7995"</definedName>
    <definedName name="IQ_INDUSTRIAL_PROD_YOY" hidden="1">"c7335"</definedName>
    <definedName name="IQ_INDUSTRIAL_PROD_YOY_FC" hidden="1">"c8215"</definedName>
    <definedName name="IQ_INDUSTRY" hidden="1">"c3601"</definedName>
    <definedName name="IQ_INDUSTRY_GROUP" hidden="1">"c3602"</definedName>
    <definedName name="IQ_INDUSTRY_SECTOR" hidden="1">"c3603"</definedName>
    <definedName name="IQ_INFERRED_ATTRIB_ORE_RESOURCES_ALUM" hidden="1">"c9240"</definedName>
    <definedName name="IQ_INFERRED_ATTRIB_ORE_RESOURCES_COP" hidden="1">"c9184"</definedName>
    <definedName name="IQ_INFERRED_ATTRIB_ORE_RESOURCES_DIAM" hidden="1">"c9664"</definedName>
    <definedName name="IQ_INFERRED_ATTRIB_ORE_RESOURCES_GOLD" hidden="1">"c9025"</definedName>
    <definedName name="IQ_INFERRED_ATTRIB_ORE_RESOURCES_IRON" hidden="1">"c9399"</definedName>
    <definedName name="IQ_INFERRED_ATTRIB_ORE_RESOURCES_LEAD" hidden="1">"c9452"</definedName>
    <definedName name="IQ_INFERRED_ATTRIB_ORE_RESOURCES_MANG" hidden="1">"c9505"</definedName>
    <definedName name="IQ_INFERRED_ATTRIB_ORE_RESOURCES_MOLYB" hidden="1">"c9717"</definedName>
    <definedName name="IQ_INFERRED_ATTRIB_ORE_RESOURCES_NICK" hidden="1">"c9293"</definedName>
    <definedName name="IQ_INFERRED_ATTRIB_ORE_RESOURCES_PLAT" hidden="1">"c9131"</definedName>
    <definedName name="IQ_INFERRED_ATTRIB_ORE_RESOURCES_SILVER" hidden="1">"c9078"</definedName>
    <definedName name="IQ_INFERRED_ATTRIB_ORE_RESOURCES_TITAN" hidden="1">"c9558"</definedName>
    <definedName name="IQ_INFERRED_ATTRIB_ORE_RESOURCES_URAN" hidden="1">"c9611"</definedName>
    <definedName name="IQ_INFERRED_ATTRIB_ORE_RESOURCES_ZINC" hidden="1">"c9346"</definedName>
    <definedName name="IQ_INFERRED_ORE_RESOURCES_ALUM" hidden="1">"c9228"</definedName>
    <definedName name="IQ_INFERRED_ORE_RESOURCES_COP" hidden="1">"c9172"</definedName>
    <definedName name="IQ_INFERRED_ORE_RESOURCES_DIAM" hidden="1">"c9652"</definedName>
    <definedName name="IQ_INFERRED_ORE_RESOURCES_GOLD" hidden="1">"c9013"</definedName>
    <definedName name="IQ_INFERRED_ORE_RESOURCES_IRON" hidden="1">"c9387"</definedName>
    <definedName name="IQ_INFERRED_ORE_RESOURCES_LEAD" hidden="1">"c9440"</definedName>
    <definedName name="IQ_INFERRED_ORE_RESOURCES_MANG" hidden="1">"c9493"</definedName>
    <definedName name="IQ_INFERRED_ORE_RESOURCES_MOLYB" hidden="1">"c9705"</definedName>
    <definedName name="IQ_INFERRED_ORE_RESOURCES_NICK" hidden="1">"c9281"</definedName>
    <definedName name="IQ_INFERRED_ORE_RESOURCES_PLAT" hidden="1">"c9119"</definedName>
    <definedName name="IQ_INFERRED_ORE_RESOURCES_SILVER" hidden="1">"c9066"</definedName>
    <definedName name="IQ_INFERRED_ORE_RESOURCES_TITAN" hidden="1">"c9546"</definedName>
    <definedName name="IQ_INFERRED_ORE_RESOURCES_URAN" hidden="1">"c9599"</definedName>
    <definedName name="IQ_INFERRED_ORE_RESOURCES_ZINC" hidden="1">"c9334"</definedName>
    <definedName name="IQ_INFERRED_RECOV_ATTRIB_RESOURCES_ALUM" hidden="1">"c9245"</definedName>
    <definedName name="IQ_INFERRED_RECOV_ATTRIB_RESOURCES_COAL" hidden="1">"c9819"</definedName>
    <definedName name="IQ_INFERRED_RECOV_ATTRIB_RESOURCES_COP" hidden="1">"c9189"</definedName>
    <definedName name="IQ_INFERRED_RECOV_ATTRIB_RESOURCES_DIAM" hidden="1">"c9669"</definedName>
    <definedName name="IQ_INFERRED_RECOV_ATTRIB_RESOURCES_GOLD" hidden="1">"c9030"</definedName>
    <definedName name="IQ_INFERRED_RECOV_ATTRIB_RESOURCES_IRON" hidden="1">"c9404"</definedName>
    <definedName name="IQ_INFERRED_RECOV_ATTRIB_RESOURCES_LEAD" hidden="1">"c9457"</definedName>
    <definedName name="IQ_INFERRED_RECOV_ATTRIB_RESOURCES_MANG" hidden="1">"c9510"</definedName>
    <definedName name="IQ_INFERRED_RECOV_ATTRIB_RESOURCES_MET_COAL" hidden="1">"c9759"</definedName>
    <definedName name="IQ_INFERRED_RECOV_ATTRIB_RESOURCES_MOLYB" hidden="1">"c9722"</definedName>
    <definedName name="IQ_INFERRED_RECOV_ATTRIB_RESOURCES_NICK" hidden="1">"c9298"</definedName>
    <definedName name="IQ_INFERRED_RECOV_ATTRIB_RESOURCES_PLAT" hidden="1">"c9136"</definedName>
    <definedName name="IQ_INFERRED_RECOV_ATTRIB_RESOURCES_SILVER" hidden="1">"c9083"</definedName>
    <definedName name="IQ_INFERRED_RECOV_ATTRIB_RESOURCES_STEAM" hidden="1">"c9789"</definedName>
    <definedName name="IQ_INFERRED_RECOV_ATTRIB_RESOURCES_TITAN" hidden="1">"c9563"</definedName>
    <definedName name="IQ_INFERRED_RECOV_ATTRIB_RESOURCES_URAN" hidden="1">"c9616"</definedName>
    <definedName name="IQ_INFERRED_RECOV_ATTRIB_RESOURCES_ZINC" hidden="1">"c9351"</definedName>
    <definedName name="IQ_INFERRED_RECOV_RESOURCES_ALUM" hidden="1">"c9235"</definedName>
    <definedName name="IQ_INFERRED_RECOV_RESOURCES_COAL" hidden="1">"c9814"</definedName>
    <definedName name="IQ_INFERRED_RECOV_RESOURCES_COP" hidden="1">"c9179"</definedName>
    <definedName name="IQ_INFERRED_RECOV_RESOURCES_DIAM" hidden="1">"c9659"</definedName>
    <definedName name="IQ_INFERRED_RECOV_RESOURCES_GOLD" hidden="1">"c9020"</definedName>
    <definedName name="IQ_INFERRED_RECOV_RESOURCES_IRON" hidden="1">"c9394"</definedName>
    <definedName name="IQ_INFERRED_RECOV_RESOURCES_LEAD" hidden="1">"c9447"</definedName>
    <definedName name="IQ_INFERRED_RECOV_RESOURCES_MANG" hidden="1">"c9500"</definedName>
    <definedName name="IQ_INFERRED_RECOV_RESOURCES_MET_COAL" hidden="1">"c9754"</definedName>
    <definedName name="IQ_INFERRED_RECOV_RESOURCES_MOLYB" hidden="1">"c9712"</definedName>
    <definedName name="IQ_INFERRED_RECOV_RESOURCES_NICK" hidden="1">"c9288"</definedName>
    <definedName name="IQ_INFERRED_RECOV_RESOURCES_PLAT" hidden="1">"c9126"</definedName>
    <definedName name="IQ_INFERRED_RECOV_RESOURCES_SILVER" hidden="1">"c9073"</definedName>
    <definedName name="IQ_INFERRED_RECOV_RESOURCES_STEAM" hidden="1">"c9784"</definedName>
    <definedName name="IQ_INFERRED_RECOV_RESOURCES_TITAN" hidden="1">"c9553"</definedName>
    <definedName name="IQ_INFERRED_RECOV_RESOURCES_URAN" hidden="1">"c9606"</definedName>
    <definedName name="IQ_INFERRED_RECOV_RESOURCES_ZINC" hidden="1">"c9341"</definedName>
    <definedName name="IQ_INFERRED_RESOURCES_CALORIFIC_VALUE_COAL" hidden="1">"c9809"</definedName>
    <definedName name="IQ_INFERRED_RESOURCES_CALORIFIC_VALUE_MET_COAL" hidden="1">"c9749"</definedName>
    <definedName name="IQ_INFERRED_RESOURCES_CALORIFIC_VALUE_STEAM" hidden="1">"c9779"</definedName>
    <definedName name="IQ_INFERRED_RESOURCES_GRADE_ALUM" hidden="1">"c9229"</definedName>
    <definedName name="IQ_INFERRED_RESOURCES_GRADE_COP" hidden="1">"c9173"</definedName>
    <definedName name="IQ_INFERRED_RESOURCES_GRADE_DIAM" hidden="1">"c9653"</definedName>
    <definedName name="IQ_INFERRED_RESOURCES_GRADE_GOLD" hidden="1">"c9014"</definedName>
    <definedName name="IQ_INFERRED_RESOURCES_GRADE_IRON" hidden="1">"c9388"</definedName>
    <definedName name="IQ_INFERRED_RESOURCES_GRADE_LEAD" hidden="1">"c9441"</definedName>
    <definedName name="IQ_INFERRED_RESOURCES_GRADE_MANG" hidden="1">"c9494"</definedName>
    <definedName name="IQ_INFERRED_RESOURCES_GRADE_MOLYB" hidden="1">"c9706"</definedName>
    <definedName name="IQ_INFERRED_RESOURCES_GRADE_NICK" hidden="1">"c9282"</definedName>
    <definedName name="IQ_INFERRED_RESOURCES_GRADE_PLAT" hidden="1">"c9120"</definedName>
    <definedName name="IQ_INFERRED_RESOURCES_GRADE_SILVER" hidden="1">"c9067"</definedName>
    <definedName name="IQ_INFERRED_RESOURCES_GRADE_TITAN" hidden="1">"c9547"</definedName>
    <definedName name="IQ_INFERRED_RESOURCES_GRADE_URAN" hidden="1">"c9600"</definedName>
    <definedName name="IQ_INFERRED_RESOURCES_GRADE_ZINC" hidden="1">"c9335"</definedName>
    <definedName name="IQ_INFLATION_RATE" hidden="1">"c6899"</definedName>
    <definedName name="IQ_INFLATION_RATE_CORE" hidden="1">"c11783"</definedName>
    <definedName name="IQ_INFLATION_RATE_CORE_POP" hidden="1">"c11784"</definedName>
    <definedName name="IQ_INFLATION_RATE_CORE_YOY" hidden="1">"c11785"</definedName>
    <definedName name="IQ_INFLATION_RATE_FC" hidden="1">"c7779"</definedName>
    <definedName name="IQ_INFLATION_RATE_POP" hidden="1">"c7119"</definedName>
    <definedName name="IQ_INFLATION_RATE_POP_FC" hidden="1">"c7999"</definedName>
    <definedName name="IQ_INFLATION_RATE_YOY" hidden="1">"c7339"</definedName>
    <definedName name="IQ_INFLATION_RATE_YOY_FC" hidden="1">"c8219"</definedName>
    <definedName name="IQ_INITIAL_CLAIMS" hidden="1">"c6900"</definedName>
    <definedName name="IQ_INITIAL_CLAIMS_APR" hidden="1">"c7560"</definedName>
    <definedName name="IQ_INITIAL_CLAIMS_APR_FC" hidden="1">"c8440"</definedName>
    <definedName name="IQ_INITIAL_CLAIMS_FC" hidden="1">"c7780"</definedName>
    <definedName name="IQ_INITIAL_CLAIMS_POP" hidden="1">"c7120"</definedName>
    <definedName name="IQ_INITIAL_CLAIMS_POP_FC" hidden="1">"c8000"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SUPPLE" hidden="1">"c13814"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_DEPOSITS" hidden="1">"c89"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REINSURANCE_UNDERWRITING_INCOME_FFIEC" hidden="1">"c13008"</definedName>
    <definedName name="IQ_INSURANCE_REV_OPERATING_INC_FFIEC" hidden="1">"c13387"</definedName>
    <definedName name="IQ_INSURANCE_UNDERWRITING_INCOME_FDIC" hidden="1">"c6671"</definedName>
    <definedName name="IQ_INT_BEARING_DEPOSITS" hidden="1">"c1166"</definedName>
    <definedName name="IQ_INT_BEARING_FUNDS_AVG_ASSETS_FFIEC" hidden="1">"c13355"</definedName>
    <definedName name="IQ_INT_BEARING_LIABILITIES_REPRICE_ASSETS_TOT_FFIEC" hidden="1">"c13452"</definedName>
    <definedName name="IQ_INT_BORROW" hidden="1">"c583"</definedName>
    <definedName name="IQ_INT_DEMAND_NOTES_FDIC" hidden="1">"c6567"</definedName>
    <definedName name="IQ_INT_DEPOSITS" hidden="1">"c584"</definedName>
    <definedName name="IQ_INT_DEPOSITS_DOM_FFIEC" hidden="1">"c12852"</definedName>
    <definedName name="IQ_INT_DEPOSITS_DOM_QUARTERLY_AVG_FFIEC" hidden="1">"c13088"</definedName>
    <definedName name="IQ_INT_DEPOSITS_FOREIGN_FFIEC" hidden="1">"c12855"</definedName>
    <definedName name="IQ_INT_DEPOSITS_FOREIGN_QUARTERLY_AVG_FFIEC" hidden="1">"c13089"</definedName>
    <definedName name="IQ_INT_DIV_INC" hidden="1">"c585"</definedName>
    <definedName name="IQ_INT_DIV_INC_MBS_FFIEC" hidden="1">"c12984"</definedName>
    <definedName name="IQ_INT_DIV_INC_SECURITIES_FFIEC" hidden="1">"c12982"</definedName>
    <definedName name="IQ_INT_DIV_INC_SECURITIES_OTHER_FFIEC" hidden="1">"c12985"</definedName>
    <definedName name="IQ_INT_DIV_INC_TREASURY_SECURITIES_FFIEC" hidden="1">"c12983"</definedName>
    <definedName name="IQ_INT_DOMESTIC_DEPOSITS_FDIC" hidden="1">"c6564"</definedName>
    <definedName name="IQ_INT_EXP_AVG_ASSETS_FFIEC" hidden="1">"c13357"</definedName>
    <definedName name="IQ_INT_EXP_BR" hidden="1">"c586"</definedName>
    <definedName name="IQ_INT_EXP_COVERAGE" hidden="1">"c587"</definedName>
    <definedName name="IQ_INT_EXP_EARNING_ASSETS_FFIEC" hidden="1">"c13376"</definedName>
    <definedName name="IQ_INT_EXP_FED_FUNDS_PURCHASED_FFIEC" hidden="1">"c12996"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BNK_SUBTOTAL_AP" hidden="1">"c8977"</definedName>
    <definedName name="IQ_INT_EXP_TOTAL_FDIC" hidden="1">"c6569"</definedName>
    <definedName name="IQ_INT_EXP_UTI" hidden="1">"c592"</definedName>
    <definedName name="IQ_INT_EXPENSE_AVG_ASSET" hidden="1">"c15705"</definedName>
    <definedName name="IQ_INT_FED_FUNDS_FDIC" hidden="1">"c6566"</definedName>
    <definedName name="IQ_INT_FEE_INC_ACCEPTANCE_OTHER_BANKS_DOM_FFIEC" hidden="1">"c15357"</definedName>
    <definedName name="IQ_INT_FEE_INC_AGRICULTURE_LOANS_FARMERS_DOM_FFIEC" hidden="1">"c15355"</definedName>
    <definedName name="IQ_INT_FEE_INC_COMM_IND_LOANS_DOM_FFIEC" hidden="1">"c15356"</definedName>
    <definedName name="IQ_INT_FEE_INC_CREDIT_CARDS_DOM_FFIEC" hidden="1">"c15358"</definedName>
    <definedName name="IQ_INT_FEE_INC_DEPOSITORY_LOANS_DOM_FFIEC" hidden="1">"c15354"</definedName>
    <definedName name="IQ_INT_FEE_INC_FOREIGN_GOVT_LOANS_DOM_FFIEC" hidden="1">"c15360"</definedName>
    <definedName name="IQ_INT_FEE_INC_INDIVIDUAL_LOANS_DOM_FFIEC" hidden="1">"c15359"</definedName>
    <definedName name="IQ_INT_FEE_INC_LOANS_1_4_DOM_FFIEC" hidden="1">"c12976"</definedName>
    <definedName name="IQ_INT_FEE_INC_LOANS_DOM_FFIEC" hidden="1">"c13335"</definedName>
    <definedName name="IQ_INT_FEE_INC_LOANS_FOREIGN_FFIEC" hidden="1">"c12979"</definedName>
    <definedName name="IQ_INT_FEE_INC_LOANS_OTHER_DOM_FFIEC" hidden="1">"c12978"</definedName>
    <definedName name="IQ_INT_FEE_INC_RE_LOANS_DOM_FFIEC" hidden="1">"c15353"</definedName>
    <definedName name="IQ_INT_FEE_INC_SECURED_RE_DOM_FFIEC" hidden="1">"c12977"</definedName>
    <definedName name="IQ_INT_FEE_INC_TAX_EXEMPT_OBLIGATIONS_DOM_FFIEC" hidden="1">"c15362"</definedName>
    <definedName name="IQ_INT_FEE_INC_TAXABLE_OBLIGATIONS_DOM_FFIEC" hidden="1">"c15361"</definedName>
    <definedName name="IQ_INT_FEE_INCOME_FFIEC" hidden="1">"c12974"</definedName>
    <definedName name="IQ_INT_FOREIGN_DEPOSITS_FDIC" hidden="1">"c6565"</definedName>
    <definedName name="IQ_INT_INC_AVG_ASSETS_FFIEC" hidden="1">"c13356"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DUE_DEPOSITORY_INSTITUTIONS_FFIEC" hidden="1">"c12981"</definedName>
    <definedName name="IQ_INT_INC_EARNING_ASSETS_FFIEC" hidden="1">"c13375"</definedName>
    <definedName name="IQ_INT_INC_FED_FUNDS_FDIC" hidden="1">"c6561"</definedName>
    <definedName name="IQ_INT_INC_FED_FUNDS_SOLD_FFIEC" hidden="1">"c12987"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E_AVG_ASSETS_FFIEC" hidden="1">"c13358"</definedName>
    <definedName name="IQ_INT_INC_TE_EARNING_ASSETS_FFIEC" hidden="1">"c13377"</definedName>
    <definedName name="IQ_INT_INC_TOTAL" hidden="1">"c598"</definedName>
    <definedName name="IQ_INT_INC_TOTAL_BNK_SUBTOTAL_AP" hidden="1">"c8976"</definedName>
    <definedName name="IQ_INT_INC_TOTAL_FDIC" hidden="1">"c6563"</definedName>
    <definedName name="IQ_INT_INC_TRADING_ACCOUNTS_FDIC" hidden="1">"c6560"</definedName>
    <definedName name="IQ_INT_INC_TRADING_ASSETS_FFIEC" hidden="1">"c12986"</definedName>
    <definedName name="IQ_INT_INC_UTI" hidden="1">"c599"</definedName>
    <definedName name="IQ_INT_INCOME_AVG_ASSET" hidden="1">"c15704"</definedName>
    <definedName name="IQ_INT_INCOME_FTE_AVG_ASSETS_FFIEC" hidden="1">"c13856"</definedName>
    <definedName name="IQ_INT_INCOME_FTE_AVG_EARNING_ASSETS_FFIEC" hidden="1">"c13857"</definedName>
    <definedName name="IQ_INT_INCOME_FTE_FFIEC" hidden="1">"c13852"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ON_DEPOSITS_DOM_FFIEC" hidden="1">"c12991"</definedName>
    <definedName name="IQ_INT_ON_DEPOSITS_FFIEC" hidden="1">"c12990"</definedName>
    <definedName name="IQ_INT_ON_DEPOSITS_FOREIGN_FFIEC" hidden="1">"c12995"</definedName>
    <definedName name="IQ_INT_RATE_EXPOSURE_FFIEC" hidden="1">"c13058"</definedName>
    <definedName name="IQ_INT_RATE_SPREAD" hidden="1">"c604"</definedName>
    <definedName name="IQ_INT_SAVINGS_DEPOSITS_MMDA_DOM_FFIEC" hidden="1">"c15364"</definedName>
    <definedName name="IQ_INT_SUB_NOTES_FDIC" hidden="1">"c6568"</definedName>
    <definedName name="IQ_INT_SUB_NOTES_FFIEC" hidden="1">"c12998"</definedName>
    <definedName name="IQ_INT_TIME_DEPOSITS_LESS_THAN_100K_DOM_FFIEC" hidden="1">"c12993"</definedName>
    <definedName name="IQ_INT_TIME_DEPOSITS_MORE_THAN_100K_DOM_FFIEC" hidden="1">"c12992"</definedName>
    <definedName name="IQ_INT_TRADING_LIABILITIES_FFIEC" hidden="1">"c12997"</definedName>
    <definedName name="IQ_INT_TRANSACTION_ACCOUNTS_DOM_FFIEC" hidden="1">"c15363"</definedName>
    <definedName name="IQ_INTANGIBLES_NET" hidden="1">"c1407"</definedName>
    <definedName name="IQ_INTEREST_ACCRUED_ON_DEPOSITS_DOM_FFIEC" hidden="1">"c15277"</definedName>
    <definedName name="IQ_INTEREST_BEARING_BALANCES_FDIC" hidden="1">"c6371"</definedName>
    <definedName name="IQ_INTEREST_BEARING_BALANCES_QUARTERLY_AVG_FFIEC" hidden="1">"c15467"</definedName>
    <definedName name="IQ_INTEREST_BEARING_CASH_FFIEC" hidden="1">"c15259"</definedName>
    <definedName name="IQ_INTEREST_BEARING_CASH_FOREIGN_FFIEC" hidden="1">"c12776"</definedName>
    <definedName name="IQ_INTEREST_BEARING_CASH_US_FFIEC" hidden="1">"c12775"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BEARING_TRANS_DOM_QUARTERLY_AVG_FFIEC" hidden="1">"c15484"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PENALTIES_RECOG_BS_AFTER_TAX" hidden="1">"c15745"</definedName>
    <definedName name="IQ_INTEREST_PENALTIES_RECOG_BS_PRE_TAX" hidden="1">"c15744"</definedName>
    <definedName name="IQ_INTEREST_PENALTIES_RECOG_IS_AFTER_TAX" hidden="1">"c15743"</definedName>
    <definedName name="IQ_INTEREST_PENALTIES_RECOG_IS_PRE_TAX" hidden="1">"c15742"</definedName>
    <definedName name="IQ_INTEREST_RATE_CONTRACTS_FDIC" hidden="1">"c6512"</definedName>
    <definedName name="IQ_INTEREST_RATE_EXPOSURES_FDIC" hidden="1">"c6662"</definedName>
    <definedName name="IQ_INTERNAL_ALLOCATIONS_INC_EXP_FOREIGN_FFIEC" hidden="1">"c15394"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_REL_ID" hidden="1">"c15220"</definedName>
    <definedName name="IQ_INV_REL_NAME" hidden="1">"c15219"</definedName>
    <definedName name="IQ_INVENTORIES" hidden="1">"c6901"</definedName>
    <definedName name="IQ_INVENTORIES_APR" hidden="1">"c7561"</definedName>
    <definedName name="IQ_INVENTORIES_APR_FC" hidden="1">"c8441"</definedName>
    <definedName name="IQ_INVENTORIES_FC" hidden="1">"c7781"</definedName>
    <definedName name="IQ_INVENTORIES_POP" hidden="1">"c7121"</definedName>
    <definedName name="IQ_INVENTORIES_POP_FC" hidden="1">"c8001"</definedName>
    <definedName name="IQ_INVENTORIES_YOY" hidden="1">"c7341"</definedName>
    <definedName name="IQ_INVENTORIES_YOY_FC" hidden="1">"c8221"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IES_ASSETS_TOT_FFIEC" hidden="1">"c13440"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_UNCONSOLIDATED_SUBS_FFIEC" hidden="1">"c12834"</definedName>
    <definedName name="IQ_INVESTMENT_BANKING_BROKERAGE_FEES_FFIEC" hidden="1">"c13627"</definedName>
    <definedName name="IQ_INVESTMENT_BANKING_FEES_COMMISSIONS_FFIEC" hidden="1">"c13006"</definedName>
    <definedName name="IQ_INVESTMENT_BANKING_OTHER_FEES_FDIC" hidden="1">"c6666"</definedName>
    <definedName name="IQ_INVESTMENT_PARTNERSHIP" hidden="1">"c16072"</definedName>
    <definedName name="IQ_IPRD" hidden="1">"c644"</definedName>
    <definedName name="IQ_IPRD_SUPPLE" hidden="1">"c13813"</definedName>
    <definedName name="IQ_IRA_KEOGH_ACCOUNTS_FDIC" hidden="1">"c6496"</definedName>
    <definedName name="IQ_ISIN" hidden="1">"c12041"</definedName>
    <definedName name="IQ_ISM_INDEX" hidden="1">"c6902"</definedName>
    <definedName name="IQ_ISM_INDEX_APR" hidden="1">"c7562"</definedName>
    <definedName name="IQ_ISM_INDEX_APR_FC" hidden="1">"c8442"</definedName>
    <definedName name="IQ_ISM_INDEX_FC" hidden="1">"c7782"</definedName>
    <definedName name="IQ_ISM_INDEX_POP" hidden="1">"c7122"</definedName>
    <definedName name="IQ_ISM_INDEX_POP_FC" hidden="1">"c8002"</definedName>
    <definedName name="IQ_ISM_INDEX_YOY" hidden="1">"c7342"</definedName>
    <definedName name="IQ_ISM_INDEX_YOY_FC" hidden="1">"c8222"</definedName>
    <definedName name="IQ_ISM_SERVICES_APR_FC_UNUSED" hidden="1">"c8443"</definedName>
    <definedName name="IQ_ISM_SERVICES_APR_FC_UNUSED_UNUSED_UNUSED" hidden="1">"c8443"</definedName>
    <definedName name="IQ_ISM_SERVICES_APR_UNUSED" hidden="1">"c7563"</definedName>
    <definedName name="IQ_ISM_SERVICES_APR_UNUSED_UNUSED_UNUSED" hidden="1">"c7563"</definedName>
    <definedName name="IQ_ISM_SERVICES_FC_UNUSED" hidden="1">"c7783"</definedName>
    <definedName name="IQ_ISM_SERVICES_FC_UNUSED_UNUSED_UNUSED" hidden="1">"c7783"</definedName>
    <definedName name="IQ_ISM_SERVICES_INDEX" hidden="1">"c11862"</definedName>
    <definedName name="IQ_ISM_SERVICES_INDEX_APR" hidden="1">"c11865"</definedName>
    <definedName name="IQ_ISM_SERVICES_INDEX_POP" hidden="1">"c11863"</definedName>
    <definedName name="IQ_ISM_SERVICES_INDEX_YOY" hidden="1">"c11864"</definedName>
    <definedName name="IQ_ISM_SERVICES_POP_FC_UNUSED" hidden="1">"c8003"</definedName>
    <definedName name="IQ_ISM_SERVICES_POP_FC_UNUSED_UNUSED_UNUSED" hidden="1">"c8003"</definedName>
    <definedName name="IQ_ISM_SERVICES_POP_UNUSED" hidden="1">"c7123"</definedName>
    <definedName name="IQ_ISM_SERVICES_POP_UNUSED_UNUSED_UNUSED" hidden="1">"c7123"</definedName>
    <definedName name="IQ_ISM_SERVICES_UNUSED" hidden="1">"c6903"</definedName>
    <definedName name="IQ_ISM_SERVICES_UNUSED_UNUSED_UNUSED" hidden="1">"c6903"</definedName>
    <definedName name="IQ_ISM_SERVICES_YOY_FC_UNUSED" hidden="1">"c8223"</definedName>
    <definedName name="IQ_ISM_SERVICES_YOY_FC_UNUSED_UNUSED_UNUSED" hidden="1">"c8223"</definedName>
    <definedName name="IQ_ISM_SERVICES_YOY_UNUSED" hidden="1">"c7343"</definedName>
    <definedName name="IQ_ISM_SERVICES_YOY_UNUSED_UNUSED_UNUSED" hidden="1">"c7343"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KEY_DEV_COMPANY_ID" hidden="1">"c13830"</definedName>
    <definedName name="IQ_KEY_DEV_COMPANY_NAME" hidden="1">"c13829"</definedName>
    <definedName name="IQ_KEY_DEV_DATE" hidden="1">"c13763"</definedName>
    <definedName name="IQ_KEY_DEV_HEADLINE" hidden="1">"c13761"</definedName>
    <definedName name="IQ_KEY_DEV_ID" hidden="1">"c13760"</definedName>
    <definedName name="IQ_KEY_DEV_ID_INCL_SUBS" hidden="1">"c13832"</definedName>
    <definedName name="IQ_KEY_DEV_SITUATION" hidden="1">"c13762"</definedName>
    <definedName name="IQ_KEY_DEV_SOURCE" hidden="1">"c13765"</definedName>
    <definedName name="IQ_KEY_DEV_TIME" hidden="1">"c13833"</definedName>
    <definedName name="IQ_KEY_DEV_TRANSACTION_ID" hidden="1">"c13766"</definedName>
    <definedName name="IQ_KEY_DEV_TYPE" hidden="1">"c13764"</definedName>
    <definedName name="IQ_LAND" hidden="1">"c645"</definedName>
    <definedName name="IQ_LAND_MINERAL_RIGHTS_TO_PPE_GROSS_COAL" hidden="1">"c15949"</definedName>
    <definedName name="IQ_LAND_MINERAL_RIGHTS_TO_PPE_NET_COAL" hidden="1">"c15950"</definedName>
    <definedName name="IQ_LANDS_MINERAL_RIGHTS_GROSS_COAL" hidden="1">"c15938"</definedName>
    <definedName name="IQ_LANDS_MINERAL_RIGHTS_NET_COAL" hidden="1">"c15939"</definedName>
    <definedName name="IQ_LAPSE_STATUTE_LIMITATIONS" hidden="1">"c15738"</definedName>
    <definedName name="IQ_LARGE_CAP_LABOR_COST_INDEX" hidden="1">"c6904"</definedName>
    <definedName name="IQ_LARGE_CAP_LABOR_COST_INDEX_APR" hidden="1">"c7564"</definedName>
    <definedName name="IQ_LARGE_CAP_LABOR_COST_INDEX_APR_FC" hidden="1">"c8444"</definedName>
    <definedName name="IQ_LARGE_CAP_LABOR_COST_INDEX_FC" hidden="1">"c7784"</definedName>
    <definedName name="IQ_LARGE_CAP_LABOR_COST_INDEX_POP" hidden="1">"c7124"</definedName>
    <definedName name="IQ_LARGE_CAP_LABOR_COST_INDEX_POP_FC" hidden="1">"c8004"</definedName>
    <definedName name="IQ_LARGE_CAP_LABOR_COST_INDEX_YOY" hidden="1">"c7344"</definedName>
    <definedName name="IQ_LARGE_CAP_LABOR_COST_INDEX_YOY_FC" hidden="1">"c8224"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_MONTHLY_FACTOR" hidden="1">"c8971"</definedName>
    <definedName name="IQ_LATEST_MONTHLY_FACTOR_DATE" hidden="1">"c8972"</definedName>
    <definedName name="IQ_LATESTK" hidden="1">1000</definedName>
    <definedName name="IQ_LATESTQ" hidden="1">500</definedName>
    <definedName name="IQ_LEAD_UNDERWRITER" hidden="1">"c8957"</definedName>
    <definedName name="IQ_LEASE_EXPENSE" hidden="1">"c16039"</definedName>
    <definedName name="IQ_LEASE_FIN_RECEIVABLES_NON_US_CHARGE_OFFS_FFIEC" hidden="1">"c13631"</definedName>
    <definedName name="IQ_LEASE_FIN_RECEIVABLES_NON_US_RECOV_FFIEC" hidden="1">"c13635"</definedName>
    <definedName name="IQ_LEASE_FIN_RECEIVABLES_US_CHARGE_OFFS_FFIEC" hidden="1">"c13630"</definedName>
    <definedName name="IQ_LEASE_FIN_RECEIVABLES_US_RECOV_FFIEC" hidden="1">"c13634"</definedName>
    <definedName name="IQ_LEASE_FINANCE" hidden="1">"c5654"</definedName>
    <definedName name="IQ_LEASE_FINANCING_REC_DUE_30_89_FFIEC" hidden="1">"c13276"</definedName>
    <definedName name="IQ_LEASE_FINANCING_REC_DUE_90_FFIEC" hidden="1">"c13302"</definedName>
    <definedName name="IQ_LEASE_FINANCING_REC_NON_ACCRUAL_FFIEC" hidden="1">"c13328"</definedName>
    <definedName name="IQ_LEASE_FINANCING_RECEIVABLES_CHARGE_OFFS_FDIC" hidden="1">"c6602"</definedName>
    <definedName name="IQ_LEASE_FINANCING_RECEIVABLES_DOM_FFIEC" hidden="1">"c12915"</definedName>
    <definedName name="IQ_LEASE_FINANCING_RECEIVABLES_FDIC" hidden="1">"c6433"</definedName>
    <definedName name="IQ_LEASE_FINANCING_RECEIVABLES_NET_CHARGE_OFFS_FDIC" hidden="1">"c6640"</definedName>
    <definedName name="IQ_LEASE_FINANCING_RECEIVABLES_QUARTERLY_AVG_FFIEC" hidden="1">"c15483"</definedName>
    <definedName name="IQ_LEASE_FINANCING_RECEIVABLES_RECOVERIES_FDIC" hidden="1">"c6621"</definedName>
    <definedName name="IQ_LEASE_FINANCING_RECEIVABLES_TOTAL_LOANS_FOREIGN_FDIC" hidden="1">"c6449"</definedName>
    <definedName name="IQ_LEASE_PMT_REC_AFTER_FIVE" hidden="1">"c16099"</definedName>
    <definedName name="IQ_LEASE_PMT_REC_CY" hidden="1">"c16093"</definedName>
    <definedName name="IQ_LEASE_PMT_REC_CY1" hidden="1">"c16094"</definedName>
    <definedName name="IQ_LEASE_PMT_REC_CY2" hidden="1">"c16095"</definedName>
    <definedName name="IQ_LEASE_PMT_REC_CY3" hidden="1">"c16096"</definedName>
    <definedName name="IQ_LEASE_PMT_REC_CY4" hidden="1">"c16097"</definedName>
    <definedName name="IQ_LEASE_PMT_REC_NEXT_FIVE" hidden="1">"c16098"</definedName>
    <definedName name="IQ_LEASE_PMT_REC_TOTAL" hidden="1">"c16100"</definedName>
    <definedName name="IQ_LEASE_RECEIVABLES_FOREIGN_FFIEC" hidden="1">"c13483"</definedName>
    <definedName name="IQ_LEASE_REVENUE" hidden="1">"c16023"</definedName>
    <definedName name="IQ_LEASE_TERMINATION_FEES" hidden="1">"c16182"</definedName>
    <definedName name="IQ_LEASED_RESERVES_COAL" hidden="1">"c15918"</definedName>
    <definedName name="IQ_LEASED_RESERVES_TO_TOTAL_RESERVES_COAL" hidden="1">"c15958"</definedName>
    <definedName name="IQ_LEASES_INDIVIDUALS_CHARGE_OFFS_FFIEC" hidden="1">"c13184"</definedName>
    <definedName name="IQ_LEASES_INDIVIDUALS_RECOV_FFIEC" hidden="1">"c13206"</definedName>
    <definedName name="IQ_LEASES_PERSONAL_EXP_DUE_30_89_FFIEC" hidden="1">"c13277"</definedName>
    <definedName name="IQ_LEASES_PERSONAL_EXP_DUE_90_FFIEC" hidden="1">"c13303"</definedName>
    <definedName name="IQ_LEASES_PERSONAL_EXP_NON_ACCRUAL_FFIEC" hidden="1">"c13329"</definedName>
    <definedName name="IQ_LEGAL_FEES_FFIEC" hidden="1">"c13052"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SUPPLE" hidden="1">"c13815"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AB_AP" hidden="1">"c8886"</definedName>
    <definedName name="IQ_LIAB_AP_ABS" hidden="1">"c8905"</definedName>
    <definedName name="IQ_LIAB_NAME_AP" hidden="1">"c8924"</definedName>
    <definedName name="IQ_LIAB_NAME_AP_ABS" hidden="1">"c8943"</definedName>
    <definedName name="IQ_LIABILITIES_FAIR_VALUE" hidden="1">"c13848"</definedName>
    <definedName name="IQ_LIABILITIES_LEVEL_1" hidden="1">"c13844"</definedName>
    <definedName name="IQ_LIABILITIES_LEVEL_2" hidden="1">"c13845"</definedName>
    <definedName name="IQ_LIABILITIES_LEVEL_3" hidden="1">"c13846"</definedName>
    <definedName name="IQ_LIABILITIES_NETTING_OTHER_ADJUSTMENTS" hidden="1">"c13847"</definedName>
    <definedName name="IQ_LIABILITY_ACCEPTANCES_OUT_FFIEC" hidden="1">"c12866"</definedName>
    <definedName name="IQ_LIABILITY_SHORT_POSITIONS_DOM_FFIEC" hidden="1">"c12941"</definedName>
    <definedName name="IQ_LICENSED_POPS" hidden="1">"c2123"</definedName>
    <definedName name="IQ_LICENSED_WIRELESS_POPS" hidden="1">"c2123"</definedName>
    <definedName name="IQ_LIFE_EARNED" hidden="1">"c2739"</definedName>
    <definedName name="IQ_LIFE_INSURANCE_ASSETS_FDIC" hidden="1">"c6372"</definedName>
    <definedName name="IQ_LIFE_INSURANCE_ASSETS_FFIEC" hidden="1">"c12847"</definedName>
    <definedName name="IQ_LIFOR" hidden="1">"c655"</definedName>
    <definedName name="IQ_LINE_EXTENSIONS_CABLE_INVEST" hidden="1">"c15803"</definedName>
    <definedName name="IQ_LIQUID_ASSETS_ASSETS_TOT_FFIEC" hidden="1">"c13439"</definedName>
    <definedName name="IQ_LIQUID_ASSETS_NONCORE_FUNDING_FFIEC" hidden="1">"c13339"</definedName>
    <definedName name="IQ_LIQUIDATION_VALUE_PREFERRED_CONVERT" hidden="1">"c13835"</definedName>
    <definedName name="IQ_LIQUIDATION_VALUE_PREFERRED_NON_REDEEM" hidden="1">"c13836"</definedName>
    <definedName name="IQ_LIQUIDATION_VALUE_PREFERRED_REDEEM" hidden="1">"c13837"</definedName>
    <definedName name="IQ_LL" hidden="1">"c656"</definedName>
    <definedName name="IQ_LOAN_ALLOW_GROSS_LOANS_FFIEC" hidden="1">"c13415"</definedName>
    <definedName name="IQ_LOAN_ALLOWANCE_GROSS_LOSSES_FFIEC" hidden="1">"c13352"</definedName>
    <definedName name="IQ_LOAN_ALLOWANCE_NET_LOANS_FFIEC" hidden="1">"c13472"</definedName>
    <definedName name="IQ_LOAN_ALLOWANCE_NONACCRUAL_ASSETS_FFIEC" hidden="1">"c13473"</definedName>
    <definedName name="IQ_LOAN_ALLOWANCE_PAST_DUE_NONACCRUAL_FFIEC" hidden="1">"c13474"</definedName>
    <definedName name="IQ_LOAN_COMMITMENTS_FAIR_VALUE_TOT_FFIEC" hidden="1">"c13216"</definedName>
    <definedName name="IQ_LOAN_COMMITMENTS_LEVEL_1_FFIEC" hidden="1">"c13224"</definedName>
    <definedName name="IQ_LOAN_COMMITMENTS_LEVEL_2_FFIEC" hidden="1">"c13232"</definedName>
    <definedName name="IQ_LOAN_COMMITMENTS_LEVEL_3_FFIEC" hidden="1">"c13240"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_PERF_ASSETS_FFIEC" hidden="1">"c13912"</definedName>
    <definedName name="IQ_LOAN_LOSS_ALLOWANCE_NONCURRENT_LOANS_FDIC" hidden="1">"c6740"</definedName>
    <definedName name="IQ_LOAN_LOSS_PROVISION_FOREIGN_FFIEC" hidden="1">"c15382"</definedName>
    <definedName name="IQ_LOAN_LOSSES_AVERAGE_LOANS_FFIEC" hidden="1">"c13350"</definedName>
    <definedName name="IQ_LOAN_LOSSES_FDIC" hidden="1">"c6580"</definedName>
    <definedName name="IQ_LOAN_SERVICE_REV" hidden="1">"c658"</definedName>
    <definedName name="IQ_LOANS_AGRICULTURAL_PROD_LL_REC_FFIEC" hidden="1">"c12886"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_US_LL_REC_FFIEC" hidden="1">"c12884"</definedName>
    <definedName name="IQ_LOANS_DEPOSITORY_INSTITUTIONS_FDIC" hidden="1">"c6382"</definedName>
    <definedName name="IQ_LOANS_DOM_QUARTERLY_AVG_FFIEC" hidden="1">"c13084"</definedName>
    <definedName name="IQ_LOANS_FARMERS_CHARGE_OFFS_FFIEC" hidden="1">"c13177"</definedName>
    <definedName name="IQ_LOANS_FARMERS_RECOV_FFIEC" hidden="1">"c13199"</definedName>
    <definedName name="IQ_LOANS_FINANCE_AGRICULTURAL_DUE_30_89_FFIEC" hidden="1">"c13270"</definedName>
    <definedName name="IQ_LOANS_FINANCE_AGRICULTURAL_DUE_90_FFIEC" hidden="1">"c13296"</definedName>
    <definedName name="IQ_LOANS_FINANCE_AGRICULTURAL_NON_ACCRUAL_FFIEC" hidden="1">"c13322"</definedName>
    <definedName name="IQ_LOANS_FINANCE_AGRICULTURAL_PROD_LL_REC_DOM_FFIEC" hidden="1">"c12909"</definedName>
    <definedName name="IQ_LOANS_FOR_SALE" hidden="1">"c666"</definedName>
    <definedName name="IQ_LOANS_FOREIGN_GOV_CHARGE_OFFS_FFIEC" hidden="1">"c13182"</definedName>
    <definedName name="IQ_LOANS_FOREIGN_GOV_DUE_30_89_FFIEC" hidden="1">"c13274"</definedName>
    <definedName name="IQ_LOANS_FOREIGN_GOV_DUE_90_FFIEC" hidden="1">"c13300"</definedName>
    <definedName name="IQ_LOANS_FOREIGN_GOV_LL_REC_DOM_FFIEC" hidden="1">"c12912"</definedName>
    <definedName name="IQ_LOANS_FOREIGN_GOV_NON_ACCRUAL_FFIEC" hidden="1">"c13326"</definedName>
    <definedName name="IQ_LOANS_FOREIGN_GOV_RECOV_FFIEC" hidden="1">"c13204"</definedName>
    <definedName name="IQ_LOANS_FOREIGN_INST_CHARGE_OFFS_FFIEC" hidden="1">"c13176"</definedName>
    <definedName name="IQ_LOANS_FOREIGN_INST_RECOV_FFIEC" hidden="1">"c13198"</definedName>
    <definedName name="IQ_LOANS_FOREIGN_LL_REC_FFIEC" hidden="1">"c12885"</definedName>
    <definedName name="IQ_LOANS_GOV_GUARANTEED_DUE_30_89_FFIEC" hidden="1">"c13281"</definedName>
    <definedName name="IQ_LOANS_GOV_GUARANTEED_DUE_90_FFIEC" hidden="1">"c13307"</definedName>
    <definedName name="IQ_LOANS_GOV_GUARANTEED_EXCL_GNMA_DUE_30_89_FFIEC" hidden="1">"c13282"</definedName>
    <definedName name="IQ_LOANS_GOV_GUARANTEED_EXCL_GNMA_DUE_90_FFIEC" hidden="1">"c13308"</definedName>
    <definedName name="IQ_LOANS_GOV_GUARANTEED_EXCL_GNMA_NON_ACCRUAL_FFIEC" hidden="1">"c13333"</definedName>
    <definedName name="IQ_LOANS_GOV_GUARANTEED_NON_ACCRUAL_FFIEC" hidden="1">"c13332"</definedName>
    <definedName name="IQ_LOANS_HELD_FOREIGN_FDIC" hidden="1">"c6315"</definedName>
    <definedName name="IQ_LOANS_INDIVIDUALS_FOREIGN_FFIEC" hidden="1">"c13480"</definedName>
    <definedName name="IQ_LOANS_LEASES_ASSETS_TOT_FFIEC" hidden="1">"c13437"</definedName>
    <definedName name="IQ_LOANS_LEASES_FAIR_VALUE_TOT_FFIEC" hidden="1">"c13209"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HELD_SALE_FFIEC" hidden="1">"c12808"</definedName>
    <definedName name="IQ_LOANS_LEASES_HFI_FAIR_VALUE_TOT_FFIEC" hidden="1">"c15401"</definedName>
    <definedName name="IQ_LOANS_LEASES_HFI_LEVEL_1_FFIEC" hidden="1">"c15423"</definedName>
    <definedName name="IQ_LOANS_LEASES_HFI_LEVEL_2_FFIEC" hidden="1">"c15436"</definedName>
    <definedName name="IQ_LOANS_LEASES_HFI_LEVEL_3_FFIEC" hidden="1">"c15449"</definedName>
    <definedName name="IQ_LOANS_LEASES_HFS_FAIR_VALUE_TOT_FFIEC" hidden="1">"c15400"</definedName>
    <definedName name="IQ_LOANS_LEASES_HFS_LEVEL_1_FFIEC" hidden="1">"c15422"</definedName>
    <definedName name="IQ_LOANS_LEASES_HFS_LEVEL_2_FFIEC" hidden="1">"c15435"</definedName>
    <definedName name="IQ_LOANS_LEASES_HFS_LEVEL_3_FFIEC" hidden="1">"c15448"</definedName>
    <definedName name="IQ_LOANS_LEASES_LEVEL_1_FFIEC" hidden="1">"c13217"</definedName>
    <definedName name="IQ_LOANS_LEASES_LEVEL_2_FFIEC" hidden="1">"c13225"</definedName>
    <definedName name="IQ_LOANS_LEASES_LEVEL_3_FFIEC" hidden="1">"c13233"</definedName>
    <definedName name="IQ_LOANS_LEASES_NET_FDIC" hidden="1">"c6327"</definedName>
    <definedName name="IQ_LOANS_LEASES_NET_UNEARNED_FDIC" hidden="1">"c6325"</definedName>
    <definedName name="IQ_LOANS_LEASES_NET_UNEARNED_INC_ALLOWANCE_FFIEC" hidden="1">"c12811"</definedName>
    <definedName name="IQ_LOANS_LEASES_NET_UNEARNED_INCOME_FFIEC" hidden="1">"c12809"</definedName>
    <definedName name="IQ_LOANS_LEASES_QUARTERLY_AVG_FFIEC" hidden="1">"c13081"</definedName>
    <definedName name="IQ_LOANS_LOC_ASSETS_TOT_FFIEC" hidden="1">"c13441"</definedName>
    <definedName name="IQ_LOANS_NOT_SECURED_RE_FDIC" hidden="1">"c6381"</definedName>
    <definedName name="IQ_LOANS_PAST_DUE" hidden="1">"c667"</definedName>
    <definedName name="IQ_LOANS_PURCHASING_CARRYING_SECURITIES_LL_REC_DOM_FFIEC" hidden="1">"c12913"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_RE_FOREIGN_CHARGE_OFFS_FFIEC" hidden="1">"c13174"</definedName>
    <definedName name="IQ_LOANS_SEC_RE_FOREIGN_RECOV_FFIEC" hidden="1">"c13196"</definedName>
    <definedName name="IQ_LOANS_SECURED_1_4_DOM_QUARTERLY_AVG_FFIEC" hidden="1">"c13082"</definedName>
    <definedName name="IQ_LOANS_SECURED_BY_RE_CHARGE_OFFS_FDIC" hidden="1">"c6588"</definedName>
    <definedName name="IQ_LOANS_SECURED_BY_RE_RECOVERIES_FDIC" hidden="1">"c6607"</definedName>
    <definedName name="IQ_LOANS_SECURED_CONSTRUCTION_TRADING_DOM_FFIEC" hidden="1">"c12925"</definedName>
    <definedName name="IQ_LOANS_SECURED_FARMLAND_TRADING_DOM_FFIEC" hidden="1">"c12926"</definedName>
    <definedName name="IQ_LOANS_SECURED_NON_US_FDIC" hidden="1">"c6380"</definedName>
    <definedName name="IQ_LOANS_SECURED_RE_DOM_QUARTERLY_AVG_FFIEC" hidden="1">"c13083"</definedName>
    <definedName name="IQ_LOANS_SECURED_RE_FFIEC" hidden="1">"c12820"</definedName>
    <definedName name="IQ_LOANS_SECURED_RE_LL_REC_FFIEC" hidden="1">"c12883"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ANS_US_INST_CHARGE_OFFS_FFIEC" hidden="1">"c13175"</definedName>
    <definedName name="IQ_LOANS_US_INST_RECOV_FFIEC" hidden="1">"c13197"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AVAIL_SALE_EQUITY_SEC_T1_FFIEC" hidden="1">"c13132"</definedName>
    <definedName name="IQ_LOSS_LOSS_EXP" hidden="1">"c672"</definedName>
    <definedName name="IQ_LOSS_TO_NET_EARNED" hidden="1">"c2751"</definedName>
    <definedName name="IQ_LOW_SULFUR_CONTENT_RESERVES_COAL" hidden="1">"c15924"</definedName>
    <definedName name="IQ_LOW_SULFURE_RESERVES_TO_TOTAL_RESERVES_COAL" hidden="1">"c15961"</definedName>
    <definedName name="IQ_LOW_TARGET_PRICE" hidden="1">"c1652"</definedName>
    <definedName name="IQ_LOW_TARGET_PRICE_CIQ" hidden="1">"c4660"</definedName>
    <definedName name="IQ_LOW_TARGET_PRICE_REUT" hidden="1">"c5318"</definedName>
    <definedName name="IQ_LOW_TARGET_PRICE_THOM" hidden="1">"c5097"</definedName>
    <definedName name="IQ_LOWPRICE" hidden="1">"c673"</definedName>
    <definedName name="IQ_LT_ASSETS_AP" hidden="1">"c8882"</definedName>
    <definedName name="IQ_LT_ASSETS_AP_ABS" hidden="1">"c8901"</definedName>
    <definedName name="IQ_LT_ASSETS_NAME_AP" hidden="1">"c8920"</definedName>
    <definedName name="IQ_LT_ASSETS_NAME_AP_ABS" hidden="1">"c8939"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MATURING_1YR_INT_SENSITIVITY_FFIEC" hidden="1">"c13097"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REPRICE_ASSETS_TOT_FFIEC" hidden="1">"c13453"</definedName>
    <definedName name="IQ_LT_DEBT_REPRICING_WITHIN_1_YR_INT_SENSITIVITY_FFIEC" hidden="1">"c13095"</definedName>
    <definedName name="IQ_LT_DEBT_UTI" hidden="1">"c696"</definedName>
    <definedName name="IQ_LT_GROWTH_DET_EST" hidden="1">"c12060"</definedName>
    <definedName name="IQ_LT_GROWTH_DET_EST_CIQ" hidden="1">"c12122"</definedName>
    <definedName name="IQ_LT_GROWTH_DET_EST_DATE" hidden="1">"c12213"</definedName>
    <definedName name="IQ_LT_GROWTH_DET_EST_DATE_CIQ" hidden="1">"c12268"</definedName>
    <definedName name="IQ_LT_GROWTH_DET_EST_DATE_THOM" hidden="1">"c12240"</definedName>
    <definedName name="IQ_LT_GROWTH_DET_EST_INCL" hidden="1">"c12350"</definedName>
    <definedName name="IQ_LT_GROWTH_DET_EST_INCL_CIQ" hidden="1">"c12396"</definedName>
    <definedName name="IQ_LT_GROWTH_DET_EST_INCL_THOM" hidden="1">"c12372"</definedName>
    <definedName name="IQ_LT_GROWTH_DET_EST_ORIGIN" hidden="1">"c12725"</definedName>
    <definedName name="IQ_LT_GROWTH_DET_EST_ORIGIN_CIQ" hidden="1">"c12721"</definedName>
    <definedName name="IQ_LT_GROWTH_DET_EST_ORIGIN_THOM" hidden="1">"c12610"</definedName>
    <definedName name="IQ_LT_GROWTH_DET_EST_THOM" hidden="1">"c12090"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LIAB_AP" hidden="1">"c8885"</definedName>
    <definedName name="IQ_LT_LIAB_AP_ABS" hidden="1">"c8904"</definedName>
    <definedName name="IQ_LT_LIAB_NAME_AP" hidden="1">"c8923"</definedName>
    <definedName name="IQ_LT_LIAB_NAME_AP_ABS" hidden="1">"c8942"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M1" hidden="1">"c6906"</definedName>
    <definedName name="IQ_M1_APR" hidden="1">"c7566"</definedName>
    <definedName name="IQ_M1_APR_FC" hidden="1">"c8446"</definedName>
    <definedName name="IQ_M1_FC" hidden="1">"c7786"</definedName>
    <definedName name="IQ_M1_POP" hidden="1">"c7126"</definedName>
    <definedName name="IQ_M1_POP_FC" hidden="1">"c8006"</definedName>
    <definedName name="IQ_M1_YOY" hidden="1">"c7346"</definedName>
    <definedName name="IQ_M1_YOY_FC" hidden="1">"c8226"</definedName>
    <definedName name="IQ_M2" hidden="1">"c6907"</definedName>
    <definedName name="IQ_M2_APR" hidden="1">"c7567"</definedName>
    <definedName name="IQ_M2_APR_FC" hidden="1">"c8447"</definedName>
    <definedName name="IQ_M2_FC" hidden="1">"c7787"</definedName>
    <definedName name="IQ_M2_POP" hidden="1">"c7127"</definedName>
    <definedName name="IQ_M2_POP_FC" hidden="1">"c8007"</definedName>
    <definedName name="IQ_M2_YOY" hidden="1">"c7347"</definedName>
    <definedName name="IQ_M2_YOY_FC" hidden="1">"c8227"</definedName>
    <definedName name="IQ_M3" hidden="1">"c6908"</definedName>
    <definedName name="IQ_M3_APR" hidden="1">"c7568"</definedName>
    <definedName name="IQ_M3_APR_FC" hidden="1">"c8448"</definedName>
    <definedName name="IQ_M3_FC" hidden="1">"c7788"</definedName>
    <definedName name="IQ_M3_POP" hidden="1">"c7128"</definedName>
    <definedName name="IQ_M3_POP_FC" hidden="1">"c8008"</definedName>
    <definedName name="IQ_M3_YOY" hidden="1">"c7348"</definedName>
    <definedName name="IQ_M3_YOY_FC" hidden="1">"c8228"</definedName>
    <definedName name="IQ_MACHINERY" hidden="1">"c711"</definedName>
    <definedName name="IQ_MAINT_CAPEX" hidden="1">"c2947"</definedName>
    <definedName name="IQ_MAINT_CAPEX_ACT_OR_EST" hidden="1">"c4458"</definedName>
    <definedName name="IQ_MAINT_CAPEX_ACT_OR_EST_CIQ" hidden="1">"c4987"</definedName>
    <definedName name="IQ_MAINT_CAPEX_EST" hidden="1">"c4457"</definedName>
    <definedName name="IQ_MAINT_CAPEX_EST_CIQ" hidden="1">"c4986"</definedName>
    <definedName name="IQ_MAINT_CAPEX_GUIDANCE" hidden="1">"c4459"</definedName>
    <definedName name="IQ_MAINT_CAPEX_GUIDANCE_CIQ" hidden="1">"c4988"</definedName>
    <definedName name="IQ_MAINT_CAPEX_HIGH_EST" hidden="1">"c4460"</definedName>
    <definedName name="IQ_MAINT_CAPEX_HIGH_EST_CIQ" hidden="1">"c4989"</definedName>
    <definedName name="IQ_MAINT_CAPEX_HIGH_GUIDANCE" hidden="1">"c4197"</definedName>
    <definedName name="IQ_MAINT_CAPEX_HIGH_GUIDANCE_CIQ" hidden="1">"c4609"</definedName>
    <definedName name="IQ_MAINT_CAPEX_LOW_EST" hidden="1">"c4461"</definedName>
    <definedName name="IQ_MAINT_CAPEX_LOW_EST_CIQ" hidden="1">"c4990"</definedName>
    <definedName name="IQ_MAINT_CAPEX_LOW_GUIDANCE" hidden="1">"c4237"</definedName>
    <definedName name="IQ_MAINT_CAPEX_LOW_GUIDANCE_CIQ" hidden="1">"c4649"</definedName>
    <definedName name="IQ_MAINT_CAPEX_MEDIAN_EST" hidden="1">"c4462"</definedName>
    <definedName name="IQ_MAINT_CAPEX_MEDIAN_EST_CIQ" hidden="1">"c4991"</definedName>
    <definedName name="IQ_MAINT_CAPEX_NUM_EST" hidden="1">"c4463"</definedName>
    <definedName name="IQ_MAINT_CAPEX_NUM_EST_CIQ" hidden="1">"c5001"</definedName>
    <definedName name="IQ_MAINT_CAPEX_STDDEV_EST" hidden="1">"c4464"</definedName>
    <definedName name="IQ_MAINT_CAPEX_STDDEV_EST_CIQ" hidden="1">"c5002"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N_INVENTORIES" hidden="1">"c6913"</definedName>
    <definedName name="IQ_MAN_INVENTORIES_APR" hidden="1">"c7573"</definedName>
    <definedName name="IQ_MAN_INVENTORIES_APR_FC" hidden="1">"c8453"</definedName>
    <definedName name="IQ_MAN_INVENTORIES_FC" hidden="1">"c7793"</definedName>
    <definedName name="IQ_MAN_INVENTORIES_POP" hidden="1">"c7133"</definedName>
    <definedName name="IQ_MAN_INVENTORIES_POP_FC" hidden="1">"c8013"</definedName>
    <definedName name="IQ_MAN_INVENTORIES_YOY" hidden="1">"c7353"</definedName>
    <definedName name="IQ_MAN_INVENTORIES_YOY_FC" hidden="1">"c8233"</definedName>
    <definedName name="IQ_MAN_IS_RATIO" hidden="1">"c6912"</definedName>
    <definedName name="IQ_MAN_IS_RATIO_APR" hidden="1">"c7572"</definedName>
    <definedName name="IQ_MAN_IS_RATIO_APR_FC" hidden="1">"c8452"</definedName>
    <definedName name="IQ_MAN_IS_RATIO_FC" hidden="1">"c7792"</definedName>
    <definedName name="IQ_MAN_IS_RATIO_POP" hidden="1">"c7132"</definedName>
    <definedName name="IQ_MAN_IS_RATIO_POP_FC" hidden="1">"c8012"</definedName>
    <definedName name="IQ_MAN_IS_RATIO_YOY" hidden="1">"c7352"</definedName>
    <definedName name="IQ_MAN_IS_RATIO_YOY_FC" hidden="1">"c8232"</definedName>
    <definedName name="IQ_MAN_ORDERS" hidden="1">"c6914"</definedName>
    <definedName name="IQ_MAN_ORDERS_APR" hidden="1">"c7574"</definedName>
    <definedName name="IQ_MAN_ORDERS_APR_FC" hidden="1">"c8454"</definedName>
    <definedName name="IQ_MAN_ORDERS_FC" hidden="1">"c7794"</definedName>
    <definedName name="IQ_MAN_ORDERS_POP" hidden="1">"c7134"</definedName>
    <definedName name="IQ_MAN_ORDERS_POP_FC" hidden="1">"c8014"</definedName>
    <definedName name="IQ_MAN_ORDERS_YOY" hidden="1">"c7354"</definedName>
    <definedName name="IQ_MAN_ORDERS_YOY_FC" hidden="1">"c8234"</definedName>
    <definedName name="IQ_MAN_OUTPUT_HR" hidden="1">"c6915"</definedName>
    <definedName name="IQ_MAN_OUTPUT_HR_APR" hidden="1">"c7575"</definedName>
    <definedName name="IQ_MAN_OUTPUT_HR_APR_FC" hidden="1">"c8455"</definedName>
    <definedName name="IQ_MAN_OUTPUT_HR_FC" hidden="1">"c7795"</definedName>
    <definedName name="IQ_MAN_OUTPUT_HR_POP" hidden="1">"c7135"</definedName>
    <definedName name="IQ_MAN_OUTPUT_HR_POP_FC" hidden="1">"c8015"</definedName>
    <definedName name="IQ_MAN_OUTPUT_HR_YOY" hidden="1">"c7355"</definedName>
    <definedName name="IQ_MAN_OUTPUT_HR_YOY_FC" hidden="1">"c8235"</definedName>
    <definedName name="IQ_MAN_PAYROLLS" hidden="1">"c6916"</definedName>
    <definedName name="IQ_MAN_PAYROLLS_APR" hidden="1">"c7576"</definedName>
    <definedName name="IQ_MAN_PAYROLLS_APR_FC" hidden="1">"c8456"</definedName>
    <definedName name="IQ_MAN_PAYROLLS_FC" hidden="1">"c7796"</definedName>
    <definedName name="IQ_MAN_PAYROLLS_POP" hidden="1">"c7136"</definedName>
    <definedName name="IQ_MAN_PAYROLLS_POP_FC" hidden="1">"c8016"</definedName>
    <definedName name="IQ_MAN_PAYROLLS_YOY" hidden="1">"c7356"</definedName>
    <definedName name="IQ_MAN_PAYROLLS_YOY_FC" hidden="1">"c8236"</definedName>
    <definedName name="IQ_MAN_SHIPMENTS" hidden="1">"c6917"</definedName>
    <definedName name="IQ_MAN_SHIPMENTS_APR" hidden="1">"c7577"</definedName>
    <definedName name="IQ_MAN_SHIPMENTS_APR_FC" hidden="1">"c8457"</definedName>
    <definedName name="IQ_MAN_SHIPMENTS_FC" hidden="1">"c7797"</definedName>
    <definedName name="IQ_MAN_SHIPMENTS_POP" hidden="1">"c7137"</definedName>
    <definedName name="IQ_MAN_SHIPMENTS_POP_FC" hidden="1">"c8017"</definedName>
    <definedName name="IQ_MAN_SHIPMENTS_YOY" hidden="1">"c7357"</definedName>
    <definedName name="IQ_MAN_SHIPMENTS_YOY_FC" hidden="1">"c8237"</definedName>
    <definedName name="IQ_MAN_TOTAL_HR" hidden="1">"c6918"</definedName>
    <definedName name="IQ_MAN_TOTAL_HR_APR" hidden="1">"c7578"</definedName>
    <definedName name="IQ_MAN_TOTAL_HR_APR_FC" hidden="1">"c8458"</definedName>
    <definedName name="IQ_MAN_TOTAL_HR_FC" hidden="1">"c7798"</definedName>
    <definedName name="IQ_MAN_TOTAL_HR_POP" hidden="1">"c7138"</definedName>
    <definedName name="IQ_MAN_TOTAL_HR_POP_FC" hidden="1">"c8018"</definedName>
    <definedName name="IQ_MAN_TOTAL_HR_YOY" hidden="1">"c7358"</definedName>
    <definedName name="IQ_MAN_TOTAL_HR_YOY_FC" hidden="1">"c8238"</definedName>
    <definedName name="IQ_MAN_TRADE_INVENTORIES" hidden="1">"c6910"</definedName>
    <definedName name="IQ_MAN_TRADE_INVENTORIES_APR" hidden="1">"c7570"</definedName>
    <definedName name="IQ_MAN_TRADE_INVENTORIES_APR_FC" hidden="1">"c8450"</definedName>
    <definedName name="IQ_MAN_TRADE_INVENTORIES_FC" hidden="1">"c7790"</definedName>
    <definedName name="IQ_MAN_TRADE_INVENTORIES_POP" hidden="1">"c7130"</definedName>
    <definedName name="IQ_MAN_TRADE_INVENTORIES_POP_FC" hidden="1">"c8010"</definedName>
    <definedName name="IQ_MAN_TRADE_INVENTORIES_YOY" hidden="1">"c7350"</definedName>
    <definedName name="IQ_MAN_TRADE_INVENTORIES_YOY_FC" hidden="1">"c8230"</definedName>
    <definedName name="IQ_MAN_TRADE_IS_RATIO" hidden="1">"c6909"</definedName>
    <definedName name="IQ_MAN_TRADE_IS_RATIO_FC" hidden="1">"c7789"</definedName>
    <definedName name="IQ_MAN_TRADE_IS_RATIO_POP" hidden="1">"c7129"</definedName>
    <definedName name="IQ_MAN_TRADE_IS_RATIO_POP_FC" hidden="1">"c8009"</definedName>
    <definedName name="IQ_MAN_TRADE_IS_RATIO_YOY" hidden="1">"c7349"</definedName>
    <definedName name="IQ_MAN_TRADE_IS_RATIO_YOY_FC" hidden="1">"c8229"</definedName>
    <definedName name="IQ_MAN_TRADE_SALES" hidden="1">"c6911"</definedName>
    <definedName name="IQ_MAN_TRADE_SALES_APR" hidden="1">"c7571"</definedName>
    <definedName name="IQ_MAN_TRADE_SALES_APR_FC" hidden="1">"c8451"</definedName>
    <definedName name="IQ_MAN_TRADE_SALES_FC" hidden="1">"c7791"</definedName>
    <definedName name="IQ_MAN_TRADE_SALES_POP" hidden="1">"c7131"</definedName>
    <definedName name="IQ_MAN_TRADE_SALES_POP_FC" hidden="1">"c8011"</definedName>
    <definedName name="IQ_MAN_TRADE_SALES_YOY" hidden="1">"c7351"</definedName>
    <definedName name="IQ_MAN_TRADE_SALES_YOY_FC" hidden="1">"c8231"</definedName>
    <definedName name="IQ_MAN_WAGES" hidden="1">"c6919"</definedName>
    <definedName name="IQ_MAN_WAGES_APR" hidden="1">"c7579"</definedName>
    <definedName name="IQ_MAN_WAGES_APR_FC" hidden="1">"c8459"</definedName>
    <definedName name="IQ_MAN_WAGES_FC" hidden="1">"c7799"</definedName>
    <definedName name="IQ_MAN_WAGES_POP" hidden="1">"c7139"</definedName>
    <definedName name="IQ_MAN_WAGES_POP_FC" hidden="1">"c8019"</definedName>
    <definedName name="IQ_MAN_WAGES_YOY" hidden="1">"c7359"</definedName>
    <definedName name="IQ_MAN_WAGES_YOY_FC" hidden="1">"c8239"</definedName>
    <definedName name="IQ_MANAGED_PROP" hidden="1">"c8763"</definedName>
    <definedName name="IQ_MANAGED_SQ_FT" hidden="1">"c8779"</definedName>
    <definedName name="IQ_MANAGED_UNITS" hidden="1">"c8771"</definedName>
    <definedName name="IQ_MARGIN_ANNUAL_PREMIUM_EQUIVALENT_NEW_BUSINESS" hidden="1">"c9970"</definedName>
    <definedName name="IQ_MARGIN_PV_PREMIUMS_NEW_BUSINESS" hidden="1">"c9971"</definedName>
    <definedName name="IQ_MARKET_CAP_LFCF" hidden="1">"c2209"</definedName>
    <definedName name="IQ_MARKETCAP" hidden="1">"c712"</definedName>
    <definedName name="IQ_MARKETING" hidden="1">"c2239"</definedName>
    <definedName name="IQ_MARKETING_PROMOTION_EXPENSE" hidden="1">"c16035"</definedName>
    <definedName name="IQ_MATERIALS_SUPPLES_INVENTORY_COAL" hidden="1">"c15942"</definedName>
    <definedName name="IQ_MATURITY_DATE" hidden="1">"c2146"</definedName>
    <definedName name="IQ_MATURITY_ONE_YEAR_LESS_FDIC" hidden="1">"c6425"</definedName>
    <definedName name="IQ_MBS_INVEST_SECURITIES_FFIEC" hidden="1">"c13460"</definedName>
    <definedName name="IQ_MBS_OTHER_ISSUED_FNMA_OTHERS_AVAIL_SALE_FFIEC" hidden="1">"c12799"</definedName>
    <definedName name="IQ_MBS_OTHER_ISSUED_FNMA_OTHERS_FFIEC" hidden="1">"c12785"</definedName>
    <definedName name="IQ_MBS_PASS_THROUGH_FNMA_AVAIL_SALE_FFIEC" hidden="1">"c12797"</definedName>
    <definedName name="IQ_MBS_PASS_THROUGH_FNMA_FFIEC" hidden="1">"c12783"</definedName>
    <definedName name="IQ_MBS_PASS_THROUGH_GNMA_AVAIL_SALE_FFIEC" hidden="1">"c12796"</definedName>
    <definedName name="IQ_MBS_PASS_THROUGH_GNMA_FFIEC" hidden="1">"c12782"</definedName>
    <definedName name="IQ_MBS_PASS_THROUGH_ISSUED_FNMA_GNMA_TRADING_DOM_FFIEC" hidden="1">"c12921"</definedName>
    <definedName name="IQ_MBS_PASS_THROUGH_OTHER_AVAIL_SALE_FFIEC" hidden="1">"c12798"</definedName>
    <definedName name="IQ_MBS_PASS_THROUGH_OTHER_FFIEC" hidden="1">"c12784"</definedName>
    <definedName name="IQ_MBS_QUARTERLY_AVG_FFIEC" hidden="1">"c15471"</definedName>
    <definedName name="IQ_MC_ASO_COVERED_LIVES" hidden="1">"c9918"</definedName>
    <definedName name="IQ_MC_ASO_MEMBERSHIP" hidden="1">"c9921"</definedName>
    <definedName name="IQ_MC_CLAIMS_RESERVES" hidden="1">"c9941"</definedName>
    <definedName name="IQ_MC_COMBINED_RATIO" hidden="1">"c9933"</definedName>
    <definedName name="IQ_MC_COMMERCIAL_ASO_FEES" hidden="1">"c15862"</definedName>
    <definedName name="IQ_MC_COMMERCIAL_NON_RISK_MEMBERS" hidden="1">"c15835"</definedName>
    <definedName name="IQ_MC_COMMERCIAL_PREMIUMS" hidden="1">"c15852"</definedName>
    <definedName name="IQ_MC_DAYS_CLAIMS_PAYABLE" hidden="1">"c9937"</definedName>
    <definedName name="IQ_MC_DAYS_CLAIMS_PAYABLE_EXCL_CAPITATION" hidden="1">"c9938"</definedName>
    <definedName name="IQ_MC_DENTAL_MEMBERS" hidden="1">"c15832"</definedName>
    <definedName name="IQ_MC_DENTAL_PREMIUMS" hidden="1">"c15858"</definedName>
    <definedName name="IQ_MC_HMO_MEMBERS" hidden="1">"c15824"</definedName>
    <definedName name="IQ_MC_HMO_PREMIUMS" hidden="1">"c15850"</definedName>
    <definedName name="IQ_MC_INDEMNITY_MEMBERS" hidden="1">"c15825"</definedName>
    <definedName name="IQ_MC_INDEMNITY_PREMIUMS" hidden="1">"c15851"</definedName>
    <definedName name="IQ_MC_MEDICAID_ASO_FEES" hidden="1">"c15865"</definedName>
    <definedName name="IQ_MC_MEDICAID_MEMBERS" hidden="1">"c15830"</definedName>
    <definedName name="IQ_MC_MEDICAID_NON_RISK_MEMBERS" hidden="1">"c15838"</definedName>
    <definedName name="IQ_MC_MEDICAID_PREMIUMS" hidden="1">"c15856"</definedName>
    <definedName name="IQ_MC_MEDICAL_COST" hidden="1">"c15847"</definedName>
    <definedName name="IQ_MC_MEDICAL_COSTS_PMPM" hidden="1">"c9925"</definedName>
    <definedName name="IQ_MC_MEDICARE_ASO_FEES" hidden="1">"c15864"</definedName>
    <definedName name="IQ_MC_MEDICARE_MEMBERS" hidden="1">"c15828"</definedName>
    <definedName name="IQ_MC_MEDICARE_NON_RISK_MEMBERS" hidden="1">"c15837"</definedName>
    <definedName name="IQ_MC_MEDICARE_PART_D_MEMBERS" hidden="1">"c15829"</definedName>
    <definedName name="IQ_MC_MEDICARE_PART_D_PREMIUMS" hidden="1">"c15855"</definedName>
    <definedName name="IQ_MC_MEDICARE_PREMIUMS" hidden="1">"c15854"</definedName>
    <definedName name="IQ_MC_MILITARY_ASO_FEES" hidden="1">"c15863"</definedName>
    <definedName name="IQ_MC_MILITARY_MEMBERS" hidden="1">"c15827"</definedName>
    <definedName name="IQ_MC_MILITARY_NON_RISK_MEMBERS" hidden="1">"c15836"</definedName>
    <definedName name="IQ_MC_MILITARY_PREMIUMS" hidden="1">"c15853"</definedName>
    <definedName name="IQ_MC_NET_INVESTMENT_INCOME" hidden="1">"c15845"</definedName>
    <definedName name="IQ_MC_OTHER_REV" hidden="1">"c15846"</definedName>
    <definedName name="IQ_MC_PARENT_CASH" hidden="1">"c9942"</definedName>
    <definedName name="IQ_MC_PPO_POS_MEMBERS" hidden="1">"c15823"</definedName>
    <definedName name="IQ_MC_PPO_POS_PREMIUMS" hidden="1">"c15849"</definedName>
    <definedName name="IQ_MC_PREMIUMS" hidden="1">"c15861"</definedName>
    <definedName name="IQ_MC_PREMIUMS_PMPM" hidden="1">"c9924"</definedName>
    <definedName name="IQ_MC_RATIO" hidden="1">"c2783"</definedName>
    <definedName name="IQ_MC_RECEIPT_CYCLE_TIME_DAYS" hidden="1">"c9939"</definedName>
    <definedName name="IQ_MC_RECEIPT_CYCLE_TIME_MONTHS" hidden="1">"c9940"</definedName>
    <definedName name="IQ_MC_RISK_COVERED_LIVES" hidden="1">"c9917"</definedName>
    <definedName name="IQ_MC_RISK_MEMBERSHIP" hidden="1">"c9920"</definedName>
    <definedName name="IQ_MC_SELLILNG_COSTS_RATIO" hidden="1">"c9928"</definedName>
    <definedName name="IQ_MC_SGA_PMPM" hidden="1">"c9926"</definedName>
    <definedName name="IQ_MC_SPECIALTY_ASO_FEES" hidden="1">"c15867"</definedName>
    <definedName name="IQ_MC_SPECIALTY_NON_RISK_MEMBERS" hidden="1">"c15840"</definedName>
    <definedName name="IQ_MC_STATUTORY_SURPLUS" hidden="1">"c2772"</definedName>
    <definedName name="IQ_MC_TANGIBLE_EQUITY_MEDICAL_COST" hidden="1">"c15848"</definedName>
    <definedName name="IQ_MC_TANGIBLE_EQUITY_PER_MEMBER" hidden="1">"c15843"</definedName>
    <definedName name="IQ_MC_TOTAL_ASO_FEES" hidden="1">"c15868"</definedName>
    <definedName name="IQ_MC_TOTAL_COMMERCIAL_MEMBERS" hidden="1">"c15826"</definedName>
    <definedName name="IQ_MC_TOTAL_COVERED_LIVES" hidden="1">"c9919"</definedName>
    <definedName name="IQ_MC_TOTAL_EQUITY_PER_MEMBER" hidden="1">"c15842"</definedName>
    <definedName name="IQ_MC_TOTAL_GOVT_ASO_FEES" hidden="1">"c15866"</definedName>
    <definedName name="IQ_MC_TOTAL_GOVT_MEMBERS" hidden="1">"c15831"</definedName>
    <definedName name="IQ_MC_TOTAL_GOVT_NON_RISK_MEMBERS" hidden="1">"c15839"</definedName>
    <definedName name="IQ_MC_TOTAL_GOVT_PREMIUMS" hidden="1">"c15857"</definedName>
    <definedName name="IQ_MC_TOTAL_MEMBERSHIP" hidden="1">"c9922"</definedName>
    <definedName name="IQ_MC_TOTAL_MEMBERSHIP_CAPITATION" hidden="1">"c9923"</definedName>
    <definedName name="IQ_MC_TOTAL_OTHER_MEMBERS" hidden="1">"c15833"</definedName>
    <definedName name="IQ_MC_TOTAL_OTHER_PREMIUMS" hidden="1">"c15859"</definedName>
    <definedName name="IQ_MC_TOTAL_RESERVES_PER_MEMBER" hidden="1">"c15844"</definedName>
    <definedName name="IQ_MC_TOTAL_SEPCIALTY_MEMBERS" hidden="1">"c15834"</definedName>
    <definedName name="IQ_MC_TOTAL_SEPCIALTY_PREMIUMS" hidden="1">"c15860"</definedName>
    <definedName name="IQ_MC_TOTAL_STATUTORY_CAPITAL_SURPLUS_PER_MEMBER" hidden="1">"c15841"</definedName>
    <definedName name="IQ_MC_UNPROCESSED_CLAIMS_INVENTORY_DAYS" hidden="1">"c9936"</definedName>
    <definedName name="IQ_MC_UNPROCESSED_CLAIMS_INVENTORY_NUMBER" hidden="1">"c9934"</definedName>
    <definedName name="IQ_MC_UNPROCESSED_CLAIMS_INVENTORY_VALUE" hidden="1">"c9935"</definedName>
    <definedName name="IQ_MEASURED_ATTRIB_ORE_RESOURCES_ALUM" hidden="1">"c9237"</definedName>
    <definedName name="IQ_MEASURED_ATTRIB_ORE_RESOURCES_COP" hidden="1">"c9181"</definedName>
    <definedName name="IQ_MEASURED_ATTRIB_ORE_RESOURCES_DIAM" hidden="1">"c9661"</definedName>
    <definedName name="IQ_MEASURED_ATTRIB_ORE_RESOURCES_GOLD" hidden="1">"c9022"</definedName>
    <definedName name="IQ_MEASURED_ATTRIB_ORE_RESOURCES_IRON" hidden="1">"c9396"</definedName>
    <definedName name="IQ_MEASURED_ATTRIB_ORE_RESOURCES_LEAD" hidden="1">"c9449"</definedName>
    <definedName name="IQ_MEASURED_ATTRIB_ORE_RESOURCES_MANG" hidden="1">"c9502"</definedName>
    <definedName name="IQ_MEASURED_ATTRIB_ORE_RESOURCES_MOLYB" hidden="1">"c9714"</definedName>
    <definedName name="IQ_MEASURED_ATTRIB_ORE_RESOURCES_NICK" hidden="1">"c9290"</definedName>
    <definedName name="IQ_MEASURED_ATTRIB_ORE_RESOURCES_PLAT" hidden="1">"c9128"</definedName>
    <definedName name="IQ_MEASURED_ATTRIB_ORE_RESOURCES_SILVER" hidden="1">"c9075"</definedName>
    <definedName name="IQ_MEASURED_ATTRIB_ORE_RESOURCES_TITAN" hidden="1">"c9555"</definedName>
    <definedName name="IQ_MEASURED_ATTRIB_ORE_RESOURCES_URAN" hidden="1">"c9608"</definedName>
    <definedName name="IQ_MEASURED_ATTRIB_ORE_RESOURCES_ZINC" hidden="1">"c9343"</definedName>
    <definedName name="IQ_MEASURED_INDICATED_ATTRIB_ORE_RESOURCES_ALUM" hidden="1">"c9239"</definedName>
    <definedName name="IQ_MEASURED_INDICATED_ATTRIB_ORE_RESOURCES_COP" hidden="1">"c9183"</definedName>
    <definedName name="IQ_MEASURED_INDICATED_ATTRIB_ORE_RESOURCES_DIAM" hidden="1">"c9663"</definedName>
    <definedName name="IQ_MEASURED_INDICATED_ATTRIB_ORE_RESOURCES_GOLD" hidden="1">"c9024"</definedName>
    <definedName name="IQ_MEASURED_INDICATED_ATTRIB_ORE_RESOURCES_IRON" hidden="1">"c9398"</definedName>
    <definedName name="IQ_MEASURED_INDICATED_ATTRIB_ORE_RESOURCES_LEAD" hidden="1">"c9451"</definedName>
    <definedName name="IQ_MEASURED_INDICATED_ATTRIB_ORE_RESOURCES_MANG" hidden="1">"c9504"</definedName>
    <definedName name="IQ_MEASURED_INDICATED_ATTRIB_ORE_RESOURCES_MOLYB" hidden="1">"c9716"</definedName>
    <definedName name="IQ_MEASURED_INDICATED_ATTRIB_ORE_RESOURCES_NICK" hidden="1">"c9292"</definedName>
    <definedName name="IQ_MEASURED_INDICATED_ATTRIB_ORE_RESOURCES_PLAT" hidden="1">"c9130"</definedName>
    <definedName name="IQ_MEASURED_INDICATED_ATTRIB_ORE_RESOURCES_SILVER" hidden="1">"c9077"</definedName>
    <definedName name="IQ_MEASURED_INDICATED_ATTRIB_ORE_RESOURCES_TITAN" hidden="1">"c9557"</definedName>
    <definedName name="IQ_MEASURED_INDICATED_ATTRIB_ORE_RESOURCES_URAN" hidden="1">"c9610"</definedName>
    <definedName name="IQ_MEASURED_INDICATED_ATTRIB_ORE_RESOURCES_ZINC" hidden="1">"c9345"</definedName>
    <definedName name="IQ_MEASURED_INDICATED_ORE_RESOURCES_ALUM" hidden="1">"c9226"</definedName>
    <definedName name="IQ_MEASURED_INDICATED_ORE_RESOURCES_COP" hidden="1">"c9170"</definedName>
    <definedName name="IQ_MEASURED_INDICATED_ORE_RESOURCES_DIAM" hidden="1">"c9650"</definedName>
    <definedName name="IQ_MEASURED_INDICATED_ORE_RESOURCES_GOLD" hidden="1">"c9011"</definedName>
    <definedName name="IQ_MEASURED_INDICATED_ORE_RESOURCES_IRON" hidden="1">"c9385"</definedName>
    <definedName name="IQ_MEASURED_INDICATED_ORE_RESOURCES_LEAD" hidden="1">"c9438"</definedName>
    <definedName name="IQ_MEASURED_INDICATED_ORE_RESOURCES_MANG" hidden="1">"c9491"</definedName>
    <definedName name="IQ_MEASURED_INDICATED_ORE_RESOURCES_MOLYB" hidden="1">"c9703"</definedName>
    <definedName name="IQ_MEASURED_INDICATED_ORE_RESOURCES_NICK" hidden="1">"c9279"</definedName>
    <definedName name="IQ_MEASURED_INDICATED_ORE_RESOURCES_PLAT" hidden="1">"c9117"</definedName>
    <definedName name="IQ_MEASURED_INDICATED_ORE_RESOURCES_SILVER" hidden="1">"c9064"</definedName>
    <definedName name="IQ_MEASURED_INDICATED_ORE_RESOURCES_TITAN" hidden="1">"c9544"</definedName>
    <definedName name="IQ_MEASURED_INDICATED_ORE_RESOURCES_URAN" hidden="1">"c9597"</definedName>
    <definedName name="IQ_MEASURED_INDICATED_ORE_RESOURCES_ZINC" hidden="1">"c9332"</definedName>
    <definedName name="IQ_MEASURED_INDICATED_RECOV_RESOURCES_ALUM" hidden="1">"c9234"</definedName>
    <definedName name="IQ_MEASURED_INDICATED_RECOV_RESOURCES_COAL" hidden="1">"c9813"</definedName>
    <definedName name="IQ_MEASURED_INDICATED_RECOV_RESOURCES_COP" hidden="1">"c9178"</definedName>
    <definedName name="IQ_MEASURED_INDICATED_RECOV_RESOURCES_DIAM" hidden="1">"c9658"</definedName>
    <definedName name="IQ_MEASURED_INDICATED_RECOV_RESOURCES_GOLD" hidden="1">"c9019"</definedName>
    <definedName name="IQ_MEASURED_INDICATED_RECOV_RESOURCES_IRON" hidden="1">"c9393"</definedName>
    <definedName name="IQ_MEASURED_INDICATED_RECOV_RESOURCES_LEAD" hidden="1">"c9446"</definedName>
    <definedName name="IQ_MEASURED_INDICATED_RECOV_RESOURCES_MANG" hidden="1">"c9499"</definedName>
    <definedName name="IQ_MEASURED_INDICATED_RECOV_RESOURCES_MET_COAL" hidden="1">"c9753"</definedName>
    <definedName name="IQ_MEASURED_INDICATED_RECOV_RESOURCES_MOLYB" hidden="1">"c9711"</definedName>
    <definedName name="IQ_MEASURED_INDICATED_RECOV_RESOURCES_NICK" hidden="1">"c9287"</definedName>
    <definedName name="IQ_MEASURED_INDICATED_RECOV_RESOURCES_PLAT" hidden="1">"c9125"</definedName>
    <definedName name="IQ_MEASURED_INDICATED_RECOV_RESOURCES_SILVER" hidden="1">"c9072"</definedName>
    <definedName name="IQ_MEASURED_INDICATED_RECOV_RESOURCES_STEAM" hidden="1">"c9783"</definedName>
    <definedName name="IQ_MEASURED_INDICATED_RECOV_RESOURCES_TITAN" hidden="1">"c9552"</definedName>
    <definedName name="IQ_MEASURED_INDICATED_RECOV_RESOURCES_URAN" hidden="1">"c9605"</definedName>
    <definedName name="IQ_MEASURED_INDICATED_RECOV_RESOURCES_ZINC" hidden="1">"c9340"</definedName>
    <definedName name="IQ_MEASURED_INDICATED_RESOURCES_GRADE_ALUM" hidden="1">"c9227"</definedName>
    <definedName name="IQ_MEASURED_INDICATED_RESOURCES_GRADE_COP" hidden="1">"c9171"</definedName>
    <definedName name="IQ_MEASURED_INDICATED_RESOURCES_GRADE_DIAM" hidden="1">"c9651"</definedName>
    <definedName name="IQ_MEASURED_INDICATED_RESOURCES_GRADE_GOLD" hidden="1">"c9012"</definedName>
    <definedName name="IQ_MEASURED_INDICATED_RESOURCES_GRADE_IRON" hidden="1">"c9386"</definedName>
    <definedName name="IQ_MEASURED_INDICATED_RESOURCES_GRADE_LEAD" hidden="1">"c9439"</definedName>
    <definedName name="IQ_MEASURED_INDICATED_RESOURCES_GRADE_MANG" hidden="1">"c9492"</definedName>
    <definedName name="IQ_MEASURED_INDICATED_RESOURCES_GRADE_MOLYB" hidden="1">"c9704"</definedName>
    <definedName name="IQ_MEASURED_INDICATED_RESOURCES_GRADE_NICK" hidden="1">"c9280"</definedName>
    <definedName name="IQ_MEASURED_INDICATED_RESOURCES_GRADE_PLAT" hidden="1">"c9118"</definedName>
    <definedName name="IQ_MEASURED_INDICATED_RESOURCES_GRADE_SILVER" hidden="1">"c9065"</definedName>
    <definedName name="IQ_MEASURED_INDICATED_RESOURCES_GRADE_TITAN" hidden="1">"c9545"</definedName>
    <definedName name="IQ_MEASURED_INDICATED_RESOURCES_GRADE_URAN" hidden="1">"c9598"</definedName>
    <definedName name="IQ_MEASURED_INDICATED_RESOURCES_GRADE_ZINC" hidden="1">"c9333"</definedName>
    <definedName name="IQ_MEASURED_ORE_RESOURCES_ALUM" hidden="1">"c9222"</definedName>
    <definedName name="IQ_MEASURED_ORE_RESOURCES_COP" hidden="1">"c9166"</definedName>
    <definedName name="IQ_MEASURED_ORE_RESOURCES_DIAM" hidden="1">"c9646"</definedName>
    <definedName name="IQ_MEASURED_ORE_RESOURCES_GOLD" hidden="1">"c9007"</definedName>
    <definedName name="IQ_MEASURED_ORE_RESOURCES_IRON" hidden="1">"c9381"</definedName>
    <definedName name="IQ_MEASURED_ORE_RESOURCES_LEAD" hidden="1">"c9434"</definedName>
    <definedName name="IQ_MEASURED_ORE_RESOURCES_MANG" hidden="1">"c9487"</definedName>
    <definedName name="IQ_MEASURED_ORE_RESOURCES_MOLYB" hidden="1">"c9699"</definedName>
    <definedName name="IQ_MEASURED_ORE_RESOURCES_NICK" hidden="1">"c9275"</definedName>
    <definedName name="IQ_MEASURED_ORE_RESOURCES_PLAT" hidden="1">"c9113"</definedName>
    <definedName name="IQ_MEASURED_ORE_RESOURCES_SILVER" hidden="1">"c9060"</definedName>
    <definedName name="IQ_MEASURED_ORE_RESOURCES_TITAN" hidden="1">"c9540"</definedName>
    <definedName name="IQ_MEASURED_ORE_RESOURCES_URAN" hidden="1">"c9593"</definedName>
    <definedName name="IQ_MEASURED_ORE_RESOURCES_ZINC" hidden="1">"c9328"</definedName>
    <definedName name="IQ_MEASURED_RECOV_ATTRIB_RESOURCES_ALUM" hidden="1">"c9242"</definedName>
    <definedName name="IQ_MEASURED_RECOV_ATTRIB_RESOURCES_COAL" hidden="1">"c9816"</definedName>
    <definedName name="IQ_MEASURED_RECOV_ATTRIB_RESOURCES_COP" hidden="1">"c9186"</definedName>
    <definedName name="IQ_MEASURED_RECOV_ATTRIB_RESOURCES_DIAM" hidden="1">"c9666"</definedName>
    <definedName name="IQ_MEASURED_RECOV_ATTRIB_RESOURCES_GOLD" hidden="1">"c9027"</definedName>
    <definedName name="IQ_MEASURED_RECOV_ATTRIB_RESOURCES_IRON" hidden="1">"c9401"</definedName>
    <definedName name="IQ_MEASURED_RECOV_ATTRIB_RESOURCES_LEAD" hidden="1">"c9454"</definedName>
    <definedName name="IQ_MEASURED_RECOV_ATTRIB_RESOURCES_MANG" hidden="1">"c9507"</definedName>
    <definedName name="IQ_MEASURED_RECOV_ATTRIB_RESOURCES_MET_COAL" hidden="1">"c9756"</definedName>
    <definedName name="IQ_MEASURED_RECOV_ATTRIB_RESOURCES_MOLYB" hidden="1">"c9719"</definedName>
    <definedName name="IQ_MEASURED_RECOV_ATTRIB_RESOURCES_NICK" hidden="1">"c9295"</definedName>
    <definedName name="IQ_MEASURED_RECOV_ATTRIB_RESOURCES_PLAT" hidden="1">"c9133"</definedName>
    <definedName name="IQ_MEASURED_RECOV_ATTRIB_RESOURCES_SILVER" hidden="1">"c9080"</definedName>
    <definedName name="IQ_MEASURED_RECOV_ATTRIB_RESOURCES_STEAM" hidden="1">"c9786"</definedName>
    <definedName name="IQ_MEASURED_RECOV_ATTRIB_RESOURCES_TITAN" hidden="1">"c9560"</definedName>
    <definedName name="IQ_MEASURED_RECOV_ATTRIB_RESOURCES_URAN" hidden="1">"c9613"</definedName>
    <definedName name="IQ_MEASURED_RECOV_ATTRIB_RESOURCES_ZINC" hidden="1">"c9348"</definedName>
    <definedName name="IQ_MEASURED_RECOV_RESOURCES_ALUM" hidden="1">"c9232"</definedName>
    <definedName name="IQ_MEASURED_RECOV_RESOURCES_COAL" hidden="1">"c9811"</definedName>
    <definedName name="IQ_MEASURED_RECOV_RESOURCES_COP" hidden="1">"c9176"</definedName>
    <definedName name="IQ_MEASURED_RECOV_RESOURCES_DIAM" hidden="1">"c9656"</definedName>
    <definedName name="IQ_MEASURED_RECOV_RESOURCES_GOLD" hidden="1">"c9017"</definedName>
    <definedName name="IQ_MEASURED_RECOV_RESOURCES_IRON" hidden="1">"c9391"</definedName>
    <definedName name="IQ_MEASURED_RECOV_RESOURCES_LEAD" hidden="1">"c9444"</definedName>
    <definedName name="IQ_MEASURED_RECOV_RESOURCES_MANG" hidden="1">"c9497"</definedName>
    <definedName name="IQ_MEASURED_RECOV_RESOURCES_MET_COAL" hidden="1">"c9751"</definedName>
    <definedName name="IQ_MEASURED_RECOV_RESOURCES_MOLYB" hidden="1">"c9709"</definedName>
    <definedName name="IQ_MEASURED_RECOV_RESOURCES_NICK" hidden="1">"c9285"</definedName>
    <definedName name="IQ_MEASURED_RECOV_RESOURCES_PLAT" hidden="1">"c9123"</definedName>
    <definedName name="IQ_MEASURED_RECOV_RESOURCES_SILVER" hidden="1">"c9070"</definedName>
    <definedName name="IQ_MEASURED_RECOV_RESOURCES_STEAM" hidden="1">"c9781"</definedName>
    <definedName name="IQ_MEASURED_RECOV_RESOURCES_TITAN" hidden="1">"c9550"</definedName>
    <definedName name="IQ_MEASURED_RECOV_RESOURCES_URAN" hidden="1">"c9603"</definedName>
    <definedName name="IQ_MEASURED_RECOV_RESOURCES_ZINC" hidden="1">"c9338"</definedName>
    <definedName name="IQ_MEASURED_RESOURCES_CALORIFIC_VALUE_COAL" hidden="1">"c9806"</definedName>
    <definedName name="IQ_MEASURED_RESOURCES_CALORIFIC_VALUE_MET_COAL" hidden="1">"c9746"</definedName>
    <definedName name="IQ_MEASURED_RESOURCES_CALORIFIC_VALUE_STEAM" hidden="1">"c9776"</definedName>
    <definedName name="IQ_MEASURED_RESOURCES_GRADE_ALUM" hidden="1">"c9223"</definedName>
    <definedName name="IQ_MEASURED_RESOURCES_GRADE_COP" hidden="1">"c9167"</definedName>
    <definedName name="IQ_MEASURED_RESOURCES_GRADE_DIAM" hidden="1">"c9647"</definedName>
    <definedName name="IQ_MEASURED_RESOURCES_GRADE_GOLD" hidden="1">"c9008"</definedName>
    <definedName name="IQ_MEASURED_RESOURCES_GRADE_IRON" hidden="1">"c9382"</definedName>
    <definedName name="IQ_MEASURED_RESOURCES_GRADE_LEAD" hidden="1">"c9435"</definedName>
    <definedName name="IQ_MEASURED_RESOURCES_GRADE_MANG" hidden="1">"c9488"</definedName>
    <definedName name="IQ_MEASURED_RESOURCES_GRADE_MOLYB" hidden="1">"c9700"</definedName>
    <definedName name="IQ_MEASURED_RESOURCES_GRADE_NICK" hidden="1">"c9276"</definedName>
    <definedName name="IQ_MEASURED_RESOURCES_GRADE_PLAT" hidden="1">"c9114"</definedName>
    <definedName name="IQ_MEASURED_RESOURCES_GRADE_SILVER" hidden="1">"c9061"</definedName>
    <definedName name="IQ_MEASURED_RESOURCES_GRADE_TITAN" hidden="1">"c9541"</definedName>
    <definedName name="IQ_MEASURED_RESOURCES_GRADE_URAN" hidden="1">"c9594"</definedName>
    <definedName name="IQ_MEASURED_RESOURCES_GRADE_ZINC" hidden="1">"c9329"</definedName>
    <definedName name="IQ_MEDIAN_NEW_HOME_SALES_APR_FC_UNUSED" hidden="1">"c8460"</definedName>
    <definedName name="IQ_MEDIAN_NEW_HOME_SALES_APR_FC_UNUSED_UNUSED_UNUSED" hidden="1">"c8460"</definedName>
    <definedName name="IQ_MEDIAN_NEW_HOME_SALES_APR_UNUSED" hidden="1">"c7580"</definedName>
    <definedName name="IQ_MEDIAN_NEW_HOME_SALES_APR_UNUSED_UNUSED_UNUSED" hidden="1">"c7580"</definedName>
    <definedName name="IQ_MEDIAN_NEW_HOME_SALES_FC_UNUSED" hidden="1">"c7800"</definedName>
    <definedName name="IQ_MEDIAN_NEW_HOME_SALES_FC_UNUSED_UNUSED_UNUSED" hidden="1">"c7800"</definedName>
    <definedName name="IQ_MEDIAN_NEW_HOME_SALES_POP_FC_UNUSED" hidden="1">"c8020"</definedName>
    <definedName name="IQ_MEDIAN_NEW_HOME_SALES_POP_FC_UNUSED_UNUSED_UNUSED" hidden="1">"c8020"</definedName>
    <definedName name="IQ_MEDIAN_NEW_HOME_SALES_POP_UNUSED" hidden="1">"c7140"</definedName>
    <definedName name="IQ_MEDIAN_NEW_HOME_SALES_POP_UNUSED_UNUSED_UNUSED" hidden="1">"c7140"</definedName>
    <definedName name="IQ_MEDIAN_NEW_HOME_SALES_UNUSED" hidden="1">"c6920"</definedName>
    <definedName name="IQ_MEDIAN_NEW_HOME_SALES_UNUSED_UNUSED_UNUSED" hidden="1">"c6920"</definedName>
    <definedName name="IQ_MEDIAN_NEW_HOME_SALES_YOY_FC_UNUSED" hidden="1">"c8240"</definedName>
    <definedName name="IQ_MEDIAN_NEW_HOME_SALES_YOY_FC_UNUSED_UNUSED_UNUSED" hidden="1">"c8240"</definedName>
    <definedName name="IQ_MEDIAN_NEW_HOME_SALES_YOY_UNUSED" hidden="1">"c7360"</definedName>
    <definedName name="IQ_MEDIAN_NEW_HOME_SALES_YOY_UNUSED_UNUSED_UNUSED" hidden="1">"c7360"</definedName>
    <definedName name="IQ_MEDIAN_TARGET_PRICE" hidden="1">"c1650"</definedName>
    <definedName name="IQ_MEDIAN_TARGET_PRICE_CIQ" hidden="1">"c4658"</definedName>
    <definedName name="IQ_MEDIAN_TARGET_PRICE_REUT" hidden="1">"c5316"</definedName>
    <definedName name="IQ_MEDIAN_TARGET_PRICE_THOM" hidden="1">"c5095"</definedName>
    <definedName name="IQ_MEDIUM_SULFUR_CONTENT_RESERVES_COAL" hidden="1">"c15926"</definedName>
    <definedName name="IQ_MEDIUM_SULFURE_RESERVES_TO_TOTAL_RESERVES_COAL" hidden="1">"c15962"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SUPPLE" hidden="1">"c13810"</definedName>
    <definedName name="IQ_MERGER_UTI" hidden="1">"c726"</definedName>
    <definedName name="IQ_MI_RECOV_ATTRIB_RESOURCES_ALUM" hidden="1">"c9244"</definedName>
    <definedName name="IQ_MI_RECOV_ATTRIB_RESOURCES_COAL" hidden="1">"c9818"</definedName>
    <definedName name="IQ_MI_RECOV_ATTRIB_RESOURCES_COP" hidden="1">"c9188"</definedName>
    <definedName name="IQ_MI_RECOV_ATTRIB_RESOURCES_DIAM" hidden="1">"c9668"</definedName>
    <definedName name="IQ_MI_RECOV_ATTRIB_RESOURCES_GOLD" hidden="1">"c9029"</definedName>
    <definedName name="IQ_MI_RECOV_ATTRIB_RESOURCES_IRON" hidden="1">"c9403"</definedName>
    <definedName name="IQ_MI_RECOV_ATTRIB_RESOURCES_LEAD" hidden="1">"c9456"</definedName>
    <definedName name="IQ_MI_RECOV_ATTRIB_RESOURCES_MANG" hidden="1">"c9509"</definedName>
    <definedName name="IQ_MI_RECOV_ATTRIB_RESOURCES_MET_COAL" hidden="1">"c9758"</definedName>
    <definedName name="IQ_MI_RECOV_ATTRIB_RESOURCES_MOLYB" hidden="1">"c9721"</definedName>
    <definedName name="IQ_MI_RECOV_ATTRIB_RESOURCES_NICK" hidden="1">"c9297"</definedName>
    <definedName name="IQ_MI_RECOV_ATTRIB_RESOURCES_PLAT" hidden="1">"c9135"</definedName>
    <definedName name="IQ_MI_RECOV_ATTRIB_RESOURCES_SILVER" hidden="1">"c9082"</definedName>
    <definedName name="IQ_MI_RECOV_ATTRIB_RESOURCES_STEAM" hidden="1">"c9788"</definedName>
    <definedName name="IQ_MI_RECOV_ATTRIB_RESOURCES_TITAN" hidden="1">"c9562"</definedName>
    <definedName name="IQ_MI_RECOV_ATTRIB_RESOURCES_URAN" hidden="1">"c9615"</definedName>
    <definedName name="IQ_MI_RECOV_ATTRIB_RESOURCES_ZINC" hidden="1">"c9350"</definedName>
    <definedName name="IQ_MI_RESOURCES_CALORIFIC_VALUE_COAL" hidden="1">"c9808"</definedName>
    <definedName name="IQ_MI_RESOURCES_CALORIFIC_VALUE_MET_COAL" hidden="1">"c9748"</definedName>
    <definedName name="IQ_MI_RESOURCES_CALORIFIC_VALUE_STEAM" hidden="1">"c9778"</definedName>
    <definedName name="IQ_MILES_PASSED" hidden="1">"c2848"</definedName>
    <definedName name="IQ_MIN_USE_PER_SUB" hidden="1">"c15764"</definedName>
    <definedName name="IQ_MINE_DEVELOPMENT_GROSS_COAL" hidden="1">"c15940"</definedName>
    <definedName name="IQ_MINORITY_INT_AVG_ASSETS_FFIEC" hidden="1">"c13367"</definedName>
    <definedName name="IQ_MINORITY_INT_BS_FFIEC" hidden="1">"c12874"</definedName>
    <definedName name="IQ_MINORITY_INT_FFIEC" hidden="1">"c13031"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NTUTES_USED_LOCAL" hidden="1">"c15808"</definedName>
    <definedName name="IQ_MINTUTES_USED_LONG_DIST" hidden="1">"c15809"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CIQ" hidden="1">"c4041"</definedName>
    <definedName name="IQ_MKTCAP_TOTAL_REV_FWD_REUT" hidden="1">"c4048"</definedName>
    <definedName name="IQ_MKTCAP_TOTAL_REV_FWD_THOM" hidden="1">"c4055"</definedName>
    <definedName name="IQ_MM_ACCOUNT" hidden="1">"c743"</definedName>
    <definedName name="IQ_MM_ACCRETION_EXPENSE" hidden="1">"c9845"</definedName>
    <definedName name="IQ_MM_ARO_BEG" hidden="1">"c9842"</definedName>
    <definedName name="IQ_MM_ARO_TOTAL" hidden="1">"c9850"</definedName>
    <definedName name="IQ_MM_CURRENT_PORT_ARO" hidden="1">"c9851"</definedName>
    <definedName name="IQ_MM_DEVELOPED_ACREAGE" hidden="1">"c9832"</definedName>
    <definedName name="IQ_MM_DEVELOPED_SQ_KMS" hidden="1">"c9831"</definedName>
    <definedName name="IQ_MM_DEVELOPED_SQ_MILES" hidden="1">"c9833"</definedName>
    <definedName name="IQ_MM_EXPLORATION_EXPENDITURE_TOT" hidden="1">"c9840"</definedName>
    <definedName name="IQ_MM_FX_ADJUSTMENT" hidden="1">"c9847"</definedName>
    <definedName name="IQ_MM_LIABILITIES_INCURRED_ACQUIRED" hidden="1">"c9843"</definedName>
    <definedName name="IQ_MM_LIABILITIES_REL_SPIN_OFFS" hidden="1">"c9848"</definedName>
    <definedName name="IQ_MM_LIABILITIES_SETTLED_DISPOSED" hidden="1">"c9844"</definedName>
    <definedName name="IQ_MM_NON_CURRENT_PORT_ARO" hidden="1">"c9852"</definedName>
    <definedName name="IQ_MM_NUMBER_MINES" hidden="1">"c9839"</definedName>
    <definedName name="IQ_MM_OTHER_ADJUSTMENTS_ARO" hidden="1">"c9849"</definedName>
    <definedName name="IQ_MM_REMAINING_MINE_LIFE" hidden="1">"c9838"</definedName>
    <definedName name="IQ_MM_RESOURCES_INCL_EXCL_RESERVES" hidden="1">"c9841"</definedName>
    <definedName name="IQ_MM_REVISIONS_ESTIMATE" hidden="1">"c9846"</definedName>
    <definedName name="IQ_MM_STRIPPING_RATIO" hidden="1">"c9837"</definedName>
    <definedName name="IQ_MM_UNDEVELOPED_ACREAGE" hidden="1">"c9835"</definedName>
    <definedName name="IQ_MM_UNDEVELOPED_SQ_KMS" hidden="1">"c9834"</definedName>
    <definedName name="IQ_MM_UNDEVELOPED_SQ_MILES" hidden="1">"c9836"</definedName>
    <definedName name="IQ_MMDA_NON_TRANS_ACCTS_FFIEC" hidden="1">"c15330"</definedName>
    <definedName name="IQ_MMDA_SAVINGS_TOT_DEPOSITS_FFIEC" hidden="1">"c13905"</definedName>
    <definedName name="IQ_MONEY_MARKET_ACCOUNTS_COMMERCIAL_BANK_SUBS_FFIEC" hidden="1">"c12947"</definedName>
    <definedName name="IQ_MONEY_MARKET_ACCOUNTS_OTHER_INSTITUTIONS_FFIEC" hidden="1">"c12952"</definedName>
    <definedName name="IQ_MONEY_MARKET_DEPOSIT_ACCOUNTS_FDIC" hidden="1">"c6553"</definedName>
    <definedName name="IQ_MONEY_MKT_DEPOSITS_TOTAL_DEPOSITS" hidden="1">"c15720"</definedName>
    <definedName name="IQ_MONEY_MKT_SAVINGS_ACCT_DEPOSITS_TOTAL_DEPOSITS" hidden="1">"c15722"</definedName>
    <definedName name="IQ_MONTH" hidden="1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DEBT_UNDER_CAPITAL_LEASES_FFIEC" hidden="1">"c15276"</definedName>
    <definedName name="IQ_MORTGAGE_SERV_RIGHTS" hidden="1">"c2242"</definedName>
    <definedName name="IQ_MORTGAGE_SERVICING_ASSETS_FFIEC" hidden="1">"c12838"</definedName>
    <definedName name="IQ_MORTGAGE_SERVICING_FDIC" hidden="1">"c6335"</definedName>
    <definedName name="IQ_MTM_ADJ" hidden="1">"c16000"</definedName>
    <definedName name="IQ_MULTI_RES_PROPERTIES_TRADING_DOM_FFIEC" hidden="1">"c12930"</definedName>
    <definedName name="IQ_MULTIFAM_5_LOANS_TOT_LOANS_FFIEC" hidden="1">"c13869"</definedName>
    <definedName name="IQ_MULTIFAMILY_LOANS_GROSS_LOANS_FFIEC" hidden="1">"c13404"</definedName>
    <definedName name="IQ_MULTIFAMILY_LOANS_RISK_BASED_FFIEC" hidden="1">"c13425"</definedName>
    <definedName name="IQ_MULTIFAMILY_RES_DOM_FFIEC" hidden="1">"c15270"</definedName>
    <definedName name="IQ_MULTIFAMILY_RESIDENTIAL_LOANS_FDIC" hidden="1">"c6311"</definedName>
    <definedName name="IQ_MUNICIPAL_INVEST_SECURITIES_FFIEC" hidden="1">"c13459"</definedName>
    <definedName name="IQ_NAMES_REVISION_DATE_" hidden="1">40641.4102314815</definedName>
    <definedName name="IQ_NAPM_BUS_CONDITIONS" hidden="1">"c6921"</definedName>
    <definedName name="IQ_NAPM_BUS_CONDITIONS_APR" hidden="1">"c7581"</definedName>
    <definedName name="IQ_NAPM_BUS_CONDITIONS_APR_FC" hidden="1">"c8461"</definedName>
    <definedName name="IQ_NAPM_BUS_CONDITIONS_FC" hidden="1">"c7801"</definedName>
    <definedName name="IQ_NAPM_BUS_CONDITIONS_POP" hidden="1">"c7141"</definedName>
    <definedName name="IQ_NAPM_BUS_CONDITIONS_POP_FC" hidden="1">"c8021"</definedName>
    <definedName name="IQ_NAPM_BUS_CONDITIONS_YOY" hidden="1">"c7361"</definedName>
    <definedName name="IQ_NAPM_BUS_CONDITIONS_YOY_FC" hidden="1">"c8241"</definedName>
    <definedName name="IQ_NATIVE_COMPANY_NAME" hidden="1">"c13822"</definedName>
    <definedName name="IQ_NAV_ACT_OR_EST_THOM" hidden="1">"c5607"</definedName>
    <definedName name="IQ_NAV_DET_EST_CURRENCY_THOM" hidden="1">"c12490"</definedName>
    <definedName name="IQ_NAV_DET_EST_DATE_THOM" hidden="1">"c12241"</definedName>
    <definedName name="IQ_NAV_DET_EST_INCL_THOM" hidden="1">"c12373"</definedName>
    <definedName name="IQ_NAV_DET_EST_ORIGIN_THOM" hidden="1">"c12707"</definedName>
    <definedName name="IQ_NAV_DET_EST_THOM" hidden="1">"c12091"</definedName>
    <definedName name="IQ_NAV_EST" hidden="1">"c1751"</definedName>
    <definedName name="IQ_NAV_EST_THOM" hidden="1">"c5601"</definedName>
    <definedName name="IQ_NAV_HIGH_EST" hidden="1">"c1753"</definedName>
    <definedName name="IQ_NAV_HIGH_EST_THOM" hidden="1">"c5604"</definedName>
    <definedName name="IQ_NAV_LOW_EST" hidden="1">"c1754"</definedName>
    <definedName name="IQ_NAV_LOW_EST_THOM" hidden="1">"c5605"</definedName>
    <definedName name="IQ_NAV_MEDIAN_EST" hidden="1">"c1752"</definedName>
    <definedName name="IQ_NAV_MEDIAN_EST_THOM" hidden="1">"c5602"</definedName>
    <definedName name="IQ_NAV_NUM_EST" hidden="1">"c1755"</definedName>
    <definedName name="IQ_NAV_NUM_EST_THOM" hidden="1">"c5606"</definedName>
    <definedName name="IQ_NAV_RE" hidden="1">"c15996"</definedName>
    <definedName name="IQ_NAV_SHARE_ACT_OR_EST" hidden="1">"c2225"</definedName>
    <definedName name="IQ_NAV_SHARE_ACT_OR_EST_CIQ" hidden="1">"c12038"</definedName>
    <definedName name="IQ_NAV_SHARE_ACT_OR_EST_REUT" hidden="1">"c5623"</definedName>
    <definedName name="IQ_NAV_SHARE_DET_EST_CIQ" hidden="1">"c12123"</definedName>
    <definedName name="IQ_NAV_SHARE_DET_EST_CURRENCY_CIQ" hidden="1">"c12514"</definedName>
    <definedName name="IQ_NAV_SHARE_DET_EST_DATE_CIQ" hidden="1">"c12269"</definedName>
    <definedName name="IQ_NAV_SHARE_DET_EST_INCL_CIQ" hidden="1">"c12397"</definedName>
    <definedName name="IQ_NAV_SHARE_DET_EST_ORIGIN" hidden="1">"c12585"</definedName>
    <definedName name="IQ_NAV_SHARE_DET_EST_ORIGIN_CIQ" hidden="1">"c12638"</definedName>
    <definedName name="IQ_NAV_SHARE_DET_EST_ORIGIN_THOM" hidden="1">"c12611"</definedName>
    <definedName name="IQ_NAV_SHARE_EST" hidden="1">"c5609"</definedName>
    <definedName name="IQ_NAV_SHARE_EST_CIQ" hidden="1">"c12032"</definedName>
    <definedName name="IQ_NAV_SHARE_EST_REUT" hidden="1">"c5617"</definedName>
    <definedName name="IQ_NAV_SHARE_HIGH_EST" hidden="1">"c5612"</definedName>
    <definedName name="IQ_NAV_SHARE_HIGH_EST_CIQ" hidden="1">"c12035"</definedName>
    <definedName name="IQ_NAV_SHARE_HIGH_EST_REUT" hidden="1">"c5620"</definedName>
    <definedName name="IQ_NAV_SHARE_LOW_EST" hidden="1">"c5613"</definedName>
    <definedName name="IQ_NAV_SHARE_LOW_EST_CIQ" hidden="1">"c12036"</definedName>
    <definedName name="IQ_NAV_SHARE_LOW_EST_REUT" hidden="1">"c5621"</definedName>
    <definedName name="IQ_NAV_SHARE_MEDIAN_EST" hidden="1">"c5610"</definedName>
    <definedName name="IQ_NAV_SHARE_MEDIAN_EST_CIQ" hidden="1">"c12033"</definedName>
    <definedName name="IQ_NAV_SHARE_MEDIAN_EST_REUT" hidden="1">"c5618"</definedName>
    <definedName name="IQ_NAV_SHARE_NUM_EST" hidden="1">"c5614"</definedName>
    <definedName name="IQ_NAV_SHARE_NUM_EST_CIQ" hidden="1">"c12037"</definedName>
    <definedName name="IQ_NAV_SHARE_NUM_EST_REUT" hidden="1">"c5622"</definedName>
    <definedName name="IQ_NAV_SHARE_RE" hidden="1">"c16011"</definedName>
    <definedName name="IQ_NAV_SHARE_STDDEV_EST" hidden="1">"c5611"</definedName>
    <definedName name="IQ_NAV_SHARE_STDDEV_EST_CIQ" hidden="1">"c12034"</definedName>
    <definedName name="IQ_NAV_SHARE_STDDEV_EST_REUT" hidden="1">"c5619"</definedName>
    <definedName name="IQ_NAV_STDDEV_EST" hidden="1">"c1756"</definedName>
    <definedName name="IQ_NAV_STDDEV_EST_THOM" hidden="1">"c5603"</definedName>
    <definedName name="IQ_NCLS_CLOSED_END_1_4_FAM_LOANS_TOT_LOANS_FFIEC" hidden="1">"c13891"</definedName>
    <definedName name="IQ_NCLS_COMM_IND_LOANS_TOT_LOANS_FFIEC" hidden="1">"c13898"</definedName>
    <definedName name="IQ_NCLS_COMM_RE_FARM_LOANS_TOT_LOANS_FFIEC" hidden="1">"c13897"</definedName>
    <definedName name="IQ_NCLS_COMM_RE_NONFARM_NONRES_TOT_LOANS_FFIEC" hidden="1">"c13896"</definedName>
    <definedName name="IQ_NCLS_CONST_LAND_DEV_LOANS_TOT_LOANS_FFIEC" hidden="1">"c13890"</definedName>
    <definedName name="IQ_NCLS_CONSUMER_LOANS_TOT_LOANS_FFIEC" hidden="1">"c13899"</definedName>
    <definedName name="IQ_NCLS_FARM_LOANS_TOT_LOANS_FFIEC" hidden="1">"c13895"</definedName>
    <definedName name="IQ_NCLS_HOME_EQUITY_LOANS_TOT_LOANS_FFIEC" hidden="1">"c13892"</definedName>
    <definedName name="IQ_NCLS_MULTIFAM_5_LOANS_TOT_LOANS_FFIEC" hidden="1">"c13894"</definedName>
    <definedName name="IQ_NCLS_TOT_1_4_FAM_LOANS_TOT_LOANS_FFIEC" hidden="1">"c13893"</definedName>
    <definedName name="IQ_NCLS_TOT_LEASES_TOT_LOANS_FFIEC" hidden="1">"c13900"</definedName>
    <definedName name="IQ_NCLS_TOT_LOANS_TOT_LOANS_FFIEC" hidden="1">"c13901"</definedName>
    <definedName name="IQ_NCOS_CLOSED_END_1_4_FAM_LOANS_TOT_LOANS_FFIEC" hidden="1">"c13879"</definedName>
    <definedName name="IQ_NCOS_COMM_IND_LOANS_TOT_LOANS_FFIEC" hidden="1">"c13886"</definedName>
    <definedName name="IQ_NCOS_COMM_RE_FARM_LOANS_TOT_LOANS_FFIEC" hidden="1">"c13885"</definedName>
    <definedName name="IQ_NCOS_COMM_RE_NONFARM_NONRES_TOT_LOANS_FFIEC" hidden="1">"c13884"</definedName>
    <definedName name="IQ_NCOS_CONST_LAND_DEV_LOANS_TOT_LOANS_FFIEC" hidden="1">"c13878"</definedName>
    <definedName name="IQ_NCOS_CONSUMER_LOANS_TOT_LOANS_FFIEC" hidden="1">"c13887"</definedName>
    <definedName name="IQ_NCOS_FARM_LOANS_TOT_LOANS_FFIEC" hidden="1">"c13883"</definedName>
    <definedName name="IQ_NCOS_HOME_EQUITY_LOANS_TOT_LOANS_FFIEC" hidden="1">"c13880"</definedName>
    <definedName name="IQ_NCOS_MULTIFAM_5_LOANS_TOT_LOANS_FFIEC" hidden="1">"c13882"</definedName>
    <definedName name="IQ_NCOS_TOT_1_4_FAM_LOANS_TOT_LOANS_FFIEC" hidden="1">"c13881"</definedName>
    <definedName name="IQ_NCOS_TOT_LEASES_TOT_LOANS_FFIEC" hidden="1">"c13888"</definedName>
    <definedName name="IQ_NCOS_TOT_LOANS_TOT_LOANS_FFIEC" hidden="1">"c13889"</definedName>
    <definedName name="IQ_NEGATIVE_FAIR_VALUE_DERIVATIVES_BENEFICIARY_FFIEC" hidden="1">"c13124"</definedName>
    <definedName name="IQ_NEGATIVE_FAIR_VALUE_DERIVATIVES_GUARANTOR_FFIEC" hidden="1">"c13117"</definedName>
    <definedName name="IQ_NET_ADD_BASIC" hidden="1">"c15782"</definedName>
    <definedName name="IQ_NET_ADD_BBAND" hidden="1">"c15785"</definedName>
    <definedName name="IQ_NET_ADD_DIG" hidden="1">"c15783"</definedName>
    <definedName name="IQ_NET_ADD_PHONE" hidden="1">"c15786"</definedName>
    <definedName name="IQ_NET_ADD_POSTPAID_WIRELESS" hidden="1">"c15754"</definedName>
    <definedName name="IQ_NET_ADD_PREPAID_WIRELESS" hidden="1">"c15755"</definedName>
    <definedName name="IQ_NET_ADD_RESELL_WHOLESALE_WIRELESS" hidden="1">"c15756"</definedName>
    <definedName name="IQ_NET_ADD_RGU" hidden="1">"c15787"</definedName>
    <definedName name="IQ_NET_ADD_SATELLITE" hidden="1">"c15784"</definedName>
    <definedName name="IQ_NET_ADD_TOTAL_WIRELESS" hidden="1">"c15757"</definedName>
    <definedName name="IQ_NET_BOOKING_LOCATION_ADJUSTMENT_FOREIGN_FFIEC" hidden="1">"c15385"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ADJ_EXP_RESERVE_BOP" hidden="1">"c15877"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ACT_OR_EST" hidden="1">"c3583"</definedName>
    <definedName name="IQ_NET_DEBT_ACT_OR_EST_CIQ" hidden="1">"c5070"</definedName>
    <definedName name="IQ_NET_DEBT_ACT_OR_EST_REUT" hidden="1">"c5473"</definedName>
    <definedName name="IQ_NET_DEBT_ACT_OR_EST_THOM" hidden="1">"c5309"</definedName>
    <definedName name="IQ_NET_DEBT_DET_EST" hidden="1">"c12061"</definedName>
    <definedName name="IQ_NET_DEBT_DET_EST_CIQ" hidden="1">"c12124"</definedName>
    <definedName name="IQ_NET_DEBT_DET_EST_CURRENCY" hidden="1">"c12468"</definedName>
    <definedName name="IQ_NET_DEBT_DET_EST_CURRENCY_CIQ" hidden="1">"c12515"</definedName>
    <definedName name="IQ_NET_DEBT_DET_EST_CURRENCY_THOM" hidden="1">"c12491"</definedName>
    <definedName name="IQ_NET_DEBT_DET_EST_DATE" hidden="1">"c12214"</definedName>
    <definedName name="IQ_NET_DEBT_DET_EST_DATE_CIQ" hidden="1">"c12270"</definedName>
    <definedName name="IQ_NET_DEBT_DET_EST_DATE_THOM" hidden="1">"c12242"</definedName>
    <definedName name="IQ_NET_DEBT_DET_EST_INCL" hidden="1">"c12351"</definedName>
    <definedName name="IQ_NET_DEBT_DET_EST_INCL_CIQ" hidden="1">"c12398"</definedName>
    <definedName name="IQ_NET_DEBT_DET_EST_INCL_THOM" hidden="1">"c12374"</definedName>
    <definedName name="IQ_NET_DEBT_DET_EST_ORIGIN" hidden="1">"c12586"</definedName>
    <definedName name="IQ_NET_DEBT_DET_EST_ORIGIN_CIQ" hidden="1">"c12639"</definedName>
    <definedName name="IQ_NET_DEBT_DET_EST_ORIGIN_THOM" hidden="1">"c12612"</definedName>
    <definedName name="IQ_NET_DEBT_DET_EST_THOM" hidden="1">"c12092"</definedName>
    <definedName name="IQ_NET_DEBT_EBITDA" hidden="1">"c750"</definedName>
    <definedName name="IQ_NET_DEBT_EBITDA_CAPEX" hidden="1">"c2949"</definedName>
    <definedName name="IQ_NET_DEBT_EST" hidden="1">"c3517"</definedName>
    <definedName name="IQ_NET_DEBT_EST_CIQ" hidden="1">"c3814"</definedName>
    <definedName name="IQ_NET_DEBT_EST_REUT" hidden="1">"c3976"</definedName>
    <definedName name="IQ_NET_DEBT_EST_THOM" hidden="1">"c4027"</definedName>
    <definedName name="IQ_NET_DEBT_GUIDANCE" hidden="1">"c4467"</definedName>
    <definedName name="IQ_NET_DEBT_GUIDANCE_CIQ" hidden="1">"c5005"</definedName>
    <definedName name="IQ_NET_DEBT_HIGH_EST" hidden="1">"c3518"</definedName>
    <definedName name="IQ_NET_DEBT_HIGH_EST_CIQ" hidden="1">"c3816"</definedName>
    <definedName name="IQ_NET_DEBT_HIGH_EST_REUT" hidden="1">"c3978"</definedName>
    <definedName name="IQ_NET_DEBT_HIGH_EST_THOM" hidden="1">"c4029"</definedName>
    <definedName name="IQ_NET_DEBT_HIGH_GUIDANCE" hidden="1">"c4181"</definedName>
    <definedName name="IQ_NET_DEBT_HIGH_GUIDANCE_CIQ" hidden="1">"c4593"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DEBT_LOW_EST" hidden="1">"c3519"</definedName>
    <definedName name="IQ_NET_DEBT_LOW_EST_CIQ" hidden="1">"c3817"</definedName>
    <definedName name="IQ_NET_DEBT_LOW_EST_REUT" hidden="1">"c3979"</definedName>
    <definedName name="IQ_NET_DEBT_LOW_EST_THOM" hidden="1">"c4030"</definedName>
    <definedName name="IQ_NET_DEBT_LOW_GUIDANCE" hidden="1">"c4221"</definedName>
    <definedName name="IQ_NET_DEBT_LOW_GUIDANCE_CIQ" hidden="1">"c4633"</definedName>
    <definedName name="IQ_NET_DEBT_MEDIAN_EST" hidden="1">"c3520"</definedName>
    <definedName name="IQ_NET_DEBT_MEDIAN_EST_CIQ" hidden="1">"c3815"</definedName>
    <definedName name="IQ_NET_DEBT_MEDIAN_EST_REUT" hidden="1">"c3977"</definedName>
    <definedName name="IQ_NET_DEBT_MEDIAN_EST_THOM" hidden="1">"c4028"</definedName>
    <definedName name="IQ_NET_DEBT_NUM_EST" hidden="1">"c3515"</definedName>
    <definedName name="IQ_NET_DEBT_NUM_EST_CIQ" hidden="1">"c3818"</definedName>
    <definedName name="IQ_NET_DEBT_NUM_EST_REUT" hidden="1">"c3980"</definedName>
    <definedName name="IQ_NET_DEBT_NUM_EST_THOM" hidden="1">"c4031"</definedName>
    <definedName name="IQ_NET_DEBT_STDDEV_EST" hidden="1">"c3516"</definedName>
    <definedName name="IQ_NET_DEBT_STDDEV_EST_CIQ" hidden="1">"c3819"</definedName>
    <definedName name="IQ_NET_DEBT_STDDEV_EST_REUT" hidden="1">"c3981"</definedName>
    <definedName name="IQ_NET_DEBT_STDDEV_EST_THOM" hidden="1">"c4032"</definedName>
    <definedName name="IQ_NET_EARNED" hidden="1">"c2734"</definedName>
    <definedName name="IQ_NET_FUNDS_PURCHASED_ASSETS_TOT_FFIEC" hidden="1">"c13448"</definedName>
    <definedName name="IQ_NET_GAIN_LOSS_OREO_EXP_FFIEC" hidden="1">"c15370"</definedName>
    <definedName name="IQ_NET_GAIN_LOSS_OREO_INC_FFIEC" hidden="1">"c15367"</definedName>
    <definedName name="IQ_NET_GAIN_LOSS_SALES_LOANS_EXP_FFIEC" hidden="1">"c15371"</definedName>
    <definedName name="IQ_NET_GAIN_LOSS_SALES_LOANS_INC_FFIEC" hidden="1">"c15368"</definedName>
    <definedName name="IQ_NET_GAIN_SALE_PREMISES_FIXED_ASSETS_EXP_FFIEC" hidden="1">"c15372"</definedName>
    <definedName name="IQ_NET_GAIN_SALE_PREMISES_FIXED_ASSETS_INC_FFIEC" hidden="1">"c15369"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COME_HOMEBUILDING_SALES" hidden="1">"c15818"</definedName>
    <definedName name="IQ_NET_INCOME_LH_FFIEC" hidden="1">"c13110"</definedName>
    <definedName name="IQ_NET_INCOME_PC_FFIEC" hidden="1">"c13103"</definedName>
    <definedName name="IQ_NET_INCOME_SHE_FFIEC" hidden="1">"c12960"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AFTER_LL_BNK_SUBTOTAL_AP" hidden="1">"c8979"</definedName>
    <definedName name="IQ_NET_INT_INC_BNK" hidden="1">"c764"</definedName>
    <definedName name="IQ_NET_INT_INC_BNK_AP" hidden="1">"c8874"</definedName>
    <definedName name="IQ_NET_INT_INC_BNK_AP_ABS" hidden="1">"c8893"</definedName>
    <definedName name="IQ_NET_INT_INC_BNK_FDIC" hidden="1">"c6570"</definedName>
    <definedName name="IQ_NET_INT_INC_BNK_NAME_AP" hidden="1">"c8912"</definedName>
    <definedName name="IQ_NET_INT_INC_BNK_NAME_AP_ABS" hidden="1">"c8931"</definedName>
    <definedName name="IQ_NET_INT_INC_BNK_SUBTOTAL_AP" hidden="1">"c8978"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INCOME_AVG_ASSET" hidden="1">"c15706"</definedName>
    <definedName name="IQ_NET_INT_INCOME_FFIEC" hidden="1">"c13001"</definedName>
    <definedName name="IQ_NET_INT_INCOME_FTE_FFIEC" hidden="1">"c13036"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INC_INTERNATIONAL_OPS_FFIEC" hidden="1">"c15375"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CORE_DEPOSITS_FFIEC" hidden="1">"c13341"</definedName>
    <definedName name="IQ_NET_LOANS_DEPOSITS_FFIEC" hidden="1">"c13340"</definedName>
    <definedName name="IQ_NET_LOANS_EQUITY_FFIEC" hidden="1">"c13347"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LOSSES" hidden="1">"c15873"</definedName>
    <definedName name="IQ_NET_NONINTEREST_INC_EXP_INTERNATIONAL_OPS_FFIEC" hidden="1">"c15387"</definedName>
    <definedName name="IQ_NET_OPERATING_INCOME_ASSETS_FDIC" hidden="1">"c6729"</definedName>
    <definedName name="IQ_NET_PREMIUM_WRITTEN_STATUTORY_SURPLUS" hidden="1">"c15880"</definedName>
    <definedName name="IQ_NET_PREMIUMS_WRITTEN_AVG_ASSETS" hidden="1">"c15888"</definedName>
    <definedName name="IQ_NET_PREMIUMS_WRITTEN_AVG_EQUITY" hidden="1">"c15891"</definedName>
    <definedName name="IQ_NET_PREMIUMS_WRITTEN_AVG_STATUTORY_SURPLUS" hidden="1">"c15890"</definedName>
    <definedName name="IQ_NET_PREMIUMS_WRITTEN_GROSS_PREMIUMS_WRITTEN" hidden="1">"c15889"</definedName>
    <definedName name="IQ_NET_RENTAL_EXP_FN" hidden="1">"c780"</definedName>
    <definedName name="IQ_NET_SECURITIZATION_INC_FOREIGN_FFIEC" hidden="1">"c15379"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WS" hidden="1">"c13743"</definedName>
    <definedName name="IQ_NEWS_DATE" hidden="1">"c13746"</definedName>
    <definedName name="IQ_NEWS_SOURCE" hidden="1">"c13745"</definedName>
    <definedName name="IQ_NEWS_TIME" hidden="1">"c13759"</definedName>
    <definedName name="IQ_NEWS_URL" hidden="1">"c13744"</definedName>
    <definedName name="IQ_NEXT_CALL_DATE" hidden="1">"c2198"</definedName>
    <definedName name="IQ_NEXT_CALL_PRICE" hidden="1">"c2199"</definedName>
    <definedName name="IQ_NEXT_EARNINGS_DATE" hidden="1">"c13592"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EXT_YR_PROD_EST_MAX_ALUM" hidden="1">"c9251"</definedName>
    <definedName name="IQ_NEXT_YR_PROD_EST_MAX_CATHODE_COP" hidden="1">"c9198"</definedName>
    <definedName name="IQ_NEXT_YR_PROD_EST_MAX_COP" hidden="1">"c9196"</definedName>
    <definedName name="IQ_NEXT_YR_PROD_EST_MAX_DIAM" hidden="1">"c9675"</definedName>
    <definedName name="IQ_NEXT_YR_PROD_EST_MAX_GOLD" hidden="1">"c9036"</definedName>
    <definedName name="IQ_NEXT_YR_PROD_EST_MAX_IRON" hidden="1">"c9410"</definedName>
    <definedName name="IQ_NEXT_YR_PROD_EST_MAX_LEAD" hidden="1">"c9463"</definedName>
    <definedName name="IQ_NEXT_YR_PROD_EST_MAX_MANG" hidden="1">"c9516"</definedName>
    <definedName name="IQ_NEXT_YR_PROD_EST_MAX_MOLYB" hidden="1">"c9728"</definedName>
    <definedName name="IQ_NEXT_YR_PROD_EST_MAX_NICK" hidden="1">"c9304"</definedName>
    <definedName name="IQ_NEXT_YR_PROD_EST_MAX_PLAT" hidden="1">"c9142"</definedName>
    <definedName name="IQ_NEXT_YR_PROD_EST_MAX_SILVER" hidden="1">"c9089"</definedName>
    <definedName name="IQ_NEXT_YR_PROD_EST_MAX_TITAN" hidden="1">"c9569"</definedName>
    <definedName name="IQ_NEXT_YR_PROD_EST_MAX_URAN" hidden="1">"c9622"</definedName>
    <definedName name="IQ_NEXT_YR_PROD_EST_MAX_ZINC" hidden="1">"c9357"</definedName>
    <definedName name="IQ_NEXT_YR_PROD_EST_MIN_ALUM" hidden="1">"c9250"</definedName>
    <definedName name="IQ_NEXT_YR_PROD_EST_MIN_CATHODE_COP" hidden="1">"c9197"</definedName>
    <definedName name="IQ_NEXT_YR_PROD_EST_MIN_COP" hidden="1">"c9195"</definedName>
    <definedName name="IQ_NEXT_YR_PROD_EST_MIN_DIAM" hidden="1">"c9674"</definedName>
    <definedName name="IQ_NEXT_YR_PROD_EST_MIN_GOLD" hidden="1">"c9035"</definedName>
    <definedName name="IQ_NEXT_YR_PROD_EST_MIN_IRON" hidden="1">"c9409"</definedName>
    <definedName name="IQ_NEXT_YR_PROD_EST_MIN_LEAD" hidden="1">"c9462"</definedName>
    <definedName name="IQ_NEXT_YR_PROD_EST_MIN_MANG" hidden="1">"c9515"</definedName>
    <definedName name="IQ_NEXT_YR_PROD_EST_MIN_MOLYB" hidden="1">"c9727"</definedName>
    <definedName name="IQ_NEXT_YR_PROD_EST_MIN_NICK" hidden="1">"c9303"</definedName>
    <definedName name="IQ_NEXT_YR_PROD_EST_MIN_PLAT" hidden="1">"c9141"</definedName>
    <definedName name="IQ_NEXT_YR_PROD_EST_MIN_SILVER" hidden="1">"c9088"</definedName>
    <definedName name="IQ_NEXT_YR_PROD_EST_MIN_TITAN" hidden="1">"c9568"</definedName>
    <definedName name="IQ_NEXT_YR_PROD_EST_MIN_URAN" hidden="1">"c9621"</definedName>
    <definedName name="IQ_NEXT_YR_PROD_EST_MIN_ZINC" hidden="1">"c9356"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CT_OR_EST" hidden="1">"c2222"</definedName>
    <definedName name="IQ_NI_ACT_OR_EST_CIQ" hidden="1">"c5065"</definedName>
    <definedName name="IQ_NI_ACT_OR_EST_REUT" hidden="1">"c5468"</definedName>
    <definedName name="IQ_NI_ACT_OR_EST_THOM" hidden="1">"c5306"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AVAIL_SUBTOTAL_AP" hidden="1">"c8984"</definedName>
    <definedName name="IQ_NI_AVG_ASSETS_FFIEC" hidden="1">"c13370"</definedName>
    <definedName name="IQ_NI_BANK_AND_NONCONTROLLING_INTEREST_FFIEC" hidden="1">"c15365"</definedName>
    <definedName name="IQ_NI_BEFORE_CAPITALIZED" hidden="1">"c792"</definedName>
    <definedName name="IQ_NI_BEFORE_INTERNAL_ALLOCATIONS_FOREIGN_FFIEC" hidden="1">"c15393"</definedName>
    <definedName name="IQ_NI_CF" hidden="1">"c793"</definedName>
    <definedName name="IQ_NI_CHARGES_AP" hidden="1">"c8879"</definedName>
    <definedName name="IQ_NI_CHARGES_AP_ABS" hidden="1">"c8898"</definedName>
    <definedName name="IQ_NI_CHARGES_NAME_AP" hidden="1">"c8917"</definedName>
    <definedName name="IQ_NI_CHARGES_NAME_AP_ABS" hidden="1">"c8936"</definedName>
    <definedName name="IQ_NI_DET_EST" hidden="1">"c12062"</definedName>
    <definedName name="IQ_NI_DET_EST_CIQ" hidden="1">"c12125"</definedName>
    <definedName name="IQ_NI_DET_EST_CURRENCY" hidden="1">"c12469"</definedName>
    <definedName name="IQ_NI_DET_EST_CURRENCY_CIQ" hidden="1">"c12516"</definedName>
    <definedName name="IQ_NI_DET_EST_CURRENCY_THOM" hidden="1">"c12492"</definedName>
    <definedName name="IQ_NI_DET_EST_DATE" hidden="1">"c12215"</definedName>
    <definedName name="IQ_NI_DET_EST_DATE_CIQ" hidden="1">"c12271"</definedName>
    <definedName name="IQ_NI_DET_EST_DATE_THOM" hidden="1">"c12243"</definedName>
    <definedName name="IQ_NI_DET_EST_INCL" hidden="1">"c12352"</definedName>
    <definedName name="IQ_NI_DET_EST_INCL_CIQ" hidden="1">"c12399"</definedName>
    <definedName name="IQ_NI_DET_EST_INCL_THOM" hidden="1">"c12375"</definedName>
    <definedName name="IQ_NI_DET_EST_ORIGIN" hidden="1">"c12587"</definedName>
    <definedName name="IQ_NI_DET_EST_ORIGIN_CIQ" hidden="1">"c12640"</definedName>
    <definedName name="IQ_NI_DET_EST_ORIGIN_THOM" hidden="1">"c12613"</definedName>
    <definedName name="IQ_NI_DET_EST_THOM" hidden="1">"c12093"</definedName>
    <definedName name="IQ_NI_EST" hidden="1">"c1716"</definedName>
    <definedName name="IQ_NI_EST_CIQ" hidden="1">"c4702"</definedName>
    <definedName name="IQ_NI_EST_REUT" hidden="1">"c5368"</definedName>
    <definedName name="IQ_NI_EST_THOM" hidden="1">"c5126"</definedName>
    <definedName name="IQ_NI_FFIEC" hidden="1">"c13034"</definedName>
    <definedName name="IQ_NI_GAAP_GUIDANCE" hidden="1">"c4470"</definedName>
    <definedName name="IQ_NI_GAAP_GUIDANCE_CIQ" hidden="1">"c5008"</definedName>
    <definedName name="IQ_NI_GAAP_HIGH_GUIDANCE" hidden="1">"c4177"</definedName>
    <definedName name="IQ_NI_GAAP_HIGH_GUIDANCE_CIQ" hidden="1">"c4589"</definedName>
    <definedName name="IQ_NI_GAAP_LOW_GUIDANCE" hidden="1">"c4217"</definedName>
    <definedName name="IQ_NI_GAAP_LOW_GUIDANCE_CIQ" hidden="1">"c4629"</definedName>
    <definedName name="IQ_NI_GUIDANCE" hidden="1">"c4469"</definedName>
    <definedName name="IQ_NI_GUIDANCE_CIQ" hidden="1">"c5007"</definedName>
    <definedName name="IQ_NI_GW_DET_EST" hidden="1">"c12063"</definedName>
    <definedName name="IQ_NI_GW_DET_EST_CIQ" hidden="1">"c12126"</definedName>
    <definedName name="IQ_NI_GW_DET_EST_CURRENCY" hidden="1">"c12470"</definedName>
    <definedName name="IQ_NI_GW_DET_EST_CURRENCY_CIQ" hidden="1">"c12517"</definedName>
    <definedName name="IQ_NI_GW_DET_EST_DATE" hidden="1">"c12216"</definedName>
    <definedName name="IQ_NI_GW_DET_EST_DATE_CIQ" hidden="1">"c12272"</definedName>
    <definedName name="IQ_NI_GW_DET_EST_INCL" hidden="1">"c12353"</definedName>
    <definedName name="IQ_NI_GW_DET_EST_INCL_CIQ" hidden="1">"c12400"</definedName>
    <definedName name="IQ_NI_GW_DET_EST_ORIGIN_CIQ" hidden="1">"c12641"</definedName>
    <definedName name="IQ_NI_GW_EST" hidden="1">"c1723"</definedName>
    <definedName name="IQ_NI_GW_EST_CIQ" hidden="1">"c4709"</definedName>
    <definedName name="IQ_NI_GW_EST_REUT" hidden="1">"c5375"</definedName>
    <definedName name="IQ_NI_GW_GUIDANCE" hidden="1">"c4471"</definedName>
    <definedName name="IQ_NI_GW_GUIDANCE_CIQ" hidden="1">"c5009"</definedName>
    <definedName name="IQ_NI_GW_HIGH_EST" hidden="1">"c1725"</definedName>
    <definedName name="IQ_NI_GW_HIGH_EST_CIQ" hidden="1">"c4711"</definedName>
    <definedName name="IQ_NI_GW_HIGH_EST_REUT" hidden="1">"c5377"</definedName>
    <definedName name="IQ_NI_GW_HIGH_GUIDANCE" hidden="1">"c4178"</definedName>
    <definedName name="IQ_NI_GW_HIGH_GUIDANCE_CIQ" hidden="1">"c4590"</definedName>
    <definedName name="IQ_NI_GW_LOW_EST" hidden="1">"c1726"</definedName>
    <definedName name="IQ_NI_GW_LOW_EST_CIQ" hidden="1">"c4712"</definedName>
    <definedName name="IQ_NI_GW_LOW_EST_REUT" hidden="1">"c5378"</definedName>
    <definedName name="IQ_NI_GW_LOW_GUIDANCE" hidden="1">"c4218"</definedName>
    <definedName name="IQ_NI_GW_LOW_GUIDANCE_CIQ" hidden="1">"c4630"</definedName>
    <definedName name="IQ_NI_GW_MEDIAN_EST" hidden="1">"c1724"</definedName>
    <definedName name="IQ_NI_GW_MEDIAN_EST_CIQ" hidden="1">"c4710"</definedName>
    <definedName name="IQ_NI_GW_MEDIAN_EST_REUT" hidden="1">"c5376"</definedName>
    <definedName name="IQ_NI_GW_NUM_EST" hidden="1">"c1727"</definedName>
    <definedName name="IQ_NI_GW_NUM_EST_CIQ" hidden="1">"c4713"</definedName>
    <definedName name="IQ_NI_GW_NUM_EST_REUT" hidden="1">"c5379"</definedName>
    <definedName name="IQ_NI_GW_STDDEV_EST" hidden="1">"c1728"</definedName>
    <definedName name="IQ_NI_GW_STDDEV_EST_CIQ" hidden="1">"c4714"</definedName>
    <definedName name="IQ_NI_GW_STDDEV_EST_REUT" hidden="1">"c5380"</definedName>
    <definedName name="IQ_NI_HIGH_EST" hidden="1">"c1718"</definedName>
    <definedName name="IQ_NI_HIGH_EST_CIQ" hidden="1">"c4704"</definedName>
    <definedName name="IQ_NI_HIGH_EST_REUT" hidden="1">"c5370"</definedName>
    <definedName name="IQ_NI_HIGH_EST_THOM" hidden="1">"c5128"</definedName>
    <definedName name="IQ_NI_HIGH_GUIDANCE" hidden="1">"c4176"</definedName>
    <definedName name="IQ_NI_HIGH_GUIDANCE_CIQ" hidden="1">"c4588"</definedName>
    <definedName name="IQ_NI_LOW_EST" hidden="1">"c1719"</definedName>
    <definedName name="IQ_NI_LOW_EST_CIQ" hidden="1">"c4705"</definedName>
    <definedName name="IQ_NI_LOW_EST_REUT" hidden="1">"c5371"</definedName>
    <definedName name="IQ_NI_LOW_EST_THOM" hidden="1">"c5129"</definedName>
    <definedName name="IQ_NI_LOW_GUIDANCE" hidden="1">"c4216"</definedName>
    <definedName name="IQ_NI_LOW_GUIDANCE_CIQ" hidden="1">"c4628"</definedName>
    <definedName name="IQ_NI_MARGIN" hidden="1">"c794"</definedName>
    <definedName name="IQ_NI_MEDIAN_EST" hidden="1">"c1717"</definedName>
    <definedName name="IQ_NI_MEDIAN_EST_CIQ" hidden="1">"c4703"</definedName>
    <definedName name="IQ_NI_MEDIAN_EST_REUT" hidden="1">"c5369"</definedName>
    <definedName name="IQ_NI_MEDIAN_EST_THOM" hidden="1">"c5127"</definedName>
    <definedName name="IQ_NI_NON_CONTROLLING_INTERESTS_FFIEC" hidden="1">"c15366"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NUM_EST" hidden="1">"c1720"</definedName>
    <definedName name="IQ_NI_NUM_EST_CIQ" hidden="1">"c4706"</definedName>
    <definedName name="IQ_NI_NUM_EST_REUT" hidden="1">"c5372"</definedName>
    <definedName name="IQ_NI_NUM_EST_THOM" hidden="1">"c5130"</definedName>
    <definedName name="IQ_NI_REPORTED_DET_EST_CIQ" hidden="1">"c12127"</definedName>
    <definedName name="IQ_NI_REPORTED_DET_EST_CURRENCY_CIQ" hidden="1">"c12518"</definedName>
    <definedName name="IQ_NI_REPORTED_DET_EST_DATE_CIQ" hidden="1">"c12273"</definedName>
    <definedName name="IQ_NI_REPORTED_DET_EST_INCL_CIQ" hidden="1">"c12401"</definedName>
    <definedName name="IQ_NI_REPORTED_DET_EST_ORIGIN" hidden="1">"c12588"</definedName>
    <definedName name="IQ_NI_REPORTED_DET_EST_ORIGIN_CIQ" hidden="1">"c12642"</definedName>
    <definedName name="IQ_NI_REPORTED_EST" hidden="1">"c1730"</definedName>
    <definedName name="IQ_NI_REPORTED_EST_CIQ" hidden="1">"c4716"</definedName>
    <definedName name="IQ_NI_REPORTED_EST_REUT" hidden="1">"c5382"</definedName>
    <definedName name="IQ_NI_REPORTED_HIGH_EST" hidden="1">"c1732"</definedName>
    <definedName name="IQ_NI_REPORTED_HIGH_EST_CIQ" hidden="1">"c4718"</definedName>
    <definedName name="IQ_NI_REPORTED_HIGH_EST_REUT" hidden="1">"c5384"</definedName>
    <definedName name="IQ_NI_REPORTED_LOW_EST" hidden="1">"c1733"</definedName>
    <definedName name="IQ_NI_REPORTED_LOW_EST_CIQ" hidden="1">"c4719"</definedName>
    <definedName name="IQ_NI_REPORTED_LOW_EST_REUT" hidden="1">"c5385"</definedName>
    <definedName name="IQ_NI_REPORTED_MEDIAN_EST" hidden="1">"c1731"</definedName>
    <definedName name="IQ_NI_REPORTED_MEDIAN_EST_CIQ" hidden="1">"c4717"</definedName>
    <definedName name="IQ_NI_REPORTED_MEDIAN_EST_REUT" hidden="1">"c5383"</definedName>
    <definedName name="IQ_NI_REPORTED_NUM_EST" hidden="1">"c1734"</definedName>
    <definedName name="IQ_NI_REPORTED_NUM_EST_CIQ" hidden="1">"c4720"</definedName>
    <definedName name="IQ_NI_REPORTED_NUM_EST_REUT" hidden="1">"c5386"</definedName>
    <definedName name="IQ_NI_REPORTED_STDDEV_EST" hidden="1">"c1735"</definedName>
    <definedName name="IQ_NI_REPORTED_STDDEV_EST_CIQ" hidden="1">"c4721"</definedName>
    <definedName name="IQ_NI_REPORTED_STDDEV_EST_REUT" hidden="1">"c5387"</definedName>
    <definedName name="IQ_NI_SBC_ACT_OR_EST" hidden="1">"c4474"</definedName>
    <definedName name="IQ_NI_SBC_ACT_OR_EST_CIQ" hidden="1">"c5012"</definedName>
    <definedName name="IQ_NI_SBC_EST" hidden="1">"c4473"</definedName>
    <definedName name="IQ_NI_SBC_EST_CIQ" hidden="1">"c5011"</definedName>
    <definedName name="IQ_NI_SBC_GUIDANCE" hidden="1">"c4475"</definedName>
    <definedName name="IQ_NI_SBC_GUIDANCE_CIQ" hidden="1">"c5013"</definedName>
    <definedName name="IQ_NI_SBC_GW_ACT_OR_EST" hidden="1">"c4478"</definedName>
    <definedName name="IQ_NI_SBC_GW_ACT_OR_EST_CIQ" hidden="1">"c5016"</definedName>
    <definedName name="IQ_NI_SBC_GW_EST" hidden="1">"c4477"</definedName>
    <definedName name="IQ_NI_SBC_GW_EST_CIQ" hidden="1">"c5015"</definedName>
    <definedName name="IQ_NI_SBC_GW_GUIDANCE" hidden="1">"c4479"</definedName>
    <definedName name="IQ_NI_SBC_GW_GUIDANCE_CIQ" hidden="1">"c5017"</definedName>
    <definedName name="IQ_NI_SBC_GW_HIGH_EST" hidden="1">"c4480"</definedName>
    <definedName name="IQ_NI_SBC_GW_HIGH_EST_CIQ" hidden="1">"c5018"</definedName>
    <definedName name="IQ_NI_SBC_GW_HIGH_GUIDANCE" hidden="1">"c4187"</definedName>
    <definedName name="IQ_NI_SBC_GW_HIGH_GUIDANCE_CIQ" hidden="1">"c4599"</definedName>
    <definedName name="IQ_NI_SBC_GW_LOW_EST" hidden="1">"c4481"</definedName>
    <definedName name="IQ_NI_SBC_GW_LOW_EST_CIQ" hidden="1">"c5019"</definedName>
    <definedName name="IQ_NI_SBC_GW_LOW_GUIDANCE" hidden="1">"c4227"</definedName>
    <definedName name="IQ_NI_SBC_GW_LOW_GUIDANCE_CIQ" hidden="1">"c4639"</definedName>
    <definedName name="IQ_NI_SBC_GW_MEDIAN_EST" hidden="1">"c4482"</definedName>
    <definedName name="IQ_NI_SBC_GW_MEDIAN_EST_CIQ" hidden="1">"c5020"</definedName>
    <definedName name="IQ_NI_SBC_GW_NUM_EST" hidden="1">"c4483"</definedName>
    <definedName name="IQ_NI_SBC_GW_NUM_EST_CIQ" hidden="1">"c5021"</definedName>
    <definedName name="IQ_NI_SBC_GW_STDDEV_EST" hidden="1">"c4484"</definedName>
    <definedName name="IQ_NI_SBC_GW_STDDEV_EST_CIQ" hidden="1">"c5022"</definedName>
    <definedName name="IQ_NI_SBC_HIGH_EST" hidden="1">"c4486"</definedName>
    <definedName name="IQ_NI_SBC_HIGH_EST_CIQ" hidden="1">"c5024"</definedName>
    <definedName name="IQ_NI_SBC_HIGH_GUIDANCE" hidden="1">"c4186"</definedName>
    <definedName name="IQ_NI_SBC_HIGH_GUIDANCE_CIQ" hidden="1">"c4598"</definedName>
    <definedName name="IQ_NI_SBC_LOW_EST" hidden="1">"c4487"</definedName>
    <definedName name="IQ_NI_SBC_LOW_EST_CIQ" hidden="1">"c5025"</definedName>
    <definedName name="IQ_NI_SBC_LOW_GUIDANCE" hidden="1">"c4226"</definedName>
    <definedName name="IQ_NI_SBC_LOW_GUIDANCE_CIQ" hidden="1">"c4638"</definedName>
    <definedName name="IQ_NI_SBC_MEDIAN_EST" hidden="1">"c4488"</definedName>
    <definedName name="IQ_NI_SBC_MEDIAN_EST_CIQ" hidden="1">"c5026"</definedName>
    <definedName name="IQ_NI_SBC_NUM_EST" hidden="1">"c4489"</definedName>
    <definedName name="IQ_NI_SBC_NUM_EST_CIQ" hidden="1">"c5027"</definedName>
    <definedName name="IQ_NI_SBC_STDDEV_EST" hidden="1">"c4490"</definedName>
    <definedName name="IQ_NI_SBC_STDDEV_EST_CIQ" hidden="1">"c5028"</definedName>
    <definedName name="IQ_NI_SFAS" hidden="1">"c795"</definedName>
    <definedName name="IQ_NI_STDDEV_EST" hidden="1">"c1721"</definedName>
    <definedName name="IQ_NI_STDDEV_EST_CIQ" hidden="1">"c4707"</definedName>
    <definedName name="IQ_NI_STDDEV_EST_REUT" hidden="1">"c5373"</definedName>
    <definedName name="IQ_NI_STDDEV_EST_THOM" hidden="1">"c5131"</definedName>
    <definedName name="IQ_NI_SUBTOTAL_AP" hidden="1">"c8983"</definedName>
    <definedName name="IQ_NLA_PCT_LEASED_CONSOL" hidden="1">"c8815"</definedName>
    <definedName name="IQ_NLA_PCT_LEASED_MANAGED" hidden="1">"c8817"</definedName>
    <definedName name="IQ_NLA_PCT_LEASED_OTHER" hidden="1">"c8818"</definedName>
    <definedName name="IQ_NLA_PCT_LEASED_TOTAL" hidden="1">"c8819"</definedName>
    <definedName name="IQ_NLA_PCT_LEASED_UNCONSOL" hidden="1">"c8816"</definedName>
    <definedName name="IQ_NLA_SQ_FT_CONSOL" hidden="1">"c8800"</definedName>
    <definedName name="IQ_NLA_SQ_FT_MANAGED" hidden="1">"c8802"</definedName>
    <definedName name="IQ_NLA_SQ_FT_OTHER" hidden="1">"c8803"</definedName>
    <definedName name="IQ_NLA_SQ_FT_TOTAL" hidden="1">"c8804"</definedName>
    <definedName name="IQ_NLA_SQ_FT_UNCONSOL" hidden="1">"c8801"</definedName>
    <definedName name="IQ_NLA_SQ_METER_CONSOL" hidden="1">"c8805"</definedName>
    <definedName name="IQ_NLA_SQ_METER_MANAGED" hidden="1">"c8807"</definedName>
    <definedName name="IQ_NLA_SQ_METER_OTHER" hidden="1">"c8808"</definedName>
    <definedName name="IQ_NLA_SQ_METER_TOTAL" hidden="1">"c8809"</definedName>
    <definedName name="IQ_NLA_SQ_METER_UNCONSOL" hidden="1">"c8806"</definedName>
    <definedName name="IQ_NOI_INCL_UNCONSOL" hidden="1">"c16068"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_ALLOW_RECEIVABLES_FFIEC" hidden="1">"c13353"</definedName>
    <definedName name="IQ_NON_ACCRUAL_ASSET_SOLD_DURING_QTR_FFIEC" hidden="1">"c15350"</definedName>
    <definedName name="IQ_NON_ACCRUAL_LOANS" hidden="1">"c796"</definedName>
    <definedName name="IQ_NON_CASH" hidden="1">"c1399"</definedName>
    <definedName name="IQ_NON_CASH_ITEMS" hidden="1">"c797"</definedName>
    <definedName name="IQ_NON_CD_DEPOSITS" hidden="1">"c15718"</definedName>
    <definedName name="IQ_NON_CD_DEPOSITS_TOTAL_DEPOSITS" hidden="1">"c15725"</definedName>
    <definedName name="IQ_NON_CURRENT_LOANS_FFIEC" hidden="1">"c13860"</definedName>
    <definedName name="IQ_NON_FARM_NONRES_PROPERTIES_TRADING_DOM_FFIEC" hidden="1">"c12931"</definedName>
    <definedName name="IQ_NON_INS_EXP" hidden="1">"c798"</definedName>
    <definedName name="IQ_NON_INS_REV" hidden="1">"c799"</definedName>
    <definedName name="IQ_NON_INT_BAL_OTHER_INSTITUTIONS_FFIEC" hidden="1">"c12950"</definedName>
    <definedName name="IQ_NON_INT_BEAR_CD" hidden="1">"c11750"</definedName>
    <definedName name="IQ_NON_INT_BEARING_DEPOSITS" hidden="1">"c800"</definedName>
    <definedName name="IQ_NON_INT_DEPOSITS_DOM_FFIEC" hidden="1">"c12851"</definedName>
    <definedName name="IQ_NON_INT_DEPOSITS_FOREIGN_FFIEC" hidden="1">"c12854"</definedName>
    <definedName name="IQ_NON_INT_EXP" hidden="1">"c801"</definedName>
    <definedName name="IQ_NON_INT_EXP_AVG_ASSETS_FFIEC" hidden="1">"c18878"</definedName>
    <definedName name="IQ_NON_INT_EXP_BNK_AP" hidden="1">"c8877"</definedName>
    <definedName name="IQ_NON_INT_EXP_BNK_AP_ABS" hidden="1">"c8896"</definedName>
    <definedName name="IQ_NON_INT_EXP_BNK_NAME_AP" hidden="1">"c8915"</definedName>
    <definedName name="IQ_NON_INT_EXP_BNK_NAME_AP_ABS" hidden="1">"c8934"</definedName>
    <definedName name="IQ_NON_INT_EXP_BNK_SUBTOTAL_AP" hidden="1">"c8981"</definedName>
    <definedName name="IQ_NON_INT_EXP_FDIC" hidden="1">"c6579"</definedName>
    <definedName name="IQ_NON_INT_EXPENSE_AVG_ASSET" hidden="1">"c15708"</definedName>
    <definedName name="IQ_NON_INT_EXPENSE_FFIEC" hidden="1">"c13028"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AVG_ASSETS_FFIEC" hidden="1">"c13359"</definedName>
    <definedName name="IQ_NON_INT_INC_BNK_AP" hidden="1">"c8876"</definedName>
    <definedName name="IQ_NON_INT_INC_BNK_AP_ABS" hidden="1">"c8895"</definedName>
    <definedName name="IQ_NON_INT_INC_BNK_NAME_AP" hidden="1">"c8914"</definedName>
    <definedName name="IQ_NON_INT_INC_BNK_NAME_AP_ABS" hidden="1">"c8933"</definedName>
    <definedName name="IQ_NON_INT_INC_BNK_SUBTOTAL_AP" hidden="1">"c8980"</definedName>
    <definedName name="IQ_NON_INT_INC_FDIC" hidden="1">"c6575"</definedName>
    <definedName name="IQ_NON_INT_INC_OPERATING_INC_FFIEC" hidden="1">"c13382"</definedName>
    <definedName name="IQ_NON_INT_INCOME_AVG_ASSET" hidden="1">"c15707"</definedName>
    <definedName name="IQ_NON_INT_INCOME_FFIEC" hidden="1">"c13017"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EQUITY" hidden="1">"c15702"</definedName>
    <definedName name="IQ_NON_PERF_ASSETS_LOANS_OREO" hidden="1">"c15701"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ASSETS_FFIEC" hidden="1">"c13859"</definedName>
    <definedName name="IQ_NON_PERFORMING_LOANS" hidden="1">"c827"</definedName>
    <definedName name="IQ_NON_PERFORMING_LOANS_FFIEC" hidden="1">"c13861"</definedName>
    <definedName name="IQ_NON_RE_DA" hidden="1">"c16179"</definedName>
    <definedName name="IQ_NON_RENTAL_NOI" hidden="1">"c16066"</definedName>
    <definedName name="IQ_NON_RENTAL_OPERATING_EXPENSE" hidden="1">"c16046"</definedName>
    <definedName name="IQ_NON_US_ADDRESS_LEASE_FIN_REC_FFIEC" hidden="1">"c13625"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INCOME_AMORT_CLOSED_END_LOANS_FFIEC" hidden="1">"c13078"</definedName>
    <definedName name="IQ_NONCASH_PENSION_EXP" hidden="1">"c3000"</definedName>
    <definedName name="IQ_NONCORE_ASSETS_TOT_FFIEC" hidden="1">"c13443"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DEF_CAPITAL_GOODS_ORDERS" hidden="1">"c6932"</definedName>
    <definedName name="IQ_NONDEF_CAPITAL_GOODS_ORDERS_APR" hidden="1">"c7592"</definedName>
    <definedName name="IQ_NONDEF_CAPITAL_GOODS_ORDERS_APR_FC" hidden="1">"c8472"</definedName>
    <definedName name="IQ_NONDEF_CAPITAL_GOODS_ORDERS_FC" hidden="1">"c7812"</definedName>
    <definedName name="IQ_NONDEF_CAPITAL_GOODS_ORDERS_POP" hidden="1">"c7152"</definedName>
    <definedName name="IQ_NONDEF_CAPITAL_GOODS_ORDERS_POP_FC" hidden="1">"c8032"</definedName>
    <definedName name="IQ_NONDEF_CAPITAL_GOODS_ORDERS_YOY" hidden="1">"c7372"</definedName>
    <definedName name="IQ_NONDEF_CAPITAL_GOODS_ORDERS_YOY_FC" hidden="1">"c8252"</definedName>
    <definedName name="IQ_NONDEF_CAPITAL_GOODS_SHIPMENTS" hidden="1">"c6933"</definedName>
    <definedName name="IQ_NONDEF_CAPITAL_GOODS_SHIPMENTS_APR" hidden="1">"c7593"</definedName>
    <definedName name="IQ_NONDEF_CAPITAL_GOODS_SHIPMENTS_APR_FC" hidden="1">"c8473"</definedName>
    <definedName name="IQ_NONDEF_CAPITAL_GOODS_SHIPMENTS_FC" hidden="1">"c7813"</definedName>
    <definedName name="IQ_NONDEF_CAPITAL_GOODS_SHIPMENTS_POP" hidden="1">"c7153"</definedName>
    <definedName name="IQ_NONDEF_CAPITAL_GOODS_SHIPMENTS_POP_FC" hidden="1">"c8033"</definedName>
    <definedName name="IQ_NONDEF_CAPITAL_GOODS_SHIPMENTS_YOY" hidden="1">"c7373"</definedName>
    <definedName name="IQ_NONDEF_CAPITAL_GOODS_SHIPMENTS_YOY_FC" hidden="1">"c8253"</definedName>
    <definedName name="IQ_NONDEF_SPENDING_SAAR" hidden="1">"c6934"</definedName>
    <definedName name="IQ_NONDEF_SPENDING_SAAR_APR" hidden="1">"c7594"</definedName>
    <definedName name="IQ_NONDEF_SPENDING_SAAR_APR_FC" hidden="1">"c8474"</definedName>
    <definedName name="IQ_NONDEF_SPENDING_SAAR_FC" hidden="1">"c7814"</definedName>
    <definedName name="IQ_NONDEF_SPENDING_SAAR_POP" hidden="1">"c7154"</definedName>
    <definedName name="IQ_NONDEF_SPENDING_SAAR_POP_FC" hidden="1">"c8034"</definedName>
    <definedName name="IQ_NONDEF_SPENDING_SAAR_YOY" hidden="1">"c7374"</definedName>
    <definedName name="IQ_NONDEF_SPENDING_SAAR_YOY_FC" hidden="1">"c8254"</definedName>
    <definedName name="IQ_NONFARM_EMP_HRS_PCT_CHANGE" hidden="1">"c6935"</definedName>
    <definedName name="IQ_NONFARM_EMP_HRS_PCT_CHANGE_FC" hidden="1">"c7815"</definedName>
    <definedName name="IQ_NONFARM_EMP_HRS_PCT_CHANGE_POP" hidden="1">"c7155"</definedName>
    <definedName name="IQ_NONFARM_EMP_HRS_PCT_CHANGE_POP_FC" hidden="1">"c8035"</definedName>
    <definedName name="IQ_NONFARM_EMP_HRS_PCT_CHANGE_YOY" hidden="1">"c7375"</definedName>
    <definedName name="IQ_NONFARM_EMP_HRS_PCT_CHANGE_YOY_FC" hidden="1">"c8255"</definedName>
    <definedName name="IQ_NONFARM_NONRES_DOM_FFIEC" hidden="1">"c15271"</definedName>
    <definedName name="IQ_NONFARM_NONRES_GROSS_LOANS_FFIEC" hidden="1">"c13405"</definedName>
    <definedName name="IQ_NONFARM_NONRES_LL_REC_DOM_FFIEC" hidden="1">"c13626"</definedName>
    <definedName name="IQ_NONFARM_NONRES_RISK_BASED_FFIEC" hidden="1">"c13426"</definedName>
    <definedName name="IQ_NONFARM_OUTPUT_PER_HR" hidden="1">"c6936"</definedName>
    <definedName name="IQ_NONFARM_OUTPUT_PER_HR_APR" hidden="1">"c7596"</definedName>
    <definedName name="IQ_NONFARM_OUTPUT_PER_HR_APR_FC" hidden="1">"c8476"</definedName>
    <definedName name="IQ_NONFARM_OUTPUT_PER_HR_FC" hidden="1">"c7816"</definedName>
    <definedName name="IQ_NONFARM_OUTPUT_PER_HR_POP" hidden="1">"c7156"</definedName>
    <definedName name="IQ_NONFARM_OUTPUT_PER_HR_POP_FC" hidden="1">"c8036"</definedName>
    <definedName name="IQ_NONFARM_OUTPUT_PER_HR_YOY" hidden="1">"c7376"</definedName>
    <definedName name="IQ_NONFARM_OUTPUT_PER_HR_YOY_FC" hidden="1">"c8256"</definedName>
    <definedName name="IQ_NONFARM_PAYROLLS" hidden="1">"c6926"</definedName>
    <definedName name="IQ_NONFARM_PAYROLLS_APR" hidden="1">"c7586"</definedName>
    <definedName name="IQ_NONFARM_PAYROLLS_APR_FC" hidden="1">"c8466"</definedName>
    <definedName name="IQ_NONFARM_PAYROLLS_FC" hidden="1">"c7806"</definedName>
    <definedName name="IQ_NONFARM_PAYROLLS_POP" hidden="1">"c7146"</definedName>
    <definedName name="IQ_NONFARM_PAYROLLS_POP_FC" hidden="1">"c8026"</definedName>
    <definedName name="IQ_NONFARM_PAYROLLS_YOY" hidden="1">"c7366"</definedName>
    <definedName name="IQ_NONFARM_PAYROLLS_YOY_FC" hidden="1">"c8246"</definedName>
    <definedName name="IQ_NONFARM_TOTAL_HR_INDEX" hidden="1">"c6937"</definedName>
    <definedName name="IQ_NONFARM_TOTAL_HR_INDEX_APR" hidden="1">"c7597"</definedName>
    <definedName name="IQ_NONFARM_TOTAL_HR_INDEX_APR_FC" hidden="1">"c8477"</definedName>
    <definedName name="IQ_NONFARM_TOTAL_HR_INDEX_FC" hidden="1">"c7817"</definedName>
    <definedName name="IQ_NONFARM_TOTAL_HR_INDEX_POP" hidden="1">"c7157"</definedName>
    <definedName name="IQ_NONFARM_TOTAL_HR_INDEX_POP_FC" hidden="1">"c8037"</definedName>
    <definedName name="IQ_NONFARM_TOTAL_HR_INDEX_YOY" hidden="1">"c7377"</definedName>
    <definedName name="IQ_NONFARM_TOTAL_HR_INDEX_YOY_FC" hidden="1">"c8257"</definedName>
    <definedName name="IQ_NONFARM_WAGES" hidden="1">"c6938"</definedName>
    <definedName name="IQ_NONFARM_WAGES_APR" hidden="1">"c7598"</definedName>
    <definedName name="IQ_NONFARM_WAGES_APR_FC" hidden="1">"c8478"</definedName>
    <definedName name="IQ_NONFARM_WAGES_FC" hidden="1">"c7818"</definedName>
    <definedName name="IQ_NONFARM_WAGES_INDEX" hidden="1">"c6939"</definedName>
    <definedName name="IQ_NONFARM_WAGES_INDEX_APR" hidden="1">"c7599"</definedName>
    <definedName name="IQ_NONFARM_WAGES_INDEX_APR_FC" hidden="1">"c8479"</definedName>
    <definedName name="IQ_NONFARM_WAGES_INDEX_FC" hidden="1">"c7819"</definedName>
    <definedName name="IQ_NONFARM_WAGES_INDEX_POP" hidden="1">"c7159"</definedName>
    <definedName name="IQ_NONFARM_WAGES_INDEX_POP_FC" hidden="1">"c8039"</definedName>
    <definedName name="IQ_NONFARM_WAGES_INDEX_YOY" hidden="1">"c7379"</definedName>
    <definedName name="IQ_NONFARM_WAGES_INDEX_YOY_FC" hidden="1">"c8259"</definedName>
    <definedName name="IQ_NONFARM_WAGES_POP" hidden="1">"c7158"</definedName>
    <definedName name="IQ_NONFARM_WAGES_POP_FC" hidden="1">"c8038"</definedName>
    <definedName name="IQ_NONFARM_WAGES_YOY" hidden="1">"c7378"</definedName>
    <definedName name="IQ_NONFARM_WAGES_YOY_FC" hidden="1">"c8258"</definedName>
    <definedName name="IQ_NONINTEREST_BEARING_BALANCES_FDIC" hidden="1">"c6394"</definedName>
    <definedName name="IQ_NONINTEREST_BEARING_CASH_FFIEC" hidden="1">"c12774"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_FOREIGN_FFIEC" hidden="1">"c15376"</definedName>
    <definedName name="IQ_NONINTEREST_INCOME_EARNING_ASSETS_FDIC" hidden="1">"c6727"</definedName>
    <definedName name="IQ_NONMORTGAGE_SERVICING_FDIC" hidden="1">"c6336"</definedName>
    <definedName name="IQ_NONQUALIFYING_PREFERRED_T1_FFIEC" hidden="1">"c13134"</definedName>
    <definedName name="IQ_NONRECOURSE_DEBT" hidden="1">"c2550"</definedName>
    <definedName name="IQ_NONRECOURSE_DEBT_PCT" hidden="1">"c2551"</definedName>
    <definedName name="IQ_NONRES_FIXED_INVEST" hidden="1">"c6931"</definedName>
    <definedName name="IQ_NONRES_FIXED_INVEST_APR" hidden="1">"c7591"</definedName>
    <definedName name="IQ_NONRES_FIXED_INVEST_POP" hidden="1">"c7151"</definedName>
    <definedName name="IQ_NONRES_FIXED_INVEST_PRIV_APR_FC_UNUSED" hidden="1">"c8468"</definedName>
    <definedName name="IQ_NONRES_FIXED_INVEST_PRIV_APR_FC_UNUSED_UNUSED_UNUSED" hidden="1">"c8468"</definedName>
    <definedName name="IQ_NONRES_FIXED_INVEST_PRIV_APR_UNUSED" hidden="1">"c7588"</definedName>
    <definedName name="IQ_NONRES_FIXED_INVEST_PRIV_APR_UNUSED_UNUSED_UNUSED" hidden="1">"c7588"</definedName>
    <definedName name="IQ_NONRES_FIXED_INVEST_PRIV_FC_UNUSED" hidden="1">"c7808"</definedName>
    <definedName name="IQ_NONRES_FIXED_INVEST_PRIV_FC_UNUSED_UNUSED_UNUSED" hidden="1">"c7808"</definedName>
    <definedName name="IQ_NONRES_FIXED_INVEST_PRIV_POP_FC_UNUSED" hidden="1">"c8028"</definedName>
    <definedName name="IQ_NONRES_FIXED_INVEST_PRIV_POP_FC_UNUSED_UNUSED_UNUSED" hidden="1">"c8028"</definedName>
    <definedName name="IQ_NONRES_FIXED_INVEST_PRIV_POP_UNUSED" hidden="1">"c7148"</definedName>
    <definedName name="IQ_NONRES_FIXED_INVEST_PRIV_POP_UNUSED_UNUSED_UNUSED" hidden="1">"c7148"</definedName>
    <definedName name="IQ_NONRES_FIXED_INVEST_PRIV_REAL" hidden="1">"c6989"</definedName>
    <definedName name="IQ_NONRES_FIXED_INVEST_PRIV_REAL_APR" hidden="1">"c7649"</definedName>
    <definedName name="IQ_NONRES_FIXED_INVEST_PRIV_REAL_APR_FC" hidden="1">"c8529"</definedName>
    <definedName name="IQ_NONRES_FIXED_INVEST_PRIV_REAL_FC" hidden="1">"c7869"</definedName>
    <definedName name="IQ_NONRES_FIXED_INVEST_PRIV_REAL_POP" hidden="1">"c7209"</definedName>
    <definedName name="IQ_NONRES_FIXED_INVEST_PRIV_REAL_POP_FC" hidden="1">"c8089"</definedName>
    <definedName name="IQ_NONRES_FIXED_INVEST_PRIV_REAL_SAAR" hidden="1">"c6990"</definedName>
    <definedName name="IQ_NONRES_FIXED_INVEST_PRIV_REAL_SAAR_APR" hidden="1">"c7650"</definedName>
    <definedName name="IQ_NONRES_FIXED_INVEST_PRIV_REAL_SAAR_APR_FC" hidden="1">"c8530"</definedName>
    <definedName name="IQ_NONRES_FIXED_INVEST_PRIV_REAL_SAAR_FC" hidden="1">"c7870"</definedName>
    <definedName name="IQ_NONRES_FIXED_INVEST_PRIV_REAL_SAAR_POP" hidden="1">"c7210"</definedName>
    <definedName name="IQ_NONRES_FIXED_INVEST_PRIV_REAL_SAAR_POP_FC" hidden="1">"c8090"</definedName>
    <definedName name="IQ_NONRES_FIXED_INVEST_PRIV_REAL_SAAR_USD_APR_FC" hidden="1">"c11981"</definedName>
    <definedName name="IQ_NONRES_FIXED_INVEST_PRIV_REAL_SAAR_USD_FC" hidden="1">"c11978"</definedName>
    <definedName name="IQ_NONRES_FIXED_INVEST_PRIV_REAL_SAAR_USD_POP_FC" hidden="1">"c11979"</definedName>
    <definedName name="IQ_NONRES_FIXED_INVEST_PRIV_REAL_SAAR_USD_YOY_FC" hidden="1">"c11980"</definedName>
    <definedName name="IQ_NONRES_FIXED_INVEST_PRIV_REAL_SAAR_YOY" hidden="1">"c7430"</definedName>
    <definedName name="IQ_NONRES_FIXED_INVEST_PRIV_REAL_SAAR_YOY_FC" hidden="1">"c8310"</definedName>
    <definedName name="IQ_NONRES_FIXED_INVEST_PRIV_REAL_USD_APR_FC" hidden="1">"c11977"</definedName>
    <definedName name="IQ_NONRES_FIXED_INVEST_PRIV_REAL_USD_FC" hidden="1">"c11974"</definedName>
    <definedName name="IQ_NONRES_FIXED_INVEST_PRIV_REAL_USD_POP_FC" hidden="1">"c11975"</definedName>
    <definedName name="IQ_NONRES_FIXED_INVEST_PRIV_REAL_USD_YOY_FC" hidden="1">"c11976"</definedName>
    <definedName name="IQ_NONRES_FIXED_INVEST_PRIV_REAL_YOY" hidden="1">"c7429"</definedName>
    <definedName name="IQ_NONRES_FIXED_INVEST_PRIV_REAL_YOY_FC" hidden="1">"c8309"</definedName>
    <definedName name="IQ_NONRES_FIXED_INVEST_PRIV_SAAR" hidden="1">"c6929"</definedName>
    <definedName name="IQ_NONRES_FIXED_INVEST_PRIV_SAAR_APR" hidden="1">"c7589"</definedName>
    <definedName name="IQ_NONRES_FIXED_INVEST_PRIV_SAAR_APR_FC" hidden="1">"c8469"</definedName>
    <definedName name="IQ_NONRES_FIXED_INVEST_PRIV_SAAR_FC" hidden="1">"c7809"</definedName>
    <definedName name="IQ_NONRES_FIXED_INVEST_PRIV_SAAR_POP" hidden="1">"c7149"</definedName>
    <definedName name="IQ_NONRES_FIXED_INVEST_PRIV_SAAR_POP_FC" hidden="1">"c8029"</definedName>
    <definedName name="IQ_NONRES_FIXED_INVEST_PRIV_SAAR_USD_APR_FC" hidden="1">"c11877"</definedName>
    <definedName name="IQ_NONRES_FIXED_INVEST_PRIV_SAAR_USD_FC" hidden="1">"c11874"</definedName>
    <definedName name="IQ_NONRES_FIXED_INVEST_PRIV_SAAR_USD_POP_FC" hidden="1">"c11875"</definedName>
    <definedName name="IQ_NONRES_FIXED_INVEST_PRIV_SAAR_USD_YOY_FC" hidden="1">"c11876"</definedName>
    <definedName name="IQ_NONRES_FIXED_INVEST_PRIV_SAAR_YOY" hidden="1">"c7369"</definedName>
    <definedName name="IQ_NONRES_FIXED_INVEST_PRIV_SAAR_YOY_FC" hidden="1">"c8249"</definedName>
    <definedName name="IQ_NONRES_FIXED_INVEST_PRIV_UNUSED" hidden="1">"c6928"</definedName>
    <definedName name="IQ_NONRES_FIXED_INVEST_PRIV_UNUSED_UNUSED_UNUSED" hidden="1">"c6928"</definedName>
    <definedName name="IQ_NONRES_FIXED_INVEST_PRIV_USD_APR_FC" hidden="1">"c11873"</definedName>
    <definedName name="IQ_NONRES_FIXED_INVEST_PRIV_USD_FC" hidden="1">"c11870"</definedName>
    <definedName name="IQ_NONRES_FIXED_INVEST_PRIV_USD_POP_FC" hidden="1">"c11871"</definedName>
    <definedName name="IQ_NONRES_FIXED_INVEST_PRIV_USD_YOY_FC" hidden="1">"c11872"</definedName>
    <definedName name="IQ_NONRES_FIXED_INVEST_PRIV_YOY_FC_UNUSED" hidden="1">"c8248"</definedName>
    <definedName name="IQ_NONRES_FIXED_INVEST_PRIV_YOY_FC_UNUSED_UNUSED_UNUSED" hidden="1">"c8248"</definedName>
    <definedName name="IQ_NONRES_FIXED_INVEST_PRIV_YOY_UNUSED" hidden="1">"c7368"</definedName>
    <definedName name="IQ_NONRES_FIXED_INVEST_PRIV_YOY_UNUSED_UNUSED_UNUSED" hidden="1">"c7368"</definedName>
    <definedName name="IQ_NONRES_FIXED_INVEST_REAL" hidden="1">"c6993"</definedName>
    <definedName name="IQ_NONRES_FIXED_INVEST_REAL_APR" hidden="1">"c7653"</definedName>
    <definedName name="IQ_NONRES_FIXED_INVEST_REAL_POP" hidden="1">"c7213"</definedName>
    <definedName name="IQ_NONRES_FIXED_INVEST_REAL_SAAR" hidden="1">"c6987"</definedName>
    <definedName name="IQ_NONRES_FIXED_INVEST_REAL_SAAR_APR" hidden="1">"c7647"</definedName>
    <definedName name="IQ_NONRES_FIXED_INVEST_REAL_SAAR_APR_FC" hidden="1">"c8527"</definedName>
    <definedName name="IQ_NONRES_FIXED_INVEST_REAL_SAAR_FC" hidden="1">"c7867"</definedName>
    <definedName name="IQ_NONRES_FIXED_INVEST_REAL_SAAR_POP" hidden="1">"c7207"</definedName>
    <definedName name="IQ_NONRES_FIXED_INVEST_REAL_SAAR_POP_FC" hidden="1">"c8087"</definedName>
    <definedName name="IQ_NONRES_FIXED_INVEST_REAL_SAAR_YOY" hidden="1">"c7427"</definedName>
    <definedName name="IQ_NONRES_FIXED_INVEST_REAL_SAAR_YOY_FC" hidden="1">"c8307"</definedName>
    <definedName name="IQ_NONRES_FIXED_INVEST_REAL_USD_APR_FC" hidden="1">"c11973"</definedName>
    <definedName name="IQ_NONRES_FIXED_INVEST_REAL_USD_FC" hidden="1">"c11970"</definedName>
    <definedName name="IQ_NONRES_FIXED_INVEST_REAL_USD_POP_FC" hidden="1">"c11971"</definedName>
    <definedName name="IQ_NONRES_FIXED_INVEST_REAL_USD_YOY_FC" hidden="1">"c11972"</definedName>
    <definedName name="IQ_NONRES_FIXED_INVEST_REAL_YOY" hidden="1">"c7433"</definedName>
    <definedName name="IQ_NONRES_FIXED_INVEST_STRUCT" hidden="1">"c6930"</definedName>
    <definedName name="IQ_NONRES_FIXED_INVEST_STRUCT_APR" hidden="1">"c7590"</definedName>
    <definedName name="IQ_NONRES_FIXED_INVEST_STRUCT_APR_FC" hidden="1">"c8470"</definedName>
    <definedName name="IQ_NONRES_FIXED_INVEST_STRUCT_FC" hidden="1">"c7810"</definedName>
    <definedName name="IQ_NONRES_FIXED_INVEST_STRUCT_POP" hidden="1">"c7150"</definedName>
    <definedName name="IQ_NONRES_FIXED_INVEST_STRUCT_POP_FC" hidden="1">"c8030"</definedName>
    <definedName name="IQ_NONRES_FIXED_INVEST_STRUCT_REAL" hidden="1">"c6992"</definedName>
    <definedName name="IQ_NONRES_FIXED_INVEST_STRUCT_REAL_APR" hidden="1">"c7652"</definedName>
    <definedName name="IQ_NONRES_FIXED_INVEST_STRUCT_REAL_APR_FC" hidden="1">"c8532"</definedName>
    <definedName name="IQ_NONRES_FIXED_INVEST_STRUCT_REAL_FC" hidden="1">"c7872"</definedName>
    <definedName name="IQ_NONRES_FIXED_INVEST_STRUCT_REAL_POP" hidden="1">"c7212"</definedName>
    <definedName name="IQ_NONRES_FIXED_INVEST_STRUCT_REAL_POP_FC" hidden="1">"c8092"</definedName>
    <definedName name="IQ_NONRES_FIXED_INVEST_STRUCT_REAL_SAAR" hidden="1">"c6991"</definedName>
    <definedName name="IQ_NONRES_FIXED_INVEST_STRUCT_REAL_SAAR_APR" hidden="1">"c7651"</definedName>
    <definedName name="IQ_NONRES_FIXED_INVEST_STRUCT_REAL_SAAR_APR_FC" hidden="1">"c8531"</definedName>
    <definedName name="IQ_NONRES_FIXED_INVEST_STRUCT_REAL_SAAR_FC" hidden="1">"c7871"</definedName>
    <definedName name="IQ_NONRES_FIXED_INVEST_STRUCT_REAL_SAAR_POP" hidden="1">"c7211"</definedName>
    <definedName name="IQ_NONRES_FIXED_INVEST_STRUCT_REAL_SAAR_POP_FC" hidden="1">"c8091"</definedName>
    <definedName name="IQ_NONRES_FIXED_INVEST_STRUCT_REAL_SAAR_YOY" hidden="1">"c7431"</definedName>
    <definedName name="IQ_NONRES_FIXED_INVEST_STRUCT_REAL_SAAR_YOY_FC" hidden="1">"c8311"</definedName>
    <definedName name="IQ_NONRES_FIXED_INVEST_STRUCT_REAL_USD_APR_FC" hidden="1">"c11985"</definedName>
    <definedName name="IQ_NONRES_FIXED_INVEST_STRUCT_REAL_USD_FC" hidden="1">"c11982"</definedName>
    <definedName name="IQ_NONRES_FIXED_INVEST_STRUCT_REAL_USD_POP_FC" hidden="1">"c11983"</definedName>
    <definedName name="IQ_NONRES_FIXED_INVEST_STRUCT_REAL_USD_YOY_FC" hidden="1">"c11984"</definedName>
    <definedName name="IQ_NONRES_FIXED_INVEST_STRUCT_REAL_YOY" hidden="1">"c7432"</definedName>
    <definedName name="IQ_NONRES_FIXED_INVEST_STRUCT_REAL_YOY_FC" hidden="1">"c8312"</definedName>
    <definedName name="IQ_NONRES_FIXED_INVEST_STRUCT_USD_APR_FC" hidden="1">"c11881"</definedName>
    <definedName name="IQ_NONRES_FIXED_INVEST_STRUCT_USD_FC" hidden="1">"c11878"</definedName>
    <definedName name="IQ_NONRES_FIXED_INVEST_STRUCT_USD_POP_FC" hidden="1">"c11879"</definedName>
    <definedName name="IQ_NONRES_FIXED_INVEST_STRUCT_USD_YOY_FC" hidden="1">"c11880"</definedName>
    <definedName name="IQ_NONRES_FIXED_INVEST_STRUCT_YOY" hidden="1">"c7370"</definedName>
    <definedName name="IQ_NONRES_FIXED_INVEST_STRUCT_YOY_FC" hidden="1">"c8250"</definedName>
    <definedName name="IQ_NONRES_FIXED_INVEST_USD_APR_FC" hidden="1">"c11869"</definedName>
    <definedName name="IQ_NONRES_FIXED_INVEST_USD_FC" hidden="1">"c11866"</definedName>
    <definedName name="IQ_NONRES_FIXED_INVEST_USD_POP_FC" hidden="1">"c11867"</definedName>
    <definedName name="IQ_NONRES_FIXED_INVEST_USD_YOY_FC" hidden="1">"c11868"</definedName>
    <definedName name="IQ_NONRES_FIXED_INVEST_YOY" hidden="1">"c7371"</definedName>
    <definedName name="IQ_NONTRADING_SECURITIES_FAIR_VALUE_TOT_FFIEC" hidden="1">"c13211"</definedName>
    <definedName name="IQ_NONTRADING_SECURITIES_LEVEL_1_FFIEC" hidden="1">"c13219"</definedName>
    <definedName name="IQ_NONTRADING_SECURITIES_LEVEL_2_FFIEC" hidden="1">"c13227"</definedName>
    <definedName name="IQ_NONTRADING_SECURITIES_LEVEL_3_FFIEC" hidden="1">"c13235"</definedName>
    <definedName name="IQ_NONTRANSACTION_ACCOUNTS_FDIC" hidden="1">"c6552"</definedName>
    <definedName name="IQ_NONUTIL_REV" hidden="1">"c2089"</definedName>
    <definedName name="IQ_NORM_EPS_ACT_OR_EST" hidden="1">"c2249"</definedName>
    <definedName name="IQ_NORM_EPS_ACT_OR_EST_CIQ" hidden="1">"c5069"</definedName>
    <definedName name="IQ_NORM_EPS_ACT_OR_EST_REUT" hidden="1">"c5472"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AMT_DERIVATIVES_BENEFICIARY_FFIEC" hidden="1">"c13118"</definedName>
    <definedName name="IQ_NOTIONAL_AMT_DERIVATIVES_GUARANTOR_FFIEC" hidden="1">"c13111"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OW_ATS_ACCOUNTS_COMMERCIAL_BANK_SUBS_FFIEC" hidden="1">"c12946"</definedName>
    <definedName name="IQ_NOW_ATS_ACCOUNTS_OTHER_INSTITUTIONS_FFIEC" hidden="1">"c12951"</definedName>
    <definedName name="IQ_NOW_OTHER_TRANS_ACCTS_TOT_DEPOSITS_FFIEC" hidden="1">"c13903"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_CONTRIBUTORS" hidden="1">"c13739"</definedName>
    <definedName name="IQ_NUMBER_ADRHOLDERS" hidden="1">"c1970"</definedName>
    <definedName name="IQ_NUMBER_CELL_SITES" hidden="1">"c15762"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MINES_ALUM" hidden="1">"c9248"</definedName>
    <definedName name="IQ_NUMBER_MINES_COAL" hidden="1">"c9822"</definedName>
    <definedName name="IQ_NUMBER_MINES_COP" hidden="1">"c9193"</definedName>
    <definedName name="IQ_NUMBER_MINES_DIAM" hidden="1">"c9672"</definedName>
    <definedName name="IQ_NUMBER_MINES_GOLD" hidden="1">"c9033"</definedName>
    <definedName name="IQ_NUMBER_MINES_IRON" hidden="1">"c9407"</definedName>
    <definedName name="IQ_NUMBER_MINES_LEAD" hidden="1">"c9460"</definedName>
    <definedName name="IQ_NUMBER_MINES_MANG" hidden="1">"c9513"</definedName>
    <definedName name="IQ_NUMBER_MINES_MOLYB" hidden="1">"c9725"</definedName>
    <definedName name="IQ_NUMBER_MINES_NICK" hidden="1">"c9301"</definedName>
    <definedName name="IQ_NUMBER_MINES_PLAT" hidden="1">"c9139"</definedName>
    <definedName name="IQ_NUMBER_MINES_SILVER" hidden="1">"c9086"</definedName>
    <definedName name="IQ_NUMBER_MINES_TITAN" hidden="1">"c9566"</definedName>
    <definedName name="IQ_NUMBER_MINES_URAN" hidden="1">"c9619"</definedName>
    <definedName name="IQ_NUMBER_MINES_ZINC" hidden="1">"c9354"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NUMBER_WIRELESS_TOWERS" hidden="1">"c15766"</definedName>
    <definedName name="IQ_OBLIGATION_STATES_POLI_SUBD_US_LL_REC_DOM_FFIEC" hidden="1">"c15295"</definedName>
    <definedName name="IQ_OBLIGATION_STATES_POLI_SUBD_US_LL_REC_FFIEC" hidden="1">"c15294"</definedName>
    <definedName name="IQ_OBLIGATIONS_OF_STATES_TOTAL_LOANS_FOREIGN_FDIC" hidden="1">"c6447"</definedName>
    <definedName name="IQ_OBLIGATIONS_STATES_FDIC" hidden="1">"c6431"</definedName>
    <definedName name="IQ_OCCUPANCY_CONSOL" hidden="1">"c8840"</definedName>
    <definedName name="IQ_OCCUPANCY_EXP_AVG_ASSETS_FFIEC" hidden="1">"c13372"</definedName>
    <definedName name="IQ_OCCUPANCY_EXP_OPERATING_INC_FFIEC" hidden="1">"c13380"</definedName>
    <definedName name="IQ_OCCUPANCY_MANAGED" hidden="1">"c8842"</definedName>
    <definedName name="IQ_OCCUPANCY_OTHER" hidden="1">"c8843"</definedName>
    <definedName name="IQ_OCCUPANCY_SAME_PROP" hidden="1">"c8845"</definedName>
    <definedName name="IQ_OCCUPANCY_TOTAL" hidden="1">"c8844"</definedName>
    <definedName name="IQ_OCCUPANCY_UNCONSOL" hidden="1">"c8841"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GAS_EQUIV_PRODUCTION_MMCFE" hidden="1">"c10061"</definedName>
    <definedName name="IQ_OG_AVG_DAILY_OIL_EQUIV_PRODUCTION_KBOE" hidden="1">"c10060"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PRODUCTION_GAS_MMCM" hidden="1">"c10059"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AVG_GAS_PRICE_CBM_HEDGED" hidden="1">"c10054"</definedName>
    <definedName name="IQ_OG_AVG_GAS_PRICE_CBM_UNHEDGED" hidden="1">"c10055"</definedName>
    <definedName name="IQ_OG_AVG_PRODUCTION_COST_BBL" hidden="1">"c10062"</definedName>
    <definedName name="IQ_OG_AVG_PRODUCTION_COST_BOE" hidden="1">"c10064"</definedName>
    <definedName name="IQ_OG_AVG_PRODUCTION_COST_MCF" hidden="1">"c10063"</definedName>
    <definedName name="IQ_OG_AVG_PRODUCTION_COST_MCFE" hidden="1">"c10065"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AILY_PRDUCTION_GROWTH_GAS" hidden="1">"c12732"</definedName>
    <definedName name="IQ_OG_DAILY_PRDUCTION_GROWTH_GAS_EQUIVALENT" hidden="1">"c12733"</definedName>
    <definedName name="IQ_OG_DAILY_PRDUCTION_GROWTH_NGL" hidden="1">"c12734"</definedName>
    <definedName name="IQ_OG_DAILY_PRDUCTION_GROWTH_OIL" hidden="1">"c12735"</definedName>
    <definedName name="IQ_OG_DAILY_PRDUCTION_GROWTH_OIL_EQUIVALENT" hidden="1">"c12736"</definedName>
    <definedName name="IQ_OG_DAILY_PRODUCTION_GROWTH_GAS" hidden="1">"c10073"</definedName>
    <definedName name="IQ_OG_DAILY_PRODUCTION_GROWTH_GAS_EQUIVALENT" hidden="1">"c10076"</definedName>
    <definedName name="IQ_OG_DAILY_PRODUCTION_GROWTH_NGL" hidden="1">"c10074"</definedName>
    <definedName name="IQ_OG_DAILY_PRODUCTION_GROWTH_OIL" hidden="1">"c10072"</definedName>
    <definedName name="IQ_OG_DAILY_PRODUCTION_GROWTH_OIL_EQUIVALENT" hidden="1">"c10075"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GAS_BCM" hidden="1">"c10045"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AFFILIATES_RESERVES_GAS_BCM" hidden="1">"c10047"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PLORATION_DEVELOPMENT_COST" hidden="1">"c10081"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GROSS_DEVELOPED_AREA_SQ_KM" hidden="1">"c10079"</definedName>
    <definedName name="IQ_OG_GROSS_DEVELOPMENT_DRY_WELLS_DRILLED" hidden="1">"c10098"</definedName>
    <definedName name="IQ_OG_GROSS_DEVELOPMENT_PRODUCTIVE_WELLS_DRILLED" hidden="1">"c10097"</definedName>
    <definedName name="IQ_OG_GROSS_DEVELOPMENT_PRODUCTIVE_WELLS_DRILLED_GAS" hidden="1">"c15907"</definedName>
    <definedName name="IQ_OG_GROSS_DEVELOPMENT_PRODUCTIVE_WELLS_DRILLED_OIL" hidden="1">"c15906"</definedName>
    <definedName name="IQ_OG_GROSS_DEVELOPMENT_TOTAL_WELLS_DRILLED" hidden="1">"c10099"</definedName>
    <definedName name="IQ_OG_GROSS_EXPLORATORY_DRY_WELLS_DRILLED" hidden="1">"c10095"</definedName>
    <definedName name="IQ_OG_GROSS_EXPLORATORY_PRODUCTIVE_WELLS_DRILLED" hidden="1">"c10094"</definedName>
    <definedName name="IQ_OG_GROSS_EXPLORATORY_PRODUCTIVE_WELLS_DRILLED_GAS" hidden="1">"c15905"</definedName>
    <definedName name="IQ_OG_GROSS_EXPLORATORY_PRODUCTIVE_WELLS_DRILLED_OIL" hidden="1">"c15904"</definedName>
    <definedName name="IQ_OG_GROSS_EXPLORATORY_TOTAL_WELLS_DRILLED" hidden="1">"c10096"</definedName>
    <definedName name="IQ_OG_GROSS_OPERATED_WELLS" hidden="1">"c10092"</definedName>
    <definedName name="IQ_OG_GROSS_PRODUCING_WELLS_GAS" hidden="1">"c15897"</definedName>
    <definedName name="IQ_OG_GROSS_PRODUCING_WELLS_OIL" hidden="1">"c15896"</definedName>
    <definedName name="IQ_OG_GROSS_PRODUCTIVE_WELLS_DRILLED_GAS" hidden="1">"c15901"</definedName>
    <definedName name="IQ_OG_GROSS_PRODUCTIVE_WELLS_DRILLED_OIL" hidden="1">"c15900"</definedName>
    <definedName name="IQ_OG_GROSS_PRODUCTIVE_WELLS_GAS" hidden="1">"c10087"</definedName>
    <definedName name="IQ_OG_GROSS_PRODUCTIVE_WELLS_OIL" hidden="1">"c10086"</definedName>
    <definedName name="IQ_OG_GROSS_PRODUCTIVE_WELLS_TOTAL" hidden="1">"c10088"</definedName>
    <definedName name="IQ_OG_GROSS_TOTAL_WELLS_DRILLED" hidden="1">"c10100"</definedName>
    <definedName name="IQ_OG_GROSS_UNDEVELOPED_AREA_SQ_KM" hidden="1">"c10077"</definedName>
    <definedName name="IQ_OG_GROSS_WELLS_DRILLING" hidden="1">"c10108"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DEVELOPED_AREA_SQ_KM" hidden="1">"c10080"</definedName>
    <definedName name="IQ_OG_NET_DEVELOPMENT_DRY_WELLS_DRILLED" hidden="1">"c10105"</definedName>
    <definedName name="IQ_OG_NET_DEVELOPMENT_PRODUCTIVE_WELLS_DRILLED" hidden="1">"c10104"</definedName>
    <definedName name="IQ_OG_NET_DEVELOPMENT_PRODUCTIVE_WELLS_DRILLED_GAS" hidden="1">"c15911"</definedName>
    <definedName name="IQ_OG_NET_DEVELOPMENT_PRODUCTIVE_WELLS_DRILLED_OIL" hidden="1">"c15910"</definedName>
    <definedName name="IQ_OG_NET_DEVELOPMENT_TOTAL_WELLS_DRILLED" hidden="1">"c10106"</definedName>
    <definedName name="IQ_OG_NET_EXPLORATORY_DRY_WELLS_DRILLED" hidden="1">"c10102"</definedName>
    <definedName name="IQ_OG_NET_EXPLORATORY_PRODUCTIVE_WELLS_DRILLED" hidden="1">"c10101"</definedName>
    <definedName name="IQ_OG_NET_EXPLORATORY_PRODUCTIVE_WELLS_DRILLED_GAS" hidden="1">"c15909"</definedName>
    <definedName name="IQ_OG_NET_EXPLORATORY_PRODUCTIVE_WELLS_DRILLED_OIL" hidden="1">"c15908"</definedName>
    <definedName name="IQ_OG_NET_EXPLORATORY_TOTAL_WELLS_DRILLED" hidden="1">"c10103"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NET_OPERATED_WELLS" hidden="1">"c10093"</definedName>
    <definedName name="IQ_OG_NET_PRODUCING_WELLS_GAS" hidden="1">"c15899"</definedName>
    <definedName name="IQ_OG_NET_PRODUCING_WELLS_OIL" hidden="1">"c15898"</definedName>
    <definedName name="IQ_OG_NET_PRODUCTIVE_WELLS_DRILLED_GAS" hidden="1">"c15903"</definedName>
    <definedName name="IQ_OG_NET_PRODUCTIVE_WELLS_DRILLED_OIL" hidden="1">"c15902"</definedName>
    <definedName name="IQ_OG_NET_PRODUCTIVE_WELLS_GAS" hidden="1">"c10090"</definedName>
    <definedName name="IQ_OG_NET_PRODUCTIVE_WELLS_OIL" hidden="1">"c10089"</definedName>
    <definedName name="IQ_OG_NET_PRODUCTIVE_WELLS_TOTAL" hidden="1">"c10091"</definedName>
    <definedName name="IQ_OG_NET_TOTAL_WELLS_DRILLED" hidden="1">"c10107"</definedName>
    <definedName name="IQ_OG_NET_UNDEVELOPED_AREA_SQ_KM" hidden="1">"c10078"</definedName>
    <definedName name="IQ_OG_NET_WELLS_DRILLING" hidden="1">"c10109"</definedName>
    <definedName name="IQ_OG_NUMBER_WELLS_NEW" hidden="1">"c10085"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DUCTION_GROWTH_GAS" hidden="1">"c12737"</definedName>
    <definedName name="IQ_OG_PRDUCTION_GROWTH_GAS_EQUIVALENT" hidden="1">"c12738"</definedName>
    <definedName name="IQ_OG_PRDUCTION_GROWTH_NGL" hidden="1">"c12739"</definedName>
    <definedName name="IQ_OG_PRDUCTION_GROWTH_OIL" hidden="1">"c12740"</definedName>
    <definedName name="IQ_OG_PRDUCTION_GROWTH_OIL_EQUIVALENT" hidden="1">"c12741"</definedName>
    <definedName name="IQ_OG_PRDUCTION_GROWTH_TOAL" hidden="1">"c12742"</definedName>
    <definedName name="IQ_OG_PRODUCTION_GAS" hidden="1">"c2047"</definedName>
    <definedName name="IQ_OG_PRODUCTION_GROWTH_GAS" hidden="1">"c10067"</definedName>
    <definedName name="IQ_OG_PRODUCTION_GROWTH_GAS_EQUIVALENT" hidden="1">"c10070"</definedName>
    <definedName name="IQ_OG_PRODUCTION_GROWTH_NGL" hidden="1">"c10068"</definedName>
    <definedName name="IQ_OG_PRODUCTION_GROWTH_OIL" hidden="1">"c10066"</definedName>
    <definedName name="IQ_OG_PRODUCTION_GROWTH_OIL_EQUIVALENT" hidden="1">"c10069"</definedName>
    <definedName name="IQ_OG_PRODUCTION_GROWTH_TOTAL" hidden="1">"c10071"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RIGS_NON_OPERATED" hidden="1">"c10083"</definedName>
    <definedName name="IQ_OG_RIGS_OPERATED" hidden="1">"c10082"</definedName>
    <definedName name="IQ_OG_RIGS_TOTAL" hidden="1">"c10084"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EQUIV_PRODUCTION_BCFE" hidden="1">"c10058"</definedName>
    <definedName name="IQ_OG_TOTAL_GAS_PRODUCTION" hidden="1">"c2060"</definedName>
    <definedName name="IQ_OG_TOTAL_LIQUID_GAS_PRODUCTION" hidden="1">"c2235"</definedName>
    <definedName name="IQ_OG_TOTAL_OIL_EQUIV_PRODUCTION_MMBOE" hidden="1">"c10057"</definedName>
    <definedName name="IQ_OG_TOTAL_OIL_PRODUCTION" hidden="1">"c2059"</definedName>
    <definedName name="IQ_OG_TOTAL_OIL_PRODUCTON" hidden="1">"c2059"</definedName>
    <definedName name="IQ_OG_TOTAL_POSSIBLE_RESERVES_GAS_BCF" hidden="1">"c10050"</definedName>
    <definedName name="IQ_OG_TOTAL_POSSIBLE_RESERVES_GAS_BCM" hidden="1">"c10051"</definedName>
    <definedName name="IQ_OG_TOTAL_POSSIBLE_RESERVES_OIL_MMBBLS" hidden="1">"c10053"</definedName>
    <definedName name="IQ_OG_TOTAL_PROBABLE_RESERVES_GAS_BCF" hidden="1">"c10048"</definedName>
    <definedName name="IQ_OG_TOTAL_PROBABLE_RESERVES_GAS_BCM" hidden="1">"c10049"</definedName>
    <definedName name="IQ_OG_TOTAL_PROBABLE_RESERVES_OIL_MMBBLS" hidden="1">"c10052"</definedName>
    <definedName name="IQ_OG_TOTAL_PRODUCTION_GAS_BCM" hidden="1">"c10056"</definedName>
    <definedName name="IQ_OG_TOTAL_PROVED_RESERVES_GAS_BCM" hidden="1">"c10046"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GAS_BCM" hidden="1">"c10044"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ACT_OR_EST" hidden="1">"c2220"</definedName>
    <definedName name="IQ_OPER_INC_ACT_OR_EST_CIQ" hidden="1">"c12019"</definedName>
    <definedName name="IQ_OPER_INC_ACT_OR_EST_REUT" hidden="1">"c5466"</definedName>
    <definedName name="IQ_OPER_INC_ACT_OR_EST_THOM" hidden="1">"c5304"</definedName>
    <definedName name="IQ_OPER_INC_BR" hidden="1">"c850"</definedName>
    <definedName name="IQ_OPER_INC_DET_EST" hidden="1">"c12064"</definedName>
    <definedName name="IQ_OPER_INC_DET_EST_CIQ" hidden="1">"c12128"</definedName>
    <definedName name="IQ_OPER_INC_DET_EST_CIQ_CURRENCY_CIQ" hidden="1">"c12519"</definedName>
    <definedName name="IQ_OPER_INC_DET_EST_CIQ_INCL_INCL_CIQ" hidden="1">"c12402"</definedName>
    <definedName name="IQ_OPER_INC_DET_EST_CURRENCY" hidden="1">"c12471"</definedName>
    <definedName name="IQ_OPER_INC_DET_EST_CURRENCY_THOM" hidden="1">"c12494"</definedName>
    <definedName name="IQ_OPER_INC_DET_EST_DATE" hidden="1">"c12217"</definedName>
    <definedName name="IQ_OPER_INC_DET_EST_DATE_CIQ" hidden="1">"c12274"</definedName>
    <definedName name="IQ_OPER_INC_DET_EST_DATE_THOM" hidden="1">"c12245"</definedName>
    <definedName name="IQ_OPER_INC_DET_EST_INCL" hidden="1">"c12354"</definedName>
    <definedName name="IQ_OPER_INC_DET_EST_INCL_THOM" hidden="1">"c12377"</definedName>
    <definedName name="IQ_OPER_INC_DET_EST_ORIGIN" hidden="1">"c12589"</definedName>
    <definedName name="IQ_OPER_INC_DET_EST_ORIGIN_CIQ" hidden="1">"c12643"</definedName>
    <definedName name="IQ_OPER_INC_DET_EST_ORIGIN_THOM" hidden="1">"c12615"</definedName>
    <definedName name="IQ_OPER_INC_DET_EST_THOM" hidden="1">"c12095"</definedName>
    <definedName name="IQ_OPER_INC_EST" hidden="1">"c1688"</definedName>
    <definedName name="IQ_OPER_INC_EST_CIQ" hidden="1">"c12010"</definedName>
    <definedName name="IQ_OPER_INC_EST_REUT" hidden="1">"c5340"</definedName>
    <definedName name="IQ_OPER_INC_EST_THOM" hidden="1">"c5112"</definedName>
    <definedName name="IQ_OPER_INC_FIN" hidden="1">"c851"</definedName>
    <definedName name="IQ_OPER_INC_HIGH_EST" hidden="1">"c1690"</definedName>
    <definedName name="IQ_OPER_INC_HIGH_EST_CIQ" hidden="1">"c12012"</definedName>
    <definedName name="IQ_OPER_INC_HIGH_EST_REUT" hidden="1">"c5342"</definedName>
    <definedName name="IQ_OPER_INC_HIGH_EST_THOM" hidden="1">"c5114"</definedName>
    <definedName name="IQ_OPER_INC_INS" hidden="1">"c852"</definedName>
    <definedName name="IQ_OPER_INC_LOW_EST" hidden="1">"c1691"</definedName>
    <definedName name="IQ_OPER_INC_LOW_EST_CIQ" hidden="1">"c12013"</definedName>
    <definedName name="IQ_OPER_INC_LOW_EST_REUT" hidden="1">"c5343"</definedName>
    <definedName name="IQ_OPER_INC_LOW_EST_THOM" hidden="1">"c5115"</definedName>
    <definedName name="IQ_OPER_INC_MARGIN" hidden="1">"c1448"</definedName>
    <definedName name="IQ_OPER_INC_MEDIAN_EST" hidden="1">"c1689"</definedName>
    <definedName name="IQ_OPER_INC_MEDIAN_EST_CIQ" hidden="1">"c12011"</definedName>
    <definedName name="IQ_OPER_INC_MEDIAN_EST_REUT" hidden="1">"c5341"</definedName>
    <definedName name="IQ_OPER_INC_MEDIAN_EST_THOM" hidden="1">"c5113"</definedName>
    <definedName name="IQ_OPER_INC_NUM_EST" hidden="1">"c1692"</definedName>
    <definedName name="IQ_OPER_INC_NUM_EST_CIQ" hidden="1">"c12014"</definedName>
    <definedName name="IQ_OPER_INC_NUM_EST_REUT" hidden="1">"c5344"</definedName>
    <definedName name="IQ_OPER_INC_NUM_EST_THOM" hidden="1">"c5116"</definedName>
    <definedName name="IQ_OPER_INC_RE" hidden="1">"c6240"</definedName>
    <definedName name="IQ_OPER_INC_REIT" hidden="1">"c853"</definedName>
    <definedName name="IQ_OPER_INC_STDDEV_EST" hidden="1">"c1693"</definedName>
    <definedName name="IQ_OPER_INC_STDDEV_EST_CIQ" hidden="1">"c12015"</definedName>
    <definedName name="IQ_OPER_INC_STDDEV_EST_REUT" hidden="1">"c5345"</definedName>
    <definedName name="IQ_OPER_INC_STDDEV_EST_THOM" hidden="1">"c5117"</definedName>
    <definedName name="IQ_OPER_INC_UTI" hidden="1">"c854"</definedName>
    <definedName name="IQ_OPERATING_EXP_AVG_ASSETS_FFIEC" hidden="1">"c13373"</definedName>
    <definedName name="IQ_OPERATING_INC_AVG_ASSETS_FFIEC" hidden="1">"c13368"</definedName>
    <definedName name="IQ_OPERATING_INC_TE_AVG_ASSETS_FFIEC" hidden="1">"c13360"</definedName>
    <definedName name="IQ_OPERATING_NOI_AVG_GROSS_PROP" hidden="1">"c16058"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FIEC" hidden="1">"c12831"</definedName>
    <definedName name="IQ_OREO_FOREIGN_FDIC" hidden="1">"c6460"</definedName>
    <definedName name="IQ_OREO_FOREIGN_FFIEC" hidden="1">"c15273"</definedName>
    <definedName name="IQ_OREO_MULTI_FAMILY_RESIDENTIAL_FDIC" hidden="1">"c6455"</definedName>
    <definedName name="IQ_OREO_OTHER_FFIEC" hidden="1">"c12833"</definedName>
    <definedName name="IQ_OTHER_ADDITIONS_T1_FFIEC" hidden="1">"c13142"</definedName>
    <definedName name="IQ_OTHER_ADDITIONS_T2_FFIEC" hidden="1">"c13148"</definedName>
    <definedName name="IQ_OTHER_ADJ_CLAIM_ADJ_EXP_INCURRED" hidden="1">"c15878"</definedName>
    <definedName name="IQ_OTHER_ADJ_CLAIM_ADJ_EXP_PAID" hidden="1">"c15879"</definedName>
    <definedName name="IQ_OTHER_ADJ_RESERVE_BOP" hidden="1">"c15876"</definedName>
    <definedName name="IQ_OTHER_ADJ_RESERVES" hidden="1">"c15882"</definedName>
    <definedName name="IQ_OTHER_ADJUST_GROSS_LOANS" hidden="1">"c859"</definedName>
    <definedName name="IQ_OTHER_ADJUSTMENTS_COVERED" hidden="1">"c9961"</definedName>
    <definedName name="IQ_OTHER_ADJUSTMENTS_FFIEC" hidden="1">"c12972"</definedName>
    <definedName name="IQ_OTHER_ADJUSTMENTS_GROUP" hidden="1">"c9947"</definedName>
    <definedName name="IQ_OTHER_AFFO" hidden="1">"c16180"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FIEC" hidden="1">"c12848"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TOTAL_FFIEC" hidden="1">"c12841"</definedName>
    <definedName name="IQ_OTHER_ASSETS_UTI" hidden="1">"c866"</definedName>
    <definedName name="IQ_OTHER_BEARING_LIAB" hidden="1">"c1608"</definedName>
    <definedName name="IQ_OTHER_BEDS" hidden="1">"c8784"</definedName>
    <definedName name="IQ_OTHER_BENEFITS_OBLIGATION" hidden="1">"c867"</definedName>
    <definedName name="IQ_OTHER_BORROWED_FUNDS_FDIC" hidden="1">"c6345"</definedName>
    <definedName name="IQ_OTHER_BORROWED_MONEY_FAIR_VALUE_TOT_FFIEC" hidden="1">"c15409"</definedName>
    <definedName name="IQ_OTHER_BORROWED_MONEY_FFIEC" hidden="1">"c12862"</definedName>
    <definedName name="IQ_OTHER_BORROWED_MONEY_LEVEL_1_FFIEC" hidden="1">"c15431"</definedName>
    <definedName name="IQ_OTHER_BORROWED_MONEY_LEVEL_2_FFIEC" hidden="1">"c15444"</definedName>
    <definedName name="IQ_OTHER_BORROWED_MONEY_LEVEL_3_FFIEC" hidden="1">"c15457"</definedName>
    <definedName name="IQ_OTHER_BORROWED_MONEY_LT_FFIEC" hidden="1">"c12865"</definedName>
    <definedName name="IQ_OTHER_BORROWED_MONEY_ST_FFIEC" hidden="1">"c12864"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OMPREHENSIVE_INCOME_FFIEC" hidden="1">"c12970"</definedName>
    <definedName name="IQ_OTHER_CONSTRUCTION_GROSS_LOANS_FFIEC" hidden="1">"c13403"</definedName>
    <definedName name="IQ_OTHER_CONSTRUCTION_LOANS_DUE_30_89_FFIEC" hidden="1">"c13258"</definedName>
    <definedName name="IQ_OTHER_CONSTRUCTION_LOANS_DUE_90_FFIEC" hidden="1">"c13286"</definedName>
    <definedName name="IQ_OTHER_CONSTRUCTION_LOANS_NON_ACCRUAL_FFIEC" hidden="1">"c13312"</definedName>
    <definedName name="IQ_OTHER_CONSTRUCTION_LOANS_UNUSED_FFIEC" hidden="1">"c13245"</definedName>
    <definedName name="IQ_OTHER_CONSTRUCTION_RISK_BASED_FFIEC" hidden="1">"c13424"</definedName>
    <definedName name="IQ_OTHER_CONSUMER_LL_REC_FFIEC" hidden="1">"c12891"</definedName>
    <definedName name="IQ_OTHER_CONSUMER_LOANS_FFIEC" hidden="1">"c12824"</definedName>
    <definedName name="IQ_OTHER_CONSUMER_LOANS_TRADING_DOM_FFIEC" hidden="1">"c12935"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BT_SEC_DOM_AVAIL_SALE_FFIEC" hidden="1">"c12803"</definedName>
    <definedName name="IQ_OTHER_DEBT_SEC_FOREIGN_AVAIL_SALE_FFIEC" hidden="1">"c12804"</definedName>
    <definedName name="IQ_OTHER_DEBT_SEC_INVEST_SECURITIES_FFIEC" hidden="1">"c13462"</definedName>
    <definedName name="IQ_OTHER_DEBT_SEC_TRADING_DOM_FFIEC" hidden="1">"c12924"</definedName>
    <definedName name="IQ_OTHER_DEBT_SEC_TRADING_FFIEC" hidden="1">"c12819"</definedName>
    <definedName name="IQ_OTHER_DEBT_SECURITIES_DOM_FFIEC" hidden="1">"c12789"</definedName>
    <definedName name="IQ_OTHER_DEBT_SECURITIES_FOREIGN_FFIEC" hidden="1">"c12790"</definedName>
    <definedName name="IQ_OTHER_DEBT_SECURITIES_QUARTERLY_AVG_FFIEC" hidden="1">"c15473"</definedName>
    <definedName name="IQ_OTHER_DEDUCTIONS_LEVERAGE_RATIO_FFIEC" hidden="1">"c13158"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EPOSITS_FFIEC" hidden="1">"c12994"</definedName>
    <definedName name="IQ_OTHER_DEPOSITS_TOTAL_DEPOSITS" hidden="1">"c15724"</definedName>
    <definedName name="IQ_OTHER_DERIVATIVES_BENEFICIARY_FFIEC" hidden="1">"c13122"</definedName>
    <definedName name="IQ_OTHER_DERIVATIVES_GUARANTOR_FFIEC" hidden="1">"c13115"</definedName>
    <definedName name="IQ_OTHER_DEVELOPMENT_EXPENSE" hidden="1">"c16041"</definedName>
    <definedName name="IQ_OTHER_DEVELOPMENT_REVENUE" hidden="1">"c16025"</definedName>
    <definedName name="IQ_OTHER_DOMESTIC_DEBT_SECURITIES_FDIC" hidden="1">"c6302"</definedName>
    <definedName name="IQ_OTHER_EARNING" hidden="1">"c1609"</definedName>
    <definedName name="IQ_OTHER_EPRA_NAV_ADJ" hidden="1">"c16004"</definedName>
    <definedName name="IQ_OTHER_EPRA_NNAV_ADJ" hidden="1">"c16009"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CAPITAL_COMPS_FFIEC" hidden="1">"c12880"</definedName>
    <definedName name="IQ_OTHER_EQUITY_FFIEC" hidden="1">"c12879"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EXP_OPERATING_INC_FFIEC" hidden="1">"c13381"</definedName>
    <definedName name="IQ_OTHER_FAD" hidden="1">"c16184"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FOREIGN_LOANS_FOREIGN_FFIEC" hidden="1">"c13482"</definedName>
    <definedName name="IQ_OTHER_IBF_DEPOSIT_LIABILITIES_FFIEC" hidden="1">"c15301"</definedName>
    <definedName name="IQ_OTHER_INDIVIDUAL_FAMILY_DOM_QUARTERLY_AVG_FFIEC" hidden="1">"c15481"</definedName>
    <definedName name="IQ_OTHER_INSURANCE_FEES_FDIC" hidden="1">"c6672"</definedName>
    <definedName name="IQ_OTHER_INSURANCE_PREMIUMS_FFIEC" hidden="1">"c13071"</definedName>
    <definedName name="IQ_OTHER_INT_EXPENSE_FFIEC" hidden="1">"c12999"</definedName>
    <definedName name="IQ_OTHER_INT_INCOME_FFIEC" hidden="1">"c12988"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ASSETS_FFIEC" hidden="1">"c12837"</definedName>
    <definedName name="IQ_OTHER_INTANGIBLE_ASSETS_TOT_FFIEC" hidden="1">"c12840"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EASES_DUE_30_89_FFIEC" hidden="1">"c13278"</definedName>
    <definedName name="IQ_OTHER_LEASES_DUE_90_FFIEC" hidden="1">"c13304"</definedName>
    <definedName name="IQ_OTHER_LEASES_LL_REC_FFIEC" hidden="1">"c12896"</definedName>
    <definedName name="IQ_OTHER_LEASES_NON_ACCRUAL_FFIEC" hidden="1">"c13330"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IABILITIES_FFIEC" hidden="1">"c12872"</definedName>
    <definedName name="IQ_OTHER_LIABILITIES_TOTAL_FFIEC" hidden="1">"c12869"</definedName>
    <definedName name="IQ_OTHER_LL_REC_FFIEC" hidden="1">"c12894"</definedName>
    <definedName name="IQ_OTHER_LOANS" hidden="1">"c945"</definedName>
    <definedName name="IQ_OTHER_LOANS_CHARGE_OFFS_FDIC" hidden="1">"c6601"</definedName>
    <definedName name="IQ_OTHER_LOANS_DUE_30_89_FFIEC" hidden="1">"c13275"</definedName>
    <definedName name="IQ_OTHER_LOANS_DUE_90_FFIEC" hidden="1">"c13301"</definedName>
    <definedName name="IQ_OTHER_LOANS_FFIEC" hidden="1">"c12825"</definedName>
    <definedName name="IQ_OTHER_LOANS_FOREIGN_FDIC" hidden="1">"c6446"</definedName>
    <definedName name="IQ_OTHER_LOANS_GROSS_LOANS_FFIEC" hidden="1">"c13414"</definedName>
    <definedName name="IQ_OTHER_LOANS_INDIVIDUALS_CHARGE_OFFS_FFIEC" hidden="1">"c13181"</definedName>
    <definedName name="IQ_OTHER_LOANS_INDIVIDUALS_DUE_30_89_FFIEC" hidden="1">"c13273"</definedName>
    <definedName name="IQ_OTHER_LOANS_INDIVIDUALS_DUE_90_FFIEC" hidden="1">"c13299"</definedName>
    <definedName name="IQ_OTHER_LOANS_INDIVIDUALS_NON_ACCRUAL_FFIEC" hidden="1">"c13325"</definedName>
    <definedName name="IQ_OTHER_LOANS_INDIVIDUALS_RECOV_FFIEC" hidden="1">"c13203"</definedName>
    <definedName name="IQ_OTHER_LOANS_LEASES_FDIC" hidden="1">"c6322"</definedName>
    <definedName name="IQ_OTHER_LOANS_LL_REC_DOM_FFIEC" hidden="1">"c12914"</definedName>
    <definedName name="IQ_OTHER_LOANS_NET_CHARGE_OFFS_FDIC" hidden="1">"c6639"</definedName>
    <definedName name="IQ_OTHER_LOANS_NON_ACCRUAL_FFIEC" hidden="1">"c13327"</definedName>
    <definedName name="IQ_OTHER_LOANS_RECOVERIES_FDIC" hidden="1">"c6620"</definedName>
    <definedName name="IQ_OTHER_LOANS_RISK_BASED_FFIEC" hidden="1">"c13435"</definedName>
    <definedName name="IQ_OTHER_LOANS_TOTAL_FDIC" hidden="1">"c6432"</definedName>
    <definedName name="IQ_OTHER_LOANS_TOTAL_LOANS" hidden="1">"c15716"</definedName>
    <definedName name="IQ_OTHER_LOANS_TRADING_DOM_FFIEC" hidden="1">"c12936"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MBS_AVAIL_SALE_FFIEC" hidden="1">"c12801"</definedName>
    <definedName name="IQ_OTHER_MBS_FFIEC" hidden="1">"c12787"</definedName>
    <definedName name="IQ_OTHER_MBS_ISSUED_FNMA_GNMA_TRADING_DOM_FFIEC" hidden="1">"c12922"</definedName>
    <definedName name="IQ_OTHER_MBS_ISSUED_FNMA_GNMA_TRADING_FFIEC" hidden="1">"c12817"</definedName>
    <definedName name="IQ_OTHER_MBS_TRADING_DOM_FFIEC" hidden="1">"c12923"</definedName>
    <definedName name="IQ_OTHER_MBS_TRADING_FFIEC" hidden="1">"c12818"</definedName>
    <definedName name="IQ_OTHER_MINING_REVENUE_COAL" hidden="1">"c15931"</definedName>
    <definedName name="IQ_OTHER_NET" hidden="1">"c1453"</definedName>
    <definedName name="IQ_OTHER_NON_INT_ALLOCATIONS_FFIEC" hidden="1">"c13065"</definedName>
    <definedName name="IQ_OTHER_NON_INT_EXP" hidden="1">"c953"</definedName>
    <definedName name="IQ_OTHER_NON_INT_EXP_FDIC" hidden="1">"c6578"</definedName>
    <definedName name="IQ_OTHER_NON_INT_EXP_FFIEC" hidden="1">"c13027"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INT_INC_OPERATING_INC_FFIEC" hidden="1">"c13392"</definedName>
    <definedName name="IQ_OTHER_NON_INT_INCOME_FFIEC" hidden="1">"c13016"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NONFARM_NONRES_GROSS_LOANS_FFIEC" hidden="1">"c13407"</definedName>
    <definedName name="IQ_OTHER_NONFARM_NONRES_LL_REC_DOM_FFIEC" hidden="1">"c12907"</definedName>
    <definedName name="IQ_OTHER_NONFARM_NONRES_RISK_BASED_FFIEC" hidden="1">"c13428"</definedName>
    <definedName name="IQ_OTHER_NONINTEREST_INC_FOREIGN_FFIEC" hidden="1">"c15380"</definedName>
    <definedName name="IQ_OTHER_OFF_BS_ITEMS_FFIEC" hidden="1">"c13126"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OVER_TOTAL" hidden="1">"c13770"</definedName>
    <definedName name="IQ_OTHER_PC_WRITTEN" hidden="1">"c1006"</definedName>
    <definedName name="IQ_OTHER_PROP" hidden="1">"c8764"</definedName>
    <definedName name="IQ_OTHER_PROP_OPERATING_EXPENSE" hidden="1">"c16043"</definedName>
    <definedName name="IQ_OTHER_PROP_OPERATING_REVENUE" hidden="1">"c16027"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REVOL_CREDIT_CONSUMER_LOANS_FFIEC" hidden="1">"c12823"</definedName>
    <definedName name="IQ_OTHER_REVOLVING_CREDIT_LL_REC_FFIEC" hidden="1">"c12890"</definedName>
    <definedName name="IQ_OTHER_REVOLVING_CREDIT_LOANS_TRADING_DOM_FFIEC" hidden="1">"c12934"</definedName>
    <definedName name="IQ_OTHER_ROOMS" hidden="1">"c8788"</definedName>
    <definedName name="IQ_OTHER_SAVINGS_DEPOSITS_FDIC" hidden="1">"c6554"</definedName>
    <definedName name="IQ_OTHER_SAVINGS_DEPOSITS_NON_TRANS_ACCTS_FFIEC" hidden="1">"c15331"</definedName>
    <definedName name="IQ_OTHER_SECURITIES_QUARTERLY_AVG_FFIEC" hidden="1">"c15472"</definedName>
    <definedName name="IQ_OTHER_SQ_FT" hidden="1">"c8780"</definedName>
    <definedName name="IQ_OTHER_STRIKE_PRICE_GRANTED" hidden="1">"c2692"</definedName>
    <definedName name="IQ_OTHER_TAX_EQUIVALENT_ADJUSTMENTS_FFIEC" hidden="1">"c13855"</definedName>
    <definedName name="IQ_OTHER_TRADING_ASSETS_FAIR_VALUE_TOT_FFIEC" hidden="1">"c15404"</definedName>
    <definedName name="IQ_OTHER_TRADING_ASSETS_FFIEC" hidden="1">"c12826"</definedName>
    <definedName name="IQ_OTHER_TRADING_ASSETS_LEVEL_1_FFIEC" hidden="1">"c15426"</definedName>
    <definedName name="IQ_OTHER_TRADING_ASSETS_LEVEL_2_FFIEC" hidden="1">"c15439"</definedName>
    <definedName name="IQ_OTHER_TRADING_ASSETS_LEVEL_3_FFIEC" hidden="1">"c15452"</definedName>
    <definedName name="IQ_OTHER_TRADING_ASSETS_TOTAL_FFIEC" hidden="1">"c12937"</definedName>
    <definedName name="IQ_OTHER_TRADING_LIABILITIES_FAIR_VALUE_TOT_FFIEC" hidden="1">"c15408"</definedName>
    <definedName name="IQ_OTHER_TRADING_LIABILITIES_FFIEC" hidden="1">"c12860"</definedName>
    <definedName name="IQ_OTHER_TRADING_LIABILITIES_LEVEL_1_FFIEC" hidden="1">"c15430"</definedName>
    <definedName name="IQ_OTHER_TRADING_LIABILITIES_LEVEL_2_FFIEC" hidden="1">"c15443"</definedName>
    <definedName name="IQ_OTHER_TRADING_LIABILITIES_LEVEL_3_FFIEC" hidden="1">"c15456"</definedName>
    <definedName name="IQ_OTHER_TRANSACTIONS_FDIC" hidden="1">"c6504"</definedName>
    <definedName name="IQ_OTHER_UNDRAWN" hidden="1">"c2522"</definedName>
    <definedName name="IQ_OTHER_UNITS" hidden="1">"c8772"</definedName>
    <definedName name="IQ_OTHER_UNUSED_COMMITMENTS_FDIC" hidden="1">"c6530"</definedName>
    <definedName name="IQ_OTHER_UNUSED_FFIEC" hidden="1">"c13248"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SUPPLE" hidden="1">"c13816"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VERHEAD_EXP_AVG_ASSETS_FFIEC" hidden="1">"c13361"</definedName>
    <definedName name="IQ_OVERHEAD_EXP_REV_FFIEC" hidden="1">"c13494"</definedName>
    <definedName name="IQ_OVERHEAD_NON_INT_INC_AVG_ASSETS_FFIEC" hidden="1">"c13374"</definedName>
    <definedName name="IQ_OVERHEAD_NON_INT_OPERATING_INC_FFIEC" hidden="1">"c13393"</definedName>
    <definedName name="IQ_OVERHEAD_OPERATING_INC_FFIEC" hidden="1">"c13378"</definedName>
    <definedName name="IQ_OWNED_RESERVES_COAL" hidden="1">"c15916"</definedName>
    <definedName name="IQ_OWNED_RESERVES_TO_TOTAL_RESERVES_COAL" hidden="1">"c15957"</definedName>
    <definedName name="IQ_OWNER_OCCUPIED_GROSS_LOANS_FFIEC" hidden="1">"c13406"</definedName>
    <definedName name="IQ_OWNER_OCCUPIED_LOANS_RISK_BASED_FFIEC" hidden="1">"c13427"</definedName>
    <definedName name="IQ_OWNER_OCCUPIED_NONFARM_NONRES_LL_REC_DOM_FFIEC" hidden="1">"c12906"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RTICIPATIONS_ACCEPTANCES_FFIEC" hidden="1">"c13254"</definedName>
    <definedName name="IQ_PARTNERSHIP_INC_RE" hidden="1">"c12039"</definedName>
    <definedName name="IQ_PASS_THROUGH_FNMA_GNMA_TRADING_FFIEC" hidden="1">"c12816"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ST_DUE_ALLOW_GROSS_LOANS_FFIEC" hidden="1">"c13416"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BV_FWD" hidden="1">"c15235"</definedName>
    <definedName name="IQ_PBV_FWD_CIQ" hidden="1">"c15236"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CIQ" hidden="1">"c4042"</definedName>
    <definedName name="IQ_PE_EXCL_FWD_REUT" hidden="1">"c4049"</definedName>
    <definedName name="IQ_PE_EXCL_FWD_THOM" hidden="1">"c4056"</definedName>
    <definedName name="IQ_PE_NORMALIZED" hidden="1">"c2207"</definedName>
    <definedName name="IQ_PE_RATIO" hidden="1">"c1610"</definedName>
    <definedName name="IQ_PEG_FWD" hidden="1">"c1863"</definedName>
    <definedName name="IQ_PEG_FWD_CIQ" hidden="1">"c4045"</definedName>
    <definedName name="IQ_PEG_FWD_REUT" hidden="1">"c4052"</definedName>
    <definedName name="IQ_PEG_FWD_THOM" hidden="1">"c4059"</definedName>
    <definedName name="IQ_PENETRATION_BASIC_CABLE" hidden="1">"c2850"</definedName>
    <definedName name="IQ_PENETRATION_BBAND" hidden="1">"c2852"</definedName>
    <definedName name="IQ_PENETRATION_BBAND_THP" hidden="1">"c2851"</definedName>
    <definedName name="IQ_PENETRATION_PHONE" hidden="1">"c2853"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CHANGE_EST_5YR_GROWTH_RATE_12MONTHS" hidden="1">"c1852"</definedName>
    <definedName name="IQ_PERCENT_CHANGE_EST_5YR_GROWTH_RATE_12MONTHS_CIQ" hidden="1">"c3790"</definedName>
    <definedName name="IQ_PERCENT_CHANGE_EST_5YR_GROWTH_RATE_12MONTHS_REUT" hidden="1">"c3959"</definedName>
    <definedName name="IQ_PERCENT_CHANGE_EST_5YR_GROWTH_RATE_12MONTHS_THOM" hidden="1">"c5269"</definedName>
    <definedName name="IQ_PERCENT_CHANGE_EST_5YR_GROWTH_RATE_18MONTHS" hidden="1">"c1853"</definedName>
    <definedName name="IQ_PERCENT_CHANGE_EST_5YR_GROWTH_RATE_18MONTHS_CIQ" hidden="1">"c3791"</definedName>
    <definedName name="IQ_PERCENT_CHANGE_EST_5YR_GROWTH_RATE_18MONTHS_REUT" hidden="1">"c3960"</definedName>
    <definedName name="IQ_PERCENT_CHANGE_EST_5YR_GROWTH_RATE_18MONTHS_THOM" hidden="1">"c5270"</definedName>
    <definedName name="IQ_PERCENT_CHANGE_EST_5YR_GROWTH_RATE_3MONTHS" hidden="1">"c1849"</definedName>
    <definedName name="IQ_PERCENT_CHANGE_EST_5YR_GROWTH_RATE_3MONTHS_CIQ" hidden="1">"c3787"</definedName>
    <definedName name="IQ_PERCENT_CHANGE_EST_5YR_GROWTH_RATE_3MONTHS_REUT" hidden="1">"c3956"</definedName>
    <definedName name="IQ_PERCENT_CHANGE_EST_5YR_GROWTH_RATE_3MONTHS_THOM" hidden="1">"c5266"</definedName>
    <definedName name="IQ_PERCENT_CHANGE_EST_5YR_GROWTH_RATE_6MONTHS" hidden="1">"c1850"</definedName>
    <definedName name="IQ_PERCENT_CHANGE_EST_5YR_GROWTH_RATE_6MONTHS_CIQ" hidden="1">"c3788"</definedName>
    <definedName name="IQ_PERCENT_CHANGE_EST_5YR_GROWTH_RATE_6MONTHS_REUT" hidden="1">"c3957"</definedName>
    <definedName name="IQ_PERCENT_CHANGE_EST_5YR_GROWTH_RATE_6MONTHS_THOM" hidden="1">"c5267"</definedName>
    <definedName name="IQ_PERCENT_CHANGE_EST_5YR_GROWTH_RATE_9MONTHS" hidden="1">"c1851"</definedName>
    <definedName name="IQ_PERCENT_CHANGE_EST_5YR_GROWTH_RATE_9MONTHS_CIQ" hidden="1">"c3789"</definedName>
    <definedName name="IQ_PERCENT_CHANGE_EST_5YR_GROWTH_RATE_9MONTHS_REUT" hidden="1">"c3958"</definedName>
    <definedName name="IQ_PERCENT_CHANGE_EST_5YR_GROWTH_RATE_9MONTHS_THOM" hidden="1">"c5268"</definedName>
    <definedName name="IQ_PERCENT_CHANGE_EST_5YR_GROWTH_RATE_DAY" hidden="1">"c1846"</definedName>
    <definedName name="IQ_PERCENT_CHANGE_EST_5YR_GROWTH_RATE_DAY_CIQ" hidden="1">"c3785"</definedName>
    <definedName name="IQ_PERCENT_CHANGE_EST_5YR_GROWTH_RATE_DAY_REUT" hidden="1">"c3954"</definedName>
    <definedName name="IQ_PERCENT_CHANGE_EST_5YR_GROWTH_RATE_DAY_THOM" hidden="1">"c5264"</definedName>
    <definedName name="IQ_PERCENT_CHANGE_EST_5YR_GROWTH_RATE_MONTH" hidden="1">"c1848"</definedName>
    <definedName name="IQ_PERCENT_CHANGE_EST_5YR_GROWTH_RATE_MONTH_CIQ" hidden="1">"c3786"</definedName>
    <definedName name="IQ_PERCENT_CHANGE_EST_5YR_GROWTH_RATE_MONTH_REUT" hidden="1">"c3955"</definedName>
    <definedName name="IQ_PERCENT_CHANGE_EST_5YR_GROWTH_RATE_MONTH_THOM" hidden="1">"c5265"</definedName>
    <definedName name="IQ_PERCENT_CHANGE_EST_5YR_GROWTH_RATE_WEEK" hidden="1">"c1847"</definedName>
    <definedName name="IQ_PERCENT_CHANGE_EST_5YR_GROWTH_RATE_WEEK_CIQ" hidden="1">"c3797"</definedName>
    <definedName name="IQ_PERCENT_CHANGE_EST_5YR_GROWTH_RATE_WEEK_REUT" hidden="1">"c5435"</definedName>
    <definedName name="IQ_PERCENT_CHANGE_EST_5YR_GROWTH_RATE_WEEK_THOM" hidden="1">"c5277"</definedName>
    <definedName name="IQ_PERCENT_CHANGE_EST_CFPS_12MONTHS" hidden="1">"c1812"</definedName>
    <definedName name="IQ_PERCENT_CHANGE_EST_CFPS_12MONTHS_CIQ" hidden="1">"c3755"</definedName>
    <definedName name="IQ_PERCENT_CHANGE_EST_CFPS_12MONTHS_REUT" hidden="1">"c3924"</definedName>
    <definedName name="IQ_PERCENT_CHANGE_EST_CFPS_12MONTHS_THOM" hidden="1">"c5234"</definedName>
    <definedName name="IQ_PERCENT_CHANGE_EST_CFPS_18MONTHS" hidden="1">"c1813"</definedName>
    <definedName name="IQ_PERCENT_CHANGE_EST_CFPS_18MONTHS_CIQ" hidden="1">"c3756"</definedName>
    <definedName name="IQ_PERCENT_CHANGE_EST_CFPS_18MONTHS_REUT" hidden="1">"c3925"</definedName>
    <definedName name="IQ_PERCENT_CHANGE_EST_CFPS_18MONTHS_THOM" hidden="1">"c5235"</definedName>
    <definedName name="IQ_PERCENT_CHANGE_EST_CFPS_3MONTHS" hidden="1">"c1809"</definedName>
    <definedName name="IQ_PERCENT_CHANGE_EST_CFPS_3MONTHS_CIQ" hidden="1">"c3752"</definedName>
    <definedName name="IQ_PERCENT_CHANGE_EST_CFPS_3MONTHS_REUT" hidden="1">"c3921"</definedName>
    <definedName name="IQ_PERCENT_CHANGE_EST_CFPS_3MONTHS_THOM" hidden="1">"c5231"</definedName>
    <definedName name="IQ_PERCENT_CHANGE_EST_CFPS_6MONTHS" hidden="1">"c1810"</definedName>
    <definedName name="IQ_PERCENT_CHANGE_EST_CFPS_6MONTHS_CIQ" hidden="1">"c3753"</definedName>
    <definedName name="IQ_PERCENT_CHANGE_EST_CFPS_6MONTHS_REUT" hidden="1">"c3922"</definedName>
    <definedName name="IQ_PERCENT_CHANGE_EST_CFPS_6MONTHS_THOM" hidden="1">"c5232"</definedName>
    <definedName name="IQ_PERCENT_CHANGE_EST_CFPS_9MONTHS" hidden="1">"c1811"</definedName>
    <definedName name="IQ_PERCENT_CHANGE_EST_CFPS_9MONTHS_CIQ" hidden="1">"c3754"</definedName>
    <definedName name="IQ_PERCENT_CHANGE_EST_CFPS_9MONTHS_REUT" hidden="1">"c3923"</definedName>
    <definedName name="IQ_PERCENT_CHANGE_EST_CFPS_9MONTHS_THOM" hidden="1">"c5233"</definedName>
    <definedName name="IQ_PERCENT_CHANGE_EST_CFPS_DAY" hidden="1">"c1806"</definedName>
    <definedName name="IQ_PERCENT_CHANGE_EST_CFPS_DAY_CIQ" hidden="1">"c3750"</definedName>
    <definedName name="IQ_PERCENT_CHANGE_EST_CFPS_DAY_REUT" hidden="1">"c3919"</definedName>
    <definedName name="IQ_PERCENT_CHANGE_EST_CFPS_DAY_THOM" hidden="1">"c5229"</definedName>
    <definedName name="IQ_PERCENT_CHANGE_EST_CFPS_MONTH" hidden="1">"c1808"</definedName>
    <definedName name="IQ_PERCENT_CHANGE_EST_CFPS_MONTH_CIQ" hidden="1">"c3751"</definedName>
    <definedName name="IQ_PERCENT_CHANGE_EST_CFPS_MONTH_REUT" hidden="1">"c3920"</definedName>
    <definedName name="IQ_PERCENT_CHANGE_EST_CFPS_MONTH_THOM" hidden="1">"c5230"</definedName>
    <definedName name="IQ_PERCENT_CHANGE_EST_CFPS_WEEK" hidden="1">"c1807"</definedName>
    <definedName name="IQ_PERCENT_CHANGE_EST_CFPS_WEEK_CIQ" hidden="1">"c3793"</definedName>
    <definedName name="IQ_PERCENT_CHANGE_EST_CFPS_WEEK_REUT" hidden="1">"c3962"</definedName>
    <definedName name="IQ_PERCENT_CHANGE_EST_CFPS_WEEK_THOM" hidden="1">"c5272"</definedName>
    <definedName name="IQ_PERCENT_CHANGE_EST_DPS_12MONTHS" hidden="1">"c1820"</definedName>
    <definedName name="IQ_PERCENT_CHANGE_EST_DPS_12MONTHS_CIQ" hidden="1">"c3762"</definedName>
    <definedName name="IQ_PERCENT_CHANGE_EST_DPS_12MONTHS_REUT" hidden="1">"c3931"</definedName>
    <definedName name="IQ_PERCENT_CHANGE_EST_DPS_12MONTHS_THOM" hidden="1">"c5241"</definedName>
    <definedName name="IQ_PERCENT_CHANGE_EST_DPS_18MONTHS" hidden="1">"c1821"</definedName>
    <definedName name="IQ_PERCENT_CHANGE_EST_DPS_18MONTHS_CIQ" hidden="1">"c3763"</definedName>
    <definedName name="IQ_PERCENT_CHANGE_EST_DPS_18MONTHS_REUT" hidden="1">"c3932"</definedName>
    <definedName name="IQ_PERCENT_CHANGE_EST_DPS_18MONTHS_THOM" hidden="1">"c5242"</definedName>
    <definedName name="IQ_PERCENT_CHANGE_EST_DPS_3MONTHS" hidden="1">"c1817"</definedName>
    <definedName name="IQ_PERCENT_CHANGE_EST_DPS_3MONTHS_CIQ" hidden="1">"c3759"</definedName>
    <definedName name="IQ_PERCENT_CHANGE_EST_DPS_3MONTHS_REUT" hidden="1">"c3928"</definedName>
    <definedName name="IQ_PERCENT_CHANGE_EST_DPS_3MONTHS_THOM" hidden="1">"c5238"</definedName>
    <definedName name="IQ_PERCENT_CHANGE_EST_DPS_6MONTHS" hidden="1">"c1818"</definedName>
    <definedName name="IQ_PERCENT_CHANGE_EST_DPS_6MONTHS_CIQ" hidden="1">"c3760"</definedName>
    <definedName name="IQ_PERCENT_CHANGE_EST_DPS_6MONTHS_REUT" hidden="1">"c3929"</definedName>
    <definedName name="IQ_PERCENT_CHANGE_EST_DPS_6MONTHS_THOM" hidden="1">"c5239"</definedName>
    <definedName name="IQ_PERCENT_CHANGE_EST_DPS_9MONTHS" hidden="1">"c1819"</definedName>
    <definedName name="IQ_PERCENT_CHANGE_EST_DPS_9MONTHS_CIQ" hidden="1">"c3761"</definedName>
    <definedName name="IQ_PERCENT_CHANGE_EST_DPS_9MONTHS_REUT" hidden="1">"c3930"</definedName>
    <definedName name="IQ_PERCENT_CHANGE_EST_DPS_9MONTHS_THOM" hidden="1">"c5240"</definedName>
    <definedName name="IQ_PERCENT_CHANGE_EST_DPS_DAY" hidden="1">"c1814"</definedName>
    <definedName name="IQ_PERCENT_CHANGE_EST_DPS_DAY_CIQ" hidden="1">"c3757"</definedName>
    <definedName name="IQ_PERCENT_CHANGE_EST_DPS_DAY_REUT" hidden="1">"c3926"</definedName>
    <definedName name="IQ_PERCENT_CHANGE_EST_DPS_DAY_THOM" hidden="1">"c5236"</definedName>
    <definedName name="IQ_PERCENT_CHANGE_EST_DPS_MONTH" hidden="1">"c1816"</definedName>
    <definedName name="IQ_PERCENT_CHANGE_EST_DPS_MONTH_CIQ" hidden="1">"c3758"</definedName>
    <definedName name="IQ_PERCENT_CHANGE_EST_DPS_MONTH_REUT" hidden="1">"c3927"</definedName>
    <definedName name="IQ_PERCENT_CHANGE_EST_DPS_MONTH_THOM" hidden="1">"c5237"</definedName>
    <definedName name="IQ_PERCENT_CHANGE_EST_DPS_WEEK" hidden="1">"c1815"</definedName>
    <definedName name="IQ_PERCENT_CHANGE_EST_DPS_WEEK_CIQ" hidden="1">"c3794"</definedName>
    <definedName name="IQ_PERCENT_CHANGE_EST_DPS_WEEK_REUT" hidden="1">"c3963"</definedName>
    <definedName name="IQ_PERCENT_CHANGE_EST_DPS_WEEK_THOM" hidden="1">"c5273"</definedName>
    <definedName name="IQ_PERCENT_CHANGE_EST_EBITDA_12MONTHS" hidden="1">"c1804"</definedName>
    <definedName name="IQ_PERCENT_CHANGE_EST_EBITDA_12MONTHS_CIQ" hidden="1">"c3748"</definedName>
    <definedName name="IQ_PERCENT_CHANGE_EST_EBITDA_12MONTHS_REUT" hidden="1">"c3917"</definedName>
    <definedName name="IQ_PERCENT_CHANGE_EST_EBITDA_12MONTHS_THOM" hidden="1">"c5227"</definedName>
    <definedName name="IQ_PERCENT_CHANGE_EST_EBITDA_18MONTHS" hidden="1">"c1805"</definedName>
    <definedName name="IQ_PERCENT_CHANGE_EST_EBITDA_18MONTHS_CIQ" hidden="1">"c3749"</definedName>
    <definedName name="IQ_PERCENT_CHANGE_EST_EBITDA_18MONTHS_REUT" hidden="1">"c3918"</definedName>
    <definedName name="IQ_PERCENT_CHANGE_EST_EBITDA_18MONTHS_THOM" hidden="1">"c5228"</definedName>
    <definedName name="IQ_PERCENT_CHANGE_EST_EBITDA_3MONTHS" hidden="1">"c1801"</definedName>
    <definedName name="IQ_PERCENT_CHANGE_EST_EBITDA_3MONTHS_CIQ" hidden="1">"c3745"</definedName>
    <definedName name="IQ_PERCENT_CHANGE_EST_EBITDA_3MONTHS_REUT" hidden="1">"c3914"</definedName>
    <definedName name="IQ_PERCENT_CHANGE_EST_EBITDA_3MONTHS_THOM" hidden="1">"c5224"</definedName>
    <definedName name="IQ_PERCENT_CHANGE_EST_EBITDA_6MONTHS" hidden="1">"c1802"</definedName>
    <definedName name="IQ_PERCENT_CHANGE_EST_EBITDA_6MONTHS_CIQ" hidden="1">"c3746"</definedName>
    <definedName name="IQ_PERCENT_CHANGE_EST_EBITDA_6MONTHS_REUT" hidden="1">"c3915"</definedName>
    <definedName name="IQ_PERCENT_CHANGE_EST_EBITDA_6MONTHS_THOM" hidden="1">"c5225"</definedName>
    <definedName name="IQ_PERCENT_CHANGE_EST_EBITDA_9MONTHS" hidden="1">"c1803"</definedName>
    <definedName name="IQ_PERCENT_CHANGE_EST_EBITDA_9MONTHS_CIQ" hidden="1">"c3747"</definedName>
    <definedName name="IQ_PERCENT_CHANGE_EST_EBITDA_9MONTHS_REUT" hidden="1">"c3916"</definedName>
    <definedName name="IQ_PERCENT_CHANGE_EST_EBITDA_9MONTHS_THOM" hidden="1">"c5226"</definedName>
    <definedName name="IQ_PERCENT_CHANGE_EST_EBITDA_DAY" hidden="1">"c1798"</definedName>
    <definedName name="IQ_PERCENT_CHANGE_EST_EBITDA_DAY_CIQ" hidden="1">"c3743"</definedName>
    <definedName name="IQ_PERCENT_CHANGE_EST_EBITDA_DAY_REUT" hidden="1">"c3912"</definedName>
    <definedName name="IQ_PERCENT_CHANGE_EST_EBITDA_DAY_THOM" hidden="1">"c5222"</definedName>
    <definedName name="IQ_PERCENT_CHANGE_EST_EBITDA_MONTH" hidden="1">"c1800"</definedName>
    <definedName name="IQ_PERCENT_CHANGE_EST_EBITDA_MONTH_CIQ" hidden="1">"c3744"</definedName>
    <definedName name="IQ_PERCENT_CHANGE_EST_EBITDA_MONTH_REUT" hidden="1">"c3913"</definedName>
    <definedName name="IQ_PERCENT_CHANGE_EST_EBITDA_MONTH_THOM" hidden="1">"c5223"</definedName>
    <definedName name="IQ_PERCENT_CHANGE_EST_EBITDA_WEEK" hidden="1">"c1799"</definedName>
    <definedName name="IQ_PERCENT_CHANGE_EST_EBITDA_WEEK_CIQ" hidden="1">"c3792"</definedName>
    <definedName name="IQ_PERCENT_CHANGE_EST_EBITDA_WEEK_REUT" hidden="1">"c3961"</definedName>
    <definedName name="IQ_PERCENT_CHANGE_EST_EBITDA_WEEK_THOM" hidden="1">"c5271"</definedName>
    <definedName name="IQ_PERCENT_CHANGE_EST_EPS_12MONTHS" hidden="1">"c1788"</definedName>
    <definedName name="IQ_PERCENT_CHANGE_EST_EPS_12MONTHS_CIQ" hidden="1">"c3733"</definedName>
    <definedName name="IQ_PERCENT_CHANGE_EST_EPS_12MONTHS_REUT" hidden="1">"c3902"</definedName>
    <definedName name="IQ_PERCENT_CHANGE_EST_EPS_12MONTHS_THOM" hidden="1">"c5212"</definedName>
    <definedName name="IQ_PERCENT_CHANGE_EST_EPS_18MONTHS" hidden="1">"c1789"</definedName>
    <definedName name="IQ_PERCENT_CHANGE_EST_EPS_18MONTHS_CIQ" hidden="1">"c3734"</definedName>
    <definedName name="IQ_PERCENT_CHANGE_EST_EPS_18MONTHS_REUT" hidden="1">"c3903"</definedName>
    <definedName name="IQ_PERCENT_CHANGE_EST_EPS_18MONTHS_THOM" hidden="1">"c5213"</definedName>
    <definedName name="IQ_PERCENT_CHANGE_EST_EPS_3MONTHS" hidden="1">"c1785"</definedName>
    <definedName name="IQ_PERCENT_CHANGE_EST_EPS_3MONTHS_CIQ" hidden="1">"c3730"</definedName>
    <definedName name="IQ_PERCENT_CHANGE_EST_EPS_3MONTHS_REUT" hidden="1">"c3899"</definedName>
    <definedName name="IQ_PERCENT_CHANGE_EST_EPS_3MONTHS_THOM" hidden="1">"c5209"</definedName>
    <definedName name="IQ_PERCENT_CHANGE_EST_EPS_6MONTHS" hidden="1">"c1786"</definedName>
    <definedName name="IQ_PERCENT_CHANGE_EST_EPS_6MONTHS_CIQ" hidden="1">"c3731"</definedName>
    <definedName name="IQ_PERCENT_CHANGE_EST_EPS_6MONTHS_REUT" hidden="1">"c3900"</definedName>
    <definedName name="IQ_PERCENT_CHANGE_EST_EPS_6MONTHS_THOM" hidden="1">"c5210"</definedName>
    <definedName name="IQ_PERCENT_CHANGE_EST_EPS_9MONTHS" hidden="1">"c1787"</definedName>
    <definedName name="IQ_PERCENT_CHANGE_EST_EPS_9MONTHS_CIQ" hidden="1">"c3732"</definedName>
    <definedName name="IQ_PERCENT_CHANGE_EST_EPS_9MONTHS_REUT" hidden="1">"c3901"</definedName>
    <definedName name="IQ_PERCENT_CHANGE_EST_EPS_9MONTHS_THOM" hidden="1">"c5211"</definedName>
    <definedName name="IQ_PERCENT_CHANGE_EST_EPS_DAY" hidden="1">"c1782"</definedName>
    <definedName name="IQ_PERCENT_CHANGE_EST_EPS_DAY_CIQ" hidden="1">"c3727"</definedName>
    <definedName name="IQ_PERCENT_CHANGE_EST_EPS_DAY_REUT" hidden="1">"c3896"</definedName>
    <definedName name="IQ_PERCENT_CHANGE_EST_EPS_DAY_THOM" hidden="1">"c5206"</definedName>
    <definedName name="IQ_PERCENT_CHANGE_EST_EPS_MONTH" hidden="1">"c1784"</definedName>
    <definedName name="IQ_PERCENT_CHANGE_EST_EPS_MONTH_CIQ" hidden="1">"c3729"</definedName>
    <definedName name="IQ_PERCENT_CHANGE_EST_EPS_MONTH_REUT" hidden="1">"c3898"</definedName>
    <definedName name="IQ_PERCENT_CHANGE_EST_EPS_MONTH_THOM" hidden="1">"c5208"</definedName>
    <definedName name="IQ_PERCENT_CHANGE_EST_EPS_WEEK" hidden="1">"c1783"</definedName>
    <definedName name="IQ_PERCENT_CHANGE_EST_EPS_WEEK_CIQ" hidden="1">"c3728"</definedName>
    <definedName name="IQ_PERCENT_CHANGE_EST_EPS_WEEK_REUT" hidden="1">"c3897"</definedName>
    <definedName name="IQ_PERCENT_CHANGE_EST_EPS_WEEK_THOM" hidden="1">"c5207"</definedName>
    <definedName name="IQ_PERCENT_CHANGE_EST_FFO_12MONTHS" hidden="1">"c1828"</definedName>
    <definedName name="IQ_PERCENT_CHANGE_EST_FFO_12MONTHS_CIQ" hidden="1">"c3769"</definedName>
    <definedName name="IQ_PERCENT_CHANGE_EST_FFO_12MONTHS_REUT" hidden="1">"c3938"</definedName>
    <definedName name="IQ_PERCENT_CHANGE_EST_FFO_12MONTHS_THOM" hidden="1">"c5248"</definedName>
    <definedName name="IQ_PERCENT_CHANGE_EST_FFO_18MONTHS" hidden="1">"c1829"</definedName>
    <definedName name="IQ_PERCENT_CHANGE_EST_FFO_18MONTHS_CIQ" hidden="1">"c3770"</definedName>
    <definedName name="IQ_PERCENT_CHANGE_EST_FFO_18MONTHS_REUT" hidden="1">"c3939"</definedName>
    <definedName name="IQ_PERCENT_CHANGE_EST_FFO_18MONTHS_THOM" hidden="1">"c5249"</definedName>
    <definedName name="IQ_PERCENT_CHANGE_EST_FFO_3MONTHS" hidden="1">"c1825"</definedName>
    <definedName name="IQ_PERCENT_CHANGE_EST_FFO_3MONTHS_CIQ" hidden="1">"c3766"</definedName>
    <definedName name="IQ_PERCENT_CHANGE_EST_FFO_3MONTHS_REUT" hidden="1">"c3935"</definedName>
    <definedName name="IQ_PERCENT_CHANGE_EST_FFO_3MONTHS_THOM" hidden="1">"c5245"</definedName>
    <definedName name="IQ_PERCENT_CHANGE_EST_FFO_6MONTHS" hidden="1">"c1826"</definedName>
    <definedName name="IQ_PERCENT_CHANGE_EST_FFO_6MONTHS_CIQ" hidden="1">"c3767"</definedName>
    <definedName name="IQ_PERCENT_CHANGE_EST_FFO_6MONTHS_REUT" hidden="1">"c3936"</definedName>
    <definedName name="IQ_PERCENT_CHANGE_EST_FFO_6MONTHS_THOM" hidden="1">"c5246"</definedName>
    <definedName name="IQ_PERCENT_CHANGE_EST_FFO_9MONTHS" hidden="1">"c1827"</definedName>
    <definedName name="IQ_PERCENT_CHANGE_EST_FFO_9MONTHS_CIQ" hidden="1">"c3768"</definedName>
    <definedName name="IQ_PERCENT_CHANGE_EST_FFO_9MONTHS_REUT" hidden="1">"c3937"</definedName>
    <definedName name="IQ_PERCENT_CHANGE_EST_FFO_9MONTHS_THOM" hidden="1">"c5247"</definedName>
    <definedName name="IQ_PERCENT_CHANGE_EST_FFO_DAY" hidden="1">"c1822"</definedName>
    <definedName name="IQ_PERCENT_CHANGE_EST_FFO_DAY_CIQ" hidden="1">"c3764"</definedName>
    <definedName name="IQ_PERCENT_CHANGE_EST_FFO_DAY_REUT" hidden="1">"c3933"</definedName>
    <definedName name="IQ_PERCENT_CHANGE_EST_FFO_DAY_THOM" hidden="1">"c5243"</definedName>
    <definedName name="IQ_PERCENT_CHANGE_EST_FFO_MONTH" hidden="1">"c1824"</definedName>
    <definedName name="IQ_PERCENT_CHANGE_EST_FFO_MONTH_CIQ" hidden="1">"c3765"</definedName>
    <definedName name="IQ_PERCENT_CHANGE_EST_FFO_MONTH_REUT" hidden="1">"c3934"</definedName>
    <definedName name="IQ_PERCENT_CHANGE_EST_FFO_MONTH_THOM" hidden="1">"c5244"</definedName>
    <definedName name="IQ_PERCENT_CHANGE_EST_FFO_SHARE_12MONTHS" hidden="1">"c1828"</definedName>
    <definedName name="IQ_PERCENT_CHANGE_EST_FFO_SHARE_12MONTHS_CIQ" hidden="1">"c3769"</definedName>
    <definedName name="IQ_PERCENT_CHANGE_EST_FFO_SHARE_18MONTHS" hidden="1">"c1829"</definedName>
    <definedName name="IQ_PERCENT_CHANGE_EST_FFO_SHARE_18MONTHS_CIQ" hidden="1">"c3770"</definedName>
    <definedName name="IQ_PERCENT_CHANGE_EST_FFO_SHARE_3MONTHS" hidden="1">"c1825"</definedName>
    <definedName name="IQ_PERCENT_CHANGE_EST_FFO_SHARE_3MONTHS_CIQ" hidden="1">"c3766"</definedName>
    <definedName name="IQ_PERCENT_CHANGE_EST_FFO_SHARE_6MONTHS" hidden="1">"c1826"</definedName>
    <definedName name="IQ_PERCENT_CHANGE_EST_FFO_SHARE_6MONTHS_CIQ" hidden="1">"c3767"</definedName>
    <definedName name="IQ_PERCENT_CHANGE_EST_FFO_SHARE_9MONTHS" hidden="1">"c1827"</definedName>
    <definedName name="IQ_PERCENT_CHANGE_EST_FFO_SHARE_9MONTHS_CIQ" hidden="1">"c3768"</definedName>
    <definedName name="IQ_PERCENT_CHANGE_EST_FFO_SHARE_DAY" hidden="1">"c1822"</definedName>
    <definedName name="IQ_PERCENT_CHANGE_EST_FFO_SHARE_DAY_CIQ" hidden="1">"c3764"</definedName>
    <definedName name="IQ_PERCENT_CHANGE_EST_FFO_SHARE_MONTH" hidden="1">"c1824"</definedName>
    <definedName name="IQ_PERCENT_CHANGE_EST_FFO_SHARE_MONTH_CIQ" hidden="1">"c3765"</definedName>
    <definedName name="IQ_PERCENT_CHANGE_EST_FFO_SHARE_SHARE_12MONTHS" hidden="1">"c1828"</definedName>
    <definedName name="IQ_PERCENT_CHANGE_EST_FFO_SHARE_SHARE_12MONTHS_CIQ" hidden="1">"c3769"</definedName>
    <definedName name="IQ_PERCENT_CHANGE_EST_FFO_SHARE_SHARE_18MONTHS" hidden="1">"c1829"</definedName>
    <definedName name="IQ_PERCENT_CHANGE_EST_FFO_SHARE_SHARE_18MONTHS_CIQ" hidden="1">"c3770"</definedName>
    <definedName name="IQ_PERCENT_CHANGE_EST_FFO_SHARE_SHARE_3MONTHS" hidden="1">"c1825"</definedName>
    <definedName name="IQ_PERCENT_CHANGE_EST_FFO_SHARE_SHARE_3MONTHS_CIQ" hidden="1">"c3766"</definedName>
    <definedName name="IQ_PERCENT_CHANGE_EST_FFO_SHARE_SHARE_6MONTHS" hidden="1">"c1826"</definedName>
    <definedName name="IQ_PERCENT_CHANGE_EST_FFO_SHARE_SHARE_6MONTHS_CIQ" hidden="1">"c3767"</definedName>
    <definedName name="IQ_PERCENT_CHANGE_EST_FFO_SHARE_SHARE_9MONTHS" hidden="1">"c1827"</definedName>
    <definedName name="IQ_PERCENT_CHANGE_EST_FFO_SHARE_SHARE_9MONTHS_CIQ" hidden="1">"c3768"</definedName>
    <definedName name="IQ_PERCENT_CHANGE_EST_FFO_SHARE_SHARE_DAY" hidden="1">"c1822"</definedName>
    <definedName name="IQ_PERCENT_CHANGE_EST_FFO_SHARE_SHARE_DAY_CIQ" hidden="1">"c3764"</definedName>
    <definedName name="IQ_PERCENT_CHANGE_EST_FFO_SHARE_SHARE_MONTH" hidden="1">"c1824"</definedName>
    <definedName name="IQ_PERCENT_CHANGE_EST_FFO_SHARE_SHARE_MONTH_CIQ" hidden="1">"c3765"</definedName>
    <definedName name="IQ_PERCENT_CHANGE_EST_FFO_SHARE_SHARE_WEEK" hidden="1">"c1823"</definedName>
    <definedName name="IQ_PERCENT_CHANGE_EST_FFO_SHARE_SHARE_WEEK_CIQ" hidden="1">"c3795"</definedName>
    <definedName name="IQ_PERCENT_CHANGE_EST_FFO_SHARE_WEEK" hidden="1">"c1823"</definedName>
    <definedName name="IQ_PERCENT_CHANGE_EST_FFO_SHARE_WEEK_CIQ" hidden="1">"c3795"</definedName>
    <definedName name="IQ_PERCENT_CHANGE_EST_FFO_WEEK" hidden="1">"c1823"</definedName>
    <definedName name="IQ_PERCENT_CHANGE_EST_FFO_WEEK_CIQ" hidden="1">"c3795"</definedName>
    <definedName name="IQ_PERCENT_CHANGE_EST_FFO_WEEK_REUT" hidden="1">"c3964"</definedName>
    <definedName name="IQ_PERCENT_CHANGE_EST_FFO_WEEK_THOM" hidden="1">"c5274"</definedName>
    <definedName name="IQ_PERCENT_CHANGE_EST_PRICE_TARGET_12MONTHS" hidden="1">"c1844"</definedName>
    <definedName name="IQ_PERCENT_CHANGE_EST_PRICE_TARGET_12MONTHS_CIQ" hidden="1">"c3783"</definedName>
    <definedName name="IQ_PERCENT_CHANGE_EST_PRICE_TARGET_12MONTHS_REUT" hidden="1">"c3952"</definedName>
    <definedName name="IQ_PERCENT_CHANGE_EST_PRICE_TARGET_12MONTHS_THOM" hidden="1">"c5262"</definedName>
    <definedName name="IQ_PERCENT_CHANGE_EST_PRICE_TARGET_18MONTHS" hidden="1">"c1845"</definedName>
    <definedName name="IQ_PERCENT_CHANGE_EST_PRICE_TARGET_18MONTHS_CIQ" hidden="1">"c3784"</definedName>
    <definedName name="IQ_PERCENT_CHANGE_EST_PRICE_TARGET_18MONTHS_REUT" hidden="1">"c3953"</definedName>
    <definedName name="IQ_PERCENT_CHANGE_EST_PRICE_TARGET_18MONTHS_THOM" hidden="1">"c5263"</definedName>
    <definedName name="IQ_PERCENT_CHANGE_EST_PRICE_TARGET_3MONTHS" hidden="1">"c1841"</definedName>
    <definedName name="IQ_PERCENT_CHANGE_EST_PRICE_TARGET_3MONTHS_CIQ" hidden="1">"c3780"</definedName>
    <definedName name="IQ_PERCENT_CHANGE_EST_PRICE_TARGET_3MONTHS_REUT" hidden="1">"c3949"</definedName>
    <definedName name="IQ_PERCENT_CHANGE_EST_PRICE_TARGET_3MONTHS_THOM" hidden="1">"c5259"</definedName>
    <definedName name="IQ_PERCENT_CHANGE_EST_PRICE_TARGET_6MONTHS" hidden="1">"c1842"</definedName>
    <definedName name="IQ_PERCENT_CHANGE_EST_PRICE_TARGET_6MONTHS_CIQ" hidden="1">"c3781"</definedName>
    <definedName name="IQ_PERCENT_CHANGE_EST_PRICE_TARGET_6MONTHS_REUT" hidden="1">"c3950"</definedName>
    <definedName name="IQ_PERCENT_CHANGE_EST_PRICE_TARGET_6MONTHS_THOM" hidden="1">"c5260"</definedName>
    <definedName name="IQ_PERCENT_CHANGE_EST_PRICE_TARGET_9MONTHS" hidden="1">"c1843"</definedName>
    <definedName name="IQ_PERCENT_CHANGE_EST_PRICE_TARGET_9MONTHS_CIQ" hidden="1">"c3782"</definedName>
    <definedName name="IQ_PERCENT_CHANGE_EST_PRICE_TARGET_9MONTHS_REUT" hidden="1">"c3951"</definedName>
    <definedName name="IQ_PERCENT_CHANGE_EST_PRICE_TARGET_9MONTHS_THOM" hidden="1">"c5261"</definedName>
    <definedName name="IQ_PERCENT_CHANGE_EST_PRICE_TARGET_DAY" hidden="1">"c1838"</definedName>
    <definedName name="IQ_PERCENT_CHANGE_EST_PRICE_TARGET_DAY_CIQ" hidden="1">"c3778"</definedName>
    <definedName name="IQ_PERCENT_CHANGE_EST_PRICE_TARGET_DAY_REUT" hidden="1">"c3947"</definedName>
    <definedName name="IQ_PERCENT_CHANGE_EST_PRICE_TARGET_DAY_THOM" hidden="1">"c5257"</definedName>
    <definedName name="IQ_PERCENT_CHANGE_EST_PRICE_TARGET_MONTH" hidden="1">"c1840"</definedName>
    <definedName name="IQ_PERCENT_CHANGE_EST_PRICE_TARGET_MONTH_CIQ" hidden="1">"c3779"</definedName>
    <definedName name="IQ_PERCENT_CHANGE_EST_PRICE_TARGET_MONTH_REUT" hidden="1">"c3948"</definedName>
    <definedName name="IQ_PERCENT_CHANGE_EST_PRICE_TARGET_MONTH_THOM" hidden="1">"c5258"</definedName>
    <definedName name="IQ_PERCENT_CHANGE_EST_PRICE_TARGET_WEEK" hidden="1">"c1839"</definedName>
    <definedName name="IQ_PERCENT_CHANGE_EST_PRICE_TARGET_WEEK_CIQ" hidden="1">"c3798"</definedName>
    <definedName name="IQ_PERCENT_CHANGE_EST_PRICE_TARGET_WEEK_REUT" hidden="1">"c3967"</definedName>
    <definedName name="IQ_PERCENT_CHANGE_EST_PRICE_TARGET_WEEK_THOM" hidden="1">"c5276"</definedName>
    <definedName name="IQ_PERCENT_CHANGE_EST_RECO_12MONTHS" hidden="1">"c1836"</definedName>
    <definedName name="IQ_PERCENT_CHANGE_EST_RECO_12MONTHS_CIQ" hidden="1">"c3776"</definedName>
    <definedName name="IQ_PERCENT_CHANGE_EST_RECO_12MONTHS_REUT" hidden="1">"c3945"</definedName>
    <definedName name="IQ_PERCENT_CHANGE_EST_RECO_12MONTHS_THOM" hidden="1">"c5255"</definedName>
    <definedName name="IQ_PERCENT_CHANGE_EST_RECO_18MONTHS" hidden="1">"c1837"</definedName>
    <definedName name="IQ_PERCENT_CHANGE_EST_RECO_18MONTHS_CIQ" hidden="1">"c3777"</definedName>
    <definedName name="IQ_PERCENT_CHANGE_EST_RECO_18MONTHS_REUT" hidden="1">"c3946"</definedName>
    <definedName name="IQ_PERCENT_CHANGE_EST_RECO_18MONTHS_THOM" hidden="1">"c5256"</definedName>
    <definedName name="IQ_PERCENT_CHANGE_EST_RECO_3MONTHS" hidden="1">"c1833"</definedName>
    <definedName name="IQ_PERCENT_CHANGE_EST_RECO_3MONTHS_CIQ" hidden="1">"c3773"</definedName>
    <definedName name="IQ_PERCENT_CHANGE_EST_RECO_3MONTHS_REUT" hidden="1">"c3942"</definedName>
    <definedName name="IQ_PERCENT_CHANGE_EST_RECO_3MONTHS_THOM" hidden="1">"c5252"</definedName>
    <definedName name="IQ_PERCENT_CHANGE_EST_RECO_6MONTHS" hidden="1">"c1834"</definedName>
    <definedName name="IQ_PERCENT_CHANGE_EST_RECO_6MONTHS_CIQ" hidden="1">"c3774"</definedName>
    <definedName name="IQ_PERCENT_CHANGE_EST_RECO_6MONTHS_REUT" hidden="1">"c3943"</definedName>
    <definedName name="IQ_PERCENT_CHANGE_EST_RECO_6MONTHS_THOM" hidden="1">"c5253"</definedName>
    <definedName name="IQ_PERCENT_CHANGE_EST_RECO_9MONTHS" hidden="1">"c1835"</definedName>
    <definedName name="IQ_PERCENT_CHANGE_EST_RECO_9MONTHS_CIQ" hidden="1">"c3775"</definedName>
    <definedName name="IQ_PERCENT_CHANGE_EST_RECO_9MONTHS_REUT" hidden="1">"c3944"</definedName>
    <definedName name="IQ_PERCENT_CHANGE_EST_RECO_9MONTHS_THOM" hidden="1">"c5254"</definedName>
    <definedName name="IQ_PERCENT_CHANGE_EST_RECO_DAY" hidden="1">"c1830"</definedName>
    <definedName name="IQ_PERCENT_CHANGE_EST_RECO_DAY_CIQ" hidden="1">"c3771"</definedName>
    <definedName name="IQ_PERCENT_CHANGE_EST_RECO_DAY_REUT" hidden="1">"c3940"</definedName>
    <definedName name="IQ_PERCENT_CHANGE_EST_RECO_DAY_THOM" hidden="1">"c5250"</definedName>
    <definedName name="IQ_PERCENT_CHANGE_EST_RECO_MONTH" hidden="1">"c1832"</definedName>
    <definedName name="IQ_PERCENT_CHANGE_EST_RECO_MONTH_CIQ" hidden="1">"c3772"</definedName>
    <definedName name="IQ_PERCENT_CHANGE_EST_RECO_MONTH_REUT" hidden="1">"c3941"</definedName>
    <definedName name="IQ_PERCENT_CHANGE_EST_RECO_MONTH_THOM" hidden="1">"c5251"</definedName>
    <definedName name="IQ_PERCENT_CHANGE_EST_RECO_WEEK" hidden="1">"c1831"</definedName>
    <definedName name="IQ_PERCENT_CHANGE_EST_RECO_WEEK_CIQ" hidden="1">"c3796"</definedName>
    <definedName name="IQ_PERCENT_CHANGE_EST_RECO_WEEK_REUT" hidden="1">"c3966"</definedName>
    <definedName name="IQ_PERCENT_CHANGE_EST_RECO_WEEK_THOM" hidden="1">"c5275"</definedName>
    <definedName name="IQ_PERCENT_CHANGE_EST_REV_12MONTHS" hidden="1">"c1796"</definedName>
    <definedName name="IQ_PERCENT_CHANGE_EST_REV_12MONTHS_CIQ" hidden="1">"c3741"</definedName>
    <definedName name="IQ_PERCENT_CHANGE_EST_REV_12MONTHS_REUT" hidden="1">"c3910"</definedName>
    <definedName name="IQ_PERCENT_CHANGE_EST_REV_12MONTHS_THOM" hidden="1">"c5220"</definedName>
    <definedName name="IQ_PERCENT_CHANGE_EST_REV_18MONTHS" hidden="1">"c1797"</definedName>
    <definedName name="IQ_PERCENT_CHANGE_EST_REV_18MONTHS_CIQ" hidden="1">"c3742"</definedName>
    <definedName name="IQ_PERCENT_CHANGE_EST_REV_18MONTHS_REUT" hidden="1">"c3911"</definedName>
    <definedName name="IQ_PERCENT_CHANGE_EST_REV_18MONTHS_THOM" hidden="1">"c5221"</definedName>
    <definedName name="IQ_PERCENT_CHANGE_EST_REV_3MONTHS" hidden="1">"c1793"</definedName>
    <definedName name="IQ_PERCENT_CHANGE_EST_REV_3MONTHS_CIQ" hidden="1">"c3738"</definedName>
    <definedName name="IQ_PERCENT_CHANGE_EST_REV_3MONTHS_REUT" hidden="1">"c3907"</definedName>
    <definedName name="IQ_PERCENT_CHANGE_EST_REV_3MONTHS_THOM" hidden="1">"c5217"</definedName>
    <definedName name="IQ_PERCENT_CHANGE_EST_REV_6MONTHS" hidden="1">"c1794"</definedName>
    <definedName name="IQ_PERCENT_CHANGE_EST_REV_6MONTHS_CIQ" hidden="1">"c3739"</definedName>
    <definedName name="IQ_PERCENT_CHANGE_EST_REV_6MONTHS_REUT" hidden="1">"c3908"</definedName>
    <definedName name="IQ_PERCENT_CHANGE_EST_REV_6MONTHS_THOM" hidden="1">"c5218"</definedName>
    <definedName name="IQ_PERCENT_CHANGE_EST_REV_9MONTHS" hidden="1">"c1795"</definedName>
    <definedName name="IQ_PERCENT_CHANGE_EST_REV_9MONTHS_CIQ" hidden="1">"c3740"</definedName>
    <definedName name="IQ_PERCENT_CHANGE_EST_REV_9MONTHS_REUT" hidden="1">"c3909"</definedName>
    <definedName name="IQ_PERCENT_CHANGE_EST_REV_9MONTHS_THOM" hidden="1">"c5219"</definedName>
    <definedName name="IQ_PERCENT_CHANGE_EST_REV_DAY" hidden="1">"c1790"</definedName>
    <definedName name="IQ_PERCENT_CHANGE_EST_REV_DAY_CIQ" hidden="1">"c3735"</definedName>
    <definedName name="IQ_PERCENT_CHANGE_EST_REV_DAY_REUT" hidden="1">"c3904"</definedName>
    <definedName name="IQ_PERCENT_CHANGE_EST_REV_DAY_THOM" hidden="1">"c5214"</definedName>
    <definedName name="IQ_PERCENT_CHANGE_EST_REV_MONTH" hidden="1">"c1792"</definedName>
    <definedName name="IQ_PERCENT_CHANGE_EST_REV_MONTH_CIQ" hidden="1">"c3737"</definedName>
    <definedName name="IQ_PERCENT_CHANGE_EST_REV_MONTH_REUT" hidden="1">"c3906"</definedName>
    <definedName name="IQ_PERCENT_CHANGE_EST_REV_MONTH_THOM" hidden="1">"c5216"</definedName>
    <definedName name="IQ_PERCENT_CHANGE_EST_REV_WEEK" hidden="1">"c1791"</definedName>
    <definedName name="IQ_PERCENT_CHANGE_EST_REV_WEEK_CIQ" hidden="1">"c3736"</definedName>
    <definedName name="IQ_PERCENT_CHANGE_EST_REV_WEEK_REUT" hidden="1">"c3905"</definedName>
    <definedName name="IQ_PERCENT_CHANGE_EST_REV_WEEK_THOM" hidden="1">"c5215"</definedName>
    <definedName name="IQ_PERCENT_INSURED_FDIC" hidden="1">"c6374"</definedName>
    <definedName name="IQ_PERCENTAGE_RENT" hidden="1">"c16018"</definedName>
    <definedName name="IQ_PERCENTAGE_RENT_RENTAL_REVENUE" hidden="1">"c16063"</definedName>
    <definedName name="IQ_PERFORMANCE_LOC_FOREIGN_GUARANTEES_FFIEC" hidden="1">"c13251"</definedName>
    <definedName name="IQ_PERIODDATE" hidden="1">"c1414"</definedName>
    <definedName name="IQ_PERIODDATE_AP" hidden="1">"c11745"</definedName>
    <definedName name="IQ_PERIODDATE_BS" hidden="1">"c1032"</definedName>
    <definedName name="IQ_PERIODDATE_CF" hidden="1">"c1033"</definedName>
    <definedName name="IQ_PERIODDATE_FDIC" hidden="1">"c13646"</definedName>
    <definedName name="IQ_PERIODDATE_FFIEC" hidden="1">"c13645"</definedName>
    <definedName name="IQ_PERIODDATE_IS" hidden="1">"c1034"</definedName>
    <definedName name="IQ_PERIODLENGTH_AP" hidden="1">"c11746"</definedName>
    <definedName name="IQ_PERIODLENGTH_CF" hidden="1">"c1502"</definedName>
    <definedName name="IQ_PERIODLENGTH_IS" hidden="1">"c1503"</definedName>
    <definedName name="IQ_PERSONAL_CONSUMER_SPENDING_DURABLE" hidden="1">"c6942"</definedName>
    <definedName name="IQ_PERSONAL_CONSUMER_SPENDING_DURABLE_APR" hidden="1">"c7602"</definedName>
    <definedName name="IQ_PERSONAL_CONSUMER_SPENDING_DURABLE_APR_FC" hidden="1">"c8482"</definedName>
    <definedName name="IQ_PERSONAL_CONSUMER_SPENDING_DURABLE_FC" hidden="1">"c7822"</definedName>
    <definedName name="IQ_PERSONAL_CONSUMER_SPENDING_DURABLE_POP" hidden="1">"c7162"</definedName>
    <definedName name="IQ_PERSONAL_CONSUMER_SPENDING_DURABLE_POP_FC" hidden="1">"c8042"</definedName>
    <definedName name="IQ_PERSONAL_CONSUMER_SPENDING_DURABLE_YOY" hidden="1">"c7382"</definedName>
    <definedName name="IQ_PERSONAL_CONSUMER_SPENDING_DURABLE_YOY_FC" hidden="1">"c8262"</definedName>
    <definedName name="IQ_PERSONAL_CONSUMER_SPENDING_NONDURABLE" hidden="1">"c6940"</definedName>
    <definedName name="IQ_PERSONAL_CONSUMER_SPENDING_NONDURABLE_APR" hidden="1">"c7600"</definedName>
    <definedName name="IQ_PERSONAL_CONSUMER_SPENDING_NONDURABLE_APR_FC" hidden="1">"c8480"</definedName>
    <definedName name="IQ_PERSONAL_CONSUMER_SPENDING_NONDURABLE_FC" hidden="1">"c7820"</definedName>
    <definedName name="IQ_PERSONAL_CONSUMER_SPENDING_NONDURABLE_POP" hidden="1">"c7160"</definedName>
    <definedName name="IQ_PERSONAL_CONSUMER_SPENDING_NONDURABLE_POP_FC" hidden="1">"c8040"</definedName>
    <definedName name="IQ_PERSONAL_CONSUMER_SPENDING_NONDURABLE_YOY" hidden="1">"c7380"</definedName>
    <definedName name="IQ_PERSONAL_CONSUMER_SPENDING_NONDURABLE_YOY_FC" hidden="1">"c8260"</definedName>
    <definedName name="IQ_PERSONAL_CONSUMER_SPENDING_REAL" hidden="1">"c6994"</definedName>
    <definedName name="IQ_PERSONAL_CONSUMER_SPENDING_REAL_APR" hidden="1">"c7654"</definedName>
    <definedName name="IQ_PERSONAL_CONSUMER_SPENDING_REAL_APR_FC" hidden="1">"c8534"</definedName>
    <definedName name="IQ_PERSONAL_CONSUMER_SPENDING_REAL_FC" hidden="1">"c7874"</definedName>
    <definedName name="IQ_PERSONAL_CONSUMER_SPENDING_REAL_POP" hidden="1">"c7214"</definedName>
    <definedName name="IQ_PERSONAL_CONSUMER_SPENDING_REAL_POP_FC" hidden="1">"c8094"</definedName>
    <definedName name="IQ_PERSONAL_CONSUMER_SPENDING_REAL_YOY" hidden="1">"c7434"</definedName>
    <definedName name="IQ_PERSONAL_CONSUMER_SPENDING_REAL_YOY_FC" hidden="1">"c8314"</definedName>
    <definedName name="IQ_PERSONAL_CONSUMER_SPENDING_SERVICES" hidden="1">"c6941"</definedName>
    <definedName name="IQ_PERSONAL_CONSUMER_SPENDING_SERVICES_APR" hidden="1">"c7601"</definedName>
    <definedName name="IQ_PERSONAL_CONSUMER_SPENDING_SERVICES_APR_FC" hidden="1">"c8481"</definedName>
    <definedName name="IQ_PERSONAL_CONSUMER_SPENDING_SERVICES_FC" hidden="1">"c7821"</definedName>
    <definedName name="IQ_PERSONAL_CONSUMER_SPENDING_SERVICES_POP" hidden="1">"c7161"</definedName>
    <definedName name="IQ_PERSONAL_CONSUMER_SPENDING_SERVICES_POP_FC" hidden="1">"c8041"</definedName>
    <definedName name="IQ_PERSONAL_CONSUMER_SPENDING_SERVICES_YOY" hidden="1">"c7381"</definedName>
    <definedName name="IQ_PERSONAL_CONSUMER_SPENDING_SERVICES_YOY_FC" hidden="1">"c8261"</definedName>
    <definedName name="IQ_PERSONAL_INCOME" hidden="1">"c6943"</definedName>
    <definedName name="IQ_PERSONAL_INCOME_APR" hidden="1">"c7603"</definedName>
    <definedName name="IQ_PERSONAL_INCOME_APR_FC" hidden="1">"c8483"</definedName>
    <definedName name="IQ_PERSONAL_INCOME_FC" hidden="1">"c7823"</definedName>
    <definedName name="IQ_PERSONAL_INCOME_POP" hidden="1">"c7163"</definedName>
    <definedName name="IQ_PERSONAL_INCOME_POP_FC" hidden="1">"c8043"</definedName>
    <definedName name="IQ_PERSONAL_INCOME_SAAR" hidden="1">"c6944"</definedName>
    <definedName name="IQ_PERSONAL_INCOME_SAAR_APR" hidden="1">"c7604"</definedName>
    <definedName name="IQ_PERSONAL_INCOME_SAAR_APR_FC" hidden="1">"c8484"</definedName>
    <definedName name="IQ_PERSONAL_INCOME_SAAR_FC" hidden="1">"c7824"</definedName>
    <definedName name="IQ_PERSONAL_INCOME_SAAR_POP" hidden="1">"c7164"</definedName>
    <definedName name="IQ_PERSONAL_INCOME_SAAR_POP_FC" hidden="1">"c8044"</definedName>
    <definedName name="IQ_PERSONAL_INCOME_SAAR_YOY" hidden="1">"c7384"</definedName>
    <definedName name="IQ_PERSONAL_INCOME_SAAR_YOY_FC" hidden="1">"c8264"</definedName>
    <definedName name="IQ_PERSONAL_INCOME_USD_APR_FC" hidden="1">"c11885"</definedName>
    <definedName name="IQ_PERSONAL_INCOME_USD_FC" hidden="1">"c11882"</definedName>
    <definedName name="IQ_PERSONAL_INCOME_USD_POP_FC" hidden="1">"c11883"</definedName>
    <definedName name="IQ_PERSONAL_INCOME_USD_YOY_FC" hidden="1">"c11884"</definedName>
    <definedName name="IQ_PERSONAL_INCOME_YOY" hidden="1">"c7383"</definedName>
    <definedName name="IQ_PERSONAL_INCOME_YOY_FC" hidden="1">"c8263"</definedName>
    <definedName name="IQ_PERSONNEL_EXP_AVG_ASSETS_FFIEC" hidden="1">"c13371"</definedName>
    <definedName name="IQ_PERSONNEL_EXP_OPERATING_INC_FFIEC" hidden="1">"c13379"</definedName>
    <definedName name="IQ_PERTYPE" hidden="1">"c1611"</definedName>
    <definedName name="IQ_PHARMBIO_NUMBER_LICENSED_PATENT_APP" hidden="1">"c10018"</definedName>
    <definedName name="IQ_PHARMBIO_NUMBER_LICENSED_PATENTS" hidden="1">"c10017"</definedName>
    <definedName name="IQ_PHARMBIO_NUMBER_PATENTS" hidden="1">"c10015"</definedName>
    <definedName name="IQ_PHARMBIO_NUMBER_PROD__APPROVED_DURING_PERIOD" hidden="1">"c12750"</definedName>
    <definedName name="IQ_PHARMBIO_NUMBER_PROD__CLINICAL_DEV" hidden="1">"c12745"</definedName>
    <definedName name="IQ_PHARMBIO_NUMBER_PROD__LAUNCHED_DURING_PERIOD" hidden="1">"c12751"</definedName>
    <definedName name="IQ_PHARMBIO_NUMBER_PROD__PHASE_I" hidden="1">"c12746"</definedName>
    <definedName name="IQ_PHARMBIO_NUMBER_PROD__PHASE_II" hidden="1">"c12747"</definedName>
    <definedName name="IQ_PHARMBIO_NUMBER_PROD__PHASE_III" hidden="1">"c12748"</definedName>
    <definedName name="IQ_PHARMBIO_NUMBER_PROD__PRE_CLINICAL_TRIALS" hidden="1">"c12744"</definedName>
    <definedName name="IQ_PHARMBIO_NUMBER_PROD__PRE_REGISTRATION" hidden="1">"c12749"</definedName>
    <definedName name="IQ_PHARMBIO_NUMBER_PROD__RESEARCH_DEV" hidden="1">"c12743"</definedName>
    <definedName name="IQ_PHARMBIO_NUMBER_PROD_APPROVED_DURING_PERIOD" hidden="1">"c10027"</definedName>
    <definedName name="IQ_PHARMBIO_NUMBER_PROD_CLINICAL_DEV" hidden="1">"c10022"</definedName>
    <definedName name="IQ_PHARMBIO_NUMBER_PROD_DISCOVERY_RESEARCH" hidden="1">"c10019"</definedName>
    <definedName name="IQ_PHARMBIO_NUMBER_PROD_LAUNCHED_DURING_PERIOD" hidden="1">"c10028"</definedName>
    <definedName name="IQ_PHARMBIO_NUMBER_PROD_PHASE_I" hidden="1">"c10023"</definedName>
    <definedName name="IQ_PHARMBIO_NUMBER_PROD_PHASE_II" hidden="1">"c10024"</definedName>
    <definedName name="IQ_PHARMBIO_NUMBER_PROD_PHASE_III" hidden="1">"c10025"</definedName>
    <definedName name="IQ_PHARMBIO_NUMBER_PROD_PRE_CLINICAL_TRIALS" hidden="1">"c10021"</definedName>
    <definedName name="IQ_PHARMBIO_NUMBER_PROD_PRE_REGISTRATION" hidden="1">"c10026"</definedName>
    <definedName name="IQ_PHARMBIO_NUMBER_PROD_RESEARCH_DEV" hidden="1">"c10020"</definedName>
    <definedName name="IQ_PHARMBIO_PATENT_APP" hidden="1">"c10016"</definedName>
    <definedName name="IQ_PHILADELPHIA_FED_DIFFUSION_INDEX" hidden="1">"c6945"</definedName>
    <definedName name="IQ_PHILADELPHIA_FED_DIFFUSION_INDEX_APR" hidden="1">"c7605"</definedName>
    <definedName name="IQ_PHILADELPHIA_FED_DIFFUSION_INDEX_APR_FC" hidden="1">"c8485"</definedName>
    <definedName name="IQ_PHILADELPHIA_FED_DIFFUSION_INDEX_FC" hidden="1">"c7825"</definedName>
    <definedName name="IQ_PHILADELPHIA_FED_DIFFUSION_INDEX_POP" hidden="1">"c7165"</definedName>
    <definedName name="IQ_PHILADELPHIA_FED_DIFFUSION_INDEX_POP_FC" hidden="1">"c8045"</definedName>
    <definedName name="IQ_PHILADELPHIA_FED_DIFFUSION_INDEX_YOY" hidden="1">"c7385"</definedName>
    <definedName name="IQ_PHILADELPHIA_FED_DIFFUSION_INDEX_YOY_FC" hidden="1">"c8265"</definedName>
    <definedName name="IQ_PLEDGED_SEC_INVEST_SECURITIES_FFIEC" hidden="1">"c13467"</definedName>
    <definedName name="IQ_PLEDGED_SECURITIES_FDIC" hidden="1">"c6401"</definedName>
    <definedName name="IQ_PLL" hidden="1">"c2114"</definedName>
    <definedName name="IQ_PMAC_DIFFUSION_INDEX" hidden="1">"c6946"</definedName>
    <definedName name="IQ_PMAC_DIFFUSION_INDEX_APR" hidden="1">"c7606"</definedName>
    <definedName name="IQ_PMAC_DIFFUSION_INDEX_APR_FC" hidden="1">"c8486"</definedName>
    <definedName name="IQ_PMAC_DIFFUSION_INDEX_FC" hidden="1">"c7826"</definedName>
    <definedName name="IQ_PMAC_DIFFUSION_INDEX_POP" hidden="1">"c7166"</definedName>
    <definedName name="IQ_PMAC_DIFFUSION_INDEX_POP_FC" hidden="1">"c8046"</definedName>
    <definedName name="IQ_PMAC_DIFFUSION_INDEX_YOY" hidden="1">"c7386"</definedName>
    <definedName name="IQ_PMAC_DIFFUSION_INDEX_YOY_FC" hidden="1">"c8266"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LICYHOLDER_BENEFITS_LH_FFIEC" hidden="1">"c13107"</definedName>
    <definedName name="IQ_POOL_AMT_ORIGINAL" hidden="1">"c8970"</definedName>
    <definedName name="IQ_POOL_NAME" hidden="1">"c8967"</definedName>
    <definedName name="IQ_POOL_NUMBER" hidden="1">"c8968"</definedName>
    <definedName name="IQ_POOL_TYPE" hidden="1">"c8969"</definedName>
    <definedName name="IQ_POSITIVE_FAIR_VALUE_DERIVATIVES_BENEFICIARY_FFIEC" hidden="1">"c13123"</definedName>
    <definedName name="IQ_POSITIVE_FAIR_VALUE_DERIVATIVES_GUARANTOR_FFIEC" hidden="1">"c13116"</definedName>
    <definedName name="IQ_POST_RETIRE_EXP" hidden="1">"c1039"</definedName>
    <definedName name="IQ_POSTAGE_FFIEC" hidden="1">"c13051"</definedName>
    <definedName name="IQ_POSTPAID_CHURN" hidden="1">"c2121"</definedName>
    <definedName name="IQ_POSTPAID_SUBS" hidden="1">"c2118"</definedName>
    <definedName name="IQ_POTENTIAL_UPSIDE" hidden="1">"c1855"</definedName>
    <definedName name="IQ_POTENTIAL_UPSIDE_CIQ" hidden="1">"c3799"</definedName>
    <definedName name="IQ_POTENTIAL_UPSIDE_REUT" hidden="1">"c3968"</definedName>
    <definedName name="IQ_POTENTIAL_UPSIDE_THOM" hidden="1">"c5279"</definedName>
    <definedName name="IQ_PP_ATTRIB_ORE_RESERVES_ALUM" hidden="1">"c9218"</definedName>
    <definedName name="IQ_PP_ATTRIB_ORE_RESERVES_COP" hidden="1">"c9162"</definedName>
    <definedName name="IQ_PP_ATTRIB_ORE_RESERVES_DIAM" hidden="1">"c9642"</definedName>
    <definedName name="IQ_PP_ATTRIB_ORE_RESERVES_GOLD" hidden="1">"c9003"</definedName>
    <definedName name="IQ_PP_ATTRIB_ORE_RESERVES_IRON" hidden="1">"c9377"</definedName>
    <definedName name="IQ_PP_ATTRIB_ORE_RESERVES_LEAD" hidden="1">"c9430"</definedName>
    <definedName name="IQ_PP_ATTRIB_ORE_RESERVES_MANG" hidden="1">"c9483"</definedName>
    <definedName name="IQ_PP_ATTRIB_ORE_RESERVES_MOLYB" hidden="1">"c9695"</definedName>
    <definedName name="IQ_PP_ATTRIB_ORE_RESERVES_NICK" hidden="1">"c9271"</definedName>
    <definedName name="IQ_PP_ATTRIB_ORE_RESERVES_PLAT" hidden="1">"c9109"</definedName>
    <definedName name="IQ_PP_ATTRIB_ORE_RESERVES_SILVER" hidden="1">"c9056"</definedName>
    <definedName name="IQ_PP_ATTRIB_ORE_RESERVES_TITAN" hidden="1">"c9536"</definedName>
    <definedName name="IQ_PP_ATTRIB_ORE_RESERVES_URAN" hidden="1">"c9589"</definedName>
    <definedName name="IQ_PP_ATTRIB_ORE_RESERVES_ZINC" hidden="1">"c9324"</definedName>
    <definedName name="IQ_PP_ORE_RESERVES_ALUM" hidden="1">"c9211"</definedName>
    <definedName name="IQ_PP_ORE_RESERVES_COP" hidden="1">"c9155"</definedName>
    <definedName name="IQ_PP_ORE_RESERVES_DIAM" hidden="1">"c9635"</definedName>
    <definedName name="IQ_PP_ORE_RESERVES_GOLD" hidden="1">"c8996"</definedName>
    <definedName name="IQ_PP_ORE_RESERVES_IRON" hidden="1">"c9370"</definedName>
    <definedName name="IQ_PP_ORE_RESERVES_LEAD" hidden="1">"c9423"</definedName>
    <definedName name="IQ_PP_ORE_RESERVES_MANG" hidden="1">"c9476"</definedName>
    <definedName name="IQ_PP_ORE_RESERVES_MOLYB" hidden="1">"c9688"</definedName>
    <definedName name="IQ_PP_ORE_RESERVES_NICK" hidden="1">"c9264"</definedName>
    <definedName name="IQ_PP_ORE_RESERVES_PLAT" hidden="1">"c9102"</definedName>
    <definedName name="IQ_PP_ORE_RESERVES_SILVER" hidden="1">"c9049"</definedName>
    <definedName name="IQ_PP_ORE_RESERVES_TITAN" hidden="1">"c9529"</definedName>
    <definedName name="IQ_PP_ORE_RESERVES_URAN" hidden="1">"c9582"</definedName>
    <definedName name="IQ_PP_ORE_RESERVES_ZINC" hidden="1">"c9317"</definedName>
    <definedName name="IQ_PP_RECOV_ATTRIB_RESERVES_ALUM" hidden="1">"c9221"</definedName>
    <definedName name="IQ_PP_RECOV_ATTRIB_RESERVES_COAL" hidden="1">"c9805"</definedName>
    <definedName name="IQ_PP_RECOV_ATTRIB_RESERVES_COP" hidden="1">"c9165"</definedName>
    <definedName name="IQ_PP_RECOV_ATTRIB_RESERVES_DIAM" hidden="1">"c9645"</definedName>
    <definedName name="IQ_PP_RECOV_ATTRIB_RESERVES_GOLD" hidden="1">"c9006"</definedName>
    <definedName name="IQ_PP_RECOV_ATTRIB_RESERVES_IRON" hidden="1">"c9380"</definedName>
    <definedName name="IQ_PP_RECOV_ATTRIB_RESERVES_LEAD" hidden="1">"c9433"</definedName>
    <definedName name="IQ_PP_RECOV_ATTRIB_RESERVES_MANG" hidden="1">"c9486"</definedName>
    <definedName name="IQ_PP_RECOV_ATTRIB_RESERVES_MET_COAL" hidden="1">"c9745"</definedName>
    <definedName name="IQ_PP_RECOV_ATTRIB_RESERVES_MOLYB" hidden="1">"c9698"</definedName>
    <definedName name="IQ_PP_RECOV_ATTRIB_RESERVES_NICK" hidden="1">"c9274"</definedName>
    <definedName name="IQ_PP_RECOV_ATTRIB_RESERVES_PLAT" hidden="1">"c9112"</definedName>
    <definedName name="IQ_PP_RECOV_ATTRIB_RESERVES_SILVER" hidden="1">"c9059"</definedName>
    <definedName name="IQ_PP_RECOV_ATTRIB_RESERVES_STEAM" hidden="1">"c9775"</definedName>
    <definedName name="IQ_PP_RECOV_ATTRIB_RESERVES_TITAN" hidden="1">"c9539"</definedName>
    <definedName name="IQ_PP_RECOV_ATTRIB_RESERVES_URAN" hidden="1">"c9592"</definedName>
    <definedName name="IQ_PP_RECOV_ATTRIB_RESERVES_ZINC" hidden="1">"c9327"</definedName>
    <definedName name="IQ_PP_RECOV_RESERVES_ALUM" hidden="1">"c9215"</definedName>
    <definedName name="IQ_PP_RECOV_RESERVES_COAL" hidden="1">"c9802"</definedName>
    <definedName name="IQ_PP_RECOV_RESERVES_COP" hidden="1">"c9159"</definedName>
    <definedName name="IQ_PP_RECOV_RESERVES_DIAM" hidden="1">"c9639"</definedName>
    <definedName name="IQ_PP_RECOV_RESERVES_GOLD" hidden="1">"c9000"</definedName>
    <definedName name="IQ_PP_RECOV_RESERVES_IRON" hidden="1">"c9374"</definedName>
    <definedName name="IQ_PP_RECOV_RESERVES_LEAD" hidden="1">"c9427"</definedName>
    <definedName name="IQ_PP_RECOV_RESERVES_MANG" hidden="1">"c9480"</definedName>
    <definedName name="IQ_PP_RECOV_RESERVES_MET_COAL" hidden="1">"c9742"</definedName>
    <definedName name="IQ_PP_RECOV_RESERVES_MOLYB" hidden="1">"c9692"</definedName>
    <definedName name="IQ_PP_RECOV_RESERVES_NICK" hidden="1">"c9268"</definedName>
    <definedName name="IQ_PP_RECOV_RESERVES_PLAT" hidden="1">"c9106"</definedName>
    <definedName name="IQ_PP_RECOV_RESERVES_SILVER" hidden="1">"c9053"</definedName>
    <definedName name="IQ_PP_RECOV_RESERVES_STEAM" hidden="1">"c9772"</definedName>
    <definedName name="IQ_PP_RECOV_RESERVES_TITAN" hidden="1">"c9533"</definedName>
    <definedName name="IQ_PP_RECOV_RESERVES_URAN" hidden="1">"c9586"</definedName>
    <definedName name="IQ_PP_RECOV_RESERVES_ZINC" hidden="1">"c9321"</definedName>
    <definedName name="IQ_PP_RESERVES_CALORIFIC_VALUE_COAL" hidden="1">"c9799"</definedName>
    <definedName name="IQ_PP_RESERVES_CALORIFIC_VALUE_MET_COAL" hidden="1">"c9739"</definedName>
    <definedName name="IQ_PP_RESERVES_CALORIFIC_VALUE_STEAM" hidden="1">"c9769"</definedName>
    <definedName name="IQ_PP_RESERVES_GRADE_ALUM" hidden="1">"c9212"</definedName>
    <definedName name="IQ_PP_RESERVES_GRADE_COP" hidden="1">"c9156"</definedName>
    <definedName name="IQ_PP_RESERVES_GRADE_DIAM" hidden="1">"c9636"</definedName>
    <definedName name="IQ_PP_RESERVES_GRADE_GOLD" hidden="1">"c8997"</definedName>
    <definedName name="IQ_PP_RESERVES_GRADE_IRON" hidden="1">"c9371"</definedName>
    <definedName name="IQ_PP_RESERVES_GRADE_LEAD" hidden="1">"c9424"</definedName>
    <definedName name="IQ_PP_RESERVES_GRADE_MANG" hidden="1">"c9477"</definedName>
    <definedName name="IQ_PP_RESERVES_GRADE_MOLYB" hidden="1">"c9689"</definedName>
    <definedName name="IQ_PP_RESERVES_GRADE_NICK" hidden="1">"c9265"</definedName>
    <definedName name="IQ_PP_RESERVES_GRADE_PLAT" hidden="1">"c9103"</definedName>
    <definedName name="IQ_PP_RESERVES_GRADE_SILVER" hidden="1">"c9050"</definedName>
    <definedName name="IQ_PP_RESERVES_GRADE_TITAN" hidden="1">"c9530"</definedName>
    <definedName name="IQ_PP_RESERVES_GRADE_URAN" hidden="1">"c9583"</definedName>
    <definedName name="IQ_PP_RESERVES_GRADE_ZINC" hidden="1">"c9318"</definedName>
    <definedName name="IQ_PPI" hidden="1">"c6810"</definedName>
    <definedName name="IQ_PPI_APR" hidden="1">"c7470"</definedName>
    <definedName name="IQ_PPI_APR_FC" hidden="1">"c8350"</definedName>
    <definedName name="IQ_PPI_CORE" hidden="1">"c6840"</definedName>
    <definedName name="IQ_PPI_CORE_APR" hidden="1">"c7500"</definedName>
    <definedName name="IQ_PPI_CORE_APR_FC" hidden="1">"c8380"</definedName>
    <definedName name="IQ_PPI_CORE_FC" hidden="1">"c7720"</definedName>
    <definedName name="IQ_PPI_CORE_POP" hidden="1">"c7060"</definedName>
    <definedName name="IQ_PPI_CORE_POP_FC" hidden="1">"c7940"</definedName>
    <definedName name="IQ_PPI_CORE_YOY" hidden="1">"c7280"</definedName>
    <definedName name="IQ_PPI_CORE_YOY_FC" hidden="1">"c8160"</definedName>
    <definedName name="IQ_PPI_FC" hidden="1">"c7690"</definedName>
    <definedName name="IQ_PPI_POP" hidden="1">"c7030"</definedName>
    <definedName name="IQ_PPI_POP_FC" hidden="1">"c7910"</definedName>
    <definedName name="IQ_PPI_YOY" hidden="1">"c7250"</definedName>
    <definedName name="IQ_PPI_YOY_FC" hidden="1">"c8130"</definedName>
    <definedName name="IQ_PRE_OPEN_COST" hidden="1">"c1040"</definedName>
    <definedName name="IQ_PRE_TAX_ACT_OR_EST" hidden="1">"c2221"</definedName>
    <definedName name="IQ_PRE_TAX_ACT_OR_EST_CIQ" hidden="1">"c5064"</definedName>
    <definedName name="IQ_PRE_TAX_ACT_OR_EST_REUT" hidden="1">"c5467"</definedName>
    <definedName name="IQ_PRE_TAX_ACT_OR_EST_THOM" hidden="1">"c5305"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STOCK_FFIEC" hidden="1">"c12875"</definedName>
    <definedName name="IQ_PREF_TOT" hidden="1">"c1415"</definedName>
    <definedName name="IQ_PREFERRED_DEPOSITS_FFIEC" hidden="1">"c15312"</definedName>
    <definedName name="IQ_PREFERRED_FDIC" hidden="1">"c6349"</definedName>
    <definedName name="IQ_PREFERRED_LIST" hidden="1">"c13506"</definedName>
    <definedName name="IQ_PREMISES_EQUIPMENT_FDIC" hidden="1">"c6577"</definedName>
    <definedName name="IQ_PREMISES_FIXED_ASSETS_CAP_LEASES_FFIEC" hidden="1">"c12830"</definedName>
    <definedName name="IQ_PREMIUM_INSURANCE_CREDIT_FFIEC" hidden="1">"c13070"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SIDENT_ID" hidden="1">"c15216"</definedName>
    <definedName name="IQ_PRESIDENT_NAME" hidden="1">"c15215"</definedName>
    <definedName name="IQ_PRETAX_GW_INC_DET_EST_CIQ" hidden="1">"c12116"</definedName>
    <definedName name="IQ_PRETAX_GW_INC_DET_EST_CURRENCY_CIQ" hidden="1">"c12507"</definedName>
    <definedName name="IQ_PRETAX_GW_INC_DET_EST_DATE_CIQ" hidden="1">"c12262"</definedName>
    <definedName name="IQ_PRETAX_GW_INC_DET_EST_INCL_CIQ" hidden="1">"c12390"</definedName>
    <definedName name="IQ_PRETAX_GW_INC_DET_EST_ORIGIN_CIQ" hidden="1">"c12631"</definedName>
    <definedName name="IQ_PRETAX_GW_INC_EST" hidden="1">"c1702"</definedName>
    <definedName name="IQ_PRETAX_GW_INC_EST_CIQ" hidden="1">"c4688"</definedName>
    <definedName name="IQ_PRETAX_GW_INC_EST_REUT" hidden="1">"c5354"</definedName>
    <definedName name="IQ_PRETAX_GW_INC_HIGH_EST" hidden="1">"c1704"</definedName>
    <definedName name="IQ_PRETAX_GW_INC_HIGH_EST_CIQ" hidden="1">"c4690"</definedName>
    <definedName name="IQ_PRETAX_GW_INC_HIGH_EST_REUT" hidden="1">"c5356"</definedName>
    <definedName name="IQ_PRETAX_GW_INC_LOW_EST" hidden="1">"c1705"</definedName>
    <definedName name="IQ_PRETAX_GW_INC_LOW_EST_CIQ" hidden="1">"c4691"</definedName>
    <definedName name="IQ_PRETAX_GW_INC_LOW_EST_REUT" hidden="1">"c5357"</definedName>
    <definedName name="IQ_PRETAX_GW_INC_MEDIAN_EST" hidden="1">"c1703"</definedName>
    <definedName name="IQ_PRETAX_GW_INC_MEDIAN_EST_CIQ" hidden="1">"c4689"</definedName>
    <definedName name="IQ_PRETAX_GW_INC_MEDIAN_EST_REUT" hidden="1">"c5355"</definedName>
    <definedName name="IQ_PRETAX_GW_INC_NUM_EST" hidden="1">"c1706"</definedName>
    <definedName name="IQ_PRETAX_GW_INC_NUM_EST_CIQ" hidden="1">"c4692"</definedName>
    <definedName name="IQ_PRETAX_GW_INC_NUM_EST_REUT" hidden="1">"c5358"</definedName>
    <definedName name="IQ_PRETAX_GW_INC_STDDEV_EST" hidden="1">"c1707"</definedName>
    <definedName name="IQ_PRETAX_GW_INC_STDDEV_EST_CIQ" hidden="1">"c4693"</definedName>
    <definedName name="IQ_PRETAX_GW_INC_STDDEV_EST_REUT" hidden="1">"c5359"</definedName>
    <definedName name="IQ_PRETAX_INC_AFTER_CAP_ALLOCATION_FOREIGN_FFIEC" hidden="1">"c15390"</definedName>
    <definedName name="IQ_PRETAX_INC_BEFORE_CAP_ALLOCATION_FOREIGN_FFIEC" hidden="1">"c15388"</definedName>
    <definedName name="IQ_PRETAX_INC_DET_EST" hidden="1">"c12055"</definedName>
    <definedName name="IQ_PRETAX_INC_DET_EST_CIQ" hidden="1">"c12115"</definedName>
    <definedName name="IQ_PRETAX_INC_DET_EST_CURRENCY" hidden="1">"c12462"</definedName>
    <definedName name="IQ_PRETAX_INC_DET_EST_CURRENCY_CIQ" hidden="1">"c12506"</definedName>
    <definedName name="IQ_PRETAX_INC_DET_EST_CURRENCY_THOM" hidden="1">"c12483"</definedName>
    <definedName name="IQ_PRETAX_INC_DET_EST_DATE" hidden="1">"c12208"</definedName>
    <definedName name="IQ_PRETAX_INC_DET_EST_DATE_CIQ" hidden="1">"c12261"</definedName>
    <definedName name="IQ_PRETAX_INC_DET_EST_DATE_THOM" hidden="1">"c12234"</definedName>
    <definedName name="IQ_PRETAX_INC_DET_EST_INCL" hidden="1">"c12345"</definedName>
    <definedName name="IQ_PRETAX_INC_DET_EST_INCL_CIQ" hidden="1">"c12389"</definedName>
    <definedName name="IQ_PRETAX_INC_DET_EST_INCL_THOM" hidden="1">"c12366"</definedName>
    <definedName name="IQ_PRETAX_INC_DET_EST_ORIGIN" hidden="1">"c12771"</definedName>
    <definedName name="IQ_PRETAX_INC_DET_EST_ORIGIN_CIQ" hidden="1">"c12630"</definedName>
    <definedName name="IQ_PRETAX_INC_DET_EST_ORIGIN_THOM" hidden="1">"c12604"</definedName>
    <definedName name="IQ_PRETAX_INC_DET_EST_THOM" hidden="1">"c12084"</definedName>
    <definedName name="IQ_PRETAX_INC_EST" hidden="1">"c1695"</definedName>
    <definedName name="IQ_PRETAX_INC_EST_CIQ" hidden="1">"c4681"</definedName>
    <definedName name="IQ_PRETAX_INC_EST_REUT" hidden="1">"c5347"</definedName>
    <definedName name="IQ_PRETAX_INC_EST_THOM" hidden="1">"c5119"</definedName>
    <definedName name="IQ_PRETAX_INC_HIGH_EST" hidden="1">"c1697"</definedName>
    <definedName name="IQ_PRETAX_INC_HIGH_EST_CIQ" hidden="1">"c4683"</definedName>
    <definedName name="IQ_PRETAX_INC_HIGH_EST_REUT" hidden="1">"c5349"</definedName>
    <definedName name="IQ_PRETAX_INC_HIGH_EST_THOM" hidden="1">"c5121"</definedName>
    <definedName name="IQ_PRETAX_INC_LOW_EST" hidden="1">"c1698"</definedName>
    <definedName name="IQ_PRETAX_INC_LOW_EST_CIQ" hidden="1">"c4684"</definedName>
    <definedName name="IQ_PRETAX_INC_LOW_EST_REUT" hidden="1">"c5350"</definedName>
    <definedName name="IQ_PRETAX_INC_LOW_EST_THOM" hidden="1">"c5122"</definedName>
    <definedName name="IQ_PRETAX_INC_MEDIAN_EST" hidden="1">"c1696"</definedName>
    <definedName name="IQ_PRETAX_INC_MEDIAN_EST_CIQ" hidden="1">"c4682"</definedName>
    <definedName name="IQ_PRETAX_INC_MEDIAN_EST_REUT" hidden="1">"c5348"</definedName>
    <definedName name="IQ_PRETAX_INC_MEDIAN_EST_THOM" hidden="1">"c5120"</definedName>
    <definedName name="IQ_PRETAX_INC_NUM_EST" hidden="1">"c1699"</definedName>
    <definedName name="IQ_PRETAX_INC_NUM_EST_CIQ" hidden="1">"c4685"</definedName>
    <definedName name="IQ_PRETAX_INC_NUM_EST_REUT" hidden="1">"c5351"</definedName>
    <definedName name="IQ_PRETAX_INC_NUM_EST_THOM" hidden="1">"c5123"</definedName>
    <definedName name="IQ_PRETAX_INC_STDDEV_EST" hidden="1">"c1700"</definedName>
    <definedName name="IQ_PRETAX_INC_STDDEV_EST_CIQ" hidden="1">"c4686"</definedName>
    <definedName name="IQ_PRETAX_INC_STDDEV_EST_REUT" hidden="1">"c5352"</definedName>
    <definedName name="IQ_PRETAX_INC_STDDEV_EST_THOM" hidden="1">"c5124"</definedName>
    <definedName name="IQ_PRETAX_OPERATING_INC_AVG_ASSETS_FFIEC" hidden="1">"c13365"</definedName>
    <definedName name="IQ_PRETAX_REPORT_INC_DET_EST_CIQ" hidden="1">"c12117"</definedName>
    <definedName name="IQ_PRETAX_REPORT_INC_DET_EST_CURRENCY_CIQ" hidden="1">"c12508"</definedName>
    <definedName name="IQ_PRETAX_REPORT_INC_DET_EST_DATE_CIQ" hidden="1">"c12263"</definedName>
    <definedName name="IQ_PRETAX_REPORT_INC_DET_EST_INCL_CIQ" hidden="1">"c12391"</definedName>
    <definedName name="IQ_PRETAX_REPORT_INC_DET_EST_ORIGIN_CIQ" hidden="1">"c12719"</definedName>
    <definedName name="IQ_PRETAX_REPORT_INC_EST" hidden="1">"c1709"</definedName>
    <definedName name="IQ_PRETAX_REPORT_INC_EST_CIQ" hidden="1">"c4695"</definedName>
    <definedName name="IQ_PRETAX_REPORT_INC_EST_REUT" hidden="1">"c5361"</definedName>
    <definedName name="IQ_PRETAX_REPORT_INC_HIGH_EST" hidden="1">"c1711"</definedName>
    <definedName name="IQ_PRETAX_REPORT_INC_HIGH_EST_CIQ" hidden="1">"c4697"</definedName>
    <definedName name="IQ_PRETAX_REPORT_INC_HIGH_EST_REUT" hidden="1">"c5363"</definedName>
    <definedName name="IQ_PRETAX_REPORT_INC_LOW_EST" hidden="1">"c1712"</definedName>
    <definedName name="IQ_PRETAX_REPORT_INC_LOW_EST_CIQ" hidden="1">"c4698"</definedName>
    <definedName name="IQ_PRETAX_REPORT_INC_LOW_EST_REUT" hidden="1">"c5364"</definedName>
    <definedName name="IQ_PRETAX_REPORT_INC_MEDIAN_EST" hidden="1">"c1710"</definedName>
    <definedName name="IQ_PRETAX_REPORT_INC_MEDIAN_EST_CIQ" hidden="1">"c4696"</definedName>
    <definedName name="IQ_PRETAX_REPORT_INC_MEDIAN_EST_REUT" hidden="1">"c5362"</definedName>
    <definedName name="IQ_PRETAX_REPORT_INC_NUM_EST" hidden="1">"c1713"</definedName>
    <definedName name="IQ_PRETAX_REPORT_INC_NUM_EST_CIQ" hidden="1">"c4699"</definedName>
    <definedName name="IQ_PRETAX_REPORT_INC_NUM_EST_REUT" hidden="1">"c5365"</definedName>
    <definedName name="IQ_PRETAX_REPORT_INC_STDDEV_EST" hidden="1">"c1714"</definedName>
    <definedName name="IQ_PRETAX_REPORT_INC_STDDEV_EST_CIQ" hidden="1">"c4700"</definedName>
    <definedName name="IQ_PRETAX_REPORT_INC_STDDEV_EST_REUT" hidden="1">"c5366"</definedName>
    <definedName name="IQ_PRETAX_RETURN_ASSETS_FDIC" hidden="1">"c6731"</definedName>
    <definedName name="IQ_PREV_MONTHLY_FACTOR" hidden="1">"c8973"</definedName>
    <definedName name="IQ_PREV_MONTHLY_FACTOR_DATE" hidden="1">"c8974"</definedName>
    <definedName name="IQ_PRICE_CFPS_FWD" hidden="1">"c2237"</definedName>
    <definedName name="IQ_PRICE_CFPS_FWD_CIQ" hidden="1">"c4046"</definedName>
    <definedName name="IQ_PRICE_CFPS_FWD_REUT" hidden="1">"c4053"</definedName>
    <definedName name="IQ_PRICE_CFPS_FWD_THOM" hidden="1">"c4060"</definedName>
    <definedName name="IQ_PRICE_OVER_BVPS" hidden="1">"c1412"</definedName>
    <definedName name="IQ_PRICE_OVER_LTM_EPS" hidden="1">"c1413"</definedName>
    <definedName name="IQ_PRICE_PAID_FARM_INDEX" hidden="1">"c6948"</definedName>
    <definedName name="IQ_PRICE_PAID_FARM_INDEX_APR" hidden="1">"c7608"</definedName>
    <definedName name="IQ_PRICE_PAID_FARM_INDEX_APR_FC" hidden="1">"c8488"</definedName>
    <definedName name="IQ_PRICE_PAID_FARM_INDEX_FC" hidden="1">"c7828"</definedName>
    <definedName name="IQ_PRICE_PAID_FARM_INDEX_POP" hidden="1">"c7168"</definedName>
    <definedName name="IQ_PRICE_PAID_FARM_INDEX_POP_FC" hidden="1">"c8048"</definedName>
    <definedName name="IQ_PRICE_PAID_FARM_INDEX_YOY" hidden="1">"c7388"</definedName>
    <definedName name="IQ_PRICE_PAID_FARM_INDEX_YOY_FC" hidden="1">"c8268"</definedName>
    <definedName name="IQ_PRICE_TARGET" hidden="1">"c82"</definedName>
    <definedName name="IQ_PRICE_TARGET_BOTTOM_UP" hidden="1">"c5486"</definedName>
    <definedName name="IQ_PRICE_TARGET_BOTTOM_UP_CIQ" hidden="1">"c12023"</definedName>
    <definedName name="IQ_PRICE_TARGET_BOTTOM_UP_REUT" hidden="1">"c5494"</definedName>
    <definedName name="IQ_PRICE_TARGET_CIQ" hidden="1">"c3613"</definedName>
    <definedName name="IQ_PRICE_TARGET_REUT" hidden="1">"c3631"</definedName>
    <definedName name="IQ_PRICE_TARGET_THOM" hidden="1">"c3649"</definedName>
    <definedName name="IQ_PRICE_VOL_HIST_2YR" hidden="1">"c15637"</definedName>
    <definedName name="IQ_PRICE_VOL_HIST_3MTH" hidden="1">"c15634"</definedName>
    <definedName name="IQ_PRICE_VOL_HIST_5YR" hidden="1">"c15638"</definedName>
    <definedName name="IQ_PRICE_VOL_HIST_6MTH" hidden="1">"c15635"</definedName>
    <definedName name="IQ_PRICE_VOL_HIST_YR" hidden="1">"c15636"</definedName>
    <definedName name="IQ_PRICE_VOLATILITY_EST" hidden="1">"c4492"</definedName>
    <definedName name="IQ_PRICE_VOLATILITY_EST_CIQ" hidden="1">"c5030"</definedName>
    <definedName name="IQ_PRICE_VOLATILITY_HIGH" hidden="1">"c4493"</definedName>
    <definedName name="IQ_PRICE_VOLATILITY_HIGH_CIQ" hidden="1">"c5031"</definedName>
    <definedName name="IQ_PRICE_VOLATILITY_LOW" hidden="1">"c4494"</definedName>
    <definedName name="IQ_PRICE_VOLATILITY_LOW_CIQ" hidden="1">"c5032"</definedName>
    <definedName name="IQ_PRICE_VOLATILITY_MEDIAN" hidden="1">"c4495"</definedName>
    <definedName name="IQ_PRICE_VOLATILITY_MEDIAN_CIQ" hidden="1">"c5033"</definedName>
    <definedName name="IQ_PRICE_VOLATILITY_NUM" hidden="1">"c4496"</definedName>
    <definedName name="IQ_PRICE_VOLATILITY_NUM_CIQ" hidden="1">"c5034"</definedName>
    <definedName name="IQ_PRICE_VOLATILITY_STDDEV" hidden="1">"c4497"</definedName>
    <definedName name="IQ_PRICE_VOLATILITY_STDDEV_CIQ" hidden="1">"c5035"</definedName>
    <definedName name="IQ_PRICEDATE" hidden="1">"c1069"</definedName>
    <definedName name="IQ_PRICING_DATE" hidden="1">"c1613"</definedName>
    <definedName name="IQ_PRIMARY_EPS_TYPE" hidden="1">"c4498"</definedName>
    <definedName name="IQ_PRIMARY_EPS_TYPE_CIQ" hidden="1">"c5036"</definedName>
    <definedName name="IQ_PRIMARY_EPS_TYPE_REUT" hidden="1">"c5481"</definedName>
    <definedName name="IQ_PRIMARY_INDUSTRY" hidden="1">"c1070"</definedName>
    <definedName name="IQ_PRINCIPAL_AMT" hidden="1">"c2157"</definedName>
    <definedName name="IQ_PRIVATE_CONST_TOTAL_APR_FC_UNUSED" hidden="1">"c8559"</definedName>
    <definedName name="IQ_PRIVATE_CONST_TOTAL_APR_FC_UNUSED_UNUSED_UNUSED" hidden="1">"c8559"</definedName>
    <definedName name="IQ_PRIVATE_CONST_TOTAL_APR_UNUSED" hidden="1">"c7679"</definedName>
    <definedName name="IQ_PRIVATE_CONST_TOTAL_APR_UNUSED_UNUSED_UNUSED" hidden="1">"c7679"</definedName>
    <definedName name="IQ_PRIVATE_CONST_TOTAL_FC_UNUSED" hidden="1">"c7899"</definedName>
    <definedName name="IQ_PRIVATE_CONST_TOTAL_FC_UNUSED_UNUSED_UNUSED" hidden="1">"c7899"</definedName>
    <definedName name="IQ_PRIVATE_CONST_TOTAL_POP_FC_UNUSED" hidden="1">"c8119"</definedName>
    <definedName name="IQ_PRIVATE_CONST_TOTAL_POP_FC_UNUSED_UNUSED_UNUSED" hidden="1">"c8119"</definedName>
    <definedName name="IQ_PRIVATE_CONST_TOTAL_POP_UNUSED" hidden="1">"c7239"</definedName>
    <definedName name="IQ_PRIVATE_CONST_TOTAL_POP_UNUSED_UNUSED_UNUSED" hidden="1">"c7239"</definedName>
    <definedName name="IQ_PRIVATE_CONST_TOTAL_UNUSED" hidden="1">"c7019"</definedName>
    <definedName name="IQ_PRIVATE_CONST_TOTAL_UNUSED_UNUSED_UNUSED" hidden="1">"c7019"</definedName>
    <definedName name="IQ_PRIVATE_CONST_TOTAL_YOY_FC_UNUSED" hidden="1">"c8339"</definedName>
    <definedName name="IQ_PRIVATE_CONST_TOTAL_YOY_FC_UNUSED_UNUSED_UNUSED" hidden="1">"c8339"</definedName>
    <definedName name="IQ_PRIVATE_CONST_TOTAL_YOY_UNUSED" hidden="1">"c7459"</definedName>
    <definedName name="IQ_PRIVATE_CONST_TOTAL_YOY_UNUSED_UNUSED_UNUSED" hidden="1">"c7459"</definedName>
    <definedName name="IQ_PRIVATE_FIXED_INVEST_TOTAL" hidden="1">"c12006"</definedName>
    <definedName name="IQ_PRIVATE_FIXED_INVEST_TOTAL_APR" hidden="1">"c12009"</definedName>
    <definedName name="IQ_PRIVATE_FIXED_INVEST_TOTAL_POP" hidden="1">"c12007"</definedName>
    <definedName name="IQ_PRIVATE_FIXED_INVEST_TOTAL_YOY" hidden="1">"c12008"</definedName>
    <definedName name="IQ_PRIVATE_NONRES_CONST_IMPROV" hidden="1">"c6949"</definedName>
    <definedName name="IQ_PRIVATE_NONRES_CONST_IMPROV_APR" hidden="1">"c7609"</definedName>
    <definedName name="IQ_PRIVATE_NONRES_CONST_IMPROV_APR_FC" hidden="1">"c8489"</definedName>
    <definedName name="IQ_PRIVATE_NONRES_CONST_IMPROV_FC" hidden="1">"c7829"</definedName>
    <definedName name="IQ_PRIVATE_NONRES_CONST_IMPROV_POP" hidden="1">"c7169"</definedName>
    <definedName name="IQ_PRIVATE_NONRES_CONST_IMPROV_POP_FC" hidden="1">"c8049"</definedName>
    <definedName name="IQ_PRIVATE_NONRES_CONST_IMPROV_YOY" hidden="1">"c7389"</definedName>
    <definedName name="IQ_PRIVATE_NONRES_CONST_IMPROV_YOY_FC" hidden="1">"c8269"</definedName>
    <definedName name="IQ_PRIVATE_RES_CONST_IMPROV" hidden="1">"c6950"</definedName>
    <definedName name="IQ_PRIVATE_RES_CONST_IMPROV_APR" hidden="1">"c7610"</definedName>
    <definedName name="IQ_PRIVATE_RES_CONST_IMPROV_APR_FC" hidden="1">"c8490"</definedName>
    <definedName name="IQ_PRIVATE_RES_CONST_IMPROV_FC" hidden="1">"c7830"</definedName>
    <definedName name="IQ_PRIVATE_RES_CONST_IMPROV_POP" hidden="1">"c7170"</definedName>
    <definedName name="IQ_PRIVATE_RES_CONST_IMPROV_POP_FC" hidden="1">"c8050"</definedName>
    <definedName name="IQ_PRIVATE_RES_CONST_IMPROV_YOY" hidden="1">"c7390"</definedName>
    <definedName name="IQ_PRIVATE_RES_CONST_IMPROV_YOY_FC" hidden="1">"c8270"</definedName>
    <definedName name="IQ_PRIVATE_RES_CONST_REAL_APR_FC_UNUSED" hidden="1">"c8535"</definedName>
    <definedName name="IQ_PRIVATE_RES_CONST_REAL_APR_FC_UNUSED_UNUSED_UNUSED" hidden="1">"c8535"</definedName>
    <definedName name="IQ_PRIVATE_RES_CONST_REAL_APR_UNUSED" hidden="1">"c7655"</definedName>
    <definedName name="IQ_PRIVATE_RES_CONST_REAL_APR_UNUSED_UNUSED_UNUSED" hidden="1">"c7655"</definedName>
    <definedName name="IQ_PRIVATE_RES_CONST_REAL_FC_UNUSED" hidden="1">"c7875"</definedName>
    <definedName name="IQ_PRIVATE_RES_CONST_REAL_FC_UNUSED_UNUSED_UNUSED" hidden="1">"c7875"</definedName>
    <definedName name="IQ_PRIVATE_RES_CONST_REAL_POP_FC_UNUSED" hidden="1">"c8095"</definedName>
    <definedName name="IQ_PRIVATE_RES_CONST_REAL_POP_FC_UNUSED_UNUSED_UNUSED" hidden="1">"c8095"</definedName>
    <definedName name="IQ_PRIVATE_RES_CONST_REAL_POP_UNUSED" hidden="1">"c7215"</definedName>
    <definedName name="IQ_PRIVATE_RES_CONST_REAL_POP_UNUSED_UNUSED_UNUSED" hidden="1">"c7215"</definedName>
    <definedName name="IQ_PRIVATE_RES_CONST_REAL_UNUSED" hidden="1">"c6995"</definedName>
    <definedName name="IQ_PRIVATE_RES_CONST_REAL_UNUSED_UNUSED_UNUSED" hidden="1">"c6995"</definedName>
    <definedName name="IQ_PRIVATE_RES_CONST_REAL_YOY_FC_UNUSED" hidden="1">"c8315"</definedName>
    <definedName name="IQ_PRIVATE_RES_CONST_REAL_YOY_FC_UNUSED_UNUSED_UNUSED" hidden="1">"c8315"</definedName>
    <definedName name="IQ_PRIVATE_RES_CONST_REAL_YOY_UNUSED" hidden="1">"c7435"</definedName>
    <definedName name="IQ_PRIVATE_RES_CONST_REAL_YOY_UNUSED_UNUSED_UNUSED" hidden="1">"c7435"</definedName>
    <definedName name="IQ_PRIVATE_RES_FIXED_INVEST_REAL" hidden="1">"c11986"</definedName>
    <definedName name="IQ_PRIVATE_RES_FIXED_INVEST_REAL_APR" hidden="1">"c11989"</definedName>
    <definedName name="IQ_PRIVATE_RES_FIXED_INVEST_REAL_POP" hidden="1">"c11987"</definedName>
    <definedName name="IQ_PRIVATE_RES_FIXED_INVEST_REAL_YOY" hidden="1">"c11988"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BABLE_ATTRIB_ORE_RESERVES_ALUM" hidden="1">"c9217"</definedName>
    <definedName name="IQ_PROBABLE_ATTRIB_ORE_RESERVES_COP" hidden="1">"c9161"</definedName>
    <definedName name="IQ_PROBABLE_ATTRIB_ORE_RESERVES_DIAM" hidden="1">"c9641"</definedName>
    <definedName name="IQ_PROBABLE_ATTRIB_ORE_RESERVES_GOLD" hidden="1">"c9002"</definedName>
    <definedName name="IQ_PROBABLE_ATTRIB_ORE_RESERVES_IRON" hidden="1">"c9376"</definedName>
    <definedName name="IQ_PROBABLE_ATTRIB_ORE_RESERVES_LEAD" hidden="1">"c9429"</definedName>
    <definedName name="IQ_PROBABLE_ATTRIB_ORE_RESERVES_MANG" hidden="1">"c9482"</definedName>
    <definedName name="IQ_PROBABLE_ATTRIB_ORE_RESERVES_MOLYB" hidden="1">"c9694"</definedName>
    <definedName name="IQ_PROBABLE_ATTRIB_ORE_RESERVES_NICK" hidden="1">"c9270"</definedName>
    <definedName name="IQ_PROBABLE_ATTRIB_ORE_RESERVES_PLAT" hidden="1">"c9108"</definedName>
    <definedName name="IQ_PROBABLE_ATTRIB_ORE_RESERVES_SILVER" hidden="1">"c9055"</definedName>
    <definedName name="IQ_PROBABLE_ATTRIB_ORE_RESERVES_TITAN" hidden="1">"c9535"</definedName>
    <definedName name="IQ_PROBABLE_ATTRIB_ORE_RESERVES_URAN" hidden="1">"c9588"</definedName>
    <definedName name="IQ_PROBABLE_ATTRIB_ORE_RESERVES_ZINC" hidden="1">"c9323"</definedName>
    <definedName name="IQ_PROBABLE_ORE_RESERVES_ALUM" hidden="1">"c9209"</definedName>
    <definedName name="IQ_PROBABLE_ORE_RESERVES_COP" hidden="1">"c9153"</definedName>
    <definedName name="IQ_PROBABLE_ORE_RESERVES_DIAM" hidden="1">"c9633"</definedName>
    <definedName name="IQ_PROBABLE_ORE_RESERVES_GOLD" hidden="1">"c8994"</definedName>
    <definedName name="IQ_PROBABLE_ORE_RESERVES_IRON" hidden="1">"c9368"</definedName>
    <definedName name="IQ_PROBABLE_ORE_RESERVES_LEAD" hidden="1">"c9421"</definedName>
    <definedName name="IQ_PROBABLE_ORE_RESERVES_MANG" hidden="1">"c9474"</definedName>
    <definedName name="IQ_PROBABLE_ORE_RESERVES_MOLYB" hidden="1">"c9686"</definedName>
    <definedName name="IQ_PROBABLE_ORE_RESERVES_NICK" hidden="1">"c9262"</definedName>
    <definedName name="IQ_PROBABLE_ORE_RESERVES_PLAT" hidden="1">"c9100"</definedName>
    <definedName name="IQ_PROBABLE_ORE_RESERVES_SILVER" hidden="1">"c9047"</definedName>
    <definedName name="IQ_PROBABLE_ORE_RESERVES_TITAN" hidden="1">"c9527"</definedName>
    <definedName name="IQ_PROBABLE_ORE_RESERVES_URAN" hidden="1">"c9580"</definedName>
    <definedName name="IQ_PROBABLE_ORE_RESERVES_ZINC" hidden="1">"c9315"</definedName>
    <definedName name="IQ_PROBABLE_RECOV_ATTRIB_RESERVES_ALUM" hidden="1">"c9220"</definedName>
    <definedName name="IQ_PROBABLE_RECOV_ATTRIB_RESERVES_COAL" hidden="1">"c9804"</definedName>
    <definedName name="IQ_PROBABLE_RECOV_ATTRIB_RESERVES_COP" hidden="1">"c9164"</definedName>
    <definedName name="IQ_PROBABLE_RECOV_ATTRIB_RESERVES_DIAM" hidden="1">"c9644"</definedName>
    <definedName name="IQ_PROBABLE_RECOV_ATTRIB_RESERVES_GOLD" hidden="1">"c9005"</definedName>
    <definedName name="IQ_PROBABLE_RECOV_ATTRIB_RESERVES_IRON" hidden="1">"c9379"</definedName>
    <definedName name="IQ_PROBABLE_RECOV_ATTRIB_RESERVES_LEAD" hidden="1">"c9432"</definedName>
    <definedName name="IQ_PROBABLE_RECOV_ATTRIB_RESERVES_MANG" hidden="1">"c9485"</definedName>
    <definedName name="IQ_PROBABLE_RECOV_ATTRIB_RESERVES_MET_COAL" hidden="1">"c9744"</definedName>
    <definedName name="IQ_PROBABLE_RECOV_ATTRIB_RESERVES_MOLYB" hidden="1">"c9697"</definedName>
    <definedName name="IQ_PROBABLE_RECOV_ATTRIB_RESERVES_NICK" hidden="1">"c9273"</definedName>
    <definedName name="IQ_PROBABLE_RECOV_ATTRIB_RESERVES_PLAT" hidden="1">"c9111"</definedName>
    <definedName name="IQ_PROBABLE_RECOV_ATTRIB_RESERVES_SILVER" hidden="1">"c9058"</definedName>
    <definedName name="IQ_PROBABLE_RECOV_ATTRIB_RESERVES_STEAM" hidden="1">"c9774"</definedName>
    <definedName name="IQ_PROBABLE_RECOV_ATTRIB_RESERVES_TITAN" hidden="1">"c9538"</definedName>
    <definedName name="IQ_PROBABLE_RECOV_ATTRIB_RESERVES_URAN" hidden="1">"c9591"</definedName>
    <definedName name="IQ_PROBABLE_RECOV_ATTRIB_RESERVES_ZINC" hidden="1">"c9326"</definedName>
    <definedName name="IQ_PROBABLE_RECOV_RESERVES_ALUM" hidden="1">"c9214"</definedName>
    <definedName name="IQ_PROBABLE_RECOV_RESERVES_COAL" hidden="1">"c9801"</definedName>
    <definedName name="IQ_PROBABLE_RECOV_RESERVES_COP" hidden="1">"c9158"</definedName>
    <definedName name="IQ_PROBABLE_RECOV_RESERVES_DIAM" hidden="1">"c9638"</definedName>
    <definedName name="IQ_PROBABLE_RECOV_RESERVES_GOLD" hidden="1">"c8999"</definedName>
    <definedName name="IQ_PROBABLE_RECOV_RESERVES_IRON" hidden="1">"c9373"</definedName>
    <definedName name="IQ_PROBABLE_RECOV_RESERVES_LEAD" hidden="1">"c9426"</definedName>
    <definedName name="IQ_PROBABLE_RECOV_RESERVES_MANG" hidden="1">"c9479"</definedName>
    <definedName name="IQ_PROBABLE_RECOV_RESERVES_MET_COAL" hidden="1">"c9741"</definedName>
    <definedName name="IQ_PROBABLE_RECOV_RESERVES_MOLYB" hidden="1">"c9691"</definedName>
    <definedName name="IQ_PROBABLE_RECOV_RESERVES_NICK" hidden="1">"c9267"</definedName>
    <definedName name="IQ_PROBABLE_RECOV_RESERVES_PLAT" hidden="1">"c9105"</definedName>
    <definedName name="IQ_PROBABLE_RECOV_RESERVES_SILVER" hidden="1">"c9052"</definedName>
    <definedName name="IQ_PROBABLE_RECOV_RESERVES_STEAM" hidden="1">"c9771"</definedName>
    <definedName name="IQ_PROBABLE_RECOV_RESERVES_TITAN" hidden="1">"c9532"</definedName>
    <definedName name="IQ_PROBABLE_RECOV_RESERVES_URAN" hidden="1">"c9585"</definedName>
    <definedName name="IQ_PROBABLE_RECOV_RESERVES_ZINC" hidden="1">"c9320"</definedName>
    <definedName name="IQ_PROBABLE_RESERVES_CALORIFIC_VALUE_COAL" hidden="1">"c9798"</definedName>
    <definedName name="IQ_PROBABLE_RESERVES_CALORIFIC_VALUE_MET_COAL" hidden="1">"c9738"</definedName>
    <definedName name="IQ_PROBABLE_RESERVES_CALORIFIC_VALUE_STEAM" hidden="1">"c9768"</definedName>
    <definedName name="IQ_PROBABLE_RESERVES_GRADE_ALUM" hidden="1">"c9210"</definedName>
    <definedName name="IQ_PROBABLE_RESERVES_GRADE_COP" hidden="1">"c9154"</definedName>
    <definedName name="IQ_PROBABLE_RESERVES_GRADE_DIAM" hidden="1">"c9634"</definedName>
    <definedName name="IQ_PROBABLE_RESERVES_GRADE_GOLD" hidden="1">"c8995"</definedName>
    <definedName name="IQ_PROBABLE_RESERVES_GRADE_IRON" hidden="1">"c9369"</definedName>
    <definedName name="IQ_PROBABLE_RESERVES_GRADE_LEAD" hidden="1">"c9422"</definedName>
    <definedName name="IQ_PROBABLE_RESERVES_GRADE_MANG" hidden="1">"c9475"</definedName>
    <definedName name="IQ_PROBABLE_RESERVES_GRADE_MOLYB" hidden="1">"c9687"</definedName>
    <definedName name="IQ_PROBABLE_RESERVES_GRADE_NICK" hidden="1">"c9263"</definedName>
    <definedName name="IQ_PROBABLE_RESERVES_GRADE_PLAT" hidden="1">"c9101"</definedName>
    <definedName name="IQ_PROBABLE_RESERVES_GRADE_SILVER" hidden="1">"c9048"</definedName>
    <definedName name="IQ_PROBABLE_RESERVES_GRADE_TITAN" hidden="1">"c9528"</definedName>
    <definedName name="IQ_PROBABLE_RESERVES_GRADE_URAN" hidden="1">"c9581"</definedName>
    <definedName name="IQ_PROBABLE_RESERVES_GRADE_ZINC" hidden="1">"c9316"</definedName>
    <definedName name="IQ_PROBABLE_RESERVES_TO_TOTAL_RESERVES_COAL" hidden="1">"c15953"</definedName>
    <definedName name="IQ_PRODUCTION_COST_ALUM" hidden="1">"c9253"</definedName>
    <definedName name="IQ_PRODUCTION_COST_COAL" hidden="1">"c9826"</definedName>
    <definedName name="IQ_PRODUCTION_COST_COP" hidden="1">"c9200"</definedName>
    <definedName name="IQ_PRODUCTION_COST_DIAM" hidden="1">"c9677"</definedName>
    <definedName name="IQ_PRODUCTION_COST_GOLD" hidden="1">"c9038"</definedName>
    <definedName name="IQ_PRODUCTION_COST_IRON" hidden="1">"c9412"</definedName>
    <definedName name="IQ_PRODUCTION_COST_LEAD" hidden="1">"c9465"</definedName>
    <definedName name="IQ_PRODUCTION_COST_MANG" hidden="1">"c9518"</definedName>
    <definedName name="IQ_PRODUCTION_COST_MET_COAL" hidden="1">"c9763"</definedName>
    <definedName name="IQ_PRODUCTION_COST_MOLYB" hidden="1">"c9730"</definedName>
    <definedName name="IQ_PRODUCTION_COST_NICK" hidden="1">"c9306"</definedName>
    <definedName name="IQ_PRODUCTION_COST_PLAT" hidden="1">"c9144"</definedName>
    <definedName name="IQ_PRODUCTION_COST_SILVER" hidden="1">"c9091"</definedName>
    <definedName name="IQ_PRODUCTION_COST_STEAM" hidden="1">"c9793"</definedName>
    <definedName name="IQ_PRODUCTION_COST_TITAN" hidden="1">"c9571"</definedName>
    <definedName name="IQ_PRODUCTION_COST_URAN" hidden="1">"c9624"</definedName>
    <definedName name="IQ_PRODUCTION_COST_ZINC" hidden="1">"c9359"</definedName>
    <definedName name="IQ_PRODUCTION_TO_SOLD_COAL" hidden="1">"c15945"</definedName>
    <definedName name="IQ_PROFESSIONAL" hidden="1">"c1071"</definedName>
    <definedName name="IQ_PROFESSIONAL_ASSISTANT_EMAIL" hidden="1">"c15169"</definedName>
    <definedName name="IQ_PROFESSIONAL_ASSISTANT_FAX" hidden="1">"c15171"</definedName>
    <definedName name="IQ_PROFESSIONAL_ASSISTANT_NAME" hidden="1">"c15168"</definedName>
    <definedName name="IQ_PROFESSIONAL_ASSISTANT_PHONE" hidden="1">"c15170"</definedName>
    <definedName name="IQ_PROFESSIONAL_BACKGROUND" hidden="1">"c15161"</definedName>
    <definedName name="IQ_PROFESSIONAL_DIRECT_FAX" hidden="1">"c15166"</definedName>
    <definedName name="IQ_PROFESSIONAL_DIRECT_PHONE" hidden="1">"c15165"</definedName>
    <definedName name="IQ_PROFESSIONAL_EMAIL" hidden="1">"c15167"</definedName>
    <definedName name="IQ_PROFESSIONAL_ID" hidden="1">"c13755"</definedName>
    <definedName name="IQ_PROFESSIONAL_MAIN_FAX" hidden="1">"c15164"</definedName>
    <definedName name="IQ_PROFESSIONAL_MAIN_PHONE" hidden="1">"c15163"</definedName>
    <definedName name="IQ_PROFESSIONAL_OFFICE_ADDRESS" hidden="1">"c15162"</definedName>
    <definedName name="IQ_PROFESSIONAL_TITLE" hidden="1">"c1072"</definedName>
    <definedName name="IQ_PROFIT_AFTER_COST_CAPITAL_NEW_BUSINESS" hidden="1">"c9969"</definedName>
    <definedName name="IQ_PROFIT_BEFORE_COST_CAPITAL_NEW_BUSINESS" hidden="1">"c9967"</definedName>
    <definedName name="IQ_PROGRAMMING_COSTS" hidden="1">"c2884"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_MGMT_EXPENSE" hidden="1">"c16038"</definedName>
    <definedName name="IQ_PROP_MGMT_INCOME" hidden="1">"c16028"</definedName>
    <definedName name="IQ_PROP_OPERATING_EXPENSE" hidden="1">"c16037"</definedName>
    <definedName name="IQ_PROP_RENTAL_REVENUE" hidden="1">"c16019"</definedName>
    <definedName name="IQ_PROP_SALES_EXPENSE" hidden="1">"c16044"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PERTY_TAX_INSURANCE" hidden="1">"c16033"</definedName>
    <definedName name="IQ_PROV_BAD_DEBTS" hidden="1">"c1075"</definedName>
    <definedName name="IQ_PROV_BAD_DEBTS_CF" hidden="1">"c1076"</definedName>
    <definedName name="IQ_PROVED_ATTRIB_ORE_RESERVES_ALUM" hidden="1">"c9216"</definedName>
    <definedName name="IQ_PROVED_ATTRIB_ORE_RESERVES_COP" hidden="1">"c9160"</definedName>
    <definedName name="IQ_PROVED_ATTRIB_ORE_RESERVES_DIAM" hidden="1">"c9640"</definedName>
    <definedName name="IQ_PROVED_ATTRIB_ORE_RESERVES_GOLD" hidden="1">"c9001"</definedName>
    <definedName name="IQ_PROVED_ATTRIB_ORE_RESERVES_IRON" hidden="1">"c9375"</definedName>
    <definedName name="IQ_PROVED_ATTRIB_ORE_RESERVES_LEAD" hidden="1">"c9428"</definedName>
    <definedName name="IQ_PROVED_ATTRIB_ORE_RESERVES_MANG" hidden="1">"c9481"</definedName>
    <definedName name="IQ_PROVED_ATTRIB_ORE_RESERVES_MOLYB" hidden="1">"c9693"</definedName>
    <definedName name="IQ_PROVED_ATTRIB_ORE_RESERVES_NICK" hidden="1">"c9269"</definedName>
    <definedName name="IQ_PROVED_ATTRIB_ORE_RESERVES_PLAT" hidden="1">"c9107"</definedName>
    <definedName name="IQ_PROVED_ATTRIB_ORE_RESERVES_SILVER" hidden="1">"c9054"</definedName>
    <definedName name="IQ_PROVED_ATTRIB_ORE_RESERVES_TITAN" hidden="1">"c9534"</definedName>
    <definedName name="IQ_PROVED_ATTRIB_ORE_RESERVES_URAN" hidden="1">"c9587"</definedName>
    <definedName name="IQ_PROVED_ATTRIB_ORE_RESERVES_ZINC" hidden="1">"c9322"</definedName>
    <definedName name="IQ_PROVED_ORE_RESERVES_ALUM" hidden="1">"c9207"</definedName>
    <definedName name="IQ_PROVED_ORE_RESERVES_COP" hidden="1">"c9151"</definedName>
    <definedName name="IQ_PROVED_ORE_RESERVES_DIAM" hidden="1">"c9631"</definedName>
    <definedName name="IQ_PROVED_ORE_RESERVES_GOLD" hidden="1">"c8992"</definedName>
    <definedName name="IQ_PROVED_ORE_RESERVES_IRON" hidden="1">"c9366"</definedName>
    <definedName name="IQ_PROVED_ORE_RESERVES_LEAD" hidden="1">"c9419"</definedName>
    <definedName name="IQ_PROVED_ORE_RESERVES_MANG" hidden="1">"c9472"</definedName>
    <definedName name="IQ_PROVED_ORE_RESERVES_MOLYB" hidden="1">"c9684"</definedName>
    <definedName name="IQ_PROVED_ORE_RESERVES_NICK" hidden="1">"c9260"</definedName>
    <definedName name="IQ_PROVED_ORE_RESERVES_PLAT" hidden="1">"c9098"</definedName>
    <definedName name="IQ_PROVED_ORE_RESERVES_SILVER" hidden="1">"c9045"</definedName>
    <definedName name="IQ_PROVED_ORE_RESERVES_TITAN" hidden="1">"c9525"</definedName>
    <definedName name="IQ_PROVED_ORE_RESERVES_URAN" hidden="1">"c9578"</definedName>
    <definedName name="IQ_PROVED_ORE_RESERVES_ZINC" hidden="1">"c9313"</definedName>
    <definedName name="IQ_PROVED_RECOV_ATTRIB_RESERVES_ALUM" hidden="1">"c9219"</definedName>
    <definedName name="IQ_PROVED_RECOV_ATTRIB_RESERVES_COAL" hidden="1">"c9803"</definedName>
    <definedName name="IQ_PROVED_RECOV_ATTRIB_RESERVES_COP" hidden="1">"c9163"</definedName>
    <definedName name="IQ_PROVED_RECOV_ATTRIB_RESERVES_DIAM" hidden="1">"c9643"</definedName>
    <definedName name="IQ_PROVED_RECOV_ATTRIB_RESERVES_GOLD" hidden="1">"c9004"</definedName>
    <definedName name="IQ_PROVED_RECOV_ATTRIB_RESERVES_IRON" hidden="1">"c9378"</definedName>
    <definedName name="IQ_PROVED_RECOV_ATTRIB_RESERVES_LEAD" hidden="1">"c9431"</definedName>
    <definedName name="IQ_PROVED_RECOV_ATTRIB_RESERVES_MANG" hidden="1">"c9484"</definedName>
    <definedName name="IQ_PROVED_RECOV_ATTRIB_RESERVES_MET_COAL" hidden="1">"c9743"</definedName>
    <definedName name="IQ_PROVED_RECOV_ATTRIB_RESERVES_MOLYB" hidden="1">"c9696"</definedName>
    <definedName name="IQ_PROVED_RECOV_ATTRIB_RESERVES_NICK" hidden="1">"c9272"</definedName>
    <definedName name="IQ_PROVED_RECOV_ATTRIB_RESERVES_PLAT" hidden="1">"c9110"</definedName>
    <definedName name="IQ_PROVED_RECOV_ATTRIB_RESERVES_SILVER" hidden="1">"c9057"</definedName>
    <definedName name="IQ_PROVED_RECOV_ATTRIB_RESERVES_STEAM" hidden="1">"c9773"</definedName>
    <definedName name="IQ_PROVED_RECOV_ATTRIB_RESERVES_TITAN" hidden="1">"c9537"</definedName>
    <definedName name="IQ_PROVED_RECOV_ATTRIB_RESERVES_URAN" hidden="1">"c9590"</definedName>
    <definedName name="IQ_PROVED_RECOV_ATTRIB_RESERVES_ZINC" hidden="1">"c9325"</definedName>
    <definedName name="IQ_PROVED_RECOV_RESERVES_ALUM" hidden="1">"c9213"</definedName>
    <definedName name="IQ_PROVED_RECOV_RESERVES_COAL" hidden="1">"c9800"</definedName>
    <definedName name="IQ_PROVED_RECOV_RESERVES_COP" hidden="1">"c9157"</definedName>
    <definedName name="IQ_PROVED_RECOV_RESERVES_DIAM" hidden="1">"c9637"</definedName>
    <definedName name="IQ_PROVED_RECOV_RESERVES_GOLD" hidden="1">"c8998"</definedName>
    <definedName name="IQ_PROVED_RECOV_RESERVES_IRON" hidden="1">"c9372"</definedName>
    <definedName name="IQ_PROVED_RECOV_RESERVES_LEAD" hidden="1">"c9425"</definedName>
    <definedName name="IQ_PROVED_RECOV_RESERVES_MANG" hidden="1">"c9478"</definedName>
    <definedName name="IQ_PROVED_RECOV_RESERVES_MET_COAL" hidden="1">"c9740"</definedName>
    <definedName name="IQ_PROVED_RECOV_RESERVES_MOLYB" hidden="1">"c9690"</definedName>
    <definedName name="IQ_PROVED_RECOV_RESERVES_NICK" hidden="1">"c9266"</definedName>
    <definedName name="IQ_PROVED_RECOV_RESERVES_PLAT" hidden="1">"c9104"</definedName>
    <definedName name="IQ_PROVED_RECOV_RESERVES_SILVER" hidden="1">"c9051"</definedName>
    <definedName name="IQ_PROVED_RECOV_RESERVES_STEAM" hidden="1">"c9770"</definedName>
    <definedName name="IQ_PROVED_RECOV_RESERVES_TITAN" hidden="1">"c9531"</definedName>
    <definedName name="IQ_PROVED_RECOV_RESERVES_URAN" hidden="1">"c9584"</definedName>
    <definedName name="IQ_PROVED_RECOV_RESERVES_ZINC" hidden="1">"c9319"</definedName>
    <definedName name="IQ_PROVED_RESERVES_CALORIFIC_VALUE_COAL" hidden="1">"c9797"</definedName>
    <definedName name="IQ_PROVED_RESERVES_CALORIFIC_VALUE_MET_COAL" hidden="1">"c9737"</definedName>
    <definedName name="IQ_PROVED_RESERVES_CALORIFIC_VALUE_STEAM" hidden="1">"c9767"</definedName>
    <definedName name="IQ_PROVED_RESERVES_GRADE_ALUM" hidden="1">"c9208"</definedName>
    <definedName name="IQ_PROVED_RESERVES_GRADE_COP" hidden="1">"c9152"</definedName>
    <definedName name="IQ_PROVED_RESERVES_GRADE_DIAM" hidden="1">"c9632"</definedName>
    <definedName name="IQ_PROVED_RESERVES_GRADE_GOLD" hidden="1">"c8993"</definedName>
    <definedName name="IQ_PROVED_RESERVES_GRADE_IRON" hidden="1">"c9367"</definedName>
    <definedName name="IQ_PROVED_RESERVES_GRADE_LEAD" hidden="1">"c9420"</definedName>
    <definedName name="IQ_PROVED_RESERVES_GRADE_MANG" hidden="1">"c9473"</definedName>
    <definedName name="IQ_PROVED_RESERVES_GRADE_MOLYB" hidden="1">"c9685"</definedName>
    <definedName name="IQ_PROVED_RESERVES_GRADE_NICK" hidden="1">"c9261"</definedName>
    <definedName name="IQ_PROVED_RESERVES_GRADE_PLAT" hidden="1">"c9099"</definedName>
    <definedName name="IQ_PROVED_RESERVES_GRADE_SILVER" hidden="1">"c9046"</definedName>
    <definedName name="IQ_PROVED_RESERVES_GRADE_TITAN" hidden="1">"c9526"</definedName>
    <definedName name="IQ_PROVED_RESERVES_GRADE_URAN" hidden="1">"c9579"</definedName>
    <definedName name="IQ_PROVED_RESERVES_GRADE_ZINC" hidden="1">"c9314"</definedName>
    <definedName name="IQ_PROVEN_RESERVES_TO_TOTAL_RESERVES_COAL" hidden="1">"c15952"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AVG_LOANS" hidden="1">"c15717"</definedName>
    <definedName name="IQ_PROVISION_CHARGE_OFFS" hidden="1">"c1083"</definedName>
    <definedName name="IQ_PROVISION_LL_FFIEC" hidden="1">"c13019"</definedName>
    <definedName name="IQ_PROVISION_LOAN_LOSS_AVG_ASSETS_FFIEC" hidden="1">"c18879"</definedName>
    <definedName name="IQ_PROVISION_LOSSES_AVG_ASSETS_FFIEC" hidden="1">"c13362"</definedName>
    <definedName name="IQ_PROVISION_LOSSES_AVG_LOANS_FFIEC" hidden="1">"c13470"</definedName>
    <definedName name="IQ_PROVISION_LOSSES_NET_LOSSES_FFIEC" hidden="1">"c13471"</definedName>
    <definedName name="IQ_PTBV" hidden="1">"c1084"</definedName>
    <definedName name="IQ_PTBV_AVG" hidden="1">"c1085"</definedName>
    <definedName name="IQ_PURCHASE_FOREIGN_CURRENCIES_FDIC" hidden="1">"c6513"</definedName>
    <definedName name="IQ_PURCHASE_TREASURY_FFIEC" hidden="1">"c12966"</definedName>
    <definedName name="IQ_PURCHASED_COAL" hidden="1">"c15934"</definedName>
    <definedName name="IQ_PURCHASED_CREDIT_RELS_SERVICING_ASSETS_FFIEC" hidden="1">"c12839"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RCHASED_PRODUCTION_TO_SOLD_COAL" hidden="1">"c15947"</definedName>
    <definedName name="IQ_PURCHASED_TO_PRODUCTION_COAL" hidden="1">"c15948"</definedName>
    <definedName name="IQ_PURCHASED_TO_SOLD_COAL" hidden="1">"c15946"</definedName>
    <definedName name="IQ_PURCHASES_EQUIP_NONRES_SAAR_APR_FC_UNUSED" hidden="1">"c8491"</definedName>
    <definedName name="IQ_PURCHASES_EQUIP_NONRES_SAAR_APR_FC_UNUSED_UNUSED_UNUSED" hidden="1">"c8491"</definedName>
    <definedName name="IQ_PURCHASES_EQUIP_NONRES_SAAR_APR_UNUSED" hidden="1">"c7611"</definedName>
    <definedName name="IQ_PURCHASES_EQUIP_NONRES_SAAR_APR_UNUSED_UNUSED_UNUSED" hidden="1">"c7611"</definedName>
    <definedName name="IQ_PURCHASES_EQUIP_NONRES_SAAR_FC_UNUSED" hidden="1">"c7831"</definedName>
    <definedName name="IQ_PURCHASES_EQUIP_NONRES_SAAR_FC_UNUSED_UNUSED_UNUSED" hidden="1">"c7831"</definedName>
    <definedName name="IQ_PURCHASES_EQUIP_NONRES_SAAR_POP_FC_UNUSED" hidden="1">"c8051"</definedName>
    <definedName name="IQ_PURCHASES_EQUIP_NONRES_SAAR_POP_FC_UNUSED_UNUSED_UNUSED" hidden="1">"c8051"</definedName>
    <definedName name="IQ_PURCHASES_EQUIP_NONRES_SAAR_POP_UNUSED" hidden="1">"c7171"</definedName>
    <definedName name="IQ_PURCHASES_EQUIP_NONRES_SAAR_POP_UNUSED_UNUSED_UNUSED" hidden="1">"c7171"</definedName>
    <definedName name="IQ_PURCHASES_EQUIP_NONRES_SAAR_UNUSED" hidden="1">"c6951"</definedName>
    <definedName name="IQ_PURCHASES_EQUIP_NONRES_SAAR_UNUSED_UNUSED_UNUSED" hidden="1">"c6951"</definedName>
    <definedName name="IQ_PURCHASES_EQUIP_NONRES_SAAR_YOY_FC_UNUSED" hidden="1">"c8271"</definedName>
    <definedName name="IQ_PURCHASES_EQUIP_NONRES_SAAR_YOY_FC_UNUSED_UNUSED_UNUSED" hidden="1">"c8271"</definedName>
    <definedName name="IQ_PURCHASES_EQUIP_NONRES_SAAR_YOY_UNUSED" hidden="1">"c7391"</definedName>
    <definedName name="IQ_PURCHASES_EQUIP_NONRES_SAAR_YOY_UNUSED_UNUSED_UNUSED" hidden="1">"c7391"</definedName>
    <definedName name="IQ_PURCHASING_SECURITIES_LL_REC_FFIEC" hidden="1">"c12893"</definedName>
    <definedName name="IQ_PUT_DATE_SCHEDULE" hidden="1">"c2483"</definedName>
    <definedName name="IQ_PUT_NOTIFICATION" hidden="1">"c2485"</definedName>
    <definedName name="IQ_PUT_PRICE_SCHEDULE" hidden="1">"c2484"</definedName>
    <definedName name="IQ_PV_PREMIUMS_NEW_BUSINESS" hidden="1">"c9973"</definedName>
    <definedName name="IQ_QUALIFYING_MINORITY_INT_T1_FFIEC" hidden="1">"c13135"</definedName>
    <definedName name="IQ_QUALIFYING_SUB_DEBT_REDEEM_PREF_T2_FFIEC" hidden="1">"c13144"</definedName>
    <definedName name="IQ_QUALIFYING_TRUST_PREFERRED_T1_FFIEC" hidden="1">"c13136"</definedName>
    <definedName name="IQ_QUICK_COMP" hidden="1">"c13750"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AW_SALEABLE_INVENTORY_COAL" hidden="1">"c15941"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1_4_RISK_BASED_FFIEC" hidden="1">"c13418"</definedName>
    <definedName name="IQ_RE_ACQ_SATISFACTION_DEBTS_FFIEC" hidden="1">"c12832"</definedName>
    <definedName name="IQ_RE_DEPR_AMORT" hidden="1">"c8750"</definedName>
    <definedName name="IQ_RE_DEPRECIATION" hidden="1">"c16045"</definedName>
    <definedName name="IQ_RE_FARMLAND_GROSS_LOANS_FFIEC" hidden="1">"c13408"</definedName>
    <definedName name="IQ_RE_FARMLAND_RISK_BASED_FFIEC" hidden="1">"c13429"</definedName>
    <definedName name="IQ_RE_FCCR" hidden="1">"c8858"</definedName>
    <definedName name="IQ_RE_FCCR_CONT_OPS" hidden="1">"c8859"</definedName>
    <definedName name="IQ_RE_FCCR_INCL_DISC_OPS" hidden="1">"c8860"</definedName>
    <definedName name="IQ_RE_FCCR_INCL_PREF_DIV" hidden="1">"c8861"</definedName>
    <definedName name="IQ_RE_FCCR_INCL_PREF_DIV_CONT_OPS" hidden="1">"c8862"</definedName>
    <definedName name="IQ_RE_FCCR_INCL_PREF_DIV_INCL_DISC_OPS" hidden="1">"c8863"</definedName>
    <definedName name="IQ_RE_FIXED_CHARGES" hidden="1">"c8856"</definedName>
    <definedName name="IQ_RE_FIXED_CHARGES_INCL_PREF_DIV" hidden="1">"c8857"</definedName>
    <definedName name="IQ_RE_FORECLOSURE_FDIC" hidden="1">"c6332"</definedName>
    <definedName name="IQ_RE_FOREIGN_FFIEC" hidden="1">"c13479"</definedName>
    <definedName name="IQ_RE_GAIN_LOSS_SALE_ASSETS" hidden="1">"c8751"</definedName>
    <definedName name="IQ_RE_INVEST_FDIC" hidden="1">"c6331"</definedName>
    <definedName name="IQ_RE_LOANS_1_4_GROSS_LOANS_FFIEC" hidden="1">"c13397"</definedName>
    <definedName name="IQ_RE_LOANS_DOM_QUARTERLY_AVG_FFIEC" hidden="1">"c15476"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_LOANS_GROSS_LOANS_FFIEC" hidden="1">"c13396"</definedName>
    <definedName name="IQ_RE_MAINT_CAPEX" hidden="1">"c8755"</definedName>
    <definedName name="IQ_RE_MINORITY_INTEREST" hidden="1">"c8752"</definedName>
    <definedName name="IQ_RE_NET_INCOME" hidden="1">"c8749"</definedName>
    <definedName name="IQ_RE_NOI" hidden="1">"c8864"</definedName>
    <definedName name="IQ_RE_NOI_GROWTH_SAME_PROP" hidden="1">"c8866"</definedName>
    <definedName name="IQ_RE_NOI_SAME_PROP" hidden="1">"c8865"</definedName>
    <definedName name="IQ_RE_OTHER_ITEMS" hidden="1">"c8753"</definedName>
    <definedName name="IQ_RE_RENTAL_EXPENSE" hidden="1">"c16036"</definedName>
    <definedName name="IQ_RE_RISK_BASED_FFIEC" hidden="1">"c13417"</definedName>
    <definedName name="IQ_REAL_ESTATE" hidden="1">"c1093"</definedName>
    <definedName name="IQ_REAL_ESTATE_ASSETS" hidden="1">"c1094"</definedName>
    <definedName name="IQ_REALIZED_GAINS_AVAIL_SALE_SEC_FFIEC" hidden="1">"c13022"</definedName>
    <definedName name="IQ_REALIZED_GAINS_HELD_MATURITY_SEC_FFIEC" hidden="1">"c13021"</definedName>
    <definedName name="IQ_REALIZED_GAINS_SEC_TOT_FFIEC" hidden="1">"c13517"</definedName>
    <definedName name="IQ_RECOVERIES_1_4_FAMILY_LOANS_FDIC" hidden="1">"c6707"</definedName>
    <definedName name="IQ_RECOVERIES_AUTO_LOANS_FDIC" hidden="1">"c6701"</definedName>
    <definedName name="IQ_RECOVERIES_AVG_LOANS_FFIEC" hidden="1">"c13476"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ACT_OR_EST_CIQ" hidden="1">"c5045"</definedName>
    <definedName name="IQ_RECURRING_PROFIT_EST" hidden="1">"c4499"</definedName>
    <definedName name="IQ_RECURRING_PROFIT_EST_CIQ" hidden="1">"c5037"</definedName>
    <definedName name="IQ_RECURRING_PROFIT_GUIDANCE" hidden="1">"c4500"</definedName>
    <definedName name="IQ_RECURRING_PROFIT_GUIDANCE_CIQ" hidden="1">"c5038"</definedName>
    <definedName name="IQ_RECURRING_PROFIT_HIGH_EST" hidden="1">"c4501"</definedName>
    <definedName name="IQ_RECURRING_PROFIT_HIGH_EST_CIQ" hidden="1">"c5039"</definedName>
    <definedName name="IQ_RECURRING_PROFIT_HIGH_GUIDANCE" hidden="1">"c4179"</definedName>
    <definedName name="IQ_RECURRING_PROFIT_HIGH_GUIDANCE_CIQ" hidden="1">"c4591"</definedName>
    <definedName name="IQ_RECURRING_PROFIT_LOW_EST" hidden="1">"c4502"</definedName>
    <definedName name="IQ_RECURRING_PROFIT_LOW_EST_CIQ" hidden="1">"c5040"</definedName>
    <definedName name="IQ_RECURRING_PROFIT_LOW_GUIDANCE" hidden="1">"c4219"</definedName>
    <definedName name="IQ_RECURRING_PROFIT_LOW_GUIDANCE_CIQ" hidden="1">"c4631"</definedName>
    <definedName name="IQ_RECURRING_PROFIT_MEDIAN_EST" hidden="1">"c4503"</definedName>
    <definedName name="IQ_RECURRING_PROFIT_MEDIAN_EST_CIQ" hidden="1">"c5041"</definedName>
    <definedName name="IQ_RECURRING_PROFIT_NUM_EST" hidden="1">"c4504"</definedName>
    <definedName name="IQ_RECURRING_PROFIT_NUM_EST_CIQ" hidden="1">"c5042"</definedName>
    <definedName name="IQ_RECURRING_PROFIT_SHARE_ACT_OR_EST" hidden="1">"c4508"</definedName>
    <definedName name="IQ_RECURRING_PROFIT_SHARE_ACT_OR_EST_CIQ" hidden="1">"c5046"</definedName>
    <definedName name="IQ_RECURRING_PROFIT_SHARE_EST" hidden="1">"c4506"</definedName>
    <definedName name="IQ_RECURRING_PROFIT_SHARE_EST_CIQ" hidden="1">"c5044"</definedName>
    <definedName name="IQ_RECURRING_PROFIT_SHARE_GUIDANCE" hidden="1">"c4509"</definedName>
    <definedName name="IQ_RECURRING_PROFIT_SHARE_GUIDANCE_CIQ" hidden="1">"c5047"</definedName>
    <definedName name="IQ_RECURRING_PROFIT_SHARE_HIGH_EST" hidden="1">"c4510"</definedName>
    <definedName name="IQ_RECURRING_PROFIT_SHARE_HIGH_EST_CIQ" hidden="1">"c5048"</definedName>
    <definedName name="IQ_RECURRING_PROFIT_SHARE_HIGH_GUIDANCE" hidden="1">"c4200"</definedName>
    <definedName name="IQ_RECURRING_PROFIT_SHARE_HIGH_GUIDANCE_CIQ" hidden="1">"c4612"</definedName>
    <definedName name="IQ_RECURRING_PROFIT_SHARE_LOW_EST" hidden="1">"c4511"</definedName>
    <definedName name="IQ_RECURRING_PROFIT_SHARE_LOW_EST_CIQ" hidden="1">"c5049"</definedName>
    <definedName name="IQ_RECURRING_PROFIT_SHARE_LOW_GUIDANCE" hidden="1">"c4240"</definedName>
    <definedName name="IQ_RECURRING_PROFIT_SHARE_LOW_GUIDANCE_CIQ" hidden="1">"c4652"</definedName>
    <definedName name="IQ_RECURRING_PROFIT_SHARE_MEDIAN_EST" hidden="1">"c4512"</definedName>
    <definedName name="IQ_RECURRING_PROFIT_SHARE_MEDIAN_EST_CIQ" hidden="1">"c5050"</definedName>
    <definedName name="IQ_RECURRING_PROFIT_SHARE_NUM_EST" hidden="1">"c4513"</definedName>
    <definedName name="IQ_RECURRING_PROFIT_SHARE_NUM_EST_CIQ" hidden="1">"c5051"</definedName>
    <definedName name="IQ_RECURRING_PROFIT_SHARE_STDDEV_EST" hidden="1">"c4514"</definedName>
    <definedName name="IQ_RECURRING_PROFIT_SHARE_STDDEV_EST_CIQ" hidden="1">"c5052"</definedName>
    <definedName name="IQ_RECURRING_PROFIT_STDDEV_EST" hidden="1">"c4516"</definedName>
    <definedName name="IQ_RECURRING_PROFIT_STDDEV_EST_CIQ" hidden="1">"c5054"</definedName>
    <definedName name="IQ_REDEEM_PREF_STOCK" hidden="1">"c1417"</definedName>
    <definedName name="IQ_REDUCTION_TAX_POSITION_CURRENT_YR" hidden="1">"c15734"</definedName>
    <definedName name="IQ_REDUCTION_TAX_POSITION_PRIOR_YRS" hidden="1">"c15736"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INSURANCE_RECOVERABLE_ASSETS_LH_FFIEC" hidden="1">"c13104"</definedName>
    <definedName name="IQ_REINSURANCE_RECOVERABLE_ASSETS_PC_FFIEC" hidden="1">"c13098"</definedName>
    <definedName name="IQ_RELATED_PLANS_FDIC" hidden="1">"c6320"</definedName>
    <definedName name="IQ_RENT_AVG_PROP" hidden="1">"c16056"</definedName>
    <definedName name="IQ_RENT_OTHER_INC_FROM_OREO_FFIEC" hidden="1">"c13043"</definedName>
    <definedName name="IQ_RENT_PER_SQ_FT_AVG_CONSOL" hidden="1">"c8846"</definedName>
    <definedName name="IQ_RENT_PER_SQ_FT_AVG_MANAGED" hidden="1">"c8848"</definedName>
    <definedName name="IQ_RENT_PER_SQ_FT_AVG_OTHER" hidden="1">"c8849"</definedName>
    <definedName name="IQ_RENT_PER_SQ_FT_AVG_TOTAL" hidden="1">"c8850"</definedName>
    <definedName name="IQ_RENT_PER_SQ_FT_AVG_UNCONSOL" hidden="1">"c8847"</definedName>
    <definedName name="IQ_RENT_PER_SQ_METER_AVG_CONSOL" hidden="1">"c8851"</definedName>
    <definedName name="IQ_RENT_PER_SQ_METER_AVG_MANAGED" hidden="1">"c8853"</definedName>
    <definedName name="IQ_RENT_PER_SQ_METER_AVG_OTHER" hidden="1">"c8854"</definedName>
    <definedName name="IQ_RENT_PER_SQ_METER_AVG_TOTAL" hidden="1">"c8855"</definedName>
    <definedName name="IQ_RENT_PER_SQ_METER_AVG_UNCONSOL" hidden="1">"c8852"</definedName>
    <definedName name="IQ_RENT_SAFE_DEPOSIT_FFIEC" hidden="1">"c13044"</definedName>
    <definedName name="IQ_RENTAL_NOI" hidden="1">"c16065"</definedName>
    <definedName name="IQ_RENTAL_NOI_AVG_GROSS_PROP" hidden="1">"c16057"</definedName>
    <definedName name="IQ_RENTAL_NOI_TOTAL_RENT_REVENUE" hidden="1">"c16061"</definedName>
    <definedName name="IQ_RENTAL_REV" hidden="1">"c1101"</definedName>
    <definedName name="IQ_REPAIRS_MAINTENANCE" hidden="1">"c16032"</definedName>
    <definedName name="IQ_REPRICEABLE_EARNING_ASSETS_INT_SENSITIVITY_FFIEC" hidden="1">"c13093"</definedName>
    <definedName name="IQ_REPRICEABLE_INT_DEPOSITS_INT_SENSITIVITY_FFIEC" hidden="1">"c13094"</definedName>
    <definedName name="IQ_REPURCHASED_REBOOKED_GNMA_DUE_30_89_FFIEC" hidden="1">"c13283"</definedName>
    <definedName name="IQ_REPURCHASED_REBOOKED_GNMA_DUE_90_FFIEC" hidden="1">"c13309"</definedName>
    <definedName name="IQ_REPURCHASED_REBOOKED_GNMA_NON_ACCRUAL_FFIEC" hidden="1">"c13334"</definedName>
    <definedName name="IQ_RES_CONST_REAL_APR_FC_UNUSED" hidden="1">"c8536"</definedName>
    <definedName name="IQ_RES_CONST_REAL_APR_FC_UNUSED_UNUSED_UNUSED" hidden="1">"c8536"</definedName>
    <definedName name="IQ_RES_CONST_REAL_APR_UNUSED" hidden="1">"c7656"</definedName>
    <definedName name="IQ_RES_CONST_REAL_APR_UNUSED_UNUSED_UNUSED" hidden="1">"c7656"</definedName>
    <definedName name="IQ_RES_CONST_REAL_FC_UNUSED" hidden="1">"c7876"</definedName>
    <definedName name="IQ_RES_CONST_REAL_FC_UNUSED_UNUSED_UNUSED" hidden="1">"c7876"</definedName>
    <definedName name="IQ_RES_CONST_REAL_POP_FC_UNUSED" hidden="1">"c8096"</definedName>
    <definedName name="IQ_RES_CONST_REAL_POP_FC_UNUSED_UNUSED_UNUSED" hidden="1">"c8096"</definedName>
    <definedName name="IQ_RES_CONST_REAL_POP_UNUSED" hidden="1">"c7216"</definedName>
    <definedName name="IQ_RES_CONST_REAL_POP_UNUSED_UNUSED_UNUSED" hidden="1">"c7216"</definedName>
    <definedName name="IQ_RES_CONST_REAL_SAAR_APR_FC_UNUSED" hidden="1">"c8537"</definedName>
    <definedName name="IQ_RES_CONST_REAL_SAAR_APR_FC_UNUSED_UNUSED_UNUSED" hidden="1">"c8537"</definedName>
    <definedName name="IQ_RES_CONST_REAL_SAAR_APR_UNUSED" hidden="1">"c7657"</definedName>
    <definedName name="IQ_RES_CONST_REAL_SAAR_APR_UNUSED_UNUSED_UNUSED" hidden="1">"c7657"</definedName>
    <definedName name="IQ_RES_CONST_REAL_SAAR_FC_UNUSED" hidden="1">"c7877"</definedName>
    <definedName name="IQ_RES_CONST_REAL_SAAR_FC_UNUSED_UNUSED_UNUSED" hidden="1">"c7877"</definedName>
    <definedName name="IQ_RES_CONST_REAL_SAAR_POP_FC_UNUSED" hidden="1">"c8097"</definedName>
    <definedName name="IQ_RES_CONST_REAL_SAAR_POP_FC_UNUSED_UNUSED_UNUSED" hidden="1">"c8097"</definedName>
    <definedName name="IQ_RES_CONST_REAL_SAAR_POP_UNUSED" hidden="1">"c7217"</definedName>
    <definedName name="IQ_RES_CONST_REAL_SAAR_POP_UNUSED_UNUSED_UNUSED" hidden="1">"c7217"</definedName>
    <definedName name="IQ_RES_CONST_REAL_SAAR_UNUSED" hidden="1">"c6997"</definedName>
    <definedName name="IQ_RES_CONST_REAL_SAAR_UNUSED_UNUSED_UNUSED" hidden="1">"c6997"</definedName>
    <definedName name="IQ_RES_CONST_REAL_SAAR_YOY_FC_UNUSED" hidden="1">"c8317"</definedName>
    <definedName name="IQ_RES_CONST_REAL_SAAR_YOY_FC_UNUSED_UNUSED_UNUSED" hidden="1">"c8317"</definedName>
    <definedName name="IQ_RES_CONST_REAL_SAAR_YOY_UNUSED" hidden="1">"c7437"</definedName>
    <definedName name="IQ_RES_CONST_REAL_SAAR_YOY_UNUSED_UNUSED_UNUSED" hidden="1">"c7437"</definedName>
    <definedName name="IQ_RES_CONST_REAL_UNUSED" hidden="1">"c6996"</definedName>
    <definedName name="IQ_RES_CONST_REAL_UNUSED_UNUSED_UNUSED" hidden="1">"c6996"</definedName>
    <definedName name="IQ_RES_CONST_REAL_YOY_FC_UNUSED" hidden="1">"c8316"</definedName>
    <definedName name="IQ_RES_CONST_REAL_YOY_FC_UNUSED_UNUSED_UNUSED" hidden="1">"c8316"</definedName>
    <definedName name="IQ_RES_CONST_REAL_YOY_UNUSED" hidden="1">"c7436"</definedName>
    <definedName name="IQ_RES_CONST_REAL_YOY_UNUSED_UNUSED_UNUSED" hidden="1">"c7436"</definedName>
    <definedName name="IQ_RES_CONST_SAAR_APR_FC_UNUSED" hidden="1">"c8540"</definedName>
    <definedName name="IQ_RES_CONST_SAAR_APR_FC_UNUSED_UNUSED_UNUSED" hidden="1">"c8540"</definedName>
    <definedName name="IQ_RES_CONST_SAAR_APR_UNUSED" hidden="1">"c7660"</definedName>
    <definedName name="IQ_RES_CONST_SAAR_APR_UNUSED_UNUSED_UNUSED" hidden="1">"c7660"</definedName>
    <definedName name="IQ_RES_CONST_SAAR_FC_UNUSED" hidden="1">"c7880"</definedName>
    <definedName name="IQ_RES_CONST_SAAR_FC_UNUSED_UNUSED_UNUSED" hidden="1">"c7880"</definedName>
    <definedName name="IQ_RES_CONST_SAAR_POP_FC_UNUSED" hidden="1">"c8100"</definedName>
    <definedName name="IQ_RES_CONST_SAAR_POP_FC_UNUSED_UNUSED_UNUSED" hidden="1">"c8100"</definedName>
    <definedName name="IQ_RES_CONST_SAAR_POP_UNUSED" hidden="1">"c7220"</definedName>
    <definedName name="IQ_RES_CONST_SAAR_POP_UNUSED_UNUSED_UNUSED" hidden="1">"c7220"</definedName>
    <definedName name="IQ_RES_CONST_SAAR_UNUSED" hidden="1">"c7000"</definedName>
    <definedName name="IQ_RES_CONST_SAAR_UNUSED_UNUSED_UNUSED" hidden="1">"c7000"</definedName>
    <definedName name="IQ_RES_CONST_SAAR_YOY_FC_UNUSED" hidden="1">"c8320"</definedName>
    <definedName name="IQ_RES_CONST_SAAR_YOY_FC_UNUSED_UNUSED_UNUSED" hidden="1">"c8320"</definedName>
    <definedName name="IQ_RES_CONST_SAAR_YOY_UNUSED" hidden="1">"c7440"</definedName>
    <definedName name="IQ_RES_CONST_SAAR_YOY_UNUSED_UNUSED_UNUSED" hidden="1">"c7440"</definedName>
    <definedName name="IQ_RES_FIXED_INVEST" hidden="1">"c7001"</definedName>
    <definedName name="IQ_RES_FIXED_INVEST_APR" hidden="1">"c7661"</definedName>
    <definedName name="IQ_RES_FIXED_INVEST_APR_FC" hidden="1">"c8541"</definedName>
    <definedName name="IQ_RES_FIXED_INVEST_FC" hidden="1">"c7881"</definedName>
    <definedName name="IQ_RES_FIXED_INVEST_POP" hidden="1">"c7221"</definedName>
    <definedName name="IQ_RES_FIXED_INVEST_POP_FC" hidden="1">"c8101"</definedName>
    <definedName name="IQ_RES_FIXED_INVEST_REAL" hidden="1">"c6998"</definedName>
    <definedName name="IQ_RES_FIXED_INVEST_REAL_APR" hidden="1">"c7658"</definedName>
    <definedName name="IQ_RES_FIXED_INVEST_REAL_APR_FC" hidden="1">"c8538"</definedName>
    <definedName name="IQ_RES_FIXED_INVEST_REAL_FC" hidden="1">"c7878"</definedName>
    <definedName name="IQ_RES_FIXED_INVEST_REAL_POP" hidden="1">"c7218"</definedName>
    <definedName name="IQ_RES_FIXED_INVEST_REAL_POP_FC" hidden="1">"c8098"</definedName>
    <definedName name="IQ_RES_FIXED_INVEST_REAL_YOY" hidden="1">"c7438"</definedName>
    <definedName name="IQ_RES_FIXED_INVEST_REAL_YOY_FC" hidden="1">"c8318"</definedName>
    <definedName name="IQ_RES_FIXED_INVEST_SAAR" hidden="1">"c11994"</definedName>
    <definedName name="IQ_RES_FIXED_INVEST_SAAR_APR" hidden="1">"c11997"</definedName>
    <definedName name="IQ_RES_FIXED_INVEST_SAAR_POP" hidden="1">"c11995"</definedName>
    <definedName name="IQ_RES_FIXED_INVEST_SAAR_REAL" hidden="1">"c11990"</definedName>
    <definedName name="IQ_RES_FIXED_INVEST_SAAR_REAL_APR" hidden="1">"c11993"</definedName>
    <definedName name="IQ_RES_FIXED_INVEST_SAAR_REAL_POP" hidden="1">"c11991"</definedName>
    <definedName name="IQ_RES_FIXED_INVEST_SAAR_REAL_YOY" hidden="1">"c11992"</definedName>
    <definedName name="IQ_RES_FIXED_INVEST_SAAR_YOY" hidden="1">"c11996"</definedName>
    <definedName name="IQ_RES_FIXED_INVEST_YOY" hidden="1">"c7441"</definedName>
    <definedName name="IQ_RES_FIXED_INVEST_YOY_FC" hidden="1">"c8321"</definedName>
    <definedName name="IQ_RESEARCH_DEV" hidden="1">"c1419"</definedName>
    <definedName name="IQ_RESIDENTIAL_LOANS" hidden="1">"c1102"</definedName>
    <definedName name="IQ_REST_ACQUIRED_AFFILIATED_OTHER_RESTAURANTS" hidden="1">"c9873"</definedName>
    <definedName name="IQ_REST_ACQUIRED_FRANCHISE_RESTAURANTS" hidden="1">"c9867"</definedName>
    <definedName name="IQ_REST_ACQUIRED_OWNED_RESTAURANTS" hidden="1">"c9861"</definedName>
    <definedName name="IQ_REST_ACQUIRED_RESTAURANTS" hidden="1">"c9855"</definedName>
    <definedName name="IQ_REST_AFFILIATED_OTHER_RESTAURANTS_BEG" hidden="1">"c9871"</definedName>
    <definedName name="IQ_REST_AVG_VALUE_TRANSACTION" hidden="1">"c9887"</definedName>
    <definedName name="IQ_REST_AVG_VALUE_TRANSACTION_GROWTH" hidden="1">"c9888"</definedName>
    <definedName name="IQ_REST_AVG_WEEKLY_SALES" hidden="1">"c9879"</definedName>
    <definedName name="IQ_REST_AVG_WEEKLY_SALES_FRANCHISE" hidden="1">"c9877"</definedName>
    <definedName name="IQ_REST_AVG_WEEKLY_SALES_OWNED" hidden="1">"c9878"</definedName>
    <definedName name="IQ_REST_CLOSED_AFFILIATED_OTHER_RESTAURANTS" hidden="1">"c9874"</definedName>
    <definedName name="IQ_REST_CLOSED_FRANCHISE_RESTAURANTS" hidden="1">"c9868"</definedName>
    <definedName name="IQ_REST_CLOSED_OWNED_RESTAURANTS" hidden="1">"c9862"</definedName>
    <definedName name="IQ_REST_CLOSED_RESTAURANTS" hidden="1">"c9856"</definedName>
    <definedName name="IQ_REST_FRANCHISE_RESTAURANTS_BEG" hidden="1">"c9865"</definedName>
    <definedName name="IQ_REST_GUEST_COUNT_GROWTH" hidden="1">"c9889"</definedName>
    <definedName name="IQ_REST_OPENED_AFFILIATED_OTHER_RESTAURANTS" hidden="1">"c9872"</definedName>
    <definedName name="IQ_REST_OPENED_FRANCHISE_RESTAURANTS" hidden="1">"c9866"</definedName>
    <definedName name="IQ_REST_OPENED_OWNED_RESTAURANTS" hidden="1">"c9860"</definedName>
    <definedName name="IQ_REST_OPENED_RESTAURANTS" hidden="1">"c9854"</definedName>
    <definedName name="IQ_REST_OPERATING_MARGIN" hidden="1">"c9886"</definedName>
    <definedName name="IQ_REST_OWNED_RESTAURANTS_BEG" hidden="1">"c9859"</definedName>
    <definedName name="IQ_REST_RESTAURANTS_BEG" hidden="1">"c9853"</definedName>
    <definedName name="IQ_REST_SAME_RESTAURANT_SALES" hidden="1">"c9885"</definedName>
    <definedName name="IQ_REST_SAME_RESTAURANT_SALES_FRANCHISE" hidden="1">"c9883"</definedName>
    <definedName name="IQ_REST_SAME_RESTAURANT_SALES_GROWTH" hidden="1">"c9882"</definedName>
    <definedName name="IQ_REST_SAME_RESTAURANT_SALES_GROWTH_FRANCHISE" hidden="1">"c9880"</definedName>
    <definedName name="IQ_REST_SAME_RESTAURANT_SALES_GROWTH_OWNED" hidden="1">"c9881"</definedName>
    <definedName name="IQ_REST_SAME_RESTAURANT_SALES_OWNED" hidden="1">"c9884"</definedName>
    <definedName name="IQ_REST_SOLD_AFFILIATED_OTHER_RESTAURANTS" hidden="1">"c9875"</definedName>
    <definedName name="IQ_REST_SOLD_FRANCHISE_RESTAURANTS" hidden="1">"c9869"</definedName>
    <definedName name="IQ_REST_SOLD_OWNED_RESTAURANTS" hidden="1">"c9863"</definedName>
    <definedName name="IQ_REST_SOLD_RESTAURANTS" hidden="1">"c9857"</definedName>
    <definedName name="IQ_REST_TOTAL_AFFILIATED_OTHER_RESTAURANTS" hidden="1">"c9876"</definedName>
    <definedName name="IQ_REST_TOTAL_FRANCHISE_RESTAURANTS" hidden="1">"c9870"</definedName>
    <definedName name="IQ_REST_TOTAL_OWNED_RESTAURANTS" hidden="1">"c9864"</definedName>
    <definedName name="IQ_REST_TOTAL_RESTAURANTS" hidden="1">"c9858"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FFIEC" hidden="1">"c12958"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SUPPLE" hidden="1">"c13809"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AFFILIATED_OTHER_STORES" hidden="1">"c9892"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FFILIATED_OTHER_STORES_BEG" hidden="1">"c9890"</definedName>
    <definedName name="IQ_RETAIL_AVG_SQ_METERS_GROSS" hidden="1">"c9908"</definedName>
    <definedName name="IQ_RETAIL_AVG_SQ_METERS_NET" hidden="1">"c9907"</definedName>
    <definedName name="IQ_RETAIL_AVG_STORE_SIZE_GROSS" hidden="1">"c2066"</definedName>
    <definedName name="IQ_RETAIL_AVG_STORE_SIZE_NET" hidden="1">"c2067"</definedName>
    <definedName name="IQ_RETAIL_AVG_VALUE_TRANSACTION" hidden="1">"c9915"</definedName>
    <definedName name="IQ_RETAIL_AVG_VALUE_TRANSACTION_GROWTH" hidden="1">"c9916"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ATALOG_REVENUES" hidden="1">"c9903"</definedName>
    <definedName name="IQ_RETAIL_CLOSED_AFFILIATED_OTHER_STORES" hidden="1">"c9893"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GROSS_MARGIN" hidden="1">"c9899"</definedName>
    <definedName name="IQ_RETAIL_IS_RATIO" hidden="1">"c7002"</definedName>
    <definedName name="IQ_RETAIL_IS_RATIO_FC" hidden="1">"c7882"</definedName>
    <definedName name="IQ_RETAIL_IS_RATIO_POP" hidden="1">"c7222"</definedName>
    <definedName name="IQ_RETAIL_IS_RATIO_POP_FC" hidden="1">"c8102"</definedName>
    <definedName name="IQ_RETAIL_IS_RATIO_YOY" hidden="1">"c7442"</definedName>
    <definedName name="IQ_RETAIL_IS_RATIO_YOY_FC" hidden="1">"c8322"</definedName>
    <definedName name="IQ_RETAIL_MERCHANDISE_MARGIN" hidden="1">"c9901"</definedName>
    <definedName name="IQ_RETAIL_ONLINE_REVENUES" hidden="1">"c9904"</definedName>
    <definedName name="IQ_RETAIL_OPENED_AFFILIATED_OTHER_STORES" hidden="1">"c9891"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PERATING_MARGIN" hidden="1">"c9900"</definedName>
    <definedName name="IQ_RETAIL_OWNED_STORES_BEG" hidden="1">"c2901"</definedName>
    <definedName name="IQ_RETAIL_REVENUES" hidden="1">"c9902"</definedName>
    <definedName name="IQ_RETAIL_SALES" hidden="1">"c7003"</definedName>
    <definedName name="IQ_RETAIL_SALES_APR" hidden="1">"c7663"</definedName>
    <definedName name="IQ_RETAIL_SALES_APR_FC" hidden="1">"c8543"</definedName>
    <definedName name="IQ_RETAIL_SALES_CATALOG" hidden="1">"c9903"</definedName>
    <definedName name="IQ_RETAIL_SALES_FC" hidden="1">"c7883"</definedName>
    <definedName name="IQ_RETAIL_SALES_FOOD" hidden="1">"c7004"</definedName>
    <definedName name="IQ_RETAIL_SALES_FOOD_APR" hidden="1">"c7664"</definedName>
    <definedName name="IQ_RETAIL_SALES_FOOD_APR_FC" hidden="1">"c8544"</definedName>
    <definedName name="IQ_RETAIL_SALES_FOOD_EXCL_VEHICLE" hidden="1">"c7005"</definedName>
    <definedName name="IQ_RETAIL_SALES_FOOD_EXCL_VEHICLE_APR" hidden="1">"c7665"</definedName>
    <definedName name="IQ_RETAIL_SALES_FOOD_EXCL_VEHICLE_APR_FC" hidden="1">"c8545"</definedName>
    <definedName name="IQ_RETAIL_SALES_FOOD_EXCL_VEHICLE_FC" hidden="1">"c7885"</definedName>
    <definedName name="IQ_RETAIL_SALES_FOOD_EXCL_VEHICLE_POP" hidden="1">"c7225"</definedName>
    <definedName name="IQ_RETAIL_SALES_FOOD_EXCL_VEHICLE_POP_FC" hidden="1">"c8105"</definedName>
    <definedName name="IQ_RETAIL_SALES_FOOD_EXCL_VEHICLE_YOY" hidden="1">"c7445"</definedName>
    <definedName name="IQ_RETAIL_SALES_FOOD_EXCL_VEHICLE_YOY_FC" hidden="1">"c8325"</definedName>
    <definedName name="IQ_RETAIL_SALES_FOOD_FC" hidden="1">"c7884"</definedName>
    <definedName name="IQ_RETAIL_SALES_FOOD_POP" hidden="1">"c7224"</definedName>
    <definedName name="IQ_RETAIL_SALES_FOOD_POP_FC" hidden="1">"c8104"</definedName>
    <definedName name="IQ_RETAIL_SALES_FOOD_YOY" hidden="1">"c7444"</definedName>
    <definedName name="IQ_RETAIL_SALES_FOOD_YOY_FC" hidden="1">"c8324"</definedName>
    <definedName name="IQ_RETAIL_SALES_ONLINE" hidden="1">"c9904"</definedName>
    <definedName name="IQ_RETAIL_SALES_POP" hidden="1">"c7223"</definedName>
    <definedName name="IQ_RETAIL_SALES_POP_FC" hidden="1">"c8103"</definedName>
    <definedName name="IQ_RETAIL_SALES_RETAIL" hidden="1">"c9902"</definedName>
    <definedName name="IQ_RETAIL_SALES_SAAR" hidden="1">"c7009"</definedName>
    <definedName name="IQ_RETAIL_SALES_SAAR_APR" hidden="1">"c7669"</definedName>
    <definedName name="IQ_RETAIL_SALES_SAAR_APR_FC" hidden="1">"c8549"</definedName>
    <definedName name="IQ_RETAIL_SALES_SAAR_FC" hidden="1">"c7889"</definedName>
    <definedName name="IQ_RETAIL_SALES_SAAR_POP" hidden="1">"c7229"</definedName>
    <definedName name="IQ_RETAIL_SALES_SAAR_POP_FC" hidden="1">"c8109"</definedName>
    <definedName name="IQ_RETAIL_SALES_SAAR_YOY" hidden="1">"c7449"</definedName>
    <definedName name="IQ_RETAIL_SALES_SAAR_YOY_FC" hidden="1">"c8329"</definedName>
    <definedName name="IQ_RETAIL_SALES_SQ_METER_COMPARABLE_GROSS" hidden="1">"c9914"</definedName>
    <definedName name="IQ_RETAIL_SALES_SQ_METER_COMPARABLE_NET" hidden="1">"c9913"</definedName>
    <definedName name="IQ_RETAIL_SALES_SQ_METER_GROSS" hidden="1">"c9910"</definedName>
    <definedName name="IQ_RETAIL_SALES_SQ_METER_NET" hidden="1">"c9909"</definedName>
    <definedName name="IQ_RETAIL_SALES_SQ_METER_OWNED_GROSS" hidden="1">"c9912"</definedName>
    <definedName name="IQ_RETAIL_SALES_SQ_METER_OWNED_NET" hidden="1">"c9911"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ALES_VALUE_INDEX" hidden="1">"c7006"</definedName>
    <definedName name="IQ_RETAIL_SALES_VALUE_INDEX_APR" hidden="1">"c7666"</definedName>
    <definedName name="IQ_RETAIL_SALES_VALUE_INDEX_APR_FC" hidden="1">"c8546"</definedName>
    <definedName name="IQ_RETAIL_SALES_VALUE_INDEX_FC" hidden="1">"c7886"</definedName>
    <definedName name="IQ_RETAIL_SALES_VALUE_INDEX_POP" hidden="1">"c7226"</definedName>
    <definedName name="IQ_RETAIL_SALES_VALUE_INDEX_POP_FC" hidden="1">"c8106"</definedName>
    <definedName name="IQ_RETAIL_SALES_VALUE_INDEX_YOY" hidden="1">"c7446"</definedName>
    <definedName name="IQ_RETAIL_SALES_VALUE_INDEX_YOY_FC" hidden="1">"c8326"</definedName>
    <definedName name="IQ_RETAIL_SALES_VOL_INDEX" hidden="1">"c7007"</definedName>
    <definedName name="IQ_RETAIL_SALES_VOL_INDEX_APR" hidden="1">"c7667"</definedName>
    <definedName name="IQ_RETAIL_SALES_VOL_INDEX_APR_FC" hidden="1">"c8547"</definedName>
    <definedName name="IQ_RETAIL_SALES_VOL_INDEX_EXCL_MOTOR" hidden="1">"c7008"</definedName>
    <definedName name="IQ_RETAIL_SALES_VOL_INDEX_EXCL_MOTOR_APR" hidden="1">"c7668"</definedName>
    <definedName name="IQ_RETAIL_SALES_VOL_INDEX_EXCL_MOTOR_APR_FC" hidden="1">"c8548"</definedName>
    <definedName name="IQ_RETAIL_SALES_VOL_INDEX_EXCL_MOTOR_FC" hidden="1">"c7888"</definedName>
    <definedName name="IQ_RETAIL_SALES_VOL_INDEX_EXCL_MOTOR_POP" hidden="1">"c7228"</definedName>
    <definedName name="IQ_RETAIL_SALES_VOL_INDEX_EXCL_MOTOR_POP_FC" hidden="1">"c8108"</definedName>
    <definedName name="IQ_RETAIL_SALES_VOL_INDEX_EXCL_MOTOR_YOY" hidden="1">"c7448"</definedName>
    <definedName name="IQ_RETAIL_SALES_VOL_INDEX_EXCL_MOTOR_YOY_FC" hidden="1">"c8328"</definedName>
    <definedName name="IQ_RETAIL_SALES_VOL_INDEX_FC" hidden="1">"c7887"</definedName>
    <definedName name="IQ_RETAIL_SALES_VOL_INDEX_POP" hidden="1">"c7227"</definedName>
    <definedName name="IQ_RETAIL_SALES_VOL_INDEX_POP_FC" hidden="1">"c8107"</definedName>
    <definedName name="IQ_RETAIL_SALES_VOL_INDEX_YOY" hidden="1">"c7447"</definedName>
    <definedName name="IQ_RETAIL_SALES_VOL_INDEX_YOY_FC" hidden="1">"c8327"</definedName>
    <definedName name="IQ_RETAIL_SALES_YOY" hidden="1">"c7443"</definedName>
    <definedName name="IQ_RETAIL_SALES_YOY_FC" hidden="1">"c8323"</definedName>
    <definedName name="IQ_RETAIL_SAME_STORE_SALES" hidden="1">"c9898"</definedName>
    <definedName name="IQ_RETAIL_SAME_STORE_SALES_FRANCHISE" hidden="1">"c9896"</definedName>
    <definedName name="IQ_RETAIL_SAME_STORE_SALES_OWNED" hidden="1">"c9897"</definedName>
    <definedName name="IQ_RETAIL_SOLD_AFFILIATED_OTHER_STORES" hidden="1">"c9894"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AFFILIATED_OTHER_STORES" hidden="1">"c9895"</definedName>
    <definedName name="IQ_RETAIL_TOTAL_FRANCHISE_STORES" hidden="1">"c2898"</definedName>
    <definedName name="IQ_RETAIL_TOTAL_OWNED_STORES" hidden="1">"c2906"</definedName>
    <definedName name="IQ_RETAIL_TOTAL_SQ_METERS_GROSS" hidden="1">"c9906"</definedName>
    <definedName name="IQ_RETAIL_TOTAL_SQ_METERS_NET" hidden="1">"c9905"</definedName>
    <definedName name="IQ_RETAIL_TOTAL_STORES" hidden="1">"c2061"</definedName>
    <definedName name="IQ_RETAIL_WHOLESALE_REVENUES" hidden="1">"c15895"</definedName>
    <definedName name="IQ_RETAINED_EARN" hidden="1">"c1420"</definedName>
    <definedName name="IQ_RETAINED_EARNINGS_AVERAGE_EQUITY_FDIC" hidden="1">"c6733"</definedName>
    <definedName name="IQ_RETAINED_EARNINGS_EQUITY_FFIEC" hidden="1">"c13348"</definedName>
    <definedName name="IQ_RETAINED_EARNINGS_FFIEC" hidden="1">"c12878"</definedName>
    <definedName name="IQ_RETURN_ASSETS" hidden="1">"c1113"</definedName>
    <definedName name="IQ_RETURN_ASSETS_ACT_OR_EST" hidden="1">"c3585"</definedName>
    <definedName name="IQ_RETURN_ASSETS_ACT_OR_EST_CIQ" hidden="1">"c12020"</definedName>
    <definedName name="IQ_RETURN_ASSETS_ACT_OR_EST_REUT" hidden="1">"c5475"</definedName>
    <definedName name="IQ_RETURN_ASSETS_ACT_OR_EST_THOM" hidden="1">"c5310"</definedName>
    <definedName name="IQ_RETURN_ASSETS_BANK" hidden="1">"c1114"</definedName>
    <definedName name="IQ_RETURN_ASSETS_BROK" hidden="1">"c1115"</definedName>
    <definedName name="IQ_RETURN_ASSETS_DET_EST" hidden="1">"c12066"</definedName>
    <definedName name="IQ_RETURN_ASSETS_DET_EST_CIQ" hidden="1">"c12130"</definedName>
    <definedName name="IQ_RETURN_ASSETS_DET_EST_DATE" hidden="1">"c12219"</definedName>
    <definedName name="IQ_RETURN_ASSETS_DET_EST_DATE_CIQ" hidden="1">"c12276"</definedName>
    <definedName name="IQ_RETURN_ASSETS_DET_EST_DATE_THOM" hidden="1">"c12247"</definedName>
    <definedName name="IQ_RETURN_ASSETS_DET_EST_INCL" hidden="1">"c12356"</definedName>
    <definedName name="IQ_RETURN_ASSETS_DET_EST_INCL_CIQ" hidden="1">"c12404"</definedName>
    <definedName name="IQ_RETURN_ASSETS_DET_EST_INCL_THOM" hidden="1">"c12379"</definedName>
    <definedName name="IQ_RETURN_ASSETS_DET_EST_ORIGIN" hidden="1">"c12591"</definedName>
    <definedName name="IQ_RETURN_ASSETS_DET_EST_ORIGIN_CIQ" hidden="1">"c12645"</definedName>
    <definedName name="IQ_RETURN_ASSETS_DET_EST_ORIGIN_THOM" hidden="1">"c12617"</definedName>
    <definedName name="IQ_RETURN_ASSETS_DET_EST_THOM" hidden="1">"c12097"</definedName>
    <definedName name="IQ_RETURN_ASSETS_EST" hidden="1">"c3529"</definedName>
    <definedName name="IQ_RETURN_ASSETS_EST_CIQ" hidden="1">"c3828"</definedName>
    <definedName name="IQ_RETURN_ASSETS_EST_REUT" hidden="1">"c3990"</definedName>
    <definedName name="IQ_RETURN_ASSETS_EST_THOM" hidden="1">"c4034"</definedName>
    <definedName name="IQ_RETURN_ASSETS_FDIC" hidden="1">"c6730"</definedName>
    <definedName name="IQ_RETURN_ASSETS_FS" hidden="1">"c1116"</definedName>
    <definedName name="IQ_RETURN_ASSETS_GUIDANCE" hidden="1">"c4517"</definedName>
    <definedName name="IQ_RETURN_ASSETS_GUIDANCE_CIQ" hidden="1">"c5055"</definedName>
    <definedName name="IQ_RETURN_ASSETS_HIGH_EST" hidden="1">"c3530"</definedName>
    <definedName name="IQ_RETURN_ASSETS_HIGH_EST_CIQ" hidden="1">"c3830"</definedName>
    <definedName name="IQ_RETURN_ASSETS_HIGH_EST_REUT" hidden="1">"c3992"</definedName>
    <definedName name="IQ_RETURN_ASSETS_HIGH_EST_THOM" hidden="1">"c4036"</definedName>
    <definedName name="IQ_RETURN_ASSETS_HIGH_GUIDANCE" hidden="1">"c4183"</definedName>
    <definedName name="IQ_RETURN_ASSETS_HIGH_GUIDANCE_CIQ" hidden="1">"c4595"</definedName>
    <definedName name="IQ_RETURN_ASSETS_LOW_EST" hidden="1">"c3531"</definedName>
    <definedName name="IQ_RETURN_ASSETS_LOW_EST_CIQ" hidden="1">"c3831"</definedName>
    <definedName name="IQ_RETURN_ASSETS_LOW_EST_REUT" hidden="1">"c3993"</definedName>
    <definedName name="IQ_RETURN_ASSETS_LOW_EST_THOM" hidden="1">"c4037"</definedName>
    <definedName name="IQ_RETURN_ASSETS_LOW_GUIDANCE" hidden="1">"c4223"</definedName>
    <definedName name="IQ_RETURN_ASSETS_LOW_GUIDANCE_CIQ" hidden="1">"c4635"</definedName>
    <definedName name="IQ_RETURN_ASSETS_MEDIAN_EST" hidden="1">"c3532"</definedName>
    <definedName name="IQ_RETURN_ASSETS_MEDIAN_EST_CIQ" hidden="1">"c3829"</definedName>
    <definedName name="IQ_RETURN_ASSETS_MEDIAN_EST_REUT" hidden="1">"c3991"</definedName>
    <definedName name="IQ_RETURN_ASSETS_MEDIAN_EST_THOM" hidden="1">"c4035"</definedName>
    <definedName name="IQ_RETURN_ASSETS_NUM_EST" hidden="1">"c3527"</definedName>
    <definedName name="IQ_RETURN_ASSETS_NUM_EST_CIQ" hidden="1">"c3832"</definedName>
    <definedName name="IQ_RETURN_ASSETS_NUM_EST_REUT" hidden="1">"c3994"</definedName>
    <definedName name="IQ_RETURN_ASSETS_NUM_EST_THOM" hidden="1">"c4038"</definedName>
    <definedName name="IQ_RETURN_ASSETS_STDDEV_EST" hidden="1">"c3528"</definedName>
    <definedName name="IQ_RETURN_ASSETS_STDDEV_EST_CIQ" hidden="1">"c3833"</definedName>
    <definedName name="IQ_RETURN_ASSETS_STDDEV_EST_REUT" hidden="1">"c3995"</definedName>
    <definedName name="IQ_RETURN_ASSETS_STDDEV_EST_THOM" hidden="1">"c4039"</definedName>
    <definedName name="IQ_RETURN_CAPITAL" hidden="1">"c1117"</definedName>
    <definedName name="IQ_RETURN_COMMON_EQUITY" hidden="1">"c13838"</definedName>
    <definedName name="IQ_RETURN_EMBEDDED_VALUE" hidden="1">"c9974"</definedName>
    <definedName name="IQ_RETURN_EQUITY" hidden="1">"c1118"</definedName>
    <definedName name="IQ_RETURN_EQUITY_ACT_OR_EST" hidden="1">"c3586"</definedName>
    <definedName name="IQ_RETURN_EQUITY_ACT_OR_EST_CIQ" hidden="1">"c12021"</definedName>
    <definedName name="IQ_RETURN_EQUITY_ACT_OR_EST_REUT" hidden="1">"c5476"</definedName>
    <definedName name="IQ_RETURN_EQUITY_ACT_OR_EST_THOM" hidden="1">"c5311"</definedName>
    <definedName name="IQ_RETURN_EQUITY_BANK" hidden="1">"c1119"</definedName>
    <definedName name="IQ_RETURN_EQUITY_BROK" hidden="1">"c1120"</definedName>
    <definedName name="IQ_RETURN_EQUITY_DET_EST" hidden="1">"c12067"</definedName>
    <definedName name="IQ_RETURN_EQUITY_DET_EST_CIQ" hidden="1">"c12131"</definedName>
    <definedName name="IQ_RETURN_EQUITY_DET_EST_DATE" hidden="1">"c12220"</definedName>
    <definedName name="IQ_RETURN_EQUITY_DET_EST_DATE_CIQ" hidden="1">"c12277"</definedName>
    <definedName name="IQ_RETURN_EQUITY_DET_EST_DATE_THOM" hidden="1">"c12248"</definedName>
    <definedName name="IQ_RETURN_EQUITY_DET_EST_INCL" hidden="1">"c12357"</definedName>
    <definedName name="IQ_RETURN_EQUITY_DET_EST_INCL_CIQ" hidden="1">"c12405"</definedName>
    <definedName name="IQ_RETURN_EQUITY_DET_EST_INCL_THOM" hidden="1">"c12380"</definedName>
    <definedName name="IQ_RETURN_EQUITY_DET_EST_ORIGIN" hidden="1">"c12592"</definedName>
    <definedName name="IQ_RETURN_EQUITY_DET_EST_ORIGIN_CIQ" hidden="1">"c12646"</definedName>
    <definedName name="IQ_RETURN_EQUITY_DET_EST_ORIGIN_THOM" hidden="1">"c12618"</definedName>
    <definedName name="IQ_RETURN_EQUITY_DET_EST_THOM" hidden="1">"c12098"</definedName>
    <definedName name="IQ_RETURN_EQUITY_EST" hidden="1">"c3535"</definedName>
    <definedName name="IQ_RETURN_EQUITY_EST_CIQ" hidden="1">"c3821"</definedName>
    <definedName name="IQ_RETURN_EQUITY_EST_REUT" hidden="1">"c3983"</definedName>
    <definedName name="IQ_RETURN_EQUITY_EST_THOM" hidden="1">"c5479"</definedName>
    <definedName name="IQ_RETURN_EQUITY_FDIC" hidden="1">"c6732"</definedName>
    <definedName name="IQ_RETURN_EQUITY_FS" hidden="1">"c1121"</definedName>
    <definedName name="IQ_RETURN_EQUITY_GUIDANCE" hidden="1">"c4518"</definedName>
    <definedName name="IQ_RETURN_EQUITY_GUIDANCE_CIQ" hidden="1">"c5056"</definedName>
    <definedName name="IQ_RETURN_EQUITY_HIGH_EST" hidden="1">"c3536"</definedName>
    <definedName name="IQ_RETURN_EQUITY_HIGH_EST_CIQ" hidden="1">"c3823"</definedName>
    <definedName name="IQ_RETURN_EQUITY_HIGH_EST_REUT" hidden="1">"c3985"</definedName>
    <definedName name="IQ_RETURN_EQUITY_HIGH_EST_THOM" hidden="1">"c5283"</definedName>
    <definedName name="IQ_RETURN_EQUITY_HIGH_GUIDANCE" hidden="1">"c4182"</definedName>
    <definedName name="IQ_RETURN_EQUITY_HIGH_GUIDANCE_CIQ" hidden="1">"c4594"</definedName>
    <definedName name="IQ_RETURN_EQUITY_LOW_EST" hidden="1">"c3537"</definedName>
    <definedName name="IQ_RETURN_EQUITY_LOW_EST_CIQ" hidden="1">"c3824"</definedName>
    <definedName name="IQ_RETURN_EQUITY_LOW_EST_REUT" hidden="1">"c3986"</definedName>
    <definedName name="IQ_RETURN_EQUITY_LOW_EST_THOM" hidden="1">"c5284"</definedName>
    <definedName name="IQ_RETURN_EQUITY_LOW_GUIDANCE" hidden="1">"c4222"</definedName>
    <definedName name="IQ_RETURN_EQUITY_LOW_GUIDANCE_CIQ" hidden="1">"c4634"</definedName>
    <definedName name="IQ_RETURN_EQUITY_MEDIAN_EST" hidden="1">"c3538"</definedName>
    <definedName name="IQ_RETURN_EQUITY_MEDIAN_EST_CIQ" hidden="1">"c3822"</definedName>
    <definedName name="IQ_RETURN_EQUITY_MEDIAN_EST_REUT" hidden="1">"c3984"</definedName>
    <definedName name="IQ_RETURN_EQUITY_MEDIAN_EST_THOM" hidden="1">"c5282"</definedName>
    <definedName name="IQ_RETURN_EQUITY_NUM_EST" hidden="1">"c3533"</definedName>
    <definedName name="IQ_RETURN_EQUITY_NUM_EST_CIQ" hidden="1">"c3825"</definedName>
    <definedName name="IQ_RETURN_EQUITY_NUM_EST_REUT" hidden="1">"c3987"</definedName>
    <definedName name="IQ_RETURN_EQUITY_NUM_EST_THOM" hidden="1">"c5285"</definedName>
    <definedName name="IQ_RETURN_EQUITY_STDDEV_EST" hidden="1">"c3534"</definedName>
    <definedName name="IQ_RETURN_EQUITY_STDDEV_EST_CIQ" hidden="1">"c3826"</definedName>
    <definedName name="IQ_RETURN_EQUITY_STDDEV_EST_REUT" hidden="1">"c3988"</definedName>
    <definedName name="IQ_RETURN_EQUITY_STDDEV_EST_THOM" hidden="1">"c5286"</definedName>
    <definedName name="IQ_RETURN_INVESTMENT" hidden="1">"c1421"</definedName>
    <definedName name="IQ_REV" hidden="1">"c1122"</definedName>
    <definedName name="IQ_REV_AP" hidden="1">"c8873"</definedName>
    <definedName name="IQ_REV_AP_ABS" hidden="1">"c8892"</definedName>
    <definedName name="IQ_REV_BEFORE_LL" hidden="1">"c1123"</definedName>
    <definedName name="IQ_REV_BEFORE_LOAN_LOSS_FOREIGN_FFIEC" hidden="1">"c15381"</definedName>
    <definedName name="IQ_REV_DET_EST" hidden="1">"c12065"</definedName>
    <definedName name="IQ_REV_DET_EST_CIQ" hidden="1">"c12129"</definedName>
    <definedName name="IQ_REV_DET_EST_CURRENCY" hidden="1">"c12472"</definedName>
    <definedName name="IQ_REV_DET_EST_CURRENCY_CIQ" hidden="1">"c12520"</definedName>
    <definedName name="IQ_REV_DET_EST_CURRENCY_THOM" hidden="1">"c12495"</definedName>
    <definedName name="IQ_REV_DET_EST_DATE" hidden="1">"c12218"</definedName>
    <definedName name="IQ_REV_DET_EST_DATE_CIQ" hidden="1">"c12275"</definedName>
    <definedName name="IQ_REV_DET_EST_DATE_THOM" hidden="1">"c12246"</definedName>
    <definedName name="IQ_REV_DET_EST_INCL" hidden="1">"c12355"</definedName>
    <definedName name="IQ_REV_DET_EST_INCL_CIQ" hidden="1">"c12403"</definedName>
    <definedName name="IQ_REV_DET_EST_INCL_THOM" hidden="1">"c12378"</definedName>
    <definedName name="IQ_REV_DET_EST_ORIGIN" hidden="1">"c12590"</definedName>
    <definedName name="IQ_REV_DET_EST_ORIGIN_CIQ" hidden="1">"c12644"</definedName>
    <definedName name="IQ_REV_DET_EST_ORIGIN_THOM" hidden="1">"c12616"</definedName>
    <definedName name="IQ_REV_DET_EST_THOM" hidden="1">"c12096"</definedName>
    <definedName name="IQ_REV_NAME_AP" hidden="1">"c8911"</definedName>
    <definedName name="IQ_REV_NAME_AP_ABS" hidden="1">"c8930"</definedName>
    <definedName name="IQ_REV_STDDEV_EST" hidden="1">"c1124"</definedName>
    <definedName name="IQ_REV_STDDEV_EST_CIQ" hidden="1">"c3621"</definedName>
    <definedName name="IQ_REV_STDDEV_EST_REUT" hidden="1">"c3639"</definedName>
    <definedName name="IQ_REV_STDDEV_EST_THOM" hidden="1">"c3657"</definedName>
    <definedName name="IQ_REV_UTI" hidden="1">"c1125"</definedName>
    <definedName name="IQ_REVALUATION_GAINS_DERIVATIVE_DOM_FFIEC" hidden="1">"c12828"</definedName>
    <definedName name="IQ_REVALUATION_GAINS_DERIVATIVE_FOREIGN_FFIEC" hidden="1">"c12829"</definedName>
    <definedName name="IQ_REVALUATION_GAINS_FDIC" hidden="1">"c6428"</definedName>
    <definedName name="IQ_REVALUATION_LOSSES_FDIC" hidden="1">"c6429"</definedName>
    <definedName name="IQ_REVALUATION_NON_TRADING_PROP" hidden="1">"c15999"</definedName>
    <definedName name="IQ_REVENUE" hidden="1">"c1422"</definedName>
    <definedName name="IQ_REVENUE_ACT_OR_EST" hidden="1">"c2214"</definedName>
    <definedName name="IQ_REVENUE_ACT_OR_EST_CIQ" hidden="1">"c5059"</definedName>
    <definedName name="IQ_REVENUE_ACT_OR_EST_REUT" hidden="1">"c5461"</definedName>
    <definedName name="IQ_REVENUE_ACT_OR_EST_THOM" hidden="1">"c5299"</definedName>
    <definedName name="IQ_REVENUE_ADVERTISING" hidden="1">"c2880"</definedName>
    <definedName name="IQ_REVENUE_ANALOG_CABLE" hidden="1">"c2875"</definedName>
    <definedName name="IQ_REVENUE_BASIC_CABLE" hidden="1">"c2877"</definedName>
    <definedName name="IQ_REVENUE_BBAND" hidden="1">"c2878"</definedName>
    <definedName name="IQ_REVENUE_BEFORE_LL_FFIEC" hidden="1">"c13018"</definedName>
    <definedName name="IQ_REVENUE_COMMERCIAL" hidden="1">"c2881"</definedName>
    <definedName name="IQ_REVENUE_DIGITAL_CABLE" hidden="1">"c2876"</definedName>
    <definedName name="IQ_REVENUE_EST" hidden="1">"c1126"</definedName>
    <definedName name="IQ_REVENUE_EST_BOTTOM_UP" hidden="1">"c5488"</definedName>
    <definedName name="IQ_REVENUE_EST_BOTTOM_UP_CIQ" hidden="1">"c12025"</definedName>
    <definedName name="IQ_REVENUE_EST_BOTTOM_UP_REUT" hidden="1">"c5496"</definedName>
    <definedName name="IQ_REVENUE_EST_CIQ" hidden="1">"c3616"</definedName>
    <definedName name="IQ_REVENUE_EST_REUT" hidden="1">"c3634"</definedName>
    <definedName name="IQ_REVENUE_EST_THOM" hidden="1">"c3652"</definedName>
    <definedName name="IQ_REVENUE_GUIDANCE" hidden="1">"c4519"</definedName>
    <definedName name="IQ_REVENUE_GUIDANCE_CIQ" hidden="1">"c5057"</definedName>
    <definedName name="IQ_REVENUE_HIGH_EST" hidden="1">"c1127"</definedName>
    <definedName name="IQ_REVENUE_HIGH_EST_CIQ" hidden="1">"c3618"</definedName>
    <definedName name="IQ_REVENUE_HIGH_EST_REUT" hidden="1">"c3636"</definedName>
    <definedName name="IQ_REVENUE_HIGH_EST_THOM" hidden="1">"c3654"</definedName>
    <definedName name="IQ_REVENUE_HIGH_GUIDANCE" hidden="1">"c4169"</definedName>
    <definedName name="IQ_REVENUE_HIGH_GUIDANCE_CIQ" hidden="1">"c4581"</definedName>
    <definedName name="IQ_REVENUE_LOW_EST" hidden="1">"c1128"</definedName>
    <definedName name="IQ_REVENUE_LOW_EST_CIQ" hidden="1">"c3619"</definedName>
    <definedName name="IQ_REVENUE_LOW_EST_REUT" hidden="1">"c3637"</definedName>
    <definedName name="IQ_REVENUE_LOW_EST_THOM" hidden="1">"c3655"</definedName>
    <definedName name="IQ_REVENUE_LOW_GUIDANCE" hidden="1">"c4209"</definedName>
    <definedName name="IQ_REVENUE_LOW_GUIDANCE_CIQ" hidden="1">"c4621"</definedName>
    <definedName name="IQ_REVENUE_MEDIAN_EST" hidden="1">"c1662"</definedName>
    <definedName name="IQ_REVENUE_MEDIAN_EST_CIQ" hidden="1">"c3617"</definedName>
    <definedName name="IQ_REVENUE_MEDIAN_EST_REUT" hidden="1">"c3635"</definedName>
    <definedName name="IQ_REVENUE_MEDIAN_EST_THOM" hidden="1">"c3653"</definedName>
    <definedName name="IQ_REVENUE_NUM_EST" hidden="1">"c1129"</definedName>
    <definedName name="IQ_REVENUE_NUM_EST_CIQ" hidden="1">"c3620"</definedName>
    <definedName name="IQ_REVENUE_NUM_EST_REUT" hidden="1">"c3638"</definedName>
    <definedName name="IQ_REVENUE_NUM_EST_THOM" hidden="1">"c3656"</definedName>
    <definedName name="IQ_REVENUE_OTHER" hidden="1">"c2882"</definedName>
    <definedName name="IQ_REVENUE_PHONE" hidden="1">"c2879"</definedName>
    <definedName name="IQ_REVENUE_TOTAL" hidden="1">"c2883"</definedName>
    <definedName name="IQ_REVENUES_SATELLITE" hidden="1">"c15792"</definedName>
    <definedName name="IQ_REVENUES_WIRELESS" hidden="1">"c15793"</definedName>
    <definedName name="IQ_REVISION_DATE_" hidden="1">40106.2992939815</definedName>
    <definedName name="IQ_REVOLV_OPEN_SECURED_1_4_LL_REC_DOM_FFIEC" hidden="1">"c12902"</definedName>
    <definedName name="IQ_REVOLVING_HOME_EQUITY_LINES_UNUSED_FFIEC" hidden="1">"c13241"</definedName>
    <definedName name="IQ_REVOLVING_LOANS_GROSS_LOANS_FFIEC" hidden="1">"c13398"</definedName>
    <definedName name="IQ_REVOLVING_LOANS_RISK_BASED_FFIEC" hidden="1">"c13419"</definedName>
    <definedName name="IQ_REVOLVING_LOANS_SEC_1_4_DOM_CHARGE_OFFS_FFIEC" hidden="1">"c13168"</definedName>
    <definedName name="IQ_REVOLVING_LOANS_SEC_1_4_DOM_RECOV_FFIEC" hidden="1">"c13190"</definedName>
    <definedName name="IQ_REVOLVING_OPEN_END_1_4_TRADING_DOM_FFIEC" hidden="1">"c12927"</definedName>
    <definedName name="IQ_REVOLVING_SECURED_1_4_DUE_30_89_FFIEC" hidden="1">"c13260"</definedName>
    <definedName name="IQ_REVOLVING_SECURED_1_4_DUE_90_FFIEC" hidden="1">"c13288"</definedName>
    <definedName name="IQ_REVOLVING_SECURED_1_4_NON_ACCRUAL_FFIEC" hidden="1">"c13314"</definedName>
    <definedName name="IQ_RGU" hidden="1">"c2863"</definedName>
    <definedName name="IQ_RISK_ADJ_BANK_ASSETS" hidden="1">"c2670"</definedName>
    <definedName name="IQ_RISK_WEIGHTED_ASSETS_0_PCT_FFIEC" hidden="1">"c18874"</definedName>
    <definedName name="IQ_RISK_WEIGHTED_ASSETS_100_PCT_FFIEC" hidden="1">"c18877"</definedName>
    <definedName name="IQ_RISK_WEIGHTED_ASSETS_20_PCT_FFIEC" hidden="1">"c18875"</definedName>
    <definedName name="IQ_RISK_WEIGHTED_ASSETS_50_PCT_FFIEC" hidden="1">"c18876"</definedName>
    <definedName name="IQ_RISK_WEIGHTED_ASSETS_FDIC" hidden="1">"c6370"</definedName>
    <definedName name="IQ_ROAM_MIN_USE_OTHER_CARRIERS" hidden="1">"c15765"</definedName>
    <definedName name="IQ_ROYALTIES_DUE_AFTER_FIVE" hidden="1">"c15969"</definedName>
    <definedName name="IQ_ROYALTIES_DUE_CY" hidden="1">"c15964"</definedName>
    <definedName name="IQ_ROYALTIES_DUE_CY1" hidden="1">"c15965"</definedName>
    <definedName name="IQ_ROYALTIES_DUE_CY2" hidden="1">"c15966"</definedName>
    <definedName name="IQ_ROYALTIES_DUE_CY3" hidden="1">"c15967"</definedName>
    <definedName name="IQ_ROYALTIES_DUE_CY4" hidden="1">"c15968"</definedName>
    <definedName name="IQ_ROYALTY_REVENUE_COAL" hidden="1">"c15932"</definedName>
    <definedName name="IQ_RSI" hidden="1">"c12704"</definedName>
    <definedName name="IQ_RSI_ADJ" hidden="1">"c12705"</definedName>
    <definedName name="IQ_SALARIED_WORKFORCE" hidden="1">"c7010"</definedName>
    <definedName name="IQ_SALARIED_WORKFORCE_APR" hidden="1">"c7670"</definedName>
    <definedName name="IQ_SALARIED_WORKFORCE_APR_FC" hidden="1">"c8550"</definedName>
    <definedName name="IQ_SALARIED_WORKFORCE_FC" hidden="1">"c7890"</definedName>
    <definedName name="IQ_SALARIED_WORKFORCE_POP" hidden="1">"c7230"</definedName>
    <definedName name="IQ_SALARIED_WORKFORCE_POP_FC" hidden="1">"c8110"</definedName>
    <definedName name="IQ_SALARIED_WORKFORCE_YOY" hidden="1">"c7450"</definedName>
    <definedName name="IQ_SALARIED_WORKFORCE_YOY_FC" hidden="1">"c8330"</definedName>
    <definedName name="IQ_SALARIES_EMPLOYEE_BENEFITS_FFIEC" hidden="1">"c13023"</definedName>
    <definedName name="IQ_SALARIES_OTHER_BENEFITS" hidden="1">"c16176"</definedName>
    <definedName name="IQ_SALARY" hidden="1">"c1130"</definedName>
    <definedName name="IQ_SALARY_FDIC" hidden="1">"c6576"</definedName>
    <definedName name="IQ_SALE_COMMON_GROSS_FFIEC" hidden="1">"c12963"</definedName>
    <definedName name="IQ_SALE_CONVERSION_ACQUISITION_NET_COMMON_FFIEC" hidden="1">"c15351"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PREF_FFIEC" hidden="1">"c12961"</definedName>
    <definedName name="IQ_SALE_PROP" hidden="1">"c16029"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_TREASURY_FFIEC" hidden="1">"c12965"</definedName>
    <definedName name="IQ_SALES_COAL" hidden="1">"c15930"</definedName>
    <definedName name="IQ_SALES_MARKETING" hidden="1">"c2240"</definedName>
    <definedName name="IQ_SALES_TO_TOTAL_REVENUE_COAL" hidden="1">"c15943"</definedName>
    <definedName name="IQ_SAME_PROP_AGG_GLA" hidden="1">"c16055"</definedName>
    <definedName name="IQ_SAME_PROP_AGG_UNITS" hidden="1">"c16053"</definedName>
    <definedName name="IQ_SAME_PROP_EXPENSE" hidden="1">"c16050"</definedName>
    <definedName name="IQ_SAME_PROP_EXPENSE_GROWTH" hidden="1">"c16051"</definedName>
    <definedName name="IQ_SAME_PROP_NUMBER_PROP" hidden="1">"c16052"</definedName>
    <definedName name="IQ_SAME_PROP_PORTFOLIO_AREA" hidden="1">"c16054"</definedName>
    <definedName name="IQ_SAME_PROP_REV_GROWTH" hidden="1">"c16049"</definedName>
    <definedName name="IQ_SAME_PROP_REVENUE" hidden="1">"c16048"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AVINGS_ACCT_DEPOSITS_TOTAL_DEPOSITS" hidden="1">"c15721"</definedName>
    <definedName name="IQ_SAVINGS_DEPOSITS_NON_TRANS_ACCTS_FFIEC" hidden="1">"c15329"</definedName>
    <definedName name="IQ_SAVINGS_DEPOSITS_QUARTERLY_AVG_FFIEC" hidden="1">"c15485"</definedName>
    <definedName name="IQ_SAVINGS_RATE_DISP_INC_PCT" hidden="1">"c7011"</definedName>
    <definedName name="IQ_SAVINGS_RATE_DISP_INC_PCT_FC" hidden="1">"c7891"</definedName>
    <definedName name="IQ_SAVINGS_RATE_DISP_INC_PCT_POP" hidden="1">"c7231"</definedName>
    <definedName name="IQ_SAVINGS_RATE_DISP_INC_PCT_POP_FC" hidden="1">"c8111"</definedName>
    <definedName name="IQ_SAVINGS_RATE_DISP_INC_PCT_YOY" hidden="1">"c7451"</definedName>
    <definedName name="IQ_SAVINGS_RATE_DISP_INC_PCT_YOY_FC" hidden="1">"c8331"</definedName>
    <definedName name="IQ_SAVINGS_RATE_GDP_PCT" hidden="1">"c7012"</definedName>
    <definedName name="IQ_SAVINGS_RATE_GDP_PCT_FC" hidden="1">"c7892"</definedName>
    <definedName name="IQ_SAVINGS_RATE_GDP_PCT_POP" hidden="1">"c7232"</definedName>
    <definedName name="IQ_SAVINGS_RATE_GDP_PCT_POP_FC" hidden="1">"c8112"</definedName>
    <definedName name="IQ_SAVINGS_RATE_GDP_PCT_YOY" hidden="1">"c7452"</definedName>
    <definedName name="IQ_SAVINGS_RATE_GDP_PCT_YOY_FC" hidden="1">"c8332"</definedName>
    <definedName name="IQ_SAVINGS_RATE_PERSONAL_INC_PCT" hidden="1">"c7013"</definedName>
    <definedName name="IQ_SAVINGS_RATE_PERSONAL_INC_PCT_FC" hidden="1">"c7893"</definedName>
    <definedName name="IQ_SAVINGS_RATE_PERSONAL_INC_PCT_POP" hidden="1">"c7233"</definedName>
    <definedName name="IQ_SAVINGS_RATE_PERSONAL_INC_PCT_POP_FC" hidden="1">"c8113"</definedName>
    <definedName name="IQ_SAVINGS_RATE_PERSONAL_INC_PCT_YOY" hidden="1">"c7453"</definedName>
    <definedName name="IQ_SAVINGS_RATE_PERSONAL_INC_PCT_YOY_FC" hidden="1">"c8333"</definedName>
    <definedName name="IQ_SBC_EXPENSE_FFIEC" hidden="1">"c13077"</definedName>
    <definedName name="IQ_SCALABLE_INFRASTRUCTURE_CABLE_INVEST" hidden="1">"c15802"</definedName>
    <definedName name="IQ_SEC_1_4_CONSTRUCTION_DOM_CHARGE_OFFS_FFIEC" hidden="1">"c13165"</definedName>
    <definedName name="IQ_SEC_1_4_CONSTRUCTION_DOM_RECOV_FFIEC" hidden="1">"c13187"</definedName>
    <definedName name="IQ_SEC_BORROWED_OFF_BS_FFIEC" hidden="1">"c13127"</definedName>
    <definedName name="IQ_SEC_FARMLAND_DOM_CHARGE_OFFS_FFIEC" hidden="1">"c13167"</definedName>
    <definedName name="IQ_SEC_FARMLAND_DOM_RECOV_FFIEC" hidden="1">"c13189"</definedName>
    <definedName name="IQ_SEC_FUNDS_PURCHASED_ASSETS_TOT_FFIEC" hidden="1">"c13447"</definedName>
    <definedName name="IQ_SEC_ISSUED_US_AVAIL_SALE_FFIEC" hidden="1">"c12795"</definedName>
    <definedName name="IQ_SEC_ISSUED_US_TRADING_DOM_FFIEC" hidden="1">"c12920"</definedName>
    <definedName name="IQ_SEC_ISSUED_US_TRADING_FFIEC" hidden="1">"c12815"</definedName>
    <definedName name="IQ_SEC_MULTIFAM_DOM_CHARGE_OFFS_FFIEC" hidden="1">"c13171"</definedName>
    <definedName name="IQ_SEC_MULTIFAM_DOM_DUE_30_89_FFIEC" hidden="1">"c13263"</definedName>
    <definedName name="IQ_SEC_MULTIFAM_DOM_DUE_90_FFIEC" hidden="1">"c13291"</definedName>
    <definedName name="IQ_SEC_MULTIFAM_DOM_NON_ACCRUAL_FFIEC" hidden="1">"c13317"</definedName>
    <definedName name="IQ_SEC_MULTIFAM_DOM_RECOV_FFIEC" hidden="1">"c13193"</definedName>
    <definedName name="IQ_SEC_NONFARM_NONRES_CHARGE_OFFS_FFIEC" hidden="1">"c13629"</definedName>
    <definedName name="IQ_SEC_NONFARM_NONRES_DOM_OFFICES_DUE_30_89_FFIEC" hidden="1">"c13264"</definedName>
    <definedName name="IQ_SEC_NONFARM_NONRES_DOM_OFFICES_DUE_90_FFIEC" hidden="1">"c13292"</definedName>
    <definedName name="IQ_SEC_NONFARM_NONRES_DOM_OFFICES_NON_ACCRUAL_FFIEC" hidden="1">"c13318"</definedName>
    <definedName name="IQ_SEC_NONFARM_NONRES_RECOV_FFIEC" hidden="1">"c13633"</definedName>
    <definedName name="IQ_SEC_OTHER_CONSTRUCTION_DOM_CHARGE_OFFS_FFIEC" hidden="1">"c13166"</definedName>
    <definedName name="IQ_SEC_OTHER_CONSTRUCTION_DOM_RECOV_FFIEC" hidden="1">"c13188"</definedName>
    <definedName name="IQ_SEC_OTHER_NONFARM_NONRES_CHARGE_OFFS_FFIEC" hidden="1">"c13173"</definedName>
    <definedName name="IQ_SEC_OTHER_NONFARM_NONRES_DUE_30_89_FFIEC" hidden="1">"c13266"</definedName>
    <definedName name="IQ_SEC_OTHER_NONFARM_NONRES_DUE_90_FFIEC" hidden="1">"c13637"</definedName>
    <definedName name="IQ_SEC_OTHER_NONFARM_NONRES_NON_ACCRUAL_FFIEC" hidden="1">"c15462"</definedName>
    <definedName name="IQ_SEC_OTHER_NONFARM_NONRES_RECOV_FFIEC" hidden="1">"c13195"</definedName>
    <definedName name="IQ_SEC_OWNER_NONFARM_NONRES_CHARGE_OFFS_FFIEC" hidden="1">"c13172"</definedName>
    <definedName name="IQ_SEC_OWNER_NONFARM_NONRES_DUE_30_89_FFIEC" hidden="1">"c13265"</definedName>
    <definedName name="IQ_SEC_OWNER_NONFARM_NONRES_DUE_90_FFIEC" hidden="1">"c13636"</definedName>
    <definedName name="IQ_SEC_OWNER_NONFARM_NONRES_NON_ACCRUAL_FFIEC" hidden="1">"c15461"</definedName>
    <definedName name="IQ_SEC_OWNER_NONFARM_NONRES_RECOV_FFIEC" hidden="1">"c13194"</definedName>
    <definedName name="IQ_SEC_PURCHASED_RESELL" hidden="1">"c5513"</definedName>
    <definedName name="IQ_SEC_PURCHASED_RESELL_FFIEC" hidden="1">"c12807"</definedName>
    <definedName name="IQ_SEC_RE_FOREIGN_DUE_30_89_FFIEC" hidden="1">"c13267"</definedName>
    <definedName name="IQ_SEC_RE_FOREIGN_DUE_90_FFIEC" hidden="1">"c13293"</definedName>
    <definedName name="IQ_SEC_RE_FOREIGN_NON_ACCRUAL_FFIEC" hidden="1">"c13319"</definedName>
    <definedName name="IQ_SEC_SOLD_REPURCHASE_FFIEC" hidden="1">"c12857"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DOM_DUE_30_89_FFIEC" hidden="1">"c13259"</definedName>
    <definedName name="IQ_SECURED_FARMLAND_DOM_DUE_90_FFIEC" hidden="1">"c13287"</definedName>
    <definedName name="IQ_SECURED_FARMLAND_DOM_NON_ACCRUAL_FFIEC" hidden="1">"c13313"</definedName>
    <definedName name="IQ_SECURED_FARMLAND_LL_REC_DOM_FFIEC" hidden="1">"c12901"</definedName>
    <definedName name="IQ_SECURED_FARMLAND_NET_CHARGE_OFFS_FDIC" hidden="1">"c6631"</definedName>
    <definedName name="IQ_SECURED_FARMLAND_RECOVERIES_FDIC" hidden="1">"c6612"</definedName>
    <definedName name="IQ_SECURED_MULTI_RES_LL_REC_DOM_FFIEC" hidden="1">"c12905"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HELD_MATURITY_FFIEC" hidden="1">"c12777"</definedName>
    <definedName name="IQ_SECURITIES_ISSUED_STATES_FDIC" hidden="1">"c6300"</definedName>
    <definedName name="IQ_SECURITIES_ISSUED_US_FFIEC" hidden="1">"c12781"</definedName>
    <definedName name="IQ_SECURITIES_LENT_FDIC" hidden="1">"c6532"</definedName>
    <definedName name="IQ_SECURITIES_LENT_FFIEC" hidden="1">"c13255"</definedName>
    <definedName name="IQ_SECURITIES_QUARTERLY_AVG_FFIEC" hidden="1">"c13079"</definedName>
    <definedName name="IQ_SECURITIES_STATE_POLI_SUBD_QUARTERLY_AVG_FFIEC" hidden="1">"c15470"</definedName>
    <definedName name="IQ_SECURITIES_UNDERWRITING_FDIC" hidden="1">"c6529"</definedName>
    <definedName name="IQ_SECURITIES_UNDERWRITING_UNUSED_FFIEC" hidden="1">"c13247"</definedName>
    <definedName name="IQ_SECURITIZATION_INC_OPERATING_INC_FFIEC" hidden="1">"c13390"</definedName>
    <definedName name="IQ_SECURITIZATION_INCOME_FFIEC" hidden="1">"c13012"</definedName>
    <definedName name="IQ_SECURITY_ACTIVE_STATUS" hidden="1">"c15160"</definedName>
    <definedName name="IQ_SECURITY_BORROW" hidden="1">"c1152"</definedName>
    <definedName name="IQ_SECURITY_LEVEL" hidden="1">"c2159"</definedName>
    <definedName name="IQ_SECURITY_NAME" hidden="1">"c15159"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LECTED_FOREIGN_ASSETS_FFIEC" hidden="1">"c13485"</definedName>
    <definedName name="IQ_SEMI_BACKLOG" hidden="1">"c10005"</definedName>
    <definedName name="IQ_SEMI_BACKLOG_AVG_PRICE" hidden="1">"c10006"</definedName>
    <definedName name="IQ_SEMI_BACKLOG_VALUE" hidden="1">"c10007"</definedName>
    <definedName name="IQ_SEMI_BOOK_TO_BILL_RATIO" hidden="1">"c10008"</definedName>
    <definedName name="IQ_SEMI_ORDER_AVG_PRICE" hidden="1">"c10002"</definedName>
    <definedName name="IQ_SEMI_ORDER_VALUE" hidden="1">"c10003"</definedName>
    <definedName name="IQ_SEMI_ORDER_VALUE_CHANGE" hidden="1">"c10004"</definedName>
    <definedName name="IQ_SEMI_ORDERS" hidden="1">"c10001"</definedName>
    <definedName name="IQ_SEMI_WARRANTY_RES_ACQ" hidden="1">"c10011"</definedName>
    <definedName name="IQ_SEMI_WARRANTY_RES_BEG" hidden="1">"c10009"</definedName>
    <definedName name="IQ_SEMI_WARRANTY_RES_END" hidden="1">"c10014"</definedName>
    <definedName name="IQ_SEMI_WARRANTY_RES_ISS" hidden="1">"c10010"</definedName>
    <definedName name="IQ_SEMI_WARRANTY_RES_OTHER" hidden="1">"c10013"</definedName>
    <definedName name="IQ_SEMI_WARRANTY_RES_PAY" hidden="1">"c10012"</definedName>
    <definedName name="IQ_SEP_ACCOUNT_ASSETS_LH_FFIEC" hidden="1">"c13105"</definedName>
    <definedName name="IQ_SEPARATE_ACCOUNT_LIAB_LH_FFIEC" hidden="1">"c13108"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DEPOSIT_ACCOUNTS_DOM_FFIEC" hidden="1">"c13003"</definedName>
    <definedName name="IQ_SERVICE_CHARGES_FDIC" hidden="1">"c6572"</definedName>
    <definedName name="IQ_SERVICE_CHARGES_OPERATING_INC_FFIEC" hidden="1">"c13384"</definedName>
    <definedName name="IQ_SERVICE_FEE" hidden="1">"c8951"</definedName>
    <definedName name="IQ_SERVICING_FEES_FFIEC" hidden="1">"c13011"</definedName>
    <definedName name="IQ_SERVICING_FEES_OPERATING_INC_FFIEC" hidden="1">"c13389"</definedName>
    <definedName name="IQ_SETTLEMENTS_TAX_AUTHORITIES" hidden="1">"c15737"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_PARTNERSHIP_ASSETS" hidden="1">"c16071"</definedName>
    <definedName name="IQ_SHARE_PARTNERSHIP_CURRENT_ASSETS" hidden="1">"c16069"</definedName>
    <definedName name="IQ_SHARE_PARTNERSHIP_CURRENT_LIAB" hidden="1">"c16073"</definedName>
    <definedName name="IQ_SHARE_PARTNERSHIP_CURRENT_TAX" hidden="1">"c16091"</definedName>
    <definedName name="IQ_SHARE_PARTNERSHIP_DEBT" hidden="1">"c16078"</definedName>
    <definedName name="IQ_SHARE_PARTNERSHIP_DEFERRED_TAX" hidden="1">"c16092"</definedName>
    <definedName name="IQ_SHARE_PARTNERSHIP_DEPRECIATION" hidden="1">"c16089"</definedName>
    <definedName name="IQ_SHARE_PARTNERSHIP_FLOAT_DEBT" hidden="1">"c16077"</definedName>
    <definedName name="IQ_SHARE_PARTNERSHIP_FR_DEBT" hidden="1">"c16076"</definedName>
    <definedName name="IQ_SHARE_PARTNERSHIP_INT_EXPENSE" hidden="1">"c16088"</definedName>
    <definedName name="IQ_SHARE_PARTNERSHIP_INT_INCOME" hidden="1">"c16090"</definedName>
    <definedName name="IQ_SHARE_PARTNERSHIP_LIAB" hidden="1">"c16075"</definedName>
    <definedName name="IQ_SHARE_PARTNERSHIP_LT_ASSETS" hidden="1">"c16070"</definedName>
    <definedName name="IQ_SHARE_PARTNERSHIP_NOI" hidden="1">"c16084"</definedName>
    <definedName name="IQ_SHARE_PARTNERSHIP_NON_CURRENT_LIAB" hidden="1">"c16074"</definedName>
    <definedName name="IQ_SHARE_PARTNERSHIP_OPEX" hidden="1">"c16086"</definedName>
    <definedName name="IQ_SHARE_PARTNERSHIP_OTHER_EXPENSE" hidden="1">"c16087"</definedName>
    <definedName name="IQ_SHARE_PARTNERSHIP_OTHER_INCOME" hidden="1">"c16085"</definedName>
    <definedName name="IQ_SHARE_PARTNERSHIP_REVENUE" hidden="1">"c16083"</definedName>
    <definedName name="IQ_SHARE_RE_ASSET" hidden="1">"c16082"</definedName>
    <definedName name="IQ_SHARE_RE_ASSET_DEVELOP_PROP" hidden="1">"c16080"</definedName>
    <definedName name="IQ_SHARE_RE_ASSET_INV_PROP" hidden="1">"c16079"</definedName>
    <definedName name="IQ_SHARE_RE_ASSET_OTHER" hidden="1">"c16081"</definedName>
    <definedName name="IQ_SHAREOUTSTANDING" hidden="1">"c1347"</definedName>
    <definedName name="IQ_SHARES_PER_DR" hidden="1">"c204"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POSITIONS_FFIEC" hidden="1">"c12859"</definedName>
    <definedName name="IQ_SHORT_TERM_INVEST" hidden="1">"c1425"</definedName>
    <definedName name="IQ_SMALL_INT_BEAR_CD" hidden="1">"c11748"</definedName>
    <definedName name="IQ_SOC_SEC_RECEIPTS_SAAR_USD_APR_FC" hidden="1">"c12005"</definedName>
    <definedName name="IQ_SOC_SEC_RECEIPTS_SAAR_USD_FC" hidden="1">"c12002"</definedName>
    <definedName name="IQ_SOC_SEC_RECEIPTS_SAAR_USD_POP_FC" hidden="1">"c12003"</definedName>
    <definedName name="IQ_SOC_SEC_RECEIPTS_SAAR_USD_YOY_FC" hidden="1">"c12004"</definedName>
    <definedName name="IQ_SOC_SEC_RECEIPTS_USD_APR_FC" hidden="1">"c12001"</definedName>
    <definedName name="IQ_SOC_SEC_RECEIPTS_USD_FC" hidden="1">"c11998"</definedName>
    <definedName name="IQ_SOC_SEC_RECEIPTS_USD_POP_FC" hidden="1">"c11999"</definedName>
    <definedName name="IQ_SOC_SEC_RECEIPTS_USD_YOY_FC" hidden="1">"c12000"</definedName>
    <definedName name="IQ_SOCIAL_SEC_RECEIPTS" hidden="1">"c7015"</definedName>
    <definedName name="IQ_SOCIAL_SEC_RECEIPTS_APR" hidden="1">"c7675"</definedName>
    <definedName name="IQ_SOCIAL_SEC_RECEIPTS_APR_FC" hidden="1">"c8555"</definedName>
    <definedName name="IQ_SOCIAL_SEC_RECEIPTS_FC" hidden="1">"c7895"</definedName>
    <definedName name="IQ_SOCIAL_SEC_RECEIPTS_POP" hidden="1">"c7235"</definedName>
    <definedName name="IQ_SOCIAL_SEC_RECEIPTS_POP_FC" hidden="1">"c8115"</definedName>
    <definedName name="IQ_SOCIAL_SEC_RECEIPTS_SAAR" hidden="1">"c7016"</definedName>
    <definedName name="IQ_SOCIAL_SEC_RECEIPTS_SAAR_APR" hidden="1">"c7676"</definedName>
    <definedName name="IQ_SOCIAL_SEC_RECEIPTS_SAAR_APR_FC" hidden="1">"c8556"</definedName>
    <definedName name="IQ_SOCIAL_SEC_RECEIPTS_SAAR_FC" hidden="1">"c7896"</definedName>
    <definedName name="IQ_SOCIAL_SEC_RECEIPTS_SAAR_POP" hidden="1">"c7236"</definedName>
    <definedName name="IQ_SOCIAL_SEC_RECEIPTS_SAAR_POP_FC" hidden="1">"c8116"</definedName>
    <definedName name="IQ_SOCIAL_SEC_RECEIPTS_SAAR_YOY" hidden="1">"c7456"</definedName>
    <definedName name="IQ_SOCIAL_SEC_RECEIPTS_SAAR_YOY_FC" hidden="1">"c8336"</definedName>
    <definedName name="IQ_SOCIAL_SEC_RECEIPTS_YOY" hidden="1">"c7455"</definedName>
    <definedName name="IQ_SOCIAL_SEC_RECEIPTS_YOY_FC" hidden="1">"c8335"</definedName>
    <definedName name="IQ_SOFTWARE" hidden="1">"c1167"</definedName>
    <definedName name="IQ_SOLD_COAL" hidden="1">"c15936"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PECIFIC_ALLOWANCE" hidden="1">"c15247"</definedName>
    <definedName name="IQ_SQ_FT_LEASED_GROSS_CONSOL" hidden="1">"c8820"</definedName>
    <definedName name="IQ_SQ_FT_LEASED_GROSS_MANAGED" hidden="1">"c8822"</definedName>
    <definedName name="IQ_SQ_FT_LEASED_GROSS_OTHER" hidden="1">"c8823"</definedName>
    <definedName name="IQ_SQ_FT_LEASED_GROSS_TOTAL" hidden="1">"c8824"</definedName>
    <definedName name="IQ_SQ_FT_LEASED_GROSS_UNCONSOL" hidden="1">"c8821"</definedName>
    <definedName name="IQ_SQ_FT_LEASED_NET_CONSOL" hidden="1">"c8825"</definedName>
    <definedName name="IQ_SQ_FT_LEASED_NET_MANAGED" hidden="1">"c8827"</definedName>
    <definedName name="IQ_SQ_FT_LEASED_NET_OTHER" hidden="1">"c8828"</definedName>
    <definedName name="IQ_SQ_FT_LEASED_NET_TOTAL" hidden="1">"c8829"</definedName>
    <definedName name="IQ_SQ_FT_LEASED_NET_UNCONSOL" hidden="1">"c8826"</definedName>
    <definedName name="IQ_SQ_METER_LEASED_GROSS_CONSOL" hidden="1">"c8830"</definedName>
    <definedName name="IQ_SQ_METER_LEASED_GROSS_MANAGED" hidden="1">"c8832"</definedName>
    <definedName name="IQ_SQ_METER_LEASED_GROSS_OTHER" hidden="1">"c8833"</definedName>
    <definedName name="IQ_SQ_METER_LEASED_GROSS_TOTAL" hidden="1">"c8834"</definedName>
    <definedName name="IQ_SQ_METER_LEASED_GROSS_UNCONSOL" hidden="1">"c8831"</definedName>
    <definedName name="IQ_SQ_METER_LEASED_NET_CONSOL" hidden="1">"c8835"</definedName>
    <definedName name="IQ_SQ_METER_LEASED_NET_MANAGED" hidden="1">"c8837"</definedName>
    <definedName name="IQ_SQ_METER_LEASED_NET_OTHER" hidden="1">"c8838"</definedName>
    <definedName name="IQ_SQ_METER_LEASED_NET_TOTAL" hidden="1">"c8839"</definedName>
    <definedName name="IQ_SQ_METER_LEASED_NET_UNCONSOL" hidden="1">"c8836"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ASSETS_TOT_FFIEC" hidden="1">"c13438"</definedName>
    <definedName name="IQ_ST_INVEST_ST_NONCORE_FUNDING_FFIEC" hidden="1">"c13338"</definedName>
    <definedName name="IQ_ST_INVEST_UTI" hidden="1">"c1198"</definedName>
    <definedName name="IQ_ST_NOTE_RECEIV" hidden="1">"c1199"</definedName>
    <definedName name="IQ_STAND_REC_DET_EST" hidden="1">"c12069"</definedName>
    <definedName name="IQ_STAND_REC_DET_EST_CIQ" hidden="1">"c12133"</definedName>
    <definedName name="IQ_STAND_REC_DET_EST_DATE" hidden="1">"c12222"</definedName>
    <definedName name="IQ_STAND_REC_DET_EST_DATE_CIQ" hidden="1">"c12279"</definedName>
    <definedName name="IQ_STAND_REC_DET_EST_DATE_THOM" hidden="1">"c12250"</definedName>
    <definedName name="IQ_STAND_REC_DET_EST_ORIGIN" hidden="1">"c12594"</definedName>
    <definedName name="IQ_STAND_REC_DET_EST_ORIGIN_CIQ" hidden="1">"c12648"</definedName>
    <definedName name="IQ_STAND_REC_DET_EST_ORIGIN_THOM" hidden="1">"c12620"</definedName>
    <definedName name="IQ_STAND_REC_DET_EST_THOM" hidden="1">"c12100"</definedName>
    <definedName name="IQ_STAND_REC_NUM_DET_EST" hidden="1">"c12068"</definedName>
    <definedName name="IQ_STAND_REC_NUM_DET_EST_CIQ" hidden="1">"c12132"</definedName>
    <definedName name="IQ_STAND_REC_NUM_DET_EST_DATE" hidden="1">"c12221"</definedName>
    <definedName name="IQ_STAND_REC_NUM_DET_EST_DATE_CIQ" hidden="1">"c12278"</definedName>
    <definedName name="IQ_STAND_REC_NUM_DET_EST_DATE_THOM" hidden="1">"c12249"</definedName>
    <definedName name="IQ_STAND_REC_NUM_DET_EST_ORIGIN" hidden="1">"c12593"</definedName>
    <definedName name="IQ_STAND_REC_NUM_DET_EST_ORIGIN_CIQ" hidden="1">"c12647"</definedName>
    <definedName name="IQ_STAND_REC_NUM_DET_EST_ORIGIN_THOM" hidden="1">"c12619"</definedName>
    <definedName name="IQ_STAND_REC_NUM_DET_EST_THOM" hidden="1">"c12099"</definedName>
    <definedName name="IQ_STANDBY_LOC_FHLB_BANK_BEHALF_OFF_BS_FFIEC" hidden="1">"c15412"</definedName>
    <definedName name="IQ_STATE" hidden="1">"c1200"</definedName>
    <definedName name="IQ_STATE_LOCAL_SPENDING_SAAR" hidden="1">"c7017"</definedName>
    <definedName name="IQ_STATE_LOCAL_SPENDING_SAAR_APR" hidden="1">"c7677"</definedName>
    <definedName name="IQ_STATE_LOCAL_SPENDING_SAAR_APR_FC" hidden="1">"c8557"</definedName>
    <definedName name="IQ_STATE_LOCAL_SPENDING_SAAR_FC" hidden="1">"c7897"</definedName>
    <definedName name="IQ_STATE_LOCAL_SPENDING_SAAR_POP" hidden="1">"c7237"</definedName>
    <definedName name="IQ_STATE_LOCAL_SPENDING_SAAR_POP_FC" hidden="1">"c8117"</definedName>
    <definedName name="IQ_STATE_LOCAL_SPENDING_SAAR_YOY" hidden="1">"c7457"</definedName>
    <definedName name="IQ_STATE_LOCAL_SPENDING_SAAR_YOY_FC" hidden="1">"c8337"</definedName>
    <definedName name="IQ_STATES_NONTRANSACTION_ACCOUNTS_FDIC" hidden="1">"c6547"</definedName>
    <definedName name="IQ_STATES_POLI_SUBD_US_NON_TRANS_ACCTS_FFIEC" hidden="1">"c15324"</definedName>
    <definedName name="IQ_STATES_POLI_SUBD_US_TRANS_ACCTS_FFIEC" hidden="1">"c15316"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ATUTORY_SURPLUS_GAAP_EQUITY" hidden="1">"c15883"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EST" hidden="1">"c4520"</definedName>
    <definedName name="IQ_STOCK_BASED_EST_CIQ" hidden="1">"c5073"</definedName>
    <definedName name="IQ_STOCK_BASED_EXPLORE_DRILL" hidden="1">"c13851"</definedName>
    <definedName name="IQ_STOCK_BASED_GA" hidden="1">"c2993"</definedName>
    <definedName name="IQ_STOCK_BASED_HIGH_EST" hidden="1">"c4521"</definedName>
    <definedName name="IQ_STOCK_BASED_HIGH_EST_CIQ" hidden="1">"c5074"</definedName>
    <definedName name="IQ_STOCK_BASED_LOW_EST" hidden="1">"c4522"</definedName>
    <definedName name="IQ_STOCK_BASED_LOW_EST_CIQ" hidden="1">"c5075"</definedName>
    <definedName name="IQ_STOCK_BASED_MEDIAN_EST" hidden="1">"c4523"</definedName>
    <definedName name="IQ_STOCK_BASED_MEDIAN_EST_CIQ" hidden="1">"c5076"</definedName>
    <definedName name="IQ_STOCK_BASED_NUM_EST" hidden="1">"c4524"</definedName>
    <definedName name="IQ_STOCK_BASED_NUM_EST_CIQ" hidden="1">"c5077"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STDDEV_EST" hidden="1">"c4525"</definedName>
    <definedName name="IQ_STOCK_BASED_STDDEV_EST_CIQ" hidden="1">"c5078"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IGHT_LINE_RENT_ADJ" hidden="1">"c16178"</definedName>
    <definedName name="IQ_STRATEGY_NOTE" hidden="1">"c6791"</definedName>
    <definedName name="IQ_STRIKE_PRICE_ISSUED" hidden="1">"c1645"</definedName>
    <definedName name="IQ_STRIKE_PRICE_OS" hidden="1">"c1646"</definedName>
    <definedName name="IQ_STRIPS_RECEIVABLE_MORTGAGE_LOANS_FFIEC" hidden="1">"c12844"</definedName>
    <definedName name="IQ_STRIPS_RECEIVABLE_OTHER_FFIEC" hidden="1">"c12845"</definedName>
    <definedName name="IQ_STRUCT_FIN_CLASS" hidden="1">"c8950"</definedName>
    <definedName name="IQ_STRUCT_FIN_SERIES" hidden="1">"c8956"</definedName>
    <definedName name="IQ_STRUCTURED_NOTES_INVEST_SECURITIES_FFIEC" hidden="1">"c13468"</definedName>
    <definedName name="IQ_STRUCTURING_NOTES_TIER_1_FFIEC" hidden="1">"c13344"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B_NOTES_DEBENTURES_FAIR_VALUE_TOT_FFIEC" hidden="1">"c15410"</definedName>
    <definedName name="IQ_SUB_NOTES_DEBENTURES_FFIEC" hidden="1">"c12867"</definedName>
    <definedName name="IQ_SUB_NOTES_DEBENTURES_LEVEL_1_FFIEC" hidden="1">"c15432"</definedName>
    <definedName name="IQ_SUB_NOTES_DEBENTURES_LEVEL_2_FFIEC" hidden="1">"c15445"</definedName>
    <definedName name="IQ_SUB_NOTES_DEBENTURES_LEVEL_3_FFIEC" hidden="1">"c15458"</definedName>
    <definedName name="IQ_SUB_NOTES_PAYABLE_UNCONSOLIDATED_TRUSTS_FFIEC" hidden="1">"c12868"</definedName>
    <definedName name="IQ_SUBS_ANALOG_CABLE" hidden="1">"c2855"</definedName>
    <definedName name="IQ_SUBS_BASIC_CABLE" hidden="1">"c2857"</definedName>
    <definedName name="IQ_SUBS_BBAND" hidden="1">"c2858"</definedName>
    <definedName name="IQ_SUBS_BUNDLED" hidden="1">"c2861"</definedName>
    <definedName name="IQ_SUBS_DIG_CABLE" hidden="1">"c2856"</definedName>
    <definedName name="IQ_SUBS_NON_VIDEO" hidden="1">"c2860"</definedName>
    <definedName name="IQ_SUBS_PHONE" hidden="1">"c2859"</definedName>
    <definedName name="IQ_SUBS_POSTPAID_WIRELESS" hidden="1">"c2118"</definedName>
    <definedName name="IQ_SUBS_PREPAID_WIRELESS" hidden="1">"c2117"</definedName>
    <definedName name="IQ_SUBS_RESELL_WHOLESALE_WIRELESS" hidden="1">"c15749"</definedName>
    <definedName name="IQ_SUBS_TOTAL" hidden="1">"c2862"</definedName>
    <definedName name="IQ_SUBS_TOTAL_WIRELESS" hidden="1">"c2119"</definedName>
    <definedName name="IQ_SUPPLIES_FFIEC" hidden="1">"c13050"</definedName>
    <definedName name="IQ_SUPPORT_INFRASTRUCTURE_CABLE_INVEST" hidden="1">"c15805"</definedName>
    <definedName name="IQ_SURFACE_RESERVES_COAL" hidden="1">"c15920"</definedName>
    <definedName name="IQ_SURFACE_RESERVES_TO_TOTAL_RESERVES_COAL" hidden="1">"c15959"</definedName>
    <definedName name="IQ_SURPLUS_FDIC" hidden="1">"c6351"</definedName>
    <definedName name="IQ_SURPLUS_FFIEC" hidden="1">"c12877"</definedName>
    <definedName name="IQ_SVA" hidden="1">"c1214"</definedName>
    <definedName name="IQ_SYNTHETIC_STRUCTURED_PRODUCTS_AVAIL_SALE_FFIEC" hidden="1">"c15264"</definedName>
    <definedName name="IQ_SYNTHETIC_STRUCTURED_PRODUCTS_FFIEC" hidden="1">"c15261"</definedName>
    <definedName name="IQ_TANGIBLE_ASSETS_FFIEC" hidden="1">"c13916"</definedName>
    <definedName name="IQ_TANGIBLE_COMMON_EQUITY_FFIEC" hidden="1">"c13914"</definedName>
    <definedName name="IQ_TANGIBLE_EQUITY_ASSETS_FFIEC" hidden="1">"c13346"</definedName>
    <definedName name="IQ_TANGIBLE_EQUITY_FFIEC" hidden="1">"c13915"</definedName>
    <definedName name="IQ_TANGIBLE_TIER_1_LEVERAGE_FFIEC" hidden="1">"c13345"</definedName>
    <definedName name="IQ_TARGET_PRICE_DET_EST" hidden="1">"c12070"</definedName>
    <definedName name="IQ_TARGET_PRICE_DET_EST_CIQ" hidden="1">"c12134"</definedName>
    <definedName name="IQ_TARGET_PRICE_DET_EST_CURRENCY" hidden="1">"c12475"</definedName>
    <definedName name="IQ_TARGET_PRICE_DET_EST_CURRENCY_CIQ" hidden="1">"c12523"</definedName>
    <definedName name="IQ_TARGET_PRICE_DET_EST_CURRENCY_THOM" hidden="1">"c12498"</definedName>
    <definedName name="IQ_TARGET_PRICE_DET_EST_DATE" hidden="1">"c12223"</definedName>
    <definedName name="IQ_TARGET_PRICE_DET_EST_DATE_CIQ" hidden="1">"c12280"</definedName>
    <definedName name="IQ_TARGET_PRICE_DET_EST_DATE_THOM" hidden="1">"c12251"</definedName>
    <definedName name="IQ_TARGET_PRICE_DET_EST_INCL" hidden="1">"c12358"</definedName>
    <definedName name="IQ_TARGET_PRICE_DET_EST_INCL_CIQ" hidden="1">"c12406"</definedName>
    <definedName name="IQ_TARGET_PRICE_DET_EST_INCL_THOM" hidden="1">"c12381"</definedName>
    <definedName name="IQ_TARGET_PRICE_DET_EST_ORIGIN" hidden="1">"c12729"</definedName>
    <definedName name="IQ_TARGET_PRICE_DET_EST_ORIGIN_CIQ" hidden="1">"c12730"</definedName>
    <definedName name="IQ_TARGET_PRICE_DET_EST_ORIGIN_THOM" hidden="1">"c12621"</definedName>
    <definedName name="IQ_TARGET_PRICE_DET_EST_THOM" hidden="1">"c12101"</definedName>
    <definedName name="IQ_TARGET_PRICE_NUM" hidden="1">"c1653"</definedName>
    <definedName name="IQ_TARGET_PRICE_NUM_CIQ" hidden="1">"c4661"</definedName>
    <definedName name="IQ_TARGET_PRICE_NUM_REUT" hidden="1">"c5319"</definedName>
    <definedName name="IQ_TARGET_PRICE_NUM_THOM" hidden="1">"c5098"</definedName>
    <definedName name="IQ_TARGET_PRICE_STDDEV" hidden="1">"c1654"</definedName>
    <definedName name="IQ_TARGET_PRICE_STDDEV_CIQ" hidden="1">"c4662"</definedName>
    <definedName name="IQ_TARGET_PRICE_STDDEV_REUT" hidden="1">"c5320"</definedName>
    <definedName name="IQ_TARGET_PRICE_STDDEV_THOM" hidden="1">"c5099"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AX_EQUIVALENT_ADJUSTMENTS_FFIEC" hidden="1">"c13854"</definedName>
    <definedName name="IQ_TAX_OTHER_EXP_AP" hidden="1">"c8878"</definedName>
    <definedName name="IQ_TAX_OTHER_EXP_AP_ABS" hidden="1">"c8897"</definedName>
    <definedName name="IQ_TAX_OTHER_EXP_NAME_AP" hidden="1">"c8916"</definedName>
    <definedName name="IQ_TAX_OTHER_EXP_NAME_AP_ABS" hidden="1">"c8935"</definedName>
    <definedName name="IQ_TAXES_ADJ_NOI_FFIEC" hidden="1">"c13395"</definedName>
    <definedName name="IQ_TAXES_NOI_FFIEC" hidden="1">"c13394"</definedName>
    <definedName name="IQ_TAXES_TE_AVG_ASSETS_FFIEC" hidden="1">"c13366"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EXCL_FFIEC" hidden="1">"c13516"</definedName>
    <definedName name="IQ_TBV_SHARE" hidden="1">"c1217"</definedName>
    <definedName name="IQ_TELECOM_FFIEC" hidden="1">"c13057"</definedName>
    <definedName name="IQ_TEMPLATE" hidden="1">"c1521"</definedName>
    <definedName name="IQ_TENANT" hidden="1">"c1218"</definedName>
    <definedName name="IQ_TENANT_LEASE_COMMISSION" hidden="1">"c16177"</definedName>
    <definedName name="IQ_TERM_LOANS" hidden="1">"c2499"</definedName>
    <definedName name="IQ_TERM_LOANS_PCT" hidden="1">"c2500"</definedName>
    <definedName name="IQ_TEV" hidden="1">"c1219"</definedName>
    <definedName name="IQ_TEV_DET_EST_CURRENCY_THOM" hidden="1">"c12499"</definedName>
    <definedName name="IQ_TEV_DET_EST_DATE_THOM" hidden="1">"c12252"</definedName>
    <definedName name="IQ_TEV_DET_EST_INCL_THOM" hidden="1">"c12382"</definedName>
    <definedName name="IQ_TEV_DET_EST_ORIGIN_THOM" hidden="1">"c12709"</definedName>
    <definedName name="IQ_TEV_DET_EST_THOM" hidden="1">"c12102"</definedName>
    <definedName name="IQ_TEV_EBIT" hidden="1">"c1220"</definedName>
    <definedName name="IQ_TEV_EBIT_AVG" hidden="1">"c1221"</definedName>
    <definedName name="IQ_TEV_EBIT_FWD" hidden="1">"c2238"</definedName>
    <definedName name="IQ_TEV_EBIT_FWD_CIQ" hidden="1">"c4047"</definedName>
    <definedName name="IQ_TEV_EBIT_FWD_REUT" hidden="1">"c4054"</definedName>
    <definedName name="IQ_TEV_EBIT_FWD_THOM" hidden="1">"c4061"</definedName>
    <definedName name="IQ_TEV_EBITDA" hidden="1">"c1222"</definedName>
    <definedName name="IQ_TEV_EBITDA_AVG" hidden="1">"c1223"</definedName>
    <definedName name="IQ_TEV_EBITDA_FWD" hidden="1">"c1224"</definedName>
    <definedName name="IQ_TEV_EBITDA_FWD_CIQ" hidden="1">"c4043"</definedName>
    <definedName name="IQ_TEV_EBITDA_FWD_REUT" hidden="1">"c4050"</definedName>
    <definedName name="IQ_TEV_EBITDA_FWD_THOM" hidden="1">"c4057"</definedName>
    <definedName name="IQ_TEV_EMPLOYEE_AVG" hidden="1">"c1225"</definedName>
    <definedName name="IQ_TEV_EST" hidden="1">"c4526"</definedName>
    <definedName name="IQ_TEV_EST_CIQ" hidden="1">"c5079"</definedName>
    <definedName name="IQ_TEV_EST_THOM" hidden="1">"c5529"</definedName>
    <definedName name="IQ_TEV_HIGH_EST" hidden="1">"c4527"</definedName>
    <definedName name="IQ_TEV_HIGH_EST_CIQ" hidden="1">"c5080"</definedName>
    <definedName name="IQ_TEV_HIGH_EST_THOM" hidden="1">"c5530"</definedName>
    <definedName name="IQ_TEV_LOW_EST" hidden="1">"c4528"</definedName>
    <definedName name="IQ_TEV_LOW_EST_CIQ" hidden="1">"c5081"</definedName>
    <definedName name="IQ_TEV_LOW_EST_THOM" hidden="1">"c5531"</definedName>
    <definedName name="IQ_TEV_MEDIAN_EST" hidden="1">"c4529"</definedName>
    <definedName name="IQ_TEV_MEDIAN_EST_CIQ" hidden="1">"c5082"</definedName>
    <definedName name="IQ_TEV_MEDIAN_EST_THOM" hidden="1">"c5532"</definedName>
    <definedName name="IQ_TEV_NUM_EST" hidden="1">"c4530"</definedName>
    <definedName name="IQ_TEV_NUM_EST_CIQ" hidden="1">"c5083"</definedName>
    <definedName name="IQ_TEV_NUM_EST_THOM" hidden="1">"c5533"</definedName>
    <definedName name="IQ_TEV_STDDEV_EST" hidden="1">"c4531"</definedName>
    <definedName name="IQ_TEV_STDDEV_EST_CIQ" hidden="1">"c5084"</definedName>
    <definedName name="IQ_TEV_STDDEV_EST_THOM" hidden="1">"c5534"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CIQ" hidden="1">"c4044"</definedName>
    <definedName name="IQ_TEV_TOTAL_REV_FWD_REUT" hidden="1">"c4051"</definedName>
    <definedName name="IQ_TEV_TOTAL_REV_FWD_THOM" hidden="1">"c4058"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CAPITAL_BEFORE_CHARGES_T1_FFIEC" hidden="1">"c13139"</definedName>
    <definedName name="IQ_TIER_1_CAPITAL_FFIEC" hidden="1">"c13143"</definedName>
    <definedName name="IQ_TIER_1_LEVERAGE_RATIO_FFIEC" hidden="1">"c13160"</definedName>
    <definedName name="IQ_TIER_1_RISK_BASED_CAPITAL_RATIO_FDIC" hidden="1">"c6746"</definedName>
    <definedName name="IQ_TIER_1_RISK_BASED_CAPITAL_RATIO_FFIEC" hidden="1">"c13161"</definedName>
    <definedName name="IQ_TIER_2_CAPITAL_FFIEC" hidden="1">"c13149"</definedName>
    <definedName name="IQ_TIER_3_CAPITAL_ALLOCATED_MARKET_RISK_FFIEC" hidden="1">"c13151"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ER_TWO_CAPITAL_RATIO" hidden="1">"c15241"</definedName>
    <definedName name="IQ_TIME_DEP" hidden="1">"c1230"</definedName>
    <definedName name="IQ_TIME_DEPOSIT_LESS_100000_QUARTERLY_AVG_FFIEC" hidden="1">"c15487"</definedName>
    <definedName name="IQ_TIME_DEPOSIT_MORE_100000_QUARTERLY_AVG_FFIEC" hidden="1">"c15486"</definedName>
    <definedName name="IQ_TIME_DEPOSITS_LESS_100K_OTHER_INSTITUTIONS_FFIEC" hidden="1">"c12953"</definedName>
    <definedName name="IQ_TIME_DEPOSITS_LESS_100K_TOT_DEPOSITS_FFIEC" hidden="1">"c13907"</definedName>
    <definedName name="IQ_TIME_DEPOSITS_LESS_THAN_100K_FDIC" hidden="1">"c6465"</definedName>
    <definedName name="IQ_TIME_DEPOSITS_MORE_100K_OTHER_INSTITUTIONS_FFIEC" hidden="1">"c12954"</definedName>
    <definedName name="IQ_TIME_DEPOSITS_MORE_100K_TOT_DEPOSITS_FFIEC" hidden="1">"c13906"</definedName>
    <definedName name="IQ_TIME_DEPOSITS_MORE_THAN_100K_FDIC" hidden="1">"c6470"</definedName>
    <definedName name="IQ_TIME_DEPOSITS_TOTAL_DEPOSITS" hidden="1">"c15723"</definedName>
    <definedName name="IQ_TODAY" hidden="1">0</definedName>
    <definedName name="IQ_TOT_1_4_FAM_LOANS_TOT_LOANS_FFIEC" hidden="1">"c13868"</definedName>
    <definedName name="IQ_TOT_ADJ_INC" hidden="1">"c1616"</definedName>
    <definedName name="IQ_TOT_LEASES_TOT_LOANS_FFIEC" hidden="1">"c13876"</definedName>
    <definedName name="IQ_TOT_NON_RE_LOANS_TOT_LOANS_FFIEC" hidden="1">"c13877"</definedName>
    <definedName name="IQ_TOT_NONTRANS_ACCTS_TOT_DEPOSITS_FFIEC" hidden="1">"c13909"</definedName>
    <definedName name="IQ_TOT_RE_LOANS_TOT_LOANS_FFIEC" hidden="1">"c13873"</definedName>
    <definedName name="IQ_TOT_TIME_DEPOSITS_TOT_DEPOSITS_FFIEC" hidden="1">"c13908"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BNK_SUBTOTAL_AP" hidden="1">"c13644"</definedName>
    <definedName name="IQ_TOTAL_ASSETS_FAIR_VALUE_TOT_FFIEC" hidden="1">"c15405"</definedName>
    <definedName name="IQ_TOTAL_ASSETS_FDIC" hidden="1">"c6339"</definedName>
    <definedName name="IQ_TOTAL_ASSETS_FFIEC" hidden="1">"c12849"</definedName>
    <definedName name="IQ_TOTAL_ASSETS_LEVEL_1_FFIEC" hidden="1">"c15427"</definedName>
    <definedName name="IQ_TOTAL_ASSETS_LEVEL_2_FFIEC" hidden="1">"c15440"</definedName>
    <definedName name="IQ_TOTAL_ASSETS_LEVEL_3_FFIEC" hidden="1">"c15453"</definedName>
    <definedName name="IQ_TOTAL_ASSETS_LH_FFIEC" hidden="1">"c13106"</definedName>
    <definedName name="IQ_TOTAL_ASSETS_PC_FFIEC" hidden="1">"c13099"</definedName>
    <definedName name="IQ_TOTAL_ASSETS_SUBTOTAL_AP" hidden="1">"c8985"</definedName>
    <definedName name="IQ_TOTAL_ATTRIB_ORE_RESOURCES_ALUM" hidden="1">"c9241"</definedName>
    <definedName name="IQ_TOTAL_ATTRIB_ORE_RESOURCES_COP" hidden="1">"c9185"</definedName>
    <definedName name="IQ_TOTAL_ATTRIB_ORE_RESOURCES_DIAM" hidden="1">"c9665"</definedName>
    <definedName name="IQ_TOTAL_ATTRIB_ORE_RESOURCES_GOLD" hidden="1">"c9026"</definedName>
    <definedName name="IQ_TOTAL_ATTRIB_ORE_RESOURCES_IRON" hidden="1">"c9400"</definedName>
    <definedName name="IQ_TOTAL_ATTRIB_ORE_RESOURCES_LEAD" hidden="1">"c9453"</definedName>
    <definedName name="IQ_TOTAL_ATTRIB_ORE_RESOURCES_MANG" hidden="1">"c9506"</definedName>
    <definedName name="IQ_TOTAL_ATTRIB_ORE_RESOURCES_MOLYB" hidden="1">"c9718"</definedName>
    <definedName name="IQ_TOTAL_ATTRIB_ORE_RESOURCES_NICK" hidden="1">"c9294"</definedName>
    <definedName name="IQ_TOTAL_ATTRIB_ORE_RESOURCES_PLAT" hidden="1">"c9132"</definedName>
    <definedName name="IQ_TOTAL_ATTRIB_ORE_RESOURCES_SILVER" hidden="1">"c9079"</definedName>
    <definedName name="IQ_TOTAL_ATTRIB_ORE_RESOURCES_TITAN" hidden="1">"c9559"</definedName>
    <definedName name="IQ_TOTAL_ATTRIB_ORE_RESOURCES_URAN" hidden="1">"c9612"</definedName>
    <definedName name="IQ_TOTAL_ATTRIB_ORE_RESOURCES_ZINC" hidden="1">"c9347"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BEDS" hidden="1">"c8785"</definedName>
    <definedName name="IQ_TOTAL_BROKERED_DEPOSIT_FFIEC" hidden="1">"c15304"</definedName>
    <definedName name="IQ_TOTAL_CA" hidden="1">"c1243"</definedName>
    <definedName name="IQ_TOTAL_CA_SUBTOTAL_AP" hidden="1">"c8986"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DUE_DEPOSITORY_INSTIT_DOM_FFIEC" hidden="1">"c15291"</definedName>
    <definedName name="IQ_TOTAL_CASH_DUE_DEPOSITORY_INSTIT_FFIEC" hidden="1">"c15285"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L_SUBTOTAL_AP" hidden="1">"c8987"</definedName>
    <definedName name="IQ_TOTAL_COAL_PRODUCTION_COAL" hidden="1">"c9824"</definedName>
    <definedName name="IQ_TOTAL_COMMON" hidden="1">"c1411"</definedName>
    <definedName name="IQ_TOTAL_COMMON_EQUITY" hidden="1">"c1246"</definedName>
    <definedName name="IQ_TOTAL_COMMON_EQUITY_FFIEC" hidden="1">"c13913"</definedName>
    <definedName name="IQ_TOTAL_COMMON_EQUITY_TOTAL_ASSETS_FFIEC" hidden="1">"c13864"</definedName>
    <definedName name="IQ_TOTAL_COMMON_SHARES_OUT_FFIEC" hidden="1">"c12955"</definedName>
    <definedName name="IQ_TOTAL_CONSTRUCTION_LL_REC_DOM_FFIEC" hidden="1">"c13515"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CURRENT" hidden="1">"c6190"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ST" hidden="1">"c4532"</definedName>
    <definedName name="IQ_TOTAL_DEBT_EST_CIQ" hidden="1">"c5085"</definedName>
    <definedName name="IQ_TOTAL_DEBT_EXCL_FIN" hidden="1">"c2937"</definedName>
    <definedName name="IQ_TOTAL_DEBT_GUIDANCE" hidden="1">"c4533"</definedName>
    <definedName name="IQ_TOTAL_DEBT_GUIDANCE_CIQ" hidden="1">"c5086"</definedName>
    <definedName name="IQ_TOTAL_DEBT_HIGH_EST" hidden="1">"c4534"</definedName>
    <definedName name="IQ_TOTAL_DEBT_HIGH_EST_CIQ" hidden="1">"c5087"</definedName>
    <definedName name="IQ_TOTAL_DEBT_HIGH_GUIDANCE" hidden="1">"c4196"</definedName>
    <definedName name="IQ_TOTAL_DEBT_HIGH_GUIDANCE_CIQ" hidden="1">"c4608"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LOW_EST" hidden="1">"c4535"</definedName>
    <definedName name="IQ_TOTAL_DEBT_LOW_EST_CIQ" hidden="1">"c5088"</definedName>
    <definedName name="IQ_TOTAL_DEBT_LOW_GUIDANCE" hidden="1">"c4236"</definedName>
    <definedName name="IQ_TOTAL_DEBT_LOW_GUIDANCE_CIQ" hidden="1">"c4648"</definedName>
    <definedName name="IQ_TOTAL_DEBT_MEDIAN_EST" hidden="1">"c4536"</definedName>
    <definedName name="IQ_TOTAL_DEBT_MEDIAN_EST_CIQ" hidden="1">"c5089"</definedName>
    <definedName name="IQ_TOTAL_DEBT_NON_CURRENT" hidden="1">"c6191"</definedName>
    <definedName name="IQ_TOTAL_DEBT_NUM_EST" hidden="1">"c4537"</definedName>
    <definedName name="IQ_TOTAL_DEBT_NUM_EST_CIQ" hidden="1">"c5090"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BT_STDDEV_EST" hidden="1">"c4538"</definedName>
    <definedName name="IQ_TOTAL_DEBT_STDDEV_EST_CIQ" hidden="1">"c5091"</definedName>
    <definedName name="IQ_TOTAL_DEPOSITS" hidden="1">"c1265"</definedName>
    <definedName name="IQ_TOTAL_DEPOSITS_DOM_FFIEC" hidden="1">"c15313"</definedName>
    <definedName name="IQ_TOTAL_DEPOSITS_FDIC" hidden="1">"c6342"</definedName>
    <definedName name="IQ_TOTAL_DEPOSITS_FFIEC" hidden="1">"c13623"</definedName>
    <definedName name="IQ_TOTAL_DEPOSITS_SUPPLE" hidden="1">"c15253"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EQUITY_CAPITAL_T1_FFIEC" hidden="1">"c13130"</definedName>
    <definedName name="IQ_TOTAL_EQUITY_FFIEC" hidden="1">"c12881"</definedName>
    <definedName name="IQ_TOTAL_EQUITY_INCL_MINORITY_INTEREST_FFIEC" hidden="1">"c15278"</definedName>
    <definedName name="IQ_TOTAL_EQUITY_LH_FFIEC" hidden="1">"c13109"</definedName>
    <definedName name="IQ_TOTAL_EQUITY_PC_FFIEC" hidden="1">"c13102"</definedName>
    <definedName name="IQ_TOTAL_EQUITY_SUBTOTAL_AP" hidden="1">"c8989"</definedName>
    <definedName name="IQ_TOTAL_EQUITY_TOTAL_ASSETS_FFIEC" hidden="1">"c13863"</definedName>
    <definedName name="IQ_TOTAL_FOREIGN_DEPOSITS_FFIEC" hidden="1">"c15348"</definedName>
    <definedName name="IQ_TOTAL_FOREIGN_LOANS_QUARTERLY_AVG_FFIEC" hidden="1">"c15482"</definedName>
    <definedName name="IQ_TOTAL_IBF_ASSETS_CONSOL_BANK_FFIEC" hidden="1">"c15299"</definedName>
    <definedName name="IQ_TOTAL_IBF_LIABILITIES_FFIEC" hidden="1">"c15302"</definedName>
    <definedName name="IQ_TOTAL_IBF_LL_REC_FFIEC" hidden="1">"c15297"</definedName>
    <definedName name="IQ_TOTAL_INT_EXPENSE_FFIEC" hidden="1">"c13000"</definedName>
    <definedName name="IQ_TOTAL_INT_INCOME_FFIEC" hidden="1">"c12989"</definedName>
    <definedName name="IQ_TOTAL_INTEREST_EXP" hidden="1">"c1382"</definedName>
    <definedName name="IQ_TOTAL_INTEREST_EXP_FOREIGN_FFIEC" hidden="1">"c15374"</definedName>
    <definedName name="IQ_TOTAL_INTEREST_INC_FOREIGN_FFIEC" hidden="1">"c15373"</definedName>
    <definedName name="IQ_TOTAL_INVENTORY" hidden="1">"c1385"</definedName>
    <definedName name="IQ_TOTAL_INVEST" hidden="1">"c1275"</definedName>
    <definedName name="IQ_TOTAL_IRA_KEOGH_PLAN_ACCOUNTS_FFIEC" hidden="1">"c15303"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EQUITY_SUBTOTAL_AP" hidden="1">"c8988"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EQUITY_FFIEC" hidden="1">"c12882"</definedName>
    <definedName name="IQ_TOTAL_LIABILITIES_FAIR_VALUE_TOT_FFIEC" hidden="1">"c15411"</definedName>
    <definedName name="IQ_TOTAL_LIABILITIES_FDIC" hidden="1">"c6348"</definedName>
    <definedName name="IQ_TOTAL_LIABILITIES_FFIEC" hidden="1">"c12873"</definedName>
    <definedName name="IQ_TOTAL_LIABILITIES_LEVEL_1_FFIEC" hidden="1">"c15433"</definedName>
    <definedName name="IQ_TOTAL_LIABILITIES_LEVEL_2_FFIEC" hidden="1">"c15446"</definedName>
    <definedName name="IQ_TOTAL_LIABILITIES_LEVEL_3_FFIEC" hidden="1">"c15459"</definedName>
    <definedName name="IQ_TOTAL_LL_REC_DOM_FFIEC" hidden="1">"c12917"</definedName>
    <definedName name="IQ_TOTAL_LL_REC_FFIEC" hidden="1">"c12898"</definedName>
    <definedName name="IQ_TOTAL_LOANS" hidden="1">"c5653"</definedName>
    <definedName name="IQ_TOTAL_LOANS_DOM_QUARTERLY_AVG_FFIEC" hidden="1">"c15475"</definedName>
    <definedName name="IQ_TOTAL_LOANS_LEASES_AND_OTHER_DUE_30_89_FFIEC" hidden="1">"c15416"</definedName>
    <definedName name="IQ_TOTAL_LOANS_LEASES_AND_OTHER_DUE_90_FFIEC" hidden="1">"c15420"</definedName>
    <definedName name="IQ_TOTAL_LOANS_LEASES_AND_OTHER_NON_ACCRUAL_FFIEC" hidden="1">"c15466"</definedName>
    <definedName name="IQ_TOTAL_LOANS_LEASES_CHARGE_OFFS_FFIEC" hidden="1">"c13186"</definedName>
    <definedName name="IQ_TOTAL_LOANS_LEASES_DUE_30_89_FFIEC" hidden="1">"c13280"</definedName>
    <definedName name="IQ_TOTAL_LOANS_LEASES_DUE_90_FFIEC" hidden="1">"c13306"</definedName>
    <definedName name="IQ_TOTAL_LOANS_LEASES_NON_ACCRUAL_FFIEC" hidden="1">"c13757"</definedName>
    <definedName name="IQ_TOTAL_LOANS_LEASES_RECOV_FFIEC" hidden="1">"c13208"</definedName>
    <definedName name="IQ_TOTAL_LONG_DEBT" hidden="1">"c1617"</definedName>
    <definedName name="IQ_TOTAL_NON_REC" hidden="1">"c1444"</definedName>
    <definedName name="IQ_TOTAL_NON_TRANS_ACCTS_FFIEC" hidden="1">"c15328"</definedName>
    <definedName name="IQ_TOTAL_NONINTEREST_EXPENSE_FOREIGN_FFIEC" hidden="1">"c15386"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ERATING_EXPENSE" hidden="1">"c16047"</definedName>
    <definedName name="IQ_TOTAL_OPERATING_REVENUE" hidden="1">"c16030"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RE_RESOURCES_ALUM" hidden="1">"c9230"</definedName>
    <definedName name="IQ_TOTAL_ORE_RESOURCES_COP" hidden="1">"c9174"</definedName>
    <definedName name="IQ_TOTAL_ORE_RESOURCES_DIAM" hidden="1">"c9654"</definedName>
    <definedName name="IQ_TOTAL_ORE_RESOURCES_GOLD" hidden="1">"c9015"</definedName>
    <definedName name="IQ_TOTAL_ORE_RESOURCES_IRON" hidden="1">"c9389"</definedName>
    <definedName name="IQ_TOTAL_ORE_RESOURCES_LEAD" hidden="1">"c9442"</definedName>
    <definedName name="IQ_TOTAL_ORE_RESOURCES_MANG" hidden="1">"c9495"</definedName>
    <definedName name="IQ_TOTAL_ORE_RESOURCES_MOLYB" hidden="1">"c9707"</definedName>
    <definedName name="IQ_TOTAL_ORE_RESOURCES_NICK" hidden="1">"c9283"</definedName>
    <definedName name="IQ_TOTAL_ORE_RESOURCES_PLAT" hidden="1">"c9121"</definedName>
    <definedName name="IQ_TOTAL_ORE_RESOURCES_SILVER" hidden="1">"c9068"</definedName>
    <definedName name="IQ_TOTAL_ORE_RESOURCES_TITAN" hidden="1">"c9548"</definedName>
    <definedName name="IQ_TOTAL_ORE_RESOURCES_URAN" hidden="1">"c9601"</definedName>
    <definedName name="IQ_TOTAL_ORE_RESOURCES_ZINC" hidden="1">"c9336"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ENSION_OBLIGATION" hidden="1">"c1292"</definedName>
    <definedName name="IQ_TOTAL_PRINCIPAL" hidden="1">"c2509"</definedName>
    <definedName name="IQ_TOTAL_PRINCIPAL_PCT" hidden="1">"c2510"</definedName>
    <definedName name="IQ_TOTAL_PROP" hidden="1">"c8765"</definedName>
    <definedName name="IQ_TOTAL_PROVED_RESERVES_NGL" hidden="1">"c2924"</definedName>
    <definedName name="IQ_TOTAL_PROVED_RESERVES_OIL" hidden="1">"c2040"</definedName>
    <definedName name="IQ_TOTAL_RE_LOANS_TOTAL_LOANS" hidden="1">"c15715"</definedName>
    <definedName name="IQ_TOTAL_RE_NOI_AVG_GROSS_PROP" hidden="1">"c16059"</definedName>
    <definedName name="IQ_TOTAL_RECEIV" hidden="1">"c1293"</definedName>
    <definedName name="IQ_TOTAL_RECOV_ATTRIB_RESOURCES_ALUM" hidden="1">"c9246"</definedName>
    <definedName name="IQ_TOTAL_RECOV_ATTRIB_RESOURCES_COAL" hidden="1">"c9820"</definedName>
    <definedName name="IQ_TOTAL_RECOV_ATTRIB_RESOURCES_COP" hidden="1">"c9190"</definedName>
    <definedName name="IQ_TOTAL_RECOV_ATTRIB_RESOURCES_DIAM" hidden="1">"c9670"</definedName>
    <definedName name="IQ_TOTAL_RECOV_ATTRIB_RESOURCES_GOLD" hidden="1">"c9031"</definedName>
    <definedName name="IQ_TOTAL_RECOV_ATTRIB_RESOURCES_IRON" hidden="1">"c9405"</definedName>
    <definedName name="IQ_TOTAL_RECOV_ATTRIB_RESOURCES_LEAD" hidden="1">"c9458"</definedName>
    <definedName name="IQ_TOTAL_RECOV_ATTRIB_RESOURCES_MANG" hidden="1">"c9511"</definedName>
    <definedName name="IQ_TOTAL_RECOV_ATTRIB_RESOURCES_MET_COAL" hidden="1">"c9760"</definedName>
    <definedName name="IQ_TOTAL_RECOV_ATTRIB_RESOURCES_MOLYB" hidden="1">"c9723"</definedName>
    <definedName name="IQ_TOTAL_RECOV_ATTRIB_RESOURCES_NICK" hidden="1">"c9299"</definedName>
    <definedName name="IQ_TOTAL_RECOV_ATTRIB_RESOURCES_PLAT" hidden="1">"c9137"</definedName>
    <definedName name="IQ_TOTAL_RECOV_ATTRIB_RESOURCES_SILVER" hidden="1">"c9084"</definedName>
    <definedName name="IQ_TOTAL_RECOV_ATTRIB_RESOURCES_STEAM" hidden="1">"c9790"</definedName>
    <definedName name="IQ_TOTAL_RECOV_ATTRIB_RESOURCES_TITAN" hidden="1">"c9564"</definedName>
    <definedName name="IQ_TOTAL_RECOV_ATTRIB_RESOURCES_URAN" hidden="1">"c9617"</definedName>
    <definedName name="IQ_TOTAL_RECOV_ATTRIB_RESOURCES_ZINC" hidden="1">"c9352"</definedName>
    <definedName name="IQ_TOTAL_RECOV_RESOURCES_ALUM" hidden="1">"c9236"</definedName>
    <definedName name="IQ_TOTAL_RECOV_RESOURCES_COAL" hidden="1">"c9815"</definedName>
    <definedName name="IQ_TOTAL_RECOV_RESOURCES_COP" hidden="1">"c9180"</definedName>
    <definedName name="IQ_TOTAL_RECOV_RESOURCES_DIAM" hidden="1">"c9660"</definedName>
    <definedName name="IQ_TOTAL_RECOV_RESOURCES_GOLD" hidden="1">"c9021"</definedName>
    <definedName name="IQ_TOTAL_RECOV_RESOURCES_IRON" hidden="1">"c9395"</definedName>
    <definedName name="IQ_TOTAL_RECOV_RESOURCES_LEAD" hidden="1">"c9448"</definedName>
    <definedName name="IQ_TOTAL_RECOV_RESOURCES_MANG" hidden="1">"c9501"</definedName>
    <definedName name="IQ_TOTAL_RECOV_RESOURCES_MET_COAL" hidden="1">"c9755"</definedName>
    <definedName name="IQ_TOTAL_RECOV_RESOURCES_MOLYB" hidden="1">"c9713"</definedName>
    <definedName name="IQ_TOTAL_RECOV_RESOURCES_NICK" hidden="1">"c9289"</definedName>
    <definedName name="IQ_TOTAL_RECOV_RESOURCES_PLAT" hidden="1">"c9127"</definedName>
    <definedName name="IQ_TOTAL_RECOV_RESOURCES_SILVER" hidden="1">"c9074"</definedName>
    <definedName name="IQ_TOTAL_RECOV_RESOURCES_STEAM" hidden="1">"c9785"</definedName>
    <definedName name="IQ_TOTAL_RECOV_RESOURCES_TITAN" hidden="1">"c9554"</definedName>
    <definedName name="IQ_TOTAL_RECOV_RESOURCES_URAN" hidden="1">"c9607"</definedName>
    <definedName name="IQ_TOTAL_RECOV_RESOURCES_ZINC" hidden="1">"c9342"</definedName>
    <definedName name="IQ_TOTAL_RECOVERIES_FDIC" hidden="1">"c6622"</definedName>
    <definedName name="IQ_TOTAL_RENTAL_REVENUE" hidden="1">"c16022"</definedName>
    <definedName name="IQ_TOTAL_RESOURCES_CALORIFIC_VALUE_COAL" hidden="1">"c9810"</definedName>
    <definedName name="IQ_TOTAL_RESOURCES_CALORIFIC_VALUE_MET_COAL" hidden="1">"c9750"</definedName>
    <definedName name="IQ_TOTAL_RESOURCES_CALORIFIC_VALUE_STEAM" hidden="1">"c9780"</definedName>
    <definedName name="IQ_TOTAL_RESOURCES_GRADE_ALUM" hidden="1">"c9231"</definedName>
    <definedName name="IQ_TOTAL_RESOURCES_GRADE_COP" hidden="1">"c9175"</definedName>
    <definedName name="IQ_TOTAL_RESOURCES_GRADE_DIAM" hidden="1">"c9655"</definedName>
    <definedName name="IQ_TOTAL_RESOURCES_GRADE_GOLD" hidden="1">"c9016"</definedName>
    <definedName name="IQ_TOTAL_RESOURCES_GRADE_IRON" hidden="1">"c9390"</definedName>
    <definedName name="IQ_TOTAL_RESOURCES_GRADE_LEAD" hidden="1">"c9443"</definedName>
    <definedName name="IQ_TOTAL_RESOURCES_GRADE_MANG" hidden="1">"c9496"</definedName>
    <definedName name="IQ_TOTAL_RESOURCES_GRADE_MOLYB" hidden="1">"c9708"</definedName>
    <definedName name="IQ_TOTAL_RESOURCES_GRADE_NICK" hidden="1">"c9284"</definedName>
    <definedName name="IQ_TOTAL_RESOURCES_GRADE_PLAT" hidden="1">"c9122"</definedName>
    <definedName name="IQ_TOTAL_RESOURCES_GRADE_SILVER" hidden="1">"c9069"</definedName>
    <definedName name="IQ_TOTAL_RESOURCES_GRADE_TITAN" hidden="1">"c9549"</definedName>
    <definedName name="IQ_TOTAL_RESOURCES_GRADE_URAN" hidden="1">"c9602"</definedName>
    <definedName name="IQ_TOTAL_RESOURCES_GRADE_ZINC" hidden="1">"c9337"</definedName>
    <definedName name="IQ_TOTAL_RETURN_SWAPS_DERIVATIVES_BENEFICIARY_FFIEC" hidden="1">"c13120"</definedName>
    <definedName name="IQ_TOTAL_RETURN_SWAPS_DERIVATIVES_GUARANTOR_FFIEC" hidden="1">"c13113"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SUBTOTAL_AP" hidden="1">"c8975"</definedName>
    <definedName name="IQ_TOTAL_REV_UTI" hidden="1">"c1308"</definedName>
    <definedName name="IQ_TOTAL_REVENUE" hidden="1">"c1436"</definedName>
    <definedName name="IQ_TOTAL_REVENUE_FFIEC" hidden="1">"c13020"</definedName>
    <definedName name="IQ_TOTAL_REVENUE_FOREIGN_FFIEC" hidden="1">"c15383"</definedName>
    <definedName name="IQ_TOTAL_RISK_BASED_CAPITAL_FFIEC" hidden="1">"c13153"</definedName>
    <definedName name="IQ_TOTAL_RISK_BASED_CAPITAL_RATIO_FDIC" hidden="1">"c6747"</definedName>
    <definedName name="IQ_TOTAL_RISK_BASED_CAPITAL_RATIO_FFIEC" hidden="1">"c13162"</definedName>
    <definedName name="IQ_TOTAL_RISK_WEIGHTED_ASSETS_FFIEC" hidden="1">"c13858"</definedName>
    <definedName name="IQ_TOTAL_ROOMS" hidden="1">"c8789"</definedName>
    <definedName name="IQ_TOTAL_SECURITIES_FDIC" hidden="1">"c6306"</definedName>
    <definedName name="IQ_TOTAL_SPECIAL" hidden="1">"c1618"</definedName>
    <definedName name="IQ_TOTAL_SQ_FT" hidden="1">"c8781"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LESS_100000_1_TO_3_YEARS_FFIEC" hidden="1">"c15335"</definedName>
    <definedName name="IQ_TOTAL_TIME_LESS_100000_3_MONTHS_LESS_FFIEC" hidden="1">"c15333"</definedName>
    <definedName name="IQ_TOTAL_TIME_LESS_100000_3_TO_12_MONTHS_FFIEC" hidden="1">"c15334"</definedName>
    <definedName name="IQ_TOTAL_TIME_LESS_100000_FFIEC" hidden="1">"c15332"</definedName>
    <definedName name="IQ_TOTAL_TIME_LESS_100000_OVER_3_YEARS_FFIEC" hidden="1">"c15336"</definedName>
    <definedName name="IQ_TOTAL_TIME_MORE_100000_1_TO_3_YEARS_FFIEC" hidden="1">"c15340"</definedName>
    <definedName name="IQ_TOTAL_TIME_MORE_100000_3_MONTHS_LESS_FFIEC" hidden="1">"c15338"</definedName>
    <definedName name="IQ_TOTAL_TIME_MORE_100000_3_TO_12_MONTHS_FFIEC" hidden="1">"c15339"</definedName>
    <definedName name="IQ_TOTAL_TIME_MORE_100000_FFIEC" hidden="1">"c15337"</definedName>
    <definedName name="IQ_TOTAL_TIME_MORE_100000_OVER_3_YEARS_FFIEC" hidden="1">"c15341"</definedName>
    <definedName name="IQ_TOTAL_TIME_SAVINGS_DEPOSITS_FDIC" hidden="1">"c6498"</definedName>
    <definedName name="IQ_TOTAL_TRADING_ASSETS_FFIEC" hidden="1">"c12939"</definedName>
    <definedName name="IQ_TOTAL_TRADING_LIAB_DOM_FFIEC" hidden="1">"c12944"</definedName>
    <definedName name="IQ_TOTAL_TRADING_LIAB_FOREIGN_FFIEC" hidden="1">"c15296"</definedName>
    <definedName name="IQ_TOTAL_TRANS_ACCTS_FFIEC" hidden="1">"c15321"</definedName>
    <definedName name="IQ_TOTAL_UNITS" hidden="1">"c8773"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SUPPLE" hidden="1">"c13817"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_TERM_FEE" hidden="1">"c13638"</definedName>
    <definedName name="IQ_TR_BUY_TERM_FEE_PCT" hidden="1">"c13639"</definedName>
    <definedName name="IQ_TR_BUYBACK_TO_CLOSE" hidden="1">"c13919"</definedName>
    <definedName name="IQ_TR_BUYBACK_TO_HIGH" hidden="1">"c13917"</definedName>
    <definedName name="IQ_TR_BUYBACK_TO_LOW" hidden="1">"c13918"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PPROACH" hidden="1">"c12706"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OFFER_PER_SHARE" hidden="1">"c18872"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GISTRATION_FEES" hidden="1">"c2274"</definedName>
    <definedName name="IQ_TR_RENEWAL_BUYBACK" hidden="1">"c2413"</definedName>
    <definedName name="IQ_TR_ROUND_NUMBER" hidden="1">"c2295"</definedName>
    <definedName name="IQ_TR_SEC_FEES" hidden="1">"c13642"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_TERM_FEE" hidden="1">"c2298"</definedName>
    <definedName name="IQ_TR_SELL_TERM_FEE_PCT" hidden="1">"c2297"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"c13640"</definedName>
    <definedName name="IQ_TR_TERM_FEE_PCT" hidden="1">"c13641"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AIR_VALUE_TOT_FFIEC" hidden="1">"c13210"</definedName>
    <definedName name="IQ_TRADING_ASSETS_FDIC" hidden="1">"c6328"</definedName>
    <definedName name="IQ_TRADING_ASSETS_FFIEC" hidden="1">"c12812"</definedName>
    <definedName name="IQ_TRADING_ASSETS_FOREIGN_FFIEC" hidden="1">"c12940"</definedName>
    <definedName name="IQ_TRADING_ASSETS_LEVEL_1_FFIEC" hidden="1">"c13218"</definedName>
    <definedName name="IQ_TRADING_ASSETS_LEVEL_2_FFIEC" hidden="1">"c13226"</definedName>
    <definedName name="IQ_TRADING_ASSETS_LEVEL_3_FFIEC" hidden="1">"c13234"</definedName>
    <definedName name="IQ_TRADING_ASSETS_QUARTERLY_AVG_FFIEC" hidden="1">"c13085"</definedName>
    <definedName name="IQ_TRADING_CURRENCY" hidden="1">"c2212"</definedName>
    <definedName name="IQ_TRADING_ITEM_CIQID" hidden="1">"c8949"</definedName>
    <definedName name="IQ_TRADING_LIABILITIES_FAIR_VALUE_TOT_FFIEC" hidden="1">"c13214"</definedName>
    <definedName name="IQ_TRADING_LIABILITIES_FDIC" hidden="1">"c6344"</definedName>
    <definedName name="IQ_TRADING_LIABILITIES_FFIEC" hidden="1">"c12858"</definedName>
    <definedName name="IQ_TRADING_LIABILITIES_LEVEL_1_FFIEC" hidden="1">"c13222"</definedName>
    <definedName name="IQ_TRADING_LIABILITIES_LEVEL_2_FFIEC" hidden="1">"c13230"</definedName>
    <definedName name="IQ_TRADING_LIABILITIES_LEVEL_3_FFIEC" hidden="1">"c13238"</definedName>
    <definedName name="IQ_TRADING_REV_FOREIGN_FFIEC" hidden="1">"c15377"</definedName>
    <definedName name="IQ_TRADING_REV_OPERATING_INC_FFIEC" hidden="1">"c13385"</definedName>
    <definedName name="IQ_TRADING_REVENUE_FFIEC" hidden="1">"c13004"</definedName>
    <definedName name="IQ_TRANS_ACCTS_TOT_DEPOSITS_FFIEC" hidden="1">"c13904"</definedName>
    <definedName name="IQ_TRANS_IMPACT_FIN_48_CURRENT_ASSETS" hidden="1">"c15727"</definedName>
    <definedName name="IQ_TRANS_IMPACT_FIN_48_CURRENT_LIABILITIES" hidden="1">"c15729"</definedName>
    <definedName name="IQ_TRANS_IMPACT_FIN_48_LT_ASSETS" hidden="1">"c15728"</definedName>
    <definedName name="IQ_TRANS_IMPACT_FIN_48_NON_CURRENT_LIABILITIES" hidden="1">"c15730"</definedName>
    <definedName name="IQ_TRANS_IMPACT_FIN_48_RETAINED_EARNINGS" hidden="1">"c15731"</definedName>
    <definedName name="IQ_TRANSACTION_ACCOUNTS_FDIC" hidden="1">"c6544"</definedName>
    <definedName name="IQ_TRANSACTION_LIST" hidden="1">"c15126"</definedName>
    <definedName name="IQ_TRANSACTION_LIST_BANKRUPTCY" hidden="1">"c15131"</definedName>
    <definedName name="IQ_TRANSACTION_LIST_BUYBACK" hidden="1">"c15129"</definedName>
    <definedName name="IQ_TRANSACTION_LIST_INCL_SUBS" hidden="1">"c15132"</definedName>
    <definedName name="IQ_TRANSACTION_LIST_INCL_SUBS_BANKRUPTCY" hidden="1">"c15137"</definedName>
    <definedName name="IQ_TRANSACTION_LIST_INCL_SUBS_BUYBACK" hidden="1">"c15135"</definedName>
    <definedName name="IQ_TRANSACTION_LIST_INCL_SUBS_MA" hidden="1">"c15133"</definedName>
    <definedName name="IQ_TRANSACTION_LIST_INCL_SUBS_PO" hidden="1">"c15136"</definedName>
    <definedName name="IQ_TRANSACTION_LIST_INCL_SUBS_PP" hidden="1">"c15134"</definedName>
    <definedName name="IQ_TRANSACTION_LIST_MA" hidden="1">"c15127"</definedName>
    <definedName name="IQ_TRANSACTION_LIST_PO" hidden="1">"c15130"</definedName>
    <definedName name="IQ_TRANSACTION_LIST_PP" hidden="1">"c15128"</definedName>
    <definedName name="IQ_TREASURER_ID" hidden="1">"c15214"</definedName>
    <definedName name="IQ_TREASURER_NAME" hidden="1">"c15213"</definedName>
    <definedName name="IQ_TREASURY" hidden="1">"c1311"</definedName>
    <definedName name="IQ_TREASURY_INVEST_SECURITIES_FFIEC" hidden="1">"c13457"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EASURY_STOCK_TRANSACTIONS_FFIEC" hidden="1">"c15352"</definedName>
    <definedName name="IQ_TRUCK_ASSEMBLIES" hidden="1">"c7021"</definedName>
    <definedName name="IQ_TRUCK_ASSEMBLIES_APR" hidden="1">"c7681"</definedName>
    <definedName name="IQ_TRUCK_ASSEMBLIES_APR_FC" hidden="1">"c8561"</definedName>
    <definedName name="IQ_TRUCK_ASSEMBLIES_FC" hidden="1">"c7901"</definedName>
    <definedName name="IQ_TRUCK_ASSEMBLIES_POP" hidden="1">"c7241"</definedName>
    <definedName name="IQ_TRUCK_ASSEMBLIES_POP_FC" hidden="1">"c8121"</definedName>
    <definedName name="IQ_TRUCK_ASSEMBLIES_YOY" hidden="1">"c7461"</definedName>
    <definedName name="IQ_TRUCK_ASSEMBLIES_YOY_FC" hidden="1">"c8341"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RUSTEE" hidden="1">"c8959"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ASSIGNED_RESERVES_COAL" hidden="1">"c15914"</definedName>
    <definedName name="IQ_UNASSIGNED_RESERVES_TO_TOTAL_RESERVES_COAL" hidden="1">"c15956"</definedName>
    <definedName name="IQ_UNCLASSIFIED_PROPERTY_OPERATING_EXPENSE" hidden="1">"c16034"</definedName>
    <definedName name="IQ_UNCLASSIFIED_RENTAL_INCOME" hidden="1">"c16021"</definedName>
    <definedName name="IQ_UNCONSOL_BEDS" hidden="1">"c8783"</definedName>
    <definedName name="IQ_UNCONSOL_NOI" hidden="1">"c16067"</definedName>
    <definedName name="IQ_UNCONSOL_PROP" hidden="1">"c8762"</definedName>
    <definedName name="IQ_UNCONSOL_ROOMS" hidden="1">"c8787"</definedName>
    <definedName name="IQ_UNCONSOL_SQ_FT" hidden="1">"c8778"</definedName>
    <definedName name="IQ_UNCONSOL_UNITS" hidden="1">"c8770"</definedName>
    <definedName name="IQ_UNDERGROUND_RESERVES_COAL" hidden="1">"c15922"</definedName>
    <definedName name="IQ_UNDERGROUND_RESERVES_TO_TOTAL_RESERVES_COAL" hidden="1">"c15960"</definedName>
    <definedName name="IQ_UNDERWRITER" hidden="1">"c8958"</definedName>
    <definedName name="IQ_UNDERWRITING_PROFIT" hidden="1">"c9975"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EARNED_INCOME_LL_REC_DOM_FFIEC" hidden="1">"c12916"</definedName>
    <definedName name="IQ_UNEARNED_INCOME_LL_REC_FFIEC" hidden="1">"c12897"</definedName>
    <definedName name="IQ_UNEARNED_PREMIUMS_PC_FFIEC" hidden="1">"c13101"</definedName>
    <definedName name="IQ_UNEMPLOYMENT_RATE" hidden="1">"c7023"</definedName>
    <definedName name="IQ_UNEMPLOYMENT_RATE_FC" hidden="1">"c7903"</definedName>
    <definedName name="IQ_UNEMPLOYMENT_RATE_POP" hidden="1">"c7243"</definedName>
    <definedName name="IQ_UNEMPLOYMENT_RATE_POP_FC" hidden="1">"c8123"</definedName>
    <definedName name="IQ_UNEMPLOYMENT_RATE_YOY" hidden="1">"c7463"</definedName>
    <definedName name="IQ_UNEMPLOYMENT_RATE_YOY_FC" hidden="1">"c8343"</definedName>
    <definedName name="IQ_UNIT_LABOR_COST_INDEX" hidden="1">"c7025"</definedName>
    <definedName name="IQ_UNIT_LABOR_COST_INDEX_APR" hidden="1">"c7685"</definedName>
    <definedName name="IQ_UNIT_LABOR_COST_INDEX_APR_FC" hidden="1">"c8565"</definedName>
    <definedName name="IQ_UNIT_LABOR_COST_INDEX_FC" hidden="1">"c7905"</definedName>
    <definedName name="IQ_UNIT_LABOR_COST_INDEX_PCT_CHANGE" hidden="1">"c7024"</definedName>
    <definedName name="IQ_UNIT_LABOR_COST_INDEX_PCT_CHANGE_FC" hidden="1">"c7904"</definedName>
    <definedName name="IQ_UNIT_LABOR_COST_INDEX_PCT_CHANGE_POP" hidden="1">"c7244"</definedName>
    <definedName name="IQ_UNIT_LABOR_COST_INDEX_PCT_CHANGE_POP_FC" hidden="1">"c8124"</definedName>
    <definedName name="IQ_UNIT_LABOR_COST_INDEX_PCT_CHANGE_YOY" hidden="1">"c7464"</definedName>
    <definedName name="IQ_UNIT_LABOR_COST_INDEX_PCT_CHANGE_YOY_FC" hidden="1">"c8344"</definedName>
    <definedName name="IQ_UNIT_LABOR_COST_INDEX_POP" hidden="1">"c7245"</definedName>
    <definedName name="IQ_UNIT_LABOR_COST_INDEX_POP_FC" hidden="1">"c8125"</definedName>
    <definedName name="IQ_UNIT_LABOR_COST_INDEX_YOY" hidden="1">"c7465"</definedName>
    <definedName name="IQ_UNIT_LABOR_COST_INDEX_YOY_FC" hidden="1">"c8345"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RECOG_TAX_BENEFIT_BEG_PERIOD" hidden="1">"c15732"</definedName>
    <definedName name="IQ_UNRECOG_TAX_BENEFIT_END_PERIOD" hidden="1">"c15740"</definedName>
    <definedName name="IQ_UNRECOG_TAX_BENEFIT_OTHER_ADJ" hidden="1">"c15739"</definedName>
    <definedName name="IQ_UNSECURED_COMMITMENTS_COMMERCIAL_RE_UNUSED_FFIEC" hidden="1">"c13246"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PGRADE_REBUILD_CABLE_INVEST" hidden="1">"c15804"</definedName>
    <definedName name="IQ_US_ADDRESS_LEASE_FIN_REC_FFIEC" hidden="1">"c13624"</definedName>
    <definedName name="IQ_US_AGENCY_OBLIG_FFIEC" hidden="1">"c12779"</definedName>
    <definedName name="IQ_US_AGENCY_OBLIG_TRADING_DOM_FFIEC" hidden="1">"c12919"</definedName>
    <definedName name="IQ_US_AGENCY_OBLIG_TRADING_FFIEC" hidden="1">"c12814"</definedName>
    <definedName name="IQ_US_AGENCY_OBLIGATIONS_AVAIL_SALE_FFIEC" hidden="1">"c12793"</definedName>
    <definedName name="IQ_US_BANKS_OTHER_INST_FOREIGN_DEP_FFIEC" hidden="1">"c15343"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GOVT_NON_TRANS_ACCTS_FFIEC" hidden="1">"c15323"</definedName>
    <definedName name="IQ_US_GOVT_STATE_POLI_SUBD_IN_US_FOREIGN_DEP_FFIEC" hidden="1">"c15346"</definedName>
    <definedName name="IQ_US_GOVT_TRANS_ACCTS_FFIEC" hidden="1">"c15315"</definedName>
    <definedName name="IQ_US_INST_DUE_30_89_FFIEC" hidden="1">"c13268"</definedName>
    <definedName name="IQ_US_INST_DUE_90_FFIEC" hidden="1">"c13294"</definedName>
    <definedName name="IQ_US_INST_NON_ACCRUAL_FFIEC" hidden="1">"c13320"</definedName>
    <definedName name="IQ_US_SPONSORED_AGENCY_OBLIG_AVAIL_SALE_FFIEC" hidden="1">"c12794"</definedName>
    <definedName name="IQ_US_SPONSORED_AGENCY_OBLIG_FFIEC" hidden="1">"c12780"</definedName>
    <definedName name="IQ_US_TREASURY_SEC_AVAIL_SALE_FFIEC" hidden="1">"c12792"</definedName>
    <definedName name="IQ_US_TREASURY_SEC_TRADING_DOM_FFIEC" hidden="1">"c12918"</definedName>
    <definedName name="IQ_US_TREASURY_SEC_TRADING_FFIEC" hidden="1">"c12813"</definedName>
    <definedName name="IQ_US_TREASURY_SECURITIES_FDIC" hidden="1">"c6298"</definedName>
    <definedName name="IQ_US_TREASURY_SECURITIES_FFIEC" hidden="1">"c12778"</definedName>
    <definedName name="IQ_UST_SEC_GOVT_AGENCY_CORP_QUARTERLY_AVG_FFIEC" hidden="1">"c15469"</definedName>
    <definedName name="IQ_UST_SECURITIES_GOVT_AGENCY_QUARTERLY_AVG_FFIEC" hidden="1">"c15468"</definedName>
    <definedName name="IQ_UTIL_PPE_NET" hidden="1">"c1620"</definedName>
    <definedName name="IQ_UTIL_REV" hidden="1">"c2091"</definedName>
    <definedName name="IQ_UTILITY_EXPENSE" hidden="1">"c16031"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ARIABLE_RATE_PREFERREDS_INT_SENSITIVITY_FFIEC" hidden="1">"c13096"</definedName>
    <definedName name="IQ_VC_REV_OPERATING_INC_FFIEC" hidden="1">"c13388"</definedName>
    <definedName name="IQ_VC_REVENUE_FDIC" hidden="1">"c6667"</definedName>
    <definedName name="IQ_VEHICLE_ASSEMBLIES_LIGHT" hidden="1">"c6905"</definedName>
    <definedName name="IQ_VEHICLE_ASSEMBLIES_LIGHT_APR" hidden="1">"c7565"</definedName>
    <definedName name="IQ_VEHICLE_ASSEMBLIES_LIGHT_APR_FC" hidden="1">"c8445"</definedName>
    <definedName name="IQ_VEHICLE_ASSEMBLIES_LIGHT_FC" hidden="1">"c7785"</definedName>
    <definedName name="IQ_VEHICLE_ASSEMBLIES_LIGHT_NEW" hidden="1">"c6925"</definedName>
    <definedName name="IQ_VEHICLE_ASSEMBLIES_LIGHT_NEW_APR" hidden="1">"c7585"</definedName>
    <definedName name="IQ_VEHICLE_ASSEMBLIES_LIGHT_NEW_APR_FC" hidden="1">"c8465"</definedName>
    <definedName name="IQ_VEHICLE_ASSEMBLIES_LIGHT_NEW_FC" hidden="1">"c7805"</definedName>
    <definedName name="IQ_VEHICLE_ASSEMBLIES_LIGHT_NEW_POP" hidden="1">"c7145"</definedName>
    <definedName name="IQ_VEHICLE_ASSEMBLIES_LIGHT_NEW_POP_FC" hidden="1">"c8025"</definedName>
    <definedName name="IQ_VEHICLE_ASSEMBLIES_LIGHT_NEW_YOY" hidden="1">"c7365"</definedName>
    <definedName name="IQ_VEHICLE_ASSEMBLIES_LIGHT_NEW_YOY_FC" hidden="1">"c8245"</definedName>
    <definedName name="IQ_VEHICLE_ASSEMBLIES_LIGHT_POP" hidden="1">"c7125"</definedName>
    <definedName name="IQ_VEHICLE_ASSEMBLIES_LIGHT_POP_FC" hidden="1">"c8005"</definedName>
    <definedName name="IQ_VEHICLE_ASSEMBLIES_LIGHT_YOY" hidden="1">"c7345"</definedName>
    <definedName name="IQ_VEHICLE_ASSEMBLIES_LIGHT_YOY_FC" hidden="1">"c8225"</definedName>
    <definedName name="IQ_VEHICLE_ASSEMBLIES_TOTAL" hidden="1">"c7020"</definedName>
    <definedName name="IQ_VEHICLE_ASSEMBLIES_TOTAL_APR" hidden="1">"c7680"</definedName>
    <definedName name="IQ_VEHICLE_ASSEMBLIES_TOTAL_APR_FC" hidden="1">"c8560"</definedName>
    <definedName name="IQ_VEHICLE_ASSEMBLIES_TOTAL_FC" hidden="1">"c7900"</definedName>
    <definedName name="IQ_VEHICLE_ASSEMBLIES_TOTAL_POP" hidden="1">"c7240"</definedName>
    <definedName name="IQ_VEHICLE_ASSEMBLIES_TOTAL_POP_FC" hidden="1">"c8120"</definedName>
    <definedName name="IQ_VEHICLE_ASSEMBLIES_TOTAL_YOY" hidden="1">"c7460"</definedName>
    <definedName name="IQ_VEHICLE_ASSEMBLIES_TOTAL_YOY_FC" hidden="1">"c8340"</definedName>
    <definedName name="IQ_VEHICLE_LOANS" hidden="1">"c15249"</definedName>
    <definedName name="IQ_VENTURE_CAPITAL_REVENUE_FFIEC" hidden="1">"c13010"</definedName>
    <definedName name="IQ_VIF_AFTER_COST_CAPITAL_COVERED" hidden="1">"c9966"</definedName>
    <definedName name="IQ_VIF_AFTER_COST_CAPITAL_GROUP" hidden="1">"c9952"</definedName>
    <definedName name="IQ_VIF_BEFORE_COST_CAPITAL_COVERED" hidden="1">"c9964"</definedName>
    <definedName name="IQ_VIF_BEFORE_COST_CAPITAL_GROUP" hidden="1">"c9950"</definedName>
    <definedName name="IQ_VOICE_SUB_BASIC_SUB" hidden="1">"c15789"</definedName>
    <definedName name="IQ_VOICE_SUB_TOTAL_HOMES_PASSED" hidden="1">"c15770"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VWAP" hidden="1">"c13514"</definedName>
    <definedName name="IQ_WAC_CURRENT" hidden="1">"c8961"</definedName>
    <definedName name="IQ_WAC_ORIGINAL" hidden="1">"c8953"</definedName>
    <definedName name="IQ_WAM_CURRENT" hidden="1">"c8962"</definedName>
    <definedName name="IQ_WAM_ORIGINAL" hidden="1">"c8952"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 hidden="1">50000</definedName>
    <definedName name="IQ_WEIGHTED_AVG_PRICE" hidden="1">"c1334"</definedName>
    <definedName name="IQ_WHOLESALE_INVENTORIES" hidden="1">"c7027"</definedName>
    <definedName name="IQ_WHOLESALE_INVENTORIES_APR" hidden="1">"c7687"</definedName>
    <definedName name="IQ_WHOLESALE_INVENTORIES_APR_FC" hidden="1">"c8567"</definedName>
    <definedName name="IQ_WHOLESALE_INVENTORIES_FC" hidden="1">"c7907"</definedName>
    <definedName name="IQ_WHOLESALE_INVENTORIES_POP" hidden="1">"c7247"</definedName>
    <definedName name="IQ_WHOLESALE_INVENTORIES_POP_FC" hidden="1">"c8127"</definedName>
    <definedName name="IQ_WHOLESALE_INVENTORIES_YOY" hidden="1">"c7467"</definedName>
    <definedName name="IQ_WHOLESALE_INVENTORIES_YOY_FC" hidden="1">"c8347"</definedName>
    <definedName name="IQ_WHOLESALE_IS_RATIO" hidden="1">"c7026"</definedName>
    <definedName name="IQ_WHOLESALE_IS_RATIO_FC" hidden="1">"c7906"</definedName>
    <definedName name="IQ_WHOLESALE_IS_RATIO_POP" hidden="1">"c7246"</definedName>
    <definedName name="IQ_WHOLESALE_IS_RATIO_POP_FC" hidden="1">"c8126"</definedName>
    <definedName name="IQ_WHOLESALE_IS_RATIO_YOY" hidden="1">"c7466"</definedName>
    <definedName name="IQ_WHOLESALE_IS_RATIO_YOY_FC" hidden="1">"c8346"</definedName>
    <definedName name="IQ_WHOLESALE_SALES" hidden="1">"c7028"</definedName>
    <definedName name="IQ_WHOLESALE_SALES_APR" hidden="1">"c7688"</definedName>
    <definedName name="IQ_WHOLESALE_SALES_APR_FC" hidden="1">"c8568"</definedName>
    <definedName name="IQ_WHOLESALE_SALES_FC" hidden="1">"c7908"</definedName>
    <definedName name="IQ_WHOLESALE_SALES_INDEX" hidden="1">"c7029"</definedName>
    <definedName name="IQ_WHOLESALE_SALES_INDEX_APR" hidden="1">"c7689"</definedName>
    <definedName name="IQ_WHOLESALE_SALES_INDEX_APR_FC" hidden="1">"c8569"</definedName>
    <definedName name="IQ_WHOLESALE_SALES_INDEX_FC" hidden="1">"c7909"</definedName>
    <definedName name="IQ_WHOLESALE_SALES_INDEX_POP" hidden="1">"c7249"</definedName>
    <definedName name="IQ_WHOLESALE_SALES_INDEX_POP_FC" hidden="1">"c8129"</definedName>
    <definedName name="IQ_WHOLESALE_SALES_INDEX_YOY" hidden="1">"c7469"</definedName>
    <definedName name="IQ_WHOLESALE_SALES_INDEX_YOY_FC" hidden="1">"c8349"</definedName>
    <definedName name="IQ_WHOLESALE_SALES_POP" hidden="1">"c7248"</definedName>
    <definedName name="IQ_WHOLESALE_SALES_POP_FC" hidden="1">"c8128"</definedName>
    <definedName name="IQ_WHOLESALE_SALES_YOY" hidden="1">"c7468"</definedName>
    <definedName name="IQ_WHOLESALE_SALES_YOY_FC" hidden="1">"c8348"</definedName>
    <definedName name="IQ_WIP_INV" hidden="1">"c1335"</definedName>
    <definedName name="IQ_WIRELESS_PENETRATION" hidden="1">"c15767"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WTD_AVG_IR_AFTER_FIVE" hidden="1">"c15700"</definedName>
    <definedName name="IQ_WTD_AVG_IR_CY" hidden="1">"c15695"</definedName>
    <definedName name="IQ_WTD_AVG_IR_CY1" hidden="1">"c15696"</definedName>
    <definedName name="IQ_WTD_AVG_IR_CY2" hidden="1">"c15697"</definedName>
    <definedName name="IQ_WTD_AVG_IR_CY3" hidden="1">"c15698"</definedName>
    <definedName name="IQ_WTD_AVG_IR_CY4" hidden="1">"c15699"</definedName>
    <definedName name="IQ_WTD_AVG_IR_LT_DEBT" hidden="1">"c15693"</definedName>
    <definedName name="IQ_WTD_AVG_IR_TOTAL_DEBT" hidden="1">"c15694"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IELD_FED_FUNDS_SOLD_FFIEC" hidden="1">"c13487"</definedName>
    <definedName name="IQ_YIELD_TRADING_ASSETS_FFIEC" hidden="1">"c13488"</definedName>
    <definedName name="IQ_YTD" hidden="1">3000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ISLE" localSheetId="5">#REF!</definedName>
    <definedName name="ISLE" localSheetId="2">#REF!</definedName>
    <definedName name="ISLE">#REF!</definedName>
    <definedName name="ISLE_CONS00" localSheetId="5">#REF!</definedName>
    <definedName name="ISLE_CONS00" localSheetId="2">#REF!</definedName>
    <definedName name="ISLE_CONS00">#REF!</definedName>
    <definedName name="ISLE_CONS01" localSheetId="5">#REF!</definedName>
    <definedName name="ISLE_CONS01" localSheetId="2">#REF!</definedName>
    <definedName name="ISLE_CONS01">#REF!</definedName>
    <definedName name="ISLE_CONS99" localSheetId="5">#REF!</definedName>
    <definedName name="ISLE_CONS99" localSheetId="2">#REF!</definedName>
    <definedName name="ISLE_CONS99">#REF!</definedName>
    <definedName name="ISLE_CONSENSUS" localSheetId="5">#REF!</definedName>
    <definedName name="ISLE_CONSENSUS" localSheetId="2">#REF!</definedName>
    <definedName name="ISLE_CONSENSUS">#REF!</definedName>
    <definedName name="jnj" localSheetId="5">[36]DATA!#REF!</definedName>
    <definedName name="jnj" localSheetId="2">[36]DATA!#REF!</definedName>
    <definedName name="jnj">[36]DATA!#REF!</definedName>
    <definedName name="JQH">'[24]THE LINK FOR ALL'!$B$47</definedName>
    <definedName name="JQH_CONS00" localSheetId="5">#REF!</definedName>
    <definedName name="JQH_CONS00" localSheetId="2">#REF!</definedName>
    <definedName name="JQH_CONS00">#REF!</definedName>
    <definedName name="JQH_CONS01" localSheetId="5">#REF!</definedName>
    <definedName name="JQH_CONS01" localSheetId="2">#REF!</definedName>
    <definedName name="JQH_CONS01">#REF!</definedName>
    <definedName name="JQH_CONS99" localSheetId="5">#REF!</definedName>
    <definedName name="JQH_CONS99" localSheetId="2">#REF!</definedName>
    <definedName name="JQH_CONS99">#REF!</definedName>
    <definedName name="Kd" localSheetId="5">[15]WACC_VDF!#REF!</definedName>
    <definedName name="Kd" localSheetId="2">[15]WACC_VDF!#REF!</definedName>
    <definedName name="Kd">[15]WACC_VDF!#REF!</definedName>
    <definedName name="Ke">[15]WACC_VDF!$D$11</definedName>
    <definedName name="Keliximab" localSheetId="5">[12]Sales!#REF!</definedName>
    <definedName name="Keliximab" localSheetId="2">[12]Sales!#REF!</definedName>
    <definedName name="Keliximab">[12]Sales!#REF!</definedName>
    <definedName name="Kytril">[12]Sales!$A$46:$AG$46</definedName>
    <definedName name="l" localSheetId="5">[7]NOPAT_VDF!#REF!</definedName>
    <definedName name="l" localSheetId="2">[7]NOPAT_VDF!#REF!</definedName>
    <definedName name="l">[7]NOPAT_VDF!#REF!</definedName>
    <definedName name="Latin_Amercia" localSheetId="5">#REF!</definedName>
    <definedName name="Latin_Amercia" localSheetId="2">#REF!</definedName>
    <definedName name="Latin_Amercia">#REF!</definedName>
    <definedName name="LaunchDate">[37]Inputs!$C$2</definedName>
    <definedName name="LaunchYear_YYYY">YEAR(LaunchDate)</definedName>
    <definedName name="Lavanex">[12]Sales!$A$108:$AG$108</definedName>
    <definedName name="Lawrcbg_own_pct" localSheetId="5">#REF!</definedName>
    <definedName name="Lawrcbg_own_pct" localSheetId="2">#REF!</definedName>
    <definedName name="Lawrcbg_own_pct">#REF!</definedName>
    <definedName name="lipi01" localSheetId="5">'[3]Qtr. Product Sales'!#REF!</definedName>
    <definedName name="lipi01" localSheetId="2">'[3]Qtr. Product Sales'!#REF!</definedName>
    <definedName name="lipi01">'[3]Qtr. Product Sales'!#REF!</definedName>
    <definedName name="lipi02" localSheetId="5">'[3]Qtr. Product Sales'!#REF!</definedName>
    <definedName name="lipi02" localSheetId="2">'[3]Qtr. Product Sales'!#REF!</definedName>
    <definedName name="lipi02">'[3]Qtr. Product Sales'!#REF!</definedName>
    <definedName name="LLYEPS1">'[26]quarterly income'!$AJ$36</definedName>
    <definedName name="LLYEPS2">'[26]quarterly income'!$AO$36</definedName>
    <definedName name="lnk_ccy_asreported" localSheetId="5">#REF!</definedName>
    <definedName name="lnk_ccy_asreported" localSheetId="2">#REF!</definedName>
    <definedName name="lnk_ccy_asreported">#REF!</definedName>
    <definedName name="lnk_CoName" localSheetId="4" hidden="1">#REF!</definedName>
    <definedName name="lnk_CoName" localSheetId="5" hidden="1">#REF!</definedName>
    <definedName name="lnk_CoName" localSheetId="2" hidden="1">#REF!</definedName>
    <definedName name="lnk_CoName" hidden="1">#REF!</definedName>
    <definedName name="lnk_countryID" localSheetId="4" hidden="1">#REF!</definedName>
    <definedName name="lnk_countryID" localSheetId="5" hidden="1">#REF!</definedName>
    <definedName name="lnk_countryID" localSheetId="2" hidden="1">#REF!</definedName>
    <definedName name="lnk_countryID" hidden="1">#REF!</definedName>
    <definedName name="lnk_cpyID" localSheetId="4" hidden="1">#REF!</definedName>
    <definedName name="lnk_cpyID" localSheetId="5" hidden="1">#REF!</definedName>
    <definedName name="lnk_cpyID" localSheetId="2" hidden="1">#REF!</definedName>
    <definedName name="lnk_cpyID" hidden="1">#REF!</definedName>
    <definedName name="lnk_display_Currency" localSheetId="4" hidden="1">#REF!</definedName>
    <definedName name="lnk_display_Currency" localSheetId="5" hidden="1">#REF!</definedName>
    <definedName name="lnk_display_Currency" localSheetId="2" hidden="1">#REF!</definedName>
    <definedName name="lnk_display_Currency" hidden="1">#REF!</definedName>
    <definedName name="lnk_drate_update" localSheetId="4" hidden="1">#REF!</definedName>
    <definedName name="lnk_drate_update" localSheetId="5" hidden="1">#REF!</definedName>
    <definedName name="lnk_drate_update" localSheetId="2" hidden="1">#REF!</definedName>
    <definedName name="lnk_drate_update" hidden="1">#REF!</definedName>
    <definedName name="lnk_IndustryType" localSheetId="4" hidden="1">#REF!</definedName>
    <definedName name="lnk_IndustryType" localSheetId="5" hidden="1">#REF!</definedName>
    <definedName name="lnk_IndustryType" localSheetId="2" hidden="1">#REF!</definedName>
    <definedName name="lnk_IndustryType" hidden="1">#REF!</definedName>
    <definedName name="lnk_LastFiscalYear" localSheetId="4" hidden="1">#REF!</definedName>
    <definedName name="lnk_LastFiscalYear" localSheetId="5" hidden="1">#REF!</definedName>
    <definedName name="lnk_LastFiscalYear" localSheetId="2" hidden="1">#REF!</definedName>
    <definedName name="lnk_LastFiscalYear" hidden="1">#REF!</definedName>
    <definedName name="lnk_lfy_rolled" localSheetId="5">#REF!</definedName>
    <definedName name="lnk_lfy_rolled" localSheetId="2">#REF!</definedName>
    <definedName name="lnk_lfy_rolled">#REF!</definedName>
    <definedName name="lnk_numForecastYears" localSheetId="4" hidden="1">#REF!</definedName>
    <definedName name="lnk_numForecastYears" localSheetId="5" hidden="1">#REF!</definedName>
    <definedName name="lnk_numForecastYears" localSheetId="2" hidden="1">#REF!</definedName>
    <definedName name="lnk_numForecastYears" hidden="1">#REF!</definedName>
    <definedName name="lnk_numHistoricalYears" localSheetId="4" hidden="1">#REF!</definedName>
    <definedName name="lnk_numHistoricalYears" localSheetId="5" hidden="1">#REF!</definedName>
    <definedName name="lnk_numHistoricalYears" localSheetId="2" hidden="1">#REF!</definedName>
    <definedName name="lnk_numHistoricalYears" hidden="1">#REF!</definedName>
    <definedName name="lnk_Print_Area" localSheetId="4" hidden="1">#REF!</definedName>
    <definedName name="lnk_Print_Area" localSheetId="5" hidden="1">#REF!</definedName>
    <definedName name="lnk_Print_Area" localSheetId="2" hidden="1">#REF!</definedName>
    <definedName name="lnk_Print_Area" hidden="1">#REF!</definedName>
    <definedName name="lnk_rData_Start_Result" localSheetId="4" hidden="1">#REF!</definedName>
    <definedName name="lnk_rData_Start_Result" localSheetId="5" hidden="1">#REF!</definedName>
    <definedName name="lnk_rData_Start_Result" localSheetId="2" hidden="1">#REF!</definedName>
    <definedName name="lnk_rData_Start_Result" hidden="1">#REF!</definedName>
    <definedName name="lnk_rDataStart" localSheetId="4" hidden="1">#REF!</definedName>
    <definedName name="lnk_rDataStart" localSheetId="5" hidden="1">#REF!</definedName>
    <definedName name="lnk_rDataStart" localSheetId="2" hidden="1">#REF!</definedName>
    <definedName name="lnk_rDataStart" hidden="1">#REF!</definedName>
    <definedName name="lnk_rSourceFore" localSheetId="4" hidden="1">#REF!</definedName>
    <definedName name="lnk_rSourceFore" localSheetId="5" hidden="1">#REF!</definedName>
    <definedName name="lnk_rSourceFore" localSheetId="2" hidden="1">#REF!</definedName>
    <definedName name="lnk_rSourceFore" hidden="1">#REF!</definedName>
    <definedName name="lnk_rSourceFore1st" localSheetId="4" hidden="1">#REF!</definedName>
    <definedName name="lnk_rSourceFore1st" localSheetId="5" hidden="1">#REF!</definedName>
    <definedName name="lnk_rSourceFore1st" localSheetId="2" hidden="1">#REF!</definedName>
    <definedName name="lnk_rSourceFore1st" hidden="1">#REF!</definedName>
    <definedName name="lnk_rSourceHist" localSheetId="4" hidden="1">#REF!</definedName>
    <definedName name="lnk_rSourceHist" localSheetId="5" hidden="1">#REF!</definedName>
    <definedName name="lnk_rSourceHist" localSheetId="2" hidden="1">#REF!</definedName>
    <definedName name="lnk_rSourceHist" hidden="1">#REF!</definedName>
    <definedName name="lnk_rYearRow" localSheetId="4" hidden="1">#REF!</definedName>
    <definedName name="lnk_rYearRow" localSheetId="5" hidden="1">#REF!</definedName>
    <definedName name="lnk_rYearRow" localSheetId="2" hidden="1">#REF!</definedName>
    <definedName name="lnk_rYearRow" hidden="1">#REF!</definedName>
    <definedName name="lnk_rYearRow_Result" localSheetId="4" hidden="1">#REF!</definedName>
    <definedName name="lnk_rYearRow_Result" localSheetId="5" hidden="1">#REF!</definedName>
    <definedName name="lnk_rYearRow_Result" localSheetId="2" hidden="1">#REF!</definedName>
    <definedName name="lnk_rYearRow_Result" hidden="1">#REF!</definedName>
    <definedName name="lnk_ScenarioName" localSheetId="4" hidden="1">#REF!</definedName>
    <definedName name="lnk_ScenarioName" localSheetId="5" hidden="1">#REF!</definedName>
    <definedName name="lnk_ScenarioName" localSheetId="2" hidden="1">#REF!</definedName>
    <definedName name="lnk_ScenarioName" hidden="1">#REF!</definedName>
    <definedName name="lnk_TICK" localSheetId="4" hidden="1">#REF!</definedName>
    <definedName name="lnk_TICK" localSheetId="5" hidden="1">#REF!</definedName>
    <definedName name="lnk_TICK" localSheetId="2" hidden="1">#REF!</definedName>
    <definedName name="lnk_TICK" hidden="1">#REF!</definedName>
    <definedName name="lnk_update" localSheetId="4" hidden="1">#REF!</definedName>
    <definedName name="lnk_update" localSheetId="5" hidden="1">#REF!</definedName>
    <definedName name="lnk_update" localSheetId="2" hidden="1">#REF!</definedName>
    <definedName name="lnk_update" hidden="1">#REF!</definedName>
    <definedName name="lnk_version" localSheetId="4" hidden="1">#REF!</definedName>
    <definedName name="lnk_version" localSheetId="5" hidden="1">#REF!</definedName>
    <definedName name="lnk_version" localSheetId="2" hidden="1">#REF!</definedName>
    <definedName name="lnk_version" hidden="1">#REF!</definedName>
    <definedName name="Loan_Loss_Provision_fore" localSheetId="5">#REF!</definedName>
    <definedName name="Loan_Loss_Provision_fore" localSheetId="2">#REF!</definedName>
    <definedName name="Loan_Loss_Provision_fore">#REF!</definedName>
    <definedName name="LOD">'[24]THE LINK FOR ALL'!$B$48</definedName>
    <definedName name="LOD_CONS00" localSheetId="5">#REF!</definedName>
    <definedName name="LOD_CONS00" localSheetId="2">#REF!</definedName>
    <definedName name="LOD_CONS00">#REF!</definedName>
    <definedName name="LOD_CONS01" localSheetId="5">#REF!</definedName>
    <definedName name="LOD_CONS01" localSheetId="2">#REF!</definedName>
    <definedName name="LOD_CONS01">#REF!</definedName>
    <definedName name="LOD_CONS99" localSheetId="5">#REF!</definedName>
    <definedName name="LOD_CONS99" localSheetId="2">#REF!</definedName>
    <definedName name="LOD_CONS99">#REF!</definedName>
    <definedName name="LODGING_PD" localSheetId="5">#REF!</definedName>
    <definedName name="LODGING_PD" localSheetId="2">#REF!</definedName>
    <definedName name="LODGING_PD">#REF!</definedName>
    <definedName name="Long_term_debt" localSheetId="4">'[13]Annual Model'!#REF!</definedName>
    <definedName name="Long_term_debt" localSheetId="5">'[13]Annual Model'!#REF!</definedName>
    <definedName name="Long_term_debt" localSheetId="2">'[13]Annual Model'!#REF!</definedName>
    <definedName name="Long_term_debt">'[13]Annual Model'!#REF!</definedName>
    <definedName name="Long_Term_Rev_Growth" localSheetId="5">#REF!</definedName>
    <definedName name="Long_Term_Rev_Growth" localSheetId="2">#REF!</definedName>
    <definedName name="Long_Term_Rev_Growth">#REF!</definedName>
    <definedName name="LT_debt">'[6]Quarterly Product Sales'!$A$595:$IV$595</definedName>
    <definedName name="LT_debt_growth_fore" localSheetId="5">#REF!</definedName>
    <definedName name="LT_debt_growth_fore" localSheetId="2">#REF!</definedName>
    <definedName name="LT_debt_growth_fore">#REF!</definedName>
    <definedName name="LVMH" localSheetId="5">#REF!</definedName>
    <definedName name="LVMH" localSheetId="2">#REF!</definedName>
    <definedName name="LVMH">#REF!</definedName>
    <definedName name="LVMH_CONS00">'[24]THE LINK FOR ALL'!$F$27</definedName>
    <definedName name="LVMH_CONS01">'[24]THE LINK FOR ALL'!$G$27</definedName>
    <definedName name="LVMH_CONS99" localSheetId="5">#REF!</definedName>
    <definedName name="LVMH_CONS99" localSheetId="2">#REF!</definedName>
    <definedName name="LVMH_CONS99">#REF!</definedName>
    <definedName name="LVMHY">'[24]THE LINK FOR ALL'!$B$55</definedName>
    <definedName name="Lwrcbg_mgmt_fee" localSheetId="5">#REF!</definedName>
    <definedName name="Lwrcbg_mgmt_fee" localSheetId="2">#REF!</definedName>
    <definedName name="Lwrcbg_mgmt_fee">#REF!</definedName>
    <definedName name="Lyme_Disease">[12]Sales!$A$87:$AG$87</definedName>
    <definedName name="M_PlaceofPath" hidden="1">"\\SNYCEQT0100\HOME\DANDERS\COMPANY\IGT\IGT_VDF.xls"</definedName>
    <definedName name="MACROS" localSheetId="5">#REF!</definedName>
    <definedName name="MACROS" localSheetId="2">#REF!</definedName>
    <definedName name="MACROS">#REF!</definedName>
    <definedName name="Maint_Cap_Exp">[23]ProForma!$A$133:$IV$133</definedName>
    <definedName name="MAR">'[24]THE LINK FOR ALL'!$B$49</definedName>
    <definedName name="MAR_00EA" localSheetId="5">#REF!</definedName>
    <definedName name="MAR_00EA" localSheetId="2">#REF!</definedName>
    <definedName name="MAR_00EA">#REF!</definedName>
    <definedName name="MAR_00EPS" localSheetId="5">#REF!</definedName>
    <definedName name="MAR_00EPS" localSheetId="2">#REF!</definedName>
    <definedName name="MAR_00EPS">#REF!</definedName>
    <definedName name="MAR_01EA" localSheetId="5">#REF!</definedName>
    <definedName name="MAR_01EA" localSheetId="2">#REF!</definedName>
    <definedName name="MAR_01EA">#REF!</definedName>
    <definedName name="MAR_01EPS" localSheetId="5">#REF!</definedName>
    <definedName name="MAR_01EPS" localSheetId="2">#REF!</definedName>
    <definedName name="MAR_01EPS">#REF!</definedName>
    <definedName name="MAR_02EA" localSheetId="5">#REF!</definedName>
    <definedName name="MAR_02EA" localSheetId="2">#REF!</definedName>
    <definedName name="MAR_02EA">#REF!</definedName>
    <definedName name="MAR_02EPS" localSheetId="5">#REF!</definedName>
    <definedName name="MAR_02EPS" localSheetId="2">#REF!</definedName>
    <definedName name="MAR_02EPS">#REF!</definedName>
    <definedName name="MAR_99EA" localSheetId="5">#REF!</definedName>
    <definedName name="MAR_99EA" localSheetId="2">#REF!</definedName>
    <definedName name="MAR_99EA">#REF!</definedName>
    <definedName name="MAR_99EPS" localSheetId="5">#REF!</definedName>
    <definedName name="MAR_99EPS" localSheetId="2">#REF!</definedName>
    <definedName name="MAR_99EPS">#REF!</definedName>
    <definedName name="MAR_CONS00" localSheetId="5">#REF!</definedName>
    <definedName name="MAR_CONS00" localSheetId="2">#REF!</definedName>
    <definedName name="MAR_CONS00">#REF!</definedName>
    <definedName name="MAR_CONS01" localSheetId="5">#REF!</definedName>
    <definedName name="MAR_CONS01" localSheetId="2">#REF!</definedName>
    <definedName name="MAR_CONS01">#REF!</definedName>
    <definedName name="MAR_CONS99" localSheetId="5">#REF!</definedName>
    <definedName name="MAR_CONS99" localSheetId="2">#REF!</definedName>
    <definedName name="MAR_CONS99">#REF!</definedName>
    <definedName name="MAR_EA01" localSheetId="5">#REF!</definedName>
    <definedName name="MAR_EA01" localSheetId="2">#REF!</definedName>
    <definedName name="MAR_EA01">#REF!</definedName>
    <definedName name="MAR_Rating">'[16]Industry (2)'!$D$7</definedName>
    <definedName name="MAR_Target">'[16]Industry (2)'!$C$7</definedName>
    <definedName name="MARGINS_1997_EBIT" localSheetId="5">#REF!</definedName>
    <definedName name="MARGINS_1997_EBIT" localSheetId="2">#REF!</definedName>
    <definedName name="MARGINS_1997_EBIT">#REF!</definedName>
    <definedName name="MARGINS_1998_EBIT" localSheetId="5">#REF!</definedName>
    <definedName name="MARGINS_1998_EBIT" localSheetId="2">#REF!</definedName>
    <definedName name="MARGINS_1998_EBIT">#REF!</definedName>
    <definedName name="MARGINS_1999_EBIT" localSheetId="5">#REF!</definedName>
    <definedName name="MARGINS_1999_EBIT" localSheetId="2">#REF!</definedName>
    <definedName name="MARGINS_1999_EBIT">#REF!</definedName>
    <definedName name="MARGINS_2000_EBIT" localSheetId="5">#REF!</definedName>
    <definedName name="MARGINS_2000_EBIT" localSheetId="2">#REF!</definedName>
    <definedName name="MARGINS_2000_EBIT">#REF!</definedName>
    <definedName name="MARGINS_2001_EBIT" localSheetId="5">#REF!</definedName>
    <definedName name="MARGINS_2001_EBIT" localSheetId="2">#REF!</definedName>
    <definedName name="MARGINS_2001_EBIT">#REF!</definedName>
    <definedName name="MARGINS_2002_EBIT" localSheetId="5">#REF!</definedName>
    <definedName name="MARGINS_2002_EBIT" localSheetId="2">#REF!</definedName>
    <definedName name="MARGINS_2002_EBIT">#REF!</definedName>
    <definedName name="MARGINS_2003_EBIT" localSheetId="5">#REF!</definedName>
    <definedName name="MARGINS_2003_EBIT" localSheetId="2">#REF!</definedName>
    <definedName name="MARGINS_2003_EBIT">#REF!</definedName>
    <definedName name="MARGINS_2004_EBIT" localSheetId="5">#REF!</definedName>
    <definedName name="MARGINS_2004_EBIT" localSheetId="2">#REF!</definedName>
    <definedName name="MARGINS_2004_EBIT">#REF!</definedName>
    <definedName name="MARGINS_2005_EBIT" localSheetId="5">#REF!</definedName>
    <definedName name="MARGINS_2005_EBIT" localSheetId="2">#REF!</definedName>
    <definedName name="MARGINS_2005_EBIT">#REF!</definedName>
    <definedName name="MARGINS_2006_EBIT" localSheetId="5">#REF!</definedName>
    <definedName name="MARGINS_2006_EBIT" localSheetId="2">#REF!</definedName>
    <definedName name="MARGINS_2006_EBIT">#REF!</definedName>
    <definedName name="market_cap" localSheetId="5">#REF!</definedName>
    <definedName name="market_cap" localSheetId="2">#REF!</definedName>
    <definedName name="market_cap">#REF!</definedName>
    <definedName name="Market_capitalization" localSheetId="5">'[15]Summary Page_VDF'!#REF!</definedName>
    <definedName name="Market_capitalization" localSheetId="2">'[15]Summary Page_VDF'!#REF!</definedName>
    <definedName name="Market_capitalization">'[15]Summary Page_VDF'!#REF!</definedName>
    <definedName name="MBG">[35]Prices!$B$13</definedName>
    <definedName name="MBG_00Ea" localSheetId="5">#REF!</definedName>
    <definedName name="MBG_00Ea" localSheetId="2">#REF!</definedName>
    <definedName name="MBG_00Ea">#REF!</definedName>
    <definedName name="MBG_00EPS" localSheetId="5">#REF!</definedName>
    <definedName name="MBG_00EPS" localSheetId="2">#REF!</definedName>
    <definedName name="MBG_00EPS">#REF!</definedName>
    <definedName name="MBG_01Ea" localSheetId="5">#REF!</definedName>
    <definedName name="MBG_01Ea" localSheetId="2">#REF!</definedName>
    <definedName name="MBG_01Ea">#REF!</definedName>
    <definedName name="MBG_01EPS" localSheetId="5">#REF!</definedName>
    <definedName name="MBG_01EPS" localSheetId="2">#REF!</definedName>
    <definedName name="MBG_01EPS">#REF!</definedName>
    <definedName name="MBG_99Ea" localSheetId="5">#REF!</definedName>
    <definedName name="MBG_99Ea" localSheetId="2">#REF!</definedName>
    <definedName name="MBG_99Ea">#REF!</definedName>
    <definedName name="MBG_99EPS" localSheetId="5">#REF!</definedName>
    <definedName name="MBG_99EPS" localSheetId="2">#REF!</definedName>
    <definedName name="MBG_99EPS">#REF!</definedName>
    <definedName name="MBG_Rating">[16]Industry!$D$12</definedName>
    <definedName name="MBG_Target">[16]Industry!$C$12</definedName>
    <definedName name="MC" localSheetId="5">#REF!</definedName>
    <definedName name="MC" localSheetId="2">#REF!</definedName>
    <definedName name="MC">#REF!</definedName>
    <definedName name="mcs03g.ReqArray" localSheetId="4">{"Price","FDX","TS1/TS132","D","0","0","V"}</definedName>
    <definedName name="mcs03g.ReqArray">{"Price","FDX","TS1/TS132","D","0","0","V"}</definedName>
    <definedName name="medc01" localSheetId="5">'[38]Qtr. Product Sales'!#REF!</definedName>
    <definedName name="medc01" localSheetId="2">'[38]Qtr. Product Sales'!#REF!</definedName>
    <definedName name="medc01">'[38]Qtr. Product Sales'!#REF!</definedName>
    <definedName name="medc02" localSheetId="5">'[38]Qtr. Product Sales'!#REF!</definedName>
    <definedName name="medc02" localSheetId="2">'[38]Qtr. Product Sales'!#REF!</definedName>
    <definedName name="medc02">'[38]Qtr. Product Sales'!#REF!</definedName>
    <definedName name="medco00" localSheetId="5">'[38]Annual Product Sales'!#REF!</definedName>
    <definedName name="medco00" localSheetId="2">'[38]Annual Product Sales'!#REF!</definedName>
    <definedName name="medco00">'[38]Annual Product Sales'!#REF!</definedName>
    <definedName name="medco01" localSheetId="5">'[38]Annual Product Sales'!#REF!</definedName>
    <definedName name="medco01" localSheetId="2">'[38]Annual Product Sales'!#REF!</definedName>
    <definedName name="medco01">'[38]Annual Product Sales'!#REF!</definedName>
    <definedName name="medco02" localSheetId="5">'[38]Annual Product Sales'!#REF!</definedName>
    <definedName name="medco02" localSheetId="2">'[38]Annual Product Sales'!#REF!</definedName>
    <definedName name="medco02">'[38]Annual Product Sales'!#REF!</definedName>
    <definedName name="medco03" localSheetId="5">'[38]Annual Product Sales'!#REF!</definedName>
    <definedName name="medco03" localSheetId="2">'[38]Annual Product Sales'!#REF!</definedName>
    <definedName name="medco03">'[38]Annual Product Sales'!#REF!</definedName>
    <definedName name="medco04" localSheetId="5">'[38]Annual Product Sales'!#REF!</definedName>
    <definedName name="medco04" localSheetId="2">'[38]Annual Product Sales'!#REF!</definedName>
    <definedName name="medco04">'[38]Annual Product Sales'!#REF!</definedName>
    <definedName name="medco99" localSheetId="5">'[38]Annual Product Sales'!#REF!</definedName>
    <definedName name="medco99" localSheetId="2">'[38]Annual Product Sales'!#REF!</definedName>
    <definedName name="medco99">'[38]Annual Product Sales'!#REF!</definedName>
    <definedName name="Melanoma">[12]Sales!$A$93:$AG$93</definedName>
    <definedName name="Memric" localSheetId="5">[12]Sales!#REF!</definedName>
    <definedName name="Memric" localSheetId="2">[12]Sales!#REF!</definedName>
    <definedName name="Memric">[12]Sales!#REF!</definedName>
    <definedName name="meva01" localSheetId="5">'[32]Qtr. Product Sales'!#REF!</definedName>
    <definedName name="meva01" localSheetId="2">'[32]Qtr. Product Sales'!#REF!</definedName>
    <definedName name="meva01">'[32]Qtr. Product Sales'!#REF!</definedName>
    <definedName name="meva02" localSheetId="5">'[32]Qtr. Product Sales'!#REF!</definedName>
    <definedName name="meva02" localSheetId="2">'[32]Qtr. Product Sales'!#REF!</definedName>
    <definedName name="meva02">'[32]Qtr. Product Sales'!#REF!</definedName>
    <definedName name="Mexico1" localSheetId="4">#REF!</definedName>
    <definedName name="Mexico1" localSheetId="5">#REF!</definedName>
    <definedName name="Mexico1" localSheetId="2">#REF!</definedName>
    <definedName name="Mexico1">#REF!</definedName>
    <definedName name="Mexico2" localSheetId="4">#REF!</definedName>
    <definedName name="Mexico2" localSheetId="5">#REF!</definedName>
    <definedName name="Mexico2" localSheetId="2">#REF!</definedName>
    <definedName name="Mexico2">#REF!</definedName>
    <definedName name="MGG">[35]Prices!$B$14</definedName>
    <definedName name="MGG_00Ea" localSheetId="5">#REF!</definedName>
    <definedName name="MGG_00Ea" localSheetId="2">#REF!</definedName>
    <definedName name="MGG_00Ea">#REF!</definedName>
    <definedName name="MGG_00EPS" localSheetId="5">#REF!</definedName>
    <definedName name="MGG_00EPS" localSheetId="2">#REF!</definedName>
    <definedName name="MGG_00EPS">#REF!</definedName>
    <definedName name="MGG_01Ea" localSheetId="5">#REF!</definedName>
    <definedName name="MGG_01Ea" localSheetId="2">#REF!</definedName>
    <definedName name="MGG_01Ea">#REF!</definedName>
    <definedName name="MGG_01EPS" localSheetId="5">#REF!</definedName>
    <definedName name="MGG_01EPS" localSheetId="2">#REF!</definedName>
    <definedName name="MGG_01EPS">#REF!</definedName>
    <definedName name="MGG_99Ea" localSheetId="5">#REF!</definedName>
    <definedName name="MGG_99Ea" localSheetId="2">#REF!</definedName>
    <definedName name="MGG_99Ea">#REF!</definedName>
    <definedName name="MGG_99EPS" localSheetId="5">#REF!</definedName>
    <definedName name="MGG_99EPS" localSheetId="2">#REF!</definedName>
    <definedName name="MGG_99EPS">#REF!</definedName>
    <definedName name="MGG_Rating">[16]Industry!$D$13</definedName>
    <definedName name="MGG_Target">[16]Industry!$C$13</definedName>
    <definedName name="mggmir_01Ea" localSheetId="5">#REF!</definedName>
    <definedName name="mggmir_01Ea" localSheetId="2">#REF!</definedName>
    <definedName name="mggmir_01Ea">#REF!</definedName>
    <definedName name="mi00" localSheetId="5">'[3]Balance Sheet Cash Flow'!#REF!</definedName>
    <definedName name="mi00" localSheetId="2">'[3]Balance Sheet Cash Flow'!#REF!</definedName>
    <definedName name="mi00">'[3]Balance Sheet Cash Flow'!#REF!</definedName>
    <definedName name="Minorities" localSheetId="5">#REF!</definedName>
    <definedName name="Minorities" localSheetId="2">#REF!</definedName>
    <definedName name="Minorities">#REF!</definedName>
    <definedName name="Minority_Dividends" localSheetId="5">#REF!</definedName>
    <definedName name="Minority_Dividends" localSheetId="2">#REF!</definedName>
    <definedName name="Minority_Dividends">#REF!</definedName>
    <definedName name="MIR">[35]Prices!$B$15</definedName>
    <definedName name="MIR_Rating">[16]Industry!$D$14</definedName>
    <definedName name="Misc_Other" localSheetId="5">[12]Sales!#REF!</definedName>
    <definedName name="Misc_Other" localSheetId="2">[12]Sales!#REF!</definedName>
    <definedName name="Misc_Other">[12]Sales!#REF!</definedName>
    <definedName name="MKT_SHARE_1">'[28]Scenario Builder'!$C$19:$L$19</definedName>
    <definedName name="MKT_SHARE_10">'[28]Scenario Builder'!$C$28:$L$28</definedName>
    <definedName name="MKT_SHARE_11">'[28]Scenario Builder'!$C$29:$L$29</definedName>
    <definedName name="MKT_SHARE_2">'[28]Scenario Builder'!$C$20:$L$20</definedName>
    <definedName name="MKT_SHARE_3">'[28]Scenario Builder'!$C$21:$L$21</definedName>
    <definedName name="MKT_SHARE_4">'[28]Scenario Builder'!$C$22:$L$22</definedName>
    <definedName name="MKT_SHARE_5">'[28]Scenario Builder'!$C$23:$L$23</definedName>
    <definedName name="MKT_SHARE_6">'[28]Scenario Builder'!$C$24:$L$24</definedName>
    <definedName name="MKT_SHARE_7">'[28]Scenario Builder'!$C$25:$L$25</definedName>
    <definedName name="MKT_SHARE_8">'[28]Scenario Builder'!$C$26:$L$26</definedName>
    <definedName name="MKT_SHARE_9">'[28]Scenario Builder'!$C$27:$L$27</definedName>
    <definedName name="MMR_Varicella">[12]Sales!$A$96:$AG$96</definedName>
    <definedName name="Model_Check">'[39]ACTIVE SHEET'!$A$264:$AE$364</definedName>
    <definedName name="MonitorCol">1</definedName>
    <definedName name="MonitorRow">1</definedName>
    <definedName name="Month" localSheetId="5">#REF!</definedName>
    <definedName name="Month" localSheetId="2">#REF!</definedName>
    <definedName name="Month">#REF!</definedName>
    <definedName name="mrk" localSheetId="5">[36]DATA!#REF!</definedName>
    <definedName name="mrk" localSheetId="2">[36]DATA!#REF!</definedName>
    <definedName name="mrk">[36]DATA!#REF!</definedName>
    <definedName name="mrp" localSheetId="5">#REF!</definedName>
    <definedName name="mrp" localSheetId="2">#REF!</definedName>
    <definedName name="mrp">#REF!</definedName>
    <definedName name="NameTar">'[6]Qtr. Product Sales'!$C$5</definedName>
    <definedName name="Net" localSheetId="5">'[14]Annual Model'!#REF!</definedName>
    <definedName name="Net" localSheetId="2">'[14]Annual Model'!#REF!</definedName>
    <definedName name="Net">'[14]Annual Model'!#REF!</definedName>
    <definedName name="Net_adj_for_capitalized_expenses" localSheetId="5">#REF!</definedName>
    <definedName name="Net_adj_for_capitalized_expenses" localSheetId="2">#REF!</definedName>
    <definedName name="Net_adj_for_capitalized_expenses">#REF!</definedName>
    <definedName name="net_cash" localSheetId="5">#REF!</definedName>
    <definedName name="net_cash" localSheetId="2">#REF!</definedName>
    <definedName name="net_cash">#REF!</definedName>
    <definedName name="Net_income" localSheetId="4">'[13]Annual Model'!#REF!</definedName>
    <definedName name="Net_income" localSheetId="5">'[13]Annual Model'!#REF!</definedName>
    <definedName name="Net_income" localSheetId="2">'[13]Annual Model'!#REF!</definedName>
    <definedName name="Net_income">'[13]Annual Model'!#REF!</definedName>
    <definedName name="Net_income_fore" localSheetId="5">#REF!</definedName>
    <definedName name="Net_income_fore" localSheetId="2">#REF!</definedName>
    <definedName name="Net_income_fore">#REF!</definedName>
    <definedName name="Net_income_growth_avg" localSheetId="5">[15]NOPAT_VDF!#REF!</definedName>
    <definedName name="Net_income_growth_avg" localSheetId="2">[15]NOPAT_VDF!#REF!</definedName>
    <definedName name="Net_income_growth_avg">[15]NOPAT_VDF!#REF!</definedName>
    <definedName name="Net_income_per_share" localSheetId="4">'[13]Annual Model'!#REF!</definedName>
    <definedName name="Net_income_per_share" localSheetId="5">'[13]Annual Model'!#REF!</definedName>
    <definedName name="Net_income_per_share" localSheetId="2">'[13]Annual Model'!#REF!</definedName>
    <definedName name="Net_income_per_share">'[13]Annual Model'!#REF!</definedName>
    <definedName name="Net_Interest" localSheetId="5">#REF!</definedName>
    <definedName name="Net_Interest" localSheetId="2">#REF!</definedName>
    <definedName name="Net_Interest">#REF!</definedName>
    <definedName name="Net_margin">[15]NOPAT_VDF!$C$113:$AU$113</definedName>
    <definedName name="Net_margin_fore" localSheetId="5">#REF!</definedName>
    <definedName name="Net_margin_fore" localSheetId="2">#REF!</definedName>
    <definedName name="Net_margin_fore">#REF!</definedName>
    <definedName name="Net_PPE_growth_fore" localSheetId="5">#REF!</definedName>
    <definedName name="Net_PPE_growth_fore" localSheetId="2">#REF!</definedName>
    <definedName name="Net_PPE_growth_fore">#REF!</definedName>
    <definedName name="Net_profit" localSheetId="5">#REF!</definedName>
    <definedName name="Net_profit" localSheetId="2">#REF!</definedName>
    <definedName name="Net_profit">#REF!</definedName>
    <definedName name="Net_Profit_after_Minorities" localSheetId="5">#REF!</definedName>
    <definedName name="Net_Profit_after_Minorities" localSheetId="2">#REF!</definedName>
    <definedName name="Net_Profit_after_Minorities">#REF!</definedName>
    <definedName name="Net_sales">[15]NOPAT_VDF!$C$8:$AE$8</definedName>
    <definedName name="Net_sales_DCF">[15]DCF_VDF!$C$9:$AZ$9</definedName>
    <definedName name="Net_sales_fore" localSheetId="5">#REF!</definedName>
    <definedName name="Net_sales_fore" localSheetId="2">#REF!</definedName>
    <definedName name="Net_sales_fore">#REF!</definedName>
    <definedName name="Net_sales_growth_fore" localSheetId="5">#REF!</definedName>
    <definedName name="Net_sales_growth_fore" localSheetId="2">#REF!</definedName>
    <definedName name="Net_sales_growth_fore">#REF!</definedName>
    <definedName name="Net_Working_Capital" localSheetId="5">#REF!</definedName>
    <definedName name="Net_Working_Capital" localSheetId="2">#REF!</definedName>
    <definedName name="Net_Working_Capital">#REF!</definedName>
    <definedName name="Net_working_capital_turns">'[15]Invested capital_VDF'!$C$97:$AU$97</definedName>
    <definedName name="Net_Worth_Share__DM" localSheetId="5">#REF!</definedName>
    <definedName name="Net_Worth_Share__DM" localSheetId="2">#REF!</definedName>
    <definedName name="Net_Worth_Share__DM">#REF!</definedName>
    <definedName name="NetWC_turns_fore" localSheetId="5">#REF!</definedName>
    <definedName name="NetWC_turns_fore" localSheetId="2">#REF!</definedName>
    <definedName name="NetWC_turns_fore">#REF!</definedName>
    <definedName name="NetworkRev">[6]__FDSCACHE__!$F$97:$N$97</definedName>
    <definedName name="NEUP_MKT_SHARE_1">'[28]Scenario Builder'!$C$33:$L$33</definedName>
    <definedName name="NEUP_MKT_SHARE_10">'[28]Scenario Builder'!$C$42:$L$42</definedName>
    <definedName name="NEUP_MKT_SHARE_11">'[28]Scenario Builder'!$C$43:$L$43</definedName>
    <definedName name="NEUP_MKT_SHARE_2">'[28]Scenario Builder'!$C$34:$L$34</definedName>
    <definedName name="NEUP_MKT_SHARE_3">'[28]Scenario Builder'!$C$35:$L$35</definedName>
    <definedName name="NEUP_MKT_SHARE_4">'[28]Scenario Builder'!$C$36:$L$36</definedName>
    <definedName name="NEUP_MKT_SHARE_5">'[28]Scenario Builder'!$C$37:$L$37</definedName>
    <definedName name="NEUP_MKT_SHARE_6">'[28]Scenario Builder'!$C$38:$L$38</definedName>
    <definedName name="NEUP_MKT_SHARE_7">'[28]Scenario Builder'!$C$39:$L$39</definedName>
    <definedName name="NEUP_MKT_SHARE_8">'[28]Scenario Builder'!$C$40:$L$40</definedName>
    <definedName name="NEUP_MKT_SHARE_9">'[28]Scenario Builder'!$C$41:$L$41</definedName>
    <definedName name="neur01" localSheetId="5">'[3]Qtr. Product Sales'!#REF!</definedName>
    <definedName name="neur01" localSheetId="2">'[3]Qtr. Product Sales'!#REF!</definedName>
    <definedName name="neur01">'[3]Qtr. Product Sales'!#REF!</definedName>
    <definedName name="neur02" localSheetId="5">'[3]Qtr. Product Sales'!#REF!</definedName>
    <definedName name="neur02" localSheetId="2">'[3]Qtr. Product Sales'!#REF!</definedName>
    <definedName name="neur02">'[3]Qtr. Product Sales'!#REF!</definedName>
    <definedName name="new_cell" localSheetId="5">#REF!</definedName>
    <definedName name="new_cell" localSheetId="2">#REF!</definedName>
    <definedName name="new_cell">#REF!</definedName>
    <definedName name="NEW_SALES">[12]Sales!$X$112:$AG$112</definedName>
    <definedName name="New_sales_copy">[12]Sales!$AJ$112</definedName>
    <definedName name="NextButton">"Button 18"</definedName>
    <definedName name="NINT" localSheetId="5">#REF!</definedName>
    <definedName name="NINT" localSheetId="2">#REF!</definedName>
    <definedName name="NINT">#REF!</definedName>
    <definedName name="NOPAT">[15]NOPAT_VDF!$C$41:$AU$41</definedName>
    <definedName name="NOPAT_DCF">[15]DCF_VDF!$C$12:$AZ$12</definedName>
    <definedName name="NOPAT_fore" localSheetId="5">#REF!</definedName>
    <definedName name="NOPAT_fore" localSheetId="2">#REF!</definedName>
    <definedName name="NOPAT_fore">#REF!</definedName>
    <definedName name="NOPAT_growth_avg" localSheetId="5">[15]NOPAT_VDF!#REF!</definedName>
    <definedName name="NOPAT_growth_avg" localSheetId="2">[15]NOPAT_VDF!#REF!</definedName>
    <definedName name="NOPAT_growth_avg">[15]NOPAT_VDF!#REF!</definedName>
    <definedName name="NOPAT_margin">[15]NOPAT_VDF!$C$112:$AU$112</definedName>
    <definedName name="NOPAT_margin_fore" localSheetId="5">#REF!</definedName>
    <definedName name="NOPAT_margin_fore" localSheetId="2">#REF!</definedName>
    <definedName name="NOPAT_margin_fore">#REF!</definedName>
    <definedName name="NOPAT_NCI" localSheetId="5">#REF!</definedName>
    <definedName name="NOPAT_NCI" localSheetId="2">#REF!</definedName>
    <definedName name="NOPAT_NCI">#REF!</definedName>
    <definedName name="NOPAT_Share" localSheetId="5">[15]NOPAT_VDF!#REF!</definedName>
    <definedName name="NOPAT_Share" localSheetId="2">[15]NOPAT_VDF!#REF!</definedName>
    <definedName name="NOPAT_Share">[15]NOPAT_VDF!#REF!</definedName>
    <definedName name="NOPBT">[15]NOPAT_VDF!$C$32:$AU$32</definedName>
    <definedName name="NOPBT_fore" localSheetId="5">#REF!</definedName>
    <definedName name="NOPBT_fore" localSheetId="2">#REF!</definedName>
    <definedName name="NOPBT_fore">#REF!</definedName>
    <definedName name="Norm_forecast_11_15" localSheetId="5">#REF!</definedName>
    <definedName name="Norm_forecast_11_15" localSheetId="2">#REF!</definedName>
    <definedName name="Norm_forecast_11_15">#REF!</definedName>
    <definedName name="Norm_forecast_16_25" localSheetId="5">#REF!</definedName>
    <definedName name="Norm_forecast_16_25" localSheetId="2">#REF!</definedName>
    <definedName name="Norm_forecast_16_25">#REF!</definedName>
    <definedName name="Norm_forecast_4_5" localSheetId="5">#REF!</definedName>
    <definedName name="Norm_forecast_4_5" localSheetId="2">#REF!</definedName>
    <definedName name="Norm_forecast_4_5">#REF!</definedName>
    <definedName name="Norm_forecast_6_10" localSheetId="5">#REF!</definedName>
    <definedName name="Norm_forecast_6_10" localSheetId="2">#REF!</definedName>
    <definedName name="Norm_forecast_6_10">#REF!</definedName>
    <definedName name="North_America" localSheetId="5">#REF!</definedName>
    <definedName name="North_America" localSheetId="2">#REF!</definedName>
    <definedName name="North_America">#REF!</definedName>
    <definedName name="norv01" localSheetId="5">'[3]Qtr. Product Sales'!#REF!</definedName>
    <definedName name="norv01" localSheetId="2">'[3]Qtr. Product Sales'!#REF!</definedName>
    <definedName name="norv01">'[3]Qtr. Product Sales'!#REF!</definedName>
    <definedName name="norv02" localSheetId="5">'[3]Qtr. Product Sales'!#REF!</definedName>
    <definedName name="norv02" localSheetId="2">'[3]Qtr. Product Sales'!#REF!</definedName>
    <definedName name="norv02">'[3]Qtr. Product Sales'!#REF!</definedName>
    <definedName name="NPT_1">[15]NOPAT_VDF!$P$1:$P$65536</definedName>
    <definedName name="NPT_2">[15]NOPAT_VDF!$O$1:$O$65536</definedName>
    <definedName name="NPT_P">[15]NOPAT_VDF!$Q$1:$Q$65536</definedName>
    <definedName name="NvsASD">"V2000-09-08"</definedName>
    <definedName name="NvsAutoDrillOk">"VN"</definedName>
    <definedName name="NvsElapsedTime">0.000234143517445773</definedName>
    <definedName name="NvsEndTime">36707.2948738426</definedName>
    <definedName name="NvsInstSpec">"%,FMI_ALT_BU,TCA_ALTBU_CORPS,NCONSOLIDATING"</definedName>
    <definedName name="NvsLayoutType">"M3"</definedName>
    <definedName name="NvsNplSpec">"%,X,RZF..,CZF.."</definedName>
    <definedName name="NvsPanelEffdt">"V9999-01-01"</definedName>
    <definedName name="NvsPanelSetid">"VMIDIV"</definedName>
    <definedName name="NvsReqBU">"V52"</definedName>
    <definedName name="NvsReqBUOnly">"VN"</definedName>
    <definedName name="NvsTransLed">"VN"</definedName>
    <definedName name="NvsTreeASD">"V2000-09-08"</definedName>
    <definedName name="NvsValTbl.PRODUCT">"MI_GL_PRODCT_VW"</definedName>
    <definedName name="Off_B_S_Income">[15]NOPAT_VDF!$C$7:$AZ$7</definedName>
    <definedName name="Off_B_S_Income_DCF">[15]DCF_VDF!$C$8:$BZ$8</definedName>
    <definedName name="Off_B_S_Income_fore" localSheetId="5">#REF!</definedName>
    <definedName name="Off_B_S_Income_fore" localSheetId="2">#REF!</definedName>
    <definedName name="Off_B_S_Income_fore">#REF!</definedName>
    <definedName name="Off_B_S_Income_growth_fore" localSheetId="5">#REF!</definedName>
    <definedName name="Off_B_S_Income_growth_fore" localSheetId="2">#REF!</definedName>
    <definedName name="Off_B_S_Income_growth_fore">#REF!</definedName>
    <definedName name="OL_1">'[15]PV of Op Leases_VDF'!$AD$1:$AD$65536</definedName>
    <definedName name="OL_P">'[15]PV of Op Leases_VDF'!$AF$1:$AF$65536</definedName>
    <definedName name="onepage" localSheetId="5">#REF!</definedName>
    <definedName name="onepage" localSheetId="2">#REF!</definedName>
    <definedName name="onepage">#REF!</definedName>
    <definedName name="ONEPAGER" localSheetId="4">'[40]BVF Earnings'!$A$1:$AK$83</definedName>
    <definedName name="ONEPAGER" localSheetId="5">#REF!</definedName>
    <definedName name="ONEPAGER" localSheetId="2">#REF!</definedName>
    <definedName name="ONEPAGER">#REF!</definedName>
    <definedName name="Op_Inc._Breakdown">'[17]IGT MODEL'!$A$148:$X$176</definedName>
    <definedName name="Operating_income" localSheetId="4">'[13]Annual Model'!#REF!</definedName>
    <definedName name="Operating_income" localSheetId="5">'[13]Annual Model'!#REF!</definedName>
    <definedName name="Operating_income" localSheetId="2">'[13]Annual Model'!#REF!</definedName>
    <definedName name="Operating_income">'[13]Annual Model'!#REF!</definedName>
    <definedName name="Operating_income_fore" localSheetId="5">#REF!</definedName>
    <definedName name="Operating_income_fore" localSheetId="2">#REF!</definedName>
    <definedName name="Operating_income_fore">#REF!</definedName>
    <definedName name="Operating_Lease_Expense">[15]NOPAT_VDF!$C$23:$AZ$23</definedName>
    <definedName name="Operating_Lease_Expense_fore" localSheetId="5">#REF!</definedName>
    <definedName name="Operating_Lease_Expense_fore" localSheetId="2">#REF!</definedName>
    <definedName name="Operating_Lease_Expense_fore">#REF!</definedName>
    <definedName name="Operating_profit" localSheetId="5">#REF!</definedName>
    <definedName name="Operating_profit" localSheetId="2">#REF!</definedName>
    <definedName name="Operating_profit">#REF!</definedName>
    <definedName name="Other_asset_turns">'[15]Invested capital_VDF'!$A$101:$Z$101</definedName>
    <definedName name="Other_asset_turns_fore" localSheetId="5">#REF!</definedName>
    <definedName name="Other_asset_turns_fore" localSheetId="2">#REF!</definedName>
    <definedName name="Other_asset_turns_fore">#REF!</definedName>
    <definedName name="Other_Cash_Items" localSheetId="5">#REF!</definedName>
    <definedName name="Other_Cash_Items" localSheetId="2">#REF!</definedName>
    <definedName name="Other_Cash_Items">#REF!</definedName>
    <definedName name="Other_Creditors" localSheetId="5">#REF!</definedName>
    <definedName name="Other_Creditors" localSheetId="2">#REF!</definedName>
    <definedName name="Other_Creditors">#REF!</definedName>
    <definedName name="Other_current_assets_growth_fore" localSheetId="5">#REF!</definedName>
    <definedName name="Other_current_assets_growth_fore" localSheetId="2">#REF!</definedName>
    <definedName name="Other_current_assets_growth_fore">#REF!</definedName>
    <definedName name="Other_current_liabilities_growth_fore" localSheetId="5">#REF!</definedName>
    <definedName name="Other_current_liabilities_growth_fore" localSheetId="2">#REF!</definedName>
    <definedName name="Other_current_liabilities_growth_fore">#REF!</definedName>
    <definedName name="Other_dividends" localSheetId="5">'[15]Invested capital_VDF'!#REF!</definedName>
    <definedName name="Other_dividends" localSheetId="2">'[15]Invested capital_VDF'!#REF!</definedName>
    <definedName name="Other_dividends">'[15]Invested capital_VDF'!#REF!</definedName>
    <definedName name="Other_Europe_Sales" localSheetId="5">#REF!</definedName>
    <definedName name="Other_Europe_Sales" localSheetId="2">#REF!</definedName>
    <definedName name="Other_Europe_Sales">#REF!</definedName>
    <definedName name="Other_Expenses">[15]NOPAT_VDF!$C$59:$AZ$59</definedName>
    <definedName name="Other_Expenses_fore" localSheetId="5">#REF!</definedName>
    <definedName name="Other_Expenses_fore" localSheetId="2">#REF!</definedName>
    <definedName name="Other_Expenses_fore">#REF!</definedName>
    <definedName name="Other_expenses_gains">[15]NOPAT_VDF!$C$14:$AZ$14</definedName>
    <definedName name="Other_expenses_gains_fore" localSheetId="5">#REF!</definedName>
    <definedName name="Other_expenses_gains_fore" localSheetId="2">#REF!</definedName>
    <definedName name="Other_expenses_gains_fore">#REF!</definedName>
    <definedName name="Other_expenses_growth_fore" localSheetId="5">#REF!</definedName>
    <definedName name="Other_expenses_growth_fore" localSheetId="2">#REF!</definedName>
    <definedName name="Other_expenses_growth_fore">#REF!</definedName>
    <definedName name="Other_Financial_Assets" localSheetId="5">#REF!</definedName>
    <definedName name="Other_Financial_Assets" localSheetId="2">#REF!</definedName>
    <definedName name="Other_Financial_Assets">#REF!</definedName>
    <definedName name="Other_fixed_asset_turns_fore" localSheetId="5">#REF!</definedName>
    <definedName name="Other_fixed_asset_turns_fore" localSheetId="2">#REF!</definedName>
    <definedName name="Other_fixed_asset_turns_fore">#REF!</definedName>
    <definedName name="Other_fixed_assets_growth_fore" localSheetId="5">#REF!</definedName>
    <definedName name="Other_fixed_assets_growth_fore" localSheetId="2">#REF!</definedName>
    <definedName name="Other_fixed_assets_growth_fore">#REF!</definedName>
    <definedName name="Other_growth_fore" localSheetId="5">#REF!</definedName>
    <definedName name="Other_growth_fore" localSheetId="2">#REF!</definedName>
    <definedName name="Other_growth_fore">#REF!</definedName>
    <definedName name="Other_inc_exp_fore" localSheetId="5">#REF!</definedName>
    <definedName name="Other_inc_exp_fore" localSheetId="2">#REF!</definedName>
    <definedName name="Other_inc_exp_fore">#REF!</definedName>
    <definedName name="Other_Income">[15]NOPAT_VDF!$C$58:$AZ$58</definedName>
    <definedName name="Other_income_growth_fore" localSheetId="5">#REF!</definedName>
    <definedName name="Other_income_growth_fore" localSheetId="2">#REF!</definedName>
    <definedName name="Other_income_growth_fore">#REF!</definedName>
    <definedName name="Other_liabilities_growth_fore" localSheetId="5">#REF!</definedName>
    <definedName name="Other_liabilities_growth_fore" localSheetId="2">#REF!</definedName>
    <definedName name="Other_liabilities_growth_fore">#REF!</definedName>
    <definedName name="Other_Provisions" localSheetId="5">#REF!</definedName>
    <definedName name="Other_Provisions" localSheetId="2">#REF!</definedName>
    <definedName name="Other_Provisions">#REF!</definedName>
    <definedName name="Other_Segment_Revenues" localSheetId="5">[15]NOPAT_VDF!#REF!</definedName>
    <definedName name="Other_Segment_Revenues" localSheetId="2">[15]NOPAT_VDF!#REF!</definedName>
    <definedName name="Other_Segment_Revenues">[15]NOPAT_VDF!#REF!</definedName>
    <definedName name="Other_Taxes" localSheetId="5">#REF!</definedName>
    <definedName name="Other_Taxes" localSheetId="2">#REF!</definedName>
    <definedName name="Other_Taxes">#REF!</definedName>
    <definedName name="Other1" localSheetId="4">#REF!</definedName>
    <definedName name="Other1" localSheetId="5">#REF!</definedName>
    <definedName name="Other1" localSheetId="2">#REF!</definedName>
    <definedName name="Other1">#REF!</definedName>
    <definedName name="Page1" localSheetId="4">#REF!</definedName>
    <definedName name="Page1" localSheetId="5">#REF!</definedName>
    <definedName name="Page1" localSheetId="2">#REF!</definedName>
    <definedName name="Page1">#REF!</definedName>
    <definedName name="Page12" localSheetId="4">#REF!</definedName>
    <definedName name="Page12" localSheetId="5">#REF!</definedName>
    <definedName name="Page12" localSheetId="2">#REF!</definedName>
    <definedName name="Page12">#REF!</definedName>
    <definedName name="Page2" localSheetId="4">#REF!</definedName>
    <definedName name="Page2" localSheetId="5">#REF!</definedName>
    <definedName name="Page2" localSheetId="2">#REF!</definedName>
    <definedName name="Page2">#REF!</definedName>
    <definedName name="PAGE3" localSheetId="5">'[4]#REF'!#REF!</definedName>
    <definedName name="PAGE3" localSheetId="2">'[4]#REF'!#REF!</definedName>
    <definedName name="PAGE3">'[4]#REF'!#REF!</definedName>
    <definedName name="PAGE4" localSheetId="5">'[4]#REF'!#REF!</definedName>
    <definedName name="PAGE4" localSheetId="2">'[4]#REF'!#REF!</definedName>
    <definedName name="PAGE4">'[4]#REF'!#REF!</definedName>
    <definedName name="Parent_Company_Dividend" localSheetId="5">#REF!</definedName>
    <definedName name="Parent_Company_Dividend" localSheetId="2">#REF!</definedName>
    <definedName name="Parent_Company_Dividend">#REF!</definedName>
    <definedName name="PatientCompliance_fraction">[37]Inputs!$C$23</definedName>
    <definedName name="PDQ">'[24]THE LINK FOR ALL'!$B$50</definedName>
    <definedName name="PDQ_CONS00">'[24]THE LINK FOR ALL'!$F$21</definedName>
    <definedName name="PDQ_CONS01">'[24]THE LINK FOR ALL'!$G$21</definedName>
    <definedName name="PDQ_CONS99" localSheetId="5">#REF!</definedName>
    <definedName name="PDQ_CONS99" localSheetId="2">#REF!</definedName>
    <definedName name="PDQ_CONS99">#REF!</definedName>
    <definedName name="PE">#N/A</definedName>
    <definedName name="Penbritin">[12]Sales!$A$33:$AG$33</definedName>
    <definedName name="penn" localSheetId="5">#REF!</definedName>
    <definedName name="penn" localSheetId="2">#REF!</definedName>
    <definedName name="penn">#REF!</definedName>
    <definedName name="PENN_CONS00" localSheetId="5">#REF!</definedName>
    <definedName name="PENN_CONS00" localSheetId="2">#REF!</definedName>
    <definedName name="PENN_CONS00">#REF!</definedName>
    <definedName name="PENN_CONS01" localSheetId="5">#REF!</definedName>
    <definedName name="PENN_CONS01" localSheetId="2">#REF!</definedName>
    <definedName name="PENN_CONS01">#REF!</definedName>
    <definedName name="PENN_CONS99" localSheetId="5">#REF!</definedName>
    <definedName name="PENN_CONS99" localSheetId="2">#REF!</definedName>
    <definedName name="PENN_CONS99">#REF!</definedName>
    <definedName name="Pension_Provisions" localSheetId="5">#REF!</definedName>
    <definedName name="Pension_Provisions" localSheetId="2">#REF!</definedName>
    <definedName name="Pension_Provisions">#REF!</definedName>
    <definedName name="pepc00" localSheetId="5">'[32]Qtr. Product Sales'!#REF!</definedName>
    <definedName name="pepc00" localSheetId="2">'[32]Qtr. Product Sales'!#REF!</definedName>
    <definedName name="pepc00">'[32]Qtr. Product Sales'!#REF!</definedName>
    <definedName name="pepc01" localSheetId="5">'[32]Qtr. Product Sales'!#REF!</definedName>
    <definedName name="pepc01" localSheetId="2">'[32]Qtr. Product Sales'!#REF!</definedName>
    <definedName name="pepc01">'[32]Qtr. Product Sales'!#REF!</definedName>
    <definedName name="pepc02" localSheetId="5">'[32]Qtr. Product Sales'!#REF!</definedName>
    <definedName name="pepc02" localSheetId="2">'[32]Qtr. Product Sales'!#REF!</definedName>
    <definedName name="pepc02">'[32]Qtr. Product Sales'!#REF!</definedName>
    <definedName name="PERIOD" localSheetId="5">#REF!</definedName>
    <definedName name="PERIOD" localSheetId="2">#REF!</definedName>
    <definedName name="PERIOD">#REF!</definedName>
    <definedName name="PERSONNEL_ANALYSIS" localSheetId="5">#REF!</definedName>
    <definedName name="PERSONNEL_ANALYSIS" localSheetId="2">#REF!</definedName>
    <definedName name="PERSONNEL_ANALYSIS">#REF!</definedName>
    <definedName name="personnel_cost" localSheetId="5">#REF!</definedName>
    <definedName name="personnel_cost" localSheetId="2">#REF!</definedName>
    <definedName name="personnel_cost">#REF!</definedName>
    <definedName name="Personnel_Costs" localSheetId="5">#REF!</definedName>
    <definedName name="Personnel_Costs" localSheetId="2">#REF!</definedName>
    <definedName name="Personnel_Costs">#REF!</definedName>
    <definedName name="PFEEPS1">'[3]quarterly income'!$G$37</definedName>
    <definedName name="PFEEPS2">'[3]quarterly income'!$L$37</definedName>
    <definedName name="pharma_ebit" localSheetId="5">#REF!</definedName>
    <definedName name="pharma_ebit" localSheetId="2">#REF!</definedName>
    <definedName name="pharma_ebit">#REF!</definedName>
    <definedName name="pharma_sales" localSheetId="5">#REF!</definedName>
    <definedName name="pharma_sales" localSheetId="2">#REF!</definedName>
    <definedName name="pharma_sales">#REF!</definedName>
    <definedName name="pharma_staff" localSheetId="5">#REF!</definedName>
    <definedName name="pharma_staff" localSheetId="2">#REF!</definedName>
    <definedName name="pharma_staff">#REF!</definedName>
    <definedName name="pharmasales00">[6]Sheet1!$I$46</definedName>
    <definedName name="pharmasales01">[6]Sheet1!$N$46</definedName>
    <definedName name="pharmasales02">[6]Sheet1!$S$46</definedName>
    <definedName name="pharmasales03">[6]Sheet1!$T$46</definedName>
    <definedName name="pharmasales04">[6]Sheet1!$U$46</definedName>
    <definedName name="pharmasales05">[6]Sheet1!$V$46</definedName>
    <definedName name="pharmasales06">[6]Sheet1!$W$46</definedName>
    <definedName name="pharmasales99">[6]Sheet1!$D$46</definedName>
    <definedName name="Pictur9">"Picture 9"</definedName>
    <definedName name="Picture1">"Picture 1"</definedName>
    <definedName name="Picture10">"Picture 10"</definedName>
    <definedName name="Picture11">"Picture 11"</definedName>
    <definedName name="Picture2">"Picture 2"</definedName>
    <definedName name="Picture4">"Picture 4"</definedName>
    <definedName name="Picture5">"Picture 5"</definedName>
    <definedName name="Picture6">"Picture 6"</definedName>
    <definedName name="PL" localSheetId="5">#REF!</definedName>
    <definedName name="PL" localSheetId="2">#REF!</definedName>
    <definedName name="PL">#REF!</definedName>
    <definedName name="PL_1997_EBIT" localSheetId="5">#REF!</definedName>
    <definedName name="PL_1997_EBIT" localSheetId="2">#REF!</definedName>
    <definedName name="PL_1997_EBIT">#REF!</definedName>
    <definedName name="PL_1998_EBIT" localSheetId="5">#REF!</definedName>
    <definedName name="PL_1998_EBIT" localSheetId="2">#REF!</definedName>
    <definedName name="PL_1998_EBIT">#REF!</definedName>
    <definedName name="PL_1999_EBIT" localSheetId="5">#REF!</definedName>
    <definedName name="PL_1999_EBIT" localSheetId="2">#REF!</definedName>
    <definedName name="PL_1999_EBIT">#REF!</definedName>
    <definedName name="PL_2000_EBIT" localSheetId="5">#REF!</definedName>
    <definedName name="PL_2000_EBIT" localSheetId="2">#REF!</definedName>
    <definedName name="PL_2000_EBIT">#REF!</definedName>
    <definedName name="PL_2001_EBIT" localSheetId="5">#REF!</definedName>
    <definedName name="PL_2001_EBIT" localSheetId="2">#REF!</definedName>
    <definedName name="PL_2001_EBIT">#REF!</definedName>
    <definedName name="PL_2002_EBIT" localSheetId="5">#REF!</definedName>
    <definedName name="PL_2002_EBIT" localSheetId="2">#REF!</definedName>
    <definedName name="PL_2002_EBIT">#REF!</definedName>
    <definedName name="PL_2003_EBIT" localSheetId="5">#REF!</definedName>
    <definedName name="PL_2003_EBIT" localSheetId="2">#REF!</definedName>
    <definedName name="PL_2003_EBIT">#REF!</definedName>
    <definedName name="PL_2004_EBIT" localSheetId="5">#REF!</definedName>
    <definedName name="PL_2004_EBIT" localSheetId="2">#REF!</definedName>
    <definedName name="PL_2004_EBIT">#REF!</definedName>
    <definedName name="PL_2005_EBIT" localSheetId="5">#REF!</definedName>
    <definedName name="PL_2005_EBIT" localSheetId="2">#REF!</definedName>
    <definedName name="PL_2005_EBIT">#REF!</definedName>
    <definedName name="PL_2006_EBIT" localSheetId="5">#REF!</definedName>
    <definedName name="PL_2006_EBIT" localSheetId="2">#REF!</definedName>
    <definedName name="PL_2006_EBIT">#REF!</definedName>
    <definedName name="PL_account" localSheetId="5">#REF!</definedName>
    <definedName name="PL_account" localSheetId="2">#REF!</definedName>
    <definedName name="PL_account">#REF!</definedName>
    <definedName name="PL_ADMIN" localSheetId="5">#REF!</definedName>
    <definedName name="PL_ADMIN" localSheetId="2">#REF!</definedName>
    <definedName name="PL_ADMIN">#REF!</definedName>
    <definedName name="PL_ADMIN_COPY" localSheetId="5">#REF!</definedName>
    <definedName name="PL_ADMIN_COPY" localSheetId="2">#REF!</definedName>
    <definedName name="PL_ADMIN_COPY">#REF!</definedName>
    <definedName name="PL_COGS" localSheetId="5">#REF!</definedName>
    <definedName name="PL_COGS" localSheetId="2">#REF!</definedName>
    <definedName name="PL_COGS">#REF!</definedName>
    <definedName name="PL_COGS_COPY" localSheetId="5">#REF!</definedName>
    <definedName name="PL_COGS_COPY" localSheetId="2">#REF!</definedName>
    <definedName name="PL_COGS_COPY">#REF!</definedName>
    <definedName name="PL_OP_EXP" localSheetId="5">#REF!</definedName>
    <definedName name="PL_OP_EXP" localSheetId="2">#REF!</definedName>
    <definedName name="PL_OP_EXP">#REF!</definedName>
    <definedName name="PL_OP_EXP_COPY" localSheetId="5">#REF!</definedName>
    <definedName name="PL_OP_EXP_COPY" localSheetId="2">#REF!</definedName>
    <definedName name="PL_OP_EXP_COPY">#REF!</definedName>
    <definedName name="PL_RD" localSheetId="5">#REF!</definedName>
    <definedName name="PL_RD" localSheetId="2">#REF!</definedName>
    <definedName name="PL_RD">#REF!</definedName>
    <definedName name="PL_RD_COPY" localSheetId="5">#REF!</definedName>
    <definedName name="PL_RD_COPY" localSheetId="2">#REF!</definedName>
    <definedName name="PL_RD_COPY">#REF!</definedName>
    <definedName name="PL_SGA" localSheetId="5">#REF!</definedName>
    <definedName name="PL_SGA" localSheetId="2">#REF!</definedName>
    <definedName name="PL_SGA">#REF!</definedName>
    <definedName name="PL_SGA_COPY" localSheetId="5">#REF!</definedName>
    <definedName name="PL_SGA_COPY" localSheetId="2">#REF!</definedName>
    <definedName name="PL_SGA_COPY">#REF!</definedName>
    <definedName name="plav01">[6]REPORTER!$P$41</definedName>
    <definedName name="plav02">[6]REPORTER!$U$41</definedName>
    <definedName name="play" localSheetId="5">#REF!</definedName>
    <definedName name="play" localSheetId="2">#REF!</definedName>
    <definedName name="play">#REF!</definedName>
    <definedName name="PLAY_00Ea" localSheetId="5">#REF!</definedName>
    <definedName name="PLAY_00Ea" localSheetId="2">#REF!</definedName>
    <definedName name="PLAY_00Ea">#REF!</definedName>
    <definedName name="PLAY_00EPS" localSheetId="5">#REF!</definedName>
    <definedName name="PLAY_00EPS" localSheetId="2">#REF!</definedName>
    <definedName name="PLAY_00EPS">#REF!</definedName>
    <definedName name="PLAY_99Ea" localSheetId="5">#REF!</definedName>
    <definedName name="PLAY_99Ea" localSheetId="2">#REF!</definedName>
    <definedName name="PLAY_99Ea">#REF!</definedName>
    <definedName name="PLAY_99EPS" localSheetId="5">#REF!</definedName>
    <definedName name="PLAY_99EPS" localSheetId="2">#REF!</definedName>
    <definedName name="PLAY_99EPS">#REF!</definedName>
    <definedName name="PLAY_Rating">[16]Industry!$D$17</definedName>
    <definedName name="pnk" localSheetId="5">#REF!</definedName>
    <definedName name="pnk" localSheetId="2">#REF!</definedName>
    <definedName name="pnk">#REF!</definedName>
    <definedName name="PNK_Rating">[16]Industry!$D$16</definedName>
    <definedName name="PNK_Target">[16]Industry!$C$16</definedName>
    <definedName name="PPE">[35]Prices!$B$16</definedName>
    <definedName name="PPE_00Ea" localSheetId="5">#REF!</definedName>
    <definedName name="PPE_00Ea" localSheetId="2">#REF!</definedName>
    <definedName name="PPE_00Ea">#REF!</definedName>
    <definedName name="PPE_00EPS" localSheetId="5">#REF!</definedName>
    <definedName name="PPE_00EPS" localSheetId="2">#REF!</definedName>
    <definedName name="PPE_00EPS">#REF!</definedName>
    <definedName name="PPE_01Ea" localSheetId="5">#REF!</definedName>
    <definedName name="PPE_01Ea" localSheetId="2">#REF!</definedName>
    <definedName name="PPE_01Ea">#REF!</definedName>
    <definedName name="PPE_01EPS" localSheetId="5">#REF!</definedName>
    <definedName name="PPE_01EPS" localSheetId="2">#REF!</definedName>
    <definedName name="PPE_01EPS">#REF!</definedName>
    <definedName name="PPE_99Ea" localSheetId="5">#REF!</definedName>
    <definedName name="PPE_99Ea" localSheetId="2">#REF!</definedName>
    <definedName name="PPE_99Ea">#REF!</definedName>
    <definedName name="PPE_99EPS" localSheetId="5">#REF!</definedName>
    <definedName name="PPE_99EPS" localSheetId="2">#REF!</definedName>
    <definedName name="PPE_99EPS">#REF!</definedName>
    <definedName name="PPE_Rating">[16]Industry!$D$15</definedName>
    <definedName name="PPE_Target">[16]Industry!$C$15</definedName>
    <definedName name="PPnE_turns_fore" localSheetId="5">#REF!</definedName>
    <definedName name="PPnE_turns_fore" localSheetId="2">#REF!</definedName>
    <definedName name="PPnE_turns_fore">#REF!</definedName>
    <definedName name="prav01">[6]REPORTER!$P$18</definedName>
    <definedName name="prav02">[6]REPORTER!$U$18</definedName>
    <definedName name="prav03">[6]REPORTER!$Z$18</definedName>
    <definedName name="prav04">[6]REPORTER!$AE$18</definedName>
    <definedName name="prav05">[6]REPORTER!$AJ$18</definedName>
    <definedName name="prav06">[6]REPORTER!$AO$18</definedName>
    <definedName name="Pre_Tax__Profit" localSheetId="5">#REF!</definedName>
    <definedName name="Pre_Tax__Profit" localSheetId="2">#REF!</definedName>
    <definedName name="Pre_Tax__Profit">#REF!</definedName>
    <definedName name="Pre_Tax_Profit" localSheetId="5">#REF!</definedName>
    <definedName name="Pre_Tax_Profit" localSheetId="2">#REF!</definedName>
    <definedName name="Pre_Tax_Profit">#REF!</definedName>
    <definedName name="Preferred_stock_growth_fore" localSheetId="5">#REF!</definedName>
    <definedName name="Preferred_stock_growth_fore" localSheetId="2">#REF!</definedName>
    <definedName name="Preferred_stock_growth_fore">#REF!</definedName>
    <definedName name="prem01">[6]Sheet1!$Z$17</definedName>
    <definedName name="prem02">[6]Sheet1!$AE$17</definedName>
    <definedName name="Present_Value_Oper_lease">'[15]PV of Op Leases_VDF'!$C$62:$AW$62</definedName>
    <definedName name="Pretax" localSheetId="5">'[14]Annual Model'!#REF!</definedName>
    <definedName name="Pretax" localSheetId="2">'[14]Annual Model'!#REF!</definedName>
    <definedName name="Pretax">'[14]Annual Model'!#REF!</definedName>
    <definedName name="Pretax_income" localSheetId="4">'[13]Annual Model'!#REF!</definedName>
    <definedName name="Pretax_income" localSheetId="5">'[13]Annual Model'!#REF!</definedName>
    <definedName name="Pretax_income" localSheetId="2">'[13]Annual Model'!#REF!</definedName>
    <definedName name="Pretax_income">'[13]Annual Model'!#REF!</definedName>
    <definedName name="Pretax_income_fore" localSheetId="5">#REF!</definedName>
    <definedName name="Pretax_income_fore" localSheetId="2">#REF!</definedName>
    <definedName name="Pretax_income_fore">#REF!</definedName>
    <definedName name="pretax93">'[4]#REF'!$X$175</definedName>
    <definedName name="pretax94">'[4]#REF'!$AE$175</definedName>
    <definedName name="prev01">[6]Sheet1!$Z$108</definedName>
    <definedName name="prev02">[6]Sheet1!$AE$108</definedName>
    <definedName name="PreviousButton">"Button 19"</definedName>
    <definedName name="PRH" localSheetId="5">#REF!</definedName>
    <definedName name="PRH" localSheetId="2">#REF!</definedName>
    <definedName name="PRH">#REF!</definedName>
    <definedName name="PRH_CON01" localSheetId="5">'[24]THE LINK FOR ALL'!#REF!</definedName>
    <definedName name="PRH_CON01" localSheetId="2">'[24]THE LINK FOR ALL'!#REF!</definedName>
    <definedName name="PRH_CON01">'[24]THE LINK FOR ALL'!#REF!</definedName>
    <definedName name="PRH_CONS00" localSheetId="5">'[24]THE LINK FOR ALL'!#REF!</definedName>
    <definedName name="PRH_CONS00" localSheetId="2">'[24]THE LINK FOR ALL'!#REF!</definedName>
    <definedName name="PRH_CONS00">'[24]THE LINK FOR ALL'!#REF!</definedName>
    <definedName name="PRH_CONS99" localSheetId="5">'[24]THE LINK FOR ALL'!#REF!</definedName>
    <definedName name="PRH_CONS99" localSheetId="2">'[24]THE LINK FOR ALL'!#REF!</definedName>
    <definedName name="PRH_CONS99">'[24]THE LINK FOR ALL'!#REF!</definedName>
    <definedName name="PRICE_1">'[28]Scenario Builder'!$C$61:$L$61</definedName>
    <definedName name="PRICE_2">'[28]Scenario Builder'!$C$62:$L$62</definedName>
    <definedName name="PRICE_3">'[28]Scenario Builder'!$C$63:$L$63</definedName>
    <definedName name="PRICE_4">'[28]Scenario Builder'!$C$64:$L$64</definedName>
    <definedName name="PRICE_5">'[28]Scenario Builder'!$C$65:$L$65</definedName>
    <definedName name="PRICE_NUMBER">'[28]LRP Scenarios'!$G$98</definedName>
    <definedName name="PriceDate">'[4]#REF'!$C$2</definedName>
    <definedName name="pril01" localSheetId="5">'[32]Qtr. Product Sales'!#REF!</definedName>
    <definedName name="pril01" localSheetId="2">'[32]Qtr. Product Sales'!#REF!</definedName>
    <definedName name="pril01">'[32]Qtr. Product Sales'!#REF!</definedName>
    <definedName name="pril02" localSheetId="5">'[32]Qtr. Product Sales'!#REF!</definedName>
    <definedName name="pril02" localSheetId="2">'[32]Qtr. Product Sales'!#REF!</definedName>
    <definedName name="pril02">'[32]Qtr. Product Sales'!#REF!</definedName>
    <definedName name="prin01" localSheetId="5">'[32]Qtr. Product Sales'!#REF!</definedName>
    <definedName name="prin01" localSheetId="2">'[32]Qtr. Product Sales'!#REF!</definedName>
    <definedName name="prin01">'[32]Qtr. Product Sales'!#REF!</definedName>
    <definedName name="prin02" localSheetId="5">'[32]Qtr. Product Sales'!#REF!</definedName>
    <definedName name="prin02" localSheetId="2">'[32]Qtr. Product Sales'!#REF!</definedName>
    <definedName name="prin02">'[32]Qtr. Product Sales'!#REF!</definedName>
    <definedName name="Print_96" localSheetId="5">#REF!</definedName>
    <definedName name="Print_96" localSheetId="2">#REF!</definedName>
    <definedName name="Print_96">#REF!</definedName>
    <definedName name="_xlnm.Print_Area" localSheetId="6">'BS &amp; CF'!$B$1:$AV$110</definedName>
    <definedName name="_xlnm.Print_Area" localSheetId="1">IS!$B$1:$BJ$69</definedName>
    <definedName name="_xlnm.Print_Area" localSheetId="5">'Key Products'!$B$1:$CE$108</definedName>
    <definedName name="_xlnm.Print_Area" localSheetId="0">Sales!$B$1:$CE$142</definedName>
    <definedName name="_xlnm.Print_Area" localSheetId="2">SOTP!$B$1:$CE$60</definedName>
    <definedName name="_xlnm.Print_Area">#REF!</definedName>
    <definedName name="Print_Area_MI" localSheetId="5">'[39]ACTIVE SHEET'!#REF!</definedName>
    <definedName name="Print_Area_MI" localSheetId="2">'[39]ACTIVE SHEET'!#REF!</definedName>
    <definedName name="Print_Area_MI">'[39]ACTIVE SHEET'!#REF!</definedName>
    <definedName name="PRINT_BS" localSheetId="5">#REF!</definedName>
    <definedName name="PRINT_BS" localSheetId="2">#REF!</definedName>
    <definedName name="PRINT_BS">#REF!</definedName>
    <definedName name="PRINT_CF" localSheetId="5">#REF!</definedName>
    <definedName name="PRINT_CF" localSheetId="2">#REF!</definedName>
    <definedName name="PRINT_CF">#REF!</definedName>
    <definedName name="PRINT_PL" localSheetId="5">#REF!</definedName>
    <definedName name="PRINT_PL" localSheetId="2">#REF!</definedName>
    <definedName name="PRINT_PL">#REF!</definedName>
    <definedName name="PRINT_RATIOS" localSheetId="5">#REF!</definedName>
    <definedName name="PRINT_RATIOS" localSheetId="2">#REF!</definedName>
    <definedName name="PRINT_RATIOS">#REF!</definedName>
    <definedName name="PRINT_SALES">[12]Sales!$A$1:$AG$230</definedName>
    <definedName name="Print_Titles_MI">'[39]ACTIVE SHEET'!$A$1:$IV$6,'[39]ACTIVE SHEET'!$A$1:$A$65536</definedName>
    <definedName name="PRINT_VALUE" localSheetId="5">#REF!</definedName>
    <definedName name="PRINT_VALUE" localSheetId="2">#REF!</definedName>
    <definedName name="PRINT_VALUE">#REF!</definedName>
    <definedName name="print1" localSheetId="5">'[41]Income Statement'!$A$1:$I$45,'[41]Income Statement'!#REF!</definedName>
    <definedName name="print1" localSheetId="2">'[41]Income Statement'!$A$1:$I$45,'[41]Income Statement'!#REF!</definedName>
    <definedName name="print1">'[41]Income Statement'!$A$1:$I$45,'[41]Income Statement'!#REF!</definedName>
    <definedName name="print3" localSheetId="5">#REF!</definedName>
    <definedName name="print3" localSheetId="2">#REF!</definedName>
    <definedName name="print3">#REF!</definedName>
    <definedName name="Proceeds_of_New_Issue" localSheetId="5">#REF!</definedName>
    <definedName name="Proceeds_of_New_Issue" localSheetId="2">#REF!</definedName>
    <definedName name="Proceeds_of_New_Issue">#REF!</definedName>
    <definedName name="prot01">[6]Sheet1!$Z$112</definedName>
    <definedName name="prot02">[6]Sheet1!$AE$112</definedName>
    <definedName name="proz00">'[26]Qtr. Product Sales'!$P$34</definedName>
    <definedName name="proz01">'[26]Qtr. Product Sales'!$U$34</definedName>
    <definedName name="proz02">'[26]Qtr. Product Sales'!$Z$34</definedName>
    <definedName name="PSI_Casino">[35]Prices!$B$5</definedName>
    <definedName name="PSI_Equip" localSheetId="5">#REF!</definedName>
    <definedName name="PSI_Equip" localSheetId="2">#REF!</definedName>
    <definedName name="PSI_Equip">#REF!</definedName>
    <definedName name="PSI_Gaming" localSheetId="5">#REF!</definedName>
    <definedName name="PSI_Gaming" localSheetId="2">#REF!</definedName>
    <definedName name="PSI_Gaming">#REF!</definedName>
    <definedName name="ptp" localSheetId="5">#REF!</definedName>
    <definedName name="ptp" localSheetId="2">#REF!</definedName>
    <definedName name="ptp">#REF!</definedName>
    <definedName name="PVEquivalent">'[4]#REF'!$C$178</definedName>
    <definedName name="PWRH" localSheetId="5">#REF!</definedName>
    <definedName name="PWRH" localSheetId="2">#REF!</definedName>
    <definedName name="PWRH">#REF!</definedName>
    <definedName name="q" localSheetId="5">#REF!</definedName>
    <definedName name="q" localSheetId="2">#REF!</definedName>
    <definedName name="q">#REF!</definedName>
    <definedName name="Q2.2004">'[6]Quarterly Product Sales'!$AX$1:$AX$65536</definedName>
    <definedName name="QTR_YTD" localSheetId="5">#REF!</definedName>
    <definedName name="QTR_YTD" localSheetId="2">#REF!</definedName>
    <definedName name="QTR_YTD">#REF!</definedName>
    <definedName name="Quarter">#N/A</definedName>
    <definedName name="QUARTERINCAPS">[42]Cover!$J$1</definedName>
    <definedName name="Quarters" localSheetId="5">#REF!</definedName>
    <definedName name="Quarters" localSheetId="2">#REF!</definedName>
    <definedName name="Quarters">#REF!</definedName>
    <definedName name="R_D_amort_years">'[15]Invested capital_VDF'!$A$34</definedName>
    <definedName name="R_D_Amortization">'[15]Invested capital_VDF'!$C$31:$AU$31</definedName>
    <definedName name="R_D_expense">'[15]Invested capital_VDF'!$C$28:$AZ$28</definedName>
    <definedName name="Range_Names" localSheetId="5">#REF!</definedName>
    <definedName name="Range_Names" localSheetId="2">#REF!</definedName>
    <definedName name="Range_Names">#REF!</definedName>
    <definedName name="rangeBoldFontArea1" localSheetId="5">#REF!,#REF!,#REF!,#REF!,#REF!,#REF!,#REF!,#REF!,#REF!,#REF!,#REF!,#REF!,#REF!,#REF!</definedName>
    <definedName name="rangeBoldFontArea1" localSheetId="2">#REF!,#REF!,#REF!,#REF!,#REF!,#REF!,#REF!,#REF!,#REF!,#REF!,#REF!,#REF!,#REF!,#REF!</definedName>
    <definedName name="rangeBoldFontArea1">#REF!,#REF!,#REF!,#REF!,#REF!,#REF!,#REF!,#REF!,#REF!,#REF!,#REF!,#REF!,#REF!,#REF!</definedName>
    <definedName name="rangeBoldFontArea2" localSheetId="5">#REF!,#REF!,#REF!,#REF!,#REF!,#REF!,#REF!,#REF!,#REF!,#REF!,#REF!,#REF!,#REF!,#REF!,#REF!,#REF!,#REF!</definedName>
    <definedName name="rangeBoldFontArea2" localSheetId="2">#REF!,#REF!,#REF!,#REF!,#REF!,#REF!,#REF!,#REF!,#REF!,#REF!,#REF!,#REF!,#REF!,#REF!,#REF!,#REF!,#REF!</definedName>
    <definedName name="rangeBoldFontArea2">#REF!,#REF!,#REF!,#REF!,#REF!,#REF!,#REF!,#REF!,#REF!,#REF!,#REF!,#REF!,#REF!,#REF!,#REF!,#REF!,#REF!</definedName>
    <definedName name="rangeBorderMedium" localSheetId="5">#REF!,#REF!,#REF!,#REF!,#REF!,#REF!,#REF!,#REF!,#REF!,#REF!</definedName>
    <definedName name="rangeBorderMedium" localSheetId="2">#REF!,#REF!,#REF!,#REF!,#REF!,#REF!,#REF!,#REF!,#REF!,#REF!</definedName>
    <definedName name="rangeBorderMedium">#REF!,#REF!,#REF!,#REF!,#REF!,#REF!,#REF!,#REF!,#REF!,#REF!</definedName>
    <definedName name="rangeFormatGeneral" localSheetId="5">#REF!,#REF!,#REF!</definedName>
    <definedName name="rangeFormatGeneral" localSheetId="2">#REF!,#REF!,#REF!</definedName>
    <definedName name="rangeFormatGeneral">#REF!,#REF!,#REF!</definedName>
    <definedName name="rangeFormatNumber1" localSheetId="5">#REF!,#REF!,#REF!,#REF!,#REF!,#REF!,#REF!,#REF!,#REF!,#REF!,#REF!,#REF!,#REF!,#REF!,#REF!,#REF!,#REF!,#REF!</definedName>
    <definedName name="rangeFormatNumber1" localSheetId="2">#REF!,#REF!,#REF!,#REF!,#REF!,#REF!,#REF!,#REF!,#REF!,#REF!,#REF!,#REF!,#REF!,#REF!,#REF!,#REF!,#REF!,#REF!</definedName>
    <definedName name="rangeFormatNumber1">#REF!,#REF!,#REF!,#REF!,#REF!,#REF!,#REF!,#REF!,#REF!,#REF!,#REF!,#REF!,#REF!,#REF!,#REF!,#REF!,#REF!,#REF!</definedName>
    <definedName name="rangeFormatNumber2" localSheetId="5">#REF!,#REF!,#REF!,#REF!,#REF!,#REF!,#REF!,#REF!,#REF!,#REF!,#REF!,#REF!,#REF!,#REF!,#REF!,#REF!,#REF!</definedName>
    <definedName name="rangeFormatNumber2" localSheetId="2">#REF!,#REF!,#REF!,#REF!,#REF!,#REF!,#REF!,#REF!,#REF!,#REF!,#REF!,#REF!,#REF!,#REF!,#REF!,#REF!,#REF!</definedName>
    <definedName name="rangeFormatNumber2">#REF!,#REF!,#REF!,#REF!,#REF!,#REF!,#REF!,#REF!,#REF!,#REF!,#REF!,#REF!,#REF!,#REF!,#REF!,#REF!,#REF!</definedName>
    <definedName name="rangeFormatNumber3" localSheetId="5">#REF!,#REF!,#REF!,#REF!,#REF!,#REF!,#REF!,#REF!,#REF!,#REF!,#REF!,#REF!,#REF!,#REF!,#REF!,#REF!,#REF!</definedName>
    <definedName name="rangeFormatNumber3" localSheetId="2">#REF!,#REF!,#REF!,#REF!,#REF!,#REF!,#REF!,#REF!,#REF!,#REF!,#REF!,#REF!,#REF!,#REF!,#REF!,#REF!,#REF!</definedName>
    <definedName name="rangeFormatNumber3">#REF!,#REF!,#REF!,#REF!,#REF!,#REF!,#REF!,#REF!,#REF!,#REF!,#REF!,#REF!,#REF!,#REF!,#REF!,#REF!,#REF!</definedName>
    <definedName name="rangeFormatPercent" localSheetId="5">#REF!,#REF!,#REF!,#REF!,#REF!</definedName>
    <definedName name="rangeFormatPercent" localSheetId="2">#REF!,#REF!,#REF!,#REF!,#REF!</definedName>
    <definedName name="rangeFormatPercent">#REF!,#REF!,#REF!,#REF!,#REF!</definedName>
    <definedName name="rangeLoad2" localSheetId="5">#REF!,#REF!,#REF!,#REF!,#REF!,#REF!,#REF!,#REF!,#REF!</definedName>
    <definedName name="rangeLoad2" localSheetId="2">#REF!,#REF!,#REF!,#REF!,#REF!,#REF!,#REF!,#REF!,#REF!</definedName>
    <definedName name="rangeLoad2">#REF!,#REF!,#REF!,#REF!,#REF!,#REF!,#REF!,#REF!,#REF!</definedName>
    <definedName name="rangeLoad3" localSheetId="5">#REF!,#REF!,#REF!,#REF!,#REF!,#REF!,#REF!,#REF!,#REF!,#REF!</definedName>
    <definedName name="rangeLoad3" localSheetId="2">#REF!,#REF!,#REF!,#REF!,#REF!,#REF!,#REF!,#REF!,#REF!,#REF!</definedName>
    <definedName name="rangeLoad3">#REF!,#REF!,#REF!,#REF!,#REF!,#REF!,#REF!,#REF!,#REF!,#REF!</definedName>
    <definedName name="rangeLoad4" localSheetId="5">#REF!,#REF!,#REF!,#REF!,#REF!,#REF!,#REF!,#REF!,#REF!,#REF!,#REF!,#REF!,#REF!,#REF!,#REF!</definedName>
    <definedName name="rangeLoad4" localSheetId="2">#REF!,#REF!,#REF!,#REF!,#REF!,#REF!,#REF!,#REF!,#REF!,#REF!,#REF!,#REF!,#REF!,#REF!,#REF!</definedName>
    <definedName name="rangeLoad4">#REF!,#REF!,#REF!,#REF!,#REF!,#REF!,#REF!,#REF!,#REF!,#REF!,#REF!,#REF!,#REF!,#REF!,#REF!</definedName>
    <definedName name="rangeLoad5" localSheetId="5">#REF!,#REF!,#REF!,#REF!,#REF!</definedName>
    <definedName name="rangeLoad5" localSheetId="2">#REF!,#REF!,#REF!,#REF!,#REF!</definedName>
    <definedName name="rangeLoad5">#REF!,#REF!,#REF!,#REF!,#REF!</definedName>
    <definedName name="rangeProtectedArea" localSheetId="5">#REF!,#REF!</definedName>
    <definedName name="rangeProtectedArea" localSheetId="2">#REF!,#REF!</definedName>
    <definedName name="rangeProtectedArea">#REF!,#REF!</definedName>
    <definedName name="rangeSubmitArea2" localSheetId="5">#REF!,#REF!,#REF!,#REF!,#REF!,#REF!,#REF!,#REF!,#REF!,#REF!,#REF!,#REF!</definedName>
    <definedName name="rangeSubmitArea2" localSheetId="2">#REF!,#REF!,#REF!,#REF!,#REF!,#REF!,#REF!,#REF!,#REF!,#REF!,#REF!,#REF!</definedName>
    <definedName name="rangeSubmitArea2">#REF!,#REF!,#REF!,#REF!,#REF!,#REF!,#REF!,#REF!,#REF!,#REF!,#REF!,#REF!</definedName>
    <definedName name="rangeSubmitArea3" localSheetId="5">#REF!,#REF!,#REF!,#REF!,#REF!,#REF!,#REF!,#REF!,#REF!,#REF!,#REF!,#REF!,#REF!,#REF!,#REF!,#REF!,#REF!</definedName>
    <definedName name="rangeSubmitArea3" localSheetId="2">#REF!,#REF!,#REF!,#REF!,#REF!,#REF!,#REF!,#REF!,#REF!,#REF!,#REF!,#REF!,#REF!,#REF!,#REF!,#REF!,#REF!</definedName>
    <definedName name="rangeSubmitArea3">#REF!,#REF!,#REF!,#REF!,#REF!,#REF!,#REF!,#REF!,#REF!,#REF!,#REF!,#REF!,#REF!,#REF!,#REF!,#REF!,#REF!</definedName>
    <definedName name="rangeSubmitArea4" localSheetId="5">#REF!,#REF!,#REF!,#REF!,#REF!,#REF!,#REF!,#REF!,#REF!,#REF!,#REF!,#REF!,#REF!,#REF!,#REF!,#REF!,#REF!</definedName>
    <definedName name="rangeSubmitArea4" localSheetId="2">#REF!,#REF!,#REF!,#REF!,#REF!,#REF!,#REF!,#REF!,#REF!,#REF!,#REF!,#REF!,#REF!,#REF!,#REF!,#REF!,#REF!</definedName>
    <definedName name="rangeSubmitArea4">#REF!,#REF!,#REF!,#REF!,#REF!,#REF!,#REF!,#REF!,#REF!,#REF!,#REF!,#REF!,#REF!,#REF!,#REF!,#REF!,#REF!</definedName>
    <definedName name="Rate_WACC" localSheetId="5">#REF!</definedName>
    <definedName name="Rate_WACC" localSheetId="2">#REF!</definedName>
    <definedName name="Rate_WACC">#REF!</definedName>
    <definedName name="RCL" localSheetId="5">#REF!</definedName>
    <definedName name="RCL" localSheetId="2">#REF!</definedName>
    <definedName name="RCL">#REF!</definedName>
    <definedName name="RD" localSheetId="5">#REF!</definedName>
    <definedName name="RD" localSheetId="2">#REF!</definedName>
    <definedName name="RD">#REF!</definedName>
    <definedName name="rd_pharma" localSheetId="5">#REF!</definedName>
    <definedName name="rd_pharma" localSheetId="2">#REF!</definedName>
    <definedName name="rd_pharma">#REF!</definedName>
    <definedName name="rd00">[6]Inputs!$K$21</definedName>
    <definedName name="rd02\">'[26]quarterly income'!$Z$21</definedName>
    <definedName name="Relafen" localSheetId="5">[12]Sales!#REF!</definedName>
    <definedName name="Relafen" localSheetId="2">[12]Sales!#REF!</definedName>
    <definedName name="Relafen">[12]Sales!#REF!</definedName>
    <definedName name="ReQuip" localSheetId="5">[12]Sales!#REF!</definedName>
    <definedName name="ReQuip" localSheetId="2">[12]Sales!#REF!</definedName>
    <definedName name="ReQuip">[12]Sales!#REF!</definedName>
    <definedName name="Required_cash_percent">'[15]Invested capital_VDF'!$A$9</definedName>
    <definedName name="Restructuring_charges" localSheetId="5">'[15]Invested capital_VDF'!#REF!</definedName>
    <definedName name="Restructuring_charges" localSheetId="2">'[15]Invested capital_VDF'!#REF!</definedName>
    <definedName name="Restructuring_charges">'[15]Invested capital_VDF'!#REF!</definedName>
    <definedName name="Restructuring_charges_growth_fore" localSheetId="5">#REF!</definedName>
    <definedName name="Restructuring_charges_growth_fore" localSheetId="2">#REF!</definedName>
    <definedName name="Restructuring_charges_growth_fore">#REF!</definedName>
    <definedName name="rfr" localSheetId="5">#REF!</definedName>
    <definedName name="rfr" localSheetId="2">#REF!</definedName>
    <definedName name="rfr">#REF!</definedName>
    <definedName name="RnD_expense">'[15]Invested capital_VDF'!$C$28:$AZ$28</definedName>
    <definedName name="RnD_expense_fore" localSheetId="5">#REF!</definedName>
    <definedName name="RnD_expense_fore" localSheetId="2">#REF!</definedName>
    <definedName name="RnD_expense_fore">#REF!</definedName>
    <definedName name="RnD_expense_growth_fore" localSheetId="5">#REF!</definedName>
    <definedName name="RnD_expense_growth_fore" localSheetId="2">#REF!</definedName>
    <definedName name="RnD_expense_growth_fore">#REF!</definedName>
    <definedName name="RnD_expenses_fore" localSheetId="5">#REF!</definedName>
    <definedName name="RnD_expenses_fore" localSheetId="2">#REF!</definedName>
    <definedName name="RnD_expenses_fore">#REF!</definedName>
    <definedName name="rngeFrcstMandatory2" localSheetId="5">#REF!,#REF!,#REF!,#REF!,#REF!,#REF!,#REF!,#REF!,#REF!,#REF!,#REF!,#REF!,#REF!,#REF!,#REF!,#REF!,#REF!,#REF!</definedName>
    <definedName name="rngeFrcstMandatory2" localSheetId="2">#REF!,#REF!,#REF!,#REF!,#REF!,#REF!,#REF!,#REF!,#REF!,#REF!,#REF!,#REF!,#REF!,#REF!,#REF!,#REF!,#REF!,#REF!</definedName>
    <definedName name="rngeFrcstMandatory2">#REF!,#REF!,#REF!,#REF!,#REF!,#REF!,#REF!,#REF!,#REF!,#REF!,#REF!,#REF!,#REF!,#REF!,#REF!,#REF!,#REF!,#REF!</definedName>
    <definedName name="rngeFrcstMandatory3" localSheetId="5">#REF!,#REF!,#REF!,#REF!,#REF!,#REF!,#REF!,#REF!,#REF!,#REF!,#REF!,#REF!,#REF!,#REF!,#REF!,#REF!,#REF!</definedName>
    <definedName name="rngeFrcstMandatory3" localSheetId="2">#REF!,#REF!,#REF!,#REF!,#REF!,#REF!,#REF!,#REF!,#REF!,#REF!,#REF!,#REF!,#REF!,#REF!,#REF!,#REF!,#REF!</definedName>
    <definedName name="rngeFrcstMandatory3">#REF!,#REF!,#REF!,#REF!,#REF!,#REF!,#REF!,#REF!,#REF!,#REF!,#REF!,#REF!,#REF!,#REF!,#REF!,#REF!,#REF!</definedName>
    <definedName name="rngeFrcstMandatory4" localSheetId="5">#REF!,#REF!,#REF!,#REF!,#REF!,#REF!,#REF!</definedName>
    <definedName name="rngeFrcstMandatory4" localSheetId="2">#REF!,#REF!,#REF!,#REF!,#REF!,#REF!,#REF!</definedName>
    <definedName name="rngeFrcstMandatory4">#REF!,#REF!,#REF!,#REF!,#REF!,#REF!,#REF!</definedName>
    <definedName name="rngeFrcstOptional2" localSheetId="5">#REF!,#REF!,#REF!,#REF!,#REF!,#REF!,#REF!,#REF!,#REF!,#REF!,#REF!,#REF!,#REF!,#REF!,#REF!,#REF!</definedName>
    <definedName name="rngeFrcstOptional2" localSheetId="2">#REF!,#REF!,#REF!,#REF!,#REF!,#REF!,#REF!,#REF!,#REF!,#REF!,#REF!,#REF!,#REF!,#REF!,#REF!,#REF!</definedName>
    <definedName name="rngeFrcstOptional2">#REF!,#REF!,#REF!,#REF!,#REF!,#REF!,#REF!,#REF!,#REF!,#REF!,#REF!,#REF!,#REF!,#REF!,#REF!,#REF!</definedName>
    <definedName name="rngeFrcstOptional3" localSheetId="5">#REF!,#REF!,#REF!,#REF!,#REF!,#REF!,#REF!,#REF!,#REF!,#REF!,#REF!,#REF!,#REF!,#REF!,#REF!</definedName>
    <definedName name="rngeFrcstOptional3" localSheetId="2">#REF!,#REF!,#REF!,#REF!,#REF!,#REF!,#REF!,#REF!,#REF!,#REF!,#REF!,#REF!,#REF!,#REF!,#REF!</definedName>
    <definedName name="rngeFrcstOptional3">#REF!,#REF!,#REF!,#REF!,#REF!,#REF!,#REF!,#REF!,#REF!,#REF!,#REF!,#REF!,#REF!,#REF!,#REF!</definedName>
    <definedName name="rngeFrcstOptional4" localSheetId="5">#REF!,#REF!,#REF!,#REF!</definedName>
    <definedName name="rngeFrcstOptional4" localSheetId="2">#REF!,#REF!,#REF!,#REF!</definedName>
    <definedName name="rngeFrcstOptional4">#REF!,#REF!,#REF!,#REF!</definedName>
    <definedName name="rngeHstrMandatory11" localSheetId="5">#REF!,#REF!,#REF!,#REF!,#REF!,#REF!,#REF!,#REF!,#REF!,#REF!,#REF!,#REF!,#REF!,#REF!,#REF!,#REF!,#REF!,#REF!,#REF!,#REF!,#REF!,#REF!,#REF!</definedName>
    <definedName name="rngeHstrMandatory11" localSheetId="2">#REF!,#REF!,#REF!,#REF!,#REF!,#REF!,#REF!,#REF!,#REF!,#REF!,#REF!,#REF!,#REF!,#REF!,#REF!,#REF!,#REF!,#REF!,#REF!,#REF!,#REF!,#REF!,#REF!</definedName>
    <definedName name="rngeHstrMandatory11">#REF!,#REF!,#REF!,#REF!,#REF!,#REF!,#REF!,#REF!,#REF!,#REF!,#REF!,#REF!,#REF!,#REF!,#REF!,#REF!,#REF!,#REF!,#REF!,#REF!,#REF!,#REF!,#REF!</definedName>
    <definedName name="rngeHstrMandatory12" localSheetId="5">#REF!,#REF!,#REF!,#REF!,#REF!,#REF!,#REF!,#REF!,#REF!,#REF!,#REF!,#REF!,#REF!,#REF!,#REF!,#REF!,#REF!,#REF!</definedName>
    <definedName name="rngeHstrMandatory12" localSheetId="2">#REF!,#REF!,#REF!,#REF!,#REF!,#REF!,#REF!,#REF!,#REF!,#REF!,#REF!,#REF!,#REF!,#REF!,#REF!,#REF!,#REF!,#REF!</definedName>
    <definedName name="rngeHstrMandatory12">#REF!,#REF!,#REF!,#REF!,#REF!,#REF!,#REF!,#REF!,#REF!,#REF!,#REF!,#REF!,#REF!,#REF!,#REF!,#REF!,#REF!,#REF!</definedName>
    <definedName name="rngeHstrMandatory21" localSheetId="5">#REF!,#REF!,#REF!,#REF!,#REF!,#REF!,#REF!,#REF!,#REF!,#REF!,#REF!,#REF!,#REF!,#REF!,#REF!,#REF!,#REF!,#REF!,#REF!,#REF!,#REF!,#REF!,#REF!</definedName>
    <definedName name="rngeHstrMandatory21" localSheetId="2">#REF!,#REF!,#REF!,#REF!,#REF!,#REF!,#REF!,#REF!,#REF!,#REF!,#REF!,#REF!,#REF!,#REF!,#REF!,#REF!,#REF!,#REF!,#REF!,#REF!,#REF!,#REF!,#REF!</definedName>
    <definedName name="rngeHstrMandatory21">#REF!,#REF!,#REF!,#REF!,#REF!,#REF!,#REF!,#REF!,#REF!,#REF!,#REF!,#REF!,#REF!,#REF!,#REF!,#REF!,#REF!,#REF!,#REF!,#REF!,#REF!,#REF!,#REF!</definedName>
    <definedName name="rngeHstrMandatory22" localSheetId="5">#REF!,#REF!,#REF!,#REF!,#REF!,#REF!,#REF!,#REF!,#REF!,#REF!,#REF!,#REF!,#REF!,#REF!,#REF!,#REF!,#REF!,#REF!</definedName>
    <definedName name="rngeHstrMandatory22" localSheetId="2">#REF!,#REF!,#REF!,#REF!,#REF!,#REF!,#REF!,#REF!,#REF!,#REF!,#REF!,#REF!,#REF!,#REF!,#REF!,#REF!,#REF!,#REF!</definedName>
    <definedName name="rngeHstrMandatory22">#REF!,#REF!,#REF!,#REF!,#REF!,#REF!,#REF!,#REF!,#REF!,#REF!,#REF!,#REF!,#REF!,#REF!,#REF!,#REF!,#REF!,#REF!</definedName>
    <definedName name="rngeHstrMandatory31" localSheetId="5">#REF!,#REF!,#REF!,#REF!,#REF!,#REF!,#REF!,#REF!,#REF!,#REF!,#REF!,#REF!,#REF!,#REF!,#REF!,#REF!,#REF!,#REF!,#REF!,#REF!,#REF!,#REF!,#REF!</definedName>
    <definedName name="rngeHstrMandatory31" localSheetId="2">#REF!,#REF!,#REF!,#REF!,#REF!,#REF!,#REF!,#REF!,#REF!,#REF!,#REF!,#REF!,#REF!,#REF!,#REF!,#REF!,#REF!,#REF!,#REF!,#REF!,#REF!,#REF!,#REF!</definedName>
    <definedName name="rngeHstrMandatory31">#REF!,#REF!,#REF!,#REF!,#REF!,#REF!,#REF!,#REF!,#REF!,#REF!,#REF!,#REF!,#REF!,#REF!,#REF!,#REF!,#REF!,#REF!,#REF!,#REF!,#REF!,#REF!,#REF!</definedName>
    <definedName name="rngeHstrMandatory32" localSheetId="5">#REF!,#REF!,#REF!,#REF!,#REF!,#REF!,#REF!,#REF!,#REF!,#REF!,#REF!,#REF!,#REF!,#REF!,#REF!,#REF!,#REF!,#REF!</definedName>
    <definedName name="rngeHstrMandatory32" localSheetId="2">#REF!,#REF!,#REF!,#REF!,#REF!,#REF!,#REF!,#REF!,#REF!,#REF!,#REF!,#REF!,#REF!,#REF!,#REF!,#REF!,#REF!,#REF!</definedName>
    <definedName name="rngeHstrMandatory32">#REF!,#REF!,#REF!,#REF!,#REF!,#REF!,#REF!,#REF!,#REF!,#REF!,#REF!,#REF!,#REF!,#REF!,#REF!,#REF!,#REF!,#REF!</definedName>
    <definedName name="rngeHstrOptional12" localSheetId="5">#REF!,#REF!,#REF!,#REF!,#REF!,#REF!,#REF!,#REF!,#REF!,#REF!,#REF!,#REF!,#REF!,#REF!,#REF!,#REF!,#REF!,#REF!,#REF!</definedName>
    <definedName name="rngeHstrOptional12" localSheetId="2">#REF!,#REF!,#REF!,#REF!,#REF!,#REF!,#REF!,#REF!,#REF!,#REF!,#REF!,#REF!,#REF!,#REF!,#REF!,#REF!,#REF!,#REF!,#REF!</definedName>
    <definedName name="rngeHstrOptional12">#REF!,#REF!,#REF!,#REF!,#REF!,#REF!,#REF!,#REF!,#REF!,#REF!,#REF!,#REF!,#REF!,#REF!,#REF!,#REF!,#REF!,#REF!,#REF!</definedName>
    <definedName name="rngeHstrOptional13" localSheetId="5">#REF!,#REF!,#REF!,#REF!,#REF!,#REF!,#REF!,#REF!,#REF!,#REF!,#REF!,#REF!</definedName>
    <definedName name="rngeHstrOptional13" localSheetId="2">#REF!,#REF!,#REF!,#REF!,#REF!,#REF!,#REF!,#REF!,#REF!,#REF!,#REF!,#REF!</definedName>
    <definedName name="rngeHstrOptional13">#REF!,#REF!,#REF!,#REF!,#REF!,#REF!,#REF!,#REF!,#REF!,#REF!,#REF!,#REF!</definedName>
    <definedName name="rngeHstrOptional22" localSheetId="5">#REF!,#REF!,#REF!,#REF!,#REF!,#REF!,#REF!,#REF!,#REF!,#REF!,#REF!,#REF!,#REF!,#REF!,#REF!,#REF!,#REF!,#REF!,#REF!</definedName>
    <definedName name="rngeHstrOptional22" localSheetId="2">#REF!,#REF!,#REF!,#REF!,#REF!,#REF!,#REF!,#REF!,#REF!,#REF!,#REF!,#REF!,#REF!,#REF!,#REF!,#REF!,#REF!,#REF!,#REF!</definedName>
    <definedName name="rngeHstrOptional22">#REF!,#REF!,#REF!,#REF!,#REF!,#REF!,#REF!,#REF!,#REF!,#REF!,#REF!,#REF!,#REF!,#REF!,#REF!,#REF!,#REF!,#REF!,#REF!</definedName>
    <definedName name="rngeHstrOptional23" localSheetId="5">#REF!,#REF!,#REF!,#REF!,#REF!,#REF!,#REF!,#REF!,#REF!,#REF!,#REF!,#REF!</definedName>
    <definedName name="rngeHstrOptional23" localSheetId="2">#REF!,#REF!,#REF!,#REF!,#REF!,#REF!,#REF!,#REF!,#REF!,#REF!,#REF!,#REF!</definedName>
    <definedName name="rngeHstrOptional23">#REF!,#REF!,#REF!,#REF!,#REF!,#REF!,#REF!,#REF!,#REF!,#REF!,#REF!,#REF!</definedName>
    <definedName name="rngeHstrOptional32" localSheetId="5">#REF!,#REF!,#REF!,#REF!,#REF!,#REF!,#REF!,#REF!,#REF!,#REF!,#REF!,#REF!,#REF!,#REF!,#REF!,#REF!,#REF!,#REF!,#REF!</definedName>
    <definedName name="rngeHstrOptional32" localSheetId="2">#REF!,#REF!,#REF!,#REF!,#REF!,#REF!,#REF!,#REF!,#REF!,#REF!,#REF!,#REF!,#REF!,#REF!,#REF!,#REF!,#REF!,#REF!,#REF!</definedName>
    <definedName name="rngeHstrOptional32">#REF!,#REF!,#REF!,#REF!,#REF!,#REF!,#REF!,#REF!,#REF!,#REF!,#REF!,#REF!,#REF!,#REF!,#REF!,#REF!,#REF!,#REF!,#REF!</definedName>
    <definedName name="rngeHstrOptional33" localSheetId="5">#REF!,#REF!,#REF!,#REF!,#REF!,#REF!,#REF!,#REF!,#REF!,#REF!,#REF!,#REF!</definedName>
    <definedName name="rngeHstrOptional33" localSheetId="2">#REF!,#REF!,#REF!,#REF!,#REF!,#REF!,#REF!,#REF!,#REF!,#REF!,#REF!,#REF!</definedName>
    <definedName name="rngeHstrOptional33">#REF!,#REF!,#REF!,#REF!,#REF!,#REF!,#REF!,#REF!,#REF!,#REF!,#REF!,#REF!</definedName>
    <definedName name="RRI" localSheetId="5">#REF!</definedName>
    <definedName name="RRI" localSheetId="2">#REF!</definedName>
    <definedName name="RRI">#REF!</definedName>
    <definedName name="RRI_CONS00" localSheetId="5">#REF!</definedName>
    <definedName name="RRI_CONS00" localSheetId="2">#REF!</definedName>
    <definedName name="RRI_CONS00">#REF!</definedName>
    <definedName name="RRI_CONS01" localSheetId="5">#REF!</definedName>
    <definedName name="RRI_CONS01" localSheetId="2">#REF!</definedName>
    <definedName name="RRI_CONS01">#REF!</definedName>
    <definedName name="RRI_CONS99" localSheetId="5">#REF!</definedName>
    <definedName name="RRI_CONS99" localSheetId="2">#REF!</definedName>
    <definedName name="RRI_CONS99">#REF!</definedName>
    <definedName name="RUS_CONS00">[35]Prices!$G$7</definedName>
    <definedName name="RUS_CONS01" localSheetId="5">#REF!</definedName>
    <definedName name="RUS_CONS01" localSheetId="2">#REF!</definedName>
    <definedName name="RUS_CONS01">#REF!</definedName>
    <definedName name="RUS_CONS99">[35]Prices!$F$7</definedName>
    <definedName name="RUSAO_CONSENSUS" localSheetId="5">#REF!</definedName>
    <definedName name="RUSAO_CONSENSUS" localSheetId="2">#REF!</definedName>
    <definedName name="RUSAO_CONSENSUS">#REF!</definedName>
    <definedName name="RUT">[35]Prices!$B$9</definedName>
    <definedName name="rxsales00" localSheetId="5">'[3]Qtr. Product Sales'!#REF!</definedName>
    <definedName name="rxsales00" localSheetId="2">'[3]Qtr. Product Sales'!#REF!</definedName>
    <definedName name="rxsales00">'[3]Qtr. Product Sales'!#REF!</definedName>
    <definedName name="rxsales01" localSheetId="5">'[3]Qtr. Product Sales'!#REF!</definedName>
    <definedName name="rxsales01" localSheetId="2">'[3]Qtr. Product Sales'!#REF!</definedName>
    <definedName name="rxsales01">'[3]Qtr. Product Sales'!#REF!</definedName>
    <definedName name="rxsales02" localSheetId="5">'[3]Qtr. Product Sales'!#REF!</definedName>
    <definedName name="rxsales02" localSheetId="2">'[3]Qtr. Product Sales'!#REF!</definedName>
    <definedName name="rxsales02">'[3]Qtr. Product Sales'!#REF!</definedName>
    <definedName name="rxsales07">[6]REPORTER!$AT$308</definedName>
    <definedName name="rxsales99" localSheetId="5">'[3]Qtr. Product Sales'!#REF!</definedName>
    <definedName name="rxsales99" localSheetId="2">'[3]Qtr. Product Sales'!#REF!</definedName>
    <definedName name="rxsales99">'[3]Qtr. Product Sales'!#REF!</definedName>
    <definedName name="sahres06">'[26]quarterly income'!$AT$33</definedName>
    <definedName name="sales" localSheetId="5">#REF!</definedName>
    <definedName name="sales" localSheetId="2">#REF!</definedName>
    <definedName name="sales">#REF!</definedName>
    <definedName name="Sales_growth_avg" localSheetId="5">#REF!</definedName>
    <definedName name="Sales_growth_avg" localSheetId="2">#REF!</definedName>
    <definedName name="Sales_growth_avg">#REF!</definedName>
    <definedName name="sales00" localSheetId="5">'[3]quarterly income'!#REF!</definedName>
    <definedName name="sales00" localSheetId="2">'[3]quarterly income'!#REF!</definedName>
    <definedName name="sales00">'[3]quarterly income'!#REF!</definedName>
    <definedName name="sales01" localSheetId="5">'[3]quarterly income'!#REF!</definedName>
    <definedName name="sales01" localSheetId="2">'[3]quarterly income'!#REF!</definedName>
    <definedName name="sales01">'[3]quarterly income'!#REF!</definedName>
    <definedName name="sales02" localSheetId="5">'[3]quarterly income'!#REF!</definedName>
    <definedName name="sales02" localSheetId="2">'[3]quarterly income'!#REF!</definedName>
    <definedName name="sales02">'[3]quarterly income'!#REF!</definedName>
    <definedName name="sales05">'[8]quarterly income'!$L$16</definedName>
    <definedName name="sales06">'[8]quarterly income'!$Q$16</definedName>
    <definedName name="sales07">'[8]quarterly income'!$V$16</definedName>
    <definedName name="sales076" localSheetId="5">#REF!</definedName>
    <definedName name="sales076" localSheetId="2">#REF!</definedName>
    <definedName name="sales076">#REF!</definedName>
    <definedName name="sales08">[6]Inputs!$AU$15</definedName>
    <definedName name="sales09">[6]Inputs!$AV$15</definedName>
    <definedName name="sales10">[6]Inputs!$AW$15</definedName>
    <definedName name="sales99" localSheetId="5">'[3]quarterly income'!#REF!</definedName>
    <definedName name="sales99" localSheetId="2">'[3]quarterly income'!#REF!</definedName>
    <definedName name="sales99">'[3]quarterly income'!#REF!</definedName>
    <definedName name="Salmonella_typhi">[12]Sales!$A$92:$AG$92</definedName>
    <definedName name="SB_204269" localSheetId="5">[12]Sales!#REF!</definedName>
    <definedName name="SB_204269" localSheetId="2">[12]Sales!#REF!</definedName>
    <definedName name="SB_204269">[12]Sales!#REF!</definedName>
    <definedName name="SB_207266" localSheetId="5">[12]Sales!#REF!</definedName>
    <definedName name="SB_207266" localSheetId="2">[12]Sales!#REF!</definedName>
    <definedName name="SB_207266">[12]Sales!#REF!</definedName>
    <definedName name="SB_207499" localSheetId="5">[12]Sales!#REF!</definedName>
    <definedName name="SB_207499" localSheetId="2">[12]Sales!#REF!</definedName>
    <definedName name="SB_207499">[12]Sales!#REF!</definedName>
    <definedName name="SB_209509" localSheetId="5">[12]Sales!#REF!</definedName>
    <definedName name="SB_209509" localSheetId="2">[12]Sales!#REF!</definedName>
    <definedName name="SB_209509">[12]Sales!#REF!</definedName>
    <definedName name="SB_209670">[12]Sales!$A$105:$AG$105</definedName>
    <definedName name="SB_210396" localSheetId="5">[12]Sales!#REF!</definedName>
    <definedName name="SB_210396" localSheetId="2">[12]Sales!#REF!</definedName>
    <definedName name="SB_210396">[12]Sales!#REF!</definedName>
    <definedName name="SB_214857">[12]Sales!$A$103:$AG$103</definedName>
    <definedName name="SB_217242">[12]Sales!$A$104:$AG$104</definedName>
    <definedName name="SB_217969" localSheetId="5">[12]Sales!#REF!</definedName>
    <definedName name="SB_217969" localSheetId="2">[12]Sales!#REF!</definedName>
    <definedName name="SB_217969">[12]Sales!#REF!</definedName>
    <definedName name="SB_220453" localSheetId="5">[12]Sales!#REF!</definedName>
    <definedName name="SB_220453" localSheetId="2">[12]Sales!#REF!</definedName>
    <definedName name="SB_220453">[12]Sales!#REF!</definedName>
    <definedName name="sbgdsdgvbsdg" localSheetId="5">'[7]Invested capital_VDF'!#REF!</definedName>
    <definedName name="sbgdsdgvbsdg" localSheetId="2">'[7]Invested capital_VDF'!#REF!</definedName>
    <definedName name="sbgdsdgvbsdg">'[7]Invested capital_VDF'!#REF!</definedName>
    <definedName name="SCENARIO_NUMBER">'[28]LRP Scenarios'!$D$98</definedName>
    <definedName name="SD_plasma" localSheetId="4">#REF!</definedName>
    <definedName name="SD_plasma" localSheetId="5">#REF!</definedName>
    <definedName name="SD_plasma" localSheetId="2">#REF!</definedName>
    <definedName name="SD_plasma">#REF!</definedName>
    <definedName name="SDFe" localSheetId="5">[7]NOPAT_VDF!#REF!</definedName>
    <definedName name="SDFe" localSheetId="2">[7]NOPAT_VDF!#REF!</definedName>
    <definedName name="SDFe">[7]NOPAT_VDF!#REF!</definedName>
    <definedName name="sdffs" localSheetId="5">[7]NOPAT_VDF!#REF!</definedName>
    <definedName name="sdffs" localSheetId="2">[7]NOPAT_VDF!#REF!</definedName>
    <definedName name="sdffs">[7]NOPAT_VDF!#REF!</definedName>
    <definedName name="sdfgsdfefsd" localSheetId="5">[7]NOPAT_VDF!#REF!</definedName>
    <definedName name="sdfgsdfefsd" localSheetId="2">[7]NOPAT_VDF!#REF!</definedName>
    <definedName name="sdfgsdfefsd">[7]NOPAT_VDF!#REF!</definedName>
    <definedName name="sdfgsdgfsfdsfd" localSheetId="5">[7]NOPAT_VDF!#REF!</definedName>
    <definedName name="sdfgsdgfsfdsfd" localSheetId="2">[7]NOPAT_VDF!#REF!</definedName>
    <definedName name="sdfgsdgfsfdsfd">[7]NOPAT_VDF!#REF!</definedName>
    <definedName name="Segment1_income">[15]NOPAT_VDF!$C$5:$AZ$5</definedName>
    <definedName name="Segment1_income_DCF">[15]DCF_VDF!$C$6:$BZ$6</definedName>
    <definedName name="Segment1_income_fore" localSheetId="5">#REF!</definedName>
    <definedName name="Segment1_income_fore" localSheetId="2">#REF!</definedName>
    <definedName name="Segment1_income_fore">#REF!</definedName>
    <definedName name="Segment1_income_growth_fore" localSheetId="5">#REF!</definedName>
    <definedName name="Segment1_income_growth_fore" localSheetId="2">#REF!</definedName>
    <definedName name="Segment1_income_growth_fore">#REF!</definedName>
    <definedName name="Segment2_income">[15]NOPAT_VDF!$C$6:$AZ$6</definedName>
    <definedName name="Segment2_income_DCF">[15]DCF_VDF!$C$7:$BZ$7</definedName>
    <definedName name="Segment2_income_fore" localSheetId="5">#REF!</definedName>
    <definedName name="Segment2_income_fore" localSheetId="2">#REF!</definedName>
    <definedName name="Segment2_income_fore">#REF!</definedName>
    <definedName name="Segment2_income_growth_fore" localSheetId="5">#REF!</definedName>
    <definedName name="Segment2_income_growth_fore" localSheetId="2">#REF!</definedName>
    <definedName name="Segment2_income_growth_fore">#REF!</definedName>
    <definedName name="Seroxat">[12]Sales!$A$45:$AG$45</definedName>
    <definedName name="SG" localSheetId="5">#REF!</definedName>
    <definedName name="SG" localSheetId="2">#REF!</definedName>
    <definedName name="SG">#REF!</definedName>
    <definedName name="SG_CONS00" localSheetId="5">'[24]THE LINK FOR ALL'!#REF!</definedName>
    <definedName name="SG_CONS00" localSheetId="2">'[24]THE LINK FOR ALL'!#REF!</definedName>
    <definedName name="SG_CONS00">'[24]THE LINK FOR ALL'!#REF!</definedName>
    <definedName name="SG_CONS01" localSheetId="5">'[24]THE LINK FOR ALL'!#REF!</definedName>
    <definedName name="SG_CONS01" localSheetId="2">'[24]THE LINK FOR ALL'!#REF!</definedName>
    <definedName name="SG_CONS01">'[24]THE LINK FOR ALL'!#REF!</definedName>
    <definedName name="SG_CONS99" localSheetId="5">'[24]THE LINK FOR ALL'!#REF!</definedName>
    <definedName name="SG_CONS99" localSheetId="2">'[24]THE LINK FOR ALL'!#REF!</definedName>
    <definedName name="SG_CONS99">'[24]THE LINK FOR ALL'!#REF!</definedName>
    <definedName name="SG_CONSENSUS" localSheetId="5">#REF!</definedName>
    <definedName name="SG_CONSENSUS" localSheetId="2">#REF!</definedName>
    <definedName name="SG_CONSENSUS">#REF!</definedName>
    <definedName name="SGA">[15]NOPAT_VDF!$C$12:$AE$12</definedName>
    <definedName name="SGA_fore" localSheetId="5">#REF!</definedName>
    <definedName name="SGA_fore" localSheetId="2">#REF!</definedName>
    <definedName name="SGA_fore">#REF!</definedName>
    <definedName name="SGA_growth" localSheetId="5">[15]NOPAT_VDF!#REF!</definedName>
    <definedName name="SGA_growth" localSheetId="2">[15]NOPAT_VDF!#REF!</definedName>
    <definedName name="SGA_growth">[15]NOPAT_VDF!#REF!</definedName>
    <definedName name="SGA_growth_avg" localSheetId="5">#REF!</definedName>
    <definedName name="SGA_growth_avg" localSheetId="2">#REF!</definedName>
    <definedName name="SGA_growth_avg">#REF!</definedName>
    <definedName name="SGA_growth_fore" localSheetId="5">#REF!</definedName>
    <definedName name="SGA_growth_fore" localSheetId="2">#REF!</definedName>
    <definedName name="SGA_growth_fore">#REF!</definedName>
    <definedName name="SGA_margin_fore" localSheetId="5">#REF!</definedName>
    <definedName name="SGA_margin_fore" localSheetId="2">#REF!</definedName>
    <definedName name="SGA_margin_fore">#REF!</definedName>
    <definedName name="sggsgssgd" localSheetId="5">[7]NOPAT_VDF!#REF!</definedName>
    <definedName name="sggsgssgd" localSheetId="2">[7]NOPAT_VDF!#REF!</definedName>
    <definedName name="sggsgssgd">[7]NOPAT_VDF!#REF!</definedName>
    <definedName name="SGIC" localSheetId="5">#REF!</definedName>
    <definedName name="SGIC" localSheetId="2">#REF!</definedName>
    <definedName name="SGIC">#REF!</definedName>
    <definedName name="Sgp" localSheetId="5">[36]DATA!#REF!</definedName>
    <definedName name="Sgp" localSheetId="2">[36]DATA!#REF!</definedName>
    <definedName name="Sgp">[36]DATA!#REF!</definedName>
    <definedName name="sgsgsggs" localSheetId="5">'[7]Invested capital_VDF'!#REF!</definedName>
    <definedName name="sgsgsggs" localSheetId="2">'[7]Invested capital_VDF'!#REF!</definedName>
    <definedName name="sgsgsggs">'[7]Invested capital_VDF'!#REF!</definedName>
    <definedName name="share06">[6]Inputs!$AO$36</definedName>
    <definedName name="SharePrice" localSheetId="5">#REF!</definedName>
    <definedName name="SharePrice" localSheetId="2">#REF!</definedName>
    <definedName name="SharePrice">#REF!</definedName>
    <definedName name="SharePriceEuro" localSheetId="5">#REF!</definedName>
    <definedName name="SharePriceEuro" localSheetId="2">#REF!</definedName>
    <definedName name="SharePriceEuro">#REF!</definedName>
    <definedName name="SHARES" localSheetId="5">#REF!</definedName>
    <definedName name="SHARES" localSheetId="2">#REF!</definedName>
    <definedName name="SHARES">#REF!</definedName>
    <definedName name="Shares_DCF">[15]DCF_VDF!$C$37:$AZ$37</definedName>
    <definedName name="Shares_fore" localSheetId="5">#REF!</definedName>
    <definedName name="Shares_fore" localSheetId="2">#REF!</definedName>
    <definedName name="Shares_fore">#REF!</definedName>
    <definedName name="Shares_growth">[15]NOPAT_VDF!$M$151:$Q$151</definedName>
    <definedName name="Shares_growth_fore" localSheetId="5">#REF!</definedName>
    <definedName name="Shares_growth_fore" localSheetId="2">#REF!</definedName>
    <definedName name="Shares_growth_fore">#REF!</definedName>
    <definedName name="Shares_repurchase_liability" localSheetId="5">'[15]Invested capital_VDF'!#REF!</definedName>
    <definedName name="Shares_repurchase_liability" localSheetId="2">'[15]Invested capital_VDF'!#REF!</definedName>
    <definedName name="Shares_repurchase_liability">'[15]Invested capital_VDF'!#REF!</definedName>
    <definedName name="shares00" localSheetId="5">'[3]quarterly income'!#REF!</definedName>
    <definedName name="shares00" localSheetId="2">'[3]quarterly income'!#REF!</definedName>
    <definedName name="shares00">'[3]quarterly income'!#REF!</definedName>
    <definedName name="shares01" localSheetId="5">'[3]quarterly income'!#REF!</definedName>
    <definedName name="shares01" localSheetId="2">'[3]quarterly income'!#REF!</definedName>
    <definedName name="shares01">'[3]quarterly income'!#REF!</definedName>
    <definedName name="shares02" localSheetId="5">'[3]quarterly income'!#REF!</definedName>
    <definedName name="shares02" localSheetId="2">'[3]quarterly income'!#REF!</definedName>
    <definedName name="shares02">'[3]quarterly income'!#REF!</definedName>
    <definedName name="Short_Flow_Data" localSheetId="4">#REF!</definedName>
    <definedName name="Short_Flow_Data" localSheetId="5">#REF!</definedName>
    <definedName name="Short_Flow_Data" localSheetId="2">#REF!</definedName>
    <definedName name="Short_Flow_Data">#REF!</definedName>
    <definedName name="Short_term_debt" localSheetId="4">'[13]Annual Model'!#REF!</definedName>
    <definedName name="Short_term_debt" localSheetId="5">'[13]Annual Model'!#REF!</definedName>
    <definedName name="Short_term_debt" localSheetId="2">'[13]Annual Model'!#REF!</definedName>
    <definedName name="Short_term_debt">'[13]Annual Model'!#REF!</definedName>
    <definedName name="SIH">[35]Prices!$B$17</definedName>
    <definedName name="SIH_Rating">[16]Industry!$D$19</definedName>
    <definedName name="SIH_Target">[16]Industry!$C$19</definedName>
    <definedName name="sing01" localSheetId="5">'[32]Qtr. Product Sales'!#REF!</definedName>
    <definedName name="sing01" localSheetId="2">'[32]Qtr. Product Sales'!#REF!</definedName>
    <definedName name="sing01">'[32]Qtr. Product Sales'!#REF!</definedName>
    <definedName name="sing02" localSheetId="5">'[32]Qtr. Product Sales'!#REF!</definedName>
    <definedName name="sing02" localSheetId="2">'[32]Qtr. Product Sales'!#REF!</definedName>
    <definedName name="sing02">'[32]Qtr. Product Sales'!#REF!</definedName>
    <definedName name="SLOT" localSheetId="5">#REF!</definedName>
    <definedName name="SLOT" localSheetId="2">#REF!</definedName>
    <definedName name="SLOT">#REF!</definedName>
    <definedName name="SLOT_Rating">[16]Industry!$D$5</definedName>
    <definedName name="SLOT_Target">[16]Industry!$C$5</definedName>
    <definedName name="Slots" localSheetId="5">#REF!</definedName>
    <definedName name="Slots" localSheetId="2">#REF!</definedName>
    <definedName name="Slots">#REF!</definedName>
    <definedName name="Smithkline_beecham_ethical_sales">[12]Sales!$T$114:$AG$114</definedName>
    <definedName name="SNB">'[24]THE LINK FOR ALL'!$B$51</definedName>
    <definedName name="SNB_CONS00">'[24]THE LINK FOR ALL'!$F$23</definedName>
    <definedName name="SNB_CONS01">'[24]THE LINK FOR ALL'!$G$23</definedName>
    <definedName name="SNB_CONS99" localSheetId="5">#REF!</definedName>
    <definedName name="SNB_CONS99" localSheetId="2">#REF!</definedName>
    <definedName name="SNB_CONS99">#REF!</definedName>
    <definedName name="SODK" localSheetId="5">#REF!</definedName>
    <definedName name="SODK" localSheetId="2">#REF!</definedName>
    <definedName name="SODK">#REF!</definedName>
    <definedName name="SPLIT_MULT_1">'[28]Scenario Builder'!$C$48:$L$48</definedName>
    <definedName name="SPLIT_MULT_10">'[28]Scenario Builder'!$C$57:$L$57</definedName>
    <definedName name="SPLIT_MULT_11">'[28]Scenario Builder'!$C$58:$L$58</definedName>
    <definedName name="SPLIT_MULT_2">'[28]Scenario Builder'!$C$49:$L$49</definedName>
    <definedName name="SPLIT_MULT_3">'[28]Scenario Builder'!$C$50:$L$50</definedName>
    <definedName name="SPLIT_MULT_4">'[28]Scenario Builder'!$C$51:$L$51</definedName>
    <definedName name="SPLIT_MULT_5">'[28]Scenario Builder'!$C$52:$L$52</definedName>
    <definedName name="SPLIT_MULT_6">'[28]Scenario Builder'!$C$53:$L$53</definedName>
    <definedName name="SPLIT_MULT_7">'[28]Scenario Builder'!$C$54:$L$54</definedName>
    <definedName name="SPLIT_MULT_8">'[28]Scenario Builder'!$C$55:$L$55</definedName>
    <definedName name="SPLIT_MULT_9">'[28]Scenario Builder'!$C$56:$L$56</definedName>
    <definedName name="SPX">[35]Prices!$B$7</definedName>
    <definedName name="SPX_CONS00">[35]Prices!$G$6</definedName>
    <definedName name="SPX_CONS01">'[24]THE LINK FOR ALL'!$G$6</definedName>
    <definedName name="SPX_CONS99">[35]Prices!$F$6</definedName>
    <definedName name="SPX_CONSENSUS" localSheetId="5">#REF!</definedName>
    <definedName name="SPX_CONSENSUS" localSheetId="2">#REF!</definedName>
    <definedName name="SPX_CONSENSUS">#REF!</definedName>
    <definedName name="ST_debt">'[6]Quarterly Product Sales'!$A$589:$IV$589</definedName>
    <definedName name="ST_debt_growth_fore" localSheetId="5">#REF!</definedName>
    <definedName name="ST_debt_growth_fore" localSheetId="2">#REF!</definedName>
    <definedName name="ST_debt_growth_fore">#REF!</definedName>
    <definedName name="staff" localSheetId="5">#REF!</definedName>
    <definedName name="staff" localSheetId="2">#REF!</definedName>
    <definedName name="staff">#REF!</definedName>
    <definedName name="Staff_costs" localSheetId="5">#REF!</definedName>
    <definedName name="Staff_costs" localSheetId="2">#REF!</definedName>
    <definedName name="Staff_costs">#REF!</definedName>
    <definedName name="stn" localSheetId="5">#REF!</definedName>
    <definedName name="stn" localSheetId="2">#REF!</definedName>
    <definedName name="stn">#REF!</definedName>
    <definedName name="STN_00Ea" localSheetId="5">[43]EarningsModel!#REF!</definedName>
    <definedName name="STN_00Ea" localSheetId="2">[43]EarningsModel!#REF!</definedName>
    <definedName name="STN_00Ea">[43]EarningsModel!#REF!</definedName>
    <definedName name="STN_01Ea" localSheetId="5">[43]EarningsModel!#REF!</definedName>
    <definedName name="STN_01Ea" localSheetId="2">[43]EarningsModel!#REF!</definedName>
    <definedName name="STN_01Ea">[43]EarningsModel!#REF!</definedName>
    <definedName name="STN_99Ea" localSheetId="5">[43]EarningsModel!#REF!</definedName>
    <definedName name="STN_99Ea" localSheetId="2">[43]EarningsModel!#REF!</definedName>
    <definedName name="STN_99Ea">[43]EarningsModel!#REF!</definedName>
    <definedName name="STN_Rating">[16]Industry!$D$18</definedName>
    <definedName name="STN_Target">[16]Industry!$C$18</definedName>
    <definedName name="Stock_days" localSheetId="5">#REF!</definedName>
    <definedName name="Stock_days" localSheetId="2">#REF!</definedName>
    <definedName name="Stock_days">#REF!</definedName>
    <definedName name="STOCK_PRICE" localSheetId="5">#REF!</definedName>
    <definedName name="STOCK_PRICE" localSheetId="2">#REF!</definedName>
    <definedName name="STOCK_PRICE">#REF!</definedName>
    <definedName name="Summary_Date" localSheetId="5">#REF!</definedName>
    <definedName name="Summary_Date" localSheetId="2">#REF!</definedName>
    <definedName name="Summary_Date">#REF!</definedName>
    <definedName name="svgdgsgsgsd" localSheetId="5">[7]NOPAT_VDF!#REF!</definedName>
    <definedName name="svgdgsgsgsd" localSheetId="2">[7]NOPAT_VDF!#REF!</definedName>
    <definedName name="svgdgsgsgsd">[7]NOPAT_VDF!#REF!</definedName>
    <definedName name="SYN_01Ea" localSheetId="5">[43]EarningsModel!#REF!</definedName>
    <definedName name="SYN_01Ea" localSheetId="2">[43]EarningsModel!#REF!</definedName>
    <definedName name="SYN_01Ea">[43]EarningsModel!#REF!</definedName>
    <definedName name="szdgvfvsdvds" localSheetId="5">'[7]Invested capital_VDF'!#REF!</definedName>
    <definedName name="szdgvfvsdvds" localSheetId="2">'[7]Invested capital_VDF'!#REF!</definedName>
    <definedName name="szdgvfvsdvds">'[7]Invested capital_VDF'!#REF!</definedName>
    <definedName name="t" localSheetId="5">'[14]Annual Model'!#REF!</definedName>
    <definedName name="t" localSheetId="2">'[14]Annual Model'!#REF!</definedName>
    <definedName name="t">'[14]Annual Model'!#REF!</definedName>
    <definedName name="Tables" localSheetId="5">#REF!</definedName>
    <definedName name="Tables" localSheetId="2">#REF!</definedName>
    <definedName name="Tables">#REF!</definedName>
    <definedName name="Tagamet">[12]Sales!$A$60:$AG$60</definedName>
    <definedName name="Tangible_Assets" localSheetId="5">#REF!</definedName>
    <definedName name="Tangible_Assets" localSheetId="2">#REF!</definedName>
    <definedName name="Tangible_Assets">#REF!</definedName>
    <definedName name="Target_debt_to_capital" localSheetId="5">#REF!</definedName>
    <definedName name="Target_debt_to_capital" localSheetId="2">#REF!</definedName>
    <definedName name="Target_debt_to_capital">#REF!</definedName>
    <definedName name="targetname" localSheetId="5">#REF!</definedName>
    <definedName name="targetname" localSheetId="2">#REF!</definedName>
    <definedName name="targetname">#REF!</definedName>
    <definedName name="Tax_rate_for_WACC" localSheetId="5">[15]WACC_VDF!#REF!</definedName>
    <definedName name="Tax_rate_for_WACC" localSheetId="2">[15]WACC_VDF!#REF!</definedName>
    <definedName name="Tax_rate_for_WACC">[15]WACC_VDF!#REF!</definedName>
    <definedName name="tax_rate_projection" localSheetId="5">#REF!</definedName>
    <definedName name="tax_rate_projection" localSheetId="2">#REF!</definedName>
    <definedName name="tax_rate_projection">#REF!</definedName>
    <definedName name="taxo00">[6]REPORTER!$K$83</definedName>
    <definedName name="taxo01">[6]REPORTER!$P$83</definedName>
    <definedName name="taxo02">[6]REPORTER!$U$83</definedName>
    <definedName name="Teveten">[12]Sales!$A$102:$AG$102</definedName>
    <definedName name="TIF">'[24]THE LINK FOR ALL'!$B$54</definedName>
    <definedName name="TIF_CONS00">'[24]THE LINK FOR ALL'!$F$26</definedName>
    <definedName name="TIF_CONS01">'[24]THE LINK FOR ALL'!$G$26</definedName>
    <definedName name="TIF_CONS99" localSheetId="5">#REF!</definedName>
    <definedName name="TIF_CONS99" localSheetId="2">#REF!</definedName>
    <definedName name="TIF_CONS99">#REF!</definedName>
    <definedName name="Timentin">[12]Sales!$A$34:$AG$34</definedName>
    <definedName name="tmp_108" localSheetId="5" hidden="1">#REF!</definedName>
    <definedName name="tmp_108" localSheetId="2" hidden="1">#REF!</definedName>
    <definedName name="tmp_108" hidden="1">#REF!</definedName>
    <definedName name="tmp_1258" localSheetId="5" hidden="1">#REF!</definedName>
    <definedName name="tmp_1258" localSheetId="2" hidden="1">#REF!</definedName>
    <definedName name="tmp_1258" hidden="1">#REF!</definedName>
    <definedName name="tmp_99" localSheetId="5" hidden="1">#REF!</definedName>
    <definedName name="tmp_99" localSheetId="2" hidden="1">#REF!</definedName>
    <definedName name="tmp_99" hidden="1">#REF!</definedName>
    <definedName name="tmpLoadSedol" localSheetId="5" hidden="1">#REF!</definedName>
    <definedName name="tmpLoadSedol" localSheetId="2" hidden="1">#REF!</definedName>
    <definedName name="tmpLoadSedol" hidden="1">#REF!</definedName>
    <definedName name="Total_amort_fore" localSheetId="5">#REF!</definedName>
    <definedName name="Total_amort_fore" localSheetId="2">#REF!</definedName>
    <definedName name="Total_amort_fore">#REF!</definedName>
    <definedName name="Total_Amortization">[15]NOPAT_VDF!$C$18:$AZ$18</definedName>
    <definedName name="Total_Amortization_fore" localSheetId="5">#REF!</definedName>
    <definedName name="Total_Amortization_fore" localSheetId="2">#REF!</definedName>
    <definedName name="Total_Amortization_fore">#REF!</definedName>
    <definedName name="Total_COS">[15]NOPAT_VDF!$C$9:$AZ$9</definedName>
    <definedName name="Total_COS_fore" localSheetId="5">#REF!</definedName>
    <definedName name="Total_COS_fore" localSheetId="2">#REF!</definedName>
    <definedName name="Total_COS_fore">#REF!</definedName>
    <definedName name="Total_COS_growth_fore" localSheetId="5">#REF!</definedName>
    <definedName name="Total_COS_growth_fore" localSheetId="2">#REF!</definedName>
    <definedName name="Total_COS_growth_fore">#REF!</definedName>
    <definedName name="Total_COS_net_DnA_fore" localSheetId="5">#REF!</definedName>
    <definedName name="Total_COS_net_DnA_fore" localSheetId="2">#REF!</definedName>
    <definedName name="Total_COS_net_DnA_fore">#REF!</definedName>
    <definedName name="Total_current_assets" localSheetId="4">'[13]Annual Model'!#REF!</definedName>
    <definedName name="Total_current_assets" localSheetId="5">'[13]Annual Model'!#REF!</definedName>
    <definedName name="Total_current_assets" localSheetId="2">'[13]Annual Model'!#REF!</definedName>
    <definedName name="Total_current_assets">'[13]Annual Model'!#REF!</definedName>
    <definedName name="Total_current_liabilities" localSheetId="5">'[13]Annual Model'!#REF!</definedName>
    <definedName name="Total_current_liabilities" localSheetId="2">'[13]Annual Model'!#REF!</definedName>
    <definedName name="Total_current_liabilities">'[13]Annual Model'!#REF!</definedName>
    <definedName name="Total_debt">'[15]Invested capital_VDF'!$C$61:$AU$61</definedName>
    <definedName name="Total_debt_DCF">[15]DCF_VDF!$C$35:$AZ$35</definedName>
    <definedName name="Total_debt_fore" localSheetId="5">#REF!</definedName>
    <definedName name="Total_debt_fore" localSheetId="2">#REF!</definedName>
    <definedName name="Total_debt_fore">#REF!</definedName>
    <definedName name="Total_debt_growth_fore" localSheetId="5">#REF!</definedName>
    <definedName name="Total_debt_growth_fore" localSheetId="2">#REF!</definedName>
    <definedName name="Total_debt_growth_fore">#REF!</definedName>
    <definedName name="total_ebit" localSheetId="5">#REF!</definedName>
    <definedName name="total_ebit" localSheetId="2">#REF!</definedName>
    <definedName name="total_ebit">#REF!</definedName>
    <definedName name="Total_Increase_in_EEs_fore" localSheetId="5">#REF!</definedName>
    <definedName name="Total_Increase_in_EEs_fore" localSheetId="2">#REF!</definedName>
    <definedName name="Total_Increase_in_EEs_fore">#REF!</definedName>
    <definedName name="Total_Proj_Cap_Exp">[23]ProForma!$A$150:$IV$150</definedName>
    <definedName name="Total_revenues" localSheetId="5">'[13]Annual Model'!#REF!</definedName>
    <definedName name="Total_revenues" localSheetId="2">'[13]Annual Model'!#REF!</definedName>
    <definedName name="Total_revenues">'[13]Annual Model'!#REF!</definedName>
    <definedName name="Total_stockholders_equity" localSheetId="5">'[13]Annual Model'!#REF!</definedName>
    <definedName name="Total_stockholders_equity" localSheetId="2">'[13]Annual Model'!#REF!</definedName>
    <definedName name="Total_stockholders_equity">'[13]Annual Model'!#REF!</definedName>
    <definedName name="TotalPVs">[6]__FDSCACHE__!$F$14:$N$14</definedName>
    <definedName name="TPROF" localSheetId="5">#REF!</definedName>
    <definedName name="TPROF" localSheetId="2">#REF!</definedName>
    <definedName name="TPROF">#REF!</definedName>
    <definedName name="TR" localSheetId="5">'[22]FRXQH&amp;Q'!#REF!</definedName>
    <definedName name="TR" localSheetId="2">'[22]FRXQH&amp;Q'!#REF!</definedName>
    <definedName name="TR">'[22]FRXQH&amp;Q'!#REF!</definedName>
    <definedName name="trc_CFPSGROWTH5YR" localSheetId="5">#REF!</definedName>
    <definedName name="trc_CFPSGROWTH5YR" localSheetId="2">#REF!</definedName>
    <definedName name="trc_CFPSGROWTH5YR">#REF!</definedName>
    <definedName name="trc_CFPSGRWPRV5YR" localSheetId="5">#REF!</definedName>
    <definedName name="trc_CFPSGRWPRV5YR" localSheetId="2">#REF!</definedName>
    <definedName name="trc_CFPSGRWPRV5YR">#REF!</definedName>
    <definedName name="trc_CurFY" localSheetId="5">#REF!</definedName>
    <definedName name="trc_CurFY" localSheetId="2">#REF!</definedName>
    <definedName name="trc_CurFY">#REF!</definedName>
    <definedName name="trc_DIVGROWTH5YR" localSheetId="5">#REF!</definedName>
    <definedName name="trc_DIVGROWTH5YR" localSheetId="2">#REF!</definedName>
    <definedName name="trc_DIVGROWTH5YR">#REF!</definedName>
    <definedName name="trc_DIVGRWPRV5YR" localSheetId="5">#REF!</definedName>
    <definedName name="trc_DIVGRWPRV5YR" localSheetId="2">#REF!</definedName>
    <definedName name="trc_DIVGRWPRV5YR">#REF!</definedName>
    <definedName name="trc_DocID" localSheetId="5">#REF!</definedName>
    <definedName name="trc_DocID" localSheetId="2">#REF!</definedName>
    <definedName name="trc_DocID">#REF!</definedName>
    <definedName name="trc_EBITDAGROWTH5YR" localSheetId="5">#REF!</definedName>
    <definedName name="trc_EBITDAGROWTH5YR" localSheetId="2">#REF!</definedName>
    <definedName name="trc_EBITDAGROWTH5YR">#REF!</definedName>
    <definedName name="trc_EBITDAGRWPRV5YR" localSheetId="5">#REF!</definedName>
    <definedName name="trc_EBITDAGRWPRV5YR" localSheetId="2">#REF!</definedName>
    <definedName name="trc_EBITDAGRWPRV5YR">#REF!</definedName>
    <definedName name="trc_EBITNXT5" localSheetId="5">#REF!</definedName>
    <definedName name="trc_EBITNXT5" localSheetId="2">#REF!</definedName>
    <definedName name="trc_EBITNXT5">#REF!</definedName>
    <definedName name="trc_EBITPRV5" localSheetId="5">#REF!</definedName>
    <definedName name="trc_EBITPRV5" localSheetId="2">#REF!</definedName>
    <definedName name="trc_EBITPRV5">#REF!</definedName>
    <definedName name="trc_EPSGRWPRV5YR" localSheetId="5">#REF!</definedName>
    <definedName name="trc_EPSGRWPRV5YR" localSheetId="2">#REF!</definedName>
    <definedName name="trc_EPSGRWPRV5YR">#REF!</definedName>
    <definedName name="trc_Flavor" localSheetId="5">#REF!</definedName>
    <definedName name="trc_Flavor" localSheetId="2">#REF!</definedName>
    <definedName name="trc_Flavor">#REF!</definedName>
    <definedName name="trc_NETGROWTH5YR" localSheetId="5">#REF!</definedName>
    <definedName name="trc_NETGROWTH5YR" localSheetId="2">#REF!</definedName>
    <definedName name="trc_NETGROWTH5YR">#REF!</definedName>
    <definedName name="trc_NETGRWPRV5YR" localSheetId="5">#REF!</definedName>
    <definedName name="trc_NETGRWPRV5YR" localSheetId="2">#REF!</definedName>
    <definedName name="trc_NETGRWPRV5YR">#REF!</definedName>
    <definedName name="trc_QDType" localSheetId="5">#REF!</definedName>
    <definedName name="trc_QDType" localSheetId="2">#REF!</definedName>
    <definedName name="trc_QDType">#REF!</definedName>
    <definedName name="trc_RATING" localSheetId="5">#REF!</definedName>
    <definedName name="trc_RATING" localSheetId="2">#REF!</definedName>
    <definedName name="trc_RATING">#REF!</definedName>
    <definedName name="trc_ReleaseDate" localSheetId="5">#REF!</definedName>
    <definedName name="trc_ReleaseDate" localSheetId="2">#REF!</definedName>
    <definedName name="trc_ReleaseDate">#REF!</definedName>
    <definedName name="trc_REVGROWTH5YR" localSheetId="5">#REF!</definedName>
    <definedName name="trc_REVGROWTH5YR" localSheetId="2">#REF!</definedName>
    <definedName name="trc_REVGROWTH5YR">#REF!</definedName>
    <definedName name="trc_REVGRWPRV5YR" localSheetId="5">#REF!</definedName>
    <definedName name="trc_REVGRWPRV5YR" localSheetId="2">#REF!</definedName>
    <definedName name="trc_REVGRWPRV5YR">#REF!</definedName>
    <definedName name="trc_RISK" localSheetId="5">#REF!</definedName>
    <definedName name="trc_RISK" localSheetId="2">#REF!</definedName>
    <definedName name="trc_RISK">#REF!</definedName>
    <definedName name="trc_SHARESOUT" localSheetId="5">#REF!</definedName>
    <definedName name="trc_SHARESOUT" localSheetId="2">#REF!</definedName>
    <definedName name="trc_SHARESOUT">#REF!</definedName>
    <definedName name="trc_SHROUTGROWTH5YR" localSheetId="5">#REF!</definedName>
    <definedName name="trc_SHROUTGROWTH5YR" localSheetId="2">#REF!</definedName>
    <definedName name="trc_SHROUTGROWTH5YR">#REF!</definedName>
    <definedName name="trc_SHROUTGRWPRV5YR" localSheetId="5">#REF!</definedName>
    <definedName name="trc_SHROUTGRWPRV5YR" localSheetId="2">#REF!</definedName>
    <definedName name="trc_SHROUTGRWPRV5YR">#REF!</definedName>
    <definedName name="trc_submitter" localSheetId="5">#REF!</definedName>
    <definedName name="trc_submitter" localSheetId="2">#REF!</definedName>
    <definedName name="trc_submitter">#REF!</definedName>
    <definedName name="trc_submittername" localSheetId="5">#REF!</definedName>
    <definedName name="trc_submittername" localSheetId="2">#REF!</definedName>
    <definedName name="trc_submittername">#REF!</definedName>
    <definedName name="trc_TARGET" localSheetId="5">#REF!</definedName>
    <definedName name="trc_TARGET" localSheetId="2">#REF!</definedName>
    <definedName name="trc_TARGET">#REF!</definedName>
    <definedName name="trc_TemplateID" localSheetId="5">#REF!</definedName>
    <definedName name="trc_TemplateID" localSheetId="2">#REF!</definedName>
    <definedName name="trc_TemplateID">#REF!</definedName>
    <definedName name="trc_TEV" localSheetId="5">#REF!</definedName>
    <definedName name="trc_TEV" localSheetId="2">#REF!</definedName>
    <definedName name="trc_TEV">#REF!</definedName>
    <definedName name="trc_Ticker" localSheetId="5">#REF!</definedName>
    <definedName name="trc_Ticker" localSheetId="2">#REF!</definedName>
    <definedName name="trc_Ticker">#REF!</definedName>
    <definedName name="trc_Version" localSheetId="5">#REF!</definedName>
    <definedName name="trc_Version" localSheetId="2">#REF!</definedName>
    <definedName name="trc_Version">#REF!</definedName>
    <definedName name="trc_XLS_DATASHEET_ProtectDate" localSheetId="4">36879.7503587963</definedName>
    <definedName name="trc_XLS_DATASHEET_ProtectDate">36929.8290046296</definedName>
    <definedName name="trc_Y1" localSheetId="5">#REF!</definedName>
    <definedName name="trc_Y1" localSheetId="2">#REF!</definedName>
    <definedName name="trc_Y1">#REF!</definedName>
    <definedName name="trc_Y1COMMONEQ" localSheetId="5">#REF!</definedName>
    <definedName name="trc_Y1COMMONEQ" localSheetId="2">#REF!</definedName>
    <definedName name="trc_Y1COMMONEQ">#REF!</definedName>
    <definedName name="trc_Y1DILSHR" localSheetId="5">#REF!</definedName>
    <definedName name="trc_Y1DILSHR" localSheetId="2">#REF!</definedName>
    <definedName name="trc_Y1DILSHR">#REF!</definedName>
    <definedName name="trc_Y1DPS" localSheetId="5">#REF!</definedName>
    <definedName name="trc_Y1DPS" localSheetId="2">#REF!</definedName>
    <definedName name="trc_Y1DPS">#REF!</definedName>
    <definedName name="trc_Y1EBIT" localSheetId="5">#REF!</definedName>
    <definedName name="trc_Y1EBIT" localSheetId="2">#REF!</definedName>
    <definedName name="trc_Y1EBIT">#REF!</definedName>
    <definedName name="trc_Y1EBITDA" localSheetId="5">#REF!</definedName>
    <definedName name="trc_Y1EBITDA" localSheetId="2">#REF!</definedName>
    <definedName name="trc_Y1EBITDA">#REF!</definedName>
    <definedName name="trc_Y1FREE_CFPS" localSheetId="5">#REF!</definedName>
    <definedName name="trc_Y1FREE_CFPS" localSheetId="2">#REF!</definedName>
    <definedName name="trc_Y1FREE_CFPS">#REF!</definedName>
    <definedName name="trc_Y1LTDEBT" localSheetId="5">#REF!</definedName>
    <definedName name="trc_Y1LTDEBT" localSheetId="2">#REF!</definedName>
    <definedName name="trc_Y1LTDEBT">#REF!</definedName>
    <definedName name="trc_Y1NETINC" localSheetId="5">#REF!</definedName>
    <definedName name="trc_Y1NETINC" localSheetId="2">#REF!</definedName>
    <definedName name="trc_Y1NETINC">#REF!</definedName>
    <definedName name="trc_Y1Q1" localSheetId="5">#REF!</definedName>
    <definedName name="trc_Y1Q1" localSheetId="2">#REF!</definedName>
    <definedName name="trc_Y1Q1">#REF!</definedName>
    <definedName name="trc_Y1Q2" localSheetId="5">#REF!</definedName>
    <definedName name="trc_Y1Q2" localSheetId="2">#REF!</definedName>
    <definedName name="trc_Y1Q2">#REF!</definedName>
    <definedName name="trc_Y1Q3" localSheetId="5">#REF!</definedName>
    <definedName name="trc_Y1Q3" localSheetId="2">#REF!</definedName>
    <definedName name="trc_Y1Q3">#REF!</definedName>
    <definedName name="trc_Y1Q4" localSheetId="5">#REF!</definedName>
    <definedName name="trc_Y1Q4" localSheetId="2">#REF!</definedName>
    <definedName name="trc_Y1Q4">#REF!</definedName>
    <definedName name="trc_Y1REVENUE" localSheetId="5">#REF!</definedName>
    <definedName name="trc_Y1REVENUE" localSheetId="2">#REF!</definedName>
    <definedName name="trc_Y1REVENUE">#REF!</definedName>
    <definedName name="trc_Y1ROE" localSheetId="5">#REF!</definedName>
    <definedName name="trc_Y1ROE" localSheetId="2">#REF!</definedName>
    <definedName name="trc_Y1ROE">#REF!</definedName>
    <definedName name="trc_Y1TAXRATE" localSheetId="5">#REF!</definedName>
    <definedName name="trc_Y1TAXRATE" localSheetId="2">#REF!</definedName>
    <definedName name="trc_Y1TAXRATE">#REF!</definedName>
    <definedName name="trc_Y1Total" localSheetId="5">#REF!</definedName>
    <definedName name="trc_Y1Total" localSheetId="2">#REF!</definedName>
    <definedName name="trc_Y1Total">#REF!</definedName>
    <definedName name="trc_Y2" localSheetId="5">#REF!</definedName>
    <definedName name="trc_Y2" localSheetId="2">#REF!</definedName>
    <definedName name="trc_Y2">#REF!</definedName>
    <definedName name="trc_Y2COMMONEQ" localSheetId="5">#REF!</definedName>
    <definedName name="trc_Y2COMMONEQ" localSheetId="2">#REF!</definedName>
    <definedName name="trc_Y2COMMONEQ">#REF!</definedName>
    <definedName name="trc_Y2DILSHR" localSheetId="5">#REF!</definedName>
    <definedName name="trc_Y2DILSHR" localSheetId="2">#REF!</definedName>
    <definedName name="trc_Y2DILSHR">#REF!</definedName>
    <definedName name="trc_Y2DPS" localSheetId="5">#REF!</definedName>
    <definedName name="trc_Y2DPS" localSheetId="2">#REF!</definedName>
    <definedName name="trc_Y2DPS">#REF!</definedName>
    <definedName name="trc_Y2EBIT" localSheetId="5">#REF!</definedName>
    <definedName name="trc_Y2EBIT" localSheetId="2">#REF!</definedName>
    <definedName name="trc_Y2EBIT">#REF!</definedName>
    <definedName name="trc_Y2EBITDA" localSheetId="5">#REF!</definedName>
    <definedName name="trc_Y2EBITDA" localSheetId="2">#REF!</definedName>
    <definedName name="trc_Y2EBITDA">#REF!</definedName>
    <definedName name="trc_Y2FREE_CFPS" localSheetId="5">#REF!</definedName>
    <definedName name="trc_Y2FREE_CFPS" localSheetId="2">#REF!</definedName>
    <definedName name="trc_Y2FREE_CFPS">#REF!</definedName>
    <definedName name="trc_Y2LTDEBT" localSheetId="5">#REF!</definedName>
    <definedName name="trc_Y2LTDEBT" localSheetId="2">#REF!</definedName>
    <definedName name="trc_Y2LTDEBT">#REF!</definedName>
    <definedName name="trc_Y2NETINC" localSheetId="5">#REF!</definedName>
    <definedName name="trc_Y2NETINC" localSheetId="2">#REF!</definedName>
    <definedName name="trc_Y2NETINC">#REF!</definedName>
    <definedName name="trc_Y2Q1" localSheetId="5">#REF!</definedName>
    <definedName name="trc_Y2Q1" localSheetId="2">#REF!</definedName>
    <definedName name="trc_Y2Q1">#REF!</definedName>
    <definedName name="trc_Y2Q2" localSheetId="5">#REF!</definedName>
    <definedName name="trc_Y2Q2" localSheetId="2">#REF!</definedName>
    <definedName name="trc_Y2Q2">#REF!</definedName>
    <definedName name="trc_Y2Q3" localSheetId="5">#REF!</definedName>
    <definedName name="trc_Y2Q3" localSheetId="2">#REF!</definedName>
    <definedName name="trc_Y2Q3">#REF!</definedName>
    <definedName name="trc_Y2Q4" localSheetId="5">#REF!</definedName>
    <definedName name="trc_Y2Q4" localSheetId="2">#REF!</definedName>
    <definedName name="trc_Y2Q4">#REF!</definedName>
    <definedName name="trc_Y2REVENUE" localSheetId="5">#REF!</definedName>
    <definedName name="trc_Y2REVENUE" localSheetId="2">#REF!</definedName>
    <definedName name="trc_Y2REVENUE">#REF!</definedName>
    <definedName name="trc_Y2ROE" localSheetId="5">#REF!</definedName>
    <definedName name="trc_Y2ROE" localSheetId="2">#REF!</definedName>
    <definedName name="trc_Y2ROE">#REF!</definedName>
    <definedName name="trc_Y2TAXRATE" localSheetId="5">#REF!</definedName>
    <definedName name="trc_Y2TAXRATE" localSheetId="2">#REF!</definedName>
    <definedName name="trc_Y2TAXRATE">#REF!</definedName>
    <definedName name="trc_Y2Total" localSheetId="5">#REF!</definedName>
    <definedName name="trc_Y2Total" localSheetId="2">#REF!</definedName>
    <definedName name="trc_Y2Total">#REF!</definedName>
    <definedName name="trc_Y3" localSheetId="5">#REF!</definedName>
    <definedName name="trc_Y3" localSheetId="2">#REF!</definedName>
    <definedName name="trc_Y3">#REF!</definedName>
    <definedName name="trc_Y3COMMONEQ" localSheetId="5">#REF!</definedName>
    <definedName name="trc_Y3COMMONEQ" localSheetId="2">#REF!</definedName>
    <definedName name="trc_Y3COMMONEQ">#REF!</definedName>
    <definedName name="trc_Y3DILSHR" localSheetId="5">#REF!</definedName>
    <definedName name="trc_Y3DILSHR" localSheetId="2">#REF!</definedName>
    <definedName name="trc_Y3DILSHR">#REF!</definedName>
    <definedName name="trc_Y3DPS" localSheetId="5">#REF!</definedName>
    <definedName name="trc_Y3DPS" localSheetId="2">#REF!</definedName>
    <definedName name="trc_Y3DPS">#REF!</definedName>
    <definedName name="trc_Y3EBIT" localSheetId="5">#REF!</definedName>
    <definedName name="trc_Y3EBIT" localSheetId="2">#REF!</definedName>
    <definedName name="trc_Y3EBIT">#REF!</definedName>
    <definedName name="trc_Y3EBITDA" localSheetId="5">#REF!</definedName>
    <definedName name="trc_Y3EBITDA" localSheetId="2">#REF!</definedName>
    <definedName name="trc_Y3EBITDA">#REF!</definedName>
    <definedName name="trc_Y3FREE_CFPS" localSheetId="5">#REF!</definedName>
    <definedName name="trc_Y3FREE_CFPS" localSheetId="2">#REF!</definedName>
    <definedName name="trc_Y3FREE_CFPS">#REF!</definedName>
    <definedName name="trc_Y3LTDEBT" localSheetId="5">#REF!</definedName>
    <definedName name="trc_Y3LTDEBT" localSheetId="2">#REF!</definedName>
    <definedName name="trc_Y3LTDEBT">#REF!</definedName>
    <definedName name="trc_Y3NETINC" localSheetId="5">#REF!</definedName>
    <definedName name="trc_Y3NETINC" localSheetId="2">#REF!</definedName>
    <definedName name="trc_Y3NETINC">#REF!</definedName>
    <definedName name="trc_Y3Q1" localSheetId="5">#REF!</definedName>
    <definedName name="trc_Y3Q1" localSheetId="2">#REF!</definedName>
    <definedName name="trc_Y3Q1">#REF!</definedName>
    <definedName name="trc_Y3Q2" localSheetId="5">#REF!</definedName>
    <definedName name="trc_Y3Q2" localSheetId="2">#REF!</definedName>
    <definedName name="trc_Y3Q2">#REF!</definedName>
    <definedName name="trc_Y3Q3" localSheetId="5">#REF!</definedName>
    <definedName name="trc_Y3Q3" localSheetId="2">#REF!</definedName>
    <definedName name="trc_Y3Q3">#REF!</definedName>
    <definedName name="trc_Y3Q4" localSheetId="5">#REF!</definedName>
    <definedName name="trc_Y3Q4" localSheetId="2">#REF!</definedName>
    <definedName name="trc_Y3Q4">#REF!</definedName>
    <definedName name="trc_Y3REVENUE" localSheetId="5">#REF!</definedName>
    <definedName name="trc_Y3REVENUE" localSheetId="2">#REF!</definedName>
    <definedName name="trc_Y3REVENUE">#REF!</definedName>
    <definedName name="trc_Y3ROE" localSheetId="5">#REF!</definedName>
    <definedName name="trc_Y3ROE" localSheetId="2">#REF!</definedName>
    <definedName name="trc_Y3ROE">#REF!</definedName>
    <definedName name="trc_Y3TAXRATE" localSheetId="5">#REF!</definedName>
    <definedName name="trc_Y3TAXRATE" localSheetId="2">#REF!</definedName>
    <definedName name="trc_Y3TAXRATE">#REF!</definedName>
    <definedName name="trc_Y3Total" localSheetId="5">#REF!</definedName>
    <definedName name="trc_Y3Total" localSheetId="2">#REF!</definedName>
    <definedName name="trc_Y3Total">#REF!</definedName>
    <definedName name="trc_Y4" localSheetId="5">#REF!</definedName>
    <definedName name="trc_Y4" localSheetId="2">#REF!</definedName>
    <definedName name="trc_Y4">#REF!</definedName>
    <definedName name="trc_Y4COMMONEQ" localSheetId="5">#REF!</definedName>
    <definedName name="trc_Y4COMMONEQ" localSheetId="2">#REF!</definedName>
    <definedName name="trc_Y4COMMONEQ">#REF!</definedName>
    <definedName name="trc_Y4DILSHR" localSheetId="5">#REF!</definedName>
    <definedName name="trc_Y4DILSHR" localSheetId="2">#REF!</definedName>
    <definedName name="trc_Y4DILSHR">#REF!</definedName>
    <definedName name="trc_Y4DPS" localSheetId="5">#REF!</definedName>
    <definedName name="trc_Y4DPS" localSheetId="2">#REF!</definedName>
    <definedName name="trc_Y4DPS">#REF!</definedName>
    <definedName name="trc_Y4EBIT" localSheetId="5">#REF!</definedName>
    <definedName name="trc_Y4EBIT" localSheetId="2">#REF!</definedName>
    <definedName name="trc_Y4EBIT">#REF!</definedName>
    <definedName name="trc_Y4EBITDA" localSheetId="5">#REF!</definedName>
    <definedName name="trc_Y4EBITDA" localSheetId="2">#REF!</definedName>
    <definedName name="trc_Y4EBITDA">#REF!</definedName>
    <definedName name="trc_Y4FREE_CFPS" localSheetId="5">#REF!</definedName>
    <definedName name="trc_Y4FREE_CFPS" localSheetId="2">#REF!</definedName>
    <definedName name="trc_Y4FREE_CFPS">#REF!</definedName>
    <definedName name="trc_Y4LTDEBT" localSheetId="5">#REF!</definedName>
    <definedName name="trc_Y4LTDEBT" localSheetId="2">#REF!</definedName>
    <definedName name="trc_Y4LTDEBT">#REF!</definedName>
    <definedName name="trc_Y4NETINC" localSheetId="5">#REF!</definedName>
    <definedName name="trc_Y4NETINC" localSheetId="2">#REF!</definedName>
    <definedName name="trc_Y4NETINC">#REF!</definedName>
    <definedName name="trc_Y4Q1" localSheetId="5">#REF!</definedName>
    <definedName name="trc_Y4Q1" localSheetId="2">#REF!</definedName>
    <definedName name="trc_Y4Q1">#REF!</definedName>
    <definedName name="trc_Y4Q2" localSheetId="5">#REF!</definedName>
    <definedName name="trc_Y4Q2" localSheetId="2">#REF!</definedName>
    <definedName name="trc_Y4Q2">#REF!</definedName>
    <definedName name="trc_Y4Q3" localSheetId="5">#REF!</definedName>
    <definedName name="trc_Y4Q3" localSheetId="2">#REF!</definedName>
    <definedName name="trc_Y4Q3">#REF!</definedName>
    <definedName name="trc_Y4Q4" localSheetId="5">#REF!</definedName>
    <definedName name="trc_Y4Q4" localSheetId="2">#REF!</definedName>
    <definedName name="trc_Y4Q4">#REF!</definedName>
    <definedName name="trc_Y4REVENUE" localSheetId="5">#REF!</definedName>
    <definedName name="trc_Y4REVENUE" localSheetId="2">#REF!</definedName>
    <definedName name="trc_Y4REVENUE">#REF!</definedName>
    <definedName name="trc_Y4ROE" localSheetId="5">#REF!</definedName>
    <definedName name="trc_Y4ROE" localSheetId="2">#REF!</definedName>
    <definedName name="trc_Y4ROE">#REF!</definedName>
    <definedName name="trc_Y4TAXRATE" localSheetId="5">#REF!</definedName>
    <definedName name="trc_Y4TAXRATE" localSheetId="2">#REF!</definedName>
    <definedName name="trc_Y4TAXRATE">#REF!</definedName>
    <definedName name="trc_Y4Total" localSheetId="5">#REF!</definedName>
    <definedName name="trc_Y4Total" localSheetId="2">#REF!</definedName>
    <definedName name="trc_Y4Total">#REF!</definedName>
    <definedName name="Twinrix">[12]Sales!$A$85:$AG$85</definedName>
    <definedName name="ud06r.GroupNums">'[6]EXT 1999 All Goals'!$AH$410:$AH$411</definedName>
    <definedName name="Ultair" localSheetId="5">[12]Sales!#REF!</definedName>
    <definedName name="Ultair" localSheetId="2">[12]Sales!#REF!</definedName>
    <definedName name="Ultair">[12]Sales!#REF!</definedName>
    <definedName name="unit" localSheetId="5">'[17]IGT MODEL'!#REF!</definedName>
    <definedName name="unit" localSheetId="2">'[17]IGT MODEL'!#REF!</definedName>
    <definedName name="unit">'[17]IGT MODEL'!#REF!</definedName>
    <definedName name="unitdavid" localSheetId="5">'[17]IGT MODEL'!#REF!</definedName>
    <definedName name="unitdavid" localSheetId="2">'[17]IGT MODEL'!#REF!</definedName>
    <definedName name="unitdavid">'[17]IGT MODEL'!#REF!</definedName>
    <definedName name="Update_This" localSheetId="5">[29]!Update_This</definedName>
    <definedName name="Update_This" localSheetId="2">[29]!Update_This</definedName>
    <definedName name="Update_This">[29]!Update_This</definedName>
    <definedName name="v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va" localSheetId="5">#REF!</definedName>
    <definedName name="va" localSheetId="2">#REF!</definedName>
    <definedName name="va">#REF!</definedName>
    <definedName name="VALUATION_CONT_BUS" localSheetId="5">#REF!</definedName>
    <definedName name="VALUATION_CONT_BUS" localSheetId="2">#REF!</definedName>
    <definedName name="VALUATION_CONT_BUS">#REF!</definedName>
    <definedName name="VALUATION_CONT_BUS_NO_RD" localSheetId="5">#REF!</definedName>
    <definedName name="VALUATION_CONT_BUS_NO_RD" localSheetId="2">#REF!</definedName>
    <definedName name="VALUATION_CONT_BUS_NO_RD">#REF!</definedName>
    <definedName name="valuation_rd" localSheetId="5">#REF!</definedName>
    <definedName name="valuation_rd" localSheetId="2">#REF!</definedName>
    <definedName name="valuation_rd">#REF!</definedName>
    <definedName name="VALUATION_SHARE" localSheetId="5">#REF!</definedName>
    <definedName name="VALUATION_SHARE" localSheetId="2">#REF!</definedName>
    <definedName name="VALUATION_SHARE">#REF!</definedName>
    <definedName name="ValuationBPCSOperatingEnterpriseValue" localSheetId="5">#REF!</definedName>
    <definedName name="ValuationBPCSOperatingEnterpriseValue" localSheetId="2">#REF!</definedName>
    <definedName name="ValuationBPCSOperatingEnterpriseValue">#REF!</definedName>
    <definedName name="ValuationFirmValueTotal" localSheetId="5">#REF!</definedName>
    <definedName name="ValuationFirmValueTotal" localSheetId="2">#REF!</definedName>
    <definedName name="ValuationFirmValueTotal">#REF!</definedName>
    <definedName name="ValuationFirstLineofBusinessOperatingEnterpriseValue" localSheetId="5">#REF!</definedName>
    <definedName name="ValuationFirstLineofBusinessOperatingEnterpriseValue" localSheetId="2">#REF!</definedName>
    <definedName name="ValuationFirstLineofBusinessOperatingEnterpriseValue">#REF!</definedName>
    <definedName name="ValuationNetDebt" localSheetId="5">#REF!</definedName>
    <definedName name="ValuationNetDebt" localSheetId="2">#REF!</definedName>
    <definedName name="ValuationNetDebt">#REF!</definedName>
    <definedName name="ValuationPublicMarketDiscount" localSheetId="5">#REF!</definedName>
    <definedName name="ValuationPublicMarketDiscount" localSheetId="2">#REF!</definedName>
    <definedName name="ValuationPublicMarketDiscount">#REF!</definedName>
    <definedName name="ValuationSecondLineofBusinessOperatingEnterpriseValue" localSheetId="5">#REF!</definedName>
    <definedName name="ValuationSecondLineofBusinessOperatingEnterpriseValue" localSheetId="2">#REF!</definedName>
    <definedName name="ValuationSecondLineofBusinessOperatingEnterpriseValue">#REF!</definedName>
    <definedName name="Variation_in_other_provisions" localSheetId="5">#REF!</definedName>
    <definedName name="Variation_in_other_provisions" localSheetId="2">#REF!</definedName>
    <definedName name="Variation_in_other_provisions">#REF!</definedName>
    <definedName name="Variation_in_Pension_Provisions" localSheetId="5">#REF!</definedName>
    <definedName name="Variation_in_Pension_Provisions" localSheetId="2">#REF!</definedName>
    <definedName name="Variation_in_Pension_Provisions">#REF!</definedName>
    <definedName name="Variation_Special_reserve" localSheetId="5">#REF!</definedName>
    <definedName name="Variation_Special_reserve" localSheetId="2">#REF!</definedName>
    <definedName name="Variation_Special_reserve">#REF!</definedName>
    <definedName name="Vectovir" localSheetId="5">[12]Sales!#REF!</definedName>
    <definedName name="Vectovir" localSheetId="2">[12]Sales!#REF!</definedName>
    <definedName name="Vectovir">[12]Sales!#REF!</definedName>
    <definedName name="ver1.0" localSheetId="5" hidden="1">#REF!</definedName>
    <definedName name="ver1.0" localSheetId="2" hidden="1">#REF!</definedName>
    <definedName name="ver1.0" hidden="1">#REF!</definedName>
    <definedName name="ver1.01" localSheetId="5" hidden="1">#REF!</definedName>
    <definedName name="ver1.01" localSheetId="2" hidden="1">#REF!</definedName>
    <definedName name="ver1.01" hidden="1">#REF!</definedName>
    <definedName name="vfgSDfV" localSheetId="5">[7]NOPAT_VDF!#REF!</definedName>
    <definedName name="vfgSDfV" localSheetId="2">[7]NOPAT_VDF!#REF!</definedName>
    <definedName name="vfgSDfV">[7]NOPAT_VDF!#REF!</definedName>
    <definedName name="via00" localSheetId="5">'[3]Qtr. Product Sales'!#REF!</definedName>
    <definedName name="via00" localSheetId="2">'[3]Qtr. Product Sales'!#REF!</definedName>
    <definedName name="via00">'[3]Qtr. Product Sales'!#REF!</definedName>
    <definedName name="viag01" localSheetId="5">'[3]Qtr. Product Sales'!#REF!</definedName>
    <definedName name="viag01" localSheetId="2">'[3]Qtr. Product Sales'!#REF!</definedName>
    <definedName name="viag01">'[3]Qtr. Product Sales'!#REF!</definedName>
    <definedName name="viag02" localSheetId="5">'[3]Qtr. Product Sales'!#REF!</definedName>
    <definedName name="viag02" localSheetId="2">'[3]Qtr. Product Sales'!#REF!</definedName>
    <definedName name="viag02">'[3]Qtr. Product Sales'!#REF!</definedName>
    <definedName name="viox01" localSheetId="5">'[32]Qtr. Product Sales'!#REF!</definedName>
    <definedName name="viox01" localSheetId="2">'[32]Qtr. Product Sales'!#REF!</definedName>
    <definedName name="viox01">'[32]Qtr. Product Sales'!#REF!</definedName>
    <definedName name="viox02" localSheetId="5">'[32]Qtr. Product Sales'!#REF!</definedName>
    <definedName name="viox02" localSheetId="2">'[32]Qtr. Product Sales'!#REF!</definedName>
    <definedName name="viox02">'[32]Qtr. Product Sales'!#REF!</definedName>
    <definedName name="volume" localSheetId="5">#REF!</definedName>
    <definedName name="volume" localSheetId="2">#REF!</definedName>
    <definedName name="volume">#REF!</definedName>
    <definedName name="WACC" localSheetId="5">#REF!</definedName>
    <definedName name="WACC" localSheetId="2">#REF!</definedName>
    <definedName name="WACC">#REF!</definedName>
    <definedName name="WACC_company" localSheetId="5">#REF!</definedName>
    <definedName name="WACC_company" localSheetId="2">#REF!</definedName>
    <definedName name="WACC_company">#REF!</definedName>
    <definedName name="WACC_fore">[15]WACC_VDF!$J$21</definedName>
    <definedName name="WACC_P">'[15]Income Statement_VDF'!$R$44</definedName>
    <definedName name="WACC_P_1">[15]WACC_VDF!$U$23</definedName>
    <definedName name="WACC_P_8" localSheetId="5">[15]WACC_VDF!#REF!</definedName>
    <definedName name="WACC_P_8" localSheetId="2">[15]WACC_VDF!#REF!</definedName>
    <definedName name="WACC_P_8">[15]WACC_VDF!#REF!</definedName>
    <definedName name="web" localSheetId="5">#REF!</definedName>
    <definedName name="web" localSheetId="2">#REF!</definedName>
    <definedName name="web">#REF!</definedName>
    <definedName name="wed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ds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dtwo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etwo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la" localSheetId="5">[36]DATA!#REF!</definedName>
    <definedName name="wla" localSheetId="2">[36]DATA!#REF!</definedName>
    <definedName name="wla">[36]DATA!#REF!</definedName>
    <definedName name="WMS" localSheetId="5">#REF!</definedName>
    <definedName name="WMS" localSheetId="2">#REF!</definedName>
    <definedName name="WMS">#REF!</definedName>
    <definedName name="WMS_Rating">[16]Industry!$D$20</definedName>
    <definedName name="WMS_Target">[16]Industry!$C$20</definedName>
    <definedName name="Working_capital" localSheetId="5">#REF!</definedName>
    <definedName name="Working_capital" localSheetId="2">#REF!</definedName>
    <definedName name="Working_capital">#REF!</definedName>
    <definedName name="wrn.America._.Online." hidden="1">{#N/A,#N/A,FALSE,"Intro";#N/A,#N/A,FALSE,"Inc. St.";#N/A,#N/A,FALSE,"CalYear";#N/A,#N/A,FALSE,"FYear";#N/A,#N/A,FALSE,"Subs";#N/A,#N/A,FALSE,"Other Revs";#N/A,#N/A,FALSE,"Deals";#N/A,#N/A,FALSE,"RevsYear";#N/A,#N/A,FALSE,"Balance";#N/A,#N/A,FALSE,"OpCashFlow";#N/A,#N/A,FALSE,"Val.";#N/A,#N/A,FALSE,"DCFVal"}</definedName>
    <definedName name="wrn.daily." hidden="1">{#N/A,#N/A,FALSE,"Major v. River";#N/A,#N/A,FALSE,"Large Operators";#N/A,#N/A,FALSE,"Smaller Operators";#N/A,#N/A,FALSE,"Equip. Supply";#N/A,#N/A,FALSE,"EBITDA"}</definedName>
    <definedName name="wrn.Earnings._.Model." hidden="1">{#N/A,#N/A,FALSE,"Product Revenue";#N/A,#N/A,FALSE,"Geographic Revenue";#N/A,#N/A,FALSE,"Income Statement - As Reported";#N/A,#N/A,FALSE,"Income Statement - Operating";#N/A,#N/A,FALSE,"Income Statement - %Revenue";#N/A,#N/A,FALSE,"Year-over-Year Growth";#N/A,#N/A,FALSE,"Sequential Growth";#N/A,#N/A,FALSE,"Balance Sheet";#N/A,#N/A,FALSE,"Cash Flow";#N/A,#N/A,FALSE,"Ratios";#N/A,#N/A,FALSE,"Valuation"}</definedName>
    <definedName name="wrn.Genentech._.Model." hidden="1">{#N/A,#N/A,FALSE,"Inc";#N/A,#N/A,FALSE,"Prod";#N/A,#N/A,FALSE,"QInc";#N/A,#N/A,FALSE,"QProd"}</definedName>
    <definedName name="wrn.Genzyme._.model." hidden="1">{#N/A,#N/A,FALSE,"Inc";#N/A,#N/A,FALSE,"QInc";#N/A,#N/A,FALSE,"Pro";#N/A,#N/A,FALSE,"QPro"}</definedName>
    <definedName name="wrn.IGT._.Model." hidden="1">{#N/A,#N/A,TRUE,"IGT";#N/A,#N/A,TRUE,"IGTSLOT"}</definedName>
    <definedName name="wrn.Ligand._.Model." hidden="1">{#N/A,#N/A,FALSE,"Inc";#N/A,#N/A,FALSE,"QInc";#N/A,#N/A,FALSE,"Pro";#N/A,#N/A,FALSE,"QPro"}</definedName>
    <definedName name="wrn.Lodging." hidden="1">{#N/A,#N/A,FALSE,"EPS";#N/A,#N/A,FALSE,"EBITDA"}</definedName>
    <definedName name="wrn.mirBellagio." hidden="1">{#N/A,#N/A,FALSE,"MIR";#N/A,#N/A,FALSE,"NYNY"}</definedName>
    <definedName name="wrn.Model." hidden="1">{#N/A,#N/A,FALSE,"PRH";#N/A,#N/A,FALSE,"Units"}</definedName>
    <definedName name="wrn.monthly." hidden="1">{#N/A,#N/A,FALSE,"Running Total";#N/A,#N/A,FALSE,"Oct 96";#N/A,#N/A,FALSE,"Nov 96";#N/A,#N/A,FALSE,"Dec 96";#N/A,#N/A,FALSE,"Jan 97";#N/A,#N/A,FALSE,"Feb 97";#N/A,#N/A,FALSE,"Mar 97";#N/A,#N/A,FALSE,"Apr 97";#N/A,#N/A,FALSE,"May 97";#N/A,#N/A,FALSE,"June 97";#N/A,#N/A,FALSE,"July 97"}</definedName>
    <definedName name="wrn.pres." hidden="1">{#N/A,#N/A,FALSE,"Major v. River";#N/A,#N/A,FALSE,"Industry";#N/A,#N/A,FALSE,"Large Operators";#N/A,#N/A,FALSE,"Smaller Operators";#N/A,#N/A,FALSE,"Equip. Supply";#N/A,#N/A,FALSE,"EBITDA";#N/A,#N/A,FALSE,"States";#N/A,#N/A,FALSE,"LV Detail"}</definedName>
    <definedName name="wrn.pres97." hidden="1">{#N/A,#N/A,FALSE,"Cover";#N/A,#N/A,FALSE,"Major v. River";#N/A,#N/A,FALSE,"Industry";#N/A,#N/A,FALSE,"Stock Val";#N/A,#N/A,FALSE,"EBITDA";#N/A,#N/A,FALSE,"EBITDA Growth";#N/A,#N/A,FALSE,"LV REt";#N/A,#N/A,FALSE,"AC Ret";#N/A,#N/A,FALSE,"River Ret";#N/A,#N/A,FALSE,"Executive";#N/A,#N/A,FALSE,"Demographics";#N/A,#N/A,FALSE,"Leisure";#N/A,#N/A,FALSE,"States";#N/A,#N/A,FALSE,"nongame";#N/A,#N/A,FALSE,"nongame2";#N/A,#N/A,FALSE,"Room Margin";#N/A,#N/A,FALSE,"Hyp Casino";#N/A,#N/A,FALSE,"lv gates";#N/A,#N/A,FALSE,"potential";#N/A,#N/A,FALSE,"Large Operators";#N/A,#N/A,FALSE,"Smaller Operators";#N/A,#N/A,FALSE,"Equip. Supply";#N/A,#N/A,FALSE,"LV Detail $1 Mil"}</definedName>
    <definedName name="wrn.SunModel." hidden="1">{#N/A,#N/A,FALSE,"summary";#N/A,#N/A,FALSE,"SIH";#N/A,#N/A,FALSE,"SIH Value";#N/A,#N/A,FALSE,"tax est.";#N/A,#N/A,FALSE,"Mohegan";#N/A,#N/A,FALSE,"Resorts";#N/A,#N/A,FALSE,"Win Per Day";#N/A,#N/A,FALSE,"CapStr"}</definedName>
    <definedName name="wrn.weekly." hidden="1">{#N/A,#N/A,FALSE,"Large Operators";#N/A,#N/A,FALSE,"Smaller Operators";#N/A,#N/A,FALSE,"Equip. Supply";#N/A,#N/A,FALSE,"EBITDA";#N/A,#N/A,FALSE,"perform"}</definedName>
    <definedName name="wrn.Yahoo." hidden="1">{#N/A,#N/A,FALSE,"Inc. St.";#N/A,#N/A,FALSE,"FYear";#N/A,#N/A,FALSE,"Revs.";#N/A,#N/A,FALSE,"RevsYear";#N/A,#N/A,FALSE,"Balance";#N/A,#N/A,FALSE,"CompVal";#N/A,#N/A,FALSE,"Val.";#N/A,#N/A,FALSE,"DCFval"}</definedName>
    <definedName name="WYEEPS1">[6]Sheet1!$AE$36</definedName>
    <definedName name="WYEEPS2">[6]Sheet1!$AJ$36</definedName>
    <definedName name="xxxxx" hidden="1">{#N/A,#N/A,FALSE,"Inc";#N/A,#N/A,FALSE,"QInc";#N/A,#N/A,FALSE,"Pro";#N/A,#N/A,FALSE,"QPro"}</definedName>
    <definedName name="xxxxxx" hidden="1">{#N/A,#N/A,FALSE,"Inc";#N/A,#N/A,FALSE,"QInc";#N/A,#N/A,FALSE,"Pro";#N/A,#N/A,FALSE,"QPro"}</definedName>
    <definedName name="Yahoo" hidden="1">{#N/A,#N/A,FALSE,"Inc. St.";#N/A,#N/A,FALSE,"FYear";#N/A,#N/A,FALSE,"Revs.";#N/A,#N/A,FALSE,"RevsYear";#N/A,#N/A,FALSE,"Balance";#N/A,#N/A,FALSE,"CompVal";#N/A,#N/A,FALSE,"Val.";#N/A,#N/A,FALSE,"DCFval"}</definedName>
    <definedName name="Year" localSheetId="5">#REF!</definedName>
    <definedName name="Year" localSheetId="2">#REF!</definedName>
    <definedName name="Year">#REF!</definedName>
    <definedName name="Year_End_Net_Cash____Debt" localSheetId="5">#REF!</definedName>
    <definedName name="Year_End_Net_Cash____Debt" localSheetId="2">#REF!</definedName>
    <definedName name="Year_End_Net_Cash____Debt">#REF!</definedName>
    <definedName name="Year_End_Number_of_Employees" localSheetId="5">#REF!</definedName>
    <definedName name="Year_End_Number_of_Employees" localSheetId="2">#REF!</definedName>
    <definedName name="Year_End_Number_of_Employees">#REF!</definedName>
    <definedName name="Yield" localSheetId="5">#REF!</definedName>
    <definedName name="Yield" localSheetId="2">#REF!</definedName>
    <definedName name="Yield">#REF!</definedName>
    <definedName name="z03all" localSheetId="5">'[38]Qtr. Product Sales'!#REF!</definedName>
    <definedName name="z03all" localSheetId="2">'[38]Qtr. Product Sales'!#REF!</definedName>
    <definedName name="z03all">'[38]Qtr. Product Sales'!#REF!</definedName>
    <definedName name="z03eu" localSheetId="5">'[38]Qtr. Product Sales'!#REF!</definedName>
    <definedName name="z03eu" localSheetId="2">'[38]Qtr. Product Sales'!#REF!</definedName>
    <definedName name="z03eu">'[38]Qtr. Product Sales'!#REF!</definedName>
    <definedName name="z03us" localSheetId="5">'[38]Qtr. Product Sales'!#REF!</definedName>
    <definedName name="z03us" localSheetId="2">'[38]Qtr. Product Sales'!#REF!</definedName>
    <definedName name="z03us">'[38]Qtr. Product Sales'!#REF!</definedName>
    <definedName name="z04all" localSheetId="5">'[38]Qtr. Product Sales'!#REF!</definedName>
    <definedName name="z04all" localSheetId="2">'[38]Qtr. Product Sales'!#REF!</definedName>
    <definedName name="z04all">'[38]Qtr. Product Sales'!#REF!</definedName>
    <definedName name="z04eu" localSheetId="5">'[38]Qtr. Product Sales'!#REF!</definedName>
    <definedName name="z04eu" localSheetId="2">'[38]Qtr. Product Sales'!#REF!</definedName>
    <definedName name="z04eu">'[38]Qtr. Product Sales'!#REF!</definedName>
    <definedName name="z04us" localSheetId="5">'[38]Qtr. Product Sales'!#REF!</definedName>
    <definedName name="z04us" localSheetId="2">'[38]Qtr. Product Sales'!#REF!</definedName>
    <definedName name="z04us">'[38]Qtr. Product Sales'!#REF!</definedName>
    <definedName name="z05all" localSheetId="5">'[38]Qtr. Product Sales'!#REF!</definedName>
    <definedName name="z05all" localSheetId="2">'[38]Qtr. Product Sales'!#REF!</definedName>
    <definedName name="z05all">'[38]Qtr. Product Sales'!#REF!</definedName>
    <definedName name="z05eu" localSheetId="5">'[38]Qtr. Product Sales'!#REF!</definedName>
    <definedName name="z05eu" localSheetId="2">'[38]Qtr. Product Sales'!#REF!</definedName>
    <definedName name="z05eu">'[38]Qtr. Product Sales'!#REF!</definedName>
    <definedName name="z05us" localSheetId="5">'[38]Qtr. Product Sales'!#REF!</definedName>
    <definedName name="z05us" localSheetId="2">'[38]Qtr. Product Sales'!#REF!</definedName>
    <definedName name="z05us">'[38]Qtr. Product Sales'!#REF!</definedName>
    <definedName name="z06all" localSheetId="5">'[38]Qtr. Product Sales'!#REF!</definedName>
    <definedName name="z06all" localSheetId="2">'[38]Qtr. Product Sales'!#REF!</definedName>
    <definedName name="z06all">'[38]Qtr. Product Sales'!#REF!</definedName>
    <definedName name="z06eu" localSheetId="5">'[38]Qtr. Product Sales'!#REF!</definedName>
    <definedName name="z06eu" localSheetId="2">'[38]Qtr. Product Sales'!#REF!</definedName>
    <definedName name="z06eu">'[38]Qtr. Product Sales'!#REF!</definedName>
    <definedName name="z06us" localSheetId="5">'[38]Qtr. Product Sales'!#REF!</definedName>
    <definedName name="z06us" localSheetId="2">'[38]Qtr. Product Sales'!#REF!</definedName>
    <definedName name="z06us">'[38]Qtr. Product Sales'!#REF!</definedName>
    <definedName name="z07eu" localSheetId="5">'[38]Qtr. Product Sales'!#REF!</definedName>
    <definedName name="z07eu" localSheetId="2">'[38]Qtr. Product Sales'!#REF!</definedName>
    <definedName name="z07eu">'[38]Qtr. Product Sales'!#REF!</definedName>
    <definedName name="z07us" localSheetId="5">'[38]Qtr. Product Sales'!#REF!</definedName>
    <definedName name="z07us" localSheetId="2">'[38]Qtr. Product Sales'!#REF!</definedName>
    <definedName name="z07us">'[38]Qtr. Product Sales'!#REF!</definedName>
    <definedName name="z103eu" localSheetId="5">'[38]Qtr. Product Sales'!#REF!</definedName>
    <definedName name="z103eu" localSheetId="2">'[38]Qtr. Product Sales'!#REF!</definedName>
    <definedName name="z103eu">'[38]Qtr. Product Sales'!#REF!</definedName>
    <definedName name="z103us" localSheetId="5">'[38]Qtr. Product Sales'!#REF!</definedName>
    <definedName name="z103us" localSheetId="2">'[38]Qtr. Product Sales'!#REF!</definedName>
    <definedName name="z103us">'[38]Qtr. Product Sales'!#REF!</definedName>
    <definedName name="z203eu" localSheetId="5">'[38]Qtr. Product Sales'!#REF!</definedName>
    <definedName name="z203eu" localSheetId="2">'[38]Qtr. Product Sales'!#REF!</definedName>
    <definedName name="z203eu">'[38]Qtr. Product Sales'!#REF!</definedName>
    <definedName name="z203us" localSheetId="5">'[38]Qtr. Product Sales'!#REF!</definedName>
    <definedName name="z203us" localSheetId="2">'[38]Qtr. Product Sales'!#REF!</definedName>
    <definedName name="z203us">'[38]Qtr. Product Sales'!#REF!</definedName>
    <definedName name="z303eu" localSheetId="5">'[38]Qtr. Product Sales'!#REF!</definedName>
    <definedName name="z303eu" localSheetId="2">'[38]Qtr. Product Sales'!#REF!</definedName>
    <definedName name="z303eu">'[38]Qtr. Product Sales'!#REF!</definedName>
    <definedName name="z303us" localSheetId="5">'[38]Qtr. Product Sales'!#REF!</definedName>
    <definedName name="z303us" localSheetId="2">'[38]Qtr. Product Sales'!#REF!</definedName>
    <definedName name="z303us">'[38]Qtr. Product Sales'!#REF!</definedName>
    <definedName name="z403eu" localSheetId="5">'[38]Qtr. Product Sales'!#REF!</definedName>
    <definedName name="z403eu" localSheetId="2">'[38]Qtr. Product Sales'!#REF!</definedName>
    <definedName name="z403eu">'[38]Qtr. Product Sales'!#REF!</definedName>
    <definedName name="z403us" localSheetId="5">'[38]Qtr. Product Sales'!#REF!</definedName>
    <definedName name="z403us" localSheetId="2">'[38]Qtr. Product Sales'!#REF!</definedName>
    <definedName name="z403us">'[38]Qtr. Product Sales'!#REF!</definedName>
    <definedName name="zbhzdhzdfh" localSheetId="5">[7]NOPAT_VDF!#REF!</definedName>
    <definedName name="zbhzdhzdfh" localSheetId="2">[7]NOPAT_VDF!#REF!</definedName>
    <definedName name="zbhzdhzdfh">[7]NOPAT_VDF!#REF!</definedName>
    <definedName name="zith01" localSheetId="5">'[3]Qtr. Product Sales'!#REF!</definedName>
    <definedName name="zith01" localSheetId="2">'[3]Qtr. Product Sales'!#REF!</definedName>
    <definedName name="zith01">'[3]Qtr. Product Sales'!#REF!</definedName>
    <definedName name="zith02" localSheetId="5">'[3]Qtr. Product Sales'!#REF!</definedName>
    <definedName name="zith02" localSheetId="2">'[3]Qtr. Product Sales'!#REF!</definedName>
    <definedName name="zith02">'[3]Qtr. Product Sales'!#REF!</definedName>
    <definedName name="zoco01">'[44]Qtr. Product Sales'!$U$14</definedName>
    <definedName name="zoco02" localSheetId="5">'[32]Qtr. Product Sales'!#REF!</definedName>
    <definedName name="zoco02" localSheetId="2">'[32]Qtr. Product Sales'!#REF!</definedName>
    <definedName name="zoco02">'[32]Qtr. Product Sales'!#REF!</definedName>
    <definedName name="zolo01" localSheetId="5">'[3]Qtr. Product Sales'!#REF!</definedName>
    <definedName name="zolo01" localSheetId="2">'[3]Qtr. Product Sales'!#REF!</definedName>
    <definedName name="zolo01">'[3]Qtr. Product Sales'!#REF!</definedName>
    <definedName name="zolo02" localSheetId="5">'[3]Qtr. Product Sales'!#REF!</definedName>
    <definedName name="zolo02" localSheetId="2">'[3]Qtr. Product Sales'!#REF!</definedName>
    <definedName name="zolo02">'[3]Qtr. Product Sales'!#REF!</definedName>
    <definedName name="zvbgsd" localSheetId="5">[7]NOPAT_VDF!#REF!</definedName>
    <definedName name="zvbgsd" localSheetId="2">[7]NOPAT_VDF!#REF!</definedName>
    <definedName name="zvbgsd">[7]NOPAT_VDF!#REF!</definedName>
    <definedName name="zypr01">'[26]Qtr. Product Sales'!$U$18</definedName>
    <definedName name="zypr02">'[26]Qtr. Product Sales'!$Z$18</definedName>
    <definedName name="zyrt01" localSheetId="5">'[3]Qtr. Product Sales'!#REF!</definedName>
    <definedName name="zyrt01" localSheetId="2">'[3]Qtr. Product Sales'!#REF!</definedName>
    <definedName name="zyrt01">'[3]Qtr. Product Sales'!#REF!</definedName>
    <definedName name="zyrt02" localSheetId="5">'[3]Qtr. Product Sales'!#REF!</definedName>
    <definedName name="zyrt02" localSheetId="2">'[3]Qtr. Product Sales'!#REF!</definedName>
    <definedName name="zyrt02">'[3]Qtr. Product Sales'!#REF!</definedName>
  </definedNames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90" i="9" l="1"/>
  <c r="D100" i="9" s="1"/>
  <c r="F75" i="9"/>
  <c r="G74" i="9"/>
  <c r="G66" i="9"/>
  <c r="G65" i="9"/>
  <c r="H65" i="9"/>
  <c r="I65" i="9" s="1"/>
  <c r="J65" i="9" s="1"/>
  <c r="K65" i="9" s="1"/>
  <c r="L65" i="9" s="1"/>
  <c r="M65" i="9" s="1"/>
  <c r="N65" i="9" s="1"/>
  <c r="O65" i="9" s="1"/>
  <c r="P65" i="9" s="1"/>
  <c r="Q65" i="9" s="1"/>
  <c r="R65" i="9" s="1"/>
  <c r="S65" i="9" s="1"/>
  <c r="T65" i="9" s="1"/>
  <c r="L60" i="9"/>
  <c r="M60" i="9"/>
  <c r="N60" i="9"/>
  <c r="O60" i="9"/>
  <c r="P60" i="9" s="1"/>
  <c r="Q60" i="9" s="1"/>
  <c r="R60" i="9" s="1"/>
  <c r="S60" i="9" s="1"/>
  <c r="T60" i="9" s="1"/>
  <c r="J60" i="9"/>
  <c r="I60" i="9"/>
  <c r="H60" i="9"/>
  <c r="G60" i="9"/>
  <c r="G43" i="9"/>
  <c r="F43" i="9"/>
  <c r="E43" i="9"/>
  <c r="B37" i="9"/>
  <c r="B35" i="9"/>
  <c r="B33" i="9"/>
  <c r="B31" i="9"/>
  <c r="B28" i="9"/>
  <c r="D23" i="9"/>
  <c r="B23" i="9"/>
  <c r="E21" i="9"/>
  <c r="D21" i="9"/>
  <c r="B21" i="9"/>
  <c r="D19" i="9"/>
  <c r="B19" i="9"/>
  <c r="B17" i="9"/>
  <c r="B15" i="9"/>
  <c r="B13" i="9"/>
  <c r="B11" i="9"/>
  <c r="B9" i="9"/>
  <c r="B7" i="9"/>
  <c r="B5" i="9"/>
  <c r="AJ148" i="8"/>
  <c r="AJ150" i="8" s="1"/>
  <c r="AV124" i="8"/>
  <c r="AQ124" i="8"/>
  <c r="AO110" i="8"/>
  <c r="AN110" i="8"/>
  <c r="AM110" i="8"/>
  <c r="AK110" i="8"/>
  <c r="AJ110" i="8"/>
  <c r="AI110" i="8"/>
  <c r="AL110" i="8" s="1"/>
  <c r="AF110" i="8"/>
  <c r="AG110" i="8"/>
  <c r="AA110" i="8"/>
  <c r="AB110" i="8" s="1"/>
  <c r="V110" i="8"/>
  <c r="P110" i="8"/>
  <c r="AF108" i="8"/>
  <c r="AG108" i="8" s="1"/>
  <c r="AA108" i="8"/>
  <c r="AB108" i="8"/>
  <c r="V108" i="8"/>
  <c r="W108" i="8"/>
  <c r="AQ106" i="8"/>
  <c r="AL106" i="8"/>
  <c r="AG106" i="8"/>
  <c r="AB106" i="8"/>
  <c r="AV105" i="8"/>
  <c r="F63" i="9"/>
  <c r="AN105" i="8"/>
  <c r="AM105" i="8"/>
  <c r="AH105" i="8"/>
  <c r="AE105" i="8"/>
  <c r="AC105" i="8"/>
  <c r="Z105" i="8"/>
  <c r="Y105" i="8"/>
  <c r="T105" i="8"/>
  <c r="S105" i="8"/>
  <c r="P105" i="8"/>
  <c r="AU104" i="8"/>
  <c r="AU59" i="8"/>
  <c r="AT104" i="8"/>
  <c r="AS104" i="8"/>
  <c r="AR104" i="8"/>
  <c r="AP104" i="8"/>
  <c r="AL104" i="8"/>
  <c r="AF104" i="8"/>
  <c r="AG104" i="8" s="1"/>
  <c r="X104" i="8"/>
  <c r="Q104" i="8"/>
  <c r="R104" i="8"/>
  <c r="AP98" i="8"/>
  <c r="AO98" i="8"/>
  <c r="AN98" i="8"/>
  <c r="AM98" i="8"/>
  <c r="AI98" i="8"/>
  <c r="AH98" i="8"/>
  <c r="AG98" i="8"/>
  <c r="AF98" i="8"/>
  <c r="AE98" i="8"/>
  <c r="AD98" i="8"/>
  <c r="AC98" i="8"/>
  <c r="AA98" i="8"/>
  <c r="Z98" i="8"/>
  <c r="Y98" i="8"/>
  <c r="X98" i="8"/>
  <c r="V98" i="8"/>
  <c r="U98" i="8"/>
  <c r="T98" i="8"/>
  <c r="S98" i="8"/>
  <c r="Q98" i="8"/>
  <c r="P98" i="8"/>
  <c r="O98" i="8"/>
  <c r="N98" i="8"/>
  <c r="L98" i="8"/>
  <c r="K98" i="8"/>
  <c r="J98" i="8"/>
  <c r="I98" i="8"/>
  <c r="H98" i="8"/>
  <c r="G98" i="8"/>
  <c r="F98" i="8"/>
  <c r="E98" i="8"/>
  <c r="D98" i="8"/>
  <c r="C98" i="8"/>
  <c r="P96" i="8"/>
  <c r="P102" i="8" s="1"/>
  <c r="O96" i="8"/>
  <c r="N96" i="8"/>
  <c r="L96" i="8"/>
  <c r="L102" i="8" s="1"/>
  <c r="K96" i="8"/>
  <c r="J96" i="8"/>
  <c r="I96" i="8"/>
  <c r="I103" i="8" s="1"/>
  <c r="G96" i="8"/>
  <c r="F96" i="8"/>
  <c r="E96" i="8"/>
  <c r="E103" i="8" s="1"/>
  <c r="D96" i="8"/>
  <c r="D102" i="8"/>
  <c r="AO95" i="8"/>
  <c r="AO101" i="8" s="1"/>
  <c r="AF95" i="8"/>
  <c r="AF101" i="8"/>
  <c r="AD95" i="8"/>
  <c r="AD101" i="8" s="1"/>
  <c r="T95" i="8"/>
  <c r="T101" i="8"/>
  <c r="Q95" i="8"/>
  <c r="Q101" i="8" s="1"/>
  <c r="P95" i="8"/>
  <c r="P101" i="8"/>
  <c r="O95" i="8"/>
  <c r="O101" i="8" s="1"/>
  <c r="N95" i="8"/>
  <c r="N101" i="8"/>
  <c r="L95" i="8"/>
  <c r="L101" i="8" s="1"/>
  <c r="K95" i="8"/>
  <c r="K101" i="8"/>
  <c r="J95" i="8"/>
  <c r="J101" i="8" s="1"/>
  <c r="I95" i="8"/>
  <c r="G95" i="8"/>
  <c r="G101" i="8"/>
  <c r="F95" i="8"/>
  <c r="F101" i="8" s="1"/>
  <c r="E95" i="8"/>
  <c r="E101" i="8"/>
  <c r="D95" i="8"/>
  <c r="D101" i="8"/>
  <c r="BO92" i="8"/>
  <c r="BN92" i="8"/>
  <c r="BM92" i="8"/>
  <c r="BL92" i="8"/>
  <c r="BJ92" i="8"/>
  <c r="BI92" i="8"/>
  <c r="BH92" i="8"/>
  <c r="BG92" i="8"/>
  <c r="BE92" i="8"/>
  <c r="BD92" i="8"/>
  <c r="BC92" i="8"/>
  <c r="BB92" i="8"/>
  <c r="AZ92" i="8"/>
  <c r="AY92" i="8"/>
  <c r="AX92" i="8"/>
  <c r="AW92" i="8"/>
  <c r="BO89" i="8"/>
  <c r="BO91" i="8" s="1"/>
  <c r="BN89" i="8"/>
  <c r="BN91" i="8" s="1"/>
  <c r="BM89" i="8"/>
  <c r="BM91" i="8" s="1"/>
  <c r="BL89" i="8"/>
  <c r="BL91" i="8" s="1"/>
  <c r="BJ89" i="8"/>
  <c r="BJ91" i="8" s="1"/>
  <c r="BI89" i="8"/>
  <c r="BI91" i="8" s="1"/>
  <c r="BH89" i="8"/>
  <c r="BH91" i="8" s="1"/>
  <c r="BG89" i="8"/>
  <c r="BG91" i="8" s="1"/>
  <c r="BE89" i="8"/>
  <c r="BE91" i="8" s="1"/>
  <c r="BD89" i="8"/>
  <c r="BD91" i="8" s="1"/>
  <c r="BC89" i="8"/>
  <c r="BC91" i="8" s="1"/>
  <c r="BB89" i="8"/>
  <c r="BB91" i="8" s="1"/>
  <c r="AZ89" i="8"/>
  <c r="AZ91" i="8" s="1"/>
  <c r="AY89" i="8"/>
  <c r="AY91" i="8" s="1"/>
  <c r="AX89" i="8"/>
  <c r="AX91" i="8"/>
  <c r="AW89" i="8"/>
  <c r="AW91" i="8"/>
  <c r="AO88" i="8"/>
  <c r="AN88" i="8"/>
  <c r="AN89" i="8" s="1"/>
  <c r="AM88" i="8"/>
  <c r="AK88" i="8"/>
  <c r="AH88" i="8"/>
  <c r="AF88" i="8"/>
  <c r="AG88" i="8"/>
  <c r="AE88" i="8"/>
  <c r="AE89" i="8"/>
  <c r="AD88" i="8"/>
  <c r="AC88" i="8"/>
  <c r="AA88" i="8"/>
  <c r="AA89" i="8"/>
  <c r="Z88" i="8"/>
  <c r="Y88" i="8"/>
  <c r="X88" i="8"/>
  <c r="X89" i="8"/>
  <c r="V88" i="8"/>
  <c r="U88" i="8"/>
  <c r="T88" i="8"/>
  <c r="T89" i="8"/>
  <c r="S88" i="8"/>
  <c r="S89" i="8"/>
  <c r="Q88" i="8"/>
  <c r="R88" i="8" s="1"/>
  <c r="P88" i="8"/>
  <c r="O88" i="8"/>
  <c r="N88" i="8"/>
  <c r="L88" i="8"/>
  <c r="M88" i="8" s="1"/>
  <c r="K88" i="8"/>
  <c r="J88" i="8"/>
  <c r="I88" i="8"/>
  <c r="AO83" i="8"/>
  <c r="AN83" i="8"/>
  <c r="AM83" i="8"/>
  <c r="AK83" i="8"/>
  <c r="AH83" i="8"/>
  <c r="AF83" i="8"/>
  <c r="AE83" i="8"/>
  <c r="AF109" i="8" s="1"/>
  <c r="AD83" i="8"/>
  <c r="AC83" i="8"/>
  <c r="AA83" i="8"/>
  <c r="Z83" i="8"/>
  <c r="Y83" i="8"/>
  <c r="Y109" i="8"/>
  <c r="X83" i="8"/>
  <c r="X84" i="8" s="1"/>
  <c r="V83" i="8"/>
  <c r="U83" i="8"/>
  <c r="T83" i="8"/>
  <c r="T84" i="8" s="1"/>
  <c r="S83" i="8"/>
  <c r="Q83" i="8"/>
  <c r="P83" i="8"/>
  <c r="O83" i="8"/>
  <c r="N83" i="8"/>
  <c r="C83" i="8"/>
  <c r="AO82" i="8"/>
  <c r="AK82" i="8"/>
  <c r="AH82" i="8"/>
  <c r="AF82" i="8"/>
  <c r="AF84" i="8" s="1"/>
  <c r="AE82" i="8"/>
  <c r="AD82" i="8"/>
  <c r="AC82" i="8"/>
  <c r="AA82" i="8"/>
  <c r="Z82" i="8"/>
  <c r="Y82" i="8"/>
  <c r="X82" i="8"/>
  <c r="V82" i="8"/>
  <c r="U82" i="8"/>
  <c r="T82" i="8"/>
  <c r="S82" i="8"/>
  <c r="Q82" i="8"/>
  <c r="P82" i="8"/>
  <c r="P84" i="8" s="1"/>
  <c r="O82" i="8"/>
  <c r="N82" i="8"/>
  <c r="C82" i="8"/>
  <c r="AG80" i="8"/>
  <c r="T80" i="8"/>
  <c r="AL78" i="8"/>
  <c r="AH78" i="8"/>
  <c r="AG78" i="8"/>
  <c r="W78" i="8"/>
  <c r="U78" i="8"/>
  <c r="AV76" i="8"/>
  <c r="AM76" i="8"/>
  <c r="AQ76" i="8"/>
  <c r="AJ76" i="8"/>
  <c r="AI76" i="8"/>
  <c r="AD76" i="8"/>
  <c r="AF76" i="8"/>
  <c r="AA76" i="8"/>
  <c r="V76" i="8"/>
  <c r="Q76" i="8"/>
  <c r="L76" i="8"/>
  <c r="G76" i="8"/>
  <c r="N75" i="8"/>
  <c r="K75" i="8"/>
  <c r="I75" i="8"/>
  <c r="F75" i="8"/>
  <c r="E75" i="8"/>
  <c r="D75" i="8"/>
  <c r="AV74" i="8"/>
  <c r="AO74" i="8"/>
  <c r="AN74" i="8"/>
  <c r="AM74" i="8"/>
  <c r="AL74" i="8"/>
  <c r="AJ74" i="8"/>
  <c r="AI74" i="8"/>
  <c r="AK74" i="8" s="1"/>
  <c r="AH74" i="8"/>
  <c r="AG74" i="8"/>
  <c r="AE74" i="8"/>
  <c r="AD74" i="8"/>
  <c r="AC74" i="8"/>
  <c r="AB74" i="8"/>
  <c r="Z74" i="8"/>
  <c r="Y74" i="8"/>
  <c r="X74" i="8"/>
  <c r="W74" i="8"/>
  <c r="U74" i="8"/>
  <c r="T74" i="8"/>
  <c r="S74" i="8"/>
  <c r="R74" i="8"/>
  <c r="Q74" i="8" s="1"/>
  <c r="M74" i="8"/>
  <c r="L74" i="8" s="1"/>
  <c r="J74" i="8"/>
  <c r="H74" i="8"/>
  <c r="H75" i="8" s="1"/>
  <c r="G74" i="8"/>
  <c r="C74" i="8"/>
  <c r="AV73" i="8"/>
  <c r="AQ73" i="8"/>
  <c r="AK73" i="8"/>
  <c r="AF73" i="8"/>
  <c r="AA73" i="8"/>
  <c r="V73" i="8"/>
  <c r="Q73" i="8"/>
  <c r="L73" i="8"/>
  <c r="G73" i="8"/>
  <c r="AO72" i="8"/>
  <c r="AN72" i="8"/>
  <c r="AM72" i="8"/>
  <c r="AL72" i="8"/>
  <c r="AJ72" i="8"/>
  <c r="AI72" i="8"/>
  <c r="AG72" i="8"/>
  <c r="AE72" i="8"/>
  <c r="AD72" i="8"/>
  <c r="AC72" i="8"/>
  <c r="AB72" i="8"/>
  <c r="Z72" i="8"/>
  <c r="Y72" i="8"/>
  <c r="AA72" i="8" s="1"/>
  <c r="X72" i="8"/>
  <c r="W72" i="8"/>
  <c r="U72" i="8"/>
  <c r="T72" i="8"/>
  <c r="S72" i="8"/>
  <c r="R72" i="8"/>
  <c r="Q72" i="8" s="1"/>
  <c r="J72" i="8"/>
  <c r="G72" i="8"/>
  <c r="C72" i="8"/>
  <c r="AR71" i="8"/>
  <c r="AV71" i="8"/>
  <c r="AO71" i="8"/>
  <c r="AO75" i="8"/>
  <c r="AN71" i="8"/>
  <c r="AN75" i="8" s="1"/>
  <c r="AM71" i="8"/>
  <c r="AL71" i="8"/>
  <c r="AJ71" i="8"/>
  <c r="AI71" i="8"/>
  <c r="AH71" i="8"/>
  <c r="AG71" i="8"/>
  <c r="AE71" i="8"/>
  <c r="AD71" i="8"/>
  <c r="AD75" i="8" s="1"/>
  <c r="AC71" i="8"/>
  <c r="AB71" i="8"/>
  <c r="AB75" i="8" s="1"/>
  <c r="Z71" i="8"/>
  <c r="Z75" i="8" s="1"/>
  <c r="Y71" i="8"/>
  <c r="X71" i="8"/>
  <c r="W71" i="8"/>
  <c r="U71" i="8"/>
  <c r="T71" i="8"/>
  <c r="T75" i="8"/>
  <c r="S71" i="8"/>
  <c r="R71" i="8"/>
  <c r="R75" i="8" s="1"/>
  <c r="P71" i="8"/>
  <c r="P75" i="8" s="1"/>
  <c r="O71" i="8"/>
  <c r="M71" i="8"/>
  <c r="L71" i="8" s="1"/>
  <c r="J71" i="8"/>
  <c r="G71" i="8"/>
  <c r="G75" i="8"/>
  <c r="C71" i="8"/>
  <c r="AO69" i="8"/>
  <c r="AB69" i="8"/>
  <c r="N69" i="8"/>
  <c r="AU68" i="8"/>
  <c r="AV68" i="8" s="1"/>
  <c r="F66" i="9" s="1"/>
  <c r="AP68" i="8"/>
  <c r="AP69" i="8" s="1"/>
  <c r="AN68" i="8"/>
  <c r="AN69" i="8" s="1"/>
  <c r="AM68" i="8"/>
  <c r="AL68" i="8"/>
  <c r="AL69" i="8" s="1"/>
  <c r="AJ68" i="8"/>
  <c r="AI68" i="8"/>
  <c r="AH68" i="8"/>
  <c r="AH69" i="8" s="1"/>
  <c r="AG68" i="8"/>
  <c r="AG69" i="8" s="1"/>
  <c r="AE68" i="8"/>
  <c r="AE69" i="8" s="1"/>
  <c r="AD68" i="8"/>
  <c r="AC68" i="8"/>
  <c r="AC69" i="8"/>
  <c r="AB68" i="8"/>
  <c r="Z68" i="8"/>
  <c r="Y68" i="8"/>
  <c r="X68" i="8"/>
  <c r="X69" i="8" s="1"/>
  <c r="W68" i="8"/>
  <c r="U68" i="8"/>
  <c r="U69" i="8" s="1"/>
  <c r="T68" i="8"/>
  <c r="T69" i="8" s="1"/>
  <c r="S68" i="8"/>
  <c r="S69" i="8" s="1"/>
  <c r="R68" i="8"/>
  <c r="P68" i="8"/>
  <c r="P69" i="8" s="1"/>
  <c r="O68" i="8"/>
  <c r="N68" i="8"/>
  <c r="M68" i="8"/>
  <c r="M69" i="8" s="1"/>
  <c r="K68" i="8"/>
  <c r="J68" i="8"/>
  <c r="J69" i="8"/>
  <c r="I68" i="8"/>
  <c r="I69" i="8"/>
  <c r="H68" i="8"/>
  <c r="H69" i="8"/>
  <c r="F68" i="8"/>
  <c r="F69" i="8"/>
  <c r="E68" i="8"/>
  <c r="E69" i="8"/>
  <c r="D68" i="8"/>
  <c r="D69" i="8" s="1"/>
  <c r="C68" i="8"/>
  <c r="C69" i="8" s="1"/>
  <c r="AU67" i="8"/>
  <c r="AU69" i="8" s="1"/>
  <c r="AT67" i="8"/>
  <c r="AT69" i="8" s="1"/>
  <c r="AS67" i="8"/>
  <c r="AS69" i="8"/>
  <c r="AR67" i="8"/>
  <c r="AR69" i="8"/>
  <c r="AQ67" i="8"/>
  <c r="E67" i="9"/>
  <c r="AL67" i="8"/>
  <c r="D67" i="9"/>
  <c r="AJ67" i="8"/>
  <c r="AJ69" i="8" s="1"/>
  <c r="AI67" i="8"/>
  <c r="AI69" i="8" s="1"/>
  <c r="AD67" i="8"/>
  <c r="AB67" i="8"/>
  <c r="AA67" i="8"/>
  <c r="Z67" i="8"/>
  <c r="Z69" i="8"/>
  <c r="V67" i="8"/>
  <c r="R67" i="8"/>
  <c r="Q67" i="8" s="1"/>
  <c r="K67" i="8"/>
  <c r="G67" i="8"/>
  <c r="AO64" i="8"/>
  <c r="AN64" i="8"/>
  <c r="AM64" i="8"/>
  <c r="AL64" i="8"/>
  <c r="AJ64" i="8"/>
  <c r="AI64" i="8"/>
  <c r="AH64" i="8"/>
  <c r="AG64" i="8"/>
  <c r="AE64" i="8"/>
  <c r="AD64" i="8"/>
  <c r="AC64" i="8"/>
  <c r="AB64" i="8"/>
  <c r="Z64" i="8"/>
  <c r="Z65" i="8"/>
  <c r="Z86" i="8" s="1"/>
  <c r="AA115" i="8" s="1"/>
  <c r="AA121" i="8" s="1"/>
  <c r="Y64" i="8"/>
  <c r="X64" i="8"/>
  <c r="X65" i="8"/>
  <c r="X86" i="8" s="1"/>
  <c r="W64" i="8"/>
  <c r="U64" i="8"/>
  <c r="T64" i="8"/>
  <c r="S64" i="8"/>
  <c r="R64" i="8"/>
  <c r="P64" i="8"/>
  <c r="O64" i="8"/>
  <c r="N64" i="8"/>
  <c r="M64" i="8"/>
  <c r="K64" i="8"/>
  <c r="J64" i="8"/>
  <c r="I64" i="8"/>
  <c r="H64" i="8"/>
  <c r="F64" i="8"/>
  <c r="E64" i="8"/>
  <c r="D64" i="8"/>
  <c r="C64" i="8"/>
  <c r="AV63" i="8"/>
  <c r="BA63" i="8" s="1"/>
  <c r="BF63" i="8" s="1"/>
  <c r="BK63" i="8" s="1"/>
  <c r="BP63" i="8" s="1"/>
  <c r="AO63" i="8"/>
  <c r="AN63" i="8"/>
  <c r="AN65" i="8"/>
  <c r="AN86" i="8" s="1"/>
  <c r="AO115" i="8" s="1"/>
  <c r="AM63" i="8"/>
  <c r="AL63" i="8"/>
  <c r="AL65" i="8" s="1"/>
  <c r="AJ63" i="8"/>
  <c r="AI63" i="8"/>
  <c r="AH63" i="8"/>
  <c r="AG63" i="8"/>
  <c r="AE63" i="8"/>
  <c r="AD63" i="8"/>
  <c r="AC63" i="8"/>
  <c r="AC65" i="8"/>
  <c r="AC86" i="8" s="1"/>
  <c r="AB63" i="8"/>
  <c r="Z63" i="8"/>
  <c r="Y63" i="8"/>
  <c r="X63" i="8"/>
  <c r="W63" i="8"/>
  <c r="U63" i="8"/>
  <c r="T63" i="8"/>
  <c r="S63" i="8"/>
  <c r="R63" i="8"/>
  <c r="Q63" i="8" s="1"/>
  <c r="P63" i="8"/>
  <c r="P65" i="8" s="1"/>
  <c r="P86" i="8" s="1"/>
  <c r="O63" i="8"/>
  <c r="O65" i="8"/>
  <c r="O86" i="8" s="1"/>
  <c r="N63" i="8"/>
  <c r="M63" i="8"/>
  <c r="K63" i="8"/>
  <c r="J63" i="8"/>
  <c r="I63" i="8"/>
  <c r="I65" i="8" s="1"/>
  <c r="I86" i="8" s="1"/>
  <c r="H63" i="8"/>
  <c r="H65" i="8"/>
  <c r="H86" i="8" s="1"/>
  <c r="F63" i="8"/>
  <c r="E63" i="8"/>
  <c r="E65" i="8"/>
  <c r="D63" i="8"/>
  <c r="C63" i="8"/>
  <c r="C65" i="8" s="1"/>
  <c r="AV62" i="8"/>
  <c r="F65" i="9" s="1"/>
  <c r="AQ62" i="8"/>
  <c r="E65" i="9" s="1"/>
  <c r="AV61" i="8"/>
  <c r="BA61" i="8" s="1"/>
  <c r="BF61" i="8" s="1"/>
  <c r="BK61" i="8" s="1"/>
  <c r="BP61" i="8" s="1"/>
  <c r="AQ61" i="8"/>
  <c r="AJ61" i="8"/>
  <c r="AI61" i="8"/>
  <c r="AK61" i="8" s="1"/>
  <c r="AD61" i="8"/>
  <c r="AF61" i="8" s="1"/>
  <c r="AA61" i="8"/>
  <c r="V61" i="8"/>
  <c r="Q61" i="8"/>
  <c r="L61" i="8"/>
  <c r="G61" i="8"/>
  <c r="AU60" i="8"/>
  <c r="AT60" i="8"/>
  <c r="AS60" i="8"/>
  <c r="AR60" i="8"/>
  <c r="AQ60" i="8"/>
  <c r="AJ60" i="8"/>
  <c r="AI60" i="8"/>
  <c r="AK60" i="8" s="1"/>
  <c r="AD60" i="8"/>
  <c r="AF60" i="8" s="1"/>
  <c r="AA60" i="8"/>
  <c r="V60" i="8"/>
  <c r="Q60" i="8"/>
  <c r="L60" i="8"/>
  <c r="G60" i="8"/>
  <c r="AT59" i="8"/>
  <c r="AS59" i="8"/>
  <c r="AR59" i="8"/>
  <c r="AO59" i="8"/>
  <c r="AJ59" i="8"/>
  <c r="AJ105" i="8"/>
  <c r="AI59" i="8"/>
  <c r="AD59" i="8"/>
  <c r="AD105" i="8" s="1"/>
  <c r="AA59" i="8"/>
  <c r="V59" i="8"/>
  <c r="Q59" i="8"/>
  <c r="L59" i="8"/>
  <c r="G59" i="8"/>
  <c r="AJ58" i="8"/>
  <c r="AI58" i="8"/>
  <c r="AD58" i="8"/>
  <c r="AF58" i="8"/>
  <c r="AA58" i="8"/>
  <c r="V58" i="8"/>
  <c r="Q58" i="8"/>
  <c r="L58" i="8"/>
  <c r="G58" i="8"/>
  <c r="AP52" i="8"/>
  <c r="AQ52" i="8" s="1"/>
  <c r="AR52" i="8" s="1"/>
  <c r="AS52" i="8" s="1"/>
  <c r="AT52" i="8" s="1"/>
  <c r="AU52" i="8" s="1"/>
  <c r="AV52" i="8" s="1"/>
  <c r="BA52" i="8" s="1"/>
  <c r="BF52" i="8" s="1"/>
  <c r="BK52" i="8" s="1"/>
  <c r="BP52" i="8" s="1"/>
  <c r="AL52" i="8"/>
  <c r="AJ52" i="8"/>
  <c r="AI52" i="8"/>
  <c r="AG52" i="8"/>
  <c r="Z52" i="8"/>
  <c r="AA52" i="8"/>
  <c r="AB52" i="8" s="1"/>
  <c r="AC52" i="8" s="1"/>
  <c r="AD52" i="8" s="1"/>
  <c r="W52" i="8"/>
  <c r="R52" i="8"/>
  <c r="O51" i="8"/>
  <c r="N51" i="8"/>
  <c r="L51" i="8"/>
  <c r="K51" i="8"/>
  <c r="J51" i="8"/>
  <c r="I51" i="8"/>
  <c r="G51" i="8"/>
  <c r="F51" i="8"/>
  <c r="E51" i="8"/>
  <c r="D51" i="8"/>
  <c r="C51" i="8"/>
  <c r="AP50" i="8"/>
  <c r="AQ50" i="8"/>
  <c r="AR50" i="8" s="1"/>
  <c r="AS50" i="8" s="1"/>
  <c r="AT50" i="8" s="1"/>
  <c r="AU50" i="8" s="1"/>
  <c r="AV50" i="8" s="1"/>
  <c r="BA50" i="8" s="1"/>
  <c r="BF50" i="8" s="1"/>
  <c r="BK50" i="8" s="1"/>
  <c r="BP50" i="8" s="1"/>
  <c r="AL50" i="8"/>
  <c r="AJ50" i="8"/>
  <c r="AI50" i="8"/>
  <c r="AG50" i="8"/>
  <c r="AB50" i="8"/>
  <c r="W50" i="8"/>
  <c r="R50" i="8"/>
  <c r="M50" i="8"/>
  <c r="H50" i="8"/>
  <c r="BE49" i="8"/>
  <c r="BJ49" i="8"/>
  <c r="BO49" i="8" s="1"/>
  <c r="BD49" i="8"/>
  <c r="BI49" i="8" s="1"/>
  <c r="BN49" i="8" s="1"/>
  <c r="BC49" i="8"/>
  <c r="BH49" i="8"/>
  <c r="BM49" i="8" s="1"/>
  <c r="BB49" i="8"/>
  <c r="BG49" i="8" s="1"/>
  <c r="BL49" i="8" s="1"/>
  <c r="AL49" i="8"/>
  <c r="AJ49" i="8"/>
  <c r="AI49" i="8"/>
  <c r="AG49" i="8"/>
  <c r="AB49" i="8"/>
  <c r="W49" i="8"/>
  <c r="R49" i="8"/>
  <c r="M49" i="8"/>
  <c r="H49" i="8"/>
  <c r="AO48" i="8"/>
  <c r="AO51" i="8" s="1"/>
  <c r="AN48" i="8"/>
  <c r="AN51" i="8" s="1"/>
  <c r="AM48" i="8"/>
  <c r="AM51" i="8"/>
  <c r="AK48" i="8"/>
  <c r="AK51" i="8" s="1"/>
  <c r="AJ48" i="8"/>
  <c r="AJ51" i="8" s="1"/>
  <c r="AI48" i="8"/>
  <c r="AH48" i="8"/>
  <c r="AH51" i="8"/>
  <c r="AF48" i="8"/>
  <c r="AG48" i="8"/>
  <c r="AE48" i="8"/>
  <c r="AE51" i="8"/>
  <c r="AD48" i="8"/>
  <c r="AD51" i="8"/>
  <c r="AC48" i="8"/>
  <c r="AC51" i="8" s="1"/>
  <c r="AA48" i="8"/>
  <c r="AA51" i="8" s="1"/>
  <c r="Z48" i="8"/>
  <c r="Z51" i="8" s="1"/>
  <c r="Y48" i="8"/>
  <c r="Y51" i="8"/>
  <c r="X48" i="8"/>
  <c r="X51" i="8"/>
  <c r="V48" i="8"/>
  <c r="U48" i="8"/>
  <c r="U51" i="8" s="1"/>
  <c r="T48" i="8"/>
  <c r="T51" i="8" s="1"/>
  <c r="S48" i="8"/>
  <c r="S51" i="8"/>
  <c r="Q48" i="8"/>
  <c r="P48" i="8"/>
  <c r="P51" i="8" s="1"/>
  <c r="M48" i="8"/>
  <c r="H48" i="8"/>
  <c r="AO45" i="8"/>
  <c r="AE45" i="8"/>
  <c r="Q45" i="8"/>
  <c r="P45" i="8"/>
  <c r="O45" i="8"/>
  <c r="N45" i="8"/>
  <c r="L45" i="8"/>
  <c r="K45" i="8"/>
  <c r="K46" i="8" s="1"/>
  <c r="J45" i="8"/>
  <c r="I45" i="8"/>
  <c r="G45" i="8"/>
  <c r="F45" i="8"/>
  <c r="E45" i="8"/>
  <c r="D45" i="8"/>
  <c r="C45" i="8"/>
  <c r="AP44" i="8"/>
  <c r="AQ44" i="8"/>
  <c r="AR44" i="8" s="1"/>
  <c r="AS44" i="8" s="1"/>
  <c r="AT44" i="8" s="1"/>
  <c r="AU44" i="8" s="1"/>
  <c r="AV44" i="8" s="1"/>
  <c r="BA44" i="8" s="1"/>
  <c r="BF44" i="8" s="1"/>
  <c r="BK44" i="8" s="1"/>
  <c r="BP44" i="8" s="1"/>
  <c r="AN44" i="8"/>
  <c r="AM44" i="8"/>
  <c r="AK44" i="8"/>
  <c r="AL44" i="8" s="1"/>
  <c r="AJ44" i="8"/>
  <c r="AI44" i="8"/>
  <c r="AH44" i="8"/>
  <c r="AH45" i="8" s="1"/>
  <c r="AF44" i="8"/>
  <c r="AE44" i="8"/>
  <c r="AD44" i="8"/>
  <c r="AD45" i="8" s="1"/>
  <c r="AC44" i="8"/>
  <c r="AC45" i="8" s="1"/>
  <c r="AB44" i="8"/>
  <c r="AA44" i="8"/>
  <c r="AA45" i="8" s="1"/>
  <c r="AA46" i="8" s="1"/>
  <c r="Z44" i="8"/>
  <c r="Z45" i="8" s="1"/>
  <c r="Y44" i="8"/>
  <c r="Y45" i="8"/>
  <c r="X44" i="8"/>
  <c r="X45" i="8"/>
  <c r="V44" i="8"/>
  <c r="V45" i="8" s="1"/>
  <c r="U44" i="8"/>
  <c r="U45" i="8" s="1"/>
  <c r="T44" i="8"/>
  <c r="T45" i="8" s="1"/>
  <c r="S44" i="8"/>
  <c r="S45" i="8" s="1"/>
  <c r="R44" i="8"/>
  <c r="M44" i="8"/>
  <c r="H44" i="8"/>
  <c r="AP43" i="8"/>
  <c r="AQ43" i="8" s="1"/>
  <c r="AR43" i="8" s="1"/>
  <c r="AS43" i="8" s="1"/>
  <c r="AT43" i="8" s="1"/>
  <c r="AU43" i="8" s="1"/>
  <c r="AV43" i="8" s="1"/>
  <c r="AL43" i="8"/>
  <c r="AJ43" i="8"/>
  <c r="AI43" i="8"/>
  <c r="AG43" i="8"/>
  <c r="AB43" i="8"/>
  <c r="W43" i="8"/>
  <c r="R43" i="8"/>
  <c r="AP42" i="8"/>
  <c r="AQ42" i="8" s="1"/>
  <c r="AL42" i="8"/>
  <c r="AJ42" i="8"/>
  <c r="AJ45" i="8"/>
  <c r="AI42" i="8"/>
  <c r="AG42" i="8"/>
  <c r="AB42" i="8"/>
  <c r="W42" i="8"/>
  <c r="R42" i="8"/>
  <c r="M42" i="8"/>
  <c r="H42" i="8"/>
  <c r="AP41" i="8"/>
  <c r="AQ41" i="8" s="1"/>
  <c r="AR41" i="8" s="1"/>
  <c r="AS41" i="8" s="1"/>
  <c r="AT41" i="8" s="1"/>
  <c r="AU41" i="8" s="1"/>
  <c r="AV41" i="8" s="1"/>
  <c r="BA41" i="8" s="1"/>
  <c r="BF41" i="8" s="1"/>
  <c r="BK41" i="8" s="1"/>
  <c r="BP41" i="8" s="1"/>
  <c r="AK41" i="8"/>
  <c r="AG41" i="8"/>
  <c r="AB41" i="8"/>
  <c r="W41" i="8"/>
  <c r="R41" i="8"/>
  <c r="M41" i="8"/>
  <c r="H41" i="8"/>
  <c r="AP40" i="8"/>
  <c r="AQ40" i="8" s="1"/>
  <c r="AR40" i="8" s="1"/>
  <c r="AK40" i="8"/>
  <c r="AG40" i="8"/>
  <c r="AB40" i="8"/>
  <c r="W40" i="8"/>
  <c r="R40" i="8"/>
  <c r="M40" i="8"/>
  <c r="H40" i="8"/>
  <c r="AO39" i="8"/>
  <c r="AO46" i="8" s="1"/>
  <c r="AH39" i="8"/>
  <c r="AF39" i="8"/>
  <c r="AE39" i="8"/>
  <c r="AD39" i="8"/>
  <c r="AC39" i="8"/>
  <c r="AA39" i="8"/>
  <c r="Z39" i="8"/>
  <c r="Y39" i="8"/>
  <c r="X39" i="8"/>
  <c r="V39" i="8"/>
  <c r="U39" i="8"/>
  <c r="Q46" i="8"/>
  <c r="P39" i="8"/>
  <c r="P46" i="8" s="1"/>
  <c r="O39" i="8"/>
  <c r="N39" i="8"/>
  <c r="L39" i="8"/>
  <c r="K39" i="8"/>
  <c r="J39" i="8"/>
  <c r="J46" i="8" s="1"/>
  <c r="I39" i="8"/>
  <c r="G39" i="8"/>
  <c r="F39" i="8"/>
  <c r="AP38" i="8"/>
  <c r="AQ38" i="8"/>
  <c r="AR38" i="8" s="1"/>
  <c r="AS38" i="8"/>
  <c r="AT38" i="8" s="1"/>
  <c r="AU38" i="8" s="1"/>
  <c r="AV38" i="8" s="1"/>
  <c r="BA38" i="8" s="1"/>
  <c r="BF38" i="8" s="1"/>
  <c r="BK38" i="8" s="1"/>
  <c r="BP38" i="8" s="1"/>
  <c r="AL38" i="8"/>
  <c r="AK38" i="8"/>
  <c r="AM38" i="8"/>
  <c r="AN38" i="8" s="1"/>
  <c r="AI38" i="8"/>
  <c r="AG38" i="8"/>
  <c r="AB38" i="8"/>
  <c r="W38" i="8"/>
  <c r="T38" i="8"/>
  <c r="T39" i="8" s="1"/>
  <c r="R38" i="8"/>
  <c r="M38" i="8"/>
  <c r="H38" i="8"/>
  <c r="AP37" i="8"/>
  <c r="AQ37" i="8"/>
  <c r="AR37" i="8" s="1"/>
  <c r="AS37" i="8" s="1"/>
  <c r="AT37" i="8" s="1"/>
  <c r="AU37" i="8" s="1"/>
  <c r="AV37" i="8" s="1"/>
  <c r="BA37" i="8" s="1"/>
  <c r="BF37" i="8" s="1"/>
  <c r="BK37" i="8" s="1"/>
  <c r="BP37" i="8" s="1"/>
  <c r="AK37" i="8"/>
  <c r="AG37" i="8"/>
  <c r="AB37" i="8"/>
  <c r="W37" i="8"/>
  <c r="AP36" i="8"/>
  <c r="AQ36" i="8" s="1"/>
  <c r="AR36" i="8" s="1"/>
  <c r="AS36" i="8" s="1"/>
  <c r="AT36" i="8" s="1"/>
  <c r="AU36" i="8" s="1"/>
  <c r="AV36" i="8" s="1"/>
  <c r="BA36" i="8" s="1"/>
  <c r="BF36" i="8" s="1"/>
  <c r="BK36" i="8" s="1"/>
  <c r="BP36" i="8" s="1"/>
  <c r="AL36" i="8"/>
  <c r="AJ36" i="8"/>
  <c r="AI36" i="8"/>
  <c r="AG36" i="8"/>
  <c r="AB36" i="8"/>
  <c r="W36" i="8"/>
  <c r="AP35" i="8"/>
  <c r="AP83" i="8" s="1"/>
  <c r="AL35" i="8"/>
  <c r="AJ35" i="8"/>
  <c r="AI35" i="8"/>
  <c r="AG35" i="8"/>
  <c r="AG83" i="8"/>
  <c r="AB35" i="8"/>
  <c r="W35" i="8"/>
  <c r="R35" i="8"/>
  <c r="M35" i="8"/>
  <c r="M83" i="8"/>
  <c r="H35" i="8"/>
  <c r="AP34" i="8"/>
  <c r="AQ34" i="8"/>
  <c r="AR34" i="8"/>
  <c r="AS34" i="8" s="1"/>
  <c r="AT34" i="8" s="1"/>
  <c r="AU34" i="8" s="1"/>
  <c r="AV34" i="8" s="1"/>
  <c r="BA34" i="8" s="1"/>
  <c r="BF34" i="8" s="1"/>
  <c r="BK34" i="8" s="1"/>
  <c r="BP34" i="8" s="1"/>
  <c r="AL34" i="8"/>
  <c r="AJ34" i="8"/>
  <c r="AI34" i="8"/>
  <c r="AG34" i="8"/>
  <c r="AB34" i="8"/>
  <c r="W34" i="8"/>
  <c r="S34" i="8"/>
  <c r="S39" i="8"/>
  <c r="Q34" i="8"/>
  <c r="Q39" i="8" s="1"/>
  <c r="AP33" i="8"/>
  <c r="AQ33" i="8"/>
  <c r="AR33" i="8" s="1"/>
  <c r="AS33" i="8" s="1"/>
  <c r="AT33" i="8" s="1"/>
  <c r="AU33" i="8" s="1"/>
  <c r="AV33" i="8" s="1"/>
  <c r="BA33" i="8" s="1"/>
  <c r="BF33" i="8" s="1"/>
  <c r="BK33" i="8" s="1"/>
  <c r="BP33" i="8" s="1"/>
  <c r="AK33" i="8"/>
  <c r="AM33" i="8"/>
  <c r="AN33" i="8"/>
  <c r="AG33" i="8"/>
  <c r="AB33" i="8"/>
  <c r="W33" i="8"/>
  <c r="R33" i="8"/>
  <c r="M33" i="8"/>
  <c r="H33" i="8"/>
  <c r="AP32" i="8"/>
  <c r="AQ32" i="8"/>
  <c r="AR32" i="8" s="1"/>
  <c r="AS32" i="8" s="1"/>
  <c r="AT32" i="8" s="1"/>
  <c r="AU32" i="8" s="1"/>
  <c r="AV32" i="8" s="1"/>
  <c r="BA32" i="8" s="1"/>
  <c r="BF32" i="8" s="1"/>
  <c r="BK32" i="8" s="1"/>
  <c r="BP32" i="8" s="1"/>
  <c r="AK32" i="8"/>
  <c r="AG32" i="8"/>
  <c r="AB32" i="8"/>
  <c r="W32" i="8"/>
  <c r="R32" i="8"/>
  <c r="M32" i="8"/>
  <c r="H32" i="8"/>
  <c r="AP31" i="8"/>
  <c r="AQ31" i="8" s="1"/>
  <c r="AR31" i="8" s="1"/>
  <c r="AS31" i="8" s="1"/>
  <c r="AT31" i="8" s="1"/>
  <c r="AU31" i="8" s="1"/>
  <c r="AV31" i="8" s="1"/>
  <c r="BA31" i="8" s="1"/>
  <c r="BF31" i="8" s="1"/>
  <c r="BK31" i="8" s="1"/>
  <c r="BP31" i="8" s="1"/>
  <c r="AM31" i="8"/>
  <c r="AN31" i="8" s="1"/>
  <c r="AK31" i="8"/>
  <c r="AL31" i="8" s="1"/>
  <c r="AG31" i="8"/>
  <c r="AB31" i="8"/>
  <c r="W31" i="8"/>
  <c r="R31" i="8"/>
  <c r="M31" i="8"/>
  <c r="H31" i="8"/>
  <c r="E31" i="8"/>
  <c r="E39" i="8"/>
  <c r="E46" i="8"/>
  <c r="D31" i="8"/>
  <c r="D39" i="8"/>
  <c r="C31" i="8"/>
  <c r="C39" i="8"/>
  <c r="AP30" i="8"/>
  <c r="AQ30" i="8" s="1"/>
  <c r="AR30" i="8" s="1"/>
  <c r="AS30" i="8" s="1"/>
  <c r="AT30" i="8" s="1"/>
  <c r="AU30" i="8" s="1"/>
  <c r="AV30" i="8" s="1"/>
  <c r="BA30" i="8" s="1"/>
  <c r="BF30" i="8" s="1"/>
  <c r="BK30" i="8" s="1"/>
  <c r="BP30" i="8" s="1"/>
  <c r="AL30" i="8"/>
  <c r="AJ30" i="8"/>
  <c r="AI30" i="8"/>
  <c r="AG30" i="8"/>
  <c r="AB30" i="8"/>
  <c r="W30" i="8"/>
  <c r="R30" i="8"/>
  <c r="M30" i="8"/>
  <c r="H30" i="8"/>
  <c r="AP29" i="8"/>
  <c r="AQ29" i="8" s="1"/>
  <c r="AR29" i="8" s="1"/>
  <c r="AS29" i="8" s="1"/>
  <c r="AT29" i="8" s="1"/>
  <c r="AU29" i="8" s="1"/>
  <c r="AV29" i="8" s="1"/>
  <c r="AM29" i="8"/>
  <c r="AL29" i="8"/>
  <c r="AJ29" i="8"/>
  <c r="AG29" i="8"/>
  <c r="AB29" i="8"/>
  <c r="W29" i="8"/>
  <c r="R29" i="8"/>
  <c r="M29" i="8"/>
  <c r="H29" i="8"/>
  <c r="AL28" i="8"/>
  <c r="AJ28" i="8"/>
  <c r="AI28" i="8"/>
  <c r="AG28" i="8"/>
  <c r="AG39" i="8" s="1"/>
  <c r="AB28" i="8"/>
  <c r="W28" i="8"/>
  <c r="R28" i="8"/>
  <c r="M28" i="8"/>
  <c r="H28" i="8"/>
  <c r="AH25" i="8"/>
  <c r="AF25" i="8"/>
  <c r="AE25" i="8"/>
  <c r="AD25" i="8"/>
  <c r="AC25" i="8"/>
  <c r="AA25" i="8"/>
  <c r="Z25" i="8"/>
  <c r="X25" i="8"/>
  <c r="V25" i="8"/>
  <c r="U25" i="8"/>
  <c r="T25" i="8"/>
  <c r="S25" i="8"/>
  <c r="Q25" i="8"/>
  <c r="P25" i="8"/>
  <c r="O25" i="8"/>
  <c r="O26" i="8" s="1"/>
  <c r="N25" i="8"/>
  <c r="L25" i="8"/>
  <c r="L26" i="8" s="1"/>
  <c r="K25" i="8"/>
  <c r="AP24" i="8"/>
  <c r="AQ24" i="8"/>
  <c r="AR24" i="8"/>
  <c r="AS24" i="8" s="1"/>
  <c r="AT24" i="8" s="1"/>
  <c r="AU24" i="8" s="1"/>
  <c r="AV24" i="8" s="1"/>
  <c r="BA24" i="8" s="1"/>
  <c r="BF24" i="8" s="1"/>
  <c r="BK24" i="8" s="1"/>
  <c r="BP24" i="8" s="1"/>
  <c r="AL24" i="8"/>
  <c r="AJ24" i="8"/>
  <c r="AI24" i="8"/>
  <c r="AG24" i="8"/>
  <c r="AB24" i="8"/>
  <c r="Y24" i="8"/>
  <c r="Y25" i="8"/>
  <c r="W24" i="8"/>
  <c r="R24" i="8"/>
  <c r="M24" i="8"/>
  <c r="J24" i="8"/>
  <c r="J25" i="8" s="1"/>
  <c r="I24" i="8"/>
  <c r="I25" i="8"/>
  <c r="G24" i="8"/>
  <c r="H24" i="8" s="1"/>
  <c r="F24" i="8"/>
  <c r="F25" i="8"/>
  <c r="E24" i="8"/>
  <c r="E25" i="8" s="1"/>
  <c r="D24" i="8"/>
  <c r="D25" i="8"/>
  <c r="C24" i="8"/>
  <c r="C25" i="8" s="1"/>
  <c r="AP23" i="8"/>
  <c r="AQ23" i="8"/>
  <c r="AR23" i="8" s="1"/>
  <c r="AS23" i="8" s="1"/>
  <c r="AT23" i="8" s="1"/>
  <c r="AU23" i="8" s="1"/>
  <c r="AV23" i="8" s="1"/>
  <c r="BA23" i="8" s="1"/>
  <c r="BF23" i="8" s="1"/>
  <c r="BK23" i="8" s="1"/>
  <c r="BP23" i="8" s="1"/>
  <c r="AL23" i="8"/>
  <c r="AJ23" i="8"/>
  <c r="AI23" i="8"/>
  <c r="AG23" i="8"/>
  <c r="AB23" i="8"/>
  <c r="W23" i="8"/>
  <c r="R23" i="8"/>
  <c r="M23" i="8"/>
  <c r="H23" i="8"/>
  <c r="AP22" i="8"/>
  <c r="AQ22" i="8" s="1"/>
  <c r="AR22" i="8" s="1"/>
  <c r="AS22" i="8" s="1"/>
  <c r="AT22" i="8" s="1"/>
  <c r="AU22" i="8" s="1"/>
  <c r="AV22" i="8" s="1"/>
  <c r="BA22" i="8" s="1"/>
  <c r="BF22" i="8" s="1"/>
  <c r="BK22" i="8" s="1"/>
  <c r="BP22" i="8" s="1"/>
  <c r="AL22" i="8"/>
  <c r="AJ22" i="8"/>
  <c r="AI22" i="8"/>
  <c r="AG22" i="8"/>
  <c r="AB22" i="8"/>
  <c r="W22" i="8"/>
  <c r="R22" i="8"/>
  <c r="R25" i="8" s="1"/>
  <c r="M22" i="8"/>
  <c r="H22" i="8"/>
  <c r="AL21" i="8"/>
  <c r="AJ21" i="8"/>
  <c r="AI21" i="8"/>
  <c r="AG21" i="8"/>
  <c r="AB21" i="8"/>
  <c r="W21" i="8"/>
  <c r="R21" i="8"/>
  <c r="M21" i="8"/>
  <c r="H21" i="8"/>
  <c r="AP20" i="8"/>
  <c r="AQ20" i="8" s="1"/>
  <c r="AR20" i="8" s="1"/>
  <c r="AS20" i="8" s="1"/>
  <c r="AT20" i="8" s="1"/>
  <c r="AU20" i="8" s="1"/>
  <c r="AV20" i="8" s="1"/>
  <c r="AL20" i="8"/>
  <c r="AJ20" i="8"/>
  <c r="AI20" i="8"/>
  <c r="AI25" i="8" s="1"/>
  <c r="AG20" i="8"/>
  <c r="AB20" i="8"/>
  <c r="W20" i="8"/>
  <c r="R20" i="8"/>
  <c r="M20" i="8"/>
  <c r="H20" i="8"/>
  <c r="AK19" i="8"/>
  <c r="AK25" i="8" s="1"/>
  <c r="AG19" i="8"/>
  <c r="AB19" i="8"/>
  <c r="W19" i="8"/>
  <c r="R19" i="8"/>
  <c r="M19" i="8"/>
  <c r="H19" i="8"/>
  <c r="AO18" i="8"/>
  <c r="AK18" i="8"/>
  <c r="AH18" i="8"/>
  <c r="AF18" i="8"/>
  <c r="AF26" i="8" s="1"/>
  <c r="AE18" i="8"/>
  <c r="AD18" i="8"/>
  <c r="AC18" i="8"/>
  <c r="AC26" i="8" s="1"/>
  <c r="AA18" i="8"/>
  <c r="Z18" i="8"/>
  <c r="Y18" i="8"/>
  <c r="Y26" i="8" s="1"/>
  <c r="X18" i="8"/>
  <c r="X26" i="8" s="1"/>
  <c r="P18" i="8"/>
  <c r="P26" i="8"/>
  <c r="O18" i="8"/>
  <c r="N18" i="8"/>
  <c r="L18" i="8"/>
  <c r="AP17" i="8"/>
  <c r="AQ17" i="8"/>
  <c r="AR17" i="8" s="1"/>
  <c r="AS17" i="8" s="1"/>
  <c r="AT17" i="8" s="1"/>
  <c r="AU17" i="8" s="1"/>
  <c r="AV17" i="8" s="1"/>
  <c r="BA17" i="8" s="1"/>
  <c r="BF17" i="8" s="1"/>
  <c r="BK17" i="8" s="1"/>
  <c r="BP17" i="8" s="1"/>
  <c r="AL17" i="8"/>
  <c r="AI17" i="8"/>
  <c r="AG17" i="8"/>
  <c r="AB17" i="8"/>
  <c r="V17" i="8"/>
  <c r="W17" i="8"/>
  <c r="R17" i="8"/>
  <c r="M17" i="8"/>
  <c r="H17" i="8"/>
  <c r="AP16" i="8"/>
  <c r="AQ16" i="8"/>
  <c r="AR16" i="8" s="1"/>
  <c r="AS16" i="8" s="1"/>
  <c r="AT16" i="8" s="1"/>
  <c r="AU16" i="8" s="1"/>
  <c r="AV16" i="8" s="1"/>
  <c r="BA16" i="8" s="1"/>
  <c r="BF16" i="8" s="1"/>
  <c r="BK16" i="8" s="1"/>
  <c r="BP16" i="8" s="1"/>
  <c r="AL16" i="8"/>
  <c r="AJ16" i="8"/>
  <c r="AI16" i="8"/>
  <c r="AG16" i="8"/>
  <c r="AB16" i="8"/>
  <c r="W16" i="8"/>
  <c r="R16" i="8"/>
  <c r="M16" i="8"/>
  <c r="H16" i="8"/>
  <c r="AP15" i="8"/>
  <c r="AQ15" i="8"/>
  <c r="AR15" i="8" s="1"/>
  <c r="AS15" i="8" s="1"/>
  <c r="AT15" i="8" s="1"/>
  <c r="AU15" i="8" s="1"/>
  <c r="AV15" i="8" s="1"/>
  <c r="BA15" i="8" s="1"/>
  <c r="BF15" i="8" s="1"/>
  <c r="BK15" i="8" s="1"/>
  <c r="BP15" i="8" s="1"/>
  <c r="AM15" i="8"/>
  <c r="AL15" i="8"/>
  <c r="AJ15" i="8"/>
  <c r="AI15" i="8"/>
  <c r="AG15" i="8"/>
  <c r="AB15" i="8"/>
  <c r="W15" i="8"/>
  <c r="U15" i="8"/>
  <c r="U18" i="8"/>
  <c r="T15" i="8"/>
  <c r="T18" i="8"/>
  <c r="T26" i="8" s="1"/>
  <c r="S15" i="8"/>
  <c r="S18" i="8"/>
  <c r="Q15" i="8"/>
  <c r="Q18" i="8"/>
  <c r="M15" i="8"/>
  <c r="K15" i="8"/>
  <c r="K18" i="8"/>
  <c r="J15" i="8"/>
  <c r="J18" i="8" s="1"/>
  <c r="I15" i="8"/>
  <c r="I18" i="8"/>
  <c r="G15" i="8"/>
  <c r="F15" i="8"/>
  <c r="F18" i="8"/>
  <c r="E15" i="8"/>
  <c r="E18" i="8"/>
  <c r="D15" i="8"/>
  <c r="D18" i="8"/>
  <c r="D26" i="8" s="1"/>
  <c r="C15" i="8"/>
  <c r="C18" i="8"/>
  <c r="AL14" i="8"/>
  <c r="AJ14" i="8"/>
  <c r="AI14" i="8"/>
  <c r="AG14" i="8"/>
  <c r="AB14" i="8"/>
  <c r="W14" i="8"/>
  <c r="R14" i="8"/>
  <c r="M14" i="8"/>
  <c r="H14" i="8"/>
  <c r="AL13" i="8"/>
  <c r="AJ13" i="8"/>
  <c r="AI13" i="8"/>
  <c r="AG13" i="8"/>
  <c r="AB13" i="8"/>
  <c r="W13" i="8"/>
  <c r="R13" i="8"/>
  <c r="M13" i="8"/>
  <c r="H13" i="8"/>
  <c r="AP12" i="8"/>
  <c r="AQ12" i="8"/>
  <c r="AR12" i="8" s="1"/>
  <c r="AS12" i="8" s="1"/>
  <c r="AT12" i="8" s="1"/>
  <c r="AU12" i="8" s="1"/>
  <c r="AV12" i="8" s="1"/>
  <c r="BA12" i="8" s="1"/>
  <c r="BF12" i="8" s="1"/>
  <c r="BK12" i="8" s="1"/>
  <c r="BP12" i="8" s="1"/>
  <c r="AM12" i="8"/>
  <c r="AN12" i="8"/>
  <c r="AL12" i="8"/>
  <c r="AJ12" i="8"/>
  <c r="AI12" i="8"/>
  <c r="AG12" i="8"/>
  <c r="AG82" i="8"/>
  <c r="AB12" i="8"/>
  <c r="W12" i="8"/>
  <c r="R12" i="8"/>
  <c r="M12" i="8"/>
  <c r="H12" i="8"/>
  <c r="AM11" i="8"/>
  <c r="AL11" i="8"/>
  <c r="AL82" i="8"/>
  <c r="AJ11" i="8"/>
  <c r="AI11" i="8"/>
  <c r="AB11" i="8"/>
  <c r="W11" i="8"/>
  <c r="R11" i="8"/>
  <c r="M11" i="8"/>
  <c r="H11" i="8"/>
  <c r="BJ98" i="7"/>
  <c r="BJ114" i="7" s="1"/>
  <c r="BJ130" i="7" s="1"/>
  <c r="BJ81" i="7"/>
  <c r="CE80" i="7"/>
  <c r="CC80" i="7"/>
  <c r="CB80" i="7"/>
  <c r="CA80" i="7"/>
  <c r="BZ80" i="7"/>
  <c r="BX80" i="7"/>
  <c r="BW80" i="7"/>
  <c r="BV80" i="7"/>
  <c r="BU80" i="7"/>
  <c r="BS80" i="7"/>
  <c r="BR80" i="7"/>
  <c r="BQ80" i="7"/>
  <c r="BP80" i="7"/>
  <c r="BN80" i="7"/>
  <c r="BM80" i="7"/>
  <c r="BL80" i="7"/>
  <c r="BK80" i="7"/>
  <c r="CD63" i="7"/>
  <c r="BY63" i="7"/>
  <c r="BT63" i="7"/>
  <c r="BO63" i="7"/>
  <c r="BJ63" i="7"/>
  <c r="BE63" i="7"/>
  <c r="AZ63" i="7"/>
  <c r="CC60" i="7"/>
  <c r="CB60" i="7"/>
  <c r="CA60" i="7"/>
  <c r="BZ60" i="7"/>
  <c r="BX60" i="7"/>
  <c r="BW60" i="7"/>
  <c r="BV60" i="7"/>
  <c r="BU60" i="7"/>
  <c r="BS60" i="7"/>
  <c r="BR60" i="7"/>
  <c r="BQ60" i="7"/>
  <c r="BP60" i="7"/>
  <c r="BN60" i="7"/>
  <c r="BM60" i="7"/>
  <c r="BL60" i="7"/>
  <c r="BK60" i="7"/>
  <c r="BD60" i="7"/>
  <c r="BC60" i="7"/>
  <c r="BB60" i="7"/>
  <c r="BA60" i="7"/>
  <c r="AW60" i="7"/>
  <c r="AK60" i="7"/>
  <c r="AJ60" i="7"/>
  <c r="AI60" i="7"/>
  <c r="AH60" i="7"/>
  <c r="AG60" i="7"/>
  <c r="AF60" i="7"/>
  <c r="AE60" i="7"/>
  <c r="AD60" i="7"/>
  <c r="AC60" i="7"/>
  <c r="AB60" i="7"/>
  <c r="AA60" i="7"/>
  <c r="Z60" i="7"/>
  <c r="Y60" i="7"/>
  <c r="X60" i="7"/>
  <c r="W60" i="7"/>
  <c r="V60" i="7"/>
  <c r="U60" i="7"/>
  <c r="T60" i="7"/>
  <c r="S60" i="7"/>
  <c r="R60" i="7"/>
  <c r="Q60" i="7"/>
  <c r="P60" i="7"/>
  <c r="O60" i="7"/>
  <c r="N60" i="7"/>
  <c r="M60" i="7"/>
  <c r="L60" i="7"/>
  <c r="K60" i="7"/>
  <c r="J60" i="7"/>
  <c r="I60" i="7"/>
  <c r="H60" i="7"/>
  <c r="G60" i="7"/>
  <c r="F60" i="7"/>
  <c r="E60" i="7"/>
  <c r="D60" i="7"/>
  <c r="C60" i="7"/>
  <c r="B60" i="7"/>
  <c r="CC59" i="7"/>
  <c r="CB59" i="7"/>
  <c r="CA59" i="7"/>
  <c r="BZ59" i="7"/>
  <c r="BX59" i="7"/>
  <c r="BW59" i="7"/>
  <c r="BV59" i="7"/>
  <c r="BU59" i="7"/>
  <c r="BS59" i="7"/>
  <c r="BR59" i="7"/>
  <c r="BQ59" i="7"/>
  <c r="BP59" i="7"/>
  <c r="BN59" i="7"/>
  <c r="BM59" i="7"/>
  <c r="BL59" i="7"/>
  <c r="BK59" i="7"/>
  <c r="BD59" i="7"/>
  <c r="BC59" i="7"/>
  <c r="BB59" i="7"/>
  <c r="BA59" i="7"/>
  <c r="AY59" i="7"/>
  <c r="AW59" i="7"/>
  <c r="AV59" i="7"/>
  <c r="AT59" i="7"/>
  <c r="AS59" i="7"/>
  <c r="AR59" i="7"/>
  <c r="AQ59" i="7"/>
  <c r="AO59" i="7"/>
  <c r="AN59" i="7"/>
  <c r="AM59" i="7"/>
  <c r="AL59" i="7"/>
  <c r="AJ59" i="7"/>
  <c r="AI59" i="7"/>
  <c r="AH59" i="7"/>
  <c r="AG59" i="7"/>
  <c r="AE59" i="7"/>
  <c r="AD59" i="7"/>
  <c r="AC59" i="7"/>
  <c r="AB59" i="7"/>
  <c r="AA59" i="7"/>
  <c r="Z59" i="7"/>
  <c r="Y59" i="7"/>
  <c r="X59" i="7"/>
  <c r="W59" i="7"/>
  <c r="V59" i="7"/>
  <c r="U59" i="7"/>
  <c r="T59" i="7"/>
  <c r="S59" i="7"/>
  <c r="R59" i="7"/>
  <c r="Q59" i="7"/>
  <c r="P59" i="7"/>
  <c r="O59" i="7"/>
  <c r="N59" i="7"/>
  <c r="M59" i="7"/>
  <c r="L59" i="7"/>
  <c r="K59" i="7"/>
  <c r="J59" i="7"/>
  <c r="I59" i="7"/>
  <c r="H59" i="7"/>
  <c r="G59" i="7"/>
  <c r="F59" i="7"/>
  <c r="E59" i="7"/>
  <c r="D59" i="7"/>
  <c r="C59" i="7"/>
  <c r="B59" i="7"/>
  <c r="CC58" i="7"/>
  <c r="CB58" i="7"/>
  <c r="CB57" i="7" s="1"/>
  <c r="CB64" i="7" s="1"/>
  <c r="CA58" i="7"/>
  <c r="BZ58" i="7"/>
  <c r="BZ57" i="7" s="1"/>
  <c r="BX58" i="7"/>
  <c r="BX57" i="7"/>
  <c r="BX64" i="7" s="1"/>
  <c r="BW58" i="7"/>
  <c r="BV58" i="7"/>
  <c r="BU58" i="7"/>
  <c r="BS58" i="7"/>
  <c r="BS57" i="7"/>
  <c r="BS72" i="7" s="1"/>
  <c r="BR58" i="7"/>
  <c r="BR57" i="7" s="1"/>
  <c r="BQ58" i="7"/>
  <c r="BQ57" i="7" s="1"/>
  <c r="BP58" i="7"/>
  <c r="BP57" i="7" s="1"/>
  <c r="BP64" i="7" s="1"/>
  <c r="BN58" i="7"/>
  <c r="BM58" i="7"/>
  <c r="BL58" i="7"/>
  <c r="BK58" i="7"/>
  <c r="BD58" i="7"/>
  <c r="BD57" i="7" s="1"/>
  <c r="BD72" i="7" s="1"/>
  <c r="BC58" i="7"/>
  <c r="BB58" i="7"/>
  <c r="BA58" i="7"/>
  <c r="AW58" i="7"/>
  <c r="AJ58" i="7"/>
  <c r="AI58" i="7"/>
  <c r="AH58" i="7"/>
  <c r="AG58" i="7"/>
  <c r="AE58" i="7"/>
  <c r="AD58" i="7"/>
  <c r="AC58" i="7"/>
  <c r="AB58" i="7"/>
  <c r="Z58" i="7"/>
  <c r="Y58" i="7"/>
  <c r="X58" i="7"/>
  <c r="W58" i="7"/>
  <c r="U58" i="7"/>
  <c r="T58" i="7"/>
  <c r="S58" i="7"/>
  <c r="R58" i="7"/>
  <c r="Q58" i="7"/>
  <c r="P58" i="7"/>
  <c r="O58" i="7"/>
  <c r="N58" i="7"/>
  <c r="M58" i="7"/>
  <c r="L58" i="7"/>
  <c r="K58" i="7"/>
  <c r="J58" i="7"/>
  <c r="I58" i="7"/>
  <c r="H58" i="7"/>
  <c r="G58" i="7"/>
  <c r="F58" i="7"/>
  <c r="E58" i="7"/>
  <c r="D58" i="7"/>
  <c r="C58" i="7"/>
  <c r="B58" i="7"/>
  <c r="BL57" i="7"/>
  <c r="BL64" i="7" s="1"/>
  <c r="CC49" i="7"/>
  <c r="CB49" i="7"/>
  <c r="CA49" i="7"/>
  <c r="BZ49" i="7"/>
  <c r="BX49" i="7"/>
  <c r="BW49" i="7"/>
  <c r="BV49" i="7"/>
  <c r="BU49" i="7"/>
  <c r="BS49" i="7"/>
  <c r="BR49" i="7"/>
  <c r="BQ49" i="7"/>
  <c r="BP49" i="7"/>
  <c r="BN49" i="7"/>
  <c r="BM49" i="7"/>
  <c r="BL49" i="7"/>
  <c r="BK49" i="7"/>
  <c r="BD49" i="7"/>
  <c r="BC49" i="7"/>
  <c r="BB49" i="7"/>
  <c r="BA49" i="7"/>
  <c r="AY49" i="7"/>
  <c r="AW49" i="7"/>
  <c r="AV49" i="7"/>
  <c r="AT49" i="7"/>
  <c r="AS49" i="7"/>
  <c r="AR49" i="7"/>
  <c r="AQ49" i="7"/>
  <c r="AP49" i="7"/>
  <c r="AO49" i="7"/>
  <c r="AN49" i="7"/>
  <c r="AM49" i="7"/>
  <c r="AL49" i="7"/>
  <c r="AK49" i="7"/>
  <c r="AJ49" i="7"/>
  <c r="AI49" i="7"/>
  <c r="AH49" i="7"/>
  <c r="AG49" i="7"/>
  <c r="AF49" i="7"/>
  <c r="AE49" i="7"/>
  <c r="AD49" i="7"/>
  <c r="AC49" i="7"/>
  <c r="AB49" i="7"/>
  <c r="B49" i="7"/>
  <c r="CC41" i="7"/>
  <c r="CB41" i="7"/>
  <c r="CA41" i="7"/>
  <c r="BZ41" i="7"/>
  <c r="BX41" i="7"/>
  <c r="BW41" i="7"/>
  <c r="BV41" i="7"/>
  <c r="BU41" i="7"/>
  <c r="BS41" i="7"/>
  <c r="BR41" i="7"/>
  <c r="BQ41" i="7"/>
  <c r="BP41" i="7"/>
  <c r="BN41" i="7"/>
  <c r="BM41" i="7"/>
  <c r="BL41" i="7"/>
  <c r="BK41" i="7"/>
  <c r="BD41" i="7"/>
  <c r="BC41" i="7"/>
  <c r="BB41" i="7"/>
  <c r="BA41" i="7"/>
  <c r="AW41" i="7"/>
  <c r="AV41" i="7"/>
  <c r="AU41" i="7"/>
  <c r="AR41" i="7"/>
  <c r="AQ41" i="7"/>
  <c r="AP41" i="7"/>
  <c r="AO41" i="7"/>
  <c r="AN41" i="7"/>
  <c r="AM41" i="7"/>
  <c r="AL41" i="7"/>
  <c r="AK41" i="7"/>
  <c r="AJ41" i="7"/>
  <c r="AI41" i="7"/>
  <c r="AH41" i="7"/>
  <c r="AG41" i="7"/>
  <c r="AF41" i="7"/>
  <c r="AE41" i="7"/>
  <c r="AD41" i="7"/>
  <c r="AC41" i="7"/>
  <c r="AB41" i="7"/>
  <c r="AA41" i="7"/>
  <c r="Z41" i="7"/>
  <c r="Y41" i="7"/>
  <c r="X41" i="7"/>
  <c r="W41" i="7"/>
  <c r="V41" i="7"/>
  <c r="U41" i="7"/>
  <c r="T41" i="7"/>
  <c r="S41" i="7"/>
  <c r="R41" i="7"/>
  <c r="Q41" i="7"/>
  <c r="P41" i="7"/>
  <c r="O41" i="7"/>
  <c r="N41" i="7"/>
  <c r="M41" i="7"/>
  <c r="L41" i="7"/>
  <c r="K41" i="7"/>
  <c r="J41" i="7"/>
  <c r="I41" i="7"/>
  <c r="H41" i="7"/>
  <c r="G41" i="7"/>
  <c r="F41" i="7"/>
  <c r="E41" i="7"/>
  <c r="D41" i="7"/>
  <c r="C41" i="7"/>
  <c r="B41" i="7"/>
  <c r="CC33" i="7"/>
  <c r="CC35" i="7"/>
  <c r="CB33" i="7"/>
  <c r="CB35" i="7"/>
  <c r="CB51" i="7" s="1"/>
  <c r="CA33" i="7"/>
  <c r="CA35" i="7" s="1"/>
  <c r="CA51" i="7" s="1"/>
  <c r="BZ33" i="7"/>
  <c r="BZ35" i="7"/>
  <c r="BZ51" i="7" s="1"/>
  <c r="BX33" i="7"/>
  <c r="BX35" i="7" s="1"/>
  <c r="BW33" i="7"/>
  <c r="BW35" i="7" s="1"/>
  <c r="BV33" i="7"/>
  <c r="BV35" i="7" s="1"/>
  <c r="BV51" i="7" s="1"/>
  <c r="BU33" i="7"/>
  <c r="BU35" i="7" s="1"/>
  <c r="BS33" i="7"/>
  <c r="BS35" i="7"/>
  <c r="BS51" i="7" s="1"/>
  <c r="BR33" i="7"/>
  <c r="BR35" i="7" s="1"/>
  <c r="BR51" i="7" s="1"/>
  <c r="BQ33" i="7"/>
  <c r="BQ35" i="7" s="1"/>
  <c r="BQ51" i="7" s="1"/>
  <c r="BP33" i="7"/>
  <c r="BP35" i="7" s="1"/>
  <c r="BP51" i="7" s="1"/>
  <c r="BN33" i="7"/>
  <c r="BN35" i="7" s="1"/>
  <c r="BN51" i="7" s="1"/>
  <c r="BM33" i="7"/>
  <c r="BM35" i="7" s="1"/>
  <c r="BM51" i="7" s="1"/>
  <c r="BL33" i="7"/>
  <c r="BL35" i="7"/>
  <c r="BL51" i="7" s="1"/>
  <c r="BK33" i="7"/>
  <c r="BK35" i="7" s="1"/>
  <c r="BK51" i="7" s="1"/>
  <c r="BD33" i="7"/>
  <c r="BC33" i="7"/>
  <c r="BB33" i="7"/>
  <c r="BA33" i="7"/>
  <c r="AY33" i="7"/>
  <c r="AX33" i="7"/>
  <c r="AW33" i="7"/>
  <c r="AV33" i="7"/>
  <c r="AU33" i="7"/>
  <c r="AT33" i="7"/>
  <c r="AS33" i="7"/>
  <c r="AR33" i="7"/>
  <c r="AQ33" i="7"/>
  <c r="AP33" i="7"/>
  <c r="AO33" i="7"/>
  <c r="AN33" i="7"/>
  <c r="AM33" i="7"/>
  <c r="AL33" i="7"/>
  <c r="AK33" i="7"/>
  <c r="AJ33" i="7"/>
  <c r="AI33" i="7"/>
  <c r="AH33" i="7"/>
  <c r="AG33" i="7"/>
  <c r="AF33" i="7"/>
  <c r="AE33" i="7"/>
  <c r="AD33" i="7"/>
  <c r="AC33" i="7"/>
  <c r="AB33" i="7"/>
  <c r="AA33" i="7"/>
  <c r="Z33" i="7"/>
  <c r="Y33" i="7"/>
  <c r="X33" i="7"/>
  <c r="W33" i="7"/>
  <c r="V33" i="7"/>
  <c r="U33" i="7"/>
  <c r="T33" i="7"/>
  <c r="S33" i="7"/>
  <c r="R33" i="7"/>
  <c r="Q33" i="7"/>
  <c r="P33" i="7"/>
  <c r="O33" i="7"/>
  <c r="N33" i="7"/>
  <c r="M33" i="7"/>
  <c r="L33" i="7"/>
  <c r="K33" i="7"/>
  <c r="J33" i="7"/>
  <c r="I33" i="7"/>
  <c r="H33" i="7"/>
  <c r="G33" i="7"/>
  <c r="F33" i="7"/>
  <c r="E33" i="7"/>
  <c r="D33" i="7"/>
  <c r="C33" i="7"/>
  <c r="B33" i="7"/>
  <c r="CC25" i="7"/>
  <c r="CB25" i="7"/>
  <c r="CA25" i="7"/>
  <c r="BZ25" i="7"/>
  <c r="BX25" i="7"/>
  <c r="BW25" i="7"/>
  <c r="BV25" i="7"/>
  <c r="BU25" i="7"/>
  <c r="BS25" i="7"/>
  <c r="BR25" i="7"/>
  <c r="BQ25" i="7"/>
  <c r="BP25" i="7"/>
  <c r="BN25" i="7"/>
  <c r="BM25" i="7"/>
  <c r="BL25" i="7"/>
  <c r="BK25" i="7"/>
  <c r="BD25" i="7"/>
  <c r="BC25" i="7"/>
  <c r="BB25" i="7"/>
  <c r="BA25" i="7"/>
  <c r="AZ25" i="7"/>
  <c r="AY25" i="7"/>
  <c r="AX25" i="7"/>
  <c r="AW25" i="7"/>
  <c r="AV25" i="7"/>
  <c r="AU25" i="7"/>
  <c r="AT25" i="7"/>
  <c r="AS25" i="7"/>
  <c r="AR25" i="7"/>
  <c r="AQ25" i="7"/>
  <c r="AP25" i="7"/>
  <c r="AO25" i="7"/>
  <c r="AN25" i="7"/>
  <c r="AM25" i="7"/>
  <c r="AL25" i="7"/>
  <c r="AK25" i="7"/>
  <c r="AJ25" i="7"/>
  <c r="AI25" i="7"/>
  <c r="AH25" i="7"/>
  <c r="AG25" i="7"/>
  <c r="AF25" i="7"/>
  <c r="AE25" i="7"/>
  <c r="AD25" i="7"/>
  <c r="AC25" i="7"/>
  <c r="AB25" i="7"/>
  <c r="AA25" i="7"/>
  <c r="Z25" i="7"/>
  <c r="Y25" i="7"/>
  <c r="X25" i="7"/>
  <c r="W25" i="7"/>
  <c r="V25" i="7"/>
  <c r="U25" i="7"/>
  <c r="T25" i="7"/>
  <c r="S25" i="7"/>
  <c r="R25" i="7"/>
  <c r="Q25" i="7"/>
  <c r="P25" i="7"/>
  <c r="O25" i="7"/>
  <c r="N25" i="7"/>
  <c r="M25" i="7"/>
  <c r="L25" i="7"/>
  <c r="K25" i="7"/>
  <c r="J25" i="7"/>
  <c r="I25" i="7"/>
  <c r="H25" i="7"/>
  <c r="G25" i="7"/>
  <c r="F25" i="7"/>
  <c r="E25" i="7"/>
  <c r="D25" i="7"/>
  <c r="C25" i="7"/>
  <c r="B25" i="7"/>
  <c r="CC16" i="7"/>
  <c r="CB16" i="7"/>
  <c r="CA16" i="7"/>
  <c r="BZ16" i="7"/>
  <c r="BX16" i="7"/>
  <c r="BW16" i="7"/>
  <c r="BV16" i="7"/>
  <c r="BU16" i="7"/>
  <c r="BS16" i="7"/>
  <c r="BR16" i="7"/>
  <c r="BQ16" i="7"/>
  <c r="BP16" i="7"/>
  <c r="BN16" i="7"/>
  <c r="BM16" i="7"/>
  <c r="BL16" i="7"/>
  <c r="BK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16" i="7"/>
  <c r="C16" i="7"/>
  <c r="B16" i="7"/>
  <c r="CC15" i="7"/>
  <c r="CB15" i="7"/>
  <c r="CA15" i="7"/>
  <c r="BZ15" i="7"/>
  <c r="BX15" i="7"/>
  <c r="BW15" i="7"/>
  <c r="BV15" i="7"/>
  <c r="BU15" i="7"/>
  <c r="BS15" i="7"/>
  <c r="BR15" i="7"/>
  <c r="BQ15" i="7"/>
  <c r="BP15" i="7"/>
  <c r="BN15" i="7"/>
  <c r="BM15" i="7"/>
  <c r="BL15" i="7"/>
  <c r="BK15" i="7"/>
  <c r="BI15" i="7"/>
  <c r="BH15" i="7"/>
  <c r="BG15" i="7"/>
  <c r="BF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15" i="7"/>
  <c r="C15" i="7"/>
  <c r="B15" i="7"/>
  <c r="CC14" i="7"/>
  <c r="CB14" i="7"/>
  <c r="CA14" i="7"/>
  <c r="BZ14" i="7"/>
  <c r="BX14" i="7"/>
  <c r="BW14" i="7"/>
  <c r="BV14" i="7"/>
  <c r="BU14" i="7"/>
  <c r="BS14" i="7"/>
  <c r="BR14" i="7"/>
  <c r="BQ14" i="7"/>
  <c r="BP14" i="7"/>
  <c r="BN14" i="7"/>
  <c r="BM14" i="7"/>
  <c r="BL14" i="7"/>
  <c r="BK14" i="7"/>
  <c r="BD14" i="7"/>
  <c r="BC14" i="7"/>
  <c r="BB14" i="7"/>
  <c r="BA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14" i="7"/>
  <c r="C14" i="7"/>
  <c r="B14" i="7"/>
  <c r="CC13" i="7"/>
  <c r="CB13" i="7"/>
  <c r="CA13" i="7"/>
  <c r="BZ13" i="7"/>
  <c r="BX13" i="7"/>
  <c r="BW13" i="7"/>
  <c r="BV13" i="7"/>
  <c r="BU13" i="7"/>
  <c r="BS13" i="7"/>
  <c r="BR13" i="7"/>
  <c r="BQ13" i="7"/>
  <c r="BP13" i="7"/>
  <c r="BN13" i="7"/>
  <c r="BM13" i="7"/>
  <c r="BL13" i="7"/>
  <c r="BK13" i="7"/>
  <c r="BI13" i="7"/>
  <c r="BH13" i="7"/>
  <c r="BG13" i="7"/>
  <c r="BF13" i="7"/>
  <c r="BD13" i="7"/>
  <c r="BC13" i="7"/>
  <c r="BB13" i="7"/>
  <c r="BA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13" i="7"/>
  <c r="C13" i="7"/>
  <c r="B13" i="7"/>
  <c r="CC12" i="7"/>
  <c r="CB12" i="7"/>
  <c r="CA12" i="7"/>
  <c r="BZ12" i="7"/>
  <c r="BX12" i="7"/>
  <c r="BW12" i="7"/>
  <c r="BV12" i="7"/>
  <c r="BU12" i="7"/>
  <c r="BS12" i="7"/>
  <c r="BR12" i="7"/>
  <c r="BQ12" i="7"/>
  <c r="BP12" i="7"/>
  <c r="BN12" i="7"/>
  <c r="BM12" i="7"/>
  <c r="BL12" i="7"/>
  <c r="BK12" i="7"/>
  <c r="BI12" i="7"/>
  <c r="BH12" i="7"/>
  <c r="BG12" i="7"/>
  <c r="BF12" i="7"/>
  <c r="BD12" i="7"/>
  <c r="BC12" i="7"/>
  <c r="BB12" i="7"/>
  <c r="BA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12" i="7"/>
  <c r="C12" i="7"/>
  <c r="B12" i="7"/>
  <c r="BD11" i="7"/>
  <c r="BC11" i="7"/>
  <c r="BB11" i="7"/>
  <c r="BA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11" i="7"/>
  <c r="C11" i="7"/>
  <c r="B11" i="7"/>
  <c r="CC10" i="7"/>
  <c r="CB10" i="7"/>
  <c r="CA10" i="7"/>
  <c r="BZ10" i="7"/>
  <c r="BX10" i="7"/>
  <c r="BW10" i="7"/>
  <c r="BV10" i="7"/>
  <c r="BU10" i="7"/>
  <c r="BS10" i="7"/>
  <c r="BR10" i="7"/>
  <c r="BQ10" i="7"/>
  <c r="BP10" i="7"/>
  <c r="BN10" i="7"/>
  <c r="BM10" i="7"/>
  <c r="BL10" i="7"/>
  <c r="BK10" i="7"/>
  <c r="BD10" i="7"/>
  <c r="BC10" i="7"/>
  <c r="BB10" i="7"/>
  <c r="BA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10" i="7"/>
  <c r="C10" i="7"/>
  <c r="B10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9" i="7"/>
  <c r="C9" i="7"/>
  <c r="CC109" i="6"/>
  <c r="CB109" i="6"/>
  <c r="CA109" i="6"/>
  <c r="BZ109" i="6"/>
  <c r="BX109" i="6"/>
  <c r="BW109" i="6"/>
  <c r="BV109" i="6"/>
  <c r="BU109" i="6"/>
  <c r="BS109" i="6"/>
  <c r="BR109" i="6"/>
  <c r="BQ109" i="6"/>
  <c r="BP109" i="6"/>
  <c r="BN109" i="6"/>
  <c r="BM109" i="6"/>
  <c r="BL109" i="6"/>
  <c r="BK109" i="6"/>
  <c r="AU109" i="6"/>
  <c r="AT109" i="6"/>
  <c r="AS109" i="6"/>
  <c r="AR109" i="6"/>
  <c r="AQ109" i="6"/>
  <c r="AP109" i="6"/>
  <c r="AO109" i="6"/>
  <c r="AN109" i="6"/>
  <c r="AM109" i="6"/>
  <c r="AL109" i="6"/>
  <c r="AK109" i="6"/>
  <c r="AJ109" i="6"/>
  <c r="AI109" i="6"/>
  <c r="AH109" i="6"/>
  <c r="AG109" i="6"/>
  <c r="AF109" i="6"/>
  <c r="AE109" i="6"/>
  <c r="AD109" i="6"/>
  <c r="AC109" i="6"/>
  <c r="AB109" i="6"/>
  <c r="V109" i="6"/>
  <c r="U109" i="6"/>
  <c r="T109" i="6"/>
  <c r="S109" i="6"/>
  <c r="R109" i="6"/>
  <c r="Q109" i="6"/>
  <c r="P109" i="6"/>
  <c r="O109" i="6"/>
  <c r="N109" i="6"/>
  <c r="M109" i="6"/>
  <c r="L109" i="6"/>
  <c r="K109" i="6"/>
  <c r="J109" i="6"/>
  <c r="I109" i="6"/>
  <c r="H109" i="6"/>
  <c r="G109" i="6"/>
  <c r="F109" i="6"/>
  <c r="E109" i="6"/>
  <c r="D109" i="6"/>
  <c r="C109" i="6"/>
  <c r="B109" i="6"/>
  <c r="AP108" i="6"/>
  <c r="AO108" i="6"/>
  <c r="AN108" i="6"/>
  <c r="AM108" i="6"/>
  <c r="AL108" i="6"/>
  <c r="AK108" i="6"/>
  <c r="AJ108" i="6"/>
  <c r="AI108" i="6"/>
  <c r="AH108" i="6"/>
  <c r="AG108" i="6"/>
  <c r="AF108" i="6"/>
  <c r="B108" i="6"/>
  <c r="AY107" i="6"/>
  <c r="AX107" i="6"/>
  <c r="AW107" i="6"/>
  <c r="AV107" i="6"/>
  <c r="AU107" i="6"/>
  <c r="AT107" i="6"/>
  <c r="AS107" i="6"/>
  <c r="AR107" i="6"/>
  <c r="AQ107" i="6"/>
  <c r="AP107" i="6"/>
  <c r="AO107" i="6"/>
  <c r="AN107" i="6"/>
  <c r="AM107" i="6"/>
  <c r="AL107" i="6"/>
  <c r="AK107" i="6"/>
  <c r="AJ107" i="6"/>
  <c r="AI107" i="6"/>
  <c r="AH107" i="6"/>
  <c r="AG107" i="6"/>
  <c r="AF107" i="6"/>
  <c r="AE107" i="6"/>
  <c r="AD107" i="6"/>
  <c r="AC107" i="6"/>
  <c r="AB107" i="6"/>
  <c r="AA107" i="6"/>
  <c r="Z107" i="6"/>
  <c r="Y107" i="6"/>
  <c r="X107" i="6"/>
  <c r="W107" i="6"/>
  <c r="V107" i="6"/>
  <c r="U107" i="6"/>
  <c r="T107" i="6"/>
  <c r="S107" i="6"/>
  <c r="R107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CC105" i="6"/>
  <c r="CB105" i="6"/>
  <c r="CA105" i="6"/>
  <c r="BZ105" i="6"/>
  <c r="BX105" i="6"/>
  <c r="BW105" i="6"/>
  <c r="BV105" i="6"/>
  <c r="BU105" i="6"/>
  <c r="BS105" i="6"/>
  <c r="BR105" i="6"/>
  <c r="BQ105" i="6"/>
  <c r="BP105" i="6"/>
  <c r="BN105" i="6"/>
  <c r="BM105" i="6"/>
  <c r="BL105" i="6"/>
  <c r="BK105" i="6"/>
  <c r="AF105" i="6"/>
  <c r="AE105" i="6"/>
  <c r="AD105" i="6"/>
  <c r="AC105" i="6"/>
  <c r="AB105" i="6"/>
  <c r="V105" i="6"/>
  <c r="U105" i="6"/>
  <c r="T105" i="6"/>
  <c r="S105" i="6"/>
  <c r="R105" i="6"/>
  <c r="Q105" i="6"/>
  <c r="P105" i="6"/>
  <c r="O105" i="6"/>
  <c r="N105" i="6"/>
  <c r="M105" i="6"/>
  <c r="L105" i="6"/>
  <c r="K105" i="6"/>
  <c r="J105" i="6"/>
  <c r="I105" i="6"/>
  <c r="H105" i="6"/>
  <c r="G105" i="6"/>
  <c r="F105" i="6"/>
  <c r="E105" i="6"/>
  <c r="D105" i="6"/>
  <c r="C105" i="6"/>
  <c r="B105" i="6"/>
  <c r="AO104" i="6"/>
  <c r="AN104" i="6"/>
  <c r="AM104" i="6"/>
  <c r="AL104" i="6"/>
  <c r="B104" i="6"/>
  <c r="CD103" i="6"/>
  <c r="CC103" i="6"/>
  <c r="CB103" i="6"/>
  <c r="CA103" i="6"/>
  <c r="BZ103" i="6"/>
  <c r="BY103" i="6"/>
  <c r="BX103" i="6"/>
  <c r="BW103" i="6"/>
  <c r="BV103" i="6"/>
  <c r="BU103" i="6"/>
  <c r="BT103" i="6"/>
  <c r="BS103" i="6"/>
  <c r="BR103" i="6"/>
  <c r="BQ103" i="6"/>
  <c r="BP103" i="6"/>
  <c r="BO103" i="6"/>
  <c r="BN103" i="6"/>
  <c r="BM103" i="6"/>
  <c r="BL103" i="6"/>
  <c r="BK103" i="6"/>
  <c r="AP103" i="6"/>
  <c r="AO103" i="6"/>
  <c r="AN103" i="6"/>
  <c r="AM103" i="6"/>
  <c r="AL103" i="6"/>
  <c r="AK103" i="6"/>
  <c r="AJ103" i="6"/>
  <c r="AI103" i="6"/>
  <c r="AH103" i="6"/>
  <c r="AG103" i="6"/>
  <c r="AF103" i="6"/>
  <c r="AE103" i="6"/>
  <c r="AD103" i="6"/>
  <c r="AC103" i="6"/>
  <c r="AB103" i="6"/>
  <c r="AA103" i="6"/>
  <c r="Z103" i="6"/>
  <c r="Y103" i="6"/>
  <c r="X103" i="6"/>
  <c r="W103" i="6"/>
  <c r="V103" i="6"/>
  <c r="U103" i="6"/>
  <c r="T103" i="6"/>
  <c r="S103" i="6"/>
  <c r="R103" i="6"/>
  <c r="Q103" i="6"/>
  <c r="P103" i="6"/>
  <c r="O103" i="6"/>
  <c r="N103" i="6"/>
  <c r="M103" i="6"/>
  <c r="L103" i="6"/>
  <c r="K103" i="6"/>
  <c r="J103" i="6"/>
  <c r="I103" i="6"/>
  <c r="H103" i="6"/>
  <c r="G103" i="6"/>
  <c r="F103" i="6"/>
  <c r="E103" i="6"/>
  <c r="D103" i="6"/>
  <c r="C103" i="6"/>
  <c r="B103" i="6"/>
  <c r="CD102" i="6"/>
  <c r="CC102" i="6"/>
  <c r="CB102" i="6"/>
  <c r="CA102" i="6"/>
  <c r="BZ102" i="6"/>
  <c r="BY102" i="6"/>
  <c r="BX102" i="6"/>
  <c r="BW102" i="6"/>
  <c r="BV102" i="6"/>
  <c r="BU102" i="6"/>
  <c r="BT102" i="6"/>
  <c r="BS102" i="6"/>
  <c r="BR102" i="6"/>
  <c r="BQ102" i="6"/>
  <c r="BP102" i="6"/>
  <c r="BO102" i="6"/>
  <c r="BN102" i="6"/>
  <c r="BM102" i="6"/>
  <c r="BL102" i="6"/>
  <c r="BK102" i="6"/>
  <c r="BI102" i="6"/>
  <c r="BH102" i="6"/>
  <c r="BG102" i="6"/>
  <c r="BF102" i="6"/>
  <c r="AZ102" i="6"/>
  <c r="AX102" i="6"/>
  <c r="AW102" i="6"/>
  <c r="AV102" i="6"/>
  <c r="AU102" i="6"/>
  <c r="AT102" i="6"/>
  <c r="AS102" i="6"/>
  <c r="AR102" i="6"/>
  <c r="AQ102" i="6"/>
  <c r="AP102" i="6"/>
  <c r="AO102" i="6"/>
  <c r="AN102" i="6"/>
  <c r="AM102" i="6"/>
  <c r="AL102" i="6"/>
  <c r="AK102" i="6"/>
  <c r="AJ102" i="6"/>
  <c r="AI102" i="6"/>
  <c r="AH102" i="6"/>
  <c r="AG102" i="6"/>
  <c r="AF102" i="6"/>
  <c r="AE102" i="6"/>
  <c r="AD102" i="6"/>
  <c r="AC102" i="6"/>
  <c r="AB102" i="6"/>
  <c r="AA102" i="6"/>
  <c r="Z102" i="6"/>
  <c r="Y102" i="6"/>
  <c r="X102" i="6"/>
  <c r="W102" i="6"/>
  <c r="V102" i="6"/>
  <c r="U102" i="6"/>
  <c r="T102" i="6"/>
  <c r="S102" i="6"/>
  <c r="R102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CD101" i="6"/>
  <c r="CC101" i="6"/>
  <c r="CB101" i="6"/>
  <c r="CA101" i="6"/>
  <c r="BZ101" i="6"/>
  <c r="BY101" i="6"/>
  <c r="BX101" i="6"/>
  <c r="BW101" i="6"/>
  <c r="BV101" i="6"/>
  <c r="BU101" i="6"/>
  <c r="BT101" i="6"/>
  <c r="BS101" i="6"/>
  <c r="BR101" i="6"/>
  <c r="BQ101" i="6"/>
  <c r="BP101" i="6"/>
  <c r="BO101" i="6"/>
  <c r="BN101" i="6"/>
  <c r="BM101" i="6"/>
  <c r="BL101" i="6"/>
  <c r="BK101" i="6"/>
  <c r="BI101" i="6"/>
  <c r="BH101" i="6"/>
  <c r="BG101" i="6"/>
  <c r="BF101" i="6"/>
  <c r="BC101" i="6"/>
  <c r="BB101" i="6"/>
  <c r="AZ101" i="6"/>
  <c r="AY101" i="6"/>
  <c r="AX101" i="6"/>
  <c r="AW101" i="6"/>
  <c r="AV101" i="6"/>
  <c r="AU101" i="6"/>
  <c r="AT101" i="6"/>
  <c r="AS101" i="6"/>
  <c r="AR101" i="6"/>
  <c r="AQ101" i="6"/>
  <c r="AP101" i="6"/>
  <c r="AO101" i="6"/>
  <c r="AN101" i="6"/>
  <c r="AM101" i="6"/>
  <c r="AL101" i="6"/>
  <c r="AK101" i="6"/>
  <c r="AJ101" i="6"/>
  <c r="AI101" i="6"/>
  <c r="AH101" i="6"/>
  <c r="AG101" i="6"/>
  <c r="AF101" i="6"/>
  <c r="AE101" i="6"/>
  <c r="AD101" i="6"/>
  <c r="AC101" i="6"/>
  <c r="AB101" i="6"/>
  <c r="AA101" i="6"/>
  <c r="Z101" i="6"/>
  <c r="Y101" i="6"/>
  <c r="X101" i="6"/>
  <c r="W101" i="6"/>
  <c r="V101" i="6"/>
  <c r="U101" i="6"/>
  <c r="T101" i="6"/>
  <c r="S101" i="6"/>
  <c r="R101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CC100" i="6"/>
  <c r="CB100" i="6"/>
  <c r="CA100" i="6"/>
  <c r="BZ100" i="6"/>
  <c r="BX100" i="6"/>
  <c r="BW100" i="6"/>
  <c r="BV100" i="6"/>
  <c r="BU100" i="6"/>
  <c r="BS100" i="6"/>
  <c r="BR100" i="6"/>
  <c r="BQ100" i="6"/>
  <c r="BP100" i="6"/>
  <c r="BN100" i="6"/>
  <c r="BM100" i="6"/>
  <c r="BL100" i="6"/>
  <c r="BK100" i="6"/>
  <c r="BD100" i="6"/>
  <c r="BC100" i="6"/>
  <c r="BB100" i="6"/>
  <c r="BA100" i="6"/>
  <c r="AW100" i="6"/>
  <c r="AK100" i="6"/>
  <c r="AJ100" i="6"/>
  <c r="AI100" i="6"/>
  <c r="AH100" i="6"/>
  <c r="AG100" i="6"/>
  <c r="AF100" i="6"/>
  <c r="AE100" i="6"/>
  <c r="AD100" i="6"/>
  <c r="AC100" i="6"/>
  <c r="AB100" i="6"/>
  <c r="AA100" i="6"/>
  <c r="Z100" i="6"/>
  <c r="Y100" i="6"/>
  <c r="X100" i="6"/>
  <c r="W100" i="6"/>
  <c r="V100" i="6"/>
  <c r="U100" i="6"/>
  <c r="T100" i="6"/>
  <c r="S100" i="6"/>
  <c r="R100" i="6"/>
  <c r="Q100" i="6"/>
  <c r="P100" i="6"/>
  <c r="O100" i="6"/>
  <c r="N100" i="6"/>
  <c r="M100" i="6"/>
  <c r="L100" i="6"/>
  <c r="K100" i="6"/>
  <c r="J100" i="6"/>
  <c r="I100" i="6"/>
  <c r="H100" i="6"/>
  <c r="G100" i="6"/>
  <c r="F100" i="6"/>
  <c r="E100" i="6"/>
  <c r="D100" i="6"/>
  <c r="C100" i="6"/>
  <c r="B100" i="6"/>
  <c r="CD99" i="6"/>
  <c r="CC99" i="6"/>
  <c r="CB99" i="6"/>
  <c r="CA99" i="6"/>
  <c r="BZ99" i="6"/>
  <c r="BY99" i="6"/>
  <c r="BX99" i="6"/>
  <c r="BW99" i="6"/>
  <c r="BV99" i="6"/>
  <c r="BU99" i="6"/>
  <c r="BT99" i="6"/>
  <c r="BS99" i="6"/>
  <c r="BR99" i="6"/>
  <c r="BQ99" i="6"/>
  <c r="BP99" i="6"/>
  <c r="BO99" i="6"/>
  <c r="BN99" i="6"/>
  <c r="BM99" i="6"/>
  <c r="BL99" i="6"/>
  <c r="BK99" i="6"/>
  <c r="AF99" i="6"/>
  <c r="AE99" i="6"/>
  <c r="AD99" i="6"/>
  <c r="AC99" i="6"/>
  <c r="AB99" i="6"/>
  <c r="AA99" i="6"/>
  <c r="Z99" i="6"/>
  <c r="Y99" i="6"/>
  <c r="X99" i="6"/>
  <c r="W99" i="6"/>
  <c r="V99" i="6"/>
  <c r="U99" i="6"/>
  <c r="T99" i="6"/>
  <c r="S99" i="6"/>
  <c r="R99" i="6"/>
  <c r="Q99" i="6"/>
  <c r="P99" i="6"/>
  <c r="O99" i="6"/>
  <c r="N99" i="6"/>
  <c r="M99" i="6"/>
  <c r="L99" i="6"/>
  <c r="K99" i="6"/>
  <c r="J99" i="6"/>
  <c r="I99" i="6"/>
  <c r="H99" i="6"/>
  <c r="G99" i="6"/>
  <c r="F99" i="6"/>
  <c r="E99" i="6"/>
  <c r="D99" i="6"/>
  <c r="C99" i="6"/>
  <c r="B99" i="6"/>
  <c r="CD98" i="6"/>
  <c r="CC98" i="6"/>
  <c r="CB98" i="6"/>
  <c r="CA98" i="6"/>
  <c r="BZ98" i="6"/>
  <c r="BY98" i="6"/>
  <c r="BX98" i="6"/>
  <c r="BW98" i="6"/>
  <c r="BV98" i="6"/>
  <c r="BU98" i="6"/>
  <c r="BT98" i="6"/>
  <c r="BS98" i="6"/>
  <c r="BR98" i="6"/>
  <c r="BQ98" i="6"/>
  <c r="BP98" i="6"/>
  <c r="BO98" i="6"/>
  <c r="BN98" i="6"/>
  <c r="BM98" i="6"/>
  <c r="BL98" i="6"/>
  <c r="BK98" i="6"/>
  <c r="BI98" i="6"/>
  <c r="BH98" i="6"/>
  <c r="BG98" i="6"/>
  <c r="BF98" i="6"/>
  <c r="AZ98" i="6"/>
  <c r="AX98" i="6"/>
  <c r="AW98" i="6"/>
  <c r="AV98" i="6"/>
  <c r="AU98" i="6"/>
  <c r="AT98" i="6"/>
  <c r="AS98" i="6"/>
  <c r="AR98" i="6"/>
  <c r="AQ98" i="6"/>
  <c r="AP98" i="6"/>
  <c r="AO98" i="6"/>
  <c r="AN98" i="6"/>
  <c r="AM98" i="6"/>
  <c r="AL98" i="6"/>
  <c r="AK98" i="6"/>
  <c r="AJ98" i="6"/>
  <c r="AI98" i="6"/>
  <c r="AH98" i="6"/>
  <c r="AG98" i="6"/>
  <c r="AF98" i="6"/>
  <c r="AE98" i="6"/>
  <c r="AD98" i="6"/>
  <c r="AC98" i="6"/>
  <c r="AB98" i="6"/>
  <c r="AA98" i="6"/>
  <c r="Z98" i="6"/>
  <c r="Y98" i="6"/>
  <c r="X98" i="6"/>
  <c r="W98" i="6"/>
  <c r="V98" i="6"/>
  <c r="U98" i="6"/>
  <c r="T98" i="6"/>
  <c r="S98" i="6"/>
  <c r="R98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CD97" i="6"/>
  <c r="CC97" i="6"/>
  <c r="CB97" i="6"/>
  <c r="CA97" i="6"/>
  <c r="BZ97" i="6"/>
  <c r="BY97" i="6"/>
  <c r="BX97" i="6"/>
  <c r="BW97" i="6"/>
  <c r="BV97" i="6"/>
  <c r="BU97" i="6"/>
  <c r="BT97" i="6"/>
  <c r="BS97" i="6"/>
  <c r="BR97" i="6"/>
  <c r="BQ97" i="6"/>
  <c r="BP97" i="6"/>
  <c r="BO97" i="6"/>
  <c r="BN97" i="6"/>
  <c r="BM97" i="6"/>
  <c r="BL97" i="6"/>
  <c r="BK97" i="6"/>
  <c r="BI97" i="6"/>
  <c r="BH97" i="6"/>
  <c r="BG97" i="6"/>
  <c r="BF97" i="6"/>
  <c r="BC97" i="6"/>
  <c r="BB97" i="6"/>
  <c r="AZ97" i="6"/>
  <c r="AY97" i="6"/>
  <c r="AX97" i="6"/>
  <c r="AW97" i="6"/>
  <c r="AV97" i="6"/>
  <c r="AU97" i="6"/>
  <c r="AT97" i="6"/>
  <c r="AS97" i="6"/>
  <c r="AR97" i="6"/>
  <c r="AQ97" i="6"/>
  <c r="AP97" i="6"/>
  <c r="AO97" i="6"/>
  <c r="AN97" i="6"/>
  <c r="AM97" i="6"/>
  <c r="AL97" i="6"/>
  <c r="AK97" i="6"/>
  <c r="AJ97" i="6"/>
  <c r="AI97" i="6"/>
  <c r="AH97" i="6"/>
  <c r="AG97" i="6"/>
  <c r="AF97" i="6"/>
  <c r="AE97" i="6"/>
  <c r="AD97" i="6"/>
  <c r="AC97" i="6"/>
  <c r="AB97" i="6"/>
  <c r="AA97" i="6"/>
  <c r="Z97" i="6"/>
  <c r="Y97" i="6"/>
  <c r="X97" i="6"/>
  <c r="W97" i="6"/>
  <c r="V97" i="6"/>
  <c r="U97" i="6"/>
  <c r="T97" i="6"/>
  <c r="S97" i="6"/>
  <c r="R97" i="6"/>
  <c r="Q97" i="6"/>
  <c r="P97" i="6"/>
  <c r="O97" i="6"/>
  <c r="N97" i="6"/>
  <c r="M97" i="6"/>
  <c r="L97" i="6"/>
  <c r="K97" i="6"/>
  <c r="J97" i="6"/>
  <c r="I97" i="6"/>
  <c r="H97" i="6"/>
  <c r="G97" i="6"/>
  <c r="F97" i="6"/>
  <c r="E97" i="6"/>
  <c r="D97" i="6"/>
  <c r="C97" i="6"/>
  <c r="B97" i="6"/>
  <c r="CC96" i="6"/>
  <c r="CB96" i="6"/>
  <c r="CA96" i="6"/>
  <c r="BZ96" i="6"/>
  <c r="BX96" i="6"/>
  <c r="BW96" i="6"/>
  <c r="BV96" i="6"/>
  <c r="BU96" i="6"/>
  <c r="BS96" i="6"/>
  <c r="BR96" i="6"/>
  <c r="BQ96" i="6"/>
  <c r="BP96" i="6"/>
  <c r="BN96" i="6"/>
  <c r="BM96" i="6"/>
  <c r="BL96" i="6"/>
  <c r="BK96" i="6"/>
  <c r="BD96" i="6"/>
  <c r="BC96" i="6"/>
  <c r="BB96" i="6"/>
  <c r="BA96" i="6"/>
  <c r="AY96" i="6"/>
  <c r="AW96" i="6"/>
  <c r="AV96" i="6"/>
  <c r="AT96" i="6"/>
  <c r="AS96" i="6"/>
  <c r="AR96" i="6"/>
  <c r="AQ96" i="6"/>
  <c r="AO96" i="6"/>
  <c r="AN96" i="6"/>
  <c r="AM96" i="6"/>
  <c r="AL96" i="6"/>
  <c r="AJ96" i="6"/>
  <c r="AI96" i="6"/>
  <c r="AH96" i="6"/>
  <c r="AG96" i="6"/>
  <c r="AE96" i="6"/>
  <c r="AD96" i="6"/>
  <c r="AC96" i="6"/>
  <c r="AB96" i="6"/>
  <c r="AA96" i="6"/>
  <c r="Z96" i="6"/>
  <c r="Y96" i="6"/>
  <c r="X96" i="6"/>
  <c r="W96" i="6"/>
  <c r="V96" i="6"/>
  <c r="U96" i="6"/>
  <c r="T96" i="6"/>
  <c r="S96" i="6"/>
  <c r="R96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CD95" i="6"/>
  <c r="CC95" i="6"/>
  <c r="CB95" i="6"/>
  <c r="CA95" i="6"/>
  <c r="BZ95" i="6"/>
  <c r="BY95" i="6"/>
  <c r="BX95" i="6"/>
  <c r="BW95" i="6"/>
  <c r="BV95" i="6"/>
  <c r="BU95" i="6"/>
  <c r="BT95" i="6"/>
  <c r="BS95" i="6"/>
  <c r="BR95" i="6"/>
  <c r="BQ95" i="6"/>
  <c r="BP95" i="6"/>
  <c r="BO95" i="6"/>
  <c r="BN95" i="6"/>
  <c r="BM95" i="6"/>
  <c r="BL95" i="6"/>
  <c r="BK95" i="6"/>
  <c r="V95" i="6"/>
  <c r="U95" i="6"/>
  <c r="T95" i="6"/>
  <c r="S95" i="6"/>
  <c r="R95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CD94" i="6"/>
  <c r="CC94" i="6"/>
  <c r="CB94" i="6"/>
  <c r="CA94" i="6"/>
  <c r="BZ94" i="6"/>
  <c r="BY94" i="6"/>
  <c r="BX94" i="6"/>
  <c r="BW94" i="6"/>
  <c r="BV94" i="6"/>
  <c r="BU94" i="6"/>
  <c r="BT94" i="6"/>
  <c r="BS94" i="6"/>
  <c r="BR94" i="6"/>
  <c r="BQ94" i="6"/>
  <c r="BP94" i="6"/>
  <c r="BO94" i="6"/>
  <c r="BN94" i="6"/>
  <c r="BM94" i="6"/>
  <c r="BL94" i="6"/>
  <c r="BK94" i="6"/>
  <c r="BI94" i="6"/>
  <c r="BH94" i="6"/>
  <c r="BG94" i="6"/>
  <c r="BF94" i="6"/>
  <c r="AZ94" i="6"/>
  <c r="AY94" i="6"/>
  <c r="AX94" i="6"/>
  <c r="AW94" i="6"/>
  <c r="AV94" i="6"/>
  <c r="AU94" i="6"/>
  <c r="AT94" i="6"/>
  <c r="AS94" i="6"/>
  <c r="AR94" i="6"/>
  <c r="AQ94" i="6"/>
  <c r="AP94" i="6"/>
  <c r="AO94" i="6"/>
  <c r="AN94" i="6"/>
  <c r="AM94" i="6"/>
  <c r="AL94" i="6"/>
  <c r="AK94" i="6"/>
  <c r="AJ94" i="6"/>
  <c r="AI94" i="6"/>
  <c r="AH94" i="6"/>
  <c r="AG94" i="6"/>
  <c r="AF94" i="6"/>
  <c r="AE94" i="6"/>
  <c r="AD94" i="6"/>
  <c r="AC94" i="6"/>
  <c r="AB94" i="6"/>
  <c r="AA94" i="6"/>
  <c r="Z94" i="6"/>
  <c r="Y94" i="6"/>
  <c r="X94" i="6"/>
  <c r="W94" i="6"/>
  <c r="V94" i="6"/>
  <c r="U94" i="6"/>
  <c r="T94" i="6"/>
  <c r="S94" i="6"/>
  <c r="R94" i="6"/>
  <c r="Q94" i="6"/>
  <c r="P94" i="6"/>
  <c r="O94" i="6"/>
  <c r="N94" i="6"/>
  <c r="M94" i="6"/>
  <c r="L94" i="6"/>
  <c r="K94" i="6"/>
  <c r="J94" i="6"/>
  <c r="I94" i="6"/>
  <c r="H94" i="6"/>
  <c r="G94" i="6"/>
  <c r="F94" i="6"/>
  <c r="E94" i="6"/>
  <c r="D94" i="6"/>
  <c r="C94" i="6"/>
  <c r="B94" i="6"/>
  <c r="CD93" i="6"/>
  <c r="CC93" i="6"/>
  <c r="CB93" i="6"/>
  <c r="CA93" i="6"/>
  <c r="BZ93" i="6"/>
  <c r="BY93" i="6"/>
  <c r="BX93" i="6"/>
  <c r="BW93" i="6"/>
  <c r="BV93" i="6"/>
  <c r="BU93" i="6"/>
  <c r="BT93" i="6"/>
  <c r="BS93" i="6"/>
  <c r="BR93" i="6"/>
  <c r="BQ93" i="6"/>
  <c r="BP93" i="6"/>
  <c r="BO93" i="6"/>
  <c r="BN93" i="6"/>
  <c r="BM93" i="6"/>
  <c r="BL93" i="6"/>
  <c r="BK93" i="6"/>
  <c r="BI93" i="6"/>
  <c r="BH93" i="6"/>
  <c r="BG93" i="6"/>
  <c r="BF93" i="6"/>
  <c r="BC93" i="6"/>
  <c r="BB93" i="6"/>
  <c r="AZ93" i="6"/>
  <c r="AY93" i="6"/>
  <c r="AX93" i="6"/>
  <c r="AW93" i="6"/>
  <c r="AV93" i="6"/>
  <c r="AU93" i="6"/>
  <c r="AT93" i="6"/>
  <c r="AS93" i="6"/>
  <c r="AR93" i="6"/>
  <c r="AQ93" i="6"/>
  <c r="AP93" i="6"/>
  <c r="AO93" i="6"/>
  <c r="AN93" i="6"/>
  <c r="AM93" i="6"/>
  <c r="AL93" i="6"/>
  <c r="AK93" i="6"/>
  <c r="AJ93" i="6"/>
  <c r="AI93" i="6"/>
  <c r="AH93" i="6"/>
  <c r="AG93" i="6"/>
  <c r="AF93" i="6"/>
  <c r="AE93" i="6"/>
  <c r="AD93" i="6"/>
  <c r="AC93" i="6"/>
  <c r="AB93" i="6"/>
  <c r="AA93" i="6"/>
  <c r="Z93" i="6"/>
  <c r="Y93" i="6"/>
  <c r="X93" i="6"/>
  <c r="W93" i="6"/>
  <c r="V93" i="6"/>
  <c r="U93" i="6"/>
  <c r="T93" i="6"/>
  <c r="S93" i="6"/>
  <c r="R93" i="6"/>
  <c r="Q93" i="6"/>
  <c r="P93" i="6"/>
  <c r="O93" i="6"/>
  <c r="N93" i="6"/>
  <c r="M93" i="6"/>
  <c r="L93" i="6"/>
  <c r="K93" i="6"/>
  <c r="J93" i="6"/>
  <c r="I93" i="6"/>
  <c r="H93" i="6"/>
  <c r="G93" i="6"/>
  <c r="F93" i="6"/>
  <c r="E93" i="6"/>
  <c r="D93" i="6"/>
  <c r="C93" i="6"/>
  <c r="B93" i="6"/>
  <c r="CC92" i="6"/>
  <c r="CB92" i="6"/>
  <c r="CA92" i="6"/>
  <c r="BZ92" i="6"/>
  <c r="BX92" i="6"/>
  <c r="BW92" i="6"/>
  <c r="BV92" i="6"/>
  <c r="BU92" i="6"/>
  <c r="BS92" i="6"/>
  <c r="BR92" i="6"/>
  <c r="BQ92" i="6"/>
  <c r="BP92" i="6"/>
  <c r="BN92" i="6"/>
  <c r="BM92" i="6"/>
  <c r="BL92" i="6"/>
  <c r="BK92" i="6"/>
  <c r="BD92" i="6"/>
  <c r="BC92" i="6"/>
  <c r="BB92" i="6"/>
  <c r="BA92" i="6"/>
  <c r="AW92" i="6"/>
  <c r="AJ92" i="6"/>
  <c r="AI92" i="6"/>
  <c r="AH92" i="6"/>
  <c r="AG92" i="6"/>
  <c r="AE92" i="6"/>
  <c r="AD92" i="6"/>
  <c r="AC92" i="6"/>
  <c r="AB92" i="6"/>
  <c r="Z92" i="6"/>
  <c r="Y92" i="6"/>
  <c r="X92" i="6"/>
  <c r="W92" i="6"/>
  <c r="U92" i="6"/>
  <c r="T92" i="6"/>
  <c r="S92" i="6"/>
  <c r="R92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Y91" i="6"/>
  <c r="AX91" i="6"/>
  <c r="AW91" i="6"/>
  <c r="AV91" i="6"/>
  <c r="AU91" i="6"/>
  <c r="AT91" i="6"/>
  <c r="AS91" i="6"/>
  <c r="AR91" i="6"/>
  <c r="AQ91" i="6"/>
  <c r="AP91" i="6"/>
  <c r="AO91" i="6"/>
  <c r="AN91" i="6"/>
  <c r="AM91" i="6"/>
  <c r="AL91" i="6"/>
  <c r="AK91" i="6"/>
  <c r="AJ91" i="6"/>
  <c r="AI91" i="6"/>
  <c r="AH91" i="6"/>
  <c r="AG91" i="6"/>
  <c r="AF91" i="6"/>
  <c r="AE91" i="6"/>
  <c r="AD91" i="6"/>
  <c r="AC91" i="6"/>
  <c r="AB91" i="6"/>
  <c r="AA91" i="6"/>
  <c r="Z91" i="6"/>
  <c r="Y91" i="6"/>
  <c r="X91" i="6"/>
  <c r="W91" i="6"/>
  <c r="V91" i="6"/>
  <c r="U91" i="6"/>
  <c r="T91" i="6"/>
  <c r="S91" i="6"/>
  <c r="R91" i="6"/>
  <c r="Q91" i="6"/>
  <c r="P91" i="6"/>
  <c r="O91" i="6"/>
  <c r="N91" i="6"/>
  <c r="M91" i="6"/>
  <c r="L91" i="6"/>
  <c r="K91" i="6"/>
  <c r="J91" i="6"/>
  <c r="I91" i="6"/>
  <c r="H91" i="6"/>
  <c r="G91" i="6"/>
  <c r="F91" i="6"/>
  <c r="E91" i="6"/>
  <c r="D91" i="6"/>
  <c r="C91" i="6"/>
  <c r="B91" i="6"/>
  <c r="CC89" i="6"/>
  <c r="CB89" i="6"/>
  <c r="CA89" i="6"/>
  <c r="BZ89" i="6"/>
  <c r="BX89" i="6"/>
  <c r="BW89" i="6"/>
  <c r="BV89" i="6"/>
  <c r="BU89" i="6"/>
  <c r="BS89" i="6"/>
  <c r="BR89" i="6"/>
  <c r="BQ89" i="6"/>
  <c r="BP89" i="6"/>
  <c r="BN89" i="6"/>
  <c r="BM89" i="6"/>
  <c r="BL89" i="6"/>
  <c r="BK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AC89" i="6"/>
  <c r="AB89" i="6"/>
  <c r="AA89" i="6"/>
  <c r="Z89" i="6"/>
  <c r="Y89" i="6"/>
  <c r="X89" i="6"/>
  <c r="W89" i="6"/>
  <c r="V89" i="6"/>
  <c r="U89" i="6"/>
  <c r="T89" i="6"/>
  <c r="S89" i="6"/>
  <c r="R89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CC88" i="6"/>
  <c r="CB88" i="6"/>
  <c r="CA88" i="6"/>
  <c r="BZ88" i="6"/>
  <c r="BX88" i="6"/>
  <c r="BW88" i="6"/>
  <c r="BV88" i="6"/>
  <c r="BU88" i="6"/>
  <c r="BS88" i="6"/>
  <c r="BR88" i="6"/>
  <c r="BQ88" i="6"/>
  <c r="BP88" i="6"/>
  <c r="BN88" i="6"/>
  <c r="BM88" i="6"/>
  <c r="BL88" i="6"/>
  <c r="BK88" i="6"/>
  <c r="AP88" i="6"/>
  <c r="AO88" i="6"/>
  <c r="AN88" i="6"/>
  <c r="AM88" i="6"/>
  <c r="AL88" i="6"/>
  <c r="AK88" i="6"/>
  <c r="AJ88" i="6"/>
  <c r="AI88" i="6"/>
  <c r="AH88" i="6"/>
  <c r="AG88" i="6"/>
  <c r="AF88" i="6"/>
  <c r="AE88" i="6"/>
  <c r="AD88" i="6"/>
  <c r="AC88" i="6"/>
  <c r="AB88" i="6"/>
  <c r="Q88" i="6"/>
  <c r="P88" i="6"/>
  <c r="O88" i="6"/>
  <c r="N88" i="6"/>
  <c r="M88" i="6"/>
  <c r="L88" i="6"/>
  <c r="K88" i="6"/>
  <c r="J88" i="6"/>
  <c r="I88" i="6"/>
  <c r="H88" i="6"/>
  <c r="G88" i="6"/>
  <c r="F88" i="6"/>
  <c r="E88" i="6"/>
  <c r="D88" i="6"/>
  <c r="C88" i="6"/>
  <c r="B88" i="6"/>
  <c r="CD87" i="6"/>
  <c r="CC87" i="6"/>
  <c r="CB87" i="6"/>
  <c r="CA87" i="6"/>
  <c r="BZ87" i="6"/>
  <c r="BY87" i="6"/>
  <c r="BX87" i="6"/>
  <c r="BW87" i="6"/>
  <c r="BV87" i="6"/>
  <c r="BU87" i="6"/>
  <c r="BT87" i="6"/>
  <c r="BS87" i="6"/>
  <c r="BR87" i="6"/>
  <c r="BQ87" i="6"/>
  <c r="BP87" i="6"/>
  <c r="BO87" i="6"/>
  <c r="BN87" i="6"/>
  <c r="BM87" i="6"/>
  <c r="BL87" i="6"/>
  <c r="BK87" i="6"/>
  <c r="AU87" i="6"/>
  <c r="AT87" i="6"/>
  <c r="AS87" i="6"/>
  <c r="AR87" i="6"/>
  <c r="AQ87" i="6"/>
  <c r="AP87" i="6"/>
  <c r="AO87" i="6"/>
  <c r="AN87" i="6"/>
  <c r="AM87" i="6"/>
  <c r="AL87" i="6"/>
  <c r="AK87" i="6"/>
  <c r="AJ87" i="6"/>
  <c r="AI87" i="6"/>
  <c r="AH87" i="6"/>
  <c r="AG87" i="6"/>
  <c r="AF87" i="6"/>
  <c r="AE87" i="6"/>
  <c r="AD87" i="6"/>
  <c r="AC87" i="6"/>
  <c r="AB87" i="6"/>
  <c r="AA87" i="6"/>
  <c r="Z87" i="6"/>
  <c r="Y87" i="6"/>
  <c r="X87" i="6"/>
  <c r="W87" i="6"/>
  <c r="V87" i="6"/>
  <c r="U87" i="6"/>
  <c r="T87" i="6"/>
  <c r="S87" i="6"/>
  <c r="R87" i="6"/>
  <c r="Q87" i="6"/>
  <c r="P87" i="6"/>
  <c r="O87" i="6"/>
  <c r="N87" i="6"/>
  <c r="M87" i="6"/>
  <c r="L87" i="6"/>
  <c r="K87" i="6"/>
  <c r="J87" i="6"/>
  <c r="I87" i="6"/>
  <c r="H87" i="6"/>
  <c r="G87" i="6"/>
  <c r="F87" i="6"/>
  <c r="E87" i="6"/>
  <c r="D87" i="6"/>
  <c r="C87" i="6"/>
  <c r="B87" i="6"/>
  <c r="CD86" i="6"/>
  <c r="CC86" i="6"/>
  <c r="CB86" i="6"/>
  <c r="CA86" i="6"/>
  <c r="BZ86" i="6"/>
  <c r="BY86" i="6"/>
  <c r="BX86" i="6"/>
  <c r="BW86" i="6"/>
  <c r="BV86" i="6"/>
  <c r="BU86" i="6"/>
  <c r="BT86" i="6"/>
  <c r="BS86" i="6"/>
  <c r="BR86" i="6"/>
  <c r="BQ86" i="6"/>
  <c r="BP86" i="6"/>
  <c r="BO86" i="6"/>
  <c r="BN86" i="6"/>
  <c r="BM86" i="6"/>
  <c r="BL86" i="6"/>
  <c r="BK86" i="6"/>
  <c r="BI86" i="6"/>
  <c r="BH86" i="6"/>
  <c r="BG86" i="6"/>
  <c r="BF86" i="6"/>
  <c r="AZ86" i="6"/>
  <c r="AY86" i="6"/>
  <c r="AW86" i="6"/>
  <c r="AV86" i="6"/>
  <c r="AU86" i="6"/>
  <c r="AT86" i="6"/>
  <c r="AS86" i="6"/>
  <c r="AR86" i="6"/>
  <c r="AQ86" i="6"/>
  <c r="AP86" i="6"/>
  <c r="AO86" i="6"/>
  <c r="AN86" i="6"/>
  <c r="AM86" i="6"/>
  <c r="AL86" i="6"/>
  <c r="AK86" i="6"/>
  <c r="AJ86" i="6"/>
  <c r="AI86" i="6"/>
  <c r="AH86" i="6"/>
  <c r="AG86" i="6"/>
  <c r="AF86" i="6"/>
  <c r="AE86" i="6"/>
  <c r="AD86" i="6"/>
  <c r="AC86" i="6"/>
  <c r="AB86" i="6"/>
  <c r="AA86" i="6"/>
  <c r="Z86" i="6"/>
  <c r="Y86" i="6"/>
  <c r="X86" i="6"/>
  <c r="W86" i="6"/>
  <c r="V86" i="6"/>
  <c r="U86" i="6"/>
  <c r="T86" i="6"/>
  <c r="S86" i="6"/>
  <c r="R86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CD85" i="6"/>
  <c r="CC85" i="6"/>
  <c r="CB85" i="6"/>
  <c r="CA85" i="6"/>
  <c r="BZ85" i="6"/>
  <c r="BY85" i="6"/>
  <c r="BX85" i="6"/>
  <c r="BW85" i="6"/>
  <c r="BV85" i="6"/>
  <c r="BU85" i="6"/>
  <c r="BT85" i="6"/>
  <c r="BS85" i="6"/>
  <c r="BR85" i="6"/>
  <c r="BQ85" i="6"/>
  <c r="BP85" i="6"/>
  <c r="BO85" i="6"/>
  <c r="BN85" i="6"/>
  <c r="BM85" i="6"/>
  <c r="BL85" i="6"/>
  <c r="BK85" i="6"/>
  <c r="BI85" i="6"/>
  <c r="BH85" i="6"/>
  <c r="BG85" i="6"/>
  <c r="BF85" i="6"/>
  <c r="BC85" i="6"/>
  <c r="BB85" i="6"/>
  <c r="AZ85" i="6"/>
  <c r="AY85" i="6"/>
  <c r="AX85" i="6"/>
  <c r="AW85" i="6"/>
  <c r="AV85" i="6"/>
  <c r="AU85" i="6"/>
  <c r="AT85" i="6"/>
  <c r="AS85" i="6"/>
  <c r="AR85" i="6"/>
  <c r="AQ85" i="6"/>
  <c r="AP85" i="6"/>
  <c r="AO85" i="6"/>
  <c r="AN85" i="6"/>
  <c r="AM85" i="6"/>
  <c r="AL85" i="6"/>
  <c r="AK85" i="6"/>
  <c r="AJ85" i="6"/>
  <c r="AI85" i="6"/>
  <c r="AH85" i="6"/>
  <c r="AG85" i="6"/>
  <c r="AF85" i="6"/>
  <c r="AE85" i="6"/>
  <c r="AD85" i="6"/>
  <c r="AC85" i="6"/>
  <c r="AB85" i="6"/>
  <c r="AA85" i="6"/>
  <c r="Z85" i="6"/>
  <c r="Y85" i="6"/>
  <c r="X85" i="6"/>
  <c r="W85" i="6"/>
  <c r="V85" i="6"/>
  <c r="U85" i="6"/>
  <c r="T85" i="6"/>
  <c r="S85" i="6"/>
  <c r="R85" i="6"/>
  <c r="Q85" i="6"/>
  <c r="P85" i="6"/>
  <c r="O85" i="6"/>
  <c r="N85" i="6"/>
  <c r="M85" i="6"/>
  <c r="L85" i="6"/>
  <c r="K85" i="6"/>
  <c r="J85" i="6"/>
  <c r="I85" i="6"/>
  <c r="H85" i="6"/>
  <c r="G85" i="6"/>
  <c r="F85" i="6"/>
  <c r="E85" i="6"/>
  <c r="D85" i="6"/>
  <c r="C85" i="6"/>
  <c r="B85" i="6"/>
  <c r="CC84" i="6"/>
  <c r="CB84" i="6"/>
  <c r="CA84" i="6"/>
  <c r="BZ84" i="6"/>
  <c r="BX84" i="6"/>
  <c r="BW84" i="6"/>
  <c r="BV84" i="6"/>
  <c r="BU84" i="6"/>
  <c r="BS84" i="6"/>
  <c r="BR84" i="6"/>
  <c r="BQ84" i="6"/>
  <c r="BP84" i="6"/>
  <c r="BN84" i="6"/>
  <c r="BM84" i="6"/>
  <c r="BL84" i="6"/>
  <c r="BK84" i="6"/>
  <c r="BD84" i="6"/>
  <c r="BC84" i="6"/>
  <c r="BB84" i="6"/>
  <c r="BA84" i="6"/>
  <c r="AY84" i="6"/>
  <c r="AW84" i="6"/>
  <c r="AV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F84" i="6"/>
  <c r="AE84" i="6"/>
  <c r="AD84" i="6"/>
  <c r="AC84" i="6"/>
  <c r="AB84" i="6"/>
  <c r="B84" i="6"/>
  <c r="CC83" i="6"/>
  <c r="CB83" i="6"/>
  <c r="CA83" i="6"/>
  <c r="BZ83" i="6"/>
  <c r="BX83" i="6"/>
  <c r="BW83" i="6"/>
  <c r="BV83" i="6"/>
  <c r="BU83" i="6"/>
  <c r="BS83" i="6"/>
  <c r="BR83" i="6"/>
  <c r="BQ83" i="6"/>
  <c r="BP83" i="6"/>
  <c r="BN83" i="6"/>
  <c r="BM83" i="6"/>
  <c r="BL83" i="6"/>
  <c r="BK83" i="6"/>
  <c r="AU83" i="6"/>
  <c r="AT83" i="6"/>
  <c r="AS83" i="6"/>
  <c r="AR83" i="6"/>
  <c r="AQ83" i="6"/>
  <c r="AP83" i="6"/>
  <c r="AO83" i="6"/>
  <c r="AN83" i="6"/>
  <c r="AM83" i="6"/>
  <c r="AL83" i="6"/>
  <c r="AK83" i="6"/>
  <c r="AJ83" i="6"/>
  <c r="AI83" i="6"/>
  <c r="AH83" i="6"/>
  <c r="AG83" i="6"/>
  <c r="AF83" i="6"/>
  <c r="AE83" i="6"/>
  <c r="AD83" i="6"/>
  <c r="AC83" i="6"/>
  <c r="AB83" i="6"/>
  <c r="AA83" i="6"/>
  <c r="Z83" i="6"/>
  <c r="Y83" i="6"/>
  <c r="X83" i="6"/>
  <c r="W83" i="6"/>
  <c r="V83" i="6"/>
  <c r="U83" i="6"/>
  <c r="T83" i="6"/>
  <c r="S83" i="6"/>
  <c r="R83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CC82" i="6"/>
  <c r="CB82" i="6"/>
  <c r="CA82" i="6"/>
  <c r="BZ82" i="6"/>
  <c r="BX82" i="6"/>
  <c r="BW82" i="6"/>
  <c r="BV82" i="6"/>
  <c r="BU82" i="6"/>
  <c r="BS82" i="6"/>
  <c r="BR82" i="6"/>
  <c r="BQ82" i="6"/>
  <c r="BP82" i="6"/>
  <c r="BN82" i="6"/>
  <c r="BM82" i="6"/>
  <c r="BL82" i="6"/>
  <c r="BK82" i="6"/>
  <c r="AR82" i="6"/>
  <c r="AQ82" i="6"/>
  <c r="AP82" i="6"/>
  <c r="AO82" i="6"/>
  <c r="AN82" i="6"/>
  <c r="AM82" i="6"/>
  <c r="AL82" i="6"/>
  <c r="AK82" i="6"/>
  <c r="AJ82" i="6"/>
  <c r="AI82" i="6"/>
  <c r="AH82" i="6"/>
  <c r="AG82" i="6"/>
  <c r="AF82" i="6"/>
  <c r="AE82" i="6"/>
  <c r="AD82" i="6"/>
  <c r="AC82" i="6"/>
  <c r="AB82" i="6"/>
  <c r="AA82" i="6"/>
  <c r="Z82" i="6"/>
  <c r="Y82" i="6"/>
  <c r="X82" i="6"/>
  <c r="W82" i="6"/>
  <c r="V82" i="6"/>
  <c r="U82" i="6"/>
  <c r="T82" i="6"/>
  <c r="S82" i="6"/>
  <c r="R82" i="6"/>
  <c r="Q82" i="6"/>
  <c r="P82" i="6"/>
  <c r="O82" i="6"/>
  <c r="N82" i="6"/>
  <c r="M82" i="6"/>
  <c r="L82" i="6"/>
  <c r="K82" i="6"/>
  <c r="J82" i="6"/>
  <c r="I82" i="6"/>
  <c r="H82" i="6"/>
  <c r="G82" i="6"/>
  <c r="F82" i="6"/>
  <c r="E82" i="6"/>
  <c r="D82" i="6"/>
  <c r="C82" i="6"/>
  <c r="B82" i="6"/>
  <c r="CC81" i="6"/>
  <c r="CB81" i="6"/>
  <c r="CA81" i="6"/>
  <c r="BZ81" i="6"/>
  <c r="BX81" i="6"/>
  <c r="BW81" i="6"/>
  <c r="BV81" i="6"/>
  <c r="BU81" i="6"/>
  <c r="BS81" i="6"/>
  <c r="BR81" i="6"/>
  <c r="BQ81" i="6"/>
  <c r="BP81" i="6"/>
  <c r="BN81" i="6"/>
  <c r="BM81" i="6"/>
  <c r="BL81" i="6"/>
  <c r="BK81" i="6"/>
  <c r="BJ81" i="6"/>
  <c r="BI81" i="6"/>
  <c r="BH81" i="6"/>
  <c r="BG81" i="6"/>
  <c r="BF81" i="6"/>
  <c r="BE81" i="6"/>
  <c r="BD81" i="6"/>
  <c r="BC81" i="6"/>
  <c r="BB81" i="6"/>
  <c r="BA81" i="6"/>
  <c r="AZ81" i="6"/>
  <c r="AY81" i="6"/>
  <c r="AX81" i="6"/>
  <c r="AW81" i="6"/>
  <c r="AV81" i="6"/>
  <c r="AU81" i="6"/>
  <c r="AT81" i="6"/>
  <c r="AS81" i="6"/>
  <c r="AR81" i="6"/>
  <c r="AQ81" i="6"/>
  <c r="AP81" i="6"/>
  <c r="AO81" i="6"/>
  <c r="AN81" i="6"/>
  <c r="AM81" i="6"/>
  <c r="AL81" i="6"/>
  <c r="AK81" i="6"/>
  <c r="AJ81" i="6"/>
  <c r="AI81" i="6"/>
  <c r="AH81" i="6"/>
  <c r="AG81" i="6"/>
  <c r="AF81" i="6"/>
  <c r="AE81" i="6"/>
  <c r="AD81" i="6"/>
  <c r="AC81" i="6"/>
  <c r="AB81" i="6"/>
  <c r="AA81" i="6"/>
  <c r="Z81" i="6"/>
  <c r="Y81" i="6"/>
  <c r="X81" i="6"/>
  <c r="W81" i="6"/>
  <c r="V81" i="6"/>
  <c r="U81" i="6"/>
  <c r="T81" i="6"/>
  <c r="S81" i="6"/>
  <c r="R81" i="6"/>
  <c r="Q81" i="6"/>
  <c r="P81" i="6"/>
  <c r="O81" i="6"/>
  <c r="N81" i="6"/>
  <c r="M81" i="6"/>
  <c r="L81" i="6"/>
  <c r="K81" i="6"/>
  <c r="J81" i="6"/>
  <c r="I81" i="6"/>
  <c r="H81" i="6"/>
  <c r="G81" i="6"/>
  <c r="F81" i="6"/>
  <c r="E81" i="6"/>
  <c r="D81" i="6"/>
  <c r="C81" i="6"/>
  <c r="B81" i="6"/>
  <c r="CC80" i="6"/>
  <c r="CB80" i="6"/>
  <c r="CA80" i="6"/>
  <c r="BZ80" i="6"/>
  <c r="BX80" i="6"/>
  <c r="BW80" i="6"/>
  <c r="BV80" i="6"/>
  <c r="BU80" i="6"/>
  <c r="BS80" i="6"/>
  <c r="BR80" i="6"/>
  <c r="BQ80" i="6"/>
  <c r="BP80" i="6"/>
  <c r="BN80" i="6"/>
  <c r="BM80" i="6"/>
  <c r="BL80" i="6"/>
  <c r="BK80" i="6"/>
  <c r="BD80" i="6"/>
  <c r="BC80" i="6"/>
  <c r="BB80" i="6"/>
  <c r="BA80" i="6"/>
  <c r="AZ80" i="6"/>
  <c r="AY80" i="6"/>
  <c r="AX80" i="6"/>
  <c r="AW80" i="6"/>
  <c r="AV80" i="6"/>
  <c r="AU80" i="6"/>
  <c r="AT80" i="6"/>
  <c r="AS80" i="6"/>
  <c r="AR80" i="6"/>
  <c r="AQ80" i="6"/>
  <c r="AP80" i="6"/>
  <c r="AO80" i="6"/>
  <c r="AN80" i="6"/>
  <c r="AM80" i="6"/>
  <c r="AL80" i="6"/>
  <c r="AK80" i="6"/>
  <c r="AJ80" i="6"/>
  <c r="AI80" i="6"/>
  <c r="AH80" i="6"/>
  <c r="AG80" i="6"/>
  <c r="AF80" i="6"/>
  <c r="AE80" i="6"/>
  <c r="AD80" i="6"/>
  <c r="AC80" i="6"/>
  <c r="AB80" i="6"/>
  <c r="AA80" i="6"/>
  <c r="Z80" i="6"/>
  <c r="Y80" i="6"/>
  <c r="X80" i="6"/>
  <c r="W80" i="6"/>
  <c r="V80" i="6"/>
  <c r="U80" i="6"/>
  <c r="T80" i="6"/>
  <c r="S80" i="6"/>
  <c r="R80" i="6"/>
  <c r="Q80" i="6"/>
  <c r="P80" i="6"/>
  <c r="O80" i="6"/>
  <c r="N80" i="6"/>
  <c r="M80" i="6"/>
  <c r="L80" i="6"/>
  <c r="K80" i="6"/>
  <c r="J80" i="6"/>
  <c r="I80" i="6"/>
  <c r="H80" i="6"/>
  <c r="G80" i="6"/>
  <c r="F80" i="6"/>
  <c r="E80" i="6"/>
  <c r="D80" i="6"/>
  <c r="C80" i="6"/>
  <c r="B80" i="6"/>
  <c r="CC79" i="6"/>
  <c r="CB79" i="6"/>
  <c r="CA79" i="6"/>
  <c r="BZ79" i="6"/>
  <c r="BX79" i="6"/>
  <c r="BW79" i="6"/>
  <c r="BV79" i="6"/>
  <c r="BU79" i="6"/>
  <c r="BS79" i="6"/>
  <c r="BR79" i="6"/>
  <c r="BQ79" i="6"/>
  <c r="BP79" i="6"/>
  <c r="BN79" i="6"/>
  <c r="BM79" i="6"/>
  <c r="BL79" i="6"/>
  <c r="BK79" i="6"/>
  <c r="BI79" i="6"/>
  <c r="BH79" i="6"/>
  <c r="BG79" i="6"/>
  <c r="BF79" i="6"/>
  <c r="BA79" i="6"/>
  <c r="AZ79" i="6"/>
  <c r="AY79" i="6"/>
  <c r="AX79" i="6"/>
  <c r="AW79" i="6"/>
  <c r="AV79" i="6"/>
  <c r="AU79" i="6"/>
  <c r="AT79" i="6"/>
  <c r="AS79" i="6"/>
  <c r="AR79" i="6"/>
  <c r="AQ79" i="6"/>
  <c r="AP79" i="6"/>
  <c r="AO79" i="6"/>
  <c r="AN79" i="6"/>
  <c r="AM79" i="6"/>
  <c r="AL79" i="6"/>
  <c r="AK79" i="6"/>
  <c r="AJ79" i="6"/>
  <c r="AI79" i="6"/>
  <c r="AH79" i="6"/>
  <c r="AG79" i="6"/>
  <c r="AF79" i="6"/>
  <c r="AE79" i="6"/>
  <c r="AD79" i="6"/>
  <c r="AC79" i="6"/>
  <c r="AB79" i="6"/>
  <c r="AA79" i="6"/>
  <c r="Z79" i="6"/>
  <c r="Y79" i="6"/>
  <c r="X79" i="6"/>
  <c r="W79" i="6"/>
  <c r="V79" i="6"/>
  <c r="U79" i="6"/>
  <c r="T79" i="6"/>
  <c r="S79" i="6"/>
  <c r="R79" i="6"/>
  <c r="Q79" i="6"/>
  <c r="P79" i="6"/>
  <c r="O79" i="6"/>
  <c r="N79" i="6"/>
  <c r="M79" i="6"/>
  <c r="L79" i="6"/>
  <c r="K79" i="6"/>
  <c r="J79" i="6"/>
  <c r="I79" i="6"/>
  <c r="H79" i="6"/>
  <c r="G79" i="6"/>
  <c r="F79" i="6"/>
  <c r="E79" i="6"/>
  <c r="D79" i="6"/>
  <c r="C79" i="6"/>
  <c r="B79" i="6"/>
  <c r="CC78" i="6"/>
  <c r="CB78" i="6"/>
  <c r="CA78" i="6"/>
  <c r="BZ78" i="6"/>
  <c r="BX78" i="6"/>
  <c r="BW78" i="6"/>
  <c r="BV78" i="6"/>
  <c r="BU78" i="6"/>
  <c r="BS78" i="6"/>
  <c r="BR78" i="6"/>
  <c r="BQ78" i="6"/>
  <c r="BP78" i="6"/>
  <c r="BO78" i="6"/>
  <c r="BN78" i="6"/>
  <c r="BM78" i="6"/>
  <c r="BL78" i="6"/>
  <c r="BK78" i="6"/>
  <c r="BI78" i="6"/>
  <c r="BH78" i="6"/>
  <c r="BG78" i="6"/>
  <c r="BF78" i="6"/>
  <c r="BE78" i="6"/>
  <c r="BD78" i="6"/>
  <c r="BC78" i="6"/>
  <c r="BB78" i="6"/>
  <c r="BA78" i="6"/>
  <c r="AZ78" i="6"/>
  <c r="AY78" i="6"/>
  <c r="AX78" i="6"/>
  <c r="AW78" i="6"/>
  <c r="AV78" i="6"/>
  <c r="AU78" i="6"/>
  <c r="AT78" i="6"/>
  <c r="AS78" i="6"/>
  <c r="AR78" i="6"/>
  <c r="AQ78" i="6"/>
  <c r="AP78" i="6"/>
  <c r="AO78" i="6"/>
  <c r="AN78" i="6"/>
  <c r="AM78" i="6"/>
  <c r="AL78" i="6"/>
  <c r="AK78" i="6"/>
  <c r="AJ78" i="6"/>
  <c r="AI78" i="6"/>
  <c r="AH78" i="6"/>
  <c r="AG78" i="6"/>
  <c r="AF78" i="6"/>
  <c r="AE78" i="6"/>
  <c r="AD78" i="6"/>
  <c r="AC78" i="6"/>
  <c r="AB78" i="6"/>
  <c r="AA78" i="6"/>
  <c r="Z78" i="6"/>
  <c r="Y78" i="6"/>
  <c r="X78" i="6"/>
  <c r="W78" i="6"/>
  <c r="V78" i="6"/>
  <c r="U78" i="6"/>
  <c r="T78" i="6"/>
  <c r="S78" i="6"/>
  <c r="R78" i="6"/>
  <c r="Q78" i="6"/>
  <c r="P78" i="6"/>
  <c r="O78" i="6"/>
  <c r="N78" i="6"/>
  <c r="M78" i="6"/>
  <c r="L78" i="6"/>
  <c r="K78" i="6"/>
  <c r="J78" i="6"/>
  <c r="I78" i="6"/>
  <c r="H78" i="6"/>
  <c r="G78" i="6"/>
  <c r="F78" i="6"/>
  <c r="E78" i="6"/>
  <c r="D78" i="6"/>
  <c r="C78" i="6"/>
  <c r="B78" i="6"/>
  <c r="CC77" i="6"/>
  <c r="CB77" i="6"/>
  <c r="CA77" i="6"/>
  <c r="BZ77" i="6"/>
  <c r="BX77" i="6"/>
  <c r="BW77" i="6"/>
  <c r="BV77" i="6"/>
  <c r="BU77" i="6"/>
  <c r="BS77" i="6"/>
  <c r="BR77" i="6"/>
  <c r="BQ77" i="6"/>
  <c r="BP77" i="6"/>
  <c r="BN77" i="6"/>
  <c r="BM77" i="6"/>
  <c r="BL77" i="6"/>
  <c r="BK77" i="6"/>
  <c r="BI77" i="6"/>
  <c r="BH77" i="6"/>
  <c r="BG77" i="6"/>
  <c r="BF77" i="6"/>
  <c r="BD77" i="6"/>
  <c r="BC77" i="6"/>
  <c r="BB77" i="6"/>
  <c r="BA77" i="6"/>
  <c r="AZ77" i="6"/>
  <c r="AY77" i="6"/>
  <c r="AX77" i="6"/>
  <c r="AW77" i="6"/>
  <c r="AV77" i="6"/>
  <c r="AU77" i="6"/>
  <c r="AT77" i="6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Z77" i="6"/>
  <c r="Y77" i="6"/>
  <c r="X77" i="6"/>
  <c r="W77" i="6"/>
  <c r="V77" i="6"/>
  <c r="U77" i="6"/>
  <c r="T77" i="6"/>
  <c r="S77" i="6"/>
  <c r="R77" i="6"/>
  <c r="Q77" i="6"/>
  <c r="P77" i="6"/>
  <c r="O77" i="6"/>
  <c r="N77" i="6"/>
  <c r="M77" i="6"/>
  <c r="L77" i="6"/>
  <c r="K77" i="6"/>
  <c r="J77" i="6"/>
  <c r="I77" i="6"/>
  <c r="H77" i="6"/>
  <c r="G77" i="6"/>
  <c r="F77" i="6"/>
  <c r="E77" i="6"/>
  <c r="D77" i="6"/>
  <c r="C77" i="6"/>
  <c r="B77" i="6"/>
  <c r="AZ76" i="6"/>
  <c r="AY76" i="6"/>
  <c r="AX76" i="6"/>
  <c r="AW76" i="6"/>
  <c r="AV76" i="6"/>
  <c r="AU76" i="6"/>
  <c r="AT76" i="6"/>
  <c r="AS76" i="6"/>
  <c r="AR76" i="6"/>
  <c r="AQ76" i="6"/>
  <c r="AP76" i="6"/>
  <c r="AO76" i="6"/>
  <c r="AN76" i="6"/>
  <c r="AM76" i="6"/>
  <c r="AL76" i="6"/>
  <c r="AK76" i="6"/>
  <c r="AJ76" i="6"/>
  <c r="AI76" i="6"/>
  <c r="AH76" i="6"/>
  <c r="AG76" i="6"/>
  <c r="AF76" i="6"/>
  <c r="AE76" i="6"/>
  <c r="AD76" i="6"/>
  <c r="AC76" i="6"/>
  <c r="AB76" i="6"/>
  <c r="AA76" i="6"/>
  <c r="Z76" i="6"/>
  <c r="Y76" i="6"/>
  <c r="X76" i="6"/>
  <c r="W76" i="6"/>
  <c r="V76" i="6"/>
  <c r="U76" i="6"/>
  <c r="T76" i="6"/>
  <c r="S76" i="6"/>
  <c r="R76" i="6"/>
  <c r="Q76" i="6"/>
  <c r="P76" i="6"/>
  <c r="O76" i="6"/>
  <c r="N76" i="6"/>
  <c r="M76" i="6"/>
  <c r="L76" i="6"/>
  <c r="K76" i="6"/>
  <c r="J76" i="6"/>
  <c r="I76" i="6"/>
  <c r="H76" i="6"/>
  <c r="G76" i="6"/>
  <c r="F76" i="6"/>
  <c r="E76" i="6"/>
  <c r="D76" i="6"/>
  <c r="C76" i="6"/>
  <c r="B76" i="6"/>
  <c r="BS75" i="6"/>
  <c r="BR75" i="6"/>
  <c r="BQ75" i="6"/>
  <c r="BP75" i="6"/>
  <c r="BN75" i="6"/>
  <c r="BM75" i="6"/>
  <c r="BL75" i="6"/>
  <c r="BK75" i="6"/>
  <c r="BI75" i="6"/>
  <c r="BH75" i="6"/>
  <c r="BG75" i="6"/>
  <c r="BF75" i="6"/>
  <c r="BD75" i="6"/>
  <c r="BC75" i="6"/>
  <c r="BB75" i="6"/>
  <c r="BA75" i="6"/>
  <c r="AZ75" i="6"/>
  <c r="AY75" i="6"/>
  <c r="AX75" i="6"/>
  <c r="AW75" i="6"/>
  <c r="AV75" i="6"/>
  <c r="AU75" i="6"/>
  <c r="AT75" i="6"/>
  <c r="AS75" i="6"/>
  <c r="AR75" i="6"/>
  <c r="AQ75" i="6"/>
  <c r="AP75" i="6"/>
  <c r="AO75" i="6"/>
  <c r="AN75" i="6"/>
  <c r="AM75" i="6"/>
  <c r="AL75" i="6"/>
  <c r="AK75" i="6"/>
  <c r="AJ75" i="6"/>
  <c r="AI75" i="6"/>
  <c r="AH75" i="6"/>
  <c r="AG75" i="6"/>
  <c r="AF75" i="6"/>
  <c r="AE75" i="6"/>
  <c r="AD75" i="6"/>
  <c r="AC75" i="6"/>
  <c r="AB75" i="6"/>
  <c r="AA75" i="6"/>
  <c r="Z75" i="6"/>
  <c r="Y75" i="6"/>
  <c r="X75" i="6"/>
  <c r="W75" i="6"/>
  <c r="V75" i="6"/>
  <c r="U75" i="6"/>
  <c r="T75" i="6"/>
  <c r="S75" i="6"/>
  <c r="R75" i="6"/>
  <c r="Q75" i="6"/>
  <c r="P75" i="6"/>
  <c r="O75" i="6"/>
  <c r="N75" i="6"/>
  <c r="M75" i="6"/>
  <c r="L75" i="6"/>
  <c r="K75" i="6"/>
  <c r="J75" i="6"/>
  <c r="I75" i="6"/>
  <c r="H75" i="6"/>
  <c r="G75" i="6"/>
  <c r="F75" i="6"/>
  <c r="E75" i="6"/>
  <c r="D75" i="6"/>
  <c r="C75" i="6"/>
  <c r="B75" i="6"/>
  <c r="CC74" i="6"/>
  <c r="CB74" i="6"/>
  <c r="CA74" i="6"/>
  <c r="BZ74" i="6"/>
  <c r="BX74" i="6"/>
  <c r="BW74" i="6"/>
  <c r="BV74" i="6"/>
  <c r="BU74" i="6"/>
  <c r="BS74" i="6"/>
  <c r="BR74" i="6"/>
  <c r="BQ74" i="6"/>
  <c r="BP74" i="6"/>
  <c r="BN74" i="6"/>
  <c r="BM74" i="6"/>
  <c r="BL74" i="6"/>
  <c r="BK74" i="6"/>
  <c r="BI74" i="6"/>
  <c r="BH74" i="6"/>
  <c r="BG74" i="6"/>
  <c r="BF74" i="6"/>
  <c r="BD74" i="6"/>
  <c r="BC74" i="6"/>
  <c r="BB74" i="6"/>
  <c r="BA74" i="6"/>
  <c r="AZ74" i="6"/>
  <c r="AY74" i="6"/>
  <c r="AX74" i="6"/>
  <c r="AW74" i="6"/>
  <c r="AV74" i="6"/>
  <c r="AU74" i="6"/>
  <c r="AT74" i="6"/>
  <c r="AS74" i="6"/>
  <c r="AR74" i="6"/>
  <c r="AQ74" i="6"/>
  <c r="AP74" i="6"/>
  <c r="AO74" i="6"/>
  <c r="AN74" i="6"/>
  <c r="AM74" i="6"/>
  <c r="AL74" i="6"/>
  <c r="AK74" i="6"/>
  <c r="AJ74" i="6"/>
  <c r="AI74" i="6"/>
  <c r="AH74" i="6"/>
  <c r="AG74" i="6"/>
  <c r="AF74" i="6"/>
  <c r="AE74" i="6"/>
  <c r="AD74" i="6"/>
  <c r="AC74" i="6"/>
  <c r="AB74" i="6"/>
  <c r="AA74" i="6"/>
  <c r="Z74" i="6"/>
  <c r="Y74" i="6"/>
  <c r="X74" i="6"/>
  <c r="W74" i="6"/>
  <c r="V74" i="6"/>
  <c r="U74" i="6"/>
  <c r="T74" i="6"/>
  <c r="S74" i="6"/>
  <c r="R74" i="6"/>
  <c r="Q74" i="6"/>
  <c r="P74" i="6"/>
  <c r="O74" i="6"/>
  <c r="N74" i="6"/>
  <c r="M74" i="6"/>
  <c r="L74" i="6"/>
  <c r="K74" i="6"/>
  <c r="J74" i="6"/>
  <c r="I74" i="6"/>
  <c r="H74" i="6"/>
  <c r="G74" i="6"/>
  <c r="F74" i="6"/>
  <c r="E74" i="6"/>
  <c r="D74" i="6"/>
  <c r="C74" i="6"/>
  <c r="B74" i="6"/>
  <c r="CC73" i="6"/>
  <c r="CB73" i="6"/>
  <c r="CA73" i="6"/>
  <c r="BZ73" i="6"/>
  <c r="BX73" i="6"/>
  <c r="BW73" i="6"/>
  <c r="BV73" i="6"/>
  <c r="BU73" i="6"/>
  <c r="BS73" i="6"/>
  <c r="BR73" i="6"/>
  <c r="BQ73" i="6"/>
  <c r="BP73" i="6"/>
  <c r="BN73" i="6"/>
  <c r="BM73" i="6"/>
  <c r="BL73" i="6"/>
  <c r="BK73" i="6"/>
  <c r="BI73" i="6"/>
  <c r="BH73" i="6"/>
  <c r="BG73" i="6"/>
  <c r="BF73" i="6"/>
  <c r="BD73" i="6"/>
  <c r="BC73" i="6"/>
  <c r="BB73" i="6"/>
  <c r="BA73" i="6"/>
  <c r="AZ73" i="6"/>
  <c r="AY73" i="6"/>
  <c r="AX73" i="6"/>
  <c r="AW73" i="6"/>
  <c r="AV73" i="6"/>
  <c r="AU73" i="6"/>
  <c r="AT73" i="6"/>
  <c r="AS73" i="6"/>
  <c r="AR73" i="6"/>
  <c r="AQ73" i="6"/>
  <c r="AP73" i="6"/>
  <c r="AO73" i="6"/>
  <c r="AN73" i="6"/>
  <c r="AM73" i="6"/>
  <c r="AL73" i="6"/>
  <c r="AK73" i="6"/>
  <c r="AJ73" i="6"/>
  <c r="AI73" i="6"/>
  <c r="AH73" i="6"/>
  <c r="AG73" i="6"/>
  <c r="AF73" i="6"/>
  <c r="AE73" i="6"/>
  <c r="AD73" i="6"/>
  <c r="AC73" i="6"/>
  <c r="AB73" i="6"/>
  <c r="AA73" i="6"/>
  <c r="Z73" i="6"/>
  <c r="Y73" i="6"/>
  <c r="X73" i="6"/>
  <c r="W73" i="6"/>
  <c r="V73" i="6"/>
  <c r="U73" i="6"/>
  <c r="T73" i="6"/>
  <c r="S73" i="6"/>
  <c r="R73" i="6"/>
  <c r="Q73" i="6"/>
  <c r="P73" i="6"/>
  <c r="O73" i="6"/>
  <c r="N73" i="6"/>
  <c r="M73" i="6"/>
  <c r="L73" i="6"/>
  <c r="K73" i="6"/>
  <c r="J73" i="6"/>
  <c r="I73" i="6"/>
  <c r="H73" i="6"/>
  <c r="G73" i="6"/>
  <c r="F73" i="6"/>
  <c r="E73" i="6"/>
  <c r="D73" i="6"/>
  <c r="C73" i="6"/>
  <c r="B73" i="6"/>
  <c r="CC72" i="6"/>
  <c r="CB72" i="6"/>
  <c r="CA72" i="6"/>
  <c r="BZ72" i="6"/>
  <c r="BX72" i="6"/>
  <c r="BW72" i="6"/>
  <c r="BV72" i="6"/>
  <c r="BU72" i="6"/>
  <c r="BS72" i="6"/>
  <c r="BR72" i="6"/>
  <c r="BQ72" i="6"/>
  <c r="BP72" i="6"/>
  <c r="BN72" i="6"/>
  <c r="BM72" i="6"/>
  <c r="BL72" i="6"/>
  <c r="BK72" i="6"/>
  <c r="BI72" i="6"/>
  <c r="BH72" i="6"/>
  <c r="BG72" i="6"/>
  <c r="BF72" i="6"/>
  <c r="BD72" i="6"/>
  <c r="BC72" i="6"/>
  <c r="BB72" i="6"/>
  <c r="BA72" i="6"/>
  <c r="AZ72" i="6"/>
  <c r="AY72" i="6"/>
  <c r="AX72" i="6"/>
  <c r="AW72" i="6"/>
  <c r="AV72" i="6"/>
  <c r="AU72" i="6"/>
  <c r="AT72" i="6"/>
  <c r="AS72" i="6"/>
  <c r="AR72" i="6"/>
  <c r="AQ72" i="6"/>
  <c r="AP72" i="6"/>
  <c r="AO72" i="6"/>
  <c r="AN72" i="6"/>
  <c r="AM72" i="6"/>
  <c r="AL72" i="6"/>
  <c r="AK72" i="6"/>
  <c r="AJ72" i="6"/>
  <c r="AI72" i="6"/>
  <c r="AH72" i="6"/>
  <c r="AG72" i="6"/>
  <c r="AF72" i="6"/>
  <c r="AE72" i="6"/>
  <c r="AD72" i="6"/>
  <c r="AC72" i="6"/>
  <c r="AB72" i="6"/>
  <c r="AA72" i="6"/>
  <c r="Z72" i="6"/>
  <c r="Y72" i="6"/>
  <c r="X72" i="6"/>
  <c r="W72" i="6"/>
  <c r="V72" i="6"/>
  <c r="U72" i="6"/>
  <c r="T72" i="6"/>
  <c r="S72" i="6"/>
  <c r="R72" i="6"/>
  <c r="Q72" i="6"/>
  <c r="P72" i="6"/>
  <c r="O72" i="6"/>
  <c r="N72" i="6"/>
  <c r="M72" i="6"/>
  <c r="L72" i="6"/>
  <c r="K72" i="6"/>
  <c r="J72" i="6"/>
  <c r="I72" i="6"/>
  <c r="H72" i="6"/>
  <c r="G72" i="6"/>
  <c r="F72" i="6"/>
  <c r="E72" i="6"/>
  <c r="D72" i="6"/>
  <c r="C72" i="6"/>
  <c r="B72" i="6"/>
  <c r="BD71" i="6"/>
  <c r="BC71" i="6"/>
  <c r="BB71" i="6"/>
  <c r="AZ71" i="6"/>
  <c r="AY71" i="6"/>
  <c r="AX71" i="6"/>
  <c r="AW71" i="6"/>
  <c r="AV71" i="6"/>
  <c r="AU71" i="6"/>
  <c r="AT71" i="6"/>
  <c r="AS71" i="6"/>
  <c r="AR71" i="6"/>
  <c r="AQ71" i="6"/>
  <c r="AP71" i="6"/>
  <c r="AO71" i="6"/>
  <c r="AN71" i="6"/>
  <c r="AM71" i="6"/>
  <c r="AL71" i="6"/>
  <c r="AK71" i="6"/>
  <c r="AJ71" i="6"/>
  <c r="AI71" i="6"/>
  <c r="AH71" i="6"/>
  <c r="AG71" i="6"/>
  <c r="AF71" i="6"/>
  <c r="AE71" i="6"/>
  <c r="AD71" i="6"/>
  <c r="AC71" i="6"/>
  <c r="AB71" i="6"/>
  <c r="AA71" i="6"/>
  <c r="Z71" i="6"/>
  <c r="Y71" i="6"/>
  <c r="X71" i="6"/>
  <c r="W71" i="6"/>
  <c r="V71" i="6"/>
  <c r="U71" i="6"/>
  <c r="T71" i="6"/>
  <c r="S71" i="6"/>
  <c r="R71" i="6"/>
  <c r="Q71" i="6"/>
  <c r="P71" i="6"/>
  <c r="O71" i="6"/>
  <c r="N71" i="6"/>
  <c r="M71" i="6"/>
  <c r="L71" i="6"/>
  <c r="K71" i="6"/>
  <c r="J71" i="6"/>
  <c r="I71" i="6"/>
  <c r="H71" i="6"/>
  <c r="G71" i="6"/>
  <c r="F71" i="6"/>
  <c r="E71" i="6"/>
  <c r="D71" i="6"/>
  <c r="C71" i="6"/>
  <c r="B71" i="6"/>
  <c r="CC70" i="6"/>
  <c r="CB70" i="6"/>
  <c r="CA70" i="6"/>
  <c r="BZ70" i="6"/>
  <c r="BX70" i="6"/>
  <c r="BW70" i="6"/>
  <c r="BV70" i="6"/>
  <c r="BU70" i="6"/>
  <c r="BS70" i="6"/>
  <c r="BR70" i="6"/>
  <c r="BQ70" i="6"/>
  <c r="BP70" i="6"/>
  <c r="BN70" i="6"/>
  <c r="BM70" i="6"/>
  <c r="BL70" i="6"/>
  <c r="BK70" i="6"/>
  <c r="BI70" i="6"/>
  <c r="BH70" i="6"/>
  <c r="BG70" i="6"/>
  <c r="BF70" i="6"/>
  <c r="BA70" i="6"/>
  <c r="AZ70" i="6"/>
  <c r="AY70" i="6"/>
  <c r="AX70" i="6"/>
  <c r="AW70" i="6"/>
  <c r="AV70" i="6"/>
  <c r="AU70" i="6"/>
  <c r="AT70" i="6"/>
  <c r="AS70" i="6"/>
  <c r="AR70" i="6"/>
  <c r="AQ70" i="6"/>
  <c r="AP70" i="6"/>
  <c r="AO70" i="6"/>
  <c r="AN70" i="6"/>
  <c r="AM70" i="6"/>
  <c r="AL70" i="6"/>
  <c r="AK70" i="6"/>
  <c r="AJ70" i="6"/>
  <c r="AI70" i="6"/>
  <c r="AH70" i="6"/>
  <c r="AG70" i="6"/>
  <c r="AF70" i="6"/>
  <c r="AE70" i="6"/>
  <c r="AD70" i="6"/>
  <c r="AC70" i="6"/>
  <c r="AB70" i="6"/>
  <c r="AA70" i="6"/>
  <c r="Z70" i="6"/>
  <c r="Y70" i="6"/>
  <c r="X70" i="6"/>
  <c r="W70" i="6"/>
  <c r="V70" i="6"/>
  <c r="U70" i="6"/>
  <c r="T70" i="6"/>
  <c r="S70" i="6"/>
  <c r="R70" i="6"/>
  <c r="Q70" i="6"/>
  <c r="P70" i="6"/>
  <c r="O70" i="6"/>
  <c r="N70" i="6"/>
  <c r="M70" i="6"/>
  <c r="L70" i="6"/>
  <c r="K70" i="6"/>
  <c r="J70" i="6"/>
  <c r="I70" i="6"/>
  <c r="H70" i="6"/>
  <c r="G70" i="6"/>
  <c r="F70" i="6"/>
  <c r="E70" i="6"/>
  <c r="D70" i="6"/>
  <c r="C70" i="6"/>
  <c r="B70" i="6"/>
  <c r="CC69" i="6"/>
  <c r="CB69" i="6"/>
  <c r="CA69" i="6"/>
  <c r="BZ69" i="6"/>
  <c r="BX69" i="6"/>
  <c r="BW69" i="6"/>
  <c r="BV69" i="6"/>
  <c r="BU69" i="6"/>
  <c r="BS69" i="6"/>
  <c r="BR69" i="6"/>
  <c r="BQ69" i="6"/>
  <c r="BP69" i="6"/>
  <c r="BN69" i="6"/>
  <c r="BM69" i="6"/>
  <c r="BL69" i="6"/>
  <c r="BK69" i="6"/>
  <c r="BI69" i="6"/>
  <c r="BH69" i="6"/>
  <c r="BG69" i="6"/>
  <c r="BF69" i="6"/>
  <c r="BD69" i="6"/>
  <c r="BC69" i="6"/>
  <c r="BB69" i="6"/>
  <c r="BA69" i="6"/>
  <c r="AZ69" i="6"/>
  <c r="AY69" i="6"/>
  <c r="AX69" i="6"/>
  <c r="AW69" i="6"/>
  <c r="AV69" i="6"/>
  <c r="AU69" i="6"/>
  <c r="AT69" i="6"/>
  <c r="AS69" i="6"/>
  <c r="AR69" i="6"/>
  <c r="AQ69" i="6"/>
  <c r="AP69" i="6"/>
  <c r="AO69" i="6"/>
  <c r="AN69" i="6"/>
  <c r="AM69" i="6"/>
  <c r="AL69" i="6"/>
  <c r="AK69" i="6"/>
  <c r="AJ69" i="6"/>
  <c r="AI69" i="6"/>
  <c r="AH69" i="6"/>
  <c r="AG69" i="6"/>
  <c r="AF69" i="6"/>
  <c r="AE69" i="6"/>
  <c r="AD69" i="6"/>
  <c r="AC69" i="6"/>
  <c r="AB69" i="6"/>
  <c r="AA69" i="6"/>
  <c r="Z69" i="6"/>
  <c r="Y69" i="6"/>
  <c r="X69" i="6"/>
  <c r="W69" i="6"/>
  <c r="V69" i="6"/>
  <c r="U69" i="6"/>
  <c r="T69" i="6"/>
  <c r="S69" i="6"/>
  <c r="R69" i="6"/>
  <c r="Q69" i="6"/>
  <c r="P69" i="6"/>
  <c r="O69" i="6"/>
  <c r="N69" i="6"/>
  <c r="M69" i="6"/>
  <c r="L69" i="6"/>
  <c r="K69" i="6"/>
  <c r="J69" i="6"/>
  <c r="I69" i="6"/>
  <c r="H69" i="6"/>
  <c r="G69" i="6"/>
  <c r="F69" i="6"/>
  <c r="E69" i="6"/>
  <c r="D69" i="6"/>
  <c r="C69" i="6"/>
  <c r="B69" i="6"/>
  <c r="CD68" i="6"/>
  <c r="CC68" i="6"/>
  <c r="CB68" i="6"/>
  <c r="CA68" i="6"/>
  <c r="BZ68" i="6"/>
  <c r="BY68" i="6"/>
  <c r="BX68" i="6"/>
  <c r="BW68" i="6"/>
  <c r="BV68" i="6"/>
  <c r="BU68" i="6"/>
  <c r="BT68" i="6"/>
  <c r="BS68" i="6"/>
  <c r="BR68" i="6"/>
  <c r="BQ68" i="6"/>
  <c r="BP68" i="6"/>
  <c r="BO68" i="6"/>
  <c r="BN68" i="6"/>
  <c r="BM68" i="6"/>
  <c r="BL68" i="6"/>
  <c r="BK68" i="6"/>
  <c r="BJ68" i="6"/>
  <c r="BI68" i="6"/>
  <c r="BH68" i="6"/>
  <c r="BG68" i="6"/>
  <c r="BF68" i="6"/>
  <c r="BE68" i="6"/>
  <c r="BD68" i="6"/>
  <c r="BC68" i="6"/>
  <c r="BB68" i="6"/>
  <c r="BA68" i="6"/>
  <c r="AZ68" i="6"/>
  <c r="AY68" i="6"/>
  <c r="AX68" i="6"/>
  <c r="AW68" i="6"/>
  <c r="AV68" i="6"/>
  <c r="AU68" i="6"/>
  <c r="AT68" i="6"/>
  <c r="AS68" i="6"/>
  <c r="AR68" i="6"/>
  <c r="AQ68" i="6"/>
  <c r="AP68" i="6"/>
  <c r="AO68" i="6"/>
  <c r="AN68" i="6"/>
  <c r="AM68" i="6"/>
  <c r="AL68" i="6"/>
  <c r="AK68" i="6"/>
  <c r="AJ68" i="6"/>
  <c r="AI68" i="6"/>
  <c r="AH68" i="6"/>
  <c r="AG68" i="6"/>
  <c r="AF68" i="6"/>
  <c r="AE68" i="6"/>
  <c r="AD68" i="6"/>
  <c r="AC68" i="6"/>
  <c r="AB68" i="6"/>
  <c r="AA68" i="6"/>
  <c r="Z68" i="6"/>
  <c r="Y68" i="6"/>
  <c r="X68" i="6"/>
  <c r="W68" i="6"/>
  <c r="V68" i="6"/>
  <c r="U68" i="6"/>
  <c r="T68" i="6"/>
  <c r="S68" i="6"/>
  <c r="R68" i="6"/>
  <c r="Q68" i="6"/>
  <c r="P68" i="6"/>
  <c r="O68" i="6"/>
  <c r="N68" i="6"/>
  <c r="M68" i="6"/>
  <c r="L68" i="6"/>
  <c r="K68" i="6"/>
  <c r="J68" i="6"/>
  <c r="I68" i="6"/>
  <c r="H68" i="6"/>
  <c r="G68" i="6"/>
  <c r="F68" i="6"/>
  <c r="E68" i="6"/>
  <c r="D68" i="6"/>
  <c r="C68" i="6"/>
  <c r="B68" i="6"/>
  <c r="CD66" i="6"/>
  <c r="CC66" i="6"/>
  <c r="CB66" i="6"/>
  <c r="CA66" i="6"/>
  <c r="BZ66" i="6"/>
  <c r="BY66" i="6"/>
  <c r="BX66" i="6"/>
  <c r="BW66" i="6"/>
  <c r="BV66" i="6"/>
  <c r="BU66" i="6"/>
  <c r="BT66" i="6"/>
  <c r="BS66" i="6"/>
  <c r="BR66" i="6"/>
  <c r="BQ66" i="6"/>
  <c r="BP66" i="6"/>
  <c r="BO66" i="6"/>
  <c r="BN66" i="6"/>
  <c r="BM66" i="6"/>
  <c r="BL66" i="6"/>
  <c r="BK66" i="6"/>
  <c r="BJ66" i="6"/>
  <c r="BI66" i="6"/>
  <c r="BH66" i="6"/>
  <c r="BG66" i="6"/>
  <c r="BF66" i="6"/>
  <c r="BE66" i="6"/>
  <c r="BD66" i="6"/>
  <c r="BC66" i="6"/>
  <c r="BB66" i="6"/>
  <c r="BA66" i="6"/>
  <c r="AZ66" i="6"/>
  <c r="AY66" i="6"/>
  <c r="AX66" i="6"/>
  <c r="AW66" i="6"/>
  <c r="AV66" i="6"/>
  <c r="AU66" i="6"/>
  <c r="AT66" i="6"/>
  <c r="AS66" i="6"/>
  <c r="AR66" i="6"/>
  <c r="AQ66" i="6"/>
  <c r="AP66" i="6"/>
  <c r="AO66" i="6"/>
  <c r="AN66" i="6"/>
  <c r="AM66" i="6"/>
  <c r="AL66" i="6"/>
  <c r="AK66" i="6"/>
  <c r="AJ66" i="6"/>
  <c r="AI66" i="6"/>
  <c r="AH66" i="6"/>
  <c r="AG66" i="6"/>
  <c r="AF66" i="6"/>
  <c r="AE66" i="6"/>
  <c r="AD66" i="6"/>
  <c r="AC66" i="6"/>
  <c r="AB66" i="6"/>
  <c r="AA66" i="6"/>
  <c r="Z66" i="6"/>
  <c r="Y66" i="6"/>
  <c r="X66" i="6"/>
  <c r="W66" i="6"/>
  <c r="V66" i="6"/>
  <c r="U66" i="6"/>
  <c r="T66" i="6"/>
  <c r="S66" i="6"/>
  <c r="R66" i="6"/>
  <c r="Q66" i="6"/>
  <c r="P66" i="6"/>
  <c r="O66" i="6"/>
  <c r="N66" i="6"/>
  <c r="M66" i="6"/>
  <c r="L66" i="6"/>
  <c r="K66" i="6"/>
  <c r="J66" i="6"/>
  <c r="I66" i="6"/>
  <c r="H66" i="6"/>
  <c r="G66" i="6"/>
  <c r="F66" i="6"/>
  <c r="E66" i="6"/>
  <c r="D66" i="6"/>
  <c r="C66" i="6"/>
  <c r="B66" i="6"/>
  <c r="CC65" i="6"/>
  <c r="CB65" i="6"/>
  <c r="CA65" i="6"/>
  <c r="BZ65" i="6"/>
  <c r="BX65" i="6"/>
  <c r="BW65" i="6"/>
  <c r="BV65" i="6"/>
  <c r="BU65" i="6"/>
  <c r="BS65" i="6"/>
  <c r="BR65" i="6"/>
  <c r="BQ65" i="6"/>
  <c r="BP65" i="6"/>
  <c r="BN65" i="6"/>
  <c r="BM65" i="6"/>
  <c r="BL65" i="6"/>
  <c r="BK65" i="6"/>
  <c r="BI65" i="6"/>
  <c r="BH65" i="6"/>
  <c r="BG65" i="6"/>
  <c r="BF65" i="6"/>
  <c r="BE65" i="6"/>
  <c r="BD65" i="6"/>
  <c r="BC65" i="6"/>
  <c r="BB65" i="6"/>
  <c r="BA65" i="6"/>
  <c r="AZ65" i="6"/>
  <c r="AY65" i="6"/>
  <c r="AX65" i="6"/>
  <c r="AW65" i="6"/>
  <c r="AV65" i="6"/>
  <c r="AU65" i="6"/>
  <c r="AT65" i="6"/>
  <c r="AS65" i="6"/>
  <c r="AR65" i="6"/>
  <c r="AQ65" i="6"/>
  <c r="AP65" i="6"/>
  <c r="AO65" i="6"/>
  <c r="AN65" i="6"/>
  <c r="AM65" i="6"/>
  <c r="AL65" i="6"/>
  <c r="AK65" i="6"/>
  <c r="AJ65" i="6"/>
  <c r="AI65" i="6"/>
  <c r="AH65" i="6"/>
  <c r="AG65" i="6"/>
  <c r="AF65" i="6"/>
  <c r="AE65" i="6"/>
  <c r="AD65" i="6"/>
  <c r="AC65" i="6"/>
  <c r="AB65" i="6"/>
  <c r="AA65" i="6"/>
  <c r="Z65" i="6"/>
  <c r="Y65" i="6"/>
  <c r="X65" i="6"/>
  <c r="W65" i="6"/>
  <c r="V65" i="6"/>
  <c r="U65" i="6"/>
  <c r="T65" i="6"/>
  <c r="S65" i="6"/>
  <c r="R65" i="6"/>
  <c r="Q65" i="6"/>
  <c r="P65" i="6"/>
  <c r="O65" i="6"/>
  <c r="N65" i="6"/>
  <c r="M65" i="6"/>
  <c r="L65" i="6"/>
  <c r="K65" i="6"/>
  <c r="J65" i="6"/>
  <c r="I65" i="6"/>
  <c r="H65" i="6"/>
  <c r="G65" i="6"/>
  <c r="F65" i="6"/>
  <c r="E65" i="6"/>
  <c r="D65" i="6"/>
  <c r="C65" i="6"/>
  <c r="B65" i="6"/>
  <c r="CD63" i="6"/>
  <c r="CC63" i="6"/>
  <c r="CB63" i="6"/>
  <c r="CA63" i="6"/>
  <c r="BZ63" i="6"/>
  <c r="BY63" i="6"/>
  <c r="BX63" i="6"/>
  <c r="BW63" i="6"/>
  <c r="BV63" i="6"/>
  <c r="BU63" i="6"/>
  <c r="BT63" i="6"/>
  <c r="BS63" i="6"/>
  <c r="BR63" i="6"/>
  <c r="BQ63" i="6"/>
  <c r="BP63" i="6"/>
  <c r="BO63" i="6"/>
  <c r="BN63" i="6"/>
  <c r="BM63" i="6"/>
  <c r="BL63" i="6"/>
  <c r="BK63" i="6"/>
  <c r="BJ63" i="6"/>
  <c r="BI63" i="6"/>
  <c r="BH63" i="6"/>
  <c r="BG63" i="6"/>
  <c r="BF63" i="6"/>
  <c r="BE63" i="6"/>
  <c r="BD63" i="6"/>
  <c r="BC63" i="6"/>
  <c r="BB63" i="6"/>
  <c r="BA63" i="6"/>
  <c r="AZ63" i="6"/>
  <c r="AY63" i="6"/>
  <c r="AX63" i="6"/>
  <c r="AW63" i="6"/>
  <c r="AV63" i="6"/>
  <c r="AU63" i="6"/>
  <c r="AT63" i="6"/>
  <c r="AS63" i="6"/>
  <c r="AR63" i="6"/>
  <c r="AQ63" i="6"/>
  <c r="AP63" i="6"/>
  <c r="AO63" i="6"/>
  <c r="AN63" i="6"/>
  <c r="AM63" i="6"/>
  <c r="AL63" i="6"/>
  <c r="AK63" i="6"/>
  <c r="AJ63" i="6"/>
  <c r="AI63" i="6"/>
  <c r="AH63" i="6"/>
  <c r="AG63" i="6"/>
  <c r="AF63" i="6"/>
  <c r="AE63" i="6"/>
  <c r="AD63" i="6"/>
  <c r="AC63" i="6"/>
  <c r="AB63" i="6"/>
  <c r="AA63" i="6"/>
  <c r="Z63" i="6"/>
  <c r="Y63" i="6"/>
  <c r="X63" i="6"/>
  <c r="W63" i="6"/>
  <c r="V63" i="6"/>
  <c r="U63" i="6"/>
  <c r="T63" i="6"/>
  <c r="S63" i="6"/>
  <c r="R63" i="6"/>
  <c r="Q63" i="6"/>
  <c r="P63" i="6"/>
  <c r="O63" i="6"/>
  <c r="N63" i="6"/>
  <c r="M63" i="6"/>
  <c r="L63" i="6"/>
  <c r="K63" i="6"/>
  <c r="J63" i="6"/>
  <c r="I63" i="6"/>
  <c r="H63" i="6"/>
  <c r="G63" i="6"/>
  <c r="F63" i="6"/>
  <c r="E63" i="6"/>
  <c r="D63" i="6"/>
  <c r="C63" i="6"/>
  <c r="B63" i="6"/>
  <c r="CC62" i="6"/>
  <c r="CB62" i="6"/>
  <c r="CA62" i="6"/>
  <c r="BZ62" i="6"/>
  <c r="BX62" i="6"/>
  <c r="BW62" i="6"/>
  <c r="BV62" i="6"/>
  <c r="BU62" i="6"/>
  <c r="BS62" i="6"/>
  <c r="BR62" i="6"/>
  <c r="BQ62" i="6"/>
  <c r="BP62" i="6"/>
  <c r="BN62" i="6"/>
  <c r="BM62" i="6"/>
  <c r="BL62" i="6"/>
  <c r="BK62" i="6"/>
  <c r="BI62" i="6"/>
  <c r="BH62" i="6"/>
  <c r="BG62" i="6"/>
  <c r="BF62" i="6"/>
  <c r="BD62" i="6"/>
  <c r="BC62" i="6"/>
  <c r="BB62" i="6"/>
  <c r="BA62" i="6"/>
  <c r="AZ62" i="6"/>
  <c r="AY62" i="6"/>
  <c r="AX62" i="6"/>
  <c r="AW62" i="6"/>
  <c r="AV62" i="6"/>
  <c r="AU62" i="6"/>
  <c r="AT62" i="6"/>
  <c r="AS62" i="6"/>
  <c r="AR62" i="6"/>
  <c r="AQ62" i="6"/>
  <c r="AP62" i="6"/>
  <c r="AO62" i="6"/>
  <c r="AN62" i="6"/>
  <c r="AM62" i="6"/>
  <c r="AL62" i="6"/>
  <c r="AK62" i="6"/>
  <c r="AJ62" i="6"/>
  <c r="AI62" i="6"/>
  <c r="AH62" i="6"/>
  <c r="AG62" i="6"/>
  <c r="AF62" i="6"/>
  <c r="AE62" i="6"/>
  <c r="AD62" i="6"/>
  <c r="AC62" i="6"/>
  <c r="AB62" i="6"/>
  <c r="AA62" i="6"/>
  <c r="Z62" i="6"/>
  <c r="Y62" i="6"/>
  <c r="X62" i="6"/>
  <c r="W62" i="6"/>
  <c r="V62" i="6"/>
  <c r="U62" i="6"/>
  <c r="T62" i="6"/>
  <c r="S62" i="6"/>
  <c r="R62" i="6"/>
  <c r="Q62" i="6"/>
  <c r="P62" i="6"/>
  <c r="O62" i="6"/>
  <c r="N62" i="6"/>
  <c r="M62" i="6"/>
  <c r="L62" i="6"/>
  <c r="K62" i="6"/>
  <c r="J62" i="6"/>
  <c r="I62" i="6"/>
  <c r="H62" i="6"/>
  <c r="G62" i="6"/>
  <c r="F62" i="6"/>
  <c r="E62" i="6"/>
  <c r="D62" i="6"/>
  <c r="C62" i="6"/>
  <c r="B62" i="6"/>
  <c r="CC60" i="6"/>
  <c r="CB60" i="6"/>
  <c r="CA60" i="6"/>
  <c r="BZ60" i="6"/>
  <c r="BX60" i="6"/>
  <c r="BW60" i="6"/>
  <c r="BV60" i="6"/>
  <c r="BU60" i="6"/>
  <c r="BS60" i="6"/>
  <c r="BR60" i="6"/>
  <c r="BQ60" i="6"/>
  <c r="BP60" i="6"/>
  <c r="BN60" i="6"/>
  <c r="BM60" i="6"/>
  <c r="BL60" i="6"/>
  <c r="BK60" i="6"/>
  <c r="AZ60" i="6"/>
  <c r="AW60" i="6"/>
  <c r="AV60" i="6"/>
  <c r="AU60" i="6"/>
  <c r="AT60" i="6"/>
  <c r="AS60" i="6"/>
  <c r="AR60" i="6"/>
  <c r="AQ60" i="6"/>
  <c r="AP60" i="6"/>
  <c r="AO60" i="6"/>
  <c r="AN60" i="6"/>
  <c r="AM60" i="6"/>
  <c r="AL60" i="6"/>
  <c r="AK60" i="6"/>
  <c r="AJ60" i="6"/>
  <c r="AI60" i="6"/>
  <c r="AH60" i="6"/>
  <c r="AG60" i="6"/>
  <c r="AF60" i="6"/>
  <c r="AE60" i="6"/>
  <c r="AD60" i="6"/>
  <c r="AC60" i="6"/>
  <c r="AB60" i="6"/>
  <c r="AA60" i="6"/>
  <c r="Z60" i="6"/>
  <c r="Y60" i="6"/>
  <c r="X60" i="6"/>
  <c r="W60" i="6"/>
  <c r="V60" i="6"/>
  <c r="U60" i="6"/>
  <c r="T60" i="6"/>
  <c r="S60" i="6"/>
  <c r="R60" i="6"/>
  <c r="Q60" i="6"/>
  <c r="P60" i="6"/>
  <c r="O60" i="6"/>
  <c r="N60" i="6"/>
  <c r="M60" i="6"/>
  <c r="L60" i="6"/>
  <c r="K60" i="6"/>
  <c r="J60" i="6"/>
  <c r="I60" i="6"/>
  <c r="H60" i="6"/>
  <c r="G60" i="6"/>
  <c r="F60" i="6"/>
  <c r="E60" i="6"/>
  <c r="D60" i="6"/>
  <c r="C60" i="6"/>
  <c r="B60" i="6"/>
  <c r="CC59" i="6"/>
  <c r="CB59" i="6"/>
  <c r="CA59" i="6"/>
  <c r="BZ59" i="6"/>
  <c r="BX59" i="6"/>
  <c r="BW59" i="6"/>
  <c r="BV59" i="6"/>
  <c r="BU59" i="6"/>
  <c r="BS59" i="6"/>
  <c r="BR59" i="6"/>
  <c r="BQ59" i="6"/>
  <c r="BP59" i="6"/>
  <c r="BN59" i="6"/>
  <c r="BM59" i="6"/>
  <c r="BL59" i="6"/>
  <c r="BK59" i="6"/>
  <c r="BD59" i="6"/>
  <c r="BC59" i="6"/>
  <c r="BB59" i="6"/>
  <c r="BA59" i="6"/>
  <c r="AY59" i="6"/>
  <c r="AX59" i="6"/>
  <c r="AW59" i="6"/>
  <c r="AV59" i="6"/>
  <c r="AU59" i="6"/>
  <c r="AT59" i="6"/>
  <c r="AS59" i="6"/>
  <c r="AR59" i="6"/>
  <c r="AQ59" i="6"/>
  <c r="AP59" i="6"/>
  <c r="AO59" i="6"/>
  <c r="AN59" i="6"/>
  <c r="AM59" i="6"/>
  <c r="AL59" i="6"/>
  <c r="AK59" i="6"/>
  <c r="AJ59" i="6"/>
  <c r="AI59" i="6"/>
  <c r="AH59" i="6"/>
  <c r="AG59" i="6"/>
  <c r="AF59" i="6"/>
  <c r="AE59" i="6"/>
  <c r="AD59" i="6"/>
  <c r="AC59" i="6"/>
  <c r="AB59" i="6"/>
  <c r="AA59" i="6"/>
  <c r="Z59" i="6"/>
  <c r="Y59" i="6"/>
  <c r="X59" i="6"/>
  <c r="W59" i="6"/>
  <c r="V59" i="6"/>
  <c r="U59" i="6"/>
  <c r="T59" i="6"/>
  <c r="S59" i="6"/>
  <c r="R59" i="6"/>
  <c r="Q59" i="6"/>
  <c r="P59" i="6"/>
  <c r="O59" i="6"/>
  <c r="N59" i="6"/>
  <c r="M59" i="6"/>
  <c r="L59" i="6"/>
  <c r="K59" i="6"/>
  <c r="J59" i="6"/>
  <c r="I59" i="6"/>
  <c r="H59" i="6"/>
  <c r="G59" i="6"/>
  <c r="F59" i="6"/>
  <c r="E59" i="6"/>
  <c r="D59" i="6"/>
  <c r="C59" i="6"/>
  <c r="B59" i="6"/>
  <c r="CD58" i="6"/>
  <c r="CC58" i="6"/>
  <c r="CB58" i="6"/>
  <c r="CA58" i="6"/>
  <c r="BZ58" i="6"/>
  <c r="BY58" i="6"/>
  <c r="BX58" i="6"/>
  <c r="BW58" i="6"/>
  <c r="BV58" i="6"/>
  <c r="BU58" i="6"/>
  <c r="BT58" i="6"/>
  <c r="BS58" i="6"/>
  <c r="BR58" i="6"/>
  <c r="BQ58" i="6"/>
  <c r="BP58" i="6"/>
  <c r="BO58" i="6"/>
  <c r="BN58" i="6"/>
  <c r="BM58" i="6"/>
  <c r="BL58" i="6"/>
  <c r="BK58" i="6"/>
  <c r="AZ58" i="6"/>
  <c r="AY58" i="6"/>
  <c r="AX58" i="6"/>
  <c r="AW58" i="6"/>
  <c r="AV58" i="6"/>
  <c r="AU58" i="6"/>
  <c r="AT58" i="6"/>
  <c r="AS58" i="6"/>
  <c r="AR58" i="6"/>
  <c r="AQ58" i="6"/>
  <c r="AP58" i="6"/>
  <c r="AO58" i="6"/>
  <c r="AN58" i="6"/>
  <c r="AM58" i="6"/>
  <c r="AL58" i="6"/>
  <c r="AK58" i="6"/>
  <c r="AJ58" i="6"/>
  <c r="AI58" i="6"/>
  <c r="AH58" i="6"/>
  <c r="AG58" i="6"/>
  <c r="AF58" i="6"/>
  <c r="AE58" i="6"/>
  <c r="AD58" i="6"/>
  <c r="AC58" i="6"/>
  <c r="AB58" i="6"/>
  <c r="AA58" i="6"/>
  <c r="Z58" i="6"/>
  <c r="Y58" i="6"/>
  <c r="X58" i="6"/>
  <c r="W58" i="6"/>
  <c r="V58" i="6"/>
  <c r="U58" i="6"/>
  <c r="T58" i="6"/>
  <c r="S58" i="6"/>
  <c r="R58" i="6"/>
  <c r="Q58" i="6"/>
  <c r="P58" i="6"/>
  <c r="O58" i="6"/>
  <c r="N58" i="6"/>
  <c r="M58" i="6"/>
  <c r="L58" i="6"/>
  <c r="K58" i="6"/>
  <c r="J58" i="6"/>
  <c r="I58" i="6"/>
  <c r="H58" i="6"/>
  <c r="G58" i="6"/>
  <c r="F58" i="6"/>
  <c r="E58" i="6"/>
  <c r="D58" i="6"/>
  <c r="C58" i="6"/>
  <c r="B58" i="6"/>
  <c r="CC57" i="6"/>
  <c r="CB57" i="6"/>
  <c r="CA57" i="6"/>
  <c r="BZ57" i="6"/>
  <c r="BX57" i="6"/>
  <c r="BW57" i="6"/>
  <c r="BV57" i="6"/>
  <c r="BU57" i="6"/>
  <c r="BS57" i="6"/>
  <c r="BR57" i="6"/>
  <c r="BQ57" i="6"/>
  <c r="BP57" i="6"/>
  <c r="BN57" i="6"/>
  <c r="BM57" i="6"/>
  <c r="BL57" i="6"/>
  <c r="BK57" i="6"/>
  <c r="BI57" i="6"/>
  <c r="BH57" i="6"/>
  <c r="BG57" i="6"/>
  <c r="BF57" i="6"/>
  <c r="AU57" i="6"/>
  <c r="AT57" i="6"/>
  <c r="AS57" i="6"/>
  <c r="AR57" i="6"/>
  <c r="AQ57" i="6"/>
  <c r="AP57" i="6"/>
  <c r="AO57" i="6"/>
  <c r="AN57" i="6"/>
  <c r="AM57" i="6"/>
  <c r="AL57" i="6"/>
  <c r="AK57" i="6"/>
  <c r="AJ57" i="6"/>
  <c r="AI57" i="6"/>
  <c r="AH57" i="6"/>
  <c r="AG57" i="6"/>
  <c r="AF57" i="6"/>
  <c r="AE57" i="6"/>
  <c r="AD57" i="6"/>
  <c r="AC57" i="6"/>
  <c r="AB57" i="6"/>
  <c r="AA57" i="6"/>
  <c r="Z57" i="6"/>
  <c r="Y57" i="6"/>
  <c r="X57" i="6"/>
  <c r="W57" i="6"/>
  <c r="V57" i="6"/>
  <c r="U57" i="6"/>
  <c r="T57" i="6"/>
  <c r="S57" i="6"/>
  <c r="R57" i="6"/>
  <c r="Q57" i="6"/>
  <c r="P57" i="6"/>
  <c r="O57" i="6"/>
  <c r="N57" i="6"/>
  <c r="M57" i="6"/>
  <c r="L57" i="6"/>
  <c r="K57" i="6"/>
  <c r="J57" i="6"/>
  <c r="I57" i="6"/>
  <c r="H57" i="6"/>
  <c r="G57" i="6"/>
  <c r="F57" i="6"/>
  <c r="E57" i="6"/>
  <c r="D57" i="6"/>
  <c r="C57" i="6"/>
  <c r="B57" i="6"/>
  <c r="CD56" i="6"/>
  <c r="CC56" i="6"/>
  <c r="CB56" i="6"/>
  <c r="CA56" i="6"/>
  <c r="BZ56" i="6"/>
  <c r="BY56" i="6"/>
  <c r="BX56" i="6"/>
  <c r="BW56" i="6"/>
  <c r="BV56" i="6"/>
  <c r="BU56" i="6"/>
  <c r="BT56" i="6"/>
  <c r="BS56" i="6"/>
  <c r="BR56" i="6"/>
  <c r="BQ56" i="6"/>
  <c r="BP56" i="6"/>
  <c r="BO56" i="6"/>
  <c r="BN56" i="6"/>
  <c r="BM56" i="6"/>
  <c r="BL56" i="6"/>
  <c r="BK56" i="6"/>
  <c r="AZ56" i="6"/>
  <c r="AY56" i="6"/>
  <c r="AX56" i="6"/>
  <c r="AW56" i="6"/>
  <c r="AV56" i="6"/>
  <c r="AU56" i="6"/>
  <c r="AT56" i="6"/>
  <c r="AS56" i="6"/>
  <c r="AR56" i="6"/>
  <c r="AQ56" i="6"/>
  <c r="AP56" i="6"/>
  <c r="AO56" i="6"/>
  <c r="AN56" i="6"/>
  <c r="AM56" i="6"/>
  <c r="AL56" i="6"/>
  <c r="AK56" i="6"/>
  <c r="AJ56" i="6"/>
  <c r="AI56" i="6"/>
  <c r="AH56" i="6"/>
  <c r="AG56" i="6"/>
  <c r="AF56" i="6"/>
  <c r="AE56" i="6"/>
  <c r="AD56" i="6"/>
  <c r="AC56" i="6"/>
  <c r="AB56" i="6"/>
  <c r="G56" i="6"/>
  <c r="F56" i="6"/>
  <c r="E56" i="6"/>
  <c r="D56" i="6"/>
  <c r="C56" i="6"/>
  <c r="B56" i="6"/>
  <c r="CC55" i="6"/>
  <c r="CB55" i="6"/>
  <c r="CA55" i="6"/>
  <c r="BZ55" i="6"/>
  <c r="BX55" i="6"/>
  <c r="BW55" i="6"/>
  <c r="BV55" i="6"/>
  <c r="BU55" i="6"/>
  <c r="BS55" i="6"/>
  <c r="BR55" i="6"/>
  <c r="BQ55" i="6"/>
  <c r="BP55" i="6"/>
  <c r="BN55" i="6"/>
  <c r="BM55" i="6"/>
  <c r="BL55" i="6"/>
  <c r="BK55" i="6"/>
  <c r="BI55" i="6"/>
  <c r="BH55" i="6"/>
  <c r="BG55" i="6"/>
  <c r="BF55" i="6"/>
  <c r="BD55" i="6"/>
  <c r="BC55" i="6"/>
  <c r="BB55" i="6"/>
  <c r="BA55" i="6"/>
  <c r="AY55" i="6"/>
  <c r="AX55" i="6"/>
  <c r="AW55" i="6"/>
  <c r="AV55" i="6"/>
  <c r="AU55" i="6"/>
  <c r="AT55" i="6"/>
  <c r="AS55" i="6"/>
  <c r="AR55" i="6"/>
  <c r="AQ55" i="6"/>
  <c r="AP55" i="6"/>
  <c r="AO55" i="6"/>
  <c r="AN55" i="6"/>
  <c r="AM55" i="6"/>
  <c r="AL55" i="6"/>
  <c r="AK55" i="6"/>
  <c r="AJ55" i="6"/>
  <c r="AI55" i="6"/>
  <c r="AH55" i="6"/>
  <c r="AG55" i="6"/>
  <c r="AF55" i="6"/>
  <c r="AE55" i="6"/>
  <c r="AD55" i="6"/>
  <c r="AC55" i="6"/>
  <c r="AB55" i="6"/>
  <c r="Z55" i="6"/>
  <c r="Y55" i="6"/>
  <c r="X55" i="6"/>
  <c r="W55" i="6"/>
  <c r="U55" i="6"/>
  <c r="T55" i="6"/>
  <c r="S55" i="6"/>
  <c r="R55" i="6"/>
  <c r="P55" i="6"/>
  <c r="O55" i="6"/>
  <c r="N55" i="6"/>
  <c r="M55" i="6"/>
  <c r="K55" i="6"/>
  <c r="J55" i="6"/>
  <c r="I55" i="6"/>
  <c r="H55" i="6"/>
  <c r="F55" i="6"/>
  <c r="E55" i="6"/>
  <c r="D55" i="6"/>
  <c r="C55" i="6"/>
  <c r="B55" i="6"/>
  <c r="CD54" i="6"/>
  <c r="CC54" i="6"/>
  <c r="CB54" i="6"/>
  <c r="CA54" i="6"/>
  <c r="BZ54" i="6"/>
  <c r="BY54" i="6"/>
  <c r="BX54" i="6"/>
  <c r="BW54" i="6"/>
  <c r="BV54" i="6"/>
  <c r="BU54" i="6"/>
  <c r="BT54" i="6"/>
  <c r="BS54" i="6"/>
  <c r="BR54" i="6"/>
  <c r="BQ54" i="6"/>
  <c r="BP54" i="6"/>
  <c r="BO54" i="6"/>
  <c r="BN54" i="6"/>
  <c r="BM54" i="6"/>
  <c r="BL54" i="6"/>
  <c r="BK54" i="6"/>
  <c r="BJ54" i="6"/>
  <c r="BI54" i="6"/>
  <c r="BH54" i="6"/>
  <c r="BG54" i="6"/>
  <c r="BF54" i="6"/>
  <c r="BE54" i="6"/>
  <c r="BD54" i="6"/>
  <c r="BC54" i="6"/>
  <c r="BB54" i="6"/>
  <c r="BA54" i="6"/>
  <c r="AZ54" i="6"/>
  <c r="AY54" i="6"/>
  <c r="AX54" i="6"/>
  <c r="AW54" i="6"/>
  <c r="AV54" i="6"/>
  <c r="AU54" i="6"/>
  <c r="AT54" i="6"/>
  <c r="AS54" i="6"/>
  <c r="AR54" i="6"/>
  <c r="AQ54" i="6"/>
  <c r="AP54" i="6"/>
  <c r="AO54" i="6"/>
  <c r="AN54" i="6"/>
  <c r="AM54" i="6"/>
  <c r="AL54" i="6"/>
  <c r="AK54" i="6"/>
  <c r="AJ54" i="6"/>
  <c r="AI54" i="6"/>
  <c r="AH54" i="6"/>
  <c r="AG54" i="6"/>
  <c r="AF54" i="6"/>
  <c r="AE54" i="6"/>
  <c r="AD54" i="6"/>
  <c r="AC54" i="6"/>
  <c r="AB54" i="6"/>
  <c r="AA54" i="6"/>
  <c r="Z54" i="6"/>
  <c r="Y54" i="6"/>
  <c r="X54" i="6"/>
  <c r="W54" i="6"/>
  <c r="V54" i="6"/>
  <c r="U54" i="6"/>
  <c r="T54" i="6"/>
  <c r="S54" i="6"/>
  <c r="R54" i="6"/>
  <c r="Q54" i="6"/>
  <c r="P54" i="6"/>
  <c r="O54" i="6"/>
  <c r="N54" i="6"/>
  <c r="M54" i="6"/>
  <c r="L54" i="6"/>
  <c r="K54" i="6"/>
  <c r="J54" i="6"/>
  <c r="I54" i="6"/>
  <c r="H54" i="6"/>
  <c r="G54" i="6"/>
  <c r="F54" i="6"/>
  <c r="E54" i="6"/>
  <c r="D54" i="6"/>
  <c r="C54" i="6"/>
  <c r="B54" i="6"/>
  <c r="CC52" i="6"/>
  <c r="CB52" i="6"/>
  <c r="CA52" i="6"/>
  <c r="BZ52" i="6"/>
  <c r="BX52" i="6"/>
  <c r="BW52" i="6"/>
  <c r="BV52" i="6"/>
  <c r="BU52" i="6"/>
  <c r="BS52" i="6"/>
  <c r="BR52" i="6"/>
  <c r="BQ52" i="6"/>
  <c r="BP52" i="6"/>
  <c r="BN52" i="6"/>
  <c r="BM52" i="6"/>
  <c r="BL52" i="6"/>
  <c r="BK52" i="6"/>
  <c r="AZ52" i="6"/>
  <c r="AW52" i="6"/>
  <c r="AV52" i="6"/>
  <c r="AU52" i="6"/>
  <c r="AT52" i="6"/>
  <c r="AS52" i="6"/>
  <c r="AR52" i="6"/>
  <c r="AQ52" i="6"/>
  <c r="AP52" i="6"/>
  <c r="AO52" i="6"/>
  <c r="AN52" i="6"/>
  <c r="AM52" i="6"/>
  <c r="AL52" i="6"/>
  <c r="AK52" i="6"/>
  <c r="AJ52" i="6"/>
  <c r="AI52" i="6"/>
  <c r="AH52" i="6"/>
  <c r="AG52" i="6"/>
  <c r="AF52" i="6"/>
  <c r="AE52" i="6"/>
  <c r="AD52" i="6"/>
  <c r="AC52" i="6"/>
  <c r="AB52" i="6"/>
  <c r="AA52" i="6"/>
  <c r="Z52" i="6"/>
  <c r="Y52" i="6"/>
  <c r="X52" i="6"/>
  <c r="W52" i="6"/>
  <c r="V52" i="6"/>
  <c r="U52" i="6"/>
  <c r="T52" i="6"/>
  <c r="S52" i="6"/>
  <c r="R52" i="6"/>
  <c r="Q52" i="6"/>
  <c r="P52" i="6"/>
  <c r="O52" i="6"/>
  <c r="N52" i="6"/>
  <c r="M52" i="6"/>
  <c r="L52" i="6"/>
  <c r="K52" i="6"/>
  <c r="J52" i="6"/>
  <c r="I52" i="6"/>
  <c r="H52" i="6"/>
  <c r="G52" i="6"/>
  <c r="F52" i="6"/>
  <c r="E52" i="6"/>
  <c r="D52" i="6"/>
  <c r="C52" i="6"/>
  <c r="B52" i="6"/>
  <c r="CC51" i="6"/>
  <c r="CB51" i="6"/>
  <c r="CA51" i="6"/>
  <c r="BZ51" i="6"/>
  <c r="BX51" i="6"/>
  <c r="BW51" i="6"/>
  <c r="BV51" i="6"/>
  <c r="BU51" i="6"/>
  <c r="BS51" i="6"/>
  <c r="BR51" i="6"/>
  <c r="BQ51" i="6"/>
  <c r="BP51" i="6"/>
  <c r="BN51" i="6"/>
  <c r="BM51" i="6"/>
  <c r="BL51" i="6"/>
  <c r="BK51" i="6"/>
  <c r="BD51" i="6"/>
  <c r="BC51" i="6"/>
  <c r="BB51" i="6"/>
  <c r="BA51" i="6"/>
  <c r="AW51" i="6"/>
  <c r="AV51" i="6"/>
  <c r="AU51" i="6"/>
  <c r="AR51" i="6"/>
  <c r="AQ51" i="6"/>
  <c r="AP51" i="6"/>
  <c r="AO51" i="6"/>
  <c r="AN51" i="6"/>
  <c r="AM51" i="6"/>
  <c r="AL51" i="6"/>
  <c r="AK51" i="6"/>
  <c r="AJ51" i="6"/>
  <c r="AI51" i="6"/>
  <c r="AH51" i="6"/>
  <c r="AG51" i="6"/>
  <c r="AF51" i="6"/>
  <c r="AE51" i="6"/>
  <c r="AD51" i="6"/>
  <c r="AC51" i="6"/>
  <c r="AB51" i="6"/>
  <c r="AA51" i="6"/>
  <c r="Z51" i="6"/>
  <c r="Y51" i="6"/>
  <c r="X51" i="6"/>
  <c r="W51" i="6"/>
  <c r="V51" i="6"/>
  <c r="U51" i="6"/>
  <c r="T51" i="6"/>
  <c r="S51" i="6"/>
  <c r="R51" i="6"/>
  <c r="Q51" i="6"/>
  <c r="P51" i="6"/>
  <c r="O51" i="6"/>
  <c r="N51" i="6"/>
  <c r="M51" i="6"/>
  <c r="L51" i="6"/>
  <c r="K51" i="6"/>
  <c r="J51" i="6"/>
  <c r="I51" i="6"/>
  <c r="H51" i="6"/>
  <c r="G51" i="6"/>
  <c r="F51" i="6"/>
  <c r="E51" i="6"/>
  <c r="D51" i="6"/>
  <c r="C51" i="6"/>
  <c r="B51" i="6"/>
  <c r="CC50" i="6"/>
  <c r="CB50" i="6"/>
  <c r="CA50" i="6"/>
  <c r="BZ50" i="6"/>
  <c r="BX50" i="6"/>
  <c r="BW50" i="6"/>
  <c r="BV50" i="6"/>
  <c r="BU50" i="6"/>
  <c r="BS50" i="6"/>
  <c r="BR50" i="6"/>
  <c r="BQ50" i="6"/>
  <c r="BP50" i="6"/>
  <c r="BN50" i="6"/>
  <c r="BM50" i="6"/>
  <c r="BL50" i="6"/>
  <c r="BK50" i="6"/>
  <c r="AU50" i="6"/>
  <c r="AR50" i="6"/>
  <c r="AQ50" i="6"/>
  <c r="AP50" i="6"/>
  <c r="AO50" i="6"/>
  <c r="AN50" i="6"/>
  <c r="AM50" i="6"/>
  <c r="AL50" i="6"/>
  <c r="AK50" i="6"/>
  <c r="AJ50" i="6"/>
  <c r="AI50" i="6"/>
  <c r="AH50" i="6"/>
  <c r="AG50" i="6"/>
  <c r="AF50" i="6"/>
  <c r="AE50" i="6"/>
  <c r="AD50" i="6"/>
  <c r="AC50" i="6"/>
  <c r="AB50" i="6"/>
  <c r="AA50" i="6"/>
  <c r="Z50" i="6"/>
  <c r="Y50" i="6"/>
  <c r="X50" i="6"/>
  <c r="W50" i="6"/>
  <c r="V50" i="6"/>
  <c r="U50" i="6"/>
  <c r="T50" i="6"/>
  <c r="S50" i="6"/>
  <c r="R50" i="6"/>
  <c r="Q50" i="6"/>
  <c r="P50" i="6"/>
  <c r="O50" i="6"/>
  <c r="N50" i="6"/>
  <c r="M50" i="6"/>
  <c r="L50" i="6"/>
  <c r="K50" i="6"/>
  <c r="J50" i="6"/>
  <c r="I50" i="6"/>
  <c r="H50" i="6"/>
  <c r="G50" i="6"/>
  <c r="F50" i="6"/>
  <c r="E50" i="6"/>
  <c r="D50" i="6"/>
  <c r="C50" i="6"/>
  <c r="B50" i="6"/>
  <c r="CC49" i="6"/>
  <c r="CB49" i="6"/>
  <c r="CA49" i="6"/>
  <c r="BZ49" i="6"/>
  <c r="BX49" i="6"/>
  <c r="BW49" i="6"/>
  <c r="BV49" i="6"/>
  <c r="BU49" i="6"/>
  <c r="BS49" i="6"/>
  <c r="BR49" i="6"/>
  <c r="BQ49" i="6"/>
  <c r="BP49" i="6"/>
  <c r="BN49" i="6"/>
  <c r="BM49" i="6"/>
  <c r="BL49" i="6"/>
  <c r="BK49" i="6"/>
  <c r="BI49" i="6"/>
  <c r="BH49" i="6"/>
  <c r="BG49" i="6"/>
  <c r="BF49" i="6"/>
  <c r="BD49" i="6"/>
  <c r="BC49" i="6"/>
  <c r="BB49" i="6"/>
  <c r="BA49" i="6"/>
  <c r="AY49" i="6"/>
  <c r="AX49" i="6"/>
  <c r="AW49" i="6"/>
  <c r="AV49" i="6"/>
  <c r="AU49" i="6"/>
  <c r="AT49" i="6"/>
  <c r="AS49" i="6"/>
  <c r="AR49" i="6"/>
  <c r="AQ49" i="6"/>
  <c r="AP49" i="6"/>
  <c r="AO49" i="6"/>
  <c r="AN49" i="6"/>
  <c r="AM49" i="6"/>
  <c r="AL49" i="6"/>
  <c r="AK49" i="6"/>
  <c r="AJ49" i="6"/>
  <c r="AI49" i="6"/>
  <c r="AH49" i="6"/>
  <c r="AG49" i="6"/>
  <c r="AF49" i="6"/>
  <c r="AE49" i="6"/>
  <c r="AD49" i="6"/>
  <c r="AC49" i="6"/>
  <c r="AB49" i="6"/>
  <c r="AA49" i="6"/>
  <c r="Z49" i="6"/>
  <c r="Y49" i="6"/>
  <c r="X49" i="6"/>
  <c r="W49" i="6"/>
  <c r="V49" i="6"/>
  <c r="U49" i="6"/>
  <c r="T49" i="6"/>
  <c r="S49" i="6"/>
  <c r="R49" i="6"/>
  <c r="Q49" i="6"/>
  <c r="P49" i="6"/>
  <c r="O49" i="6"/>
  <c r="N49" i="6"/>
  <c r="M49" i="6"/>
  <c r="L49" i="6"/>
  <c r="K49" i="6"/>
  <c r="J49" i="6"/>
  <c r="I49" i="6"/>
  <c r="H49" i="6"/>
  <c r="G49" i="6"/>
  <c r="F49" i="6"/>
  <c r="E49" i="6"/>
  <c r="D49" i="6"/>
  <c r="C49" i="6"/>
  <c r="B49" i="6"/>
  <c r="CC48" i="6"/>
  <c r="CB48" i="6"/>
  <c r="CA48" i="6"/>
  <c r="BZ48" i="6"/>
  <c r="BX48" i="6"/>
  <c r="BW48" i="6"/>
  <c r="BV48" i="6"/>
  <c r="BU48" i="6"/>
  <c r="BS48" i="6"/>
  <c r="BR48" i="6"/>
  <c r="BQ48" i="6"/>
  <c r="BP48" i="6"/>
  <c r="BN48" i="6"/>
  <c r="BM48" i="6"/>
  <c r="BL48" i="6"/>
  <c r="BK48" i="6"/>
  <c r="BI48" i="6"/>
  <c r="BH48" i="6"/>
  <c r="BG48" i="6"/>
  <c r="BF48" i="6"/>
  <c r="BD48" i="6"/>
  <c r="BC48" i="6"/>
  <c r="BB48" i="6"/>
  <c r="BA48" i="6"/>
  <c r="AY48" i="6"/>
  <c r="AX48" i="6"/>
  <c r="AW48" i="6"/>
  <c r="AV48" i="6"/>
  <c r="AU48" i="6"/>
  <c r="AT48" i="6"/>
  <c r="AS48" i="6"/>
  <c r="AR48" i="6"/>
  <c r="AQ48" i="6"/>
  <c r="AP48" i="6"/>
  <c r="AO48" i="6"/>
  <c r="AN48" i="6"/>
  <c r="AM48" i="6"/>
  <c r="AL48" i="6"/>
  <c r="AK48" i="6"/>
  <c r="AJ48" i="6"/>
  <c r="AI48" i="6"/>
  <c r="AH48" i="6"/>
  <c r="AG48" i="6"/>
  <c r="AF48" i="6"/>
  <c r="AE48" i="6"/>
  <c r="AD48" i="6"/>
  <c r="AC48" i="6"/>
  <c r="AB48" i="6"/>
  <c r="AA48" i="6"/>
  <c r="Z48" i="6"/>
  <c r="Y48" i="6"/>
  <c r="X48" i="6"/>
  <c r="W48" i="6"/>
  <c r="V48" i="6"/>
  <c r="U48" i="6"/>
  <c r="T48" i="6"/>
  <c r="S48" i="6"/>
  <c r="R48" i="6"/>
  <c r="Q48" i="6"/>
  <c r="P48" i="6"/>
  <c r="O48" i="6"/>
  <c r="N48" i="6"/>
  <c r="M48" i="6"/>
  <c r="L48" i="6"/>
  <c r="K48" i="6"/>
  <c r="J48" i="6"/>
  <c r="I48" i="6"/>
  <c r="H48" i="6"/>
  <c r="G48" i="6"/>
  <c r="F48" i="6"/>
  <c r="E48" i="6"/>
  <c r="D48" i="6"/>
  <c r="C48" i="6"/>
  <c r="B48" i="6"/>
  <c r="CC47" i="6"/>
  <c r="CB47" i="6"/>
  <c r="CA47" i="6"/>
  <c r="BZ47" i="6"/>
  <c r="BX47" i="6"/>
  <c r="BW47" i="6"/>
  <c r="BV47" i="6"/>
  <c r="BU47" i="6"/>
  <c r="BS47" i="6"/>
  <c r="BR47" i="6"/>
  <c r="BQ47" i="6"/>
  <c r="BP47" i="6"/>
  <c r="BN47" i="6"/>
  <c r="BM47" i="6"/>
  <c r="BL47" i="6"/>
  <c r="BK47" i="6"/>
  <c r="BI47" i="6"/>
  <c r="BH47" i="6"/>
  <c r="BG47" i="6"/>
  <c r="BF47" i="6"/>
  <c r="BD47" i="6"/>
  <c r="BC47" i="6"/>
  <c r="BB47" i="6"/>
  <c r="BA47" i="6"/>
  <c r="AY47" i="6"/>
  <c r="AX47" i="6"/>
  <c r="AW47" i="6"/>
  <c r="AV47" i="6"/>
  <c r="AT47" i="6"/>
  <c r="AS47" i="6"/>
  <c r="AR47" i="6"/>
  <c r="AQ47" i="6"/>
  <c r="AO47" i="6"/>
  <c r="AN47" i="6"/>
  <c r="AM47" i="6"/>
  <c r="AL47" i="6"/>
  <c r="AI47" i="6"/>
  <c r="AH47" i="6"/>
  <c r="AE47" i="6"/>
  <c r="AD47" i="6"/>
  <c r="AC47" i="6"/>
  <c r="AB47" i="6"/>
  <c r="Z47" i="6"/>
  <c r="Y47" i="6"/>
  <c r="X47" i="6"/>
  <c r="W47" i="6"/>
  <c r="U47" i="6"/>
  <c r="T47" i="6"/>
  <c r="S47" i="6"/>
  <c r="R47" i="6"/>
  <c r="P47" i="6"/>
  <c r="O47" i="6"/>
  <c r="N47" i="6"/>
  <c r="M47" i="6"/>
  <c r="L47" i="6"/>
  <c r="K47" i="6"/>
  <c r="J47" i="6"/>
  <c r="I47" i="6"/>
  <c r="H47" i="6"/>
  <c r="G47" i="6"/>
  <c r="F47" i="6"/>
  <c r="E47" i="6"/>
  <c r="D47" i="6"/>
  <c r="C47" i="6"/>
  <c r="B47" i="6"/>
  <c r="CC46" i="6"/>
  <c r="CB46" i="6"/>
  <c r="CA46" i="6"/>
  <c r="BZ46" i="6"/>
  <c r="BX46" i="6"/>
  <c r="BW46" i="6"/>
  <c r="BV46" i="6"/>
  <c r="BU46" i="6"/>
  <c r="BS46" i="6"/>
  <c r="BR46" i="6"/>
  <c r="BQ46" i="6"/>
  <c r="BP46" i="6"/>
  <c r="BN46" i="6"/>
  <c r="BM46" i="6"/>
  <c r="BL46" i="6"/>
  <c r="BK46" i="6"/>
  <c r="BI46" i="6"/>
  <c r="BH46" i="6"/>
  <c r="BG46" i="6"/>
  <c r="BF46" i="6"/>
  <c r="BD46" i="6"/>
  <c r="BC46" i="6"/>
  <c r="BB46" i="6"/>
  <c r="BA46" i="6"/>
  <c r="AY46" i="6"/>
  <c r="AX46" i="6"/>
  <c r="AW46" i="6"/>
  <c r="AV46" i="6"/>
  <c r="AT46" i="6"/>
  <c r="AS46" i="6"/>
  <c r="AR46" i="6"/>
  <c r="AQ46" i="6"/>
  <c r="AO46" i="6"/>
  <c r="AN46" i="6"/>
  <c r="AM46" i="6"/>
  <c r="AL46" i="6"/>
  <c r="AI46" i="6"/>
  <c r="AH46" i="6"/>
  <c r="AE46" i="6"/>
  <c r="AD46" i="6"/>
  <c r="AC46" i="6"/>
  <c r="AB46" i="6"/>
  <c r="Z46" i="6"/>
  <c r="Y46" i="6"/>
  <c r="X46" i="6"/>
  <c r="W46" i="6"/>
  <c r="U46" i="6"/>
  <c r="T46" i="6"/>
  <c r="S46" i="6"/>
  <c r="R46" i="6"/>
  <c r="P46" i="6"/>
  <c r="O46" i="6"/>
  <c r="N46" i="6"/>
  <c r="M46" i="6"/>
  <c r="K46" i="6"/>
  <c r="J46" i="6"/>
  <c r="I46" i="6"/>
  <c r="H46" i="6"/>
  <c r="F46" i="6"/>
  <c r="E46" i="6"/>
  <c r="D46" i="6"/>
  <c r="C46" i="6"/>
  <c r="B46" i="6"/>
  <c r="AY45" i="6"/>
  <c r="AX45" i="6"/>
  <c r="AW45" i="6"/>
  <c r="AV45" i="6"/>
  <c r="AU45" i="6"/>
  <c r="AT45" i="6"/>
  <c r="AS45" i="6"/>
  <c r="AR45" i="6"/>
  <c r="AQ45" i="6"/>
  <c r="AP45" i="6"/>
  <c r="AO45" i="6"/>
  <c r="AN45" i="6"/>
  <c r="AM45" i="6"/>
  <c r="AL45" i="6"/>
  <c r="AK45" i="6"/>
  <c r="AJ45" i="6"/>
  <c r="AI45" i="6"/>
  <c r="AH45" i="6"/>
  <c r="AG45" i="6"/>
  <c r="AF45" i="6"/>
  <c r="AE45" i="6"/>
  <c r="AD45" i="6"/>
  <c r="AC45" i="6"/>
  <c r="AB45" i="6"/>
  <c r="AA45" i="6"/>
  <c r="Z45" i="6"/>
  <c r="Y45" i="6"/>
  <c r="X45" i="6"/>
  <c r="W45" i="6"/>
  <c r="V45" i="6"/>
  <c r="U45" i="6"/>
  <c r="T45" i="6"/>
  <c r="S45" i="6"/>
  <c r="R45" i="6"/>
  <c r="Q45" i="6"/>
  <c r="P45" i="6"/>
  <c r="O45" i="6"/>
  <c r="N45" i="6"/>
  <c r="M45" i="6"/>
  <c r="L45" i="6"/>
  <c r="K45" i="6"/>
  <c r="J45" i="6"/>
  <c r="I45" i="6"/>
  <c r="H45" i="6"/>
  <c r="G45" i="6"/>
  <c r="F45" i="6"/>
  <c r="E45" i="6"/>
  <c r="D45" i="6"/>
  <c r="C45" i="6"/>
  <c r="B45" i="6"/>
  <c r="CD43" i="6"/>
  <c r="CC43" i="6"/>
  <c r="CB43" i="6"/>
  <c r="CA43" i="6"/>
  <c r="BZ43" i="6"/>
  <c r="BY43" i="6"/>
  <c r="BX43" i="6"/>
  <c r="BW43" i="6"/>
  <c r="BV43" i="6"/>
  <c r="BU43" i="6"/>
  <c r="BT43" i="6"/>
  <c r="BS43" i="6"/>
  <c r="BR43" i="6"/>
  <c r="BQ43" i="6"/>
  <c r="BP43" i="6"/>
  <c r="BO43" i="6"/>
  <c r="BN43" i="6"/>
  <c r="BM43" i="6"/>
  <c r="BL43" i="6"/>
  <c r="BK43" i="6"/>
  <c r="AZ43" i="6"/>
  <c r="AW43" i="6"/>
  <c r="AV43" i="6"/>
  <c r="AU43" i="6"/>
  <c r="AT43" i="6"/>
  <c r="AS43" i="6"/>
  <c r="AR43" i="6"/>
  <c r="AQ43" i="6"/>
  <c r="AP43" i="6"/>
  <c r="AO43" i="6"/>
  <c r="AN43" i="6"/>
  <c r="AM43" i="6"/>
  <c r="AL43" i="6"/>
  <c r="AK43" i="6"/>
  <c r="AJ43" i="6"/>
  <c r="AI43" i="6"/>
  <c r="AH43" i="6"/>
  <c r="AG43" i="6"/>
  <c r="AF43" i="6"/>
  <c r="AE43" i="6"/>
  <c r="AD43" i="6"/>
  <c r="AC43" i="6"/>
  <c r="AB43" i="6"/>
  <c r="AA43" i="6"/>
  <c r="Z43" i="6"/>
  <c r="Y43" i="6"/>
  <c r="X43" i="6"/>
  <c r="W43" i="6"/>
  <c r="V43" i="6"/>
  <c r="U43" i="6"/>
  <c r="T43" i="6"/>
  <c r="S43" i="6"/>
  <c r="R43" i="6"/>
  <c r="Q43" i="6"/>
  <c r="P43" i="6"/>
  <c r="O43" i="6"/>
  <c r="N43" i="6"/>
  <c r="M43" i="6"/>
  <c r="L43" i="6"/>
  <c r="K43" i="6"/>
  <c r="J43" i="6"/>
  <c r="I43" i="6"/>
  <c r="H43" i="6"/>
  <c r="G43" i="6"/>
  <c r="F43" i="6"/>
  <c r="E43" i="6"/>
  <c r="D43" i="6"/>
  <c r="C43" i="6"/>
  <c r="B43" i="6"/>
  <c r="CC42" i="6"/>
  <c r="CB42" i="6"/>
  <c r="CA42" i="6"/>
  <c r="BZ42" i="6"/>
  <c r="BX42" i="6"/>
  <c r="BW42" i="6"/>
  <c r="BV42" i="6"/>
  <c r="BU42" i="6"/>
  <c r="BS42" i="6"/>
  <c r="BR42" i="6"/>
  <c r="BQ42" i="6"/>
  <c r="BP42" i="6"/>
  <c r="BN42" i="6"/>
  <c r="BM42" i="6"/>
  <c r="BL42" i="6"/>
  <c r="BK42" i="6"/>
  <c r="BI42" i="6"/>
  <c r="BH42" i="6"/>
  <c r="BG42" i="6"/>
  <c r="BF42" i="6"/>
  <c r="BD42" i="6"/>
  <c r="BC42" i="6"/>
  <c r="BB42" i="6"/>
  <c r="BA42" i="6"/>
  <c r="AY42" i="6"/>
  <c r="AX42" i="6"/>
  <c r="AW42" i="6"/>
  <c r="AV42" i="6"/>
  <c r="AU42" i="6"/>
  <c r="AT42" i="6"/>
  <c r="AS42" i="6"/>
  <c r="AR42" i="6"/>
  <c r="AQ42" i="6"/>
  <c r="AP42" i="6"/>
  <c r="AO42" i="6"/>
  <c r="AN42" i="6"/>
  <c r="AM42" i="6"/>
  <c r="AL42" i="6"/>
  <c r="AK42" i="6"/>
  <c r="AJ42" i="6"/>
  <c r="AI42" i="6"/>
  <c r="AH42" i="6"/>
  <c r="AG42" i="6"/>
  <c r="AF42" i="6"/>
  <c r="AE42" i="6"/>
  <c r="AD42" i="6"/>
  <c r="AC42" i="6"/>
  <c r="AB42" i="6"/>
  <c r="AA42" i="6"/>
  <c r="Z42" i="6"/>
  <c r="Y42" i="6"/>
  <c r="X42" i="6"/>
  <c r="W42" i="6"/>
  <c r="V42" i="6"/>
  <c r="U42" i="6"/>
  <c r="T42" i="6"/>
  <c r="S42" i="6"/>
  <c r="R42" i="6"/>
  <c r="Q42" i="6"/>
  <c r="P42" i="6"/>
  <c r="O42" i="6"/>
  <c r="N42" i="6"/>
  <c r="M42" i="6"/>
  <c r="L42" i="6"/>
  <c r="K42" i="6"/>
  <c r="J42" i="6"/>
  <c r="I42" i="6"/>
  <c r="H42" i="6"/>
  <c r="G42" i="6"/>
  <c r="F42" i="6"/>
  <c r="E42" i="6"/>
  <c r="D42" i="6"/>
  <c r="C42" i="6"/>
  <c r="B42" i="6"/>
  <c r="CD40" i="6"/>
  <c r="CC40" i="6"/>
  <c r="CB40" i="6"/>
  <c r="CA40" i="6"/>
  <c r="BZ40" i="6"/>
  <c r="BY40" i="6"/>
  <c r="BX40" i="6"/>
  <c r="BW40" i="6"/>
  <c r="BV40" i="6"/>
  <c r="BU40" i="6"/>
  <c r="BT40" i="6"/>
  <c r="BS40" i="6"/>
  <c r="BR40" i="6"/>
  <c r="BQ40" i="6"/>
  <c r="BP40" i="6"/>
  <c r="BO40" i="6"/>
  <c r="BN40" i="6"/>
  <c r="BM40" i="6"/>
  <c r="BL40" i="6"/>
  <c r="BK40" i="6"/>
  <c r="AZ40" i="6"/>
  <c r="AW40" i="6"/>
  <c r="AV40" i="6"/>
  <c r="AU40" i="6"/>
  <c r="AT40" i="6"/>
  <c r="AS40" i="6"/>
  <c r="AR40" i="6"/>
  <c r="AQ40" i="6"/>
  <c r="AP40" i="6"/>
  <c r="AO40" i="6"/>
  <c r="AN40" i="6"/>
  <c r="AM40" i="6"/>
  <c r="AL40" i="6"/>
  <c r="AK40" i="6"/>
  <c r="AJ40" i="6"/>
  <c r="AI40" i="6"/>
  <c r="AH40" i="6"/>
  <c r="AG40" i="6"/>
  <c r="AF40" i="6"/>
  <c r="AE40" i="6"/>
  <c r="AD40" i="6"/>
  <c r="AC40" i="6"/>
  <c r="AB40" i="6"/>
  <c r="AA40" i="6"/>
  <c r="Z40" i="6"/>
  <c r="Y40" i="6"/>
  <c r="X40" i="6"/>
  <c r="W40" i="6"/>
  <c r="V40" i="6"/>
  <c r="U40" i="6"/>
  <c r="T40" i="6"/>
  <c r="S40" i="6"/>
  <c r="R40" i="6"/>
  <c r="Q40" i="6"/>
  <c r="P40" i="6"/>
  <c r="O40" i="6"/>
  <c r="N40" i="6"/>
  <c r="M40" i="6"/>
  <c r="L40" i="6"/>
  <c r="K40" i="6"/>
  <c r="J40" i="6"/>
  <c r="I40" i="6"/>
  <c r="H40" i="6"/>
  <c r="G40" i="6"/>
  <c r="F40" i="6"/>
  <c r="E40" i="6"/>
  <c r="D40" i="6"/>
  <c r="C40" i="6"/>
  <c r="B40" i="6"/>
  <c r="CC39" i="6"/>
  <c r="CB39" i="6"/>
  <c r="CA39" i="6"/>
  <c r="BZ39" i="6"/>
  <c r="BX39" i="6"/>
  <c r="BW39" i="6"/>
  <c r="BV39" i="6"/>
  <c r="BU39" i="6"/>
  <c r="BS39" i="6"/>
  <c r="BR39" i="6"/>
  <c r="BQ39" i="6"/>
  <c r="BP39" i="6"/>
  <c r="BN39" i="6"/>
  <c r="BM39" i="6"/>
  <c r="BL39" i="6"/>
  <c r="BK39" i="6"/>
  <c r="BI39" i="6"/>
  <c r="BH39" i="6"/>
  <c r="BG39" i="6"/>
  <c r="BF39" i="6"/>
  <c r="BD39" i="6"/>
  <c r="BC39" i="6"/>
  <c r="BB39" i="6"/>
  <c r="BA39" i="6"/>
  <c r="AY39" i="6"/>
  <c r="AX39" i="6"/>
  <c r="AW39" i="6"/>
  <c r="AV39" i="6"/>
  <c r="AU39" i="6"/>
  <c r="AT39" i="6"/>
  <c r="AS39" i="6"/>
  <c r="AR39" i="6"/>
  <c r="AQ39" i="6"/>
  <c r="AP39" i="6"/>
  <c r="AO39" i="6"/>
  <c r="AN39" i="6"/>
  <c r="AM39" i="6"/>
  <c r="AL39" i="6"/>
  <c r="AK39" i="6"/>
  <c r="AJ39" i="6"/>
  <c r="AI39" i="6"/>
  <c r="AH39" i="6"/>
  <c r="AG39" i="6"/>
  <c r="AF39" i="6"/>
  <c r="AE39" i="6"/>
  <c r="AD39" i="6"/>
  <c r="AC39" i="6"/>
  <c r="AB39" i="6"/>
  <c r="AA39" i="6"/>
  <c r="Z39" i="6"/>
  <c r="Y39" i="6"/>
  <c r="X39" i="6"/>
  <c r="W39" i="6"/>
  <c r="V39" i="6"/>
  <c r="U39" i="6"/>
  <c r="T39" i="6"/>
  <c r="S39" i="6"/>
  <c r="R39" i="6"/>
  <c r="Q39" i="6"/>
  <c r="P39" i="6"/>
  <c r="O39" i="6"/>
  <c r="N39" i="6"/>
  <c r="M39" i="6"/>
  <c r="L39" i="6"/>
  <c r="K39" i="6"/>
  <c r="J39" i="6"/>
  <c r="I39" i="6"/>
  <c r="H39" i="6"/>
  <c r="G39" i="6"/>
  <c r="F39" i="6"/>
  <c r="E39" i="6"/>
  <c r="D39" i="6"/>
  <c r="C39" i="6"/>
  <c r="B39" i="6"/>
  <c r="CC37" i="6"/>
  <c r="CB37" i="6"/>
  <c r="CA37" i="6"/>
  <c r="BZ37" i="6"/>
  <c r="BX37" i="6"/>
  <c r="BW37" i="6"/>
  <c r="BV37" i="6"/>
  <c r="BU37" i="6"/>
  <c r="BS37" i="6"/>
  <c r="BR37" i="6"/>
  <c r="BQ37" i="6"/>
  <c r="BP37" i="6"/>
  <c r="BN37" i="6"/>
  <c r="BM37" i="6"/>
  <c r="BL37" i="6"/>
  <c r="BK37" i="6"/>
  <c r="AZ37" i="6"/>
  <c r="AW37" i="6"/>
  <c r="AV37" i="6"/>
  <c r="AU37" i="6"/>
  <c r="AT37" i="6"/>
  <c r="AS37" i="6"/>
  <c r="AR37" i="6"/>
  <c r="AQ37" i="6"/>
  <c r="AP37" i="6"/>
  <c r="AO37" i="6"/>
  <c r="AN37" i="6"/>
  <c r="AM37" i="6"/>
  <c r="AL37" i="6"/>
  <c r="AK37" i="6"/>
  <c r="AJ37" i="6"/>
  <c r="AI37" i="6"/>
  <c r="AH37" i="6"/>
  <c r="AG37" i="6"/>
  <c r="AF37" i="6"/>
  <c r="AE37" i="6"/>
  <c r="AD37" i="6"/>
  <c r="AC37" i="6"/>
  <c r="AB37" i="6"/>
  <c r="AA37" i="6"/>
  <c r="Z37" i="6"/>
  <c r="Y37" i="6"/>
  <c r="X37" i="6"/>
  <c r="W37" i="6"/>
  <c r="V37" i="6"/>
  <c r="U37" i="6"/>
  <c r="T37" i="6"/>
  <c r="S37" i="6"/>
  <c r="R37" i="6"/>
  <c r="Q37" i="6"/>
  <c r="P37" i="6"/>
  <c r="O37" i="6"/>
  <c r="N37" i="6"/>
  <c r="M37" i="6"/>
  <c r="L37" i="6"/>
  <c r="K37" i="6"/>
  <c r="J37" i="6"/>
  <c r="I37" i="6"/>
  <c r="H37" i="6"/>
  <c r="G37" i="6"/>
  <c r="F37" i="6"/>
  <c r="E37" i="6"/>
  <c r="D37" i="6"/>
  <c r="C37" i="6"/>
  <c r="B37" i="6"/>
  <c r="BD36" i="6"/>
  <c r="BC36" i="6"/>
  <c r="BB36" i="6"/>
  <c r="BA36" i="6"/>
  <c r="AY36" i="6"/>
  <c r="AX36" i="6"/>
  <c r="AW36" i="6"/>
  <c r="AV36" i="6"/>
  <c r="AU36" i="6"/>
  <c r="AT36" i="6"/>
  <c r="AS36" i="6"/>
  <c r="AR36" i="6"/>
  <c r="AQ36" i="6"/>
  <c r="AP36" i="6"/>
  <c r="AO36" i="6"/>
  <c r="AN36" i="6"/>
  <c r="AM36" i="6"/>
  <c r="AL36" i="6"/>
  <c r="AK36" i="6"/>
  <c r="AJ36" i="6"/>
  <c r="AI36" i="6"/>
  <c r="AH36" i="6"/>
  <c r="AG36" i="6"/>
  <c r="AF36" i="6"/>
  <c r="AE36" i="6"/>
  <c r="AD36" i="6"/>
  <c r="AC36" i="6"/>
  <c r="AB36" i="6"/>
  <c r="AA36" i="6"/>
  <c r="Z36" i="6"/>
  <c r="Y36" i="6"/>
  <c r="X36" i="6"/>
  <c r="W36" i="6"/>
  <c r="V36" i="6"/>
  <c r="U36" i="6"/>
  <c r="T36" i="6"/>
  <c r="S36" i="6"/>
  <c r="R36" i="6"/>
  <c r="Q36" i="6"/>
  <c r="P36" i="6"/>
  <c r="O36" i="6"/>
  <c r="N36" i="6"/>
  <c r="M36" i="6"/>
  <c r="L36" i="6"/>
  <c r="K36" i="6"/>
  <c r="J36" i="6"/>
  <c r="I36" i="6"/>
  <c r="H36" i="6"/>
  <c r="G36" i="6"/>
  <c r="F36" i="6"/>
  <c r="E36" i="6"/>
  <c r="D36" i="6"/>
  <c r="C36" i="6"/>
  <c r="B36" i="6"/>
  <c r="CC35" i="6"/>
  <c r="CB35" i="6"/>
  <c r="CA35" i="6"/>
  <c r="BZ35" i="6"/>
  <c r="BX35" i="6"/>
  <c r="BW35" i="6"/>
  <c r="BV35" i="6"/>
  <c r="BU35" i="6"/>
  <c r="BS35" i="6"/>
  <c r="BR35" i="6"/>
  <c r="BQ35" i="6"/>
  <c r="BP35" i="6"/>
  <c r="BN35" i="6"/>
  <c r="BM35" i="6"/>
  <c r="BL35" i="6"/>
  <c r="BK35" i="6"/>
  <c r="BI35" i="6"/>
  <c r="BH35" i="6"/>
  <c r="BG35" i="6"/>
  <c r="BF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35" i="6"/>
  <c r="C35" i="6"/>
  <c r="B35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34" i="6"/>
  <c r="C34" i="6"/>
  <c r="B34" i="6"/>
  <c r="CC33" i="6"/>
  <c r="CB33" i="6"/>
  <c r="CA33" i="6"/>
  <c r="BZ33" i="6"/>
  <c r="BX33" i="6"/>
  <c r="BW33" i="6"/>
  <c r="BV33" i="6"/>
  <c r="BU33" i="6"/>
  <c r="BS33" i="6"/>
  <c r="BR33" i="6"/>
  <c r="BQ33" i="6"/>
  <c r="BP33" i="6"/>
  <c r="BN33" i="6"/>
  <c r="BM33" i="6"/>
  <c r="BL33" i="6"/>
  <c r="BK33" i="6"/>
  <c r="BI33" i="6"/>
  <c r="BH33" i="6"/>
  <c r="BG33" i="6"/>
  <c r="BF33" i="6"/>
  <c r="BD33" i="6"/>
  <c r="BC33" i="6"/>
  <c r="BB33" i="6"/>
  <c r="BA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33" i="6"/>
  <c r="C33" i="6"/>
  <c r="B33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32" i="6"/>
  <c r="C32" i="6"/>
  <c r="B32" i="6"/>
  <c r="CC30" i="6"/>
  <c r="CB30" i="6"/>
  <c r="CA30" i="6"/>
  <c r="BZ30" i="6"/>
  <c r="BX30" i="6"/>
  <c r="BW30" i="6"/>
  <c r="BV30" i="6"/>
  <c r="BU30" i="6"/>
  <c r="BS30" i="6"/>
  <c r="BR30" i="6"/>
  <c r="BQ30" i="6"/>
  <c r="BP30" i="6"/>
  <c r="BN30" i="6"/>
  <c r="BM30" i="6"/>
  <c r="BL30" i="6"/>
  <c r="BK30" i="6"/>
  <c r="AZ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30" i="6"/>
  <c r="C30" i="6"/>
  <c r="B30" i="6"/>
  <c r="CC29" i="6"/>
  <c r="CB29" i="6"/>
  <c r="CA29" i="6"/>
  <c r="BZ29" i="6"/>
  <c r="BX29" i="6"/>
  <c r="BW29" i="6"/>
  <c r="BV29" i="6"/>
  <c r="BU29" i="6"/>
  <c r="BS29" i="6"/>
  <c r="BR29" i="6"/>
  <c r="BQ29" i="6"/>
  <c r="BP29" i="6"/>
  <c r="BN29" i="6"/>
  <c r="BM29" i="6"/>
  <c r="BL29" i="6"/>
  <c r="BK29" i="6"/>
  <c r="BD29" i="6"/>
  <c r="BC29" i="6"/>
  <c r="BB29" i="6"/>
  <c r="BA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29" i="6"/>
  <c r="C29" i="6"/>
  <c r="B29" i="6"/>
  <c r="CC28" i="6"/>
  <c r="CB28" i="6"/>
  <c r="CA28" i="6"/>
  <c r="BZ28" i="6"/>
  <c r="BX28" i="6"/>
  <c r="BW28" i="6"/>
  <c r="BV28" i="6"/>
  <c r="BU28" i="6"/>
  <c r="BS28" i="6"/>
  <c r="BR28" i="6"/>
  <c r="BQ28" i="6"/>
  <c r="BP28" i="6"/>
  <c r="BN28" i="6"/>
  <c r="BM28" i="6"/>
  <c r="BL28" i="6"/>
  <c r="BK28" i="6"/>
  <c r="BI28" i="6"/>
  <c r="BH28" i="6"/>
  <c r="BG28" i="6"/>
  <c r="BF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28" i="6"/>
  <c r="C28" i="6"/>
  <c r="B28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27" i="6"/>
  <c r="C27" i="6"/>
  <c r="B27" i="6"/>
  <c r="CC26" i="6"/>
  <c r="CB26" i="6"/>
  <c r="CA26" i="6"/>
  <c r="BZ26" i="6"/>
  <c r="BX26" i="6"/>
  <c r="BW26" i="6"/>
  <c r="BV26" i="6"/>
  <c r="BU26" i="6"/>
  <c r="BS26" i="6"/>
  <c r="BR26" i="6"/>
  <c r="BQ26" i="6"/>
  <c r="BP26" i="6"/>
  <c r="BN26" i="6"/>
  <c r="BM26" i="6"/>
  <c r="BL26" i="6"/>
  <c r="BK26" i="6"/>
  <c r="BI26" i="6"/>
  <c r="BH26" i="6"/>
  <c r="BG26" i="6"/>
  <c r="BF26" i="6"/>
  <c r="BD26" i="6"/>
  <c r="BC26" i="6"/>
  <c r="BB26" i="6"/>
  <c r="BA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26" i="6"/>
  <c r="C26" i="6"/>
  <c r="B26" i="6"/>
  <c r="CC25" i="6"/>
  <c r="CB25" i="6"/>
  <c r="CA25" i="6"/>
  <c r="BZ25" i="6"/>
  <c r="BX25" i="6"/>
  <c r="BW25" i="6"/>
  <c r="BV25" i="6"/>
  <c r="BU25" i="6"/>
  <c r="BS25" i="6"/>
  <c r="BR25" i="6"/>
  <c r="BQ25" i="6"/>
  <c r="BP25" i="6"/>
  <c r="BN25" i="6"/>
  <c r="BM25" i="6"/>
  <c r="BL25" i="6"/>
  <c r="BK25" i="6"/>
  <c r="BI25" i="6"/>
  <c r="BH25" i="6"/>
  <c r="BG25" i="6"/>
  <c r="BF25" i="6"/>
  <c r="BD25" i="6"/>
  <c r="BC25" i="6"/>
  <c r="BB25" i="6"/>
  <c r="BA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25" i="6"/>
  <c r="C25" i="6"/>
  <c r="B25" i="6"/>
  <c r="CC24" i="6"/>
  <c r="CB24" i="6"/>
  <c r="CA24" i="6"/>
  <c r="BZ24" i="6"/>
  <c r="BX24" i="6"/>
  <c r="BW24" i="6"/>
  <c r="BV24" i="6"/>
  <c r="BU24" i="6"/>
  <c r="BS24" i="6"/>
  <c r="BR24" i="6"/>
  <c r="BQ24" i="6"/>
  <c r="BP24" i="6"/>
  <c r="BN24" i="6"/>
  <c r="BM24" i="6"/>
  <c r="BL24" i="6"/>
  <c r="BK24" i="6"/>
  <c r="BI24" i="6"/>
  <c r="BH24" i="6"/>
  <c r="BG24" i="6"/>
  <c r="BF24" i="6"/>
  <c r="BD24" i="6"/>
  <c r="BC24" i="6"/>
  <c r="BB24" i="6"/>
  <c r="BA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24" i="6"/>
  <c r="C24" i="6"/>
  <c r="B24" i="6"/>
  <c r="CC23" i="6"/>
  <c r="CB23" i="6"/>
  <c r="CA23" i="6"/>
  <c r="BZ23" i="6"/>
  <c r="BX23" i="6"/>
  <c r="BW23" i="6"/>
  <c r="BV23" i="6"/>
  <c r="BU23" i="6"/>
  <c r="BS23" i="6"/>
  <c r="BR23" i="6"/>
  <c r="BQ23" i="6"/>
  <c r="BP23" i="6"/>
  <c r="BN23" i="6"/>
  <c r="BM23" i="6"/>
  <c r="BL23" i="6"/>
  <c r="BK23" i="6"/>
  <c r="BI23" i="6"/>
  <c r="BH23" i="6"/>
  <c r="BG23" i="6"/>
  <c r="BF23" i="6"/>
  <c r="BD23" i="6"/>
  <c r="BC23" i="6"/>
  <c r="BB23" i="6"/>
  <c r="BA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23" i="6"/>
  <c r="C23" i="6"/>
  <c r="B23" i="6"/>
  <c r="CD22" i="6"/>
  <c r="CC22" i="6"/>
  <c r="CB22" i="6"/>
  <c r="CA22" i="6"/>
  <c r="BZ22" i="6"/>
  <c r="BY22" i="6"/>
  <c r="BX22" i="6"/>
  <c r="BW22" i="6"/>
  <c r="BV22" i="6"/>
  <c r="BU22" i="6"/>
  <c r="BT22" i="6"/>
  <c r="BS22" i="6"/>
  <c r="BR22" i="6"/>
  <c r="BQ22" i="6"/>
  <c r="BP22" i="6"/>
  <c r="BO22" i="6"/>
  <c r="BN22" i="6"/>
  <c r="BM22" i="6"/>
  <c r="BL22" i="6"/>
  <c r="BK22" i="6"/>
  <c r="BJ22" i="6"/>
  <c r="BI22" i="6"/>
  <c r="BH22" i="6"/>
  <c r="BG22" i="6"/>
  <c r="BF22" i="6"/>
  <c r="BE22" i="6"/>
  <c r="BD22" i="6"/>
  <c r="BC22" i="6"/>
  <c r="BB22" i="6"/>
  <c r="BA22" i="6"/>
  <c r="AZ22" i="6"/>
  <c r="AY22" i="6"/>
  <c r="AX22" i="6"/>
  <c r="AW22" i="6"/>
  <c r="AV22" i="6"/>
  <c r="AU22" i="6"/>
  <c r="AT22" i="6"/>
  <c r="AS22" i="6"/>
  <c r="AR22" i="6"/>
  <c r="AQ22" i="6"/>
  <c r="AP22" i="6"/>
  <c r="AO22" i="6"/>
  <c r="AN22" i="6"/>
  <c r="AM22" i="6"/>
  <c r="AL22" i="6"/>
  <c r="AK22" i="6"/>
  <c r="AJ22" i="6"/>
  <c r="AI22" i="6"/>
  <c r="AH22" i="6"/>
  <c r="AG22" i="6"/>
  <c r="AF22" i="6"/>
  <c r="AE22" i="6"/>
  <c r="AD22" i="6"/>
  <c r="AC22" i="6"/>
  <c r="AB22" i="6"/>
  <c r="AA22" i="6"/>
  <c r="Z22" i="6"/>
  <c r="Y22" i="6"/>
  <c r="X22" i="6"/>
  <c r="W22" i="6"/>
  <c r="V22" i="6"/>
  <c r="U22" i="6"/>
  <c r="T22" i="6"/>
  <c r="S22" i="6"/>
  <c r="R22" i="6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CC20" i="6"/>
  <c r="CB20" i="6"/>
  <c r="CA20" i="6"/>
  <c r="BZ20" i="6"/>
  <c r="BX20" i="6"/>
  <c r="BW20" i="6"/>
  <c r="BV20" i="6"/>
  <c r="BU20" i="6"/>
  <c r="BS20" i="6"/>
  <c r="BR20" i="6"/>
  <c r="BQ20" i="6"/>
  <c r="BP20" i="6"/>
  <c r="BN20" i="6"/>
  <c r="BM20" i="6"/>
  <c r="BL20" i="6"/>
  <c r="BK20" i="6"/>
  <c r="AZ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20" i="6"/>
  <c r="C20" i="6"/>
  <c r="B20" i="6"/>
  <c r="CC19" i="6"/>
  <c r="CB19" i="6"/>
  <c r="CA19" i="6"/>
  <c r="BZ19" i="6"/>
  <c r="BX19" i="6"/>
  <c r="BW19" i="6"/>
  <c r="BV19" i="6"/>
  <c r="BU19" i="6"/>
  <c r="BS19" i="6"/>
  <c r="BR19" i="6"/>
  <c r="BQ19" i="6"/>
  <c r="BP19" i="6"/>
  <c r="BN19" i="6"/>
  <c r="BM19" i="6"/>
  <c r="BL19" i="6"/>
  <c r="BK19" i="6"/>
  <c r="BD19" i="6"/>
  <c r="BC19" i="6"/>
  <c r="BB19" i="6"/>
  <c r="BA19" i="6"/>
  <c r="AY19" i="6"/>
  <c r="AX19" i="6"/>
  <c r="AW19" i="6"/>
  <c r="AV19" i="6"/>
  <c r="AU19" i="6"/>
  <c r="AT19" i="6"/>
  <c r="AS19" i="6"/>
  <c r="AR19" i="6"/>
  <c r="AQ19" i="6"/>
  <c r="AP19" i="6"/>
  <c r="AO19" i="6"/>
  <c r="AN19" i="6"/>
  <c r="AM19" i="6"/>
  <c r="AL19" i="6"/>
  <c r="AK19" i="6"/>
  <c r="AJ19" i="6"/>
  <c r="AI19" i="6"/>
  <c r="AH19" i="6"/>
  <c r="AG19" i="6"/>
  <c r="AF19" i="6"/>
  <c r="AE19" i="6"/>
  <c r="AD19" i="6"/>
  <c r="AC19" i="6"/>
  <c r="AB19" i="6"/>
  <c r="AA19" i="6"/>
  <c r="Z19" i="6"/>
  <c r="Y19" i="6"/>
  <c r="X19" i="6"/>
  <c r="W19" i="6"/>
  <c r="V19" i="6"/>
  <c r="U19" i="6"/>
  <c r="T19" i="6"/>
  <c r="S19" i="6"/>
  <c r="R19" i="6"/>
  <c r="Q19" i="6"/>
  <c r="P19" i="6"/>
  <c r="O19" i="6"/>
  <c r="N19" i="6"/>
  <c r="M19" i="6"/>
  <c r="L19" i="6"/>
  <c r="K19" i="6"/>
  <c r="J19" i="6"/>
  <c r="I19" i="6"/>
  <c r="H19" i="6"/>
  <c r="G19" i="6"/>
  <c r="F19" i="6"/>
  <c r="E19" i="6"/>
  <c r="D19" i="6"/>
  <c r="C19" i="6"/>
  <c r="B19" i="6"/>
  <c r="CC18" i="6"/>
  <c r="CB18" i="6"/>
  <c r="CA18" i="6"/>
  <c r="BZ18" i="6"/>
  <c r="BX18" i="6"/>
  <c r="BW18" i="6"/>
  <c r="BV18" i="6"/>
  <c r="BU18" i="6"/>
  <c r="BS18" i="6"/>
  <c r="BR18" i="6"/>
  <c r="BQ18" i="6"/>
  <c r="BP18" i="6"/>
  <c r="BN18" i="6"/>
  <c r="BM18" i="6"/>
  <c r="BL18" i="6"/>
  <c r="BK18" i="6"/>
  <c r="AU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18" i="6"/>
  <c r="C18" i="6"/>
  <c r="B18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I17" i="6"/>
  <c r="BH17" i="6"/>
  <c r="BG17" i="6"/>
  <c r="BF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17" i="6"/>
  <c r="C17" i="6"/>
  <c r="B17" i="6"/>
  <c r="CD16" i="6"/>
  <c r="CC16" i="6"/>
  <c r="CB16" i="6"/>
  <c r="CA16" i="6"/>
  <c r="BZ16" i="6"/>
  <c r="BY16" i="6"/>
  <c r="BX16" i="6"/>
  <c r="BW16" i="6"/>
  <c r="BV16" i="6"/>
  <c r="BU16" i="6"/>
  <c r="BT16" i="6"/>
  <c r="BS16" i="6"/>
  <c r="BR16" i="6"/>
  <c r="BQ16" i="6"/>
  <c r="BP16" i="6"/>
  <c r="BO16" i="6"/>
  <c r="BN16" i="6"/>
  <c r="BM16" i="6"/>
  <c r="BL16" i="6"/>
  <c r="BK16" i="6"/>
  <c r="BI16" i="6"/>
  <c r="BH16" i="6"/>
  <c r="BG16" i="6"/>
  <c r="BF16" i="6"/>
  <c r="BD16" i="6"/>
  <c r="BC16" i="6"/>
  <c r="BB16" i="6"/>
  <c r="BA16" i="6"/>
  <c r="AZ16" i="6"/>
  <c r="AY16" i="6"/>
  <c r="AX16" i="6"/>
  <c r="AW16" i="6"/>
  <c r="AV16" i="6"/>
  <c r="AU16" i="6"/>
  <c r="AT16" i="6"/>
  <c r="AS16" i="6"/>
  <c r="AR16" i="6"/>
  <c r="AQ16" i="6"/>
  <c r="AP16" i="6"/>
  <c r="AO16" i="6"/>
  <c r="AN16" i="6"/>
  <c r="AM16" i="6"/>
  <c r="AL16" i="6"/>
  <c r="AK16" i="6"/>
  <c r="AJ16" i="6"/>
  <c r="AI16" i="6"/>
  <c r="AH16" i="6"/>
  <c r="AG16" i="6"/>
  <c r="AF16" i="6"/>
  <c r="AE16" i="6"/>
  <c r="AD16" i="6"/>
  <c r="AC16" i="6"/>
  <c r="AB16" i="6"/>
  <c r="AA16" i="6"/>
  <c r="Z16" i="6"/>
  <c r="Y16" i="6"/>
  <c r="X16" i="6"/>
  <c r="W16" i="6"/>
  <c r="V16" i="6"/>
  <c r="U16" i="6"/>
  <c r="T16" i="6"/>
  <c r="S16" i="6"/>
  <c r="R16" i="6"/>
  <c r="Q16" i="6"/>
  <c r="P16" i="6"/>
  <c r="O16" i="6"/>
  <c r="N16" i="6"/>
  <c r="M16" i="6"/>
  <c r="L16" i="6"/>
  <c r="K16" i="6"/>
  <c r="J16" i="6"/>
  <c r="I16" i="6"/>
  <c r="H16" i="6"/>
  <c r="G16" i="6"/>
  <c r="F16" i="6"/>
  <c r="E16" i="6"/>
  <c r="D16" i="6"/>
  <c r="C16" i="6"/>
  <c r="B16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I15" i="6"/>
  <c r="BH15" i="6"/>
  <c r="BG15" i="6"/>
  <c r="BF15" i="6"/>
  <c r="BD15" i="6"/>
  <c r="BC15" i="6"/>
  <c r="BB15" i="6"/>
  <c r="BA15" i="6"/>
  <c r="AY15" i="6"/>
  <c r="AX15" i="6"/>
  <c r="AW15" i="6"/>
  <c r="AV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15" i="6"/>
  <c r="C15" i="6"/>
  <c r="B15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I14" i="6"/>
  <c r="BH14" i="6"/>
  <c r="BG14" i="6"/>
  <c r="BF14" i="6"/>
  <c r="BD14" i="6"/>
  <c r="BC14" i="6"/>
  <c r="BB14" i="6"/>
  <c r="BA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14" i="6"/>
  <c r="C14" i="6"/>
  <c r="B14" i="6"/>
  <c r="CD13" i="6"/>
  <c r="CC13" i="6"/>
  <c r="CB13" i="6"/>
  <c r="CA13" i="6"/>
  <c r="BZ13" i="6"/>
  <c r="BY13" i="6"/>
  <c r="BX13" i="6"/>
  <c r="BW13" i="6"/>
  <c r="BV13" i="6"/>
  <c r="BU13" i="6"/>
  <c r="BT13" i="6"/>
  <c r="BS13" i="6"/>
  <c r="BR13" i="6"/>
  <c r="BQ13" i="6"/>
  <c r="BP13" i="6"/>
  <c r="BO13" i="6"/>
  <c r="BN13" i="6"/>
  <c r="BM13" i="6"/>
  <c r="BL13" i="6"/>
  <c r="BK13" i="6"/>
  <c r="BI13" i="6"/>
  <c r="BH13" i="6"/>
  <c r="BG13" i="6"/>
  <c r="BF13" i="6"/>
  <c r="BD13" i="6"/>
  <c r="BC13" i="6"/>
  <c r="BB13" i="6"/>
  <c r="BA13" i="6"/>
  <c r="AY13" i="6"/>
  <c r="AX13" i="6"/>
  <c r="AW13" i="6"/>
  <c r="AV13" i="6"/>
  <c r="AT13" i="6"/>
  <c r="AS13" i="6"/>
  <c r="AR13" i="6"/>
  <c r="AQ13" i="6"/>
  <c r="AP13" i="6"/>
  <c r="AO13" i="6"/>
  <c r="AN13" i="6"/>
  <c r="AM13" i="6"/>
  <c r="AL13" i="6"/>
  <c r="AK13" i="6"/>
  <c r="AJ13" i="6"/>
  <c r="AI13" i="6"/>
  <c r="AH13" i="6"/>
  <c r="AG13" i="6"/>
  <c r="AF13" i="6"/>
  <c r="AE13" i="6"/>
  <c r="AD13" i="6"/>
  <c r="AC13" i="6"/>
  <c r="AB13" i="6"/>
  <c r="AA13" i="6"/>
  <c r="Z13" i="6"/>
  <c r="Y13" i="6"/>
  <c r="X13" i="6"/>
  <c r="W13" i="6"/>
  <c r="V13" i="6"/>
  <c r="U13" i="6"/>
  <c r="T13" i="6"/>
  <c r="S13" i="6"/>
  <c r="R13" i="6"/>
  <c r="Q13" i="6"/>
  <c r="P13" i="6"/>
  <c r="O13" i="6"/>
  <c r="N13" i="6"/>
  <c r="M13" i="6"/>
  <c r="L13" i="6"/>
  <c r="K13" i="6"/>
  <c r="J13" i="6"/>
  <c r="I13" i="6"/>
  <c r="H13" i="6"/>
  <c r="G13" i="6"/>
  <c r="F13" i="6"/>
  <c r="E13" i="6"/>
  <c r="D13" i="6"/>
  <c r="C13" i="6"/>
  <c r="B13" i="6"/>
  <c r="CC12" i="6"/>
  <c r="CB12" i="6"/>
  <c r="CA12" i="6"/>
  <c r="BZ12" i="6"/>
  <c r="BX12" i="6"/>
  <c r="BW12" i="6"/>
  <c r="BV12" i="6"/>
  <c r="BU12" i="6"/>
  <c r="BS12" i="6"/>
  <c r="BR12" i="6"/>
  <c r="BQ12" i="6"/>
  <c r="BP12" i="6"/>
  <c r="BN12" i="6"/>
  <c r="BM12" i="6"/>
  <c r="BL12" i="6"/>
  <c r="BK12" i="6"/>
  <c r="BI12" i="6"/>
  <c r="BH12" i="6"/>
  <c r="BG12" i="6"/>
  <c r="BF12" i="6"/>
  <c r="BD12" i="6"/>
  <c r="BC12" i="6"/>
  <c r="BB12" i="6"/>
  <c r="BA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12" i="6"/>
  <c r="C12" i="6"/>
  <c r="B12" i="6"/>
  <c r="CC11" i="6"/>
  <c r="CB11" i="6"/>
  <c r="CA11" i="6"/>
  <c r="BZ11" i="6"/>
  <c r="BX11" i="6"/>
  <c r="BW11" i="6"/>
  <c r="BV11" i="6"/>
  <c r="BU11" i="6"/>
  <c r="BS11" i="6"/>
  <c r="BR11" i="6"/>
  <c r="BQ11" i="6"/>
  <c r="BP11" i="6"/>
  <c r="BN11" i="6"/>
  <c r="BM11" i="6"/>
  <c r="BL11" i="6"/>
  <c r="BK11" i="6"/>
  <c r="BI11" i="6"/>
  <c r="BH11" i="6"/>
  <c r="BG11" i="6"/>
  <c r="BF11" i="6"/>
  <c r="BD11" i="6"/>
  <c r="BC11" i="6"/>
  <c r="BB11" i="6"/>
  <c r="BA11" i="6"/>
  <c r="AY11" i="6"/>
  <c r="AX11" i="6"/>
  <c r="AW11" i="6"/>
  <c r="AV11" i="6"/>
  <c r="AT11" i="6"/>
  <c r="AS11" i="6"/>
  <c r="AR11" i="6"/>
  <c r="AQ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11" i="6"/>
  <c r="C11" i="6"/>
  <c r="B11" i="6"/>
  <c r="AT10" i="6"/>
  <c r="AS10" i="6"/>
  <c r="AR10" i="6"/>
  <c r="AQ10" i="6"/>
  <c r="AP10" i="6"/>
  <c r="AO10" i="6"/>
  <c r="AN10" i="6"/>
  <c r="AM10" i="6"/>
  <c r="AL10" i="6"/>
  <c r="AK10" i="6"/>
  <c r="AJ10" i="6"/>
  <c r="AI10" i="6"/>
  <c r="AH10" i="6"/>
  <c r="AG10" i="6"/>
  <c r="AF10" i="6"/>
  <c r="AE10" i="6"/>
  <c r="AD10" i="6"/>
  <c r="AC10" i="6"/>
  <c r="AB10" i="6"/>
  <c r="AA10" i="6"/>
  <c r="Z10" i="6"/>
  <c r="Y10" i="6"/>
  <c r="X10" i="6"/>
  <c r="W10" i="6"/>
  <c r="V10" i="6"/>
  <c r="U10" i="6"/>
  <c r="T10" i="6"/>
  <c r="S10" i="6"/>
  <c r="R10" i="6"/>
  <c r="Q10" i="6"/>
  <c r="P10" i="6"/>
  <c r="O10" i="6"/>
  <c r="N10" i="6"/>
  <c r="M10" i="6"/>
  <c r="L10" i="6"/>
  <c r="K10" i="6"/>
  <c r="J10" i="6"/>
  <c r="I10" i="6"/>
  <c r="H10" i="6"/>
  <c r="G10" i="6"/>
  <c r="F10" i="6"/>
  <c r="E10" i="6"/>
  <c r="D10" i="6"/>
  <c r="C10" i="6"/>
  <c r="B10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9" i="6"/>
  <c r="C9" i="6"/>
  <c r="B9" i="6"/>
  <c r="C67" i="5"/>
  <c r="BC64" i="5"/>
  <c r="BB64" i="5"/>
  <c r="BA64" i="5"/>
  <c r="AY64" i="5"/>
  <c r="AX64" i="5"/>
  <c r="AW64" i="5"/>
  <c r="AV64" i="5"/>
  <c r="BC61" i="5"/>
  <c r="BB61" i="5"/>
  <c r="BA61" i="5"/>
  <c r="AY61" i="5"/>
  <c r="AX61" i="5"/>
  <c r="AW61" i="5"/>
  <c r="AV61" i="5"/>
  <c r="AZ61" i="5" s="1"/>
  <c r="BC58" i="5"/>
  <c r="BB58" i="5"/>
  <c r="BB59" i="5" s="1"/>
  <c r="BA58" i="5"/>
  <c r="AY58" i="5"/>
  <c r="AX58" i="5"/>
  <c r="AW58" i="5"/>
  <c r="AV58" i="5"/>
  <c r="BC55" i="5"/>
  <c r="BB55" i="5"/>
  <c r="BA55" i="5"/>
  <c r="AY55" i="5"/>
  <c r="AX55" i="5"/>
  <c r="BC56" i="5"/>
  <c r="AW55" i="5"/>
  <c r="AV55" i="5"/>
  <c r="BC52" i="5"/>
  <c r="BB52" i="5"/>
  <c r="BA52" i="5"/>
  <c r="AY52" i="5"/>
  <c r="AX52" i="5"/>
  <c r="AW52" i="5"/>
  <c r="AV52" i="5"/>
  <c r="C48" i="5"/>
  <c r="BC45" i="5"/>
  <c r="BB45" i="5"/>
  <c r="BA45" i="5"/>
  <c r="AY45" i="5"/>
  <c r="AX45" i="5"/>
  <c r="BC46" i="5" s="1"/>
  <c r="AW45" i="5"/>
  <c r="AV45" i="5"/>
  <c r="BC42" i="5"/>
  <c r="BB42" i="5"/>
  <c r="BA42" i="5"/>
  <c r="AY42" i="5"/>
  <c r="AX42" i="5"/>
  <c r="AW42" i="5"/>
  <c r="AV42" i="5"/>
  <c r="C38" i="5"/>
  <c r="BC35" i="5"/>
  <c r="BB35" i="5"/>
  <c r="BA35" i="5"/>
  <c r="AY35" i="5"/>
  <c r="AX35" i="5"/>
  <c r="BC36" i="5" s="1"/>
  <c r="AW35" i="5"/>
  <c r="AV35" i="5"/>
  <c r="BC32" i="5"/>
  <c r="BB32" i="5"/>
  <c r="BA32" i="5"/>
  <c r="AY32" i="5"/>
  <c r="AX32" i="5"/>
  <c r="AW32" i="5"/>
  <c r="AV32" i="5"/>
  <c r="BC29" i="5"/>
  <c r="BB29" i="5"/>
  <c r="BA29" i="5"/>
  <c r="AY29" i="5"/>
  <c r="AX29" i="5"/>
  <c r="BC30" i="5" s="1"/>
  <c r="AW29" i="5"/>
  <c r="AV29" i="5"/>
  <c r="C25" i="5"/>
  <c r="BA23" i="5"/>
  <c r="BC22" i="5"/>
  <c r="BB22" i="5"/>
  <c r="BA22" i="5"/>
  <c r="AY22" i="5"/>
  <c r="AX22" i="5"/>
  <c r="AW22" i="5"/>
  <c r="AV22" i="5"/>
  <c r="BA20" i="5"/>
  <c r="BC19" i="5"/>
  <c r="BB19" i="5"/>
  <c r="BA19" i="5"/>
  <c r="AY19" i="5"/>
  <c r="AX19" i="5"/>
  <c r="AW19" i="5"/>
  <c r="AV19" i="5"/>
  <c r="BC16" i="5"/>
  <c r="BC17" i="5" s="1"/>
  <c r="BB16" i="5"/>
  <c r="BA16" i="5"/>
  <c r="AZ16" i="5"/>
  <c r="AY16" i="5"/>
  <c r="AX16" i="5"/>
  <c r="AW16" i="5"/>
  <c r="AV16" i="5"/>
  <c r="BC13" i="5"/>
  <c r="BB13" i="5"/>
  <c r="BA13" i="5"/>
  <c r="AY13" i="5"/>
  <c r="AX13" i="5"/>
  <c r="AW13" i="5"/>
  <c r="AV13" i="5"/>
  <c r="BC10" i="5"/>
  <c r="BB10" i="5"/>
  <c r="BB11" i="5" s="1"/>
  <c r="BA10" i="5"/>
  <c r="AY10" i="5"/>
  <c r="AX10" i="5"/>
  <c r="AW10" i="5"/>
  <c r="AV10" i="5"/>
  <c r="BD155" i="4"/>
  <c r="BC155" i="4"/>
  <c r="BB155" i="4"/>
  <c r="BA155" i="4"/>
  <c r="AZ155" i="4"/>
  <c r="AY155" i="4"/>
  <c r="AX155" i="4"/>
  <c r="AW155" i="4"/>
  <c r="AV155" i="4"/>
  <c r="AU155" i="4"/>
  <c r="AT155" i="4"/>
  <c r="AS155" i="4"/>
  <c r="AR155" i="4"/>
  <c r="AQ155" i="4"/>
  <c r="BE153" i="4"/>
  <c r="BE150" i="4"/>
  <c r="CC148" i="4"/>
  <c r="CC150" i="4"/>
  <c r="CB148" i="4"/>
  <c r="CB150" i="4" s="1"/>
  <c r="CA148" i="4"/>
  <c r="CA150" i="4"/>
  <c r="BZ148" i="4"/>
  <c r="BZ150" i="4"/>
  <c r="BX148" i="4"/>
  <c r="BX150" i="4"/>
  <c r="BW148" i="4"/>
  <c r="BW150" i="4"/>
  <c r="BV148" i="4"/>
  <c r="BV150" i="4"/>
  <c r="BU148" i="4"/>
  <c r="BU150" i="4"/>
  <c r="BS148" i="4"/>
  <c r="BS150" i="4"/>
  <c r="BR148" i="4"/>
  <c r="BR150" i="4"/>
  <c r="BQ148" i="4"/>
  <c r="BQ150" i="4"/>
  <c r="BP148" i="4"/>
  <c r="BP150" i="4"/>
  <c r="BN148" i="4"/>
  <c r="BN150" i="4"/>
  <c r="BM148" i="4"/>
  <c r="BM150" i="4"/>
  <c r="BL148" i="4"/>
  <c r="BL150" i="4"/>
  <c r="BK148" i="4"/>
  <c r="BK150" i="4"/>
  <c r="AE142" i="4"/>
  <c r="AE108" i="6"/>
  <c r="AD142" i="4"/>
  <c r="AD108" i="6"/>
  <c r="AC142" i="4"/>
  <c r="AC108" i="6"/>
  <c r="AB142" i="4"/>
  <c r="AB108" i="6"/>
  <c r="AA142" i="4"/>
  <c r="AA108" i="6"/>
  <c r="Z142" i="4"/>
  <c r="Z108" i="6"/>
  <c r="Y142" i="4"/>
  <c r="Y108" i="6"/>
  <c r="X142" i="4"/>
  <c r="X108" i="6"/>
  <c r="W142" i="4"/>
  <c r="W108" i="6"/>
  <c r="V142" i="4"/>
  <c r="V108" i="6"/>
  <c r="U142" i="4"/>
  <c r="U108" i="6"/>
  <c r="T142" i="4"/>
  <c r="T108" i="6" s="1"/>
  <c r="S142" i="4"/>
  <c r="S108" i="6" s="1"/>
  <c r="R142" i="4"/>
  <c r="R108" i="6" s="1"/>
  <c r="Q142" i="4"/>
  <c r="Q108" i="6" s="1"/>
  <c r="P142" i="4"/>
  <c r="P108" i="6" s="1"/>
  <c r="O142" i="4"/>
  <c r="O108" i="6" s="1"/>
  <c r="N142" i="4"/>
  <c r="N108" i="6" s="1"/>
  <c r="M142" i="4"/>
  <c r="M108" i="6" s="1"/>
  <c r="K142" i="4"/>
  <c r="K108" i="6" s="1"/>
  <c r="J142" i="4"/>
  <c r="J108" i="6" s="1"/>
  <c r="I142" i="4"/>
  <c r="I108" i="6" s="1"/>
  <c r="H142" i="4"/>
  <c r="H108" i="6" s="1"/>
  <c r="F142" i="4"/>
  <c r="F108" i="6" s="1"/>
  <c r="E142" i="4"/>
  <c r="E108" i="6" s="1"/>
  <c r="D142" i="4"/>
  <c r="D108" i="6" s="1"/>
  <c r="C142" i="4"/>
  <c r="C108" i="6" s="1"/>
  <c r="CC137" i="4"/>
  <c r="CC104" i="6" s="1"/>
  <c r="CB137" i="4"/>
  <c r="CB104" i="6" s="1"/>
  <c r="CA137" i="4"/>
  <c r="CA104" i="6" s="1"/>
  <c r="BZ137" i="4"/>
  <c r="BZ104" i="6" s="1"/>
  <c r="BX137" i="4"/>
  <c r="BX104" i="6" s="1"/>
  <c r="BW137" i="4"/>
  <c r="BW104" i="6" s="1"/>
  <c r="BV137" i="4"/>
  <c r="BV104" i="6" s="1"/>
  <c r="BU137" i="4"/>
  <c r="BU104" i="6" s="1"/>
  <c r="BS137" i="4"/>
  <c r="BS104" i="6" s="1"/>
  <c r="BR137" i="4"/>
  <c r="BR104" i="6" s="1"/>
  <c r="BQ137" i="4"/>
  <c r="BQ104" i="6" s="1"/>
  <c r="BP137" i="4"/>
  <c r="BP104" i="6" s="1"/>
  <c r="BN137" i="4"/>
  <c r="BN104" i="6" s="1"/>
  <c r="BM137" i="4"/>
  <c r="BM104" i="6" s="1"/>
  <c r="BL137" i="4"/>
  <c r="BL104" i="6" s="1"/>
  <c r="BK137" i="4"/>
  <c r="BK104" i="6" s="1"/>
  <c r="BD137" i="4"/>
  <c r="BD104" i="6" s="1"/>
  <c r="BC137" i="4"/>
  <c r="BC104" i="6" s="1"/>
  <c r="BB137" i="4"/>
  <c r="BB104" i="6" s="1"/>
  <c r="BA137" i="4"/>
  <c r="BA104" i="6" s="1"/>
  <c r="AW137" i="4"/>
  <c r="AW104" i="6" s="1"/>
  <c r="AP137" i="4"/>
  <c r="AP104" i="6" s="1"/>
  <c r="AJ137" i="4"/>
  <c r="AJ104" i="6" s="1"/>
  <c r="AI137" i="4"/>
  <c r="AI104" i="6" s="1"/>
  <c r="AH137" i="4"/>
  <c r="AH104" i="6" s="1"/>
  <c r="AG137" i="4"/>
  <c r="AG104" i="6" s="1"/>
  <c r="AE137" i="4"/>
  <c r="AE104" i="6" s="1"/>
  <c r="AD137" i="4"/>
  <c r="AD104" i="6" s="1"/>
  <c r="AC137" i="4"/>
  <c r="AC104" i="6" s="1"/>
  <c r="AB137" i="4"/>
  <c r="AB104" i="6" s="1"/>
  <c r="Z137" i="4"/>
  <c r="Z104" i="6" s="1"/>
  <c r="Y137" i="4"/>
  <c r="Y104" i="6" s="1"/>
  <c r="X137" i="4"/>
  <c r="X104" i="6" s="1"/>
  <c r="W137" i="4"/>
  <c r="W104" i="6" s="1"/>
  <c r="U137" i="4"/>
  <c r="U104" i="6" s="1"/>
  <c r="T137" i="4"/>
  <c r="T104" i="6" s="1"/>
  <c r="S137" i="4"/>
  <c r="S104" i="6" s="1"/>
  <c r="R137" i="4"/>
  <c r="R104" i="6" s="1"/>
  <c r="Q137" i="4"/>
  <c r="Q104" i="6" s="1"/>
  <c r="P137" i="4"/>
  <c r="P104" i="6" s="1"/>
  <c r="O137" i="4"/>
  <c r="O104" i="6" s="1"/>
  <c r="N137" i="4"/>
  <c r="N104" i="6" s="1"/>
  <c r="M137" i="4"/>
  <c r="M104" i="6" s="1"/>
  <c r="K137" i="4"/>
  <c r="K104" i="6" s="1"/>
  <c r="J137" i="4"/>
  <c r="J104" i="6"/>
  <c r="I137" i="4"/>
  <c r="I104" i="6" s="1"/>
  <c r="H137" i="4"/>
  <c r="H104" i="6"/>
  <c r="F137" i="4"/>
  <c r="F104" i="6" s="1"/>
  <c r="E137" i="4"/>
  <c r="E104" i="6"/>
  <c r="D137" i="4"/>
  <c r="D104" i="6" s="1"/>
  <c r="C137" i="4"/>
  <c r="C104" i="6"/>
  <c r="BI136" i="4"/>
  <c r="BH136" i="4"/>
  <c r="BH103" i="6"/>
  <c r="BG136" i="4"/>
  <c r="BG133" i="4" s="1"/>
  <c r="BG103" i="6"/>
  <c r="BF136" i="4"/>
  <c r="BB136" i="4"/>
  <c r="BJ135" i="4"/>
  <c r="BJ102" i="6" s="1"/>
  <c r="BH133" i="4"/>
  <c r="BE133" i="4"/>
  <c r="AY133" i="4"/>
  <c r="AX133" i="4"/>
  <c r="AV133" i="4"/>
  <c r="AT133" i="4"/>
  <c r="AS133" i="4"/>
  <c r="AR133" i="4"/>
  <c r="AQ133" i="4"/>
  <c r="AO133" i="4"/>
  <c r="AN133" i="4"/>
  <c r="AM133" i="4"/>
  <c r="AL133" i="4"/>
  <c r="BI132" i="4"/>
  <c r="BH132" i="4"/>
  <c r="BH99" i="6" s="1"/>
  <c r="BG132" i="4"/>
  <c r="BG99" i="6"/>
  <c r="BF132" i="4"/>
  <c r="BF99" i="6" s="1"/>
  <c r="BD132" i="4"/>
  <c r="BD99" i="6" s="1"/>
  <c r="BB132" i="4"/>
  <c r="BA132" i="4"/>
  <c r="BA99" i="6"/>
  <c r="AY132" i="4"/>
  <c r="AY99" i="6" s="1"/>
  <c r="AW132" i="4"/>
  <c r="AW99" i="6"/>
  <c r="AV132" i="4"/>
  <c r="AV99" i="6" s="1"/>
  <c r="AT132" i="4"/>
  <c r="AT99" i="6"/>
  <c r="AS132" i="4"/>
  <c r="AS99" i="6" s="1"/>
  <c r="AR132" i="4"/>
  <c r="AR99" i="6"/>
  <c r="AQ132" i="4"/>
  <c r="AQ99" i="6" s="1"/>
  <c r="AO132" i="4"/>
  <c r="AO99" i="6"/>
  <c r="AN132" i="4"/>
  <c r="AN99" i="6" s="1"/>
  <c r="AM132" i="4"/>
  <c r="AM99" i="6"/>
  <c r="AL132" i="4"/>
  <c r="AL99" i="6" s="1"/>
  <c r="AJ132" i="4"/>
  <c r="AJ99" i="6"/>
  <c r="AI132" i="4"/>
  <c r="AI99" i="6" s="1"/>
  <c r="AH132" i="4"/>
  <c r="AH99" i="6"/>
  <c r="AG132" i="4"/>
  <c r="AG99" i="6" s="1"/>
  <c r="BJ131" i="4"/>
  <c r="BJ98" i="6"/>
  <c r="AY131" i="4"/>
  <c r="AY98" i="6" s="1"/>
  <c r="BD130" i="4"/>
  <c r="BD97" i="6"/>
  <c r="BA130" i="4"/>
  <c r="BA97" i="6" s="1"/>
  <c r="BG129" i="4"/>
  <c r="BF129" i="4"/>
  <c r="BE129" i="4"/>
  <c r="AX129" i="4"/>
  <c r="AZ129" i="4"/>
  <c r="AU129" i="4"/>
  <c r="AP129" i="4"/>
  <c r="AK129" i="4"/>
  <c r="AF129" i="4"/>
  <c r="BI128" i="4"/>
  <c r="BI95" i="6"/>
  <c r="BH128" i="4"/>
  <c r="BH95" i="6"/>
  <c r="BG128" i="4"/>
  <c r="BG95" i="6"/>
  <c r="BF128" i="4"/>
  <c r="BB128" i="4"/>
  <c r="BB95" i="6"/>
  <c r="AJ128" i="4"/>
  <c r="AJ95" i="6" s="1"/>
  <c r="AI128" i="4"/>
  <c r="AI95" i="6"/>
  <c r="AH128" i="4"/>
  <c r="AH95" i="6" s="1"/>
  <c r="AG128" i="4"/>
  <c r="AG95" i="6"/>
  <c r="AE128" i="4"/>
  <c r="AE95" i="6" s="1"/>
  <c r="AD128" i="4"/>
  <c r="AD95" i="6"/>
  <c r="AC128" i="4"/>
  <c r="AC95" i="6" s="1"/>
  <c r="AB128" i="4"/>
  <c r="AB95" i="6"/>
  <c r="Z128" i="4"/>
  <c r="Z95" i="6" s="1"/>
  <c r="Y128" i="4"/>
  <c r="Y95" i="6"/>
  <c r="X128" i="4"/>
  <c r="X95" i="6" s="1"/>
  <c r="W128" i="4"/>
  <c r="W95" i="6"/>
  <c r="BJ127" i="4"/>
  <c r="BJ94" i="6" s="1"/>
  <c r="BB127" i="4"/>
  <c r="BI125" i="4"/>
  <c r="BG125" i="4"/>
  <c r="BE125" i="4"/>
  <c r="AY125" i="4"/>
  <c r="BD128" i="4"/>
  <c r="AX125" i="4"/>
  <c r="BC128" i="4" s="1"/>
  <c r="AV125" i="4"/>
  <c r="AT125" i="4"/>
  <c r="AS125" i="4"/>
  <c r="AR125" i="4"/>
  <c r="AQ125" i="4"/>
  <c r="AO125" i="4"/>
  <c r="AN125" i="4"/>
  <c r="AM125" i="4"/>
  <c r="AL125" i="4"/>
  <c r="AL128" i="4"/>
  <c r="AL95" i="6" s="1"/>
  <c r="AK125" i="4"/>
  <c r="AF125" i="4"/>
  <c r="AA125" i="4"/>
  <c r="V125" i="4"/>
  <c r="V137" i="4"/>
  <c r="V104" i="6"/>
  <c r="AR121" i="4"/>
  <c r="AR88" i="6" s="1"/>
  <c r="AQ121" i="4"/>
  <c r="AQ88" i="6"/>
  <c r="BI120" i="4"/>
  <c r="BI87" i="6" s="1"/>
  <c r="BH120" i="4"/>
  <c r="BG120" i="4"/>
  <c r="BG117" i="4" s="1"/>
  <c r="BG87" i="6"/>
  <c r="BF120" i="4"/>
  <c r="BF87" i="6"/>
  <c r="BD120" i="4"/>
  <c r="BD87" i="6"/>
  <c r="BB120" i="4"/>
  <c r="BB87" i="6"/>
  <c r="BA120" i="4"/>
  <c r="BA87" i="6"/>
  <c r="AY120" i="4"/>
  <c r="AY87" i="6"/>
  <c r="AW120" i="4"/>
  <c r="AW87" i="6" s="1"/>
  <c r="AV120" i="4"/>
  <c r="AV87" i="6"/>
  <c r="BJ119" i="4"/>
  <c r="BJ86" i="6" s="1"/>
  <c r="BD118" i="4"/>
  <c r="BD85" i="6" s="1"/>
  <c r="BA118" i="4"/>
  <c r="BA85" i="6" s="1"/>
  <c r="BE117" i="4"/>
  <c r="BE120" i="4" s="1"/>
  <c r="AX117" i="4"/>
  <c r="AZ117" i="4"/>
  <c r="AZ120" i="4"/>
  <c r="AZ87" i="6" s="1"/>
  <c r="AU117" i="4"/>
  <c r="AA117" i="4"/>
  <c r="AA121" i="4"/>
  <c r="AA88" i="6" s="1"/>
  <c r="Z117" i="4"/>
  <c r="Y117" i="4"/>
  <c r="X117" i="4"/>
  <c r="X121" i="4" s="1"/>
  <c r="X88" i="6" s="1"/>
  <c r="W117" i="4"/>
  <c r="W121" i="4"/>
  <c r="W88" i="6" s="1"/>
  <c r="V117" i="4"/>
  <c r="U117" i="4"/>
  <c r="T117" i="4"/>
  <c r="T121" i="4" s="1"/>
  <c r="T88" i="6" s="1"/>
  <c r="S117" i="4"/>
  <c r="S121" i="4"/>
  <c r="S88" i="6" s="1"/>
  <c r="R117" i="4"/>
  <c r="Q117" i="4"/>
  <c r="P117" i="4"/>
  <c r="O117" i="4"/>
  <c r="N117" i="4"/>
  <c r="M117" i="4"/>
  <c r="L117" i="4"/>
  <c r="K117" i="4"/>
  <c r="J117" i="4"/>
  <c r="I117" i="4"/>
  <c r="H117" i="4"/>
  <c r="G117" i="4"/>
  <c r="F117" i="4"/>
  <c r="E117" i="4"/>
  <c r="D117" i="4"/>
  <c r="C117" i="4"/>
  <c r="BD115" i="4"/>
  <c r="BD82" i="6" s="1"/>
  <c r="BC115" i="4"/>
  <c r="BC82" i="6" s="1"/>
  <c r="BB115" i="4"/>
  <c r="BB82" i="6" s="1"/>
  <c r="BA115" i="4"/>
  <c r="BA82" i="6" s="1"/>
  <c r="AW115" i="4"/>
  <c r="AW82" i="6" s="1"/>
  <c r="AV115" i="4"/>
  <c r="AV82" i="6" s="1"/>
  <c r="BE113" i="4"/>
  <c r="BJ111" i="4"/>
  <c r="BJ79" i="6"/>
  <c r="BT109" i="4"/>
  <c r="BT78" i="6"/>
  <c r="BJ109" i="4"/>
  <c r="BJ78" i="6"/>
  <c r="BJ107" i="4"/>
  <c r="BJ77" i="6"/>
  <c r="BE107" i="4"/>
  <c r="BE77" i="6"/>
  <c r="BS105" i="4"/>
  <c r="BS76" i="6"/>
  <c r="BR105" i="4"/>
  <c r="BR76" i="6"/>
  <c r="BQ105" i="4"/>
  <c r="BQ76" i="6"/>
  <c r="BP105" i="4"/>
  <c r="BP76" i="6"/>
  <c r="BN105" i="4"/>
  <c r="BN76" i="6" s="1"/>
  <c r="BM105" i="4"/>
  <c r="BM76" i="6"/>
  <c r="BL105" i="4"/>
  <c r="BL76" i="6" s="1"/>
  <c r="BK105" i="4"/>
  <c r="BK76" i="6"/>
  <c r="BI105" i="4"/>
  <c r="BI76" i="6" s="1"/>
  <c r="BH105" i="4"/>
  <c r="BH76" i="6"/>
  <c r="BG105" i="4"/>
  <c r="BG76" i="6" s="1"/>
  <c r="BF105" i="4"/>
  <c r="BF76" i="6"/>
  <c r="BD105" i="4"/>
  <c r="BD76" i="6" s="1"/>
  <c r="BC105" i="4"/>
  <c r="BC76" i="6"/>
  <c r="BB105" i="4"/>
  <c r="BB76" i="6" s="1"/>
  <c r="BA105" i="4"/>
  <c r="BA76" i="6"/>
  <c r="BX103" i="4"/>
  <c r="BX75" i="6" s="1"/>
  <c r="BW103" i="4"/>
  <c r="BV103" i="4"/>
  <c r="BV75" i="6"/>
  <c r="BU103" i="4"/>
  <c r="BU75" i="6"/>
  <c r="BJ103" i="4"/>
  <c r="BJ75" i="6"/>
  <c r="BE103" i="4"/>
  <c r="BE75" i="6"/>
  <c r="BO101" i="4"/>
  <c r="BO74" i="6" s="1"/>
  <c r="BJ101" i="4"/>
  <c r="BJ74" i="6" s="1"/>
  <c r="BE101" i="4"/>
  <c r="BE74" i="6" s="1"/>
  <c r="BJ99" i="4"/>
  <c r="BJ73" i="6" s="1"/>
  <c r="BE99" i="4"/>
  <c r="BE73" i="6" s="1"/>
  <c r="BJ97" i="4"/>
  <c r="BJ72" i="6" s="1"/>
  <c r="BE97" i="4"/>
  <c r="BE72" i="6" s="1"/>
  <c r="CC95" i="4"/>
  <c r="CC71" i="6" s="1"/>
  <c r="CB95" i="4"/>
  <c r="CB71" i="6" s="1"/>
  <c r="CA95" i="4"/>
  <c r="CA71" i="6" s="1"/>
  <c r="BZ95" i="4"/>
  <c r="BZ71" i="6" s="1"/>
  <c r="BX95" i="4"/>
  <c r="BX71" i="6" s="1"/>
  <c r="BW95" i="4"/>
  <c r="BW71" i="6" s="1"/>
  <c r="BV95" i="4"/>
  <c r="BV71" i="6" s="1"/>
  <c r="BU95" i="4"/>
  <c r="BU71" i="6" s="1"/>
  <c r="BS95" i="4"/>
  <c r="BS71" i="6" s="1"/>
  <c r="BR95" i="4"/>
  <c r="BR71" i="6" s="1"/>
  <c r="BQ95" i="4"/>
  <c r="BQ71" i="6" s="1"/>
  <c r="BP95" i="4"/>
  <c r="BP71" i="6" s="1"/>
  <c r="BN95" i="4"/>
  <c r="BN71" i="6" s="1"/>
  <c r="BM95" i="4"/>
  <c r="BM71" i="6" s="1"/>
  <c r="BL95" i="4"/>
  <c r="BL71" i="6" s="1"/>
  <c r="BK95" i="4"/>
  <c r="BK71" i="6" s="1"/>
  <c r="BI95" i="4"/>
  <c r="BI71" i="6" s="1"/>
  <c r="BH95" i="4"/>
  <c r="BH71" i="6" s="1"/>
  <c r="BG95" i="4"/>
  <c r="BG71" i="6" s="1"/>
  <c r="BF95" i="4"/>
  <c r="BF71" i="6" s="1"/>
  <c r="BE95" i="4"/>
  <c r="BE71" i="6" s="1"/>
  <c r="BA95" i="4"/>
  <c r="BA71" i="6" s="1"/>
  <c r="BJ93" i="4"/>
  <c r="BJ70" i="6" s="1"/>
  <c r="BD93" i="4"/>
  <c r="BD70" i="6" s="1"/>
  <c r="BC93" i="4"/>
  <c r="BE93" i="4" s="1"/>
  <c r="BE70" i="6" s="1"/>
  <c r="BB93" i="4"/>
  <c r="BB70" i="6" s="1"/>
  <c r="BJ92" i="4"/>
  <c r="BE92" i="4"/>
  <c r="BJ91" i="4"/>
  <c r="BJ69" i="6" s="1"/>
  <c r="BE91" i="4"/>
  <c r="BE69" i="6" s="1"/>
  <c r="BO87" i="4"/>
  <c r="BJ87" i="4"/>
  <c r="BJ84" i="4"/>
  <c r="BE84" i="4"/>
  <c r="BD82" i="4"/>
  <c r="BD60" i="6" s="1"/>
  <c r="BC82" i="4"/>
  <c r="BC60" i="6" s="1"/>
  <c r="BB82" i="4"/>
  <c r="BB60" i="6" s="1"/>
  <c r="BA82" i="4"/>
  <c r="BA60" i="6" s="1"/>
  <c r="AY82" i="4"/>
  <c r="AY60" i="6" s="1"/>
  <c r="AX82" i="4"/>
  <c r="AX60" i="6" s="1"/>
  <c r="BI81" i="4"/>
  <c r="BH81" i="4"/>
  <c r="BG81" i="4"/>
  <c r="BG82" i="4" s="1"/>
  <c r="BG60" i="6" s="1"/>
  <c r="BF81" i="4"/>
  <c r="BF82" i="4"/>
  <c r="BF60" i="6" s="1"/>
  <c r="BE81" i="4"/>
  <c r="AZ81" i="4"/>
  <c r="BJ79" i="4"/>
  <c r="BJ57" i="6" s="1"/>
  <c r="BD79" i="4"/>
  <c r="BD57" i="6" s="1"/>
  <c r="BC79" i="4"/>
  <c r="BC80" i="4" s="1"/>
  <c r="BC58" i="6" s="1"/>
  <c r="BB79" i="4"/>
  <c r="BA79" i="4"/>
  <c r="BA57" i="6"/>
  <c r="AY79" i="4"/>
  <c r="AY57" i="6"/>
  <c r="AX79" i="4"/>
  <c r="AX57" i="6"/>
  <c r="AW79" i="4"/>
  <c r="AW57" i="6"/>
  <c r="AV79" i="4"/>
  <c r="AV57" i="6"/>
  <c r="BI78" i="4"/>
  <c r="BI56" i="6"/>
  <c r="BH78" i="4"/>
  <c r="BH56" i="6"/>
  <c r="BG78" i="4"/>
  <c r="BG56" i="6"/>
  <c r="BF78" i="4"/>
  <c r="BF56" i="6"/>
  <c r="BD78" i="4"/>
  <c r="BD56" i="6"/>
  <c r="BC78" i="4"/>
  <c r="BC56" i="6"/>
  <c r="BB78" i="4"/>
  <c r="BB56" i="6"/>
  <c r="BA78" i="4"/>
  <c r="BA56" i="6"/>
  <c r="Z78" i="4"/>
  <c r="Z56" i="6"/>
  <c r="Y78" i="4"/>
  <c r="Y56" i="6"/>
  <c r="X78" i="4"/>
  <c r="X56" i="6"/>
  <c r="W78" i="4"/>
  <c r="W56" i="6"/>
  <c r="U78" i="4"/>
  <c r="U56" i="6"/>
  <c r="T78" i="4"/>
  <c r="T56" i="6"/>
  <c r="S78" i="4"/>
  <c r="S56" i="6"/>
  <c r="R78" i="4"/>
  <c r="R56" i="6"/>
  <c r="P78" i="4"/>
  <c r="P56" i="6"/>
  <c r="O78" i="4"/>
  <c r="O56" i="6"/>
  <c r="N78" i="4"/>
  <c r="N56" i="6"/>
  <c r="M78" i="4"/>
  <c r="M56" i="6"/>
  <c r="K78" i="4"/>
  <c r="K56" i="6" s="1"/>
  <c r="J78" i="4"/>
  <c r="J56" i="6"/>
  <c r="I78" i="4"/>
  <c r="I56" i="6" s="1"/>
  <c r="H78" i="4"/>
  <c r="H56" i="6"/>
  <c r="BJ77" i="4"/>
  <c r="BJ55" i="6" s="1"/>
  <c r="BE77" i="4"/>
  <c r="BE55" i="6"/>
  <c r="AZ77" i="4"/>
  <c r="AZ55" i="6" s="1"/>
  <c r="AA77" i="4"/>
  <c r="AA55" i="6"/>
  <c r="V77" i="4"/>
  <c r="V55" i="6" s="1"/>
  <c r="Q77" i="4"/>
  <c r="Q55" i="6"/>
  <c r="L77" i="4"/>
  <c r="L55" i="6" s="1"/>
  <c r="G77" i="4"/>
  <c r="G55" i="6"/>
  <c r="BB74" i="4"/>
  <c r="BB52" i="6" s="1"/>
  <c r="BA74" i="4"/>
  <c r="BA52" i="6"/>
  <c r="BE73" i="4"/>
  <c r="AY73" i="4"/>
  <c r="AX73" i="4"/>
  <c r="AX71" i="4"/>
  <c r="AX50" i="6" s="1"/>
  <c r="AT73" i="4"/>
  <c r="AT115" i="4"/>
  <c r="AS73" i="4"/>
  <c r="BD71" i="4"/>
  <c r="BD50" i="6" s="1"/>
  <c r="BC71" i="4"/>
  <c r="BC50" i="6"/>
  <c r="BB71" i="4"/>
  <c r="BB50" i="6" s="1"/>
  <c r="BA71" i="4"/>
  <c r="BA50" i="6"/>
  <c r="AW71" i="4"/>
  <c r="AW50" i="6" s="1"/>
  <c r="AV71" i="4"/>
  <c r="AV50" i="6" s="1"/>
  <c r="AT71" i="4"/>
  <c r="AT50" i="6" s="1"/>
  <c r="BJ69" i="4"/>
  <c r="BJ49" i="6" s="1"/>
  <c r="BE69" i="4"/>
  <c r="BE49" i="6" s="1"/>
  <c r="BJ67" i="4"/>
  <c r="BE67" i="4"/>
  <c r="BE48" i="6"/>
  <c r="BI66" i="4"/>
  <c r="BH66" i="4"/>
  <c r="BG66" i="4"/>
  <c r="BF66" i="4"/>
  <c r="BD66" i="4"/>
  <c r="BC66" i="4"/>
  <c r="BB66" i="4"/>
  <c r="BA66" i="4"/>
  <c r="AY66" i="4"/>
  <c r="AX66" i="4"/>
  <c r="AW66" i="4"/>
  <c r="AV66" i="4"/>
  <c r="AT66" i="4"/>
  <c r="AS66" i="4"/>
  <c r="AR66" i="4"/>
  <c r="AQ66" i="4"/>
  <c r="AN66" i="4"/>
  <c r="AM66" i="4"/>
  <c r="AI66" i="4"/>
  <c r="AH66" i="4"/>
  <c r="AE66" i="4"/>
  <c r="AD66" i="4"/>
  <c r="AC66" i="4"/>
  <c r="AB66" i="4"/>
  <c r="BJ65" i="4"/>
  <c r="BJ47" i="6" s="1"/>
  <c r="BE65" i="4"/>
  <c r="BE47" i="6" s="1"/>
  <c r="AZ65" i="4"/>
  <c r="AZ47" i="6" s="1"/>
  <c r="AU65" i="4"/>
  <c r="AU47" i="6" s="1"/>
  <c r="AP65" i="4"/>
  <c r="AP47" i="6" s="1"/>
  <c r="AJ65" i="4"/>
  <c r="AJ47" i="6" s="1"/>
  <c r="AG65" i="4"/>
  <c r="AL66" i="4" s="1"/>
  <c r="AF65" i="4"/>
  <c r="AF47" i="6" s="1"/>
  <c r="AA65" i="4"/>
  <c r="AA47" i="6" s="1"/>
  <c r="V65" i="4"/>
  <c r="V47" i="6" s="1"/>
  <c r="Q65" i="4"/>
  <c r="Q47" i="6" s="1"/>
  <c r="BI64" i="4"/>
  <c r="BH64" i="4"/>
  <c r="BG64" i="4"/>
  <c r="BF64" i="4"/>
  <c r="BD64" i="4"/>
  <c r="BC64" i="4"/>
  <c r="AN64" i="4"/>
  <c r="AM64" i="4"/>
  <c r="AI64" i="4"/>
  <c r="AH64" i="4"/>
  <c r="AE64" i="4"/>
  <c r="AD64" i="4"/>
  <c r="AC64" i="4"/>
  <c r="AB64" i="4"/>
  <c r="Z64" i="4"/>
  <c r="Y64" i="4"/>
  <c r="X64" i="4"/>
  <c r="W64" i="4"/>
  <c r="U64" i="4"/>
  <c r="T64" i="4"/>
  <c r="S64" i="4"/>
  <c r="R64" i="4"/>
  <c r="P64" i="4"/>
  <c r="O64" i="4"/>
  <c r="N64" i="4"/>
  <c r="M64" i="4"/>
  <c r="K64" i="4"/>
  <c r="J64" i="4"/>
  <c r="I64" i="4"/>
  <c r="H64" i="4"/>
  <c r="BJ63" i="4"/>
  <c r="BJ46" i="6"/>
  <c r="BE63" i="4"/>
  <c r="BE46" i="6"/>
  <c r="AZ63" i="4"/>
  <c r="BE64" i="4" s="1"/>
  <c r="AZ46" i="6"/>
  <c r="AU63" i="4"/>
  <c r="AU46" i="6"/>
  <c r="AP63" i="4"/>
  <c r="AP46" i="6"/>
  <c r="AG63" i="4"/>
  <c r="AG46" i="6"/>
  <c r="AF63" i="4"/>
  <c r="AF46" i="6"/>
  <c r="AA63" i="4"/>
  <c r="AA46" i="6"/>
  <c r="V63" i="4"/>
  <c r="V46" i="6"/>
  <c r="Q63" i="4"/>
  <c r="Q46" i="6"/>
  <c r="L63" i="4"/>
  <c r="L46" i="6"/>
  <c r="G63" i="4"/>
  <c r="G46" i="6"/>
  <c r="BI60" i="4"/>
  <c r="BI43" i="6"/>
  <c r="BH60" i="4"/>
  <c r="BH43" i="6"/>
  <c r="BG60" i="4"/>
  <c r="BG43" i="6"/>
  <c r="BF60" i="4"/>
  <c r="BF43" i="6"/>
  <c r="BD60" i="4"/>
  <c r="BD43" i="6"/>
  <c r="BC60" i="4"/>
  <c r="BC43" i="6"/>
  <c r="BB60" i="4"/>
  <c r="BB43" i="6"/>
  <c r="BA60" i="4"/>
  <c r="BA43" i="6"/>
  <c r="AY60" i="4"/>
  <c r="AY43" i="6"/>
  <c r="AX60" i="4"/>
  <c r="AX43" i="6"/>
  <c r="BJ59" i="4"/>
  <c r="BE59" i="4"/>
  <c r="AZ59" i="4"/>
  <c r="BI57" i="4"/>
  <c r="BI40" i="6"/>
  <c r="BH57" i="4"/>
  <c r="BH40" i="6" s="1"/>
  <c r="BG57" i="4"/>
  <c r="BG40" i="6"/>
  <c r="BF57" i="4"/>
  <c r="BF40" i="6" s="1"/>
  <c r="BD57" i="4"/>
  <c r="BD40" i="6"/>
  <c r="BC57" i="4"/>
  <c r="BC40" i="6" s="1"/>
  <c r="BB57" i="4"/>
  <c r="BB40" i="6"/>
  <c r="BA57" i="4"/>
  <c r="BA40" i="6" s="1"/>
  <c r="AY57" i="4"/>
  <c r="AY40" i="6"/>
  <c r="AX57" i="4"/>
  <c r="AX40" i="6" s="1"/>
  <c r="BJ56" i="4"/>
  <c r="BE56" i="4"/>
  <c r="AZ56" i="4"/>
  <c r="BD54" i="4"/>
  <c r="BD37" i="6"/>
  <c r="BC54" i="4"/>
  <c r="BC37" i="6"/>
  <c r="BB54" i="4"/>
  <c r="BB37" i="6"/>
  <c r="BA54" i="4"/>
  <c r="BA37" i="6"/>
  <c r="AY54" i="4"/>
  <c r="AY37" i="6"/>
  <c r="AX54" i="4"/>
  <c r="AX37" i="6"/>
  <c r="CC53" i="4"/>
  <c r="CB53" i="4"/>
  <c r="CA53" i="4"/>
  <c r="BZ53" i="4"/>
  <c r="BX53" i="4"/>
  <c r="BW53" i="4"/>
  <c r="BV53" i="4"/>
  <c r="BU53" i="4"/>
  <c r="BS53" i="4"/>
  <c r="BR53" i="4"/>
  <c r="BQ53" i="4"/>
  <c r="BP53" i="4"/>
  <c r="BN53" i="4"/>
  <c r="BM53" i="4"/>
  <c r="BL53" i="4"/>
  <c r="BK53" i="4"/>
  <c r="BI53" i="4"/>
  <c r="BI54" i="4"/>
  <c r="BI37" i="6"/>
  <c r="BH53" i="4"/>
  <c r="BH54" i="4" s="1"/>
  <c r="BH37" i="6" s="1"/>
  <c r="BG53" i="4"/>
  <c r="BF53" i="4"/>
  <c r="BE53" i="4"/>
  <c r="AZ53" i="4"/>
  <c r="BE54" i="4" s="1"/>
  <c r="BE37" i="6" s="1"/>
  <c r="BJ51" i="4"/>
  <c r="BD51" i="4"/>
  <c r="BI52" i="4" s="1"/>
  <c r="BC51" i="4"/>
  <c r="BC35" i="6" s="1"/>
  <c r="BB51" i="4"/>
  <c r="BB35" i="6" s="1"/>
  <c r="BA51" i="4"/>
  <c r="AY51" i="4"/>
  <c r="AY35" i="6"/>
  <c r="AX51" i="4"/>
  <c r="AX35" i="6" s="1"/>
  <c r="AW51" i="4"/>
  <c r="AW35" i="6"/>
  <c r="AV51" i="4"/>
  <c r="AV35" i="6" s="1"/>
  <c r="CD50" i="4"/>
  <c r="BY50" i="4"/>
  <c r="BT50" i="4"/>
  <c r="BJ49" i="4"/>
  <c r="BJ34" i="6"/>
  <c r="BI48" i="4"/>
  <c r="BH48" i="4"/>
  <c r="BG48" i="4"/>
  <c r="BF48" i="4"/>
  <c r="BD48" i="4"/>
  <c r="BC48" i="4"/>
  <c r="BB48" i="4"/>
  <c r="BA48" i="4"/>
  <c r="BJ47" i="4"/>
  <c r="BJ33" i="6" s="1"/>
  <c r="BE47" i="4"/>
  <c r="BE33" i="6"/>
  <c r="AZ47" i="4"/>
  <c r="AZ33" i="6" s="1"/>
  <c r="BD44" i="4"/>
  <c r="BD30" i="6" s="1"/>
  <c r="BC44" i="4"/>
  <c r="BC30" i="6" s="1"/>
  <c r="BB44" i="4"/>
  <c r="BB30" i="6" s="1"/>
  <c r="BA44" i="4"/>
  <c r="BA30" i="6" s="1"/>
  <c r="AY44" i="4"/>
  <c r="AY30" i="6" s="1"/>
  <c r="AX44" i="4"/>
  <c r="AX30" i="6" s="1"/>
  <c r="BI43" i="4"/>
  <c r="BI44" i="4" s="1"/>
  <c r="BI30" i="6" s="1"/>
  <c r="BH43" i="4"/>
  <c r="BH44" i="4" s="1"/>
  <c r="BH30" i="6" s="1"/>
  <c r="BG43" i="4"/>
  <c r="BF43" i="4"/>
  <c r="BE43" i="4"/>
  <c r="AZ43" i="4"/>
  <c r="BE44" i="4"/>
  <c r="BE30" i="6" s="1"/>
  <c r="BJ41" i="4"/>
  <c r="BJ28" i="6"/>
  <c r="BD41" i="4"/>
  <c r="BD28" i="6" s="1"/>
  <c r="BC41" i="4"/>
  <c r="BC28" i="6" s="1"/>
  <c r="BB41" i="4"/>
  <c r="BB28" i="6" s="1"/>
  <c r="BA41" i="4"/>
  <c r="BA28" i="6" s="1"/>
  <c r="AY41" i="4"/>
  <c r="AY28" i="6" s="1"/>
  <c r="AX41" i="4"/>
  <c r="AX28" i="6" s="1"/>
  <c r="AW41" i="4"/>
  <c r="AW28" i="6" s="1"/>
  <c r="AV41" i="4"/>
  <c r="AV28" i="6" s="1"/>
  <c r="CD40" i="4"/>
  <c r="BY40" i="4"/>
  <c r="BT40" i="4"/>
  <c r="BJ39" i="4"/>
  <c r="BJ27" i="6"/>
  <c r="BI38" i="4"/>
  <c r="BH38" i="4"/>
  <c r="BG38" i="4"/>
  <c r="BF38" i="4"/>
  <c r="BD38" i="4"/>
  <c r="BC38" i="4"/>
  <c r="BB38" i="4"/>
  <c r="BA38" i="4"/>
  <c r="BO37" i="4"/>
  <c r="BO26" i="6" s="1"/>
  <c r="BJ37" i="4"/>
  <c r="BJ26" i="6"/>
  <c r="BE37" i="4"/>
  <c r="BE26" i="6" s="1"/>
  <c r="AZ37" i="4"/>
  <c r="AZ26" i="6"/>
  <c r="BI36" i="4"/>
  <c r="BH36" i="4"/>
  <c r="BG36" i="4"/>
  <c r="BF36" i="4"/>
  <c r="BD36" i="4"/>
  <c r="BC36" i="4"/>
  <c r="BB36" i="4"/>
  <c r="BA36" i="4"/>
  <c r="BJ35" i="4"/>
  <c r="BJ25" i="6" s="1"/>
  <c r="BE35" i="4"/>
  <c r="BE25" i="6"/>
  <c r="AZ35" i="4"/>
  <c r="AZ25" i="6" s="1"/>
  <c r="BI34" i="4"/>
  <c r="BH34" i="4"/>
  <c r="BG34" i="4"/>
  <c r="BF34" i="4"/>
  <c r="BD34" i="4"/>
  <c r="BC34" i="4"/>
  <c r="BB34" i="4"/>
  <c r="BA34" i="4"/>
  <c r="BJ33" i="4"/>
  <c r="BJ24" i="6"/>
  <c r="BE33" i="4"/>
  <c r="BE24" i="6" s="1"/>
  <c r="AZ33" i="4"/>
  <c r="AZ24" i="6"/>
  <c r="BI32" i="4"/>
  <c r="BH32" i="4"/>
  <c r="BG32" i="4"/>
  <c r="BF32" i="4"/>
  <c r="BD32" i="4"/>
  <c r="BC32" i="4"/>
  <c r="BB32" i="4"/>
  <c r="BA32" i="4"/>
  <c r="BJ31" i="4"/>
  <c r="BJ23" i="6" s="1"/>
  <c r="BE31" i="4"/>
  <c r="BE32" i="4" s="1"/>
  <c r="AZ31" i="4"/>
  <c r="AZ23" i="6" s="1"/>
  <c r="BD28" i="4"/>
  <c r="BD20" i="6" s="1"/>
  <c r="BC28" i="4"/>
  <c r="BC20" i="6" s="1"/>
  <c r="BB28" i="4"/>
  <c r="BB20" i="6" s="1"/>
  <c r="BA28" i="4"/>
  <c r="BA20" i="6" s="1"/>
  <c r="AY28" i="4"/>
  <c r="AY20" i="6" s="1"/>
  <c r="AX28" i="4"/>
  <c r="AX20" i="6" s="1"/>
  <c r="BE27" i="4"/>
  <c r="AZ27" i="4"/>
  <c r="BD25" i="4"/>
  <c r="BD18" i="6" s="1"/>
  <c r="BC25" i="4"/>
  <c r="BC18" i="6" s="1"/>
  <c r="BB25" i="4"/>
  <c r="BB18" i="6" s="1"/>
  <c r="BA25" i="4"/>
  <c r="BA18" i="6" s="1"/>
  <c r="AY25" i="4"/>
  <c r="AY18" i="6" s="1"/>
  <c r="AX25" i="4"/>
  <c r="AX18" i="6" s="1"/>
  <c r="AW25" i="4"/>
  <c r="AW18" i="6" s="1"/>
  <c r="AV25" i="4"/>
  <c r="AV18" i="6" s="1"/>
  <c r="AT25" i="4"/>
  <c r="AT18" i="6" s="1"/>
  <c r="AS25" i="4"/>
  <c r="AS18" i="6" s="1"/>
  <c r="BJ23" i="4"/>
  <c r="BJ17" i="6" s="1"/>
  <c r="BE23" i="4"/>
  <c r="BE17" i="6" s="1"/>
  <c r="CD22" i="4"/>
  <c r="BY22" i="4"/>
  <c r="BT22" i="4"/>
  <c r="BJ21" i="4"/>
  <c r="BJ16" i="6"/>
  <c r="BE21" i="4"/>
  <c r="BE16" i="6"/>
  <c r="CD20" i="4"/>
  <c r="BY20" i="4"/>
  <c r="BT20" i="4"/>
  <c r="BJ19" i="4"/>
  <c r="BJ15" i="6" s="1"/>
  <c r="BE19" i="4"/>
  <c r="BE15" i="6" s="1"/>
  <c r="CD18" i="4"/>
  <c r="BY18" i="4"/>
  <c r="BT18" i="4"/>
  <c r="BI18" i="4"/>
  <c r="BH18" i="4"/>
  <c r="BG18" i="4"/>
  <c r="BF18" i="4"/>
  <c r="BD18" i="4"/>
  <c r="BC18" i="4"/>
  <c r="BB18" i="4"/>
  <c r="BJ17" i="4"/>
  <c r="BJ14" i="6" s="1"/>
  <c r="BE17" i="4"/>
  <c r="BE14" i="6" s="1"/>
  <c r="AZ17" i="4"/>
  <c r="AZ14" i="6" s="1"/>
  <c r="CD16" i="4"/>
  <c r="BY16" i="4"/>
  <c r="BT16" i="4"/>
  <c r="BI16" i="4"/>
  <c r="BH16" i="4"/>
  <c r="BG16" i="4"/>
  <c r="BF16" i="4"/>
  <c r="BD16" i="4"/>
  <c r="BC16" i="4"/>
  <c r="BJ15" i="4"/>
  <c r="BO16" i="4" s="1"/>
  <c r="BE15" i="4"/>
  <c r="BE13" i="6" s="1"/>
  <c r="AZ15" i="4"/>
  <c r="AZ13" i="6" s="1"/>
  <c r="AU15" i="4"/>
  <c r="AU13" i="6" s="1"/>
  <c r="BI14" i="4"/>
  <c r="BH14" i="4"/>
  <c r="BG14" i="4"/>
  <c r="BF14" i="4"/>
  <c r="BD14" i="4"/>
  <c r="BC14" i="4"/>
  <c r="BB14" i="4"/>
  <c r="BA14" i="4"/>
  <c r="BJ13" i="4"/>
  <c r="BJ12" i="6" s="1"/>
  <c r="BE13" i="4"/>
  <c r="BE12" i="6" s="1"/>
  <c r="AZ13" i="4"/>
  <c r="AZ12" i="6" s="1"/>
  <c r="BI12" i="4"/>
  <c r="BH12" i="4"/>
  <c r="BG12" i="4"/>
  <c r="BF12" i="4"/>
  <c r="BD12" i="4"/>
  <c r="BC12" i="4"/>
  <c r="BB12" i="4"/>
  <c r="BA12" i="4"/>
  <c r="AY12" i="4"/>
  <c r="AX12" i="4"/>
  <c r="AW12" i="4"/>
  <c r="AV12" i="4"/>
  <c r="BJ11" i="4"/>
  <c r="BJ11" i="6" s="1"/>
  <c r="BE11" i="4"/>
  <c r="BE11" i="6" s="1"/>
  <c r="AZ11" i="4"/>
  <c r="AZ11" i="6" s="1"/>
  <c r="AU11" i="4"/>
  <c r="AU11" i="6" s="1"/>
  <c r="AP11" i="4"/>
  <c r="AP11" i="6" s="1"/>
  <c r="CC118" i="3"/>
  <c r="CB118" i="3"/>
  <c r="CA118" i="3"/>
  <c r="BZ118" i="3"/>
  <c r="BX118" i="3"/>
  <c r="BW118" i="3"/>
  <c r="BV118" i="3"/>
  <c r="BU118" i="3"/>
  <c r="BS118" i="3"/>
  <c r="BR118" i="3"/>
  <c r="BQ118" i="3"/>
  <c r="BP118" i="3"/>
  <c r="BN118" i="3"/>
  <c r="BM118" i="3"/>
  <c r="BL118" i="3"/>
  <c r="BK118" i="3"/>
  <c r="AE118" i="3"/>
  <c r="CC117" i="3"/>
  <c r="CC121" i="3"/>
  <c r="CB117" i="3"/>
  <c r="CA117" i="3"/>
  <c r="BZ117" i="3"/>
  <c r="BX117" i="3"/>
  <c r="BX121" i="3" s="1"/>
  <c r="BW117" i="3"/>
  <c r="BV117" i="3"/>
  <c r="BU117" i="3"/>
  <c r="BS117" i="3"/>
  <c r="BS121" i="3"/>
  <c r="BR117" i="3"/>
  <c r="BQ117" i="3"/>
  <c r="BP117" i="3"/>
  <c r="BN117" i="3"/>
  <c r="BM117" i="3"/>
  <c r="BL117" i="3"/>
  <c r="BK117" i="3"/>
  <c r="AE117" i="3"/>
  <c r="AD117" i="3"/>
  <c r="AC117" i="3"/>
  <c r="AB117" i="3"/>
  <c r="AA117" i="3"/>
  <c r="Z117" i="3"/>
  <c r="Y117" i="3"/>
  <c r="X117" i="3"/>
  <c r="W117" i="3"/>
  <c r="V117" i="3"/>
  <c r="U117" i="3"/>
  <c r="T117" i="3"/>
  <c r="S117" i="3"/>
  <c r="R117" i="3"/>
  <c r="Q117" i="3"/>
  <c r="P117" i="3"/>
  <c r="O117" i="3"/>
  <c r="N117" i="3"/>
  <c r="M117" i="3"/>
  <c r="L117" i="3"/>
  <c r="K117" i="3"/>
  <c r="J117" i="3"/>
  <c r="I117" i="3"/>
  <c r="H117" i="3"/>
  <c r="BI115" i="3"/>
  <c r="BH115" i="3"/>
  <c r="BG115" i="3"/>
  <c r="BF115" i="3"/>
  <c r="BA115" i="3"/>
  <c r="CD114" i="3"/>
  <c r="BY114" i="3"/>
  <c r="BT114" i="3"/>
  <c r="BO114" i="3"/>
  <c r="BJ114" i="3"/>
  <c r="BI114" i="3"/>
  <c r="BI120" i="3" s="1"/>
  <c r="BH114" i="3"/>
  <c r="BG114" i="3"/>
  <c r="BF114" i="3"/>
  <c r="BF120" i="3" s="1"/>
  <c r="BD114" i="3"/>
  <c r="BC114" i="3"/>
  <c r="BB114" i="3"/>
  <c r="BA114" i="3"/>
  <c r="BE112" i="3"/>
  <c r="CD111" i="3"/>
  <c r="BY111" i="3"/>
  <c r="BT111" i="3"/>
  <c r="BO111" i="3"/>
  <c r="BJ111" i="3"/>
  <c r="BD111" i="3"/>
  <c r="BC111" i="3"/>
  <c r="BB111" i="3"/>
  <c r="BE110" i="3"/>
  <c r="BE108" i="3"/>
  <c r="CD107" i="3"/>
  <c r="CC107" i="3"/>
  <c r="CB107" i="3"/>
  <c r="CA107" i="3"/>
  <c r="BZ107" i="3"/>
  <c r="BY107" i="3"/>
  <c r="BX107" i="3"/>
  <c r="BW107" i="3"/>
  <c r="BV107" i="3"/>
  <c r="BU107" i="3"/>
  <c r="BT107" i="3"/>
  <c r="BS107" i="3"/>
  <c r="BR107" i="3"/>
  <c r="BQ107" i="3"/>
  <c r="BP107" i="3"/>
  <c r="BO107" i="3"/>
  <c r="BN107" i="3"/>
  <c r="BM107" i="3"/>
  <c r="BL107" i="3"/>
  <c r="BK107" i="3"/>
  <c r="BJ107" i="3"/>
  <c r="BD107" i="3"/>
  <c r="BC107" i="3"/>
  <c r="BB107" i="3"/>
  <c r="BE106" i="3"/>
  <c r="BJ103" i="3"/>
  <c r="BJ102" i="3" s="1"/>
  <c r="BE103" i="3"/>
  <c r="BD102" i="3"/>
  <c r="BC102" i="3"/>
  <c r="BB102" i="3"/>
  <c r="BB115" i="3"/>
  <c r="CC101" i="3"/>
  <c r="CC102" i="3" s="1"/>
  <c r="CC115" i="3" s="1"/>
  <c r="CB101" i="3"/>
  <c r="CB102" i="3"/>
  <c r="CB115" i="3" s="1"/>
  <c r="CA101" i="3"/>
  <c r="CA114" i="3" s="1"/>
  <c r="BZ101" i="3"/>
  <c r="BZ114" i="3" s="1"/>
  <c r="BX101" i="3"/>
  <c r="BW101" i="3"/>
  <c r="BW114" i="3"/>
  <c r="BV101" i="3"/>
  <c r="BU101" i="3"/>
  <c r="BU102" i="3" s="1"/>
  <c r="BU115" i="3" s="1"/>
  <c r="BU120" i="3" s="1"/>
  <c r="BS101" i="3"/>
  <c r="BS114" i="3" s="1"/>
  <c r="BR101" i="3"/>
  <c r="BR114" i="3"/>
  <c r="BQ101" i="3"/>
  <c r="BQ102" i="3" s="1"/>
  <c r="BQ115" i="3" s="1"/>
  <c r="BQ120" i="3" s="1"/>
  <c r="BP101" i="3"/>
  <c r="BP102" i="3"/>
  <c r="BP115" i="3" s="1"/>
  <c r="BN101" i="3"/>
  <c r="BM101" i="3"/>
  <c r="BM102" i="3"/>
  <c r="BL101" i="3"/>
  <c r="BK101" i="3"/>
  <c r="BK114" i="3"/>
  <c r="BE101" i="3"/>
  <c r="AE100" i="3"/>
  <c r="AD100" i="3"/>
  <c r="AC100" i="3"/>
  <c r="AB100" i="3"/>
  <c r="AA100" i="3"/>
  <c r="Z100" i="3"/>
  <c r="Y100" i="3"/>
  <c r="X100" i="3"/>
  <c r="W100" i="3"/>
  <c r="V100" i="3"/>
  <c r="U100" i="3"/>
  <c r="T100" i="3"/>
  <c r="S100" i="3"/>
  <c r="R100" i="3"/>
  <c r="Q100" i="3"/>
  <c r="P100" i="3"/>
  <c r="O100" i="3"/>
  <c r="N100" i="3"/>
  <c r="M100" i="3"/>
  <c r="L100" i="3"/>
  <c r="K100" i="3"/>
  <c r="J100" i="3"/>
  <c r="I100" i="3"/>
  <c r="H100" i="3"/>
  <c r="BE99" i="3"/>
  <c r="AE99" i="3"/>
  <c r="AD99" i="3"/>
  <c r="AC99" i="3"/>
  <c r="AB99" i="3"/>
  <c r="AA99" i="3"/>
  <c r="Z99" i="3"/>
  <c r="Y99" i="3"/>
  <c r="X99" i="3"/>
  <c r="W99" i="3"/>
  <c r="V99" i="3"/>
  <c r="U99" i="3"/>
  <c r="T99" i="3"/>
  <c r="S99" i="3"/>
  <c r="R99" i="3"/>
  <c r="Q99" i="3"/>
  <c r="P99" i="3"/>
  <c r="O99" i="3"/>
  <c r="N99" i="3"/>
  <c r="M99" i="3"/>
  <c r="L99" i="3"/>
  <c r="K99" i="3"/>
  <c r="J99" i="3"/>
  <c r="I99" i="3"/>
  <c r="H99" i="3"/>
  <c r="BE98" i="3"/>
  <c r="BE114" i="3" s="1"/>
  <c r="AE98" i="3"/>
  <c r="AD98" i="3"/>
  <c r="AC98" i="3"/>
  <c r="AB98" i="3"/>
  <c r="AA98" i="3"/>
  <c r="Z98" i="3"/>
  <c r="Y98" i="3"/>
  <c r="X98" i="3"/>
  <c r="W98" i="3"/>
  <c r="V98" i="3"/>
  <c r="U98" i="3"/>
  <c r="T98" i="3"/>
  <c r="S98" i="3"/>
  <c r="R98" i="3"/>
  <c r="Q98" i="3"/>
  <c r="P98" i="3"/>
  <c r="O98" i="3"/>
  <c r="N98" i="3"/>
  <c r="M98" i="3"/>
  <c r="L98" i="3"/>
  <c r="K98" i="3"/>
  <c r="J98" i="3"/>
  <c r="I98" i="3"/>
  <c r="H98" i="3"/>
  <c r="CC96" i="3"/>
  <c r="CB96" i="3"/>
  <c r="CA96" i="3"/>
  <c r="BZ96" i="3"/>
  <c r="BX96" i="3"/>
  <c r="BW96" i="3"/>
  <c r="BV96" i="3"/>
  <c r="BU96" i="3"/>
  <c r="BS96" i="3"/>
  <c r="BR96" i="3"/>
  <c r="BQ96" i="3"/>
  <c r="BP96" i="3"/>
  <c r="CD93" i="3"/>
  <c r="BY93" i="3"/>
  <c r="BT93" i="3"/>
  <c r="BO93" i="3"/>
  <c r="AZ93" i="3"/>
  <c r="AU93" i="3"/>
  <c r="AY89" i="3"/>
  <c r="AX89" i="3"/>
  <c r="AW89" i="3"/>
  <c r="AV89" i="3"/>
  <c r="AT89" i="3"/>
  <c r="AS89" i="3"/>
  <c r="AZ88" i="3"/>
  <c r="AU88" i="3"/>
  <c r="AZ87" i="3"/>
  <c r="AU87" i="3"/>
  <c r="AZ86" i="3"/>
  <c r="AU86" i="3"/>
  <c r="AZ85" i="3"/>
  <c r="AU85" i="3"/>
  <c r="BE84" i="3"/>
  <c r="BE85" i="3"/>
  <c r="AU81" i="3"/>
  <c r="AU82" i="3" s="1"/>
  <c r="AU80" i="3"/>
  <c r="AU78" i="3"/>
  <c r="AU77" i="3"/>
  <c r="AT75" i="3"/>
  <c r="AT73" i="3"/>
  <c r="R65" i="3"/>
  <c r="P65" i="3"/>
  <c r="O65" i="3"/>
  <c r="N65" i="3"/>
  <c r="M65" i="3"/>
  <c r="K65" i="3"/>
  <c r="J65" i="3"/>
  <c r="I65" i="3"/>
  <c r="H65" i="3"/>
  <c r="U64" i="3"/>
  <c r="T64" i="3"/>
  <c r="S64" i="3"/>
  <c r="P64" i="3"/>
  <c r="O64" i="3"/>
  <c r="N64" i="3"/>
  <c r="M64" i="3"/>
  <c r="K64" i="3"/>
  <c r="J64" i="3"/>
  <c r="I64" i="3"/>
  <c r="H64" i="3"/>
  <c r="AH62" i="3"/>
  <c r="AE62" i="3"/>
  <c r="AD62" i="3"/>
  <c r="AC62" i="3"/>
  <c r="AB62" i="3"/>
  <c r="Z62" i="3"/>
  <c r="Y62" i="3"/>
  <c r="X62" i="3"/>
  <c r="W62" i="3"/>
  <c r="U62" i="3"/>
  <c r="T62" i="3"/>
  <c r="S62" i="3"/>
  <c r="R62" i="3"/>
  <c r="P62" i="3"/>
  <c r="O62" i="3"/>
  <c r="N62" i="3"/>
  <c r="M62" i="3"/>
  <c r="K62" i="3"/>
  <c r="J62" i="3"/>
  <c r="I62" i="3"/>
  <c r="H62" i="3"/>
  <c r="AD55" i="3"/>
  <c r="AC55" i="3"/>
  <c r="R55" i="3"/>
  <c r="P55" i="3"/>
  <c r="O55" i="3"/>
  <c r="N55" i="3"/>
  <c r="M55" i="3"/>
  <c r="K55" i="3"/>
  <c r="J55" i="3"/>
  <c r="I55" i="3"/>
  <c r="H55" i="3"/>
  <c r="F55" i="3"/>
  <c r="E55" i="3"/>
  <c r="D55" i="3"/>
  <c r="C55" i="3"/>
  <c r="AD54" i="3"/>
  <c r="W54" i="3"/>
  <c r="U54" i="3"/>
  <c r="T54" i="3"/>
  <c r="S54" i="3"/>
  <c r="P54" i="3"/>
  <c r="O54" i="3"/>
  <c r="N54" i="3"/>
  <c r="M54" i="3"/>
  <c r="K54" i="3"/>
  <c r="J54" i="3"/>
  <c r="I54" i="3"/>
  <c r="H54" i="3"/>
  <c r="F54" i="3"/>
  <c r="E54" i="3"/>
  <c r="D54" i="3"/>
  <c r="C54" i="3"/>
  <c r="CC47" i="3"/>
  <c r="CB47" i="3"/>
  <c r="CA47" i="3"/>
  <c r="BZ47" i="3"/>
  <c r="BX47" i="3"/>
  <c r="BW47" i="3"/>
  <c r="BV47" i="3"/>
  <c r="BU47" i="3"/>
  <c r="BS47" i="3"/>
  <c r="BR47" i="3"/>
  <c r="BQ47" i="3"/>
  <c r="BP47" i="3"/>
  <c r="BN47" i="3"/>
  <c r="BM47" i="3"/>
  <c r="BL47" i="3"/>
  <c r="BK47" i="3"/>
  <c r="CC44" i="3"/>
  <c r="CB44" i="3"/>
  <c r="CA44" i="3"/>
  <c r="BZ44" i="3"/>
  <c r="BX44" i="3"/>
  <c r="BW44" i="3"/>
  <c r="BV44" i="3"/>
  <c r="BU44" i="3"/>
  <c r="BS44" i="3"/>
  <c r="BR44" i="3"/>
  <c r="BQ44" i="3"/>
  <c r="BP44" i="3"/>
  <c r="BN44" i="3"/>
  <c r="BM44" i="3"/>
  <c r="BL44" i="3"/>
  <c r="BK44" i="3"/>
  <c r="AK39" i="3"/>
  <c r="AK37" i="3"/>
  <c r="CD36" i="3"/>
  <c r="AH36" i="3"/>
  <c r="AG36" i="3"/>
  <c r="AA36" i="3"/>
  <c r="BE33" i="3"/>
  <c r="AQ98" i="8" s="1"/>
  <c r="AY33" i="3"/>
  <c r="AK98" i="8"/>
  <c r="AX33" i="3"/>
  <c r="AJ98" i="8" s="1"/>
  <c r="AP33" i="3"/>
  <c r="AB98" i="8" s="1"/>
  <c r="AK33" i="3"/>
  <c r="W98" i="8" s="1"/>
  <c r="AF33" i="3"/>
  <c r="R98" i="8" s="1"/>
  <c r="AA33" i="3"/>
  <c r="M98" i="8" s="1"/>
  <c r="CC32" i="3"/>
  <c r="CB32" i="3"/>
  <c r="CA32" i="3"/>
  <c r="BZ32" i="3"/>
  <c r="BS32" i="3"/>
  <c r="BR32" i="3"/>
  <c r="BQ32" i="3"/>
  <c r="BP32" i="3"/>
  <c r="BE29" i="3"/>
  <c r="AY29" i="3"/>
  <c r="AV29" i="3"/>
  <c r="AU29" i="3"/>
  <c r="BD27" i="3"/>
  <c r="BC27" i="3"/>
  <c r="BB27" i="3"/>
  <c r="BA27" i="3"/>
  <c r="AY27" i="3"/>
  <c r="AX27" i="3"/>
  <c r="AW27" i="3"/>
  <c r="AV27" i="3"/>
  <c r="AT27" i="3"/>
  <c r="AS27" i="3"/>
  <c r="AR27" i="3"/>
  <c r="AQ27" i="3"/>
  <c r="AO27" i="3"/>
  <c r="AN27" i="3"/>
  <c r="AM27" i="3"/>
  <c r="AL27" i="3"/>
  <c r="AJ27" i="3"/>
  <c r="AI27" i="3"/>
  <c r="AH27" i="3"/>
  <c r="AG27" i="3"/>
  <c r="AE27" i="3"/>
  <c r="AB27" i="3"/>
  <c r="AF27" i="3"/>
  <c r="AA27" i="3"/>
  <c r="V27" i="3"/>
  <c r="U27" i="3"/>
  <c r="Q27" i="3"/>
  <c r="L27" i="3"/>
  <c r="G27" i="3"/>
  <c r="BD24" i="3"/>
  <c r="BC24" i="3"/>
  <c r="BB24" i="3"/>
  <c r="BA24" i="3"/>
  <c r="AY24" i="3"/>
  <c r="AX24" i="3"/>
  <c r="AW24" i="3"/>
  <c r="AV24" i="3"/>
  <c r="AT24" i="3"/>
  <c r="AS24" i="3"/>
  <c r="AR24" i="3"/>
  <c r="AQ24" i="3"/>
  <c r="AO24" i="3"/>
  <c r="AN24" i="3"/>
  <c r="AM24" i="3"/>
  <c r="AL24" i="3"/>
  <c r="AJ24" i="3"/>
  <c r="AI24" i="3"/>
  <c r="AG24" i="3"/>
  <c r="AE24" i="3"/>
  <c r="AD24" i="3"/>
  <c r="AB24" i="3"/>
  <c r="AF24" i="3"/>
  <c r="X24" i="3"/>
  <c r="W24" i="3"/>
  <c r="U24" i="3"/>
  <c r="T24" i="3"/>
  <c r="S24" i="3"/>
  <c r="R24" i="3"/>
  <c r="P24" i="3"/>
  <c r="O24" i="3"/>
  <c r="N24" i="3"/>
  <c r="M24" i="3"/>
  <c r="K24" i="3"/>
  <c r="J24" i="3"/>
  <c r="I24" i="3"/>
  <c r="H24" i="3"/>
  <c r="F24" i="3"/>
  <c r="E24" i="3"/>
  <c r="D24" i="3"/>
  <c r="C24" i="3"/>
  <c r="CD23" i="3"/>
  <c r="BY23" i="3"/>
  <c r="BT23" i="3"/>
  <c r="BO23" i="3"/>
  <c r="BI23" i="3"/>
  <c r="BH23" i="3"/>
  <c r="BG23" i="3"/>
  <c r="BF23" i="3"/>
  <c r="BD23" i="3"/>
  <c r="BC23" i="3"/>
  <c r="BB23" i="3"/>
  <c r="BA23" i="3"/>
  <c r="AY23" i="3"/>
  <c r="AX23" i="3"/>
  <c r="AW23" i="3"/>
  <c r="AV23" i="3"/>
  <c r="AT23" i="3"/>
  <c r="AS23" i="3"/>
  <c r="AR23" i="3"/>
  <c r="AQ23" i="3"/>
  <c r="AO23" i="3"/>
  <c r="AN23" i="3"/>
  <c r="AM23" i="3"/>
  <c r="AL23" i="3"/>
  <c r="AJ23" i="3"/>
  <c r="AI23" i="3"/>
  <c r="AH23" i="3"/>
  <c r="AG23" i="3"/>
  <c r="AB23" i="3"/>
  <c r="X23" i="3"/>
  <c r="AA23" i="3"/>
  <c r="V23" i="3"/>
  <c r="Q23" i="3"/>
  <c r="L23" i="3"/>
  <c r="G23" i="3"/>
  <c r="BJ22" i="3"/>
  <c r="BE22" i="3"/>
  <c r="AZ22" i="3"/>
  <c r="AR22" i="3"/>
  <c r="AU22" i="3"/>
  <c r="AO22" i="3"/>
  <c r="AP22" i="3" s="1"/>
  <c r="AJ22" i="3"/>
  <c r="AK22" i="3" s="1"/>
  <c r="AE22" i="3"/>
  <c r="AF22" i="3" s="1"/>
  <c r="W22" i="3"/>
  <c r="AA22" i="3"/>
  <c r="U22" i="3"/>
  <c r="T22" i="3"/>
  <c r="S22" i="3"/>
  <c r="R22" i="3"/>
  <c r="P22" i="3"/>
  <c r="O22" i="3"/>
  <c r="N22" i="3"/>
  <c r="M22" i="3"/>
  <c r="K22" i="3"/>
  <c r="J22" i="3"/>
  <c r="I22" i="3"/>
  <c r="H22" i="3"/>
  <c r="F22" i="3"/>
  <c r="E22" i="3"/>
  <c r="D22" i="3"/>
  <c r="C22" i="3"/>
  <c r="AD17" i="3"/>
  <c r="P17" i="3"/>
  <c r="O17" i="3"/>
  <c r="N17" i="3"/>
  <c r="K17" i="3"/>
  <c r="J17" i="3"/>
  <c r="F17" i="3"/>
  <c r="D17" i="3"/>
  <c r="G17" i="3"/>
  <c r="AN16" i="3"/>
  <c r="AM16" i="3"/>
  <c r="AJ16" i="3"/>
  <c r="V104" i="8"/>
  <c r="AI16" i="3"/>
  <c r="U104" i="8"/>
  <c r="AF16" i="3"/>
  <c r="AA16" i="3"/>
  <c r="V16" i="3"/>
  <c r="Q16" i="3"/>
  <c r="L16" i="3"/>
  <c r="G16" i="3"/>
  <c r="BD15" i="3"/>
  <c r="BD118" i="3"/>
  <c r="BC15" i="3"/>
  <c r="BC118" i="3"/>
  <c r="BB15" i="3"/>
  <c r="BB118" i="3"/>
  <c r="BA15" i="3"/>
  <c r="BA118" i="3"/>
  <c r="AY15" i="3"/>
  <c r="AX15" i="3"/>
  <c r="AW15" i="3"/>
  <c r="AV15" i="3"/>
  <c r="AT15" i="3"/>
  <c r="AS15" i="3"/>
  <c r="AR15" i="3"/>
  <c r="AQ15" i="3"/>
  <c r="AO15" i="3"/>
  <c r="AN15" i="3"/>
  <c r="AM15" i="3"/>
  <c r="AL15" i="3"/>
  <c r="AJ15" i="3"/>
  <c r="AI15" i="3"/>
  <c r="AI65" i="3" s="1"/>
  <c r="AH15" i="3"/>
  <c r="AH65" i="3" s="1"/>
  <c r="AG15" i="3"/>
  <c r="AE15" i="3"/>
  <c r="AB15" i="3"/>
  <c r="Z15" i="3"/>
  <c r="Y15" i="3"/>
  <c r="AD65" i="3"/>
  <c r="X15" i="3"/>
  <c r="AC65" i="3" s="1"/>
  <c r="W15" i="3"/>
  <c r="W65" i="3"/>
  <c r="U15" i="3"/>
  <c r="U65" i="3" s="1"/>
  <c r="T15" i="3"/>
  <c r="T65" i="3"/>
  <c r="S15" i="3"/>
  <c r="S65" i="3" s="1"/>
  <c r="Q15" i="3"/>
  <c r="L15" i="3"/>
  <c r="Q65" i="3" s="1"/>
  <c r="G15" i="3"/>
  <c r="BD14" i="3"/>
  <c r="BD117" i="3"/>
  <c r="BD121" i="3"/>
  <c r="BC14" i="3"/>
  <c r="BC117" i="3"/>
  <c r="BC121" i="3"/>
  <c r="BB14" i="3"/>
  <c r="BB117" i="3" s="1"/>
  <c r="BB121" i="3" s="1"/>
  <c r="BA14" i="3"/>
  <c r="BA117" i="3"/>
  <c r="BA121" i="3"/>
  <c r="AY14" i="3"/>
  <c r="AX14" i="3"/>
  <c r="AW14" i="3"/>
  <c r="AV14" i="3"/>
  <c r="AT14" i="3"/>
  <c r="AS14" i="3"/>
  <c r="AR14" i="3"/>
  <c r="AR54" i="3"/>
  <c r="AQ14" i="3"/>
  <c r="AO14" i="3"/>
  <c r="AN14" i="3"/>
  <c r="AM14" i="3"/>
  <c r="AL14" i="3"/>
  <c r="AJ14" i="3"/>
  <c r="AI14" i="3"/>
  <c r="AH14" i="3"/>
  <c r="AG14" i="3"/>
  <c r="AE14" i="3"/>
  <c r="AE54" i="3" s="1"/>
  <c r="AC14" i="3"/>
  <c r="AB14" i="3"/>
  <c r="AB54" i="3" s="1"/>
  <c r="Z14" i="3"/>
  <c r="Z64" i="3"/>
  <c r="Y14" i="3"/>
  <c r="AD64" i="3" s="1"/>
  <c r="X14" i="3"/>
  <c r="X54" i="3"/>
  <c r="R14" i="3"/>
  <c r="R64" i="3" s="1"/>
  <c r="Q14" i="3"/>
  <c r="Q64" i="3"/>
  <c r="L14" i="3"/>
  <c r="G14" i="3"/>
  <c r="AD12" i="3"/>
  <c r="AD53" i="3"/>
  <c r="AC12" i="3"/>
  <c r="AC53" i="3" s="1"/>
  <c r="AC101" i="3" s="1"/>
  <c r="AB12" i="3"/>
  <c r="Z12" i="3"/>
  <c r="Z53" i="3" s="1"/>
  <c r="Y12" i="3"/>
  <c r="X12" i="3"/>
  <c r="W12" i="3"/>
  <c r="W53" i="3" s="1"/>
  <c r="U12" i="3"/>
  <c r="T12" i="3"/>
  <c r="S12" i="3"/>
  <c r="S53" i="3" s="1"/>
  <c r="S101" i="3" s="1"/>
  <c r="R12" i="3"/>
  <c r="R19" i="3"/>
  <c r="P12" i="3"/>
  <c r="P19" i="3" s="1"/>
  <c r="O12" i="3"/>
  <c r="O53" i="3"/>
  <c r="N12" i="3"/>
  <c r="N53" i="3" s="1"/>
  <c r="M12" i="3"/>
  <c r="M53" i="3"/>
  <c r="K12" i="3"/>
  <c r="K53" i="3" s="1"/>
  <c r="J12" i="3"/>
  <c r="J53" i="3"/>
  <c r="I12" i="3"/>
  <c r="I53" i="3" s="1"/>
  <c r="H12" i="3"/>
  <c r="H19" i="3"/>
  <c r="F12" i="3"/>
  <c r="K63" i="3" s="1"/>
  <c r="E12" i="3"/>
  <c r="E20" i="3"/>
  <c r="D12" i="3"/>
  <c r="D20" i="3" s="1"/>
  <c r="C12" i="3"/>
  <c r="C53" i="3"/>
  <c r="BD11" i="3"/>
  <c r="BC11" i="3"/>
  <c r="BB11" i="3"/>
  <c r="BA11" i="3"/>
  <c r="AY11" i="3"/>
  <c r="AX11" i="3"/>
  <c r="AW11" i="3"/>
  <c r="AV11" i="3"/>
  <c r="AT11" i="3"/>
  <c r="AS11" i="3"/>
  <c r="AR11" i="3"/>
  <c r="AQ11" i="3"/>
  <c r="AO11" i="3"/>
  <c r="AA96" i="8" s="1"/>
  <c r="AN11" i="3"/>
  <c r="Z96" i="8"/>
  <c r="AM11" i="3"/>
  <c r="Y96" i="8" s="1"/>
  <c r="AL11" i="3"/>
  <c r="X96" i="8"/>
  <c r="AJ11" i="3"/>
  <c r="V96" i="8" s="1"/>
  <c r="AI11" i="3"/>
  <c r="U96" i="8" s="1"/>
  <c r="AH11" i="3"/>
  <c r="T96" i="8" s="1"/>
  <c r="AG11" i="3"/>
  <c r="S96" i="8" s="1"/>
  <c r="AE11" i="3"/>
  <c r="Q96" i="8" s="1"/>
  <c r="AA11" i="3"/>
  <c r="V11" i="3"/>
  <c r="Q11" i="3"/>
  <c r="C96" i="8" s="1"/>
  <c r="L11" i="3"/>
  <c r="G11" i="3"/>
  <c r="BD10" i="3"/>
  <c r="AP95" i="8" s="1"/>
  <c r="AP13" i="8" s="1"/>
  <c r="BB10" i="3"/>
  <c r="AN95" i="8" s="1"/>
  <c r="AN101" i="8" s="1"/>
  <c r="BA10" i="3"/>
  <c r="AM95" i="8" s="1"/>
  <c r="AM101" i="8" s="1"/>
  <c r="AY10" i="3"/>
  <c r="AK95" i="8"/>
  <c r="AK101" i="8" s="1"/>
  <c r="AX10" i="3"/>
  <c r="AJ95" i="8" s="1"/>
  <c r="AW10" i="3"/>
  <c r="AI95" i="8" s="1"/>
  <c r="AV10" i="3"/>
  <c r="AH95" i="8" s="1"/>
  <c r="AS10" i="3"/>
  <c r="AE95" i="8" s="1"/>
  <c r="AE101" i="8" s="1"/>
  <c r="AQ10" i="3"/>
  <c r="AC95" i="8"/>
  <c r="AO10" i="3"/>
  <c r="AA95" i="8" s="1"/>
  <c r="AN10" i="3"/>
  <c r="Z95" i="8" s="1"/>
  <c r="Z101" i="8" s="1"/>
  <c r="AM10" i="3"/>
  <c r="Y95" i="8"/>
  <c r="Y101" i="8" s="1"/>
  <c r="AL10" i="3"/>
  <c r="X95" i="8"/>
  <c r="AJ10" i="3"/>
  <c r="V95" i="8" s="1"/>
  <c r="V101" i="8" s="1"/>
  <c r="AI10" i="3"/>
  <c r="U95" i="8"/>
  <c r="U101" i="8" s="1"/>
  <c r="AG10" i="3"/>
  <c r="S95" i="8"/>
  <c r="AF10" i="3"/>
  <c r="AA10" i="3"/>
  <c r="V10" i="3"/>
  <c r="Q10" i="3"/>
  <c r="C95" i="8" s="1"/>
  <c r="C101" i="8" s="1"/>
  <c r="L10" i="3"/>
  <c r="G10" i="3"/>
  <c r="AX5" i="3"/>
  <c r="AV5" i="3"/>
  <c r="AW5" i="3"/>
  <c r="BG64" i="5"/>
  <c r="BG65" i="5" s="1"/>
  <c r="BI61" i="5"/>
  <c r="BZ48" i="3"/>
  <c r="BG32" i="5"/>
  <c r="BG33" i="5" s="1"/>
  <c r="BG50" i="3"/>
  <c r="BW50" i="3"/>
  <c r="BG45" i="5"/>
  <c r="BG46" i="5" s="1"/>
  <c r="BI13" i="5"/>
  <c r="CC50" i="3"/>
  <c r="BH13" i="5"/>
  <c r="BH14" i="5" s="1"/>
  <c r="BH55" i="5"/>
  <c r="BH56" i="5" s="1"/>
  <c r="BF64" i="5"/>
  <c r="BP50" i="3"/>
  <c r="BG19" i="5"/>
  <c r="BU48" i="3"/>
  <c r="BG10" i="5"/>
  <c r="BH72" i="5"/>
  <c r="BQ48" i="3"/>
  <c r="BD10" i="5"/>
  <c r="BE10" i="5" s="1"/>
  <c r="BX48" i="3"/>
  <c r="BG55" i="5"/>
  <c r="BG56" i="5" s="1"/>
  <c r="BD35" i="5"/>
  <c r="BD36" i="5" s="1"/>
  <c r="BR50" i="3"/>
  <c r="BM50" i="3"/>
  <c r="BD22" i="5"/>
  <c r="BD23" i="5" s="1"/>
  <c r="BD55" i="5"/>
  <c r="BD56" i="5" s="1"/>
  <c r="AX72" i="5"/>
  <c r="BJ29" i="5"/>
  <c r="BB72" i="5"/>
  <c r="BH35" i="5"/>
  <c r="BH36" i="5" s="1"/>
  <c r="CA50" i="3"/>
  <c r="BI64" i="5"/>
  <c r="BF29" i="5"/>
  <c r="BF30" i="5" s="1"/>
  <c r="BY50" i="3"/>
  <c r="BI16" i="5"/>
  <c r="BF42" i="5"/>
  <c r="BH16" i="5"/>
  <c r="BH17" i="5" s="1"/>
  <c r="BO50" i="3"/>
  <c r="BS48" i="3"/>
  <c r="BG42" i="5"/>
  <c r="BT48" i="3"/>
  <c r="BF13" i="5"/>
  <c r="CA48" i="3"/>
  <c r="BJ48" i="3"/>
  <c r="BF16" i="5"/>
  <c r="BF17" i="5" s="1"/>
  <c r="BH58" i="5"/>
  <c r="BH59" i="5" s="1"/>
  <c r="BF22" i="5"/>
  <c r="BJ16" i="5"/>
  <c r="BM48" i="3"/>
  <c r="AZ72" i="5"/>
  <c r="BI19" i="5"/>
  <c r="BI35" i="5"/>
  <c r="BH10" i="5"/>
  <c r="BH11" i="5" s="1"/>
  <c r="BJ45" i="5"/>
  <c r="BI32" i="5"/>
  <c r="BJ42" i="5"/>
  <c r="BI42" i="5"/>
  <c r="BI43" i="5" s="1"/>
  <c r="BF61" i="5"/>
  <c r="BF19" i="5"/>
  <c r="BD29" i="5"/>
  <c r="BD52" i="5"/>
  <c r="BK48" i="3"/>
  <c r="BE50" i="3"/>
  <c r="CD50" i="3"/>
  <c r="BH64" i="5"/>
  <c r="BH65" i="5" s="1"/>
  <c r="BL48" i="3"/>
  <c r="AV72" i="5"/>
  <c r="BD32" i="5"/>
  <c r="BD33" i="5" s="1"/>
  <c r="BH19" i="5"/>
  <c r="BH20" i="5" s="1"/>
  <c r="BY48" i="3"/>
  <c r="BD61" i="5"/>
  <c r="BD62" i="5" s="1"/>
  <c r="BJ10" i="5"/>
  <c r="BL50" i="3"/>
  <c r="BI55" i="5"/>
  <c r="BG58" i="5"/>
  <c r="BD45" i="5"/>
  <c r="BE45" i="5" s="1"/>
  <c r="BE46" i="5" s="1"/>
  <c r="BG52" i="5"/>
  <c r="BD42" i="5"/>
  <c r="BE42" i="5" s="1"/>
  <c r="BE43" i="5" s="1"/>
  <c r="BD48" i="3"/>
  <c r="BF10" i="5"/>
  <c r="BF11" i="5" s="1"/>
  <c r="BF50" i="3"/>
  <c r="BH52" i="5"/>
  <c r="BH53" i="5" s="1"/>
  <c r="BI10" i="5"/>
  <c r="BI11" i="5" s="1"/>
  <c r="BI45" i="5"/>
  <c r="BF45" i="5"/>
  <c r="BF46" i="5" s="1"/>
  <c r="BI29" i="5"/>
  <c r="BG16" i="5"/>
  <c r="BJ55" i="5"/>
  <c r="BT50" i="3"/>
  <c r="BD58" i="5"/>
  <c r="BE58" i="5" s="1"/>
  <c r="BE59" i="5" s="1"/>
  <c r="BJ19" i="5"/>
  <c r="BJ35" i="5"/>
  <c r="BJ36" i="5" s="1"/>
  <c r="BJ52" i="5"/>
  <c r="BG61" i="5"/>
  <c r="BG62" i="5" s="1"/>
  <c r="BG48" i="3"/>
  <c r="BF32" i="5"/>
  <c r="BN48" i="3"/>
  <c r="BK50" i="3"/>
  <c r="BI22" i="5"/>
  <c r="BJ13" i="5"/>
  <c r="BH45" i="5"/>
  <c r="BH46" i="5" s="1"/>
  <c r="BH61" i="5"/>
  <c r="BH62" i="5" s="1"/>
  <c r="BJ50" i="3"/>
  <c r="BJ72" i="5"/>
  <c r="BD72" i="5"/>
  <c r="BQ50" i="3"/>
  <c r="CC48" i="3"/>
  <c r="BV48" i="3"/>
  <c r="BH32" i="5"/>
  <c r="BH33" i="5" s="1"/>
  <c r="BI52" i="5"/>
  <c r="BD64" i="5"/>
  <c r="BD65" i="5" s="1"/>
  <c r="BO48" i="3"/>
  <c r="BG13" i="5"/>
  <c r="BG14" i="5" s="1"/>
  <c r="BG22" i="5"/>
  <c r="BG23" i="5" s="1"/>
  <c r="BS50" i="3"/>
  <c r="CB50" i="3"/>
  <c r="BV50" i="3"/>
  <c r="BU50" i="3"/>
  <c r="BD16" i="5"/>
  <c r="BD17" i="5" s="1"/>
  <c r="BH22" i="5"/>
  <c r="BW48" i="3"/>
  <c r="BP48" i="3"/>
  <c r="D102" i="9"/>
  <c r="BG29" i="5"/>
  <c r="BG30" i="5" s="1"/>
  <c r="BI58" i="5"/>
  <c r="BI59" i="5" s="1"/>
  <c r="BF72" i="5"/>
  <c r="CD48" i="3"/>
  <c r="BF52" i="5"/>
  <c r="BF53" i="5" s="1"/>
  <c r="BG35" i="5"/>
  <c r="BG36" i="5" s="1"/>
  <c r="BH48" i="3"/>
  <c r="BH29" i="5"/>
  <c r="BH30" i="5" s="1"/>
  <c r="BD19" i="5"/>
  <c r="BI20" i="5" s="1"/>
  <c r="CB48" i="3"/>
  <c r="BH42" i="5"/>
  <c r="BZ50" i="3"/>
  <c r="BJ61" i="5"/>
  <c r="BH50" i="3"/>
  <c r="BF58" i="5"/>
  <c r="BF35" i="5"/>
  <c r="BF36" i="5" s="1"/>
  <c r="BD50" i="3"/>
  <c r="BJ22" i="5"/>
  <c r="BJ58" i="5"/>
  <c r="BR48" i="3"/>
  <c r="BF55" i="5"/>
  <c r="BF56" i="5" s="1"/>
  <c r="BF67" i="5" s="1"/>
  <c r="BN50" i="3"/>
  <c r="BX50" i="3"/>
  <c r="BD13" i="5"/>
  <c r="BE13" i="5" s="1"/>
  <c r="BF48" i="3"/>
  <c r="BJ32" i="5"/>
  <c r="BJ64" i="5"/>
  <c r="BE48" i="3"/>
  <c r="BO18" i="4"/>
  <c r="BJ38" i="4"/>
  <c r="AS115" i="4"/>
  <c r="AS71" i="4"/>
  <c r="AS50" i="6"/>
  <c r="BB57" i="6"/>
  <c r="BG80" i="4"/>
  <c r="BG58" i="6" s="1"/>
  <c r="BW75" i="6"/>
  <c r="CB103" i="4"/>
  <c r="CB75" i="6" s="1"/>
  <c r="BF95" i="6"/>
  <c r="BF125" i="4"/>
  <c r="BB103" i="6"/>
  <c r="BB135" i="4"/>
  <c r="BI103" i="6"/>
  <c r="BI133" i="4"/>
  <c r="BC14" i="5"/>
  <c r="BA35" i="6"/>
  <c r="BF52" i="4"/>
  <c r="BA52" i="4"/>
  <c r="BJ35" i="6"/>
  <c r="BO51" i="4"/>
  <c r="BO35" i="6" s="1"/>
  <c r="BJ48" i="6"/>
  <c r="BO67" i="4"/>
  <c r="BH87" i="6"/>
  <c r="BH117" i="4"/>
  <c r="AU89" i="3"/>
  <c r="BM115" i="3"/>
  <c r="BB99" i="6"/>
  <c r="BB131" i="4"/>
  <c r="AB25" i="8"/>
  <c r="AB26" i="8" s="1"/>
  <c r="AA26" i="8"/>
  <c r="Q51" i="8"/>
  <c r="R51" i="8" s="1"/>
  <c r="R48" i="8"/>
  <c r="BD115" i="3"/>
  <c r="BD120" i="3" s="1"/>
  <c r="BF25" i="4"/>
  <c r="BF18" i="6"/>
  <c r="BF71" i="4"/>
  <c r="BF50" i="6" s="1"/>
  <c r="AY137" i="4"/>
  <c r="T19" i="3"/>
  <c r="AA24" i="3"/>
  <c r="AZ29" i="3"/>
  <c r="BK121" i="3"/>
  <c r="BP121" i="3"/>
  <c r="BU121" i="3"/>
  <c r="BI25" i="4"/>
  <c r="BI18" i="6"/>
  <c r="BO31" i="4"/>
  <c r="BO23" i="6" s="1"/>
  <c r="BT37" i="4"/>
  <c r="BT26" i="6"/>
  <c r="AK65" i="4"/>
  <c r="AK47" i="6" s="1"/>
  <c r="BI71" i="4"/>
  <c r="BI50" i="6"/>
  <c r="BH80" i="4"/>
  <c r="BH58" i="6" s="1"/>
  <c r="BJ102" i="4"/>
  <c r="BJ105" i="4"/>
  <c r="BJ76" i="6" s="1"/>
  <c r="BH125" i="4"/>
  <c r="BI99" i="6"/>
  <c r="BI129" i="4"/>
  <c r="AT137" i="4"/>
  <c r="BE155" i="4"/>
  <c r="AZ10" i="5"/>
  <c r="BB14" i="5"/>
  <c r="BB25" i="5" s="1"/>
  <c r="BC20" i="5"/>
  <c r="BB30" i="5"/>
  <c r="AZ45" i="5"/>
  <c r="BA46" i="5"/>
  <c r="AZ52" i="5"/>
  <c r="BA53" i="5"/>
  <c r="BA9" i="7"/>
  <c r="E26" i="8"/>
  <c r="J26" i="8"/>
  <c r="R45" i="8"/>
  <c r="AK45" i="8"/>
  <c r="AM40" i="8"/>
  <c r="AL40" i="8"/>
  <c r="H51" i="8"/>
  <c r="Y65" i="8"/>
  <c r="AA63" i="8"/>
  <c r="AA65" i="8" s="1"/>
  <c r="AF64" i="8"/>
  <c r="Y69" i="8"/>
  <c r="AA68" i="8"/>
  <c r="AL75" i="8"/>
  <c r="C84" i="8"/>
  <c r="G75" i="9"/>
  <c r="H74" i="9"/>
  <c r="F65" i="8"/>
  <c r="F77" i="8" s="1"/>
  <c r="K65" i="8"/>
  <c r="K86" i="8" s="1"/>
  <c r="X75" i="8"/>
  <c r="AH75" i="8"/>
  <c r="AM41" i="8"/>
  <c r="AN41" i="8" s="1"/>
  <c r="AL41" i="8"/>
  <c r="BA120" i="3"/>
  <c r="BM121" i="3"/>
  <c r="BW121" i="3"/>
  <c r="CB121" i="3"/>
  <c r="BE115" i="4"/>
  <c r="AA64" i="4"/>
  <c r="AG66" i="4"/>
  <c r="BD80" i="4"/>
  <c r="BD58" i="6" s="1"/>
  <c r="BF117" i="4"/>
  <c r="AK132" i="4"/>
  <c r="AK99" i="6"/>
  <c r="BH129" i="4"/>
  <c r="BH137" i="4" s="1"/>
  <c r="AX137" i="4"/>
  <c r="BF103" i="6"/>
  <c r="BF133" i="4"/>
  <c r="BF137" i="4" s="1"/>
  <c r="BC11" i="5"/>
  <c r="AZ19" i="5"/>
  <c r="AZ22" i="5"/>
  <c r="AZ32" i="5"/>
  <c r="BA33" i="5"/>
  <c r="BC53" i="5"/>
  <c r="T46" i="8"/>
  <c r="Y75" i="8"/>
  <c r="AA71" i="8"/>
  <c r="AQ104" i="8"/>
  <c r="BE93" i="3" s="1"/>
  <c r="AP21" i="8"/>
  <c r="AQ21" i="8"/>
  <c r="AR21" i="8" s="1"/>
  <c r="AS21" i="8" s="1"/>
  <c r="AT21" i="8" s="1"/>
  <c r="AU21" i="8" s="1"/>
  <c r="AV21" i="8" s="1"/>
  <c r="BA21" i="8" s="1"/>
  <c r="AP59" i="8"/>
  <c r="BA43" i="5"/>
  <c r="BA48" i="5" s="1"/>
  <c r="BB46" i="5"/>
  <c r="BB53" i="5"/>
  <c r="BB56" i="5"/>
  <c r="BC59" i="5"/>
  <c r="AZ64" i="5"/>
  <c r="BD9" i="7"/>
  <c r="BK57" i="7"/>
  <c r="BK72" i="7" s="1"/>
  <c r="BN57" i="7"/>
  <c r="BM57" i="7"/>
  <c r="M25" i="8"/>
  <c r="AG25" i="8"/>
  <c r="F26" i="8"/>
  <c r="I46" i="8"/>
  <c r="N46" i="8"/>
  <c r="U46" i="8"/>
  <c r="Y46" i="8"/>
  <c r="Y53" i="8"/>
  <c r="Y54" i="8" s="1"/>
  <c r="AH46" i="8"/>
  <c r="G46" i="8"/>
  <c r="G53" i="8" s="1"/>
  <c r="L46" i="8"/>
  <c r="AE46" i="8"/>
  <c r="AE53" i="8"/>
  <c r="AF51" i="8"/>
  <c r="U65" i="8"/>
  <c r="U86" i="8" s="1"/>
  <c r="V115" i="8" s="1"/>
  <c r="V121" i="8"/>
  <c r="AK63" i="8"/>
  <c r="R65" i="8"/>
  <c r="AD65" i="8"/>
  <c r="AD86" i="8"/>
  <c r="G68" i="8"/>
  <c r="G69" i="8"/>
  <c r="AK68" i="8"/>
  <c r="U75" i="8"/>
  <c r="AF72" i="8"/>
  <c r="AA74" i="8"/>
  <c r="AV104" i="8"/>
  <c r="BJ93" i="3" s="1"/>
  <c r="BC9" i="7"/>
  <c r="CA57" i="7"/>
  <c r="CC57" i="7"/>
  <c r="AM18" i="8"/>
  <c r="U26" i="8"/>
  <c r="AK26" i="8"/>
  <c r="M39" i="8"/>
  <c r="W83" i="8"/>
  <c r="V46" i="8"/>
  <c r="AD46" i="8"/>
  <c r="P53" i="8"/>
  <c r="Q105" i="8"/>
  <c r="R105" i="8" s="1"/>
  <c r="AE65" i="8"/>
  <c r="AE86" i="8"/>
  <c r="AF115" i="8" s="1"/>
  <c r="AF118" i="8" s="1"/>
  <c r="D65" i="8"/>
  <c r="N65" i="8"/>
  <c r="N86" i="8"/>
  <c r="AE75" i="8"/>
  <c r="AN77" i="8"/>
  <c r="AK84" i="8"/>
  <c r="AF89" i="8"/>
  <c r="AP132" i="4"/>
  <c r="AP99" i="6" s="1"/>
  <c r="BE132" i="4"/>
  <c r="AQ137" i="4"/>
  <c r="AZ13" i="5"/>
  <c r="BB17" i="5"/>
  <c r="BA17" i="5"/>
  <c r="BB20" i="5"/>
  <c r="BB23" i="5"/>
  <c r="BC43" i="5"/>
  <c r="BC48" i="5"/>
  <c r="BB62" i="5"/>
  <c r="BC57" i="7"/>
  <c r="BC72" i="7" s="1"/>
  <c r="BW57" i="7"/>
  <c r="BW72" i="7"/>
  <c r="BB57" i="7"/>
  <c r="BB72" i="7" s="1"/>
  <c r="BV57" i="7"/>
  <c r="BA57" i="7"/>
  <c r="BA72" i="7" s="1"/>
  <c r="BU57" i="7"/>
  <c r="AI18" i="8"/>
  <c r="Q26" i="8"/>
  <c r="Q54" i="8" s="1"/>
  <c r="K26" i="8"/>
  <c r="Z26" i="8"/>
  <c r="AE26" i="8"/>
  <c r="AI39" i="8"/>
  <c r="H83" i="8"/>
  <c r="AB83" i="8"/>
  <c r="F46" i="8"/>
  <c r="M45" i="8"/>
  <c r="M46" i="8" s="1"/>
  <c r="AP45" i="8"/>
  <c r="AI45" i="8"/>
  <c r="BA43" i="8"/>
  <c r="BF43" i="8" s="1"/>
  <c r="BK43" i="8" s="1"/>
  <c r="W44" i="8"/>
  <c r="W45" i="8"/>
  <c r="W46" i="8" s="1"/>
  <c r="O46" i="8"/>
  <c r="AI51" i="8"/>
  <c r="L53" i="8"/>
  <c r="L54" i="8" s="1"/>
  <c r="S65" i="8"/>
  <c r="S86" i="8" s="1"/>
  <c r="T65" i="8"/>
  <c r="T86" i="8"/>
  <c r="U115" i="8" s="1"/>
  <c r="U121" i="8" s="1"/>
  <c r="AH65" i="8"/>
  <c r="AH86" i="8"/>
  <c r="AI115" i="8" s="1"/>
  <c r="AI121" i="8" s="1"/>
  <c r="E77" i="8"/>
  <c r="C75" i="8"/>
  <c r="M75" i="8"/>
  <c r="S75" i="8"/>
  <c r="S77" i="8" s="1"/>
  <c r="S79" i="8" s="1"/>
  <c r="AJ75" i="8"/>
  <c r="V74" i="8"/>
  <c r="AF74" i="8"/>
  <c r="U109" i="8"/>
  <c r="AN109" i="8"/>
  <c r="AT128" i="4"/>
  <c r="AT95" i="6"/>
  <c r="AS65" i="3"/>
  <c r="AB19" i="3"/>
  <c r="AB56" i="3" s="1"/>
  <c r="AO65" i="3"/>
  <c r="Q17" i="3"/>
  <c r="G22" i="3"/>
  <c r="L22" i="3"/>
  <c r="Q22" i="3"/>
  <c r="AK23" i="3"/>
  <c r="AP23" i="3"/>
  <c r="AU23" i="3"/>
  <c r="AZ23" i="3"/>
  <c r="BE23" i="3"/>
  <c r="AZ33" i="3"/>
  <c r="AL98" i="8" s="1"/>
  <c r="BE86" i="3"/>
  <c r="AZ89" i="3"/>
  <c r="BE107" i="3"/>
  <c r="BW51" i="7"/>
  <c r="X19" i="3"/>
  <c r="X26" i="3" s="1"/>
  <c r="X96" i="3"/>
  <c r="J87" i="8" s="1"/>
  <c r="AG54" i="3"/>
  <c r="AZ14" i="3"/>
  <c r="D56" i="9"/>
  <c r="AK15" i="3"/>
  <c r="AZ15" i="3"/>
  <c r="AP24" i="3"/>
  <c r="AU24" i="3"/>
  <c r="BH120" i="3"/>
  <c r="BX51" i="7"/>
  <c r="AH64" i="3"/>
  <c r="AW65" i="3"/>
  <c r="L17" i="3"/>
  <c r="AK24" i="3"/>
  <c r="AK27" i="3"/>
  <c r="AP27" i="3"/>
  <c r="AZ27" i="3"/>
  <c r="BE27" i="3"/>
  <c r="BJ115" i="3"/>
  <c r="BJ120" i="3" s="1"/>
  <c r="BL121" i="3"/>
  <c r="BQ121" i="3"/>
  <c r="CA121" i="3"/>
  <c r="M95" i="8"/>
  <c r="Y63" i="3"/>
  <c r="AM54" i="3"/>
  <c r="G55" i="3"/>
  <c r="AL65" i="3"/>
  <c r="AQ65" i="3"/>
  <c r="V22" i="3"/>
  <c r="BA54" i="3"/>
  <c r="Y55" i="3"/>
  <c r="AO55" i="3"/>
  <c r="AB64" i="3"/>
  <c r="BK102" i="3"/>
  <c r="BK115" i="3"/>
  <c r="BK120" i="3"/>
  <c r="BZ121" i="3"/>
  <c r="AA62" i="3"/>
  <c r="AF11" i="3"/>
  <c r="AF12" i="3" s="1"/>
  <c r="AF63" i="3" s="1"/>
  <c r="U63" i="3"/>
  <c r="G54" i="3"/>
  <c r="AC64" i="3"/>
  <c r="AI54" i="3"/>
  <c r="AN54" i="3"/>
  <c r="AS64" i="3"/>
  <c r="AW64" i="3"/>
  <c r="L65" i="3"/>
  <c r="Z65" i="3"/>
  <c r="AM65" i="3"/>
  <c r="AR65" i="3"/>
  <c r="BJ23" i="3"/>
  <c r="G24" i="3"/>
  <c r="L24" i="3"/>
  <c r="Q24" i="3"/>
  <c r="V24" i="3"/>
  <c r="Q54" i="3"/>
  <c r="Q55" i="3"/>
  <c r="AW55" i="3"/>
  <c r="AL62" i="3"/>
  <c r="AV73" i="3"/>
  <c r="AZ73" i="3" s="1"/>
  <c r="BE102" i="3"/>
  <c r="BO103" i="3"/>
  <c r="BM114" i="3"/>
  <c r="BM120" i="3" s="1"/>
  <c r="BU114" i="3"/>
  <c r="BV121" i="3"/>
  <c r="L62" i="3"/>
  <c r="AF62" i="3"/>
  <c r="M63" i="3"/>
  <c r="L54" i="3"/>
  <c r="AJ54" i="3"/>
  <c r="AO64" i="3"/>
  <c r="AT64" i="3"/>
  <c r="AX64" i="3"/>
  <c r="AF15" i="3"/>
  <c r="AF55" i="3"/>
  <c r="AN65" i="3"/>
  <c r="AX65" i="3"/>
  <c r="U53" i="3"/>
  <c r="Z101" i="3"/>
  <c r="Y54" i="3"/>
  <c r="AO54" i="3"/>
  <c r="BA55" i="3"/>
  <c r="AT62" i="3"/>
  <c r="BW102" i="3"/>
  <c r="BW115" i="3" s="1"/>
  <c r="BW120" i="3" s="1"/>
  <c r="BE111" i="3"/>
  <c r="BR121" i="3"/>
  <c r="I63" i="3"/>
  <c r="AC63" i="3"/>
  <c r="AK14" i="3"/>
  <c r="AK64" i="3" s="1"/>
  <c r="AL64" i="3"/>
  <c r="AQ54" i="3"/>
  <c r="AU14" i="3"/>
  <c r="AY54" i="3"/>
  <c r="AE65" i="3"/>
  <c r="AJ65" i="3"/>
  <c r="AT65" i="3"/>
  <c r="AY65" i="3"/>
  <c r="AZ24" i="3"/>
  <c r="BE24" i="3"/>
  <c r="E53" i="3"/>
  <c r="J101" i="3"/>
  <c r="Y53" i="3"/>
  <c r="AD101" i="3" s="1"/>
  <c r="AC54" i="3"/>
  <c r="AW54" i="3"/>
  <c r="U55" i="3"/>
  <c r="AG55" i="3"/>
  <c r="L64" i="3"/>
  <c r="X64" i="3"/>
  <c r="BA65" i="3"/>
  <c r="AW75" i="3"/>
  <c r="BQ114" i="3"/>
  <c r="CC114" i="3"/>
  <c r="CC120" i="3"/>
  <c r="BN121" i="3"/>
  <c r="AZ35" i="5"/>
  <c r="BA36" i="5"/>
  <c r="BB36" i="5"/>
  <c r="BC62" i="5"/>
  <c r="BB33" i="5"/>
  <c r="BB38" i="5" s="1"/>
  <c r="BC33" i="5"/>
  <c r="BC38" i="5"/>
  <c r="BA65" i="5"/>
  <c r="BB65" i="5"/>
  <c r="BC65" i="5"/>
  <c r="AZ55" i="5"/>
  <c r="BA56" i="5"/>
  <c r="AZ58" i="5"/>
  <c r="AZ42" i="5"/>
  <c r="BB43" i="5"/>
  <c r="BB48" i="5"/>
  <c r="BG11" i="5"/>
  <c r="BF14" i="5"/>
  <c r="BI17" i="5"/>
  <c r="BD20" i="5"/>
  <c r="BF23" i="5"/>
  <c r="BD14" i="5"/>
  <c r="BG17" i="5"/>
  <c r="BG20" i="5"/>
  <c r="BI14" i="5"/>
  <c r="BF20" i="5"/>
  <c r="BD46" i="5"/>
  <c r="BG59" i="5"/>
  <c r="BF62" i="5"/>
  <c r="BI65" i="5"/>
  <c r="BF33" i="5"/>
  <c r="BI36" i="5"/>
  <c r="BF43" i="5"/>
  <c r="BI56" i="5"/>
  <c r="BD59" i="5"/>
  <c r="BF65" i="5"/>
  <c r="BD30" i="5"/>
  <c r="BG43" i="5"/>
  <c r="BG53" i="5"/>
  <c r="BH23" i="5"/>
  <c r="BI30" i="5"/>
  <c r="BD43" i="5"/>
  <c r="BH43" i="5"/>
  <c r="BF59" i="5"/>
  <c r="BI62" i="5"/>
  <c r="R56" i="3"/>
  <c r="R20" i="3"/>
  <c r="R26" i="3"/>
  <c r="P20" i="3"/>
  <c r="P26" i="3"/>
  <c r="P56" i="3"/>
  <c r="AB96" i="3"/>
  <c r="AB20" i="3"/>
  <c r="AB26" i="3"/>
  <c r="AB67" i="3" s="1"/>
  <c r="D26" i="3"/>
  <c r="D56" i="3"/>
  <c r="X20" i="3"/>
  <c r="H20" i="3"/>
  <c r="H26" i="3"/>
  <c r="H56" i="3"/>
  <c r="E26" i="3"/>
  <c r="E56" i="3"/>
  <c r="O101" i="3"/>
  <c r="T20" i="3"/>
  <c r="T26" i="3"/>
  <c r="T56" i="3"/>
  <c r="D55" i="9"/>
  <c r="D61" i="9"/>
  <c r="E61" i="9"/>
  <c r="AP11" i="3"/>
  <c r="V12" i="3"/>
  <c r="AH12" i="3"/>
  <c r="AX12" i="3"/>
  <c r="F20" i="3"/>
  <c r="O63" i="3"/>
  <c r="AJ64" i="3"/>
  <c r="Y65" i="3"/>
  <c r="AC101" i="8"/>
  <c r="AG95" i="8"/>
  <c r="AG101" i="8" s="1"/>
  <c r="S103" i="8"/>
  <c r="S102" i="8"/>
  <c r="AK11" i="3"/>
  <c r="AA103" i="8"/>
  <c r="AA102" i="8"/>
  <c r="AE96" i="8"/>
  <c r="AI96" i="8"/>
  <c r="AI102" i="8"/>
  <c r="AM96" i="8"/>
  <c r="BE11" i="3"/>
  <c r="Q12" i="3"/>
  <c r="AG12" i="3"/>
  <c r="AO12" i="3"/>
  <c r="AS12" i="3"/>
  <c r="AS20" i="3" s="1"/>
  <c r="AW12" i="3"/>
  <c r="BA12" i="3"/>
  <c r="AP14" i="3"/>
  <c r="AA15" i="3"/>
  <c r="BE15" i="3"/>
  <c r="U105" i="8"/>
  <c r="AI36" i="3"/>
  <c r="W104" i="8"/>
  <c r="I19" i="3"/>
  <c r="M19" i="3"/>
  <c r="R66" i="3"/>
  <c r="U19" i="3"/>
  <c r="Y19" i="3"/>
  <c r="AC19" i="3"/>
  <c r="AU27" i="3"/>
  <c r="D53" i="3"/>
  <c r="H53" i="3"/>
  <c r="M101" i="3" s="1"/>
  <c r="H101" i="3"/>
  <c r="P53" i="3"/>
  <c r="P101" i="3" s="1"/>
  <c r="T53" i="3"/>
  <c r="T101" i="3"/>
  <c r="X53" i="3"/>
  <c r="X101" i="3" s="1"/>
  <c r="AB53" i="3"/>
  <c r="AB101" i="3"/>
  <c r="AV54" i="3"/>
  <c r="BD54" i="3"/>
  <c r="L55" i="3"/>
  <c r="T55" i="3"/>
  <c r="X55" i="3"/>
  <c r="AB55" i="3"/>
  <c r="AJ55" i="3"/>
  <c r="AN55" i="3"/>
  <c r="AR55" i="3"/>
  <c r="AV55" i="3"/>
  <c r="BD55" i="3"/>
  <c r="Q62" i="3"/>
  <c r="AG62" i="3"/>
  <c r="AO62" i="3"/>
  <c r="AS62" i="3"/>
  <c r="AW62" i="3"/>
  <c r="BA62" i="3"/>
  <c r="J63" i="3"/>
  <c r="N63" i="3"/>
  <c r="R63" i="3"/>
  <c r="Z63" i="3"/>
  <c r="AD63" i="3"/>
  <c r="W64" i="3"/>
  <c r="AE64" i="3"/>
  <c r="AI64" i="3"/>
  <c r="AM64" i="3"/>
  <c r="AQ64" i="3"/>
  <c r="AY64" i="3"/>
  <c r="BC64" i="3"/>
  <c r="X65" i="3"/>
  <c r="AB65" i="3"/>
  <c r="AV65" i="3"/>
  <c r="BD65" i="3"/>
  <c r="AY73" i="3"/>
  <c r="AV75" i="3"/>
  <c r="AZ75" i="3"/>
  <c r="BN114" i="3"/>
  <c r="BN102" i="3"/>
  <c r="BN115" i="3"/>
  <c r="BX102" i="3"/>
  <c r="BX115" i="3" s="1"/>
  <c r="BX114" i="3"/>
  <c r="CA102" i="3"/>
  <c r="CA115" i="3"/>
  <c r="CA120" i="3" s="1"/>
  <c r="BC115" i="3"/>
  <c r="AT82" i="6"/>
  <c r="AT121" i="4"/>
  <c r="AY104" i="6"/>
  <c r="AY151" i="4"/>
  <c r="AY152" i="4"/>
  <c r="AY138" i="4"/>
  <c r="AY105" i="6" s="1"/>
  <c r="BH104" i="6"/>
  <c r="BH151" i="4"/>
  <c r="BH153" i="4"/>
  <c r="BH138" i="4"/>
  <c r="BH105" i="6" s="1"/>
  <c r="T102" i="8"/>
  <c r="T103" i="8"/>
  <c r="AJ96" i="8"/>
  <c r="AJ103" i="8"/>
  <c r="AP15" i="3"/>
  <c r="J19" i="3"/>
  <c r="Z19" i="3"/>
  <c r="AS54" i="3"/>
  <c r="AX62" i="3"/>
  <c r="W63" i="3"/>
  <c r="AV64" i="3"/>
  <c r="AG65" i="3"/>
  <c r="BE82" i="6"/>
  <c r="BE121" i="4"/>
  <c r="BC95" i="6"/>
  <c r="BC127" i="4"/>
  <c r="AT104" i="6"/>
  <c r="AT151" i="4"/>
  <c r="AT152" i="4"/>
  <c r="AT138" i="4"/>
  <c r="AT105" i="6" s="1"/>
  <c r="AF96" i="8"/>
  <c r="AL12" i="3"/>
  <c r="BB12" i="3"/>
  <c r="N19" i="3"/>
  <c r="AD19" i="3"/>
  <c r="S63" i="3"/>
  <c r="AR64" i="3"/>
  <c r="AK10" i="3"/>
  <c r="AK55" i="3"/>
  <c r="AU10" i="3"/>
  <c r="AQ13" i="8"/>
  <c r="Q103" i="8"/>
  <c r="Q102" i="8"/>
  <c r="U103" i="8"/>
  <c r="AC96" i="8"/>
  <c r="AC103" i="8" s="1"/>
  <c r="AU11" i="3"/>
  <c r="AK96" i="8"/>
  <c r="AO96" i="8"/>
  <c r="G12" i="3"/>
  <c r="G53" i="3" s="1"/>
  <c r="AA12" i="3"/>
  <c r="AE12" i="3"/>
  <c r="AI12" i="3"/>
  <c r="AM12" i="3"/>
  <c r="AQ12" i="3"/>
  <c r="AY12" i="3"/>
  <c r="BC12" i="3"/>
  <c r="V14" i="3"/>
  <c r="AA14" i="3"/>
  <c r="AF14" i="3"/>
  <c r="AU15" i="3"/>
  <c r="AK16" i="3"/>
  <c r="K19" i="3"/>
  <c r="O19" i="3"/>
  <c r="T66" i="3"/>
  <c r="S19" i="3"/>
  <c r="X66" i="3" s="1"/>
  <c r="W19" i="3"/>
  <c r="AB66" i="3"/>
  <c r="C20" i="3"/>
  <c r="H66" i="3" s="1"/>
  <c r="AE23" i="3"/>
  <c r="AF23" i="3"/>
  <c r="BD46" i="3"/>
  <c r="BD49" i="3"/>
  <c r="F53" i="3"/>
  <c r="K101" i="3"/>
  <c r="R53" i="3"/>
  <c r="R101" i="3" s="1"/>
  <c r="R54" i="3"/>
  <c r="Z54" i="3"/>
  <c r="AH54" i="3"/>
  <c r="AL54" i="3"/>
  <c r="AT54" i="3"/>
  <c r="AX54" i="3"/>
  <c r="BB54" i="3"/>
  <c r="Z55" i="3"/>
  <c r="AH55" i="3"/>
  <c r="AL55" i="3"/>
  <c r="AT55" i="3"/>
  <c r="AX55" i="3"/>
  <c r="BB55" i="3"/>
  <c r="AI62" i="3"/>
  <c r="AM62" i="3"/>
  <c r="AQ62" i="3"/>
  <c r="AY62" i="3"/>
  <c r="BC62" i="3"/>
  <c r="H63" i="3"/>
  <c r="P63" i="3"/>
  <c r="T63" i="3"/>
  <c r="X63" i="3"/>
  <c r="AB63" i="3"/>
  <c r="Y64" i="3"/>
  <c r="AG64" i="3"/>
  <c r="BA64" i="3"/>
  <c r="BB65" i="3"/>
  <c r="AW73" i="3"/>
  <c r="AS75" i="3"/>
  <c r="AX75" i="3"/>
  <c r="BL102" i="3"/>
  <c r="BL115" i="3" s="1"/>
  <c r="BL114" i="3"/>
  <c r="BV114" i="3"/>
  <c r="BV120" i="3" s="1"/>
  <c r="BV102" i="3"/>
  <c r="BV115" i="3" s="1"/>
  <c r="BS102" i="3"/>
  <c r="BS115" i="3"/>
  <c r="BS120" i="3" s="1"/>
  <c r="BB120" i="3"/>
  <c r="BD95" i="6"/>
  <c r="BE99" i="6"/>
  <c r="AQ138" i="4"/>
  <c r="AQ105" i="6" s="1"/>
  <c r="BF104" i="6"/>
  <c r="BF151" i="4"/>
  <c r="BF153" i="4"/>
  <c r="BF138" i="4"/>
  <c r="BF105" i="6" s="1"/>
  <c r="X102" i="8"/>
  <c r="X103" i="8"/>
  <c r="AN96" i="8"/>
  <c r="AT12" i="3"/>
  <c r="AS55" i="3"/>
  <c r="BB62" i="3"/>
  <c r="AN64" i="3"/>
  <c r="BD64" i="3"/>
  <c r="S101" i="8"/>
  <c r="W95" i="8"/>
  <c r="W101" i="8"/>
  <c r="X101" i="8"/>
  <c r="AP10" i="3"/>
  <c r="AP62" i="3" s="1"/>
  <c r="AZ10" i="3"/>
  <c r="BE10" i="3"/>
  <c r="C103" i="8"/>
  <c r="C102" i="8"/>
  <c r="V103" i="8"/>
  <c r="V102" i="8"/>
  <c r="Z103" i="8"/>
  <c r="Z102" i="8"/>
  <c r="AD96" i="8"/>
  <c r="AH96" i="8"/>
  <c r="AZ11" i="3"/>
  <c r="AP96" i="8"/>
  <c r="L12" i="3"/>
  <c r="AJ12" i="3"/>
  <c r="AN12" i="3"/>
  <c r="AR12" i="3"/>
  <c r="AV12" i="3"/>
  <c r="BD12" i="3"/>
  <c r="BE14" i="3"/>
  <c r="V15" i="3"/>
  <c r="BC54" i="3"/>
  <c r="S55" i="3"/>
  <c r="W55" i="3"/>
  <c r="AE55" i="3"/>
  <c r="AI55" i="3"/>
  <c r="AM55" i="3"/>
  <c r="AQ55" i="3"/>
  <c r="AY55" i="3"/>
  <c r="BC55" i="3"/>
  <c r="AJ62" i="3"/>
  <c r="AN62" i="3"/>
  <c r="AR62" i="3"/>
  <c r="AV62" i="3"/>
  <c r="BD62" i="3"/>
  <c r="BB64" i="3"/>
  <c r="BC65" i="3"/>
  <c r="AS73" i="3"/>
  <c r="AX73" i="3"/>
  <c r="AY75" i="3"/>
  <c r="BC120" i="3"/>
  <c r="BG120" i="3"/>
  <c r="AS82" i="6"/>
  <c r="AS121" i="4"/>
  <c r="AU115" i="4"/>
  <c r="AU82" i="6" s="1"/>
  <c r="BE87" i="6"/>
  <c r="AX104" i="6"/>
  <c r="AX151" i="4"/>
  <c r="AX152" i="4"/>
  <c r="BR102" i="3"/>
  <c r="BR115" i="3" s="1"/>
  <c r="BR120" i="3" s="1"/>
  <c r="BZ102" i="3"/>
  <c r="BZ115" i="3"/>
  <c r="BZ120" i="3" s="1"/>
  <c r="BP114" i="3"/>
  <c r="BP120" i="3"/>
  <c r="CB114" i="3"/>
  <c r="CB120" i="3" s="1"/>
  <c r="AZ12" i="4"/>
  <c r="BE25" i="4"/>
  <c r="BA26" i="4"/>
  <c r="BF27" i="4"/>
  <c r="BE28" i="4"/>
  <c r="BE20" i="6"/>
  <c r="BJ36" i="4"/>
  <c r="BE38" i="4"/>
  <c r="BE41" i="4"/>
  <c r="BE28" i="6"/>
  <c r="E7" i="9"/>
  <c r="BE10" i="7"/>
  <c r="BE29" i="6"/>
  <c r="BI10" i="7"/>
  <c r="BI29" i="6"/>
  <c r="BJ48" i="4"/>
  <c r="BD52" i="4"/>
  <c r="BH52" i="4"/>
  <c r="E9" i="9"/>
  <c r="BE11" i="7"/>
  <c r="BE36" i="6"/>
  <c r="BI11" i="7"/>
  <c r="BI36" i="6"/>
  <c r="BM11" i="7"/>
  <c r="BM9" i="7"/>
  <c r="BM36" i="6"/>
  <c r="BQ11" i="7"/>
  <c r="BQ9" i="7" s="1"/>
  <c r="BQ36" i="6"/>
  <c r="BU11" i="7"/>
  <c r="BU9" i="7"/>
  <c r="BU36" i="6"/>
  <c r="CC11" i="7"/>
  <c r="CC9" i="7"/>
  <c r="CC36" i="6"/>
  <c r="D11" i="9"/>
  <c r="AZ12" i="7"/>
  <c r="AZ39" i="6"/>
  <c r="D13" i="9"/>
  <c r="AZ13" i="7"/>
  <c r="AZ42" i="6"/>
  <c r="V64" i="4"/>
  <c r="AL64" i="4"/>
  <c r="AK66" i="4"/>
  <c r="AO66" i="4"/>
  <c r="BE66" i="4"/>
  <c r="BJ68" i="4"/>
  <c r="BE71" i="4"/>
  <c r="BA72" i="4"/>
  <c r="AX41" i="7"/>
  <c r="AX51" i="6"/>
  <c r="BF73" i="4"/>
  <c r="V78" i="4"/>
  <c r="V56" i="6"/>
  <c r="BB80" i="4"/>
  <c r="BB58" i="6" s="1"/>
  <c r="BF80" i="4"/>
  <c r="BF58" i="6"/>
  <c r="BG14" i="7"/>
  <c r="BG59" i="6"/>
  <c r="F21" i="9"/>
  <c r="BJ65" i="6"/>
  <c r="BJ16" i="7"/>
  <c r="BO91" i="4"/>
  <c r="BO103" i="4"/>
  <c r="BO105" i="4"/>
  <c r="CA103" i="4"/>
  <c r="BE105" i="4"/>
  <c r="BE76" i="6" s="1"/>
  <c r="BU105" i="4"/>
  <c r="BU76" i="6"/>
  <c r="BO107" i="4"/>
  <c r="BJ108" i="4"/>
  <c r="BG113" i="4"/>
  <c r="AW116" i="4"/>
  <c r="AW83" i="6" s="1"/>
  <c r="BA116" i="4"/>
  <c r="BA83" i="6"/>
  <c r="E84" i="6"/>
  <c r="E49" i="7"/>
  <c r="I84" i="6"/>
  <c r="I49" i="7"/>
  <c r="M84" i="6"/>
  <c r="M49" i="7"/>
  <c r="Q84" i="6"/>
  <c r="Q49" i="7"/>
  <c r="U84" i="6"/>
  <c r="U49" i="7"/>
  <c r="Y84" i="6"/>
  <c r="Y49" i="7"/>
  <c r="AX49" i="7"/>
  <c r="AX84" i="6"/>
  <c r="BB121" i="4"/>
  <c r="AA58" i="7"/>
  <c r="AA92" i="6"/>
  <c r="AM92" i="6"/>
  <c r="AM58" i="7"/>
  <c r="AQ58" i="7"/>
  <c r="AQ92" i="6"/>
  <c r="AU125" i="4"/>
  <c r="BH58" i="7"/>
  <c r="BH92" i="6"/>
  <c r="BD126" i="4"/>
  <c r="BD93" i="6"/>
  <c r="BB94" i="6"/>
  <c r="BB39" i="5"/>
  <c r="AX128" i="4"/>
  <c r="AX95" i="6"/>
  <c r="AU59" i="7"/>
  <c r="AU96" i="6"/>
  <c r="BF59" i="7"/>
  <c r="BF57" i="7" s="1"/>
  <c r="BF72" i="7" s="1"/>
  <c r="BF96" i="6"/>
  <c r="AN60" i="7"/>
  <c r="AN100" i="6"/>
  <c r="AR60" i="7"/>
  <c r="AR100" i="6"/>
  <c r="AV60" i="7"/>
  <c r="AV100" i="6"/>
  <c r="E35" i="9"/>
  <c r="BE100" i="6"/>
  <c r="BE60" i="7"/>
  <c r="BI100" i="6"/>
  <c r="BI60" i="7"/>
  <c r="BB102" i="6"/>
  <c r="BB68" i="5"/>
  <c r="AT136" i="4"/>
  <c r="AT103" i="6"/>
  <c r="AX136" i="4"/>
  <c r="AX103" i="6" s="1"/>
  <c r="Y138" i="4"/>
  <c r="Y105" i="6"/>
  <c r="AH138" i="4"/>
  <c r="AH105" i="6" s="1"/>
  <c r="AL138" i="4"/>
  <c r="AL105" i="6"/>
  <c r="BB138" i="4"/>
  <c r="BB105" i="6" s="1"/>
  <c r="G142" i="4"/>
  <c r="G108" i="6"/>
  <c r="BN142" i="4"/>
  <c r="BR142" i="4"/>
  <c r="BV142" i="4"/>
  <c r="BZ142" i="4"/>
  <c r="Z143" i="4"/>
  <c r="Z109" i="6" s="1"/>
  <c r="AR148" i="4"/>
  <c r="AR149" i="4"/>
  <c r="BB151" i="4"/>
  <c r="BB152" i="4" s="1"/>
  <c r="BN151" i="4"/>
  <c r="BN153" i="4"/>
  <c r="BN155" i="4" s="1"/>
  <c r="BN11" i="3" s="1"/>
  <c r="BR151" i="4"/>
  <c r="BR153" i="4"/>
  <c r="BR155" i="4"/>
  <c r="BR11" i="3" s="1"/>
  <c r="BV151" i="4"/>
  <c r="BV153" i="4"/>
  <c r="BV155" i="4"/>
  <c r="BZ151" i="4"/>
  <c r="BZ153" i="4" s="1"/>
  <c r="BZ155" i="4" s="1"/>
  <c r="BZ11" i="3" s="1"/>
  <c r="BA11" i="5"/>
  <c r="BC23" i="5"/>
  <c r="BC25" i="5"/>
  <c r="BE12" i="4"/>
  <c r="BB26" i="4"/>
  <c r="BF10" i="7"/>
  <c r="BF29" i="6"/>
  <c r="BJ43" i="4"/>
  <c r="BF11" i="7"/>
  <c r="BF36" i="6"/>
  <c r="BJ53" i="4"/>
  <c r="BN11" i="7"/>
  <c r="BN9" i="7" s="1"/>
  <c r="BN36" i="6"/>
  <c r="BR11" i="7"/>
  <c r="BR9" i="7"/>
  <c r="BR36" i="6"/>
  <c r="BV11" i="7"/>
  <c r="BV9" i="7"/>
  <c r="BV36" i="6"/>
  <c r="BZ11" i="7"/>
  <c r="BZ9" i="7"/>
  <c r="BZ36" i="6"/>
  <c r="E11" i="9"/>
  <c r="BE12" i="7"/>
  <c r="BE39" i="6"/>
  <c r="E13" i="9"/>
  <c r="F14" i="9" s="1"/>
  <c r="BE13" i="7"/>
  <c r="BE42" i="6"/>
  <c r="AU64" i="4"/>
  <c r="AP66" i="4"/>
  <c r="BJ66" i="4"/>
  <c r="BB72" i="4"/>
  <c r="AY41" i="7"/>
  <c r="AY51" i="6"/>
  <c r="AA78" i="4"/>
  <c r="AA56" i="6"/>
  <c r="BE79" i="4"/>
  <c r="D17" i="9"/>
  <c r="E18" i="9" s="1"/>
  <c r="AZ59" i="6"/>
  <c r="AZ14" i="7"/>
  <c r="BH14" i="7"/>
  <c r="BH59" i="6"/>
  <c r="E19" i="9"/>
  <c r="BE62" i="6"/>
  <c r="BE15" i="7"/>
  <c r="G21" i="9"/>
  <c r="G22" i="9" s="1"/>
  <c r="BO65" i="6"/>
  <c r="BO16" i="7"/>
  <c r="BV105" i="4"/>
  <c r="BV76" i="6" s="1"/>
  <c r="BB111" i="4"/>
  <c r="BH113" i="4"/>
  <c r="BB116" i="4"/>
  <c r="BB83" i="6" s="1"/>
  <c r="F49" i="7"/>
  <c r="F84" i="6"/>
  <c r="J49" i="7"/>
  <c r="J84" i="6"/>
  <c r="N49" i="7"/>
  <c r="N84" i="6"/>
  <c r="R49" i="7"/>
  <c r="R84" i="6"/>
  <c r="V49" i="7"/>
  <c r="V84" i="6"/>
  <c r="Z49" i="7"/>
  <c r="Z84" i="6"/>
  <c r="D28" i="9"/>
  <c r="AZ49" i="7"/>
  <c r="AZ84" i="6"/>
  <c r="BH49" i="7"/>
  <c r="BH84" i="6"/>
  <c r="BD119" i="4"/>
  <c r="BD86" i="6"/>
  <c r="BC121" i="4"/>
  <c r="AF58" i="7"/>
  <c r="AF92" i="6"/>
  <c r="AN58" i="7"/>
  <c r="AN92" i="6"/>
  <c r="AR58" i="7"/>
  <c r="AR92" i="6"/>
  <c r="AV58" i="7"/>
  <c r="AV92" i="6"/>
  <c r="E31" i="9"/>
  <c r="BE58" i="7"/>
  <c r="BE92" i="6"/>
  <c r="BI58" i="7"/>
  <c r="BI92" i="6"/>
  <c r="AA128" i="4"/>
  <c r="AA95" i="6"/>
  <c r="AM128" i="4"/>
  <c r="AM95" i="6"/>
  <c r="AQ128" i="4"/>
  <c r="AQ95" i="6"/>
  <c r="AY128" i="4"/>
  <c r="AY95" i="6"/>
  <c r="AF59" i="7"/>
  <c r="AF96" i="6"/>
  <c r="AX96" i="6"/>
  <c r="AX59" i="7"/>
  <c r="BG59" i="7"/>
  <c r="BG96" i="6"/>
  <c r="BD131" i="4"/>
  <c r="BD98" i="6"/>
  <c r="AX132" i="4"/>
  <c r="AX99" i="6"/>
  <c r="AO100" i="6"/>
  <c r="AO60" i="7"/>
  <c r="AS100" i="6"/>
  <c r="AS60" i="7"/>
  <c r="AX60" i="7"/>
  <c r="AX100" i="6"/>
  <c r="BF60" i="7"/>
  <c r="BF100" i="6"/>
  <c r="AQ136" i="4"/>
  <c r="AQ103" i="6"/>
  <c r="AY136" i="4"/>
  <c r="BC136" i="4"/>
  <c r="G137" i="4"/>
  <c r="G104" i="6"/>
  <c r="AA137" i="4"/>
  <c r="Z138" i="4"/>
  <c r="Z105" i="6" s="1"/>
  <c r="AI138" i="4"/>
  <c r="AI105" i="6"/>
  <c r="AM138" i="4"/>
  <c r="AM105" i="6" s="1"/>
  <c r="BC138" i="4"/>
  <c r="BC105" i="6"/>
  <c r="L142" i="4"/>
  <c r="L108" i="6" s="1"/>
  <c r="BK142" i="4"/>
  <c r="BS142" i="4"/>
  <c r="BW142" i="4"/>
  <c r="CA142" i="4"/>
  <c r="W143" i="4"/>
  <c r="W109" i="6" s="1"/>
  <c r="AA143" i="4"/>
  <c r="AA109" i="6"/>
  <c r="BC151" i="4"/>
  <c r="BC152" i="4" s="1"/>
  <c r="BK151" i="4"/>
  <c r="BK153" i="4"/>
  <c r="BK155" i="4"/>
  <c r="BS151" i="4"/>
  <c r="BS153" i="4"/>
  <c r="BS155" i="4"/>
  <c r="BW151" i="4"/>
  <c r="BW153" i="4" s="1"/>
  <c r="BW155" i="4" s="1"/>
  <c r="BW11" i="3" s="1"/>
  <c r="CA151" i="4"/>
  <c r="CA153" i="4"/>
  <c r="CA155" i="4" s="1"/>
  <c r="CA11" i="3" s="1"/>
  <c r="BA14" i="5"/>
  <c r="BC67" i="5"/>
  <c r="BJ12" i="4"/>
  <c r="BO13" i="4"/>
  <c r="BE14" i="4"/>
  <c r="BE16" i="4"/>
  <c r="BE18" i="4"/>
  <c r="BO20" i="4"/>
  <c r="BG25" i="4"/>
  <c r="AX26" i="4"/>
  <c r="BC26" i="4"/>
  <c r="D5" i="9"/>
  <c r="AZ33" i="7"/>
  <c r="AZ19" i="6"/>
  <c r="BT31" i="4"/>
  <c r="BJ32" i="4"/>
  <c r="BO33" i="4"/>
  <c r="BE34" i="4"/>
  <c r="BY37" i="4"/>
  <c r="CD37" i="4" s="1"/>
  <c r="CD26" i="6" s="1"/>
  <c r="BO41" i="4"/>
  <c r="BJ42" i="4"/>
  <c r="BG10" i="7"/>
  <c r="BG29" i="6"/>
  <c r="BF44" i="4"/>
  <c r="BF30" i="6"/>
  <c r="BO50" i="4"/>
  <c r="AZ51" i="4"/>
  <c r="BT51" i="4"/>
  <c r="BB52" i="4"/>
  <c r="BG11" i="7"/>
  <c r="BG9" i="7" s="1"/>
  <c r="BG36" i="6"/>
  <c r="BK11" i="7"/>
  <c r="BK9" i="7"/>
  <c r="BK36" i="6"/>
  <c r="BS11" i="7"/>
  <c r="BS9" i="7"/>
  <c r="BS36" i="6"/>
  <c r="BW11" i="7"/>
  <c r="BW9" i="7" s="1"/>
  <c r="BW36" i="6"/>
  <c r="CA11" i="7"/>
  <c r="CA9" i="7"/>
  <c r="CA36" i="6"/>
  <c r="BF54" i="4"/>
  <c r="BF37" i="6"/>
  <c r="F11" i="9"/>
  <c r="BJ12" i="7"/>
  <c r="BJ39" i="6"/>
  <c r="BE57" i="4"/>
  <c r="BE40" i="6"/>
  <c r="F13" i="9"/>
  <c r="BJ13" i="7"/>
  <c r="BJ42" i="6"/>
  <c r="BE60" i="4"/>
  <c r="BE43" i="6"/>
  <c r="BO63" i="4"/>
  <c r="L64" i="4"/>
  <c r="AF64" i="4"/>
  <c r="AZ64" i="4"/>
  <c r="BJ64" i="4"/>
  <c r="AU66" i="4"/>
  <c r="AY71" i="4"/>
  <c r="BG71" i="4"/>
  <c r="AX72" i="4"/>
  <c r="BC72" i="4"/>
  <c r="AS41" i="7"/>
  <c r="AS51" i="6"/>
  <c r="AZ73" i="4"/>
  <c r="AX74" i="4"/>
  <c r="AX52" i="6" s="1"/>
  <c r="BC74" i="4"/>
  <c r="BC52" i="6"/>
  <c r="BO77" i="4"/>
  <c r="L78" i="4"/>
  <c r="L56" i="6" s="1"/>
  <c r="BE78" i="4"/>
  <c r="BE56" i="6"/>
  <c r="E17" i="9"/>
  <c r="BE14" i="7"/>
  <c r="BE59" i="6"/>
  <c r="BI14" i="7"/>
  <c r="BI59" i="6"/>
  <c r="BH82" i="4"/>
  <c r="BH60" i="6"/>
  <c r="F19" i="9"/>
  <c r="F20" i="9" s="1"/>
  <c r="BJ15" i="7"/>
  <c r="BJ62" i="6"/>
  <c r="BT87" i="4"/>
  <c r="BO99" i="4"/>
  <c r="BJ100" i="4"/>
  <c r="BT101" i="4"/>
  <c r="CC103" i="4"/>
  <c r="CC75" i="6" s="1"/>
  <c r="BW105" i="4"/>
  <c r="BW76" i="6" s="1"/>
  <c r="BC111" i="4"/>
  <c r="BC79" i="6"/>
  <c r="BO111" i="4"/>
  <c r="E23" i="9"/>
  <c r="BE25" i="7"/>
  <c r="BE27" i="7"/>
  <c r="BE80" i="6"/>
  <c r="BI113" i="4"/>
  <c r="AX115" i="4"/>
  <c r="BC116" i="4"/>
  <c r="BC83" i="6" s="1"/>
  <c r="C49" i="7"/>
  <c r="C84" i="6"/>
  <c r="G49" i="7"/>
  <c r="G84" i="6"/>
  <c r="K49" i="7"/>
  <c r="K84" i="6"/>
  <c r="O49" i="7"/>
  <c r="O84" i="6"/>
  <c r="S49" i="7"/>
  <c r="S84" i="6"/>
  <c r="W49" i="7"/>
  <c r="W84" i="6"/>
  <c r="AA49" i="7"/>
  <c r="AA84" i="6"/>
  <c r="E28" i="9"/>
  <c r="BE84" i="6"/>
  <c r="BE49" i="7"/>
  <c r="BA119" i="4"/>
  <c r="AX120" i="4"/>
  <c r="U121" i="4"/>
  <c r="U88" i="6"/>
  <c r="Y121" i="4"/>
  <c r="Y88" i="6"/>
  <c r="AV121" i="4"/>
  <c r="BD121" i="4"/>
  <c r="AK58" i="7"/>
  <c r="AK92" i="6"/>
  <c r="AO58" i="7"/>
  <c r="AO92" i="6"/>
  <c r="AS58" i="7"/>
  <c r="AS92" i="6"/>
  <c r="AX58" i="7"/>
  <c r="AX92" i="6"/>
  <c r="BF58" i="7"/>
  <c r="BF92" i="6"/>
  <c r="BJ125" i="4"/>
  <c r="AF128" i="4"/>
  <c r="AF95" i="6"/>
  <c r="AN128" i="4"/>
  <c r="AN95" i="6"/>
  <c r="AR128" i="4"/>
  <c r="AR95" i="6" s="1"/>
  <c r="AV128" i="4"/>
  <c r="AV95" i="6"/>
  <c r="AK59" i="7"/>
  <c r="AK96" i="6"/>
  <c r="D33" i="9"/>
  <c r="AZ59" i="7"/>
  <c r="AZ96" i="6"/>
  <c r="BH59" i="7"/>
  <c r="BH96" i="6"/>
  <c r="BA131" i="4"/>
  <c r="AU132" i="4"/>
  <c r="AU99" i="6" s="1"/>
  <c r="BC132" i="4"/>
  <c r="AL60" i="7"/>
  <c r="AL100" i="6"/>
  <c r="AP133" i="4"/>
  <c r="AT60" i="7"/>
  <c r="AT100" i="6"/>
  <c r="AY60" i="7"/>
  <c r="AY100" i="6"/>
  <c r="BA134" i="4"/>
  <c r="BA101" i="6" s="1"/>
  <c r="AR136" i="4"/>
  <c r="AR103" i="6"/>
  <c r="AV136" i="4"/>
  <c r="AV103" i="6" s="1"/>
  <c r="BD136" i="4"/>
  <c r="L137" i="4"/>
  <c r="L104" i="6" s="1"/>
  <c r="AF137" i="4"/>
  <c r="AF104" i="6"/>
  <c r="AR137" i="4"/>
  <c r="AV137" i="4"/>
  <c r="BA138" i="4"/>
  <c r="BA105" i="6"/>
  <c r="W138" i="4"/>
  <c r="W105" i="6" s="1"/>
  <c r="AJ138" i="4"/>
  <c r="AJ105" i="6"/>
  <c r="AN138" i="4"/>
  <c r="AN105" i="6" s="1"/>
  <c r="BD138" i="4"/>
  <c r="BD105" i="6"/>
  <c r="BL142" i="4"/>
  <c r="BP142" i="4"/>
  <c r="BX142" i="4"/>
  <c r="CB142" i="4"/>
  <c r="CB108" i="6" s="1"/>
  <c r="X143" i="4"/>
  <c r="X109" i="6" s="1"/>
  <c r="BD151" i="4"/>
  <c r="BD152" i="4"/>
  <c r="BL151" i="4"/>
  <c r="BL153" i="4"/>
  <c r="BL155" i="4"/>
  <c r="BP151" i="4"/>
  <c r="BP153" i="4" s="1"/>
  <c r="BP155" i="4" s="1"/>
  <c r="BX151" i="4"/>
  <c r="BX153" i="4"/>
  <c r="BX155" i="4" s="1"/>
  <c r="CB151" i="4"/>
  <c r="CB153" i="4"/>
  <c r="CB155" i="4"/>
  <c r="BO11" i="4"/>
  <c r="AU12" i="4"/>
  <c r="BJ14" i="4"/>
  <c r="BJ16" i="4"/>
  <c r="BJ18" i="4"/>
  <c r="AZ25" i="4"/>
  <c r="AZ18" i="6"/>
  <c r="BH25" i="4"/>
  <c r="BH27" i="4" s="1"/>
  <c r="AY26" i="4"/>
  <c r="BD26" i="4"/>
  <c r="E5" i="9"/>
  <c r="BE33" i="7"/>
  <c r="BE35" i="7" s="1"/>
  <c r="BE19" i="6"/>
  <c r="BI27" i="4"/>
  <c r="BJ34" i="4"/>
  <c r="BO35" i="4"/>
  <c r="BE36" i="4"/>
  <c r="BO40" i="4"/>
  <c r="AZ41" i="4"/>
  <c r="AZ28" i="6" s="1"/>
  <c r="D7" i="9"/>
  <c r="AZ10" i="7"/>
  <c r="AZ29" i="6"/>
  <c r="BH10" i="7"/>
  <c r="BH29" i="6"/>
  <c r="BG44" i="4"/>
  <c r="BG30" i="6"/>
  <c r="BO47" i="4"/>
  <c r="BE48" i="4"/>
  <c r="BE51" i="4"/>
  <c r="BJ52" i="4"/>
  <c r="BC52" i="4"/>
  <c r="BG52" i="4"/>
  <c r="D9" i="9"/>
  <c r="AZ11" i="7"/>
  <c r="AZ36" i="6"/>
  <c r="BH11" i="7"/>
  <c r="BH36" i="6"/>
  <c r="BL11" i="7"/>
  <c r="BL9" i="7" s="1"/>
  <c r="BL36" i="6"/>
  <c r="BP11" i="7"/>
  <c r="BP36" i="6"/>
  <c r="BX11" i="7"/>
  <c r="BX9" i="7" s="1"/>
  <c r="BX36" i="6"/>
  <c r="CB11" i="7"/>
  <c r="CB36" i="6"/>
  <c r="BG54" i="4"/>
  <c r="BG37" i="6" s="1"/>
  <c r="BO56" i="4"/>
  <c r="BJ57" i="4"/>
  <c r="BJ40" i="6"/>
  <c r="BO59" i="4"/>
  <c r="BJ60" i="4"/>
  <c r="BJ43" i="6"/>
  <c r="AJ63" i="4"/>
  <c r="Q64" i="4"/>
  <c r="AG64" i="4"/>
  <c r="BO65" i="4"/>
  <c r="AF66" i="4"/>
  <c r="AJ66" i="4"/>
  <c r="AZ66" i="4"/>
  <c r="BO69" i="4"/>
  <c r="BJ70" i="4"/>
  <c r="AZ71" i="4"/>
  <c r="AZ50" i="6"/>
  <c r="BH71" i="4"/>
  <c r="BD72" i="4"/>
  <c r="AT41" i="7"/>
  <c r="AT51" i="6"/>
  <c r="E15" i="9"/>
  <c r="BE41" i="7"/>
  <c r="BE43" i="7" s="1"/>
  <c r="BE51" i="6"/>
  <c r="BI73" i="4"/>
  <c r="AY74" i="4"/>
  <c r="AY52" i="6" s="1"/>
  <c r="BD74" i="4"/>
  <c r="BD52" i="6"/>
  <c r="Q78" i="4"/>
  <c r="Q56" i="6" s="1"/>
  <c r="BJ78" i="4"/>
  <c r="BJ56" i="6"/>
  <c r="BO79" i="4"/>
  <c r="BT79" i="4" s="1"/>
  <c r="BA80" i="4"/>
  <c r="BA58" i="6" s="1"/>
  <c r="BI80" i="4"/>
  <c r="BI58" i="6"/>
  <c r="BF14" i="7"/>
  <c r="BF59" i="6"/>
  <c r="BJ81" i="4"/>
  <c r="BE82" i="4"/>
  <c r="BE60" i="6" s="1"/>
  <c r="BI82" i="4"/>
  <c r="BI60" i="6"/>
  <c r="BO84" i="4"/>
  <c r="BO93" i="4"/>
  <c r="BE94" i="4"/>
  <c r="BJ94" i="4"/>
  <c r="BJ95" i="4"/>
  <c r="BO97" i="4"/>
  <c r="BJ98" i="4"/>
  <c r="BZ103" i="4"/>
  <c r="BX105" i="4"/>
  <c r="BX76" i="6" s="1"/>
  <c r="CB105" i="4"/>
  <c r="CB76" i="6"/>
  <c r="BY109" i="4"/>
  <c r="BD111" i="4"/>
  <c r="BD79" i="6" s="1"/>
  <c r="BF113" i="4"/>
  <c r="AY115" i="4"/>
  <c r="AV116" i="4"/>
  <c r="AV83" i="6" s="1"/>
  <c r="D49" i="7"/>
  <c r="D84" i="6"/>
  <c r="H49" i="7"/>
  <c r="H84" i="6"/>
  <c r="L49" i="7"/>
  <c r="L84" i="6"/>
  <c r="P49" i="7"/>
  <c r="P84" i="6"/>
  <c r="T49" i="7"/>
  <c r="T84" i="6"/>
  <c r="X49" i="7"/>
  <c r="X84" i="6"/>
  <c r="AU49" i="7"/>
  <c r="AU84" i="6"/>
  <c r="BF49" i="7"/>
  <c r="BF84" i="6"/>
  <c r="BB119" i="4"/>
  <c r="BC120" i="4"/>
  <c r="R121" i="4"/>
  <c r="R88" i="6"/>
  <c r="V121" i="4"/>
  <c r="V88" i="6" s="1"/>
  <c r="Z121" i="4"/>
  <c r="Z88" i="6"/>
  <c r="AW121" i="4"/>
  <c r="BA121" i="4"/>
  <c r="V58" i="7"/>
  <c r="V92" i="6"/>
  <c r="AL58" i="7"/>
  <c r="AL92" i="6"/>
  <c r="AP125" i="4"/>
  <c r="AT58" i="7"/>
  <c r="AT92" i="6"/>
  <c r="AY92" i="6"/>
  <c r="AY58" i="7"/>
  <c r="BG58" i="7"/>
  <c r="BG92" i="6"/>
  <c r="BA126" i="4"/>
  <c r="BA93" i="6"/>
  <c r="AK128" i="4"/>
  <c r="AK95" i="6"/>
  <c r="AO128" i="4"/>
  <c r="AO95" i="6"/>
  <c r="AS128" i="4"/>
  <c r="AS95" i="6"/>
  <c r="AW128" i="4"/>
  <c r="AW95" i="6" s="1"/>
  <c r="BA128" i="4"/>
  <c r="AP59" i="7"/>
  <c r="AP96" i="6"/>
  <c r="E33" i="9"/>
  <c r="E34" i="9"/>
  <c r="BE59" i="7"/>
  <c r="BE96" i="6"/>
  <c r="BB98" i="6"/>
  <c r="BB49" i="5"/>
  <c r="AZ132" i="4"/>
  <c r="AZ99" i="6"/>
  <c r="AM60" i="7"/>
  <c r="AM100" i="6"/>
  <c r="AQ60" i="7"/>
  <c r="AQ100" i="6"/>
  <c r="AU133" i="4"/>
  <c r="AZ133" i="4"/>
  <c r="BH60" i="7"/>
  <c r="BH100" i="6"/>
  <c r="BD134" i="4"/>
  <c r="BD101" i="6" s="1"/>
  <c r="AS136" i="4"/>
  <c r="AS103" i="6"/>
  <c r="AW136" i="4"/>
  <c r="AW103" i="6" s="1"/>
  <c r="BA136" i="4"/>
  <c r="BE136" i="4"/>
  <c r="AK137" i="4"/>
  <c r="AS137" i="4"/>
  <c r="BE137" i="4"/>
  <c r="X138" i="4"/>
  <c r="X105" i="6" s="1"/>
  <c r="AG138" i="4"/>
  <c r="AG105" i="6"/>
  <c r="AO138" i="4"/>
  <c r="AO105" i="6" s="1"/>
  <c r="BM142" i="4"/>
  <c r="BQ142" i="4"/>
  <c r="BU142" i="4"/>
  <c r="CC142" i="4"/>
  <c r="CC10" i="3" s="1"/>
  <c r="Y143" i="4"/>
  <c r="Y109" i="6" s="1"/>
  <c r="AQ148" i="4"/>
  <c r="AQ149" i="4"/>
  <c r="AW151" i="4"/>
  <c r="AW152" i="4" s="1"/>
  <c r="BA151" i="4"/>
  <c r="BA152" i="4"/>
  <c r="BM151" i="4"/>
  <c r="BM153" i="4" s="1"/>
  <c r="BM155" i="4" s="1"/>
  <c r="BM11" i="3" s="1"/>
  <c r="BQ151" i="4"/>
  <c r="BQ153" i="4" s="1"/>
  <c r="BQ155" i="4" s="1"/>
  <c r="BU151" i="4"/>
  <c r="BU153" i="4"/>
  <c r="BU155" i="4" s="1"/>
  <c r="CC151" i="4"/>
  <c r="CC153" i="4"/>
  <c r="CC155" i="4"/>
  <c r="AZ29" i="5"/>
  <c r="BA30" i="5"/>
  <c r="BA38" i="5"/>
  <c r="BE29" i="5"/>
  <c r="BJ30" i="5" s="1"/>
  <c r="BE32" i="5"/>
  <c r="BE33" i="5" s="1"/>
  <c r="BA59" i="5"/>
  <c r="BA67" i="5"/>
  <c r="BE64" i="5"/>
  <c r="BE65" i="5" s="1"/>
  <c r="Y115" i="8"/>
  <c r="Y121" i="8"/>
  <c r="BE35" i="5"/>
  <c r="BE36" i="5" s="1"/>
  <c r="BA62" i="5"/>
  <c r="BM64" i="7"/>
  <c r="BM72" i="7"/>
  <c r="AF45" i="8"/>
  <c r="AF46" i="8"/>
  <c r="AF53" i="8"/>
  <c r="AF54" i="8" s="1"/>
  <c r="AG44" i="8"/>
  <c r="AC46" i="8"/>
  <c r="T53" i="8"/>
  <c r="T54" i="8"/>
  <c r="V68" i="8"/>
  <c r="W69" i="8"/>
  <c r="CB9" i="7"/>
  <c r="CA72" i="7"/>
  <c r="CA64" i="7"/>
  <c r="BU51" i="7"/>
  <c r="CC51" i="7"/>
  <c r="BP9" i="7"/>
  <c r="BB9" i="7"/>
  <c r="BZ64" i="7"/>
  <c r="BZ72" i="7"/>
  <c r="W39" i="8"/>
  <c r="AJ39" i="8"/>
  <c r="AM32" i="8"/>
  <c r="AN32" i="8"/>
  <c r="AL32" i="8"/>
  <c r="AK39" i="8"/>
  <c r="AK46" i="8"/>
  <c r="AK53" i="8"/>
  <c r="AK54" i="8" s="1"/>
  <c r="AJ46" i="8"/>
  <c r="BP43" i="8"/>
  <c r="AJ53" i="8"/>
  <c r="BV64" i="7"/>
  <c r="BV72" i="7"/>
  <c r="BS64" i="7"/>
  <c r="BX72" i="7"/>
  <c r="R82" i="8"/>
  <c r="AJ18" i="8"/>
  <c r="AJ82" i="8"/>
  <c r="AN82" i="8"/>
  <c r="AN84" i="8"/>
  <c r="AN18" i="8"/>
  <c r="AJ25" i="8"/>
  <c r="AL45" i="8"/>
  <c r="AS40" i="8"/>
  <c r="V51" i="8"/>
  <c r="V53" i="8"/>
  <c r="W48" i="8"/>
  <c r="W51" i="8" s="1"/>
  <c r="AA53" i="8"/>
  <c r="AA54" i="8"/>
  <c r="AG51" i="8"/>
  <c r="AG53" i="8" s="1"/>
  <c r="E53" i="8"/>
  <c r="E54" i="8" s="1"/>
  <c r="I53" i="8"/>
  <c r="N53" i="8"/>
  <c r="AI65" i="8"/>
  <c r="AI86" i="8" s="1"/>
  <c r="AJ115" i="8" s="1"/>
  <c r="AK58" i="8"/>
  <c r="J65" i="8"/>
  <c r="J86" i="8" s="1"/>
  <c r="L64" i="8"/>
  <c r="L65" i="8" s="1"/>
  <c r="L86" i="8" s="1"/>
  <c r="W75" i="8"/>
  <c r="V71" i="8"/>
  <c r="AE77" i="8"/>
  <c r="J75" i="8"/>
  <c r="J77" i="8"/>
  <c r="L72" i="8"/>
  <c r="L75" i="8" s="1"/>
  <c r="BR64" i="7"/>
  <c r="BR72" i="7"/>
  <c r="BU64" i="7"/>
  <c r="BU72" i="7"/>
  <c r="CC64" i="7"/>
  <c r="CC72" i="7"/>
  <c r="BW64" i="7"/>
  <c r="BL72" i="7"/>
  <c r="CB72" i="7"/>
  <c r="AL18" i="8"/>
  <c r="W25" i="8"/>
  <c r="C26" i="8"/>
  <c r="N26" i="8"/>
  <c r="AH26" i="8"/>
  <c r="AH54" i="8" s="1"/>
  <c r="AL83" i="8"/>
  <c r="AL84" i="8"/>
  <c r="AL88" i="8"/>
  <c r="AL89" i="8" s="1"/>
  <c r="H45" i="8"/>
  <c r="AB45" i="8"/>
  <c r="C46" i="8"/>
  <c r="C53" i="8" s="1"/>
  <c r="C54" i="8" s="1"/>
  <c r="AQ45" i="8"/>
  <c r="M51" i="8"/>
  <c r="M53" i="8" s="1"/>
  <c r="M54" i="8" s="1"/>
  <c r="AH53" i="8"/>
  <c r="F53" i="8"/>
  <c r="F54" i="8" s="1"/>
  <c r="J53" i="8"/>
  <c r="J54" i="8"/>
  <c r="O53" i="8"/>
  <c r="O54" i="8" s="1"/>
  <c r="U53" i="8"/>
  <c r="AC53" i="8"/>
  <c r="AC54" i="8"/>
  <c r="AJ65" i="8"/>
  <c r="AJ86" i="8" s="1"/>
  <c r="AK115" i="8" s="1"/>
  <c r="AK118" i="8" s="1"/>
  <c r="AO105" i="8"/>
  <c r="AQ105" i="8" s="1"/>
  <c r="AO65" i="8"/>
  <c r="AO86" i="8"/>
  <c r="AP115" i="8"/>
  <c r="AQ59" i="8"/>
  <c r="AM65" i="8"/>
  <c r="AM86" i="8"/>
  <c r="AN115" i="8"/>
  <c r="AQ63" i="8"/>
  <c r="V69" i="8"/>
  <c r="AF67" i="8"/>
  <c r="AD69" i="8"/>
  <c r="BN64" i="7"/>
  <c r="BN72" i="7"/>
  <c r="BQ64" i="7"/>
  <c r="BQ72" i="7"/>
  <c r="BK64" i="7"/>
  <c r="BP72" i="7"/>
  <c r="G18" i="8"/>
  <c r="H15" i="8"/>
  <c r="U54" i="8"/>
  <c r="V18" i="8"/>
  <c r="V26" i="8"/>
  <c r="V54" i="8"/>
  <c r="H25" i="8"/>
  <c r="I26" i="8"/>
  <c r="I54" i="8"/>
  <c r="S26" i="8"/>
  <c r="AD26" i="8"/>
  <c r="AD54" i="8" s="1"/>
  <c r="AI26" i="8"/>
  <c r="AI54" i="8" s="1"/>
  <c r="P54" i="8"/>
  <c r="AM37" i="8"/>
  <c r="AN37" i="8"/>
  <c r="AL37" i="8"/>
  <c r="AG45" i="8"/>
  <c r="AG46" i="8" s="1"/>
  <c r="AR42" i="8"/>
  <c r="AR45" i="8"/>
  <c r="D46" i="8"/>
  <c r="D53" i="8" s="1"/>
  <c r="D54" i="8" s="1"/>
  <c r="S46" i="8"/>
  <c r="S53" i="8"/>
  <c r="AD53" i="8"/>
  <c r="K53" i="8"/>
  <c r="K54" i="8" s="1"/>
  <c r="AO53" i="8"/>
  <c r="M65" i="8"/>
  <c r="M77" i="8"/>
  <c r="L63" i="8"/>
  <c r="AA64" i="8"/>
  <c r="AB65" i="8"/>
  <c r="T77" i="8"/>
  <c r="W82" i="8"/>
  <c r="M101" i="8"/>
  <c r="W18" i="8"/>
  <c r="G25" i="8"/>
  <c r="G26" i="8" s="1"/>
  <c r="G54" i="8" s="1"/>
  <c r="AG84" i="8"/>
  <c r="Q53" i="8"/>
  <c r="AV60" i="8"/>
  <c r="BA60" i="8" s="1"/>
  <c r="BF60" i="8" s="1"/>
  <c r="BK60" i="8" s="1"/>
  <c r="BP60" i="8"/>
  <c r="W65" i="8"/>
  <c r="V63" i="8"/>
  <c r="D64" i="9"/>
  <c r="AK64" i="8"/>
  <c r="AO118" i="8"/>
  <c r="AO121" i="8"/>
  <c r="AO123" i="8"/>
  <c r="AO126" i="8"/>
  <c r="K69" i="8"/>
  <c r="K77" i="8"/>
  <c r="L67" i="8"/>
  <c r="L69" i="8" s="1"/>
  <c r="C77" i="8"/>
  <c r="C79" i="8" s="1"/>
  <c r="AG75" i="8"/>
  <c r="H77" i="8"/>
  <c r="N77" i="8"/>
  <c r="X77" i="8"/>
  <c r="X79" i="8"/>
  <c r="AM82" i="8"/>
  <c r="AM84" i="8" s="1"/>
  <c r="AI101" i="8"/>
  <c r="H18" i="8"/>
  <c r="AB18" i="8"/>
  <c r="AL19" i="8"/>
  <c r="AL25" i="8"/>
  <c r="AN29" i="8"/>
  <c r="AL33" i="8"/>
  <c r="AL39" i="8"/>
  <c r="R83" i="8"/>
  <c r="R84" i="8" s="1"/>
  <c r="AI88" i="8"/>
  <c r="AI83" i="8"/>
  <c r="AQ35" i="8"/>
  <c r="AB48" i="8"/>
  <c r="AB51" i="8"/>
  <c r="V105" i="8"/>
  <c r="AJ36" i="3" s="1"/>
  <c r="AI105" i="8"/>
  <c r="AK59" i="8"/>
  <c r="AK105" i="8"/>
  <c r="AG65" i="8"/>
  <c r="AF63" i="8"/>
  <c r="G64" i="8"/>
  <c r="AA69" i="8"/>
  <c r="AV67" i="8"/>
  <c r="Q68" i="8"/>
  <c r="Q69" i="8"/>
  <c r="O69" i="8"/>
  <c r="AQ68" i="8"/>
  <c r="E66" i="9"/>
  <c r="AM69" i="8"/>
  <c r="O75" i="8"/>
  <c r="O77" i="8"/>
  <c r="Q71" i="8"/>
  <c r="Q75" i="8"/>
  <c r="AC75" i="8"/>
  <c r="AC77" i="8"/>
  <c r="AC79" i="8"/>
  <c r="AM75" i="8"/>
  <c r="AM77" i="8" s="1"/>
  <c r="AQ71" i="8"/>
  <c r="V72" i="8"/>
  <c r="AL77" i="8"/>
  <c r="AL79" i="8" s="1"/>
  <c r="AQ74" i="8"/>
  <c r="D77" i="8"/>
  <c r="P77" i="8"/>
  <c r="Z77" i="8"/>
  <c r="AH77" i="8"/>
  <c r="AH79" i="8"/>
  <c r="AI78" i="8" s="1"/>
  <c r="AK76" i="8"/>
  <c r="H82" i="8"/>
  <c r="H84" i="8"/>
  <c r="AO84" i="8"/>
  <c r="AL105" i="8"/>
  <c r="M82" i="8"/>
  <c r="M84" i="8"/>
  <c r="AI82" i="8"/>
  <c r="AJ101" i="8"/>
  <c r="R15" i="8"/>
  <c r="R18" i="8"/>
  <c r="R26" i="8"/>
  <c r="M18" i="8"/>
  <c r="M26" i="8"/>
  <c r="AG18" i="8"/>
  <c r="AG26" i="8" s="1"/>
  <c r="AG54" i="8" s="1"/>
  <c r="AM19" i="8"/>
  <c r="AI103" i="8"/>
  <c r="W84" i="8"/>
  <c r="AJ88" i="8"/>
  <c r="AJ83" i="8"/>
  <c r="H39" i="8"/>
  <c r="AB39" i="8"/>
  <c r="AP110" i="8"/>
  <c r="AV59" i="8"/>
  <c r="G63" i="8"/>
  <c r="G65" i="8"/>
  <c r="AD115" i="8"/>
  <c r="Q64" i="8"/>
  <c r="Q65" i="8"/>
  <c r="Q86" i="8"/>
  <c r="V64" i="8"/>
  <c r="AK67" i="8"/>
  <c r="AK69" i="8"/>
  <c r="AI75" i="8"/>
  <c r="AI77" i="8"/>
  <c r="AK71" i="8"/>
  <c r="AB77" i="8"/>
  <c r="AB79" i="8" s="1"/>
  <c r="AB80" i="8" s="1"/>
  <c r="AJ77" i="8"/>
  <c r="AB82" i="8"/>
  <c r="AB84" i="8" s="1"/>
  <c r="AD109" i="8"/>
  <c r="AD84" i="8"/>
  <c r="Z89" i="8"/>
  <c r="AP88" i="8"/>
  <c r="L68" i="8"/>
  <c r="AF68" i="8"/>
  <c r="AQ69" i="8"/>
  <c r="AF71" i="8"/>
  <c r="AF75" i="8"/>
  <c r="AK72" i="8"/>
  <c r="AD77" i="8"/>
  <c r="Q84" i="8"/>
  <c r="Z109" i="8"/>
  <c r="Z84" i="8"/>
  <c r="V89" i="8"/>
  <c r="W88" i="8"/>
  <c r="AG89" i="8"/>
  <c r="AM89" i="8"/>
  <c r="O103" i="8"/>
  <c r="O102" i="8"/>
  <c r="V109" i="8"/>
  <c r="N84" i="8"/>
  <c r="V84" i="8"/>
  <c r="AH89" i="8"/>
  <c r="K103" i="8"/>
  <c r="K102" i="8"/>
  <c r="I101" i="8"/>
  <c r="O84" i="8"/>
  <c r="S84" i="8"/>
  <c r="X109" i="8"/>
  <c r="AC84" i="8"/>
  <c r="AH109" i="8"/>
  <c r="AH84" i="8"/>
  <c r="AD89" i="8"/>
  <c r="G103" i="8"/>
  <c r="G102" i="8"/>
  <c r="AB109" i="8"/>
  <c r="AA109" i="8"/>
  <c r="AE109" i="8"/>
  <c r="AM109" i="8"/>
  <c r="U84" i="8"/>
  <c r="Y84" i="8"/>
  <c r="U89" i="8"/>
  <c r="Y89" i="8"/>
  <c r="AC89" i="8"/>
  <c r="AK89" i="8"/>
  <c r="AO89" i="8"/>
  <c r="R95" i="8"/>
  <c r="R101" i="8" s="1"/>
  <c r="H96" i="8"/>
  <c r="H103" i="8" s="1"/>
  <c r="H102" i="8"/>
  <c r="E102" i="8"/>
  <c r="L103" i="8"/>
  <c r="AL109" i="8"/>
  <c r="T109" i="8"/>
  <c r="AB88" i="8"/>
  <c r="M96" i="8"/>
  <c r="M102" i="8"/>
  <c r="I102" i="8"/>
  <c r="P103" i="8"/>
  <c r="AC109" i="8"/>
  <c r="AK109" i="8"/>
  <c r="AO109" i="8"/>
  <c r="AA84" i="8"/>
  <c r="AE84" i="8"/>
  <c r="H95" i="8"/>
  <c r="H101" i="8"/>
  <c r="F103" i="8"/>
  <c r="F102" i="8"/>
  <c r="J103" i="8"/>
  <c r="J102" i="8"/>
  <c r="N103" i="8"/>
  <c r="N102" i="8"/>
  <c r="R96" i="8"/>
  <c r="R102" i="8" s="1"/>
  <c r="R103" i="8"/>
  <c r="D103" i="8"/>
  <c r="AG109" i="8"/>
  <c r="AQ110" i="8"/>
  <c r="AA104" i="8"/>
  <c r="AO16" i="3"/>
  <c r="AP16" i="3"/>
  <c r="X105" i="8"/>
  <c r="BA105" i="8"/>
  <c r="W110" i="8"/>
  <c r="H75" i="9"/>
  <c r="I74" i="9"/>
  <c r="AZ55" i="3"/>
  <c r="AI46" i="8"/>
  <c r="AI53" i="8" s="1"/>
  <c r="BJ36" i="3"/>
  <c r="G77" i="8"/>
  <c r="W77" i="8"/>
  <c r="W79" i="8" s="1"/>
  <c r="W80" i="8" s="1"/>
  <c r="AO77" i="8"/>
  <c r="AZ9" i="7"/>
  <c r="AZ18" i="7" s="1"/>
  <c r="AN40" i="8"/>
  <c r="AN45" i="8" s="1"/>
  <c r="AN46" i="8" s="1"/>
  <c r="AN53" i="8" s="1"/>
  <c r="AM45" i="8"/>
  <c r="BO48" i="6"/>
  <c r="BT67" i="4"/>
  <c r="W26" i="8"/>
  <c r="BF9" i="7"/>
  <c r="BE115" i="3"/>
  <c r="BE120" i="3"/>
  <c r="AK75" i="8"/>
  <c r="AE54" i="8"/>
  <c r="U77" i="8"/>
  <c r="U79" i="8" s="1"/>
  <c r="V78" i="8" s="1"/>
  <c r="V79" i="8" s="1"/>
  <c r="AA75" i="8"/>
  <c r="AJ102" i="8"/>
  <c r="AZ64" i="3"/>
  <c r="Y101" i="3"/>
  <c r="U101" i="3"/>
  <c r="AK65" i="3"/>
  <c r="AF65" i="3"/>
  <c r="BU11" i="3"/>
  <c r="BQ11" i="3"/>
  <c r="BL11" i="3"/>
  <c r="BV11" i="3"/>
  <c r="CB11" i="3"/>
  <c r="BS11" i="3"/>
  <c r="BX11" i="3"/>
  <c r="BK11" i="3"/>
  <c r="AI79" i="8"/>
  <c r="AH80" i="8"/>
  <c r="G63" i="9"/>
  <c r="BF105" i="8"/>
  <c r="BA59" i="8"/>
  <c r="BO81" i="7"/>
  <c r="AQ109" i="8"/>
  <c r="AB104" i="8"/>
  <c r="W105" i="8"/>
  <c r="AB89" i="8"/>
  <c r="W89" i="8"/>
  <c r="M103" i="8"/>
  <c r="AF69" i="8"/>
  <c r="BE36" i="3"/>
  <c r="V75" i="8"/>
  <c r="AM39" i="8"/>
  <c r="AM46" i="8" s="1"/>
  <c r="AM53" i="8" s="1"/>
  <c r="CC108" i="6"/>
  <c r="CC147" i="4"/>
  <c r="AK104" i="6"/>
  <c r="AK138" i="4"/>
  <c r="AK105" i="6" s="1"/>
  <c r="D35" i="9"/>
  <c r="AZ60" i="7"/>
  <c r="AZ100" i="6"/>
  <c r="AZ136" i="4"/>
  <c r="AZ103" i="6" s="1"/>
  <c r="BB86" i="6"/>
  <c r="BB26" i="5"/>
  <c r="AY121" i="4"/>
  <c r="BO72" i="6"/>
  <c r="BT97" i="4"/>
  <c r="F17" i="9"/>
  <c r="F18" i="9" s="1"/>
  <c r="BJ14" i="7"/>
  <c r="BJ59" i="6"/>
  <c r="BJ82" i="4"/>
  <c r="BJ60" i="6" s="1"/>
  <c r="BO49" i="6"/>
  <c r="BT69" i="4"/>
  <c r="BO47" i="6"/>
  <c r="BT65" i="4"/>
  <c r="BO33" i="6"/>
  <c r="BO53" i="4"/>
  <c r="BT47" i="4"/>
  <c r="BI33" i="7"/>
  <c r="BI35" i="7" s="1"/>
  <c r="BI19" i="6"/>
  <c r="BI115" i="4"/>
  <c r="BI28" i="4"/>
  <c r="BI20" i="6" s="1"/>
  <c r="BO11" i="6"/>
  <c r="BT11" i="4"/>
  <c r="BP108" i="6"/>
  <c r="BP147" i="4"/>
  <c r="BP10" i="3"/>
  <c r="BC99" i="6"/>
  <c r="BC131" i="4"/>
  <c r="E29" i="9"/>
  <c r="AX82" i="6"/>
  <c r="AX116" i="4"/>
  <c r="AX83" i="6"/>
  <c r="AX121" i="4"/>
  <c r="BO76" i="6"/>
  <c r="BO106" i="4"/>
  <c r="BO73" i="6"/>
  <c r="BT99" i="4"/>
  <c r="D15" i="9"/>
  <c r="E16" i="9" s="1"/>
  <c r="AZ51" i="6"/>
  <c r="AZ41" i="7"/>
  <c r="BY26" i="6"/>
  <c r="BS108" i="6"/>
  <c r="BS147" i="4"/>
  <c r="BS156" i="4"/>
  <c r="BS10" i="3"/>
  <c r="BB79" i="6"/>
  <c r="BE111" i="4"/>
  <c r="BE79" i="6" s="1"/>
  <c r="F9" i="9"/>
  <c r="F10" i="9"/>
  <c r="BJ11" i="7"/>
  <c r="BJ36" i="6"/>
  <c r="BJ54" i="4"/>
  <c r="BJ37" i="6"/>
  <c r="BF41" i="7"/>
  <c r="BF51" i="6"/>
  <c r="BF74" i="4"/>
  <c r="BF52" i="6" s="1"/>
  <c r="BE50" i="6"/>
  <c r="BE72" i="4"/>
  <c r="BF33" i="7"/>
  <c r="BF35" i="7" s="1"/>
  <c r="BF19" i="6"/>
  <c r="BF115" i="4"/>
  <c r="BF28" i="4"/>
  <c r="BF20" i="6" s="1"/>
  <c r="BE74" i="4"/>
  <c r="BE52" i="6"/>
  <c r="E56" i="9"/>
  <c r="BE117" i="3"/>
  <c r="BE54" i="3"/>
  <c r="BE64" i="3"/>
  <c r="AN20" i="3"/>
  <c r="AN53" i="3"/>
  <c r="AH103" i="8"/>
  <c r="AH102" i="8"/>
  <c r="AL96" i="8"/>
  <c r="C56" i="3"/>
  <c r="G19" i="3"/>
  <c r="C26" i="3"/>
  <c r="K56" i="3"/>
  <c r="K66" i="3"/>
  <c r="K20" i="3"/>
  <c r="K26" i="3"/>
  <c r="AA54" i="3"/>
  <c r="AA64" i="3"/>
  <c r="AQ53" i="3"/>
  <c r="AQ20" i="3"/>
  <c r="AQ63" i="3"/>
  <c r="AA53" i="3"/>
  <c r="AC102" i="8"/>
  <c r="AG96" i="8"/>
  <c r="N56" i="3"/>
  <c r="N20" i="3"/>
  <c r="N26" i="3"/>
  <c r="N66" i="3"/>
  <c r="AF102" i="8"/>
  <c r="AF103" i="8"/>
  <c r="Z66" i="3"/>
  <c r="Z20" i="3"/>
  <c r="Z56" i="3"/>
  <c r="Z96" i="3"/>
  <c r="L87" i="8"/>
  <c r="Z26" i="3"/>
  <c r="Y26" i="3"/>
  <c r="Y56" i="3"/>
  <c r="Y96" i="3"/>
  <c r="Y66" i="3"/>
  <c r="Y20" i="3"/>
  <c r="AS63" i="3"/>
  <c r="AS53" i="3"/>
  <c r="AQ96" i="8"/>
  <c r="AH53" i="3"/>
  <c r="AH20" i="3"/>
  <c r="AH63" i="3"/>
  <c r="D58" i="3"/>
  <c r="D57" i="3"/>
  <c r="D32" i="3"/>
  <c r="P66" i="3"/>
  <c r="BJ65" i="5"/>
  <c r="AK121" i="8"/>
  <c r="AT40" i="8"/>
  <c r="BU108" i="6"/>
  <c r="BU147" i="4"/>
  <c r="BU10" i="3"/>
  <c r="BE103" i="6"/>
  <c r="AU60" i="7"/>
  <c r="AU100" i="6"/>
  <c r="AU137" i="4"/>
  <c r="AU136" i="4"/>
  <c r="AU103" i="6" s="1"/>
  <c r="BA95" i="6"/>
  <c r="BA127" i="4"/>
  <c r="AP58" i="7"/>
  <c r="AP92" i="6"/>
  <c r="AP128" i="4"/>
  <c r="AP95" i="6"/>
  <c r="BF80" i="6"/>
  <c r="BF25" i="7"/>
  <c r="BJ71" i="6"/>
  <c r="G19" i="9"/>
  <c r="G20" i="9"/>
  <c r="BT84" i="4"/>
  <c r="BO57" i="6"/>
  <c r="BH50" i="6"/>
  <c r="BH73" i="4"/>
  <c r="G11" i="9"/>
  <c r="G12" i="9" s="1"/>
  <c r="BO12" i="7"/>
  <c r="BO39" i="6"/>
  <c r="BT56" i="4"/>
  <c r="BL108" i="6"/>
  <c r="BL147" i="4"/>
  <c r="BL156" i="4"/>
  <c r="BL10" i="3"/>
  <c r="AP60" i="7"/>
  <c r="AP100" i="6"/>
  <c r="BF64" i="7"/>
  <c r="BI25" i="7"/>
  <c r="BI80" i="6"/>
  <c r="BO79" i="6"/>
  <c r="BT111" i="4"/>
  <c r="CC105" i="4"/>
  <c r="CC76" i="6" s="1"/>
  <c r="BT16" i="7"/>
  <c r="BT65" i="6"/>
  <c r="BG50" i="6"/>
  <c r="BG73" i="4"/>
  <c r="BO46" i="6"/>
  <c r="BT63" i="4"/>
  <c r="BK10" i="3"/>
  <c r="BE57" i="7"/>
  <c r="BE57" i="6"/>
  <c r="BV108" i="6"/>
  <c r="BV147" i="4"/>
  <c r="BV156" i="4"/>
  <c r="BV10" i="3"/>
  <c r="BG25" i="7"/>
  <c r="BG80" i="6"/>
  <c r="BO69" i="6"/>
  <c r="BT91" i="4"/>
  <c r="BO95" i="4"/>
  <c r="BE9" i="7"/>
  <c r="BE18" i="7"/>
  <c r="AU121" i="4"/>
  <c r="BD20" i="3"/>
  <c r="BD63" i="3"/>
  <c r="BD53" i="3"/>
  <c r="AJ20" i="3"/>
  <c r="AJ63" i="3"/>
  <c r="AJ53" i="3"/>
  <c r="AP28" i="8"/>
  <c r="AP14" i="8"/>
  <c r="AQ95" i="8"/>
  <c r="AQ101" i="8" s="1"/>
  <c r="BE49" i="3"/>
  <c r="BE46" i="3"/>
  <c r="BE62" i="3"/>
  <c r="AP12" i="3"/>
  <c r="W56" i="3"/>
  <c r="W96" i="3"/>
  <c r="W66" i="3"/>
  <c r="W20" i="3"/>
  <c r="AA19" i="3"/>
  <c r="W26" i="3"/>
  <c r="V64" i="3"/>
  <c r="V54" i="3"/>
  <c r="AM53" i="3"/>
  <c r="AM63" i="3"/>
  <c r="AM20" i="3"/>
  <c r="AK103" i="8"/>
  <c r="AK102" i="8"/>
  <c r="BB53" i="3"/>
  <c r="J66" i="3"/>
  <c r="J20" i="3"/>
  <c r="J56" i="3"/>
  <c r="J26" i="3"/>
  <c r="U26" i="3"/>
  <c r="U56" i="3"/>
  <c r="U66" i="3"/>
  <c r="U20" i="3"/>
  <c r="AP64" i="3"/>
  <c r="AP54" i="3"/>
  <c r="AO63" i="3"/>
  <c r="AO20" i="3"/>
  <c r="AO53" i="3"/>
  <c r="V53" i="3"/>
  <c r="V101" i="3" s="1"/>
  <c r="N87" i="8"/>
  <c r="V19" i="3"/>
  <c r="AQ88" i="8"/>
  <c r="AQ83" i="8"/>
  <c r="AR35" i="8"/>
  <c r="AA105" i="8"/>
  <c r="AJ84" i="8"/>
  <c r="AM78" i="8"/>
  <c r="AC80" i="8"/>
  <c r="AD78" i="8"/>
  <c r="F67" i="9"/>
  <c r="AV69" i="8"/>
  <c r="BA67" i="8"/>
  <c r="AI84" i="8"/>
  <c r="AN39" i="8"/>
  <c r="AG77" i="8"/>
  <c r="AB46" i="8"/>
  <c r="AB53" i="8" s="1"/>
  <c r="BQ108" i="6"/>
  <c r="BQ147" i="4"/>
  <c r="BQ156" i="4"/>
  <c r="BQ10" i="3"/>
  <c r="BE104" i="6"/>
  <c r="BE151" i="4"/>
  <c r="BE152" i="4"/>
  <c r="BA103" i="6"/>
  <c r="BA135" i="4"/>
  <c r="BA88" i="6"/>
  <c r="BA142" i="4"/>
  <c r="BA122" i="4"/>
  <c r="BA89" i="6"/>
  <c r="BA148" i="4"/>
  <c r="BA149" i="4" s="1"/>
  <c r="BZ75" i="6"/>
  <c r="BZ105" i="4"/>
  <c r="BZ76" i="6" s="1"/>
  <c r="BI41" i="7"/>
  <c r="BI51" i="6"/>
  <c r="BI74" i="4"/>
  <c r="BI52" i="6" s="1"/>
  <c r="G13" i="9"/>
  <c r="G14" i="9" s="1"/>
  <c r="BO13" i="7"/>
  <c r="BO42" i="6"/>
  <c r="BT59" i="4"/>
  <c r="BE35" i="6"/>
  <c r="BO25" i="6"/>
  <c r="BT35" i="4"/>
  <c r="BT25" i="6" s="1"/>
  <c r="BH18" i="6"/>
  <c r="CB147" i="4"/>
  <c r="CB156" i="4"/>
  <c r="CB10" i="3"/>
  <c r="BA98" i="6"/>
  <c r="BA49" i="5"/>
  <c r="BE131" i="4"/>
  <c r="BD88" i="6"/>
  <c r="BD142" i="4"/>
  <c r="BD122" i="4"/>
  <c r="BD89" i="6" s="1"/>
  <c r="BD148" i="4"/>
  <c r="BD149" i="4"/>
  <c r="AX87" i="6"/>
  <c r="AX119" i="4"/>
  <c r="AX86" i="6" s="1"/>
  <c r="BT74" i="6"/>
  <c r="BY101" i="4"/>
  <c r="AY50" i="6"/>
  <c r="AY72" i="4"/>
  <c r="BO24" i="6"/>
  <c r="BT33" i="4"/>
  <c r="BT24" i="6" s="1"/>
  <c r="BG18" i="6"/>
  <c r="BG27" i="4"/>
  <c r="CA108" i="6"/>
  <c r="CA147" i="4"/>
  <c r="CA156" i="4" s="1"/>
  <c r="CA10" i="3"/>
  <c r="BC103" i="6"/>
  <c r="BC135" i="4"/>
  <c r="E37" i="9"/>
  <c r="BJ71" i="4"/>
  <c r="BR108" i="6"/>
  <c r="BR147" i="4"/>
  <c r="BR156" i="4" s="1"/>
  <c r="BR10" i="3"/>
  <c r="AP138" i="4"/>
  <c r="AP105" i="6"/>
  <c r="E36" i="9"/>
  <c r="BB88" i="6"/>
  <c r="BB122" i="4"/>
  <c r="BB89" i="6" s="1"/>
  <c r="BB148" i="4"/>
  <c r="BB149" i="4"/>
  <c r="BB142" i="4"/>
  <c r="CA75" i="6"/>
  <c r="CA105" i="4"/>
  <c r="CA76" i="6"/>
  <c r="E10" i="9"/>
  <c r="E8" i="9"/>
  <c r="BE18" i="6"/>
  <c r="BE26" i="4"/>
  <c r="AS88" i="6"/>
  <c r="AS142" i="4"/>
  <c r="AS148" i="4"/>
  <c r="AS149" i="4"/>
  <c r="AV20" i="3"/>
  <c r="AV63" i="3"/>
  <c r="AV53" i="3"/>
  <c r="AF53" i="3"/>
  <c r="D54" i="9"/>
  <c r="AD103" i="8"/>
  <c r="AD102" i="8"/>
  <c r="AZ12" i="3"/>
  <c r="AN102" i="8"/>
  <c r="AN103" i="8"/>
  <c r="BD127" i="4"/>
  <c r="BD94" i="6" s="1"/>
  <c r="BL120" i="3"/>
  <c r="S56" i="3"/>
  <c r="S66" i="3"/>
  <c r="S20" i="3"/>
  <c r="S26" i="3"/>
  <c r="AU55" i="3"/>
  <c r="AI53" i="3"/>
  <c r="AK62" i="3"/>
  <c r="AK12" i="3"/>
  <c r="AL53" i="3"/>
  <c r="AL20" i="3"/>
  <c r="AL63" i="3"/>
  <c r="BE88" i="6"/>
  <c r="BE142" i="4"/>
  <c r="BE148" i="4"/>
  <c r="BE149" i="4"/>
  <c r="AP65" i="3"/>
  <c r="AP55" i="3"/>
  <c r="BX120" i="3"/>
  <c r="BN120" i="3"/>
  <c r="M26" i="3"/>
  <c r="M56" i="3"/>
  <c r="M66" i="3"/>
  <c r="M20" i="3"/>
  <c r="Q19" i="3"/>
  <c r="E55" i="9"/>
  <c r="BE118" i="3"/>
  <c r="BE65" i="3"/>
  <c r="BE55" i="3"/>
  <c r="BA63" i="3"/>
  <c r="BA53" i="3"/>
  <c r="BA20" i="3"/>
  <c r="AG63" i="3"/>
  <c r="AG53" i="3"/>
  <c r="AG20" i="3"/>
  <c r="AM103" i="8"/>
  <c r="AM102" i="8"/>
  <c r="AE103" i="8"/>
  <c r="AE102" i="8"/>
  <c r="F56" i="3"/>
  <c r="F26" i="3"/>
  <c r="T31" i="3"/>
  <c r="T58" i="3"/>
  <c r="T57" i="3"/>
  <c r="H67" i="3"/>
  <c r="H31" i="3"/>
  <c r="H58" i="3"/>
  <c r="H57" i="3"/>
  <c r="X67" i="3"/>
  <c r="X31" i="3"/>
  <c r="X58" i="3"/>
  <c r="X57" i="3"/>
  <c r="AB31" i="3"/>
  <c r="AB57" i="3"/>
  <c r="P67" i="3"/>
  <c r="P31" i="3"/>
  <c r="P58" i="3"/>
  <c r="P57" i="3"/>
  <c r="R58" i="3"/>
  <c r="R57" i="3"/>
  <c r="R31" i="3"/>
  <c r="V26" i="3"/>
  <c r="AB105" i="8"/>
  <c r="AP36" i="3" s="1"/>
  <c r="J74" i="9"/>
  <c r="I75" i="9"/>
  <c r="AD79" i="8"/>
  <c r="AD121" i="8"/>
  <c r="AD126" i="8" s="1"/>
  <c r="AD118" i="8"/>
  <c r="AJ89" i="8"/>
  <c r="AM25" i="8"/>
  <c r="AM26" i="8" s="1"/>
  <c r="AM54" i="8" s="1"/>
  <c r="AN19" i="8"/>
  <c r="D63" i="9"/>
  <c r="AZ81" i="7"/>
  <c r="AZ36" i="3"/>
  <c r="Q77" i="8"/>
  <c r="R77" i="8" s="1"/>
  <c r="AI89" i="8"/>
  <c r="Y78" i="8"/>
  <c r="X80" i="8"/>
  <c r="V65" i="8"/>
  <c r="V86" i="8"/>
  <c r="X115" i="8" s="1"/>
  <c r="AI118" i="8"/>
  <c r="AS42" i="8"/>
  <c r="AP121" i="8"/>
  <c r="AP123" i="8"/>
  <c r="AP118" i="8"/>
  <c r="H46" i="8"/>
  <c r="H53" i="8" s="1"/>
  <c r="AJ121" i="8"/>
  <c r="AJ118" i="8"/>
  <c r="AL46" i="8"/>
  <c r="BM108" i="6"/>
  <c r="BM147" i="4"/>
  <c r="BM156" i="4"/>
  <c r="BM10" i="3"/>
  <c r="BM49" i="3" s="1"/>
  <c r="AS104" i="6"/>
  <c r="AS151" i="4"/>
  <c r="AS152" i="4"/>
  <c r="AS138" i="4"/>
  <c r="AS105" i="6" s="1"/>
  <c r="AW88" i="6"/>
  <c r="AW142" i="4"/>
  <c r="AW122" i="4"/>
  <c r="AW89" i="6" s="1"/>
  <c r="AW148" i="4"/>
  <c r="AW149" i="4"/>
  <c r="BC87" i="6"/>
  <c r="BC119" i="4"/>
  <c r="BY78" i="6"/>
  <c r="CD109" i="4"/>
  <c r="BO70" i="6"/>
  <c r="BT93" i="4"/>
  <c r="BH9" i="7"/>
  <c r="E25" i="9"/>
  <c r="E6" i="9"/>
  <c r="BX108" i="6"/>
  <c r="BX147" i="4"/>
  <c r="BX156" i="4"/>
  <c r="BX10" i="3"/>
  <c r="AV104" i="6"/>
  <c r="AV151" i="4"/>
  <c r="AV152" i="4"/>
  <c r="AV138" i="4"/>
  <c r="AV105" i="6" s="1"/>
  <c r="BD103" i="6"/>
  <c r="BD135" i="4"/>
  <c r="BD102" i="6"/>
  <c r="F31" i="9"/>
  <c r="BJ58" i="7"/>
  <c r="BJ92" i="6"/>
  <c r="BO125" i="4"/>
  <c r="BJ128" i="4"/>
  <c r="AV88" i="6"/>
  <c r="AV142" i="4"/>
  <c r="AV122" i="4"/>
  <c r="AV89" i="6" s="1"/>
  <c r="AV148" i="4"/>
  <c r="AV149" i="4"/>
  <c r="BA86" i="6"/>
  <c r="BA26" i="5"/>
  <c r="BE119" i="4"/>
  <c r="BE86" i="6" s="1"/>
  <c r="BT35" i="6"/>
  <c r="BY51" i="4"/>
  <c r="BO43" i="4"/>
  <c r="BO28" i="6"/>
  <c r="BT41" i="4"/>
  <c r="BT28" i="6" s="1"/>
  <c r="BO12" i="6"/>
  <c r="BT13" i="4"/>
  <c r="BW108" i="6"/>
  <c r="BW147" i="4"/>
  <c r="BW156" i="4" s="1"/>
  <c r="BW10" i="3"/>
  <c r="AY103" i="6"/>
  <c r="AY135" i="4"/>
  <c r="AY102" i="6" s="1"/>
  <c r="BC88" i="6"/>
  <c r="BC148" i="4"/>
  <c r="BC149" i="4" s="1"/>
  <c r="BC142" i="4"/>
  <c r="BH25" i="7"/>
  <c r="BH80" i="6"/>
  <c r="F7" i="9"/>
  <c r="F8" i="9"/>
  <c r="BJ10" i="7"/>
  <c r="BJ29" i="6"/>
  <c r="BJ44" i="4"/>
  <c r="BJ30" i="6"/>
  <c r="BJ25" i="4"/>
  <c r="BA25" i="5"/>
  <c r="BN108" i="6"/>
  <c r="BN147" i="4"/>
  <c r="BN156" i="4" s="1"/>
  <c r="BN10" i="3"/>
  <c r="BH57" i="7"/>
  <c r="AU58" i="7"/>
  <c r="AU92" i="6"/>
  <c r="AU128" i="4"/>
  <c r="AU95" i="6"/>
  <c r="BO77" i="6"/>
  <c r="BT107" i="4"/>
  <c r="BO75" i="6"/>
  <c r="BT103" i="4"/>
  <c r="BJ80" i="4"/>
  <c r="BJ58" i="6" s="1"/>
  <c r="BI9" i="7"/>
  <c r="AX138" i="4"/>
  <c r="AX105" i="6"/>
  <c r="V65" i="3"/>
  <c r="V55" i="3"/>
  <c r="AR20" i="3"/>
  <c r="AR63" i="3"/>
  <c r="AR53" i="3"/>
  <c r="L63" i="3"/>
  <c r="L53" i="3"/>
  <c r="Q101" i="3" s="1"/>
  <c r="L101" i="3"/>
  <c r="O56" i="3"/>
  <c r="O66" i="3"/>
  <c r="O20" i="3"/>
  <c r="O26" i="3"/>
  <c r="T67" i="3" s="1"/>
  <c r="AF64" i="3"/>
  <c r="AF54" i="3"/>
  <c r="AY53" i="3"/>
  <c r="AY20" i="3"/>
  <c r="AE53" i="3"/>
  <c r="AE101" i="3" s="1"/>
  <c r="AE20" i="3"/>
  <c r="AE63" i="3"/>
  <c r="AO103" i="8"/>
  <c r="AO102" i="8"/>
  <c r="AD56" i="3"/>
  <c r="AD96" i="3"/>
  <c r="P87" i="8"/>
  <c r="AD26" i="3"/>
  <c r="AD66" i="3"/>
  <c r="AD20" i="3"/>
  <c r="BC94" i="6"/>
  <c r="BC39" i="5"/>
  <c r="AZ115" i="4"/>
  <c r="AZ82" i="6" s="1"/>
  <c r="AU64" i="3"/>
  <c r="AC26" i="3"/>
  <c r="AC56" i="3"/>
  <c r="AC96" i="3"/>
  <c r="O87" i="8"/>
  <c r="AC66" i="3"/>
  <c r="AC20" i="3"/>
  <c r="AF20" i="3" s="1"/>
  <c r="AF56" i="3" s="1"/>
  <c r="I26" i="3"/>
  <c r="I56" i="3"/>
  <c r="I66" i="3"/>
  <c r="I20" i="3"/>
  <c r="AA65" i="3"/>
  <c r="AA55" i="3"/>
  <c r="AW63" i="3"/>
  <c r="AW53" i="3"/>
  <c r="AW20" i="3"/>
  <c r="Q63" i="3"/>
  <c r="Q53" i="3"/>
  <c r="AX53" i="3"/>
  <c r="AX63" i="3"/>
  <c r="AX20" i="3"/>
  <c r="AZ54" i="3"/>
  <c r="E58" i="3"/>
  <c r="E57" i="3"/>
  <c r="E32" i="3"/>
  <c r="L19" i="3"/>
  <c r="AK54" i="3"/>
  <c r="W101" i="3"/>
  <c r="AB58" i="3"/>
  <c r="BT48" i="6"/>
  <c r="BY67" i="4"/>
  <c r="BJ9" i="7"/>
  <c r="AJ78" i="8"/>
  <c r="AJ79" i="8"/>
  <c r="AI80" i="8"/>
  <c r="AZ121" i="4"/>
  <c r="AE56" i="3"/>
  <c r="AE96" i="3"/>
  <c r="AE66" i="3"/>
  <c r="AE26" i="3"/>
  <c r="AR96" i="3"/>
  <c r="AD87" i="8"/>
  <c r="AR56" i="3"/>
  <c r="BC108" i="6"/>
  <c r="BC147" i="4"/>
  <c r="BC156" i="4" s="1"/>
  <c r="BY41" i="4"/>
  <c r="G31" i="9"/>
  <c r="BO58" i="7"/>
  <c r="BO92" i="6"/>
  <c r="BT125" i="4"/>
  <c r="BT70" i="6"/>
  <c r="BY93" i="4"/>
  <c r="AT42" i="8"/>
  <c r="AT45" i="8" s="1"/>
  <c r="K74" i="9"/>
  <c r="J75" i="9"/>
  <c r="D97" i="8"/>
  <c r="R35" i="3"/>
  <c r="R59" i="3"/>
  <c r="R32" i="3"/>
  <c r="H35" i="3"/>
  <c r="H59" i="3"/>
  <c r="H32" i="3"/>
  <c r="F97" i="8"/>
  <c r="T35" i="3"/>
  <c r="T59" i="3"/>
  <c r="T32" i="3"/>
  <c r="BA26" i="3"/>
  <c r="BA66" i="3"/>
  <c r="BC102" i="6"/>
  <c r="BC68" i="5"/>
  <c r="CA46" i="3"/>
  <c r="CA49" i="3"/>
  <c r="BG33" i="7"/>
  <c r="BG35" i="7"/>
  <c r="BG19" i="6"/>
  <c r="BG115" i="4"/>
  <c r="BG28" i="4"/>
  <c r="BG20" i="6"/>
  <c r="G67" i="9"/>
  <c r="BA69" i="8"/>
  <c r="BF67" i="8"/>
  <c r="AR88" i="8"/>
  <c r="AR83" i="8"/>
  <c r="AS35" i="8"/>
  <c r="AP53" i="3"/>
  <c r="AQ28" i="8"/>
  <c r="AP39" i="8"/>
  <c r="AP46" i="8" s="1"/>
  <c r="BO71" i="6"/>
  <c r="BO96" i="4"/>
  <c r="BO113" i="4"/>
  <c r="BE64" i="7"/>
  <c r="BE66" i="7" s="1"/>
  <c r="BE72" i="7"/>
  <c r="BE74" i="7"/>
  <c r="BT57" i="6"/>
  <c r="BY79" i="4"/>
  <c r="BE127" i="4"/>
  <c r="AU40" i="8"/>
  <c r="AK123" i="8"/>
  <c r="AK126" i="8"/>
  <c r="AH56" i="3"/>
  <c r="AH66" i="3"/>
  <c r="AH96" i="3"/>
  <c r="T87" i="8"/>
  <c r="AH26" i="3"/>
  <c r="Y67" i="3"/>
  <c r="Y31" i="3"/>
  <c r="Y57" i="3"/>
  <c r="Y102" i="3" s="1"/>
  <c r="Y58" i="3"/>
  <c r="AQ56" i="3"/>
  <c r="AQ96" i="3"/>
  <c r="AC87" i="8" s="1"/>
  <c r="AQ66" i="3"/>
  <c r="AQ26" i="3"/>
  <c r="K58" i="3"/>
  <c r="K57" i="3"/>
  <c r="K67" i="3"/>
  <c r="K31" i="3"/>
  <c r="P68" i="3" s="1"/>
  <c r="C58" i="3"/>
  <c r="C57" i="3"/>
  <c r="C32" i="3"/>
  <c r="G26" i="3"/>
  <c r="BT47" i="6"/>
  <c r="BY65" i="4"/>
  <c r="AY88" i="6"/>
  <c r="AY148" i="4"/>
  <c r="AY149" i="4" s="1"/>
  <c r="AY142" i="4"/>
  <c r="BD143" i="4" s="1"/>
  <c r="BD109" i="6" s="1"/>
  <c r="AY122" i="4"/>
  <c r="AY89" i="6" s="1"/>
  <c r="BT77" i="6"/>
  <c r="BY107" i="4"/>
  <c r="BT12" i="6"/>
  <c r="BY13" i="4"/>
  <c r="AV147" i="4"/>
  <c r="AV156" i="4" s="1"/>
  <c r="AS110" i="8"/>
  <c r="AE78" i="8"/>
  <c r="AE79" i="8"/>
  <c r="AD80" i="8"/>
  <c r="H102" i="3"/>
  <c r="AG26" i="3"/>
  <c r="AG56" i="3"/>
  <c r="AG96" i="3"/>
  <c r="AG66" i="3"/>
  <c r="BJ50" i="6"/>
  <c r="BO71" i="4"/>
  <c r="BJ72" i="4"/>
  <c r="BJ73" i="4"/>
  <c r="BD108" i="6"/>
  <c r="BD147" i="4"/>
  <c r="BD156" i="4" s="1"/>
  <c r="BA102" i="6"/>
  <c r="BA68" i="5"/>
  <c r="BE135" i="4"/>
  <c r="V56" i="3"/>
  <c r="V66" i="3"/>
  <c r="V20" i="3"/>
  <c r="V96" i="3"/>
  <c r="H87" i="8" s="1"/>
  <c r="BT69" i="6"/>
  <c r="BY91" i="4"/>
  <c r="BT95" i="4"/>
  <c r="BG41" i="7"/>
  <c r="BG51" i="6"/>
  <c r="BG74" i="4"/>
  <c r="BG52" i="6" s="1"/>
  <c r="H11" i="9"/>
  <c r="H12" i="9"/>
  <c r="BT12" i="7"/>
  <c r="BT39" i="6"/>
  <c r="BY56" i="4"/>
  <c r="BH41" i="7"/>
  <c r="AS45" i="8"/>
  <c r="AS26" i="3"/>
  <c r="AS56" i="3"/>
  <c r="AS96" i="3"/>
  <c r="AE87" i="8"/>
  <c r="AS66" i="3"/>
  <c r="Z58" i="3"/>
  <c r="Z57" i="3"/>
  <c r="Z67" i="3"/>
  <c r="Z31" i="3"/>
  <c r="N67" i="3"/>
  <c r="G56" i="3"/>
  <c r="G20" i="3"/>
  <c r="BT33" i="6"/>
  <c r="BT53" i="4"/>
  <c r="BY47" i="4"/>
  <c r="AX56" i="3"/>
  <c r="AX96" i="3"/>
  <c r="AJ87" i="8" s="1"/>
  <c r="AX26" i="3"/>
  <c r="AX66" i="3"/>
  <c r="L66" i="3"/>
  <c r="L20" i="3"/>
  <c r="L56" i="3"/>
  <c r="AC67" i="3"/>
  <c r="AC31" i="3"/>
  <c r="AC58" i="3"/>
  <c r="AC57" i="3"/>
  <c r="AC102" i="3"/>
  <c r="AD58" i="3"/>
  <c r="AD57" i="3"/>
  <c r="AD67" i="3"/>
  <c r="AD31" i="3"/>
  <c r="BT75" i="6"/>
  <c r="BY103" i="4"/>
  <c r="BH64" i="7"/>
  <c r="BH72" i="7"/>
  <c r="BW49" i="3"/>
  <c r="BW46" i="3"/>
  <c r="G7" i="9"/>
  <c r="G8" i="9"/>
  <c r="BO10" i="7"/>
  <c r="BO29" i="6"/>
  <c r="BO44" i="4"/>
  <c r="BO30" i="6"/>
  <c r="BC86" i="6"/>
  <c r="BC26" i="5"/>
  <c r="AW108" i="6"/>
  <c r="AW147" i="4"/>
  <c r="AW156" i="4"/>
  <c r="AJ126" i="8"/>
  <c r="AJ123" i="8"/>
  <c r="AN25" i="8"/>
  <c r="AN26" i="8" s="1"/>
  <c r="AO19" i="8"/>
  <c r="P59" i="3"/>
  <c r="P32" i="3"/>
  <c r="P35" i="3"/>
  <c r="N97" i="8"/>
  <c r="AB37" i="3"/>
  <c r="AB38" i="3"/>
  <c r="AB35" i="3"/>
  <c r="AB59" i="3"/>
  <c r="AB32" i="3"/>
  <c r="X35" i="3"/>
  <c r="X32" i="3"/>
  <c r="AL56" i="3"/>
  <c r="AL96" i="3"/>
  <c r="AL66" i="3"/>
  <c r="AL26" i="3"/>
  <c r="S58" i="3"/>
  <c r="S57" i="3"/>
  <c r="S67" i="3"/>
  <c r="S31" i="3"/>
  <c r="AZ20" i="3"/>
  <c r="AZ53" i="3"/>
  <c r="AS108" i="6"/>
  <c r="AS147" i="4"/>
  <c r="AS156" i="4"/>
  <c r="BR49" i="3"/>
  <c r="BR46" i="3"/>
  <c r="BY33" i="4"/>
  <c r="BY35" i="4"/>
  <c r="H13" i="9"/>
  <c r="H14" i="9"/>
  <c r="BT13" i="7"/>
  <c r="BT42" i="6"/>
  <c r="BY59" i="4"/>
  <c r="BQ49" i="3"/>
  <c r="BQ46" i="3"/>
  <c r="BA20" i="8"/>
  <c r="BF20" i="8" s="1"/>
  <c r="U67" i="3"/>
  <c r="U31" i="3"/>
  <c r="U58" i="3"/>
  <c r="U57" i="3"/>
  <c r="J58" i="3"/>
  <c r="J57" i="3"/>
  <c r="J102" i="3" s="1"/>
  <c r="J67" i="3"/>
  <c r="J31" i="3"/>
  <c r="W58" i="3"/>
  <c r="W57" i="3"/>
  <c r="W102" i="3"/>
  <c r="W67" i="3"/>
  <c r="AA26" i="3"/>
  <c r="W31" i="3"/>
  <c r="AB68" i="3"/>
  <c r="I87" i="8"/>
  <c r="BD96" i="3"/>
  <c r="AP87" i="8"/>
  <c r="BD66" i="3"/>
  <c r="BD26" i="3"/>
  <c r="BD56" i="3"/>
  <c r="BT79" i="6"/>
  <c r="BY111" i="4"/>
  <c r="BL49" i="3"/>
  <c r="BL46" i="3"/>
  <c r="H19" i="9"/>
  <c r="H20" i="9" s="1"/>
  <c r="BT62" i="6"/>
  <c r="BT15" i="7"/>
  <c r="BY84" i="4"/>
  <c r="AG103" i="8"/>
  <c r="AG102" i="8"/>
  <c r="AA101" i="3"/>
  <c r="AL102" i="8"/>
  <c r="AL103" i="8"/>
  <c r="BE121" i="3"/>
  <c r="BF82" i="6"/>
  <c r="BF116" i="4"/>
  <c r="BF83" i="6" s="1"/>
  <c r="BF121" i="4"/>
  <c r="BT73" i="6"/>
  <c r="BC98" i="6"/>
  <c r="BC49" i="5"/>
  <c r="BT11" i="6"/>
  <c r="BY11" i="4"/>
  <c r="BY11" i="6" s="1"/>
  <c r="BI82" i="6"/>
  <c r="G9" i="9"/>
  <c r="G10" i="9" s="1"/>
  <c r="BO11" i="7"/>
  <c r="BO36" i="6"/>
  <c r="BO54" i="4"/>
  <c r="BO37" i="6" s="1"/>
  <c r="BT49" i="6"/>
  <c r="BY69" i="4"/>
  <c r="BT72" i="6"/>
  <c r="BY97" i="4"/>
  <c r="H63" i="9"/>
  <c r="BT81" i="7"/>
  <c r="BK105" i="8"/>
  <c r="BF59" i="8"/>
  <c r="BT36" i="3"/>
  <c r="AR110" i="8"/>
  <c r="AF66" i="3"/>
  <c r="E59" i="3"/>
  <c r="E35" i="3"/>
  <c r="AY56" i="3"/>
  <c r="AY96" i="3"/>
  <c r="AK87" i="8" s="1"/>
  <c r="AY26" i="3"/>
  <c r="O58" i="3"/>
  <c r="O57" i="3"/>
  <c r="O31" i="3"/>
  <c r="T68" i="3" s="1"/>
  <c r="O67" i="3"/>
  <c r="BN49" i="3"/>
  <c r="BN46" i="3"/>
  <c r="BJ18" i="6"/>
  <c r="BO25" i="4"/>
  <c r="BJ26" i="4"/>
  <c r="BJ27" i="4"/>
  <c r="BJ18" i="7"/>
  <c r="BY35" i="6"/>
  <c r="CD51" i="4"/>
  <c r="CD35" i="6" s="1"/>
  <c r="BJ95" i="6"/>
  <c r="BJ126" i="4"/>
  <c r="BJ93" i="6" s="1"/>
  <c r="F32" i="9"/>
  <c r="CD78" i="6"/>
  <c r="BM46" i="3"/>
  <c r="AP126" i="8"/>
  <c r="AP72" i="8"/>
  <c r="V57" i="3"/>
  <c r="V58" i="3"/>
  <c r="F58" i="3"/>
  <c r="F57" i="3"/>
  <c r="F32" i="3"/>
  <c r="Q66" i="3"/>
  <c r="Q20" i="3"/>
  <c r="Q56" i="3"/>
  <c r="BE108" i="6"/>
  <c r="BE147" i="4"/>
  <c r="BE156" i="4" s="1"/>
  <c r="D57" i="9"/>
  <c r="BT105" i="4"/>
  <c r="BE98" i="6"/>
  <c r="BE130" i="4"/>
  <c r="BE97" i="6" s="1"/>
  <c r="BH33" i="7"/>
  <c r="BH35" i="7" s="1"/>
  <c r="BH19" i="6"/>
  <c r="BH28" i="4"/>
  <c r="BH20" i="6" s="1"/>
  <c r="BA108" i="6"/>
  <c r="BA143" i="4"/>
  <c r="BA109" i="6" s="1"/>
  <c r="BA147" i="4"/>
  <c r="BA156" i="4"/>
  <c r="P90" i="8"/>
  <c r="AO26" i="3"/>
  <c r="AO56" i="3"/>
  <c r="AO96" i="3"/>
  <c r="AA87" i="8" s="1"/>
  <c r="AA56" i="3"/>
  <c r="AA66" i="3"/>
  <c r="AA20" i="3"/>
  <c r="AJ56" i="3"/>
  <c r="BV49" i="3"/>
  <c r="BV46" i="3"/>
  <c r="BK46" i="3"/>
  <c r="BK49" i="3"/>
  <c r="BT46" i="6"/>
  <c r="BY63" i="4"/>
  <c r="AU104" i="6"/>
  <c r="AU151" i="4"/>
  <c r="AU152" i="4" s="1"/>
  <c r="AU138" i="4"/>
  <c r="AU105" i="6"/>
  <c r="BU49" i="3"/>
  <c r="BU46" i="3"/>
  <c r="D35" i="3"/>
  <c r="D59" i="3"/>
  <c r="AN26" i="3"/>
  <c r="BS49" i="3"/>
  <c r="BS46" i="3"/>
  <c r="BT43" i="4"/>
  <c r="BP49" i="3"/>
  <c r="BP46" i="3"/>
  <c r="CC49" i="3"/>
  <c r="CC46" i="3"/>
  <c r="V77" i="8"/>
  <c r="BY48" i="6"/>
  <c r="CD67" i="4"/>
  <c r="CD48" i="6" s="1"/>
  <c r="O102" i="3"/>
  <c r="AD102" i="3"/>
  <c r="AN58" i="3"/>
  <c r="BY46" i="6"/>
  <c r="CD63" i="4"/>
  <c r="AO58" i="3"/>
  <c r="AO57" i="3"/>
  <c r="AO32" i="3"/>
  <c r="F35" i="3"/>
  <c r="G35" i="3" s="1"/>
  <c r="I63" i="9"/>
  <c r="BP105" i="8"/>
  <c r="BK59" i="8"/>
  <c r="BY81" i="7"/>
  <c r="CD11" i="4"/>
  <c r="BF148" i="4"/>
  <c r="BF150" i="4" s="1"/>
  <c r="BY75" i="6"/>
  <c r="CD103" i="4"/>
  <c r="BY33" i="6"/>
  <c r="CD47" i="4"/>
  <c r="BY53" i="4"/>
  <c r="AS67" i="3"/>
  <c r="AS32" i="3"/>
  <c r="C59" i="3"/>
  <c r="C35" i="3"/>
  <c r="BY57" i="6"/>
  <c r="CD79" i="4"/>
  <c r="CD57" i="6" s="1"/>
  <c r="H68" i="3"/>
  <c r="K75" i="9"/>
  <c r="L74" i="9"/>
  <c r="BE122" i="4"/>
  <c r="BE89" i="6"/>
  <c r="BO18" i="6"/>
  <c r="BT25" i="4"/>
  <c r="BO27" i="4"/>
  <c r="BY72" i="6"/>
  <c r="CD97" i="4"/>
  <c r="CD72" i="6" s="1"/>
  <c r="I19" i="9"/>
  <c r="I20" i="9" s="1"/>
  <c r="BY62" i="6"/>
  <c r="BY15" i="7"/>
  <c r="CD84" i="4"/>
  <c r="G97" i="8"/>
  <c r="U59" i="3"/>
  <c r="U68" i="3"/>
  <c r="U35" i="3"/>
  <c r="U32" i="3"/>
  <c r="I13" i="9"/>
  <c r="I14" i="9" s="1"/>
  <c r="BY13" i="7"/>
  <c r="BY42" i="6"/>
  <c r="CD59" i="4"/>
  <c r="BY25" i="6"/>
  <c r="CD35" i="4"/>
  <c r="CD25" i="6" s="1"/>
  <c r="X87" i="8"/>
  <c r="T102" i="3"/>
  <c r="AO25" i="8"/>
  <c r="AO26" i="8" s="1"/>
  <c r="AO54" i="8" s="1"/>
  <c r="AP19" i="8"/>
  <c r="AC35" i="3"/>
  <c r="AC32" i="3"/>
  <c r="H9" i="9"/>
  <c r="H10" i="9"/>
  <c r="BT11" i="7"/>
  <c r="BT36" i="6"/>
  <c r="BT54" i="4"/>
  <c r="BT37" i="6"/>
  <c r="L97" i="8"/>
  <c r="Z68" i="3"/>
  <c r="Z35" i="3"/>
  <c r="Z59" i="3"/>
  <c r="Z37" i="3"/>
  <c r="Z38" i="3"/>
  <c r="Z32" i="3"/>
  <c r="BE102" i="6"/>
  <c r="BE134" i="4"/>
  <c r="BE101" i="6"/>
  <c r="BO50" i="6"/>
  <c r="BT71" i="4"/>
  <c r="BO73" i="4"/>
  <c r="S87" i="8"/>
  <c r="BY77" i="6"/>
  <c r="CD107" i="4"/>
  <c r="CD77" i="6" s="1"/>
  <c r="BY47" i="6"/>
  <c r="CD65" i="4"/>
  <c r="CD47" i="6" s="1"/>
  <c r="K102" i="3"/>
  <c r="K97" i="8"/>
  <c r="Y32" i="3"/>
  <c r="Y68" i="3"/>
  <c r="Y35" i="3"/>
  <c r="Y59" i="3"/>
  <c r="Y37" i="3"/>
  <c r="Y38" i="3"/>
  <c r="AH57" i="3"/>
  <c r="AH32" i="3"/>
  <c r="AH67" i="3"/>
  <c r="AH58" i="3"/>
  <c r="BE94" i="6"/>
  <c r="H67" i="9"/>
  <c r="BK67" i="8"/>
  <c r="V31" i="3"/>
  <c r="BY28" i="6"/>
  <c r="CD41" i="4"/>
  <c r="CD28" i="6" s="1"/>
  <c r="V80" i="8"/>
  <c r="W107" i="8"/>
  <c r="H7" i="9"/>
  <c r="H8" i="9" s="1"/>
  <c r="BT10" i="7"/>
  <c r="BT29" i="6"/>
  <c r="BT44" i="4"/>
  <c r="BT30" i="6" s="1"/>
  <c r="BT76" i="6"/>
  <c r="BT106" i="4"/>
  <c r="AP75" i="8"/>
  <c r="AP48" i="8"/>
  <c r="AQ48" i="8" s="1"/>
  <c r="AQ72" i="8"/>
  <c r="AQ75" i="8"/>
  <c r="AY57" i="3"/>
  <c r="AY32" i="3"/>
  <c r="AY58" i="3"/>
  <c r="BD67" i="3"/>
  <c r="BD57" i="3"/>
  <c r="BD32" i="3"/>
  <c r="BD58" i="3"/>
  <c r="I97" i="8"/>
  <c r="W59" i="3"/>
  <c r="W37" i="3"/>
  <c r="W38" i="3" s="1"/>
  <c r="W32" i="3"/>
  <c r="AA31" i="3"/>
  <c r="W68" i="3"/>
  <c r="W35" i="3"/>
  <c r="BY24" i="6"/>
  <c r="CD33" i="4"/>
  <c r="CD24" i="6"/>
  <c r="AZ80" i="7"/>
  <c r="AZ56" i="3"/>
  <c r="BT71" i="6"/>
  <c r="BT96" i="4"/>
  <c r="AY108" i="6"/>
  <c r="AY147" i="4"/>
  <c r="AY156" i="4"/>
  <c r="AS88" i="8"/>
  <c r="AS83" i="8"/>
  <c r="AT35" i="8"/>
  <c r="X102" i="3"/>
  <c r="G32" i="9"/>
  <c r="AK78" i="8"/>
  <c r="AJ80" i="8"/>
  <c r="F5" i="9"/>
  <c r="BJ33" i="7"/>
  <c r="BJ35" i="7"/>
  <c r="BJ19" i="6"/>
  <c r="BJ28" i="4"/>
  <c r="BJ20" i="6"/>
  <c r="O59" i="3"/>
  <c r="O32" i="3"/>
  <c r="O68" i="3"/>
  <c r="O35" i="3"/>
  <c r="BY49" i="6"/>
  <c r="CD69" i="4"/>
  <c r="CD49" i="6" s="1"/>
  <c r="BY79" i="6"/>
  <c r="CD111" i="4"/>
  <c r="CD79" i="6" s="1"/>
  <c r="AA57" i="3"/>
  <c r="AA102" i="3"/>
  <c r="AA67" i="3"/>
  <c r="AA58" i="3"/>
  <c r="J68" i="3"/>
  <c r="J35" i="3"/>
  <c r="J59" i="3"/>
  <c r="J32" i="3"/>
  <c r="E97" i="8"/>
  <c r="S59" i="3"/>
  <c r="S32" i="3"/>
  <c r="S35" i="3"/>
  <c r="AL57" i="3"/>
  <c r="AL32" i="3"/>
  <c r="AL67" i="3"/>
  <c r="AL58" i="3"/>
  <c r="P97" i="8"/>
  <c r="AD68" i="3"/>
  <c r="AD35" i="3"/>
  <c r="AD59" i="3"/>
  <c r="AD32" i="3"/>
  <c r="AD38" i="3"/>
  <c r="AX57" i="3"/>
  <c r="AX32" i="3"/>
  <c r="AX67" i="3"/>
  <c r="AX58" i="3"/>
  <c r="Z102" i="3"/>
  <c r="I11" i="9"/>
  <c r="I12" i="9" s="1"/>
  <c r="BY12" i="7"/>
  <c r="BY39" i="6"/>
  <c r="CD56" i="4"/>
  <c r="BY69" i="6"/>
  <c r="CD91" i="4"/>
  <c r="F15" i="9"/>
  <c r="F16" i="9"/>
  <c r="BJ41" i="7"/>
  <c r="BJ43" i="7" s="1"/>
  <c r="BJ51" i="6"/>
  <c r="BJ74" i="4"/>
  <c r="BJ52" i="6"/>
  <c r="AG67" i="3"/>
  <c r="AG32" i="3"/>
  <c r="AG57" i="3"/>
  <c r="AG58" i="3"/>
  <c r="AE80" i="8"/>
  <c r="AF78" i="8"/>
  <c r="X121" i="8"/>
  <c r="BY12" i="6"/>
  <c r="CD13" i="4"/>
  <c r="CD12" i="6"/>
  <c r="G57" i="3"/>
  <c r="G58" i="3"/>
  <c r="K59" i="3"/>
  <c r="K32" i="3"/>
  <c r="K68" i="3"/>
  <c r="K35" i="3"/>
  <c r="AQ57" i="3"/>
  <c r="AQ32" i="3"/>
  <c r="AQ67" i="3"/>
  <c r="AQ58" i="3"/>
  <c r="AV40" i="8"/>
  <c r="BA40" i="8" s="1"/>
  <c r="G23" i="9"/>
  <c r="BO25" i="7"/>
  <c r="BO27" i="7" s="1"/>
  <c r="BO80" i="6"/>
  <c r="AQ103" i="8"/>
  <c r="AQ39" i="8"/>
  <c r="AQ46" i="8"/>
  <c r="AQ53" i="8" s="1"/>
  <c r="BG82" i="6"/>
  <c r="BG116" i="4"/>
  <c r="BG83" i="6"/>
  <c r="BG121" i="4"/>
  <c r="BA58" i="3"/>
  <c r="BA57" i="3"/>
  <c r="BA32" i="3"/>
  <c r="AB102" i="3"/>
  <c r="AU42" i="8"/>
  <c r="H31" i="9"/>
  <c r="BT58" i="7"/>
  <c r="BT92" i="6"/>
  <c r="BY125" i="4"/>
  <c r="AE57" i="3"/>
  <c r="AE32" i="3"/>
  <c r="AE67" i="3"/>
  <c r="AE58" i="3"/>
  <c r="AE102" i="3" s="1"/>
  <c r="AF26" i="3"/>
  <c r="V35" i="3"/>
  <c r="H97" i="8"/>
  <c r="AF32" i="3"/>
  <c r="I67" i="9"/>
  <c r="BP67" i="8"/>
  <c r="J67" i="9" s="1"/>
  <c r="K67" i="9" s="1"/>
  <c r="L67" i="9" s="1"/>
  <c r="M67" i="9" s="1"/>
  <c r="N67" i="9" s="1"/>
  <c r="O67" i="9" s="1"/>
  <c r="P67" i="9" s="1"/>
  <c r="Q67" i="9" s="1"/>
  <c r="R67" i="9" s="1"/>
  <c r="S67" i="9" s="1"/>
  <c r="T67" i="9" s="1"/>
  <c r="L75" i="9"/>
  <c r="M74" i="9"/>
  <c r="N74" i="9" s="1"/>
  <c r="O74" i="9" s="1"/>
  <c r="O75" i="9" s="1"/>
  <c r="BF155" i="4"/>
  <c r="J63" i="9"/>
  <c r="K63" i="9" s="1"/>
  <c r="L63" i="9"/>
  <c r="M63" i="9" s="1"/>
  <c r="N63" i="9" s="1"/>
  <c r="O63" i="9" s="1"/>
  <c r="P63" i="9" s="1"/>
  <c r="Q63" i="9" s="1"/>
  <c r="R63" i="9" s="1"/>
  <c r="S63" i="9" s="1"/>
  <c r="T63" i="9" s="1"/>
  <c r="BP59" i="8"/>
  <c r="CD81" i="7"/>
  <c r="AT83" i="8"/>
  <c r="AT88" i="8"/>
  <c r="AU35" i="8"/>
  <c r="Q97" i="8"/>
  <c r="AE59" i="3"/>
  <c r="AE38" i="3"/>
  <c r="AE69" i="3" s="1"/>
  <c r="AE68" i="3"/>
  <c r="AE35" i="3"/>
  <c r="S97" i="8"/>
  <c r="AG59" i="3"/>
  <c r="AG68" i="3"/>
  <c r="AG35" i="3"/>
  <c r="AG38" i="3"/>
  <c r="AG69" i="3" s="1"/>
  <c r="CD69" i="6"/>
  <c r="F6" i="9"/>
  <c r="G15" i="9"/>
  <c r="BO41" i="7"/>
  <c r="BO43" i="7" s="1"/>
  <c r="BO51" i="6"/>
  <c r="BO74" i="4"/>
  <c r="BO52" i="6" s="1"/>
  <c r="AE97" i="8"/>
  <c r="AS59" i="3"/>
  <c r="AS38" i="3"/>
  <c r="I9" i="9"/>
  <c r="I10" i="9" s="1"/>
  <c r="BY11" i="7"/>
  <c r="BY36" i="6"/>
  <c r="BY54" i="4"/>
  <c r="BY37" i="6" s="1"/>
  <c r="CD75" i="6"/>
  <c r="AA97" i="8"/>
  <c r="AO59" i="3"/>
  <c r="AO38" i="3"/>
  <c r="AM97" i="8"/>
  <c r="BA59" i="3"/>
  <c r="BA38" i="3"/>
  <c r="AU110" i="8"/>
  <c r="AF67" i="3"/>
  <c r="AF57" i="3"/>
  <c r="AF58" i="3"/>
  <c r="AJ97" i="8"/>
  <c r="AX68" i="3"/>
  <c r="AX38" i="3"/>
  <c r="AX59" i="3"/>
  <c r="BK20" i="8"/>
  <c r="BP20" i="8"/>
  <c r="AA59" i="3"/>
  <c r="AA32" i="3"/>
  <c r="AA68" i="3"/>
  <c r="AK97" i="8"/>
  <c r="AY59" i="3"/>
  <c r="AY38" i="3"/>
  <c r="V59" i="3"/>
  <c r="V32" i="3"/>
  <c r="BT50" i="6"/>
  <c r="BY71" i="4"/>
  <c r="BT73" i="4"/>
  <c r="AQ19" i="8"/>
  <c r="AP25" i="8"/>
  <c r="J13" i="9"/>
  <c r="CD13" i="7"/>
  <c r="CD42" i="6"/>
  <c r="G5" i="9"/>
  <c r="BO33" i="7"/>
  <c r="BO35" i="7" s="1"/>
  <c r="BO19" i="6"/>
  <c r="BO28" i="4"/>
  <c r="BO20" i="6" s="1"/>
  <c r="CD33" i="6"/>
  <c r="CD53" i="4"/>
  <c r="CD46" i="6"/>
  <c r="I31" i="9"/>
  <c r="BY58" i="7"/>
  <c r="BY92" i="6"/>
  <c r="CD125" i="4"/>
  <c r="AP97" i="8"/>
  <c r="AP58" i="8"/>
  <c r="BD38" i="3"/>
  <c r="BD59" i="3"/>
  <c r="BD68" i="3"/>
  <c r="H32" i="9"/>
  <c r="J11" i="9"/>
  <c r="CD12" i="7"/>
  <c r="CD39" i="6"/>
  <c r="AA35" i="3"/>
  <c r="T97" i="8"/>
  <c r="AH68" i="3"/>
  <c r="AH35" i="3"/>
  <c r="AH59" i="3"/>
  <c r="AH38" i="3"/>
  <c r="J19" i="9"/>
  <c r="CD15" i="7"/>
  <c r="CD62" i="6"/>
  <c r="BT18" i="6"/>
  <c r="BY25" i="4"/>
  <c r="BT27" i="4"/>
  <c r="CD11" i="6"/>
  <c r="AT110" i="8"/>
  <c r="AV110" i="8" s="1"/>
  <c r="BT33" i="7"/>
  <c r="BT35" i="7" s="1"/>
  <c r="K11" i="9"/>
  <c r="L11" i="9" s="1"/>
  <c r="M11" i="9" s="1"/>
  <c r="N11" i="9" s="1"/>
  <c r="O11" i="9" s="1"/>
  <c r="P11" i="9" s="1"/>
  <c r="Q11" i="9" s="1"/>
  <c r="R11" i="9" s="1"/>
  <c r="S11" i="9" s="1"/>
  <c r="T11" i="9" s="1"/>
  <c r="J12" i="9"/>
  <c r="I32" i="9"/>
  <c r="CD36" i="6"/>
  <c r="AQ25" i="8"/>
  <c r="AR19" i="8"/>
  <c r="AY39" i="3"/>
  <c r="BF11" i="3"/>
  <c r="BY18" i="6"/>
  <c r="CD25" i="4"/>
  <c r="BY27" i="4"/>
  <c r="J20" i="9"/>
  <c r="K19" i="9"/>
  <c r="L19" i="9"/>
  <c r="M19" i="9" s="1"/>
  <c r="N19" i="9" s="1"/>
  <c r="O19" i="9" s="1"/>
  <c r="P19" i="9" s="1"/>
  <c r="Q19" i="9" s="1"/>
  <c r="R19" i="9" s="1"/>
  <c r="S19" i="9" s="1"/>
  <c r="T19" i="9" s="1"/>
  <c r="H15" i="9"/>
  <c r="BT41" i="7"/>
  <c r="BT43" i="7" s="1"/>
  <c r="BT51" i="6"/>
  <c r="BT74" i="4"/>
  <c r="BT52" i="6"/>
  <c r="BA39" i="3"/>
  <c r="AS39" i="3"/>
  <c r="M75" i="9"/>
  <c r="BD44" i="3"/>
  <c r="BD69" i="3"/>
  <c r="BD39" i="3"/>
  <c r="BD47" i="3"/>
  <c r="G6" i="9"/>
  <c r="K13" i="9"/>
  <c r="L13" i="9" s="1"/>
  <c r="M13" i="9" s="1"/>
  <c r="N13" i="9" s="1"/>
  <c r="O13" i="9" s="1"/>
  <c r="P13" i="9" s="1"/>
  <c r="Q13" i="9" s="1"/>
  <c r="R13" i="9" s="1"/>
  <c r="S13" i="9" s="1"/>
  <c r="T13" i="9" s="1"/>
  <c r="J14" i="9"/>
  <c r="BY50" i="6"/>
  <c r="CD71" i="4"/>
  <c r="BY73" i="4"/>
  <c r="AO39" i="3"/>
  <c r="AQ58" i="8"/>
  <c r="AP49" i="8"/>
  <c r="AQ49" i="8" s="1"/>
  <c r="AX69" i="3"/>
  <c r="AX39" i="3"/>
  <c r="AV35" i="8"/>
  <c r="BF40" i="8"/>
  <c r="CD50" i="6"/>
  <c r="CD73" i="4"/>
  <c r="CD74" i="4" s="1"/>
  <c r="CD52" i="6" s="1"/>
  <c r="AP51" i="8"/>
  <c r="AP53" i="8" s="1"/>
  <c r="N75" i="9"/>
  <c r="I5" i="9"/>
  <c r="BY33" i="7"/>
  <c r="BY35" i="7" s="1"/>
  <c r="BY19" i="6"/>
  <c r="BY28" i="4"/>
  <c r="BY20" i="6" s="1"/>
  <c r="BA35" i="8"/>
  <c r="BK40" i="8"/>
  <c r="CD18" i="6"/>
  <c r="CD27" i="4"/>
  <c r="AR25" i="8"/>
  <c r="AS19" i="8"/>
  <c r="I15" i="9"/>
  <c r="I16" i="9" s="1"/>
  <c r="BY41" i="7"/>
  <c r="BY43" i="7" s="1"/>
  <c r="BY51" i="6"/>
  <c r="BY74" i="4"/>
  <c r="BY52" i="6" s="1"/>
  <c r="AR96" i="8"/>
  <c r="P74" i="9"/>
  <c r="BP40" i="8"/>
  <c r="AS25" i="8"/>
  <c r="AT19" i="8"/>
  <c r="AQ51" i="8"/>
  <c r="AR14" i="8"/>
  <c r="AR28" i="8"/>
  <c r="AR39" i="8" s="1"/>
  <c r="AR46" i="8"/>
  <c r="BF35" i="8"/>
  <c r="AU19" i="8"/>
  <c r="AV19" i="8" s="1"/>
  <c r="AV25" i="8" s="1"/>
  <c r="AT25" i="8"/>
  <c r="BK35" i="8"/>
  <c r="AU25" i="8"/>
  <c r="BP35" i="8"/>
  <c r="BA19" i="8"/>
  <c r="BE19" i="5" l="1"/>
  <c r="BJ33" i="5"/>
  <c r="BH48" i="5"/>
  <c r="BI53" i="5"/>
  <c r="BF25" i="5"/>
  <c r="BJ43" i="5"/>
  <c r="BI46" i="5"/>
  <c r="BG38" i="5"/>
  <c r="BG67" i="5"/>
  <c r="BG25" i="5"/>
  <c r="BI48" i="5"/>
  <c r="BE55" i="5"/>
  <c r="BJ56" i="5" s="1"/>
  <c r="BE22" i="5"/>
  <c r="BE23" i="5" s="1"/>
  <c r="BD53" i="5"/>
  <c r="BD67" i="5" s="1"/>
  <c r="BH38" i="5"/>
  <c r="BI23" i="5"/>
  <c r="BI25" i="5" s="1"/>
  <c r="BI33" i="5"/>
  <c r="BI38" i="5" s="1"/>
  <c r="BG48" i="5"/>
  <c r="BE30" i="5"/>
  <c r="BD38" i="5"/>
  <c r="BI67" i="5"/>
  <c r="BF38" i="5"/>
  <c r="BE48" i="5"/>
  <c r="BH25" i="5"/>
  <c r="BE14" i="5"/>
  <c r="BJ14" i="5"/>
  <c r="BJ11" i="5"/>
  <c r="BE11" i="5"/>
  <c r="BF48" i="5"/>
  <c r="BJ46" i="5"/>
  <c r="BJ48" i="5" s="1"/>
  <c r="BE38" i="5"/>
  <c r="BE61" i="5"/>
  <c r="BE16" i="5"/>
  <c r="BD48" i="5"/>
  <c r="BD11" i="5"/>
  <c r="BD25" i="5" s="1"/>
  <c r="BJ59" i="5"/>
  <c r="BE52" i="5"/>
  <c r="BE53" i="5" s="1"/>
  <c r="BJ38" i="5"/>
  <c r="BF19" i="8"/>
  <c r="BA25" i="8"/>
  <c r="BG148" i="4"/>
  <c r="BG150" i="4" s="1"/>
  <c r="BG122" i="4"/>
  <c r="BG89" i="6" s="1"/>
  <c r="BG88" i="6"/>
  <c r="X97" i="8"/>
  <c r="AL59" i="3"/>
  <c r="AL38" i="3"/>
  <c r="AL69" i="3" s="1"/>
  <c r="AL68" i="3"/>
  <c r="AF38" i="3"/>
  <c r="AF59" i="3"/>
  <c r="AF68" i="3"/>
  <c r="CD19" i="6"/>
  <c r="J5" i="9"/>
  <c r="CD28" i="4"/>
  <c r="CD20" i="6" s="1"/>
  <c r="CD33" i="7"/>
  <c r="CD35" i="7" s="1"/>
  <c r="CD93" i="4"/>
  <c r="BY70" i="6"/>
  <c r="BY95" i="4"/>
  <c r="D25" i="9"/>
  <c r="E14" i="9"/>
  <c r="CD51" i="6"/>
  <c r="J15" i="9"/>
  <c r="CD41" i="7"/>
  <c r="CD43" i="7" s="1"/>
  <c r="P75" i="9"/>
  <c r="Q74" i="9"/>
  <c r="G16" i="9"/>
  <c r="AQ38" i="3"/>
  <c r="AQ59" i="3"/>
  <c r="AC97" i="8"/>
  <c r="AQ68" i="3"/>
  <c r="H16" i="9"/>
  <c r="H5" i="9"/>
  <c r="I6" i="9" s="1"/>
  <c r="BT28" i="4"/>
  <c r="BT20" i="6" s="1"/>
  <c r="BT19" i="6"/>
  <c r="CD92" i="6"/>
  <c r="J31" i="9"/>
  <c r="CD58" i="7"/>
  <c r="AU45" i="8"/>
  <c r="AV42" i="8"/>
  <c r="AU88" i="8"/>
  <c r="AU83" i="8"/>
  <c r="AF35" i="3"/>
  <c r="R67" i="3"/>
  <c r="M31" i="3"/>
  <c r="M58" i="3"/>
  <c r="M57" i="3"/>
  <c r="Q26" i="3"/>
  <c r="M67" i="3"/>
  <c r="AK63" i="3"/>
  <c r="AK53" i="3"/>
  <c r="AP63" i="3"/>
  <c r="AE90" i="8"/>
  <c r="CD11" i="7"/>
  <c r="CD54" i="4"/>
  <c r="CD37" i="6" s="1"/>
  <c r="J9" i="9"/>
  <c r="Q87" i="8"/>
  <c r="AF96" i="3"/>
  <c r="AW66" i="3"/>
  <c r="AW26" i="3"/>
  <c r="AW56" i="3"/>
  <c r="AW96" i="3"/>
  <c r="AI87" i="8" s="1"/>
  <c r="I31" i="3"/>
  <c r="L26" i="3"/>
  <c r="I57" i="3"/>
  <c r="I102" i="3" s="1"/>
  <c r="I58" i="3"/>
  <c r="I67" i="3"/>
  <c r="BX49" i="3"/>
  <c r="BX46" i="3"/>
  <c r="G31" i="3"/>
  <c r="F59" i="3"/>
  <c r="AV26" i="3"/>
  <c r="AV56" i="3"/>
  <c r="AV96" i="3"/>
  <c r="AV66" i="3"/>
  <c r="BB143" i="4"/>
  <c r="BB109" i="6" s="1"/>
  <c r="BB147" i="4"/>
  <c r="BB156" i="4" s="1"/>
  <c r="BB108" i="6"/>
  <c r="BH51" i="6"/>
  <c r="BH74" i="4"/>
  <c r="BH52" i="6" s="1"/>
  <c r="BH115" i="4"/>
  <c r="AC68" i="3"/>
  <c r="AC59" i="3"/>
  <c r="AC37" i="3"/>
  <c r="O97" i="8"/>
  <c r="R97" i="8" s="1"/>
  <c r="AC38" i="3"/>
  <c r="AH69" i="3" s="1"/>
  <c r="AM66" i="3"/>
  <c r="AP20" i="3"/>
  <c r="AM56" i="3"/>
  <c r="AM26" i="3"/>
  <c r="AM96" i="3"/>
  <c r="AQ14" i="8"/>
  <c r="AQ102" i="8" s="1"/>
  <c r="AP64" i="8"/>
  <c r="AJ66" i="3"/>
  <c r="AO66" i="3"/>
  <c r="AJ26" i="3"/>
  <c r="AJ96" i="3"/>
  <c r="V87" i="8" s="1"/>
  <c r="AU148" i="4"/>
  <c r="AU149" i="4" s="1"/>
  <c r="AU88" i="6"/>
  <c r="AU142" i="4"/>
  <c r="AZ122" i="4"/>
  <c r="AZ89" i="6" s="1"/>
  <c r="BY99" i="4"/>
  <c r="BT113" i="4"/>
  <c r="AX148" i="4"/>
  <c r="AX149" i="4" s="1"/>
  <c r="AX88" i="6"/>
  <c r="BC122" i="4"/>
  <c r="BC89" i="6" s="1"/>
  <c r="AX142" i="4"/>
  <c r="AX122" i="4"/>
  <c r="AX89" i="6" s="1"/>
  <c r="AK63" i="4"/>
  <c r="AJ46" i="6"/>
  <c r="AO64" i="4"/>
  <c r="AJ64" i="4"/>
  <c r="BP156" i="4"/>
  <c r="BP11" i="3"/>
  <c r="AR142" i="4"/>
  <c r="AR151" i="4"/>
  <c r="AR152" i="4" s="1"/>
  <c r="AW138" i="4"/>
  <c r="AW105" i="6" s="1"/>
  <c r="AR104" i="6"/>
  <c r="AR138" i="4"/>
  <c r="AR105" i="6" s="1"/>
  <c r="AZ88" i="6"/>
  <c r="AZ148" i="4"/>
  <c r="AZ149" i="4" s="1"/>
  <c r="AV108" i="6"/>
  <c r="BI116" i="4"/>
  <c r="BI83" i="6" s="1"/>
  <c r="AL80" i="8"/>
  <c r="AQ78" i="8"/>
  <c r="E39" i="9"/>
  <c r="BO55" i="6"/>
  <c r="BO81" i="4"/>
  <c r="AZ35" i="6"/>
  <c r="BE52" i="4"/>
  <c r="BT23" i="6"/>
  <c r="BY31" i="4"/>
  <c r="AZ65" i="3"/>
  <c r="AU65" i="3"/>
  <c r="BC53" i="3"/>
  <c r="BC63" i="3"/>
  <c r="BC20" i="3"/>
  <c r="AN63" i="3"/>
  <c r="AI20" i="3"/>
  <c r="AI63" i="3"/>
  <c r="AU62" i="3"/>
  <c r="AU54" i="3"/>
  <c r="AU12" i="3"/>
  <c r="AT142" i="4"/>
  <c r="AT88" i="6"/>
  <c r="AT148" i="4"/>
  <c r="AT149" i="4" s="1"/>
  <c r="T78" i="8"/>
  <c r="S80" i="8"/>
  <c r="AI123" i="8"/>
  <c r="AI126" i="8"/>
  <c r="T115" i="8"/>
  <c r="W86" i="8"/>
  <c r="AA86" i="8"/>
  <c r="AA77" i="8"/>
  <c r="BJ129" i="4"/>
  <c r="BI59" i="7"/>
  <c r="BI57" i="7" s="1"/>
  <c r="BI137" i="4"/>
  <c r="AB54" i="8"/>
  <c r="AA101" i="8"/>
  <c r="AB95" i="8"/>
  <c r="AB101" i="8" s="1"/>
  <c r="AH101" i="8"/>
  <c r="AL95" i="8"/>
  <c r="AL101" i="8" s="1"/>
  <c r="U102" i="8"/>
  <c r="W96" i="8"/>
  <c r="Y103" i="8"/>
  <c r="Y102" i="8"/>
  <c r="AB96" i="8"/>
  <c r="N101" i="3"/>
  <c r="I101" i="3"/>
  <c r="BG49" i="7"/>
  <c r="BG84" i="6"/>
  <c r="BG137" i="4"/>
  <c r="BG142" i="4" s="1"/>
  <c r="BJ133" i="4"/>
  <c r="BG60" i="7"/>
  <c r="BG57" i="7" s="1"/>
  <c r="BG100" i="6"/>
  <c r="BF88" i="6"/>
  <c r="BF122" i="4"/>
  <c r="BF89" i="6" s="1"/>
  <c r="BF142" i="4"/>
  <c r="AN54" i="8"/>
  <c r="U80" i="8"/>
  <c r="R87" i="8"/>
  <c r="AR66" i="3"/>
  <c r="P102" i="3"/>
  <c r="U102" i="3"/>
  <c r="X59" i="3"/>
  <c r="X37" i="3"/>
  <c r="X38" i="3" s="1"/>
  <c r="AA38" i="3" s="1"/>
  <c r="X68" i="3"/>
  <c r="J97" i="8"/>
  <c r="M97" i="8" s="1"/>
  <c r="AN96" i="3"/>
  <c r="Z87" i="8" s="1"/>
  <c r="AD90" i="8" s="1"/>
  <c r="AN56" i="3"/>
  <c r="E49" i="9"/>
  <c r="AF121" i="8"/>
  <c r="AF126" i="8" s="1"/>
  <c r="CC156" i="4"/>
  <c r="CC11" i="3"/>
  <c r="AT53" i="3"/>
  <c r="AT20" i="3"/>
  <c r="AT63" i="3"/>
  <c r="AY63" i="3"/>
  <c r="AN57" i="3"/>
  <c r="AN32" i="3"/>
  <c r="AS58" i="3"/>
  <c r="AS57" i="3"/>
  <c r="BA56" i="3"/>
  <c r="BA96" i="3"/>
  <c r="AM87" i="8" s="1"/>
  <c r="AZ62" i="3"/>
  <c r="BY74" i="6"/>
  <c r="BY105" i="4"/>
  <c r="CD101" i="4"/>
  <c r="CB49" i="3"/>
  <c r="CB46" i="3"/>
  <c r="BT77" i="4"/>
  <c r="BA94" i="6"/>
  <c r="BA39" i="5"/>
  <c r="K87" i="8"/>
  <c r="N90" i="8" s="1"/>
  <c r="AA96" i="3"/>
  <c r="N58" i="3"/>
  <c r="N31" i="3"/>
  <c r="N57" i="3"/>
  <c r="N102" i="3" s="1"/>
  <c r="C80" i="8"/>
  <c r="D78" i="8"/>
  <c r="BI96" i="6"/>
  <c r="BZ108" i="6"/>
  <c r="BZ147" i="4"/>
  <c r="BZ156" i="4" s="1"/>
  <c r="BZ10" i="3"/>
  <c r="AL26" i="8"/>
  <c r="H26" i="8"/>
  <c r="H54" i="8" s="1"/>
  <c r="N54" i="8"/>
  <c r="M86" i="8"/>
  <c r="BJ113" i="4"/>
  <c r="BJ96" i="4"/>
  <c r="BO62" i="6"/>
  <c r="BO15" i="7"/>
  <c r="BT103" i="3"/>
  <c r="BO102" i="3"/>
  <c r="BO115" i="3" s="1"/>
  <c r="BO120" i="3" s="1"/>
  <c r="R86" i="8"/>
  <c r="AE115" i="8"/>
  <c r="BE118" i="4"/>
  <c r="BE85" i="6" s="1"/>
  <c r="AR26" i="3"/>
  <c r="AZ116" i="4"/>
  <c r="AZ83" i="6" s="1"/>
  <c r="S54" i="8"/>
  <c r="E63" i="9"/>
  <c r="BE81" i="7"/>
  <c r="L77" i="8"/>
  <c r="AK65" i="8"/>
  <c r="AK86" i="8" s="1"/>
  <c r="AL86" i="8" s="1"/>
  <c r="AM115" i="8" s="1"/>
  <c r="W53" i="8"/>
  <c r="W54" i="8" s="1"/>
  <c r="BE56" i="5"/>
  <c r="H21" i="9"/>
  <c r="H22" i="9" s="1"/>
  <c r="BY87" i="4"/>
  <c r="AA63" i="3"/>
  <c r="V63" i="3"/>
  <c r="AQ104" i="6"/>
  <c r="AQ151" i="4"/>
  <c r="AQ152" i="4" s="1"/>
  <c r="AQ142" i="4"/>
  <c r="BE116" i="4"/>
  <c r="BE83" i="6" s="1"/>
  <c r="AM79" i="8"/>
  <c r="AJ109" i="8"/>
  <c r="AI109" i="8"/>
  <c r="AN118" i="8"/>
  <c r="AN121" i="8"/>
  <c r="AN123" i="8" s="1"/>
  <c r="AN126" i="8" s="1"/>
  <c r="AJ26" i="8"/>
  <c r="AJ54" i="8" s="1"/>
  <c r="BU156" i="4"/>
  <c r="AY82" i="6"/>
  <c r="AY116" i="4"/>
  <c r="AY83" i="6" s="1"/>
  <c r="BD116" i="4"/>
  <c r="BD83" i="6" s="1"/>
  <c r="BK108" i="6"/>
  <c r="BK147" i="4"/>
  <c r="BK156" i="4" s="1"/>
  <c r="AA104" i="6"/>
  <c r="AA138" i="4"/>
  <c r="AA105" i="6" s="1"/>
  <c r="BB20" i="3"/>
  <c r="BB63" i="3"/>
  <c r="AK36" i="3"/>
  <c r="BE12" i="3"/>
  <c r="E54" i="9"/>
  <c r="BH67" i="5"/>
  <c r="BB67" i="5"/>
  <c r="Y86" i="8"/>
  <c r="Y77" i="8"/>
  <c r="Y79" i="8" s="1"/>
  <c r="X56" i="3"/>
  <c r="V62" i="3"/>
  <c r="BE23" i="6"/>
  <c r="BD35" i="6"/>
  <c r="BC57" i="6"/>
  <c r="BC70" i="6"/>
  <c r="AG47" i="6"/>
  <c r="AZ79" i="4"/>
  <c r="AZ125" i="4"/>
  <c r="BJ13" i="6"/>
  <c r="BI117" i="4"/>
  <c r="BJ117" i="4" s="1"/>
  <c r="R34" i="8"/>
  <c r="R39" i="8" s="1"/>
  <c r="R46" i="8" s="1"/>
  <c r="R53" i="8" s="1"/>
  <c r="R54" i="8" s="1"/>
  <c r="I77" i="8"/>
  <c r="X46" i="8"/>
  <c r="X53" i="8" s="1"/>
  <c r="X54" i="8" s="1"/>
  <c r="Z46" i="8"/>
  <c r="Z53" i="8" s="1"/>
  <c r="Z54" i="8" s="1"/>
  <c r="AL48" i="8"/>
  <c r="AL51" i="8" s="1"/>
  <c r="AL53" i="8" s="1"/>
  <c r="R69" i="8"/>
  <c r="D66" i="9"/>
  <c r="AF59" i="8"/>
  <c r="BE20" i="5" l="1"/>
  <c r="BJ20" i="5"/>
  <c r="BJ23" i="5"/>
  <c r="BE17" i="5"/>
  <c r="BE25" i="5" s="1"/>
  <c r="BJ17" i="5"/>
  <c r="BE62" i="5"/>
  <c r="BE67" i="5" s="1"/>
  <c r="BJ62" i="5"/>
  <c r="BJ53" i="5"/>
  <c r="BJ67" i="5" s="1"/>
  <c r="BG108" i="6"/>
  <c r="BG147" i="4"/>
  <c r="BG10" i="3"/>
  <c r="BG143" i="4"/>
  <c r="BG109" i="6" s="1"/>
  <c r="BO117" i="4"/>
  <c r="BJ49" i="7"/>
  <c r="F28" i="9"/>
  <c r="F29" i="9" s="1"/>
  <c r="BJ84" i="6"/>
  <c r="BJ120" i="4"/>
  <c r="AF105" i="8"/>
  <c r="AG105" i="8" s="1"/>
  <c r="AU36" i="3" s="1"/>
  <c r="AF65" i="8"/>
  <c r="AZ57" i="6"/>
  <c r="BE80" i="4"/>
  <c r="BE58" i="6" s="1"/>
  <c r="Y80" i="8"/>
  <c r="Z78" i="8"/>
  <c r="Z79" i="8" s="1"/>
  <c r="E57" i="9"/>
  <c r="E50" i="9" s="1"/>
  <c r="E47" i="9"/>
  <c r="BB66" i="3"/>
  <c r="BB26" i="3"/>
  <c r="BB56" i="3"/>
  <c r="BB96" i="3"/>
  <c r="AN87" i="8" s="1"/>
  <c r="AQ108" i="6"/>
  <c r="AQ147" i="4"/>
  <c r="AQ156" i="4" s="1"/>
  <c r="AR58" i="3"/>
  <c r="AR67" i="3"/>
  <c r="AR57" i="3"/>
  <c r="AR32" i="3"/>
  <c r="BT55" i="6"/>
  <c r="BT81" i="4"/>
  <c r="BY77" i="4"/>
  <c r="BY106" i="4"/>
  <c r="BY76" i="6"/>
  <c r="M87" i="8"/>
  <c r="O90" i="8"/>
  <c r="W102" i="8"/>
  <c r="W103" i="8"/>
  <c r="BI64" i="7"/>
  <c r="BI72" i="7"/>
  <c r="AT108" i="6"/>
  <c r="AY143" i="4"/>
  <c r="AY109" i="6" s="1"/>
  <c r="AT147" i="4"/>
  <c r="AT156" i="4" s="1"/>
  <c r="BY43" i="4"/>
  <c r="BY23" i="6"/>
  <c r="CD31" i="4"/>
  <c r="BO14" i="7"/>
  <c r="BO9" i="7" s="1"/>
  <c r="BO18" i="7" s="1"/>
  <c r="BO59" i="6"/>
  <c r="BO82" i="4"/>
  <c r="BO60" i="6" s="1"/>
  <c r="G17" i="9"/>
  <c r="BO115" i="4"/>
  <c r="BY73" i="6"/>
  <c r="CD99" i="4"/>
  <c r="CD73" i="6" s="1"/>
  <c r="AM32" i="3"/>
  <c r="AM58" i="3"/>
  <c r="AM57" i="3"/>
  <c r="AM67" i="3"/>
  <c r="AV57" i="3"/>
  <c r="AV67" i="3"/>
  <c r="AV58" i="3"/>
  <c r="AZ26" i="3"/>
  <c r="BA67" i="3"/>
  <c r="AV32" i="3"/>
  <c r="L67" i="3"/>
  <c r="L58" i="3"/>
  <c r="L57" i="3"/>
  <c r="L102" i="3" s="1"/>
  <c r="AW32" i="3"/>
  <c r="AW57" i="3"/>
  <c r="AW58" i="3"/>
  <c r="AW67" i="3"/>
  <c r="AE91" i="8"/>
  <c r="AE92" i="8"/>
  <c r="R68" i="3"/>
  <c r="M32" i="3"/>
  <c r="M35" i="3"/>
  <c r="M59" i="3"/>
  <c r="Q31" i="3"/>
  <c r="M68" i="3"/>
  <c r="K31" i="9"/>
  <c r="J32" i="9"/>
  <c r="BI49" i="7"/>
  <c r="BI84" i="6"/>
  <c r="Z115" i="8"/>
  <c r="AB86" i="8"/>
  <c r="AC115" i="8" s="1"/>
  <c r="BE20" i="3"/>
  <c r="BE63" i="3"/>
  <c r="BE53" i="3"/>
  <c r="I21" i="9"/>
  <c r="I22" i="9" s="1"/>
  <c r="CD87" i="4"/>
  <c r="BY65" i="6"/>
  <c r="BY16" i="7"/>
  <c r="Z97" i="8"/>
  <c r="AN59" i="3"/>
  <c r="AS68" i="3"/>
  <c r="AN38" i="3"/>
  <c r="AT56" i="3"/>
  <c r="AT26" i="3"/>
  <c r="AT66" i="3"/>
  <c r="AT96" i="3"/>
  <c r="AF87" i="8" s="1"/>
  <c r="AY66" i="3"/>
  <c r="BG72" i="7"/>
  <c r="BG64" i="7"/>
  <c r="AB102" i="8"/>
  <c r="AB103" i="8"/>
  <c r="BO129" i="4"/>
  <c r="BJ59" i="7"/>
  <c r="F33" i="9"/>
  <c r="BJ96" i="6"/>
  <c r="BJ132" i="4"/>
  <c r="W115" i="8"/>
  <c r="T121" i="8"/>
  <c r="W121" i="8" s="1"/>
  <c r="AU63" i="3"/>
  <c r="AU53" i="3"/>
  <c r="AZ63" i="3"/>
  <c r="AU20" i="3"/>
  <c r="AI96" i="3"/>
  <c r="AK20" i="3"/>
  <c r="AI26" i="3"/>
  <c r="AI56" i="3"/>
  <c r="AN66" i="3"/>
  <c r="AI66" i="3"/>
  <c r="AK64" i="4"/>
  <c r="AP64" i="4"/>
  <c r="AK46" i="6"/>
  <c r="AQ64" i="8"/>
  <c r="AP65" i="8"/>
  <c r="I35" i="3"/>
  <c r="L35" i="3" s="1"/>
  <c r="I59" i="3"/>
  <c r="I68" i="3"/>
  <c r="L31" i="3"/>
  <c r="I32" i="3"/>
  <c r="J10" i="9"/>
  <c r="K9" i="9"/>
  <c r="L9" i="9" s="1"/>
  <c r="M9" i="9" s="1"/>
  <c r="N9" i="9" s="1"/>
  <c r="O9" i="9" s="1"/>
  <c r="P9" i="9" s="1"/>
  <c r="Q9" i="9" s="1"/>
  <c r="R9" i="9" s="1"/>
  <c r="S9" i="9" s="1"/>
  <c r="T9" i="9" s="1"/>
  <c r="Q57" i="3"/>
  <c r="V67" i="3"/>
  <c r="Q58" i="3"/>
  <c r="Q67" i="3"/>
  <c r="BA42" i="8"/>
  <c r="AV109" i="8"/>
  <c r="AV88" i="8"/>
  <c r="AV45" i="8"/>
  <c r="AV83" i="8"/>
  <c r="H6" i="9"/>
  <c r="E26" i="9"/>
  <c r="CD95" i="4"/>
  <c r="CD70" i="6"/>
  <c r="BK19" i="8"/>
  <c r="AN78" i="8"/>
  <c r="AN79" i="8" s="1"/>
  <c r="AM80" i="8"/>
  <c r="AM118" i="8"/>
  <c r="AQ115" i="8"/>
  <c r="AM121" i="8"/>
  <c r="BY103" i="3"/>
  <c r="BT102" i="3"/>
  <c r="BT115" i="3" s="1"/>
  <c r="BT120" i="3" s="1"/>
  <c r="BJ25" i="7"/>
  <c r="BJ27" i="7" s="1"/>
  <c r="F23" i="9"/>
  <c r="BJ80" i="6"/>
  <c r="BJ115" i="4"/>
  <c r="BO114" i="4"/>
  <c r="BO81" i="6" s="1"/>
  <c r="AL54" i="8"/>
  <c r="N68" i="3"/>
  <c r="N59" i="3"/>
  <c r="N32" i="3"/>
  <c r="S68" i="3"/>
  <c r="N35" i="3"/>
  <c r="AD91" i="8"/>
  <c r="AD92" i="8"/>
  <c r="F35" i="9"/>
  <c r="F36" i="9" s="1"/>
  <c r="BO133" i="4"/>
  <c r="BJ137" i="4"/>
  <c r="BJ100" i="6"/>
  <c r="BJ136" i="4"/>
  <c r="BJ60" i="7"/>
  <c r="E48" i="9"/>
  <c r="E58" i="9"/>
  <c r="E44" i="9"/>
  <c r="BI121" i="4"/>
  <c r="AU108" i="6"/>
  <c r="AU147" i="4"/>
  <c r="AU156" i="4" s="1"/>
  <c r="AJ57" i="3"/>
  <c r="AJ58" i="3"/>
  <c r="AO67" i="3"/>
  <c r="AJ67" i="3"/>
  <c r="AJ32" i="3"/>
  <c r="AP66" i="3"/>
  <c r="AP26" i="3"/>
  <c r="AP56" i="3"/>
  <c r="BH121" i="4"/>
  <c r="BH116" i="4"/>
  <c r="BH83" i="6" s="1"/>
  <c r="BH82" i="6"/>
  <c r="AH87" i="8"/>
  <c r="AZ96" i="3"/>
  <c r="AZ82" i="7" s="1"/>
  <c r="G32" i="3"/>
  <c r="G59" i="3"/>
  <c r="AM90" i="8"/>
  <c r="AI90" i="8"/>
  <c r="R102" i="3"/>
  <c r="M102" i="3"/>
  <c r="J16" i="9"/>
  <c r="K15" i="9"/>
  <c r="L15" i="9" s="1"/>
  <c r="M15" i="9" s="1"/>
  <c r="N15" i="9" s="1"/>
  <c r="O15" i="9" s="1"/>
  <c r="P15" i="9" s="1"/>
  <c r="Q15" i="9" s="1"/>
  <c r="R15" i="9" s="1"/>
  <c r="S15" i="9" s="1"/>
  <c r="T15" i="9" s="1"/>
  <c r="D31" i="9"/>
  <c r="AZ137" i="4"/>
  <c r="AZ58" i="7"/>
  <c r="AZ57" i="7" s="1"/>
  <c r="BE128" i="4"/>
  <c r="AZ128" i="4"/>
  <c r="AZ95" i="6" s="1"/>
  <c r="AZ92" i="6"/>
  <c r="AE121" i="8"/>
  <c r="AE126" i="8" s="1"/>
  <c r="AE118" i="8"/>
  <c r="BZ46" i="3"/>
  <c r="BZ49" i="3"/>
  <c r="H78" i="8"/>
  <c r="H79" i="8" s="1"/>
  <c r="H80" i="8" s="1"/>
  <c r="D79" i="8"/>
  <c r="CD74" i="6"/>
  <c r="CD105" i="4"/>
  <c r="AN90" i="8"/>
  <c r="S102" i="3"/>
  <c r="AK77" i="8"/>
  <c r="AK79" i="8" s="1"/>
  <c r="AK80" i="8" s="1"/>
  <c r="BF147" i="4"/>
  <c r="BF156" i="4" s="1"/>
  <c r="BF108" i="6"/>
  <c r="BF10" i="3"/>
  <c r="BF143" i="4"/>
  <c r="BF109" i="6" s="1"/>
  <c r="BG104" i="6"/>
  <c r="BG151" i="4"/>
  <c r="BG153" i="4" s="1"/>
  <c r="BG138" i="4"/>
  <c r="BG105" i="6" s="1"/>
  <c r="BI138" i="4"/>
  <c r="BI105" i="6" s="1"/>
  <c r="BI104" i="6"/>
  <c r="BI151" i="4"/>
  <c r="BI153" i="4" s="1"/>
  <c r="BC96" i="3"/>
  <c r="AO87" i="8" s="1"/>
  <c r="BC66" i="3"/>
  <c r="BC56" i="3"/>
  <c r="BC26" i="3"/>
  <c r="AV143" i="4"/>
  <c r="AV109" i="6" s="1"/>
  <c r="AR108" i="6"/>
  <c r="AR147" i="4"/>
  <c r="AR156" i="4" s="1"/>
  <c r="AW143" i="4"/>
  <c r="AW109" i="6" s="1"/>
  <c r="AX147" i="4"/>
  <c r="AX156" i="4" s="1"/>
  <c r="AX143" i="4"/>
  <c r="AX109" i="6" s="1"/>
  <c r="AX108" i="6"/>
  <c r="BC143" i="4"/>
  <c r="BC109" i="6" s="1"/>
  <c r="BT114" i="4"/>
  <c r="BT81" i="6" s="1"/>
  <c r="H23" i="9"/>
  <c r="H24" i="9" s="1"/>
  <c r="BT80" i="6"/>
  <c r="BT25" i="7"/>
  <c r="BT27" i="7" s="1"/>
  <c r="Y87" i="8"/>
  <c r="AP96" i="3"/>
  <c r="Q90" i="8"/>
  <c r="R90" i="8" s="1"/>
  <c r="R92" i="8" s="1"/>
  <c r="T90" i="8"/>
  <c r="S90" i="8"/>
  <c r="AQ39" i="3"/>
  <c r="AQ69" i="3"/>
  <c r="R74" i="9"/>
  <c r="Q75" i="9"/>
  <c r="BY96" i="4"/>
  <c r="BY71" i="6"/>
  <c r="BY113" i="4"/>
  <c r="K5" i="9"/>
  <c r="J6" i="9"/>
  <c r="AF69" i="3"/>
  <c r="BG155" i="4"/>
  <c r="BJ25" i="5" l="1"/>
  <c r="AN92" i="8"/>
  <c r="AN91" i="8"/>
  <c r="BE95" i="6"/>
  <c r="BE126" i="4"/>
  <c r="BE93" i="6" s="1"/>
  <c r="BI122" i="4"/>
  <c r="BI89" i="6" s="1"/>
  <c r="BI88" i="6"/>
  <c r="BI148" i="4"/>
  <c r="BI150" i="4" s="1"/>
  <c r="BI155" i="4" s="1"/>
  <c r="BI142" i="4"/>
  <c r="F24" i="9"/>
  <c r="F25" i="9"/>
  <c r="G24" i="9"/>
  <c r="AM123" i="8"/>
  <c r="AQ121" i="8"/>
  <c r="AN80" i="8"/>
  <c r="AO78" i="8"/>
  <c r="BF42" i="8"/>
  <c r="BA88" i="8"/>
  <c r="BA83" i="8"/>
  <c r="BA110" i="8"/>
  <c r="BA45" i="8"/>
  <c r="Q102" i="3"/>
  <c r="V102" i="3"/>
  <c r="L32" i="3"/>
  <c r="L68" i="3"/>
  <c r="L59" i="3"/>
  <c r="AP77" i="8"/>
  <c r="AP86" i="8"/>
  <c r="AU26" i="3"/>
  <c r="AU66" i="3"/>
  <c r="AZ66" i="3"/>
  <c r="AU96" i="3"/>
  <c r="AU56" i="3"/>
  <c r="F34" i="9"/>
  <c r="F37" i="9"/>
  <c r="F38" i="9" s="1"/>
  <c r="AG87" i="8"/>
  <c r="AF90" i="8"/>
  <c r="AN39" i="3"/>
  <c r="AS69" i="3"/>
  <c r="AG115" i="8"/>
  <c r="AC121" i="8"/>
  <c r="L31" i="9"/>
  <c r="Q68" i="3"/>
  <c r="Q32" i="3"/>
  <c r="V68" i="3"/>
  <c r="C97" i="8"/>
  <c r="Q59" i="3"/>
  <c r="AZ57" i="3"/>
  <c r="AZ58" i="3"/>
  <c r="D60" i="9" s="1"/>
  <c r="AZ67" i="3"/>
  <c r="AR59" i="3"/>
  <c r="AD97" i="8"/>
  <c r="AR38" i="3"/>
  <c r="AR68" i="3"/>
  <c r="BB32" i="3"/>
  <c r="BB58" i="3"/>
  <c r="BE26" i="3"/>
  <c r="BB57" i="3"/>
  <c r="BB67" i="3"/>
  <c r="Z80" i="8"/>
  <c r="AA78" i="8"/>
  <c r="AA79" i="8" s="1"/>
  <c r="AF86" i="8"/>
  <c r="AG86" i="8" s="1"/>
  <c r="AH115" i="8" s="1"/>
  <c r="AF77" i="8"/>
  <c r="AF79" i="8" s="1"/>
  <c r="BY25" i="7"/>
  <c r="BY27" i="7" s="1"/>
  <c r="I23" i="9"/>
  <c r="I24" i="9" s="1"/>
  <c r="BY80" i="6"/>
  <c r="BY114" i="4"/>
  <c r="BY81" i="6" s="1"/>
  <c r="CD106" i="4"/>
  <c r="CD76" i="6"/>
  <c r="AZ64" i="7"/>
  <c r="AZ72" i="7"/>
  <c r="AI92" i="8"/>
  <c r="AI91" i="8"/>
  <c r="BH122" i="4"/>
  <c r="BH89" i="6" s="1"/>
  <c r="BH88" i="6"/>
  <c r="BH148" i="4"/>
  <c r="BH150" i="4" s="1"/>
  <c r="BH142" i="4"/>
  <c r="V97" i="8"/>
  <c r="AJ35" i="3"/>
  <c r="AJ68" i="3"/>
  <c r="AO68" i="3"/>
  <c r="AJ59" i="3"/>
  <c r="AJ38" i="3"/>
  <c r="BJ151" i="4"/>
  <c r="BJ138" i="4"/>
  <c r="BJ105" i="6" s="1"/>
  <c r="BJ104" i="6"/>
  <c r="E64" i="9"/>
  <c r="AQ65" i="8"/>
  <c r="AI32" i="3"/>
  <c r="AN67" i="3"/>
  <c r="AI58" i="3"/>
  <c r="AI57" i="3"/>
  <c r="AI67" i="3"/>
  <c r="BJ57" i="7"/>
  <c r="Z121" i="8"/>
  <c r="AB115" i="8"/>
  <c r="BY10" i="7"/>
  <c r="BY29" i="6"/>
  <c r="I7" i="9"/>
  <c r="BY44" i="4"/>
  <c r="BY30" i="6" s="1"/>
  <c r="BY81" i="4"/>
  <c r="CD77" i="4"/>
  <c r="BY55" i="6"/>
  <c r="BG62" i="3"/>
  <c r="BG14" i="3"/>
  <c r="AS95" i="8"/>
  <c r="AS13" i="8" s="1"/>
  <c r="BG49" i="3"/>
  <c r="BG15" i="3"/>
  <c r="BG46" i="3"/>
  <c r="L5" i="9"/>
  <c r="S74" i="9"/>
  <c r="R75" i="9"/>
  <c r="S91" i="8"/>
  <c r="S92" i="8"/>
  <c r="BF49" i="3"/>
  <c r="BF14" i="3"/>
  <c r="BF12" i="3"/>
  <c r="BF15" i="3"/>
  <c r="BF62" i="3"/>
  <c r="BF46" i="3"/>
  <c r="AR95" i="8"/>
  <c r="AR13" i="8" s="1"/>
  <c r="AZ104" i="6"/>
  <c r="AZ151" i="4"/>
  <c r="AZ152" i="4" s="1"/>
  <c r="BE138" i="4"/>
  <c r="BE105" i="6" s="1"/>
  <c r="AZ138" i="4"/>
  <c r="AZ105" i="6" s="1"/>
  <c r="AZ142" i="4"/>
  <c r="AM91" i="8"/>
  <c r="AM92" i="8"/>
  <c r="AH90" i="8"/>
  <c r="AL87" i="8"/>
  <c r="AJ90" i="8"/>
  <c r="AK90" i="8"/>
  <c r="G35" i="9"/>
  <c r="G36" i="9" s="1"/>
  <c r="BT133" i="4"/>
  <c r="BO137" i="4"/>
  <c r="BO100" i="6"/>
  <c r="BO60" i="7"/>
  <c r="BJ82" i="6"/>
  <c r="BJ116" i="4"/>
  <c r="BJ83" i="6" s="1"/>
  <c r="BJ121" i="4"/>
  <c r="BP19" i="8"/>
  <c r="CD71" i="6"/>
  <c r="CD96" i="4"/>
  <c r="CD113" i="4"/>
  <c r="AK56" i="3"/>
  <c r="AK26" i="3"/>
  <c r="AK66" i="3"/>
  <c r="BJ130" i="4"/>
  <c r="BJ97" i="6" s="1"/>
  <c r="BJ99" i="6"/>
  <c r="BO59" i="7"/>
  <c r="BO57" i="7" s="1"/>
  <c r="BO96" i="6"/>
  <c r="G33" i="9"/>
  <c r="BT129" i="4"/>
  <c r="AY67" i="3"/>
  <c r="AT58" i="3"/>
  <c r="AT32" i="3"/>
  <c r="AT67" i="3"/>
  <c r="AT57" i="3"/>
  <c r="Q35" i="3"/>
  <c r="AW59" i="3"/>
  <c r="AW68" i="3"/>
  <c r="AW38" i="3"/>
  <c r="AI97" i="8"/>
  <c r="AV68" i="3"/>
  <c r="AZ32" i="3"/>
  <c r="AH97" i="8"/>
  <c r="AL97" i="8" s="1"/>
  <c r="AV38" i="3"/>
  <c r="AV59" i="3"/>
  <c r="BA68" i="3"/>
  <c r="AV31" i="3"/>
  <c r="AW31" i="3" s="1"/>
  <c r="BO82" i="6"/>
  <c r="BO121" i="4"/>
  <c r="BO116" i="4"/>
  <c r="BO83" i="6" s="1"/>
  <c r="BT14" i="7"/>
  <c r="BT9" i="7" s="1"/>
  <c r="BT18" i="7" s="1"/>
  <c r="H17" i="9"/>
  <c r="BT82" i="4"/>
  <c r="BT60" i="6" s="1"/>
  <c r="BT59" i="6"/>
  <c r="BT115" i="4"/>
  <c r="AO90" i="8"/>
  <c r="AC90" i="8"/>
  <c r="Z90" i="8"/>
  <c r="AB87" i="8"/>
  <c r="AA90" i="8"/>
  <c r="BG156" i="4"/>
  <c r="BG11" i="3"/>
  <c r="T92" i="8"/>
  <c r="T91" i="8"/>
  <c r="BC67" i="3"/>
  <c r="BC57" i="3"/>
  <c r="BC32" i="3"/>
  <c r="BC58" i="3"/>
  <c r="BJ153" i="4"/>
  <c r="BJ152" i="4" s="1"/>
  <c r="AP90" i="8"/>
  <c r="AP92" i="8" s="1"/>
  <c r="E78" i="8"/>
  <c r="E79" i="8" s="1"/>
  <c r="D80" i="8"/>
  <c r="E32" i="9"/>
  <c r="D37" i="9"/>
  <c r="AP57" i="3"/>
  <c r="AP58" i="3"/>
  <c r="AP67" i="3"/>
  <c r="E51" i="9"/>
  <c r="E59" i="9" s="1"/>
  <c r="BJ134" i="4"/>
  <c r="BJ101" i="6" s="1"/>
  <c r="BJ103" i="6"/>
  <c r="BY102" i="3"/>
  <c r="BY115" i="3" s="1"/>
  <c r="BY120" i="3" s="1"/>
  <c r="CD103" i="3"/>
  <c r="CD102" i="3" s="1"/>
  <c r="CD115" i="3" s="1"/>
  <c r="CD120" i="3" s="1"/>
  <c r="U87" i="8"/>
  <c r="AK96" i="3"/>
  <c r="CD65" i="6"/>
  <c r="CD16" i="7"/>
  <c r="J21" i="9"/>
  <c r="BE96" i="3"/>
  <c r="BE56" i="3"/>
  <c r="BE80" i="7"/>
  <c r="BE66" i="3"/>
  <c r="Y97" i="8"/>
  <c r="AB97" i="8" s="1"/>
  <c r="AM38" i="3"/>
  <c r="AM68" i="3"/>
  <c r="AM59" i="3"/>
  <c r="AP32" i="3"/>
  <c r="G18" i="9"/>
  <c r="G25" i="9"/>
  <c r="CD43" i="4"/>
  <c r="CD23" i="6"/>
  <c r="BJ118" i="4"/>
  <c r="BJ85" i="6" s="1"/>
  <c r="BJ87" i="6"/>
  <c r="BO84" i="6"/>
  <c r="G28" i="9"/>
  <c r="G29" i="9" s="1"/>
  <c r="BT117" i="4"/>
  <c r="BO49" i="7"/>
  <c r="AM69" i="3" l="1"/>
  <c r="AM39" i="3"/>
  <c r="AP39" i="3" s="1"/>
  <c r="E38" i="9"/>
  <c r="D39" i="9"/>
  <c r="AA92" i="8"/>
  <c r="AA91" i="8"/>
  <c r="AB90" i="8"/>
  <c r="AC92" i="8"/>
  <c r="AC91" i="8"/>
  <c r="AW69" i="3"/>
  <c r="AW39" i="3"/>
  <c r="BO72" i="7"/>
  <c r="BO74" i="7" s="1"/>
  <c r="BO64" i="7"/>
  <c r="BO66" i="7" s="1"/>
  <c r="AK57" i="3"/>
  <c r="AK67" i="3"/>
  <c r="AK58" i="3"/>
  <c r="CD80" i="6"/>
  <c r="J23" i="9"/>
  <c r="CD25" i="7"/>
  <c r="CD27" i="7" s="1"/>
  <c r="CD114" i="4"/>
  <c r="CD81" i="6" s="1"/>
  <c r="AH91" i="8"/>
  <c r="AH92" i="8"/>
  <c r="AR64" i="8"/>
  <c r="BF20" i="3"/>
  <c r="BF63" i="3"/>
  <c r="BF53" i="3"/>
  <c r="S75" i="9"/>
  <c r="T74" i="9"/>
  <c r="T75" i="9" s="1"/>
  <c r="BG65" i="3"/>
  <c r="BG118" i="3"/>
  <c r="BG117" i="3"/>
  <c r="BG64" i="3"/>
  <c r="BY59" i="6"/>
  <c r="I17" i="9"/>
  <c r="I18" i="9" s="1"/>
  <c r="BY82" i="4"/>
  <c r="BY60" i="6" s="1"/>
  <c r="BY14" i="7"/>
  <c r="BJ64" i="7"/>
  <c r="BJ66" i="7" s="1"/>
  <c r="BJ72" i="7"/>
  <c r="BJ74" i="7" s="1"/>
  <c r="BH147" i="4"/>
  <c r="BH143" i="4"/>
  <c r="BH109" i="6" s="1"/>
  <c r="BH10" i="3"/>
  <c r="BH108" i="6"/>
  <c r="AA80" i="8"/>
  <c r="AB107" i="8"/>
  <c r="BE58" i="3"/>
  <c r="E60" i="9" s="1"/>
  <c r="BE67" i="3"/>
  <c r="BE57" i="3"/>
  <c r="AM126" i="8"/>
  <c r="AQ123" i="8"/>
  <c r="AQ122" i="8" s="1"/>
  <c r="BI108" i="6"/>
  <c r="BI10" i="3"/>
  <c r="BI147" i="4"/>
  <c r="BI143" i="4"/>
  <c r="BI109" i="6" s="1"/>
  <c r="H28" i="9"/>
  <c r="H29" i="9" s="1"/>
  <c r="BY117" i="4"/>
  <c r="BT49" i="7"/>
  <c r="BT84" i="6"/>
  <c r="AP59" i="3"/>
  <c r="AP38" i="3"/>
  <c r="AP35" i="3"/>
  <c r="AQ87" i="8"/>
  <c r="AQ90" i="8" s="1"/>
  <c r="AQ92" i="8" s="1"/>
  <c r="BE82" i="7"/>
  <c r="AO91" i="8"/>
  <c r="AO92" i="8"/>
  <c r="AZ35" i="3"/>
  <c r="AZ59" i="3"/>
  <c r="H33" i="9"/>
  <c r="BY129" i="4"/>
  <c r="BT59" i="7"/>
  <c r="BT96" i="6"/>
  <c r="BJ122" i="4"/>
  <c r="BJ89" i="6" s="1"/>
  <c r="BJ148" i="4"/>
  <c r="BJ88" i="6"/>
  <c r="BJ142" i="4"/>
  <c r="AL90" i="8"/>
  <c r="AK91" i="8"/>
  <c r="AK92" i="8"/>
  <c r="BF117" i="3"/>
  <c r="BF64" i="3"/>
  <c r="BY115" i="4"/>
  <c r="BY9" i="7"/>
  <c r="BY18" i="7" s="1"/>
  <c r="AK32" i="3"/>
  <c r="AP68" i="3" s="1"/>
  <c r="AI38" i="3"/>
  <c r="U97" i="8"/>
  <c r="W97" i="8" s="1"/>
  <c r="AI68" i="3"/>
  <c r="AI59" i="3"/>
  <c r="AI35" i="3"/>
  <c r="AK35" i="3" s="1"/>
  <c r="AN68" i="3"/>
  <c r="BH155" i="4"/>
  <c r="BJ150" i="4"/>
  <c r="AR69" i="3"/>
  <c r="AR39" i="3"/>
  <c r="M31" i="9"/>
  <c r="AO108" i="8"/>
  <c r="AO79" i="8"/>
  <c r="BI11" i="3"/>
  <c r="AU96" i="8" s="1"/>
  <c r="BI156" i="4"/>
  <c r="CD29" i="6"/>
  <c r="J7" i="9"/>
  <c r="CD10" i="7"/>
  <c r="CD44" i="4"/>
  <c r="CD30" i="6" s="1"/>
  <c r="J22" i="9"/>
  <c r="K21" i="9"/>
  <c r="L21" i="9" s="1"/>
  <c r="M21" i="9" s="1"/>
  <c r="N21" i="9" s="1"/>
  <c r="O21" i="9" s="1"/>
  <c r="P21" i="9" s="1"/>
  <c r="Q21" i="9" s="1"/>
  <c r="R21" i="9" s="1"/>
  <c r="S21" i="9" s="1"/>
  <c r="T21" i="9" s="1"/>
  <c r="X90" i="8"/>
  <c r="W87" i="8"/>
  <c r="U90" i="8"/>
  <c r="V90" i="8"/>
  <c r="AS96" i="8"/>
  <c r="Z91" i="8"/>
  <c r="Z92" i="8"/>
  <c r="H18" i="9"/>
  <c r="H25" i="9"/>
  <c r="BO148" i="4"/>
  <c r="BO150" i="4" s="1"/>
  <c r="BO122" i="4"/>
  <c r="BO89" i="6" s="1"/>
  <c r="BO88" i="6"/>
  <c r="BO142" i="4"/>
  <c r="AY68" i="3"/>
  <c r="AT59" i="3"/>
  <c r="AF97" i="8"/>
  <c r="AT68" i="3"/>
  <c r="AT38" i="3"/>
  <c r="G34" i="9"/>
  <c r="G37" i="9"/>
  <c r="G38" i="9" s="1"/>
  <c r="BO104" i="6"/>
  <c r="BO151" i="4"/>
  <c r="BO153" i="4" s="1"/>
  <c r="BO138" i="4"/>
  <c r="BO105" i="6" s="1"/>
  <c r="AJ92" i="8"/>
  <c r="AJ91" i="8"/>
  <c r="M5" i="9"/>
  <c r="BG12" i="3"/>
  <c r="AQ77" i="8"/>
  <c r="AQ79" i="8" s="1"/>
  <c r="AQ86" i="8"/>
  <c r="AO69" i="3"/>
  <c r="AJ69" i="3"/>
  <c r="AG107" i="8"/>
  <c r="AF80" i="8"/>
  <c r="BB38" i="3"/>
  <c r="BB68" i="3"/>
  <c r="BE32" i="3"/>
  <c r="BB59" i="3"/>
  <c r="AN97" i="8"/>
  <c r="AG97" i="8"/>
  <c r="F39" i="9"/>
  <c r="F26" i="9"/>
  <c r="G26" i="9"/>
  <c r="G39" i="9"/>
  <c r="BE78" i="7"/>
  <c r="BE47" i="7"/>
  <c r="BE31" i="7"/>
  <c r="BE39" i="7"/>
  <c r="BE22" i="7"/>
  <c r="BE51" i="7"/>
  <c r="BE70" i="7"/>
  <c r="E62" i="9"/>
  <c r="E68" i="9" s="1"/>
  <c r="F78" i="8"/>
  <c r="F79" i="8" s="1"/>
  <c r="E80" i="8"/>
  <c r="BC68" i="3"/>
  <c r="BC59" i="3"/>
  <c r="BC38" i="3"/>
  <c r="AO97" i="8"/>
  <c r="Y90" i="8"/>
  <c r="BT82" i="6"/>
  <c r="BT116" i="4"/>
  <c r="BT83" i="6" s="1"/>
  <c r="BT121" i="4"/>
  <c r="AZ38" i="3"/>
  <c r="BA69" i="3"/>
  <c r="AV69" i="3"/>
  <c r="AV39" i="3"/>
  <c r="AZ39" i="3" s="1"/>
  <c r="BT100" i="6"/>
  <c r="BY133" i="4"/>
  <c r="BT60" i="7"/>
  <c r="BT137" i="4"/>
  <c r="H35" i="9"/>
  <c r="H36" i="9" s="1"/>
  <c r="AZ147" i="4"/>
  <c r="AZ156" i="4" s="1"/>
  <c r="AZ143" i="4"/>
  <c r="AZ109" i="6" s="1"/>
  <c r="BE143" i="4"/>
  <c r="BE109" i="6" s="1"/>
  <c r="AZ108" i="6"/>
  <c r="BF118" i="3"/>
  <c r="BF65" i="3"/>
  <c r="CD55" i="6"/>
  <c r="CD81" i="4"/>
  <c r="CD115" i="4" s="1"/>
  <c r="I8" i="9"/>
  <c r="I25" i="9"/>
  <c r="AH118" i="8"/>
  <c r="AL115" i="8"/>
  <c r="AH121" i="8"/>
  <c r="AU32" i="3"/>
  <c r="AF91" i="8"/>
  <c r="AG90" i="8"/>
  <c r="AF92" i="8"/>
  <c r="AU67" i="3"/>
  <c r="AU58" i="3"/>
  <c r="AU57" i="3"/>
  <c r="BF83" i="8"/>
  <c r="BK42" i="8"/>
  <c r="BF88" i="8"/>
  <c r="BF110" i="8"/>
  <c r="BF45" i="8"/>
  <c r="CD82" i="6" l="1"/>
  <c r="CD116" i="4"/>
  <c r="CD83" i="6" s="1"/>
  <c r="AU59" i="3"/>
  <c r="AU68" i="3"/>
  <c r="AU35" i="3"/>
  <c r="AU38" i="3"/>
  <c r="AU69" i="3" s="1"/>
  <c r="I26" i="9"/>
  <c r="BC69" i="3"/>
  <c r="BC39" i="3"/>
  <c r="G78" i="8"/>
  <c r="G79" i="8" s="1"/>
  <c r="F80" i="8"/>
  <c r="F44" i="9"/>
  <c r="F40" i="9"/>
  <c r="BB39" i="3"/>
  <c r="BB69" i="3"/>
  <c r="V91" i="8"/>
  <c r="W90" i="8"/>
  <c r="V92" i="8"/>
  <c r="AU14" i="8"/>
  <c r="AV14" i="8" s="1"/>
  <c r="AU28" i="8"/>
  <c r="BY82" i="6"/>
  <c r="BY116" i="4"/>
  <c r="BY83" i="6" s="1"/>
  <c r="BY121" i="4"/>
  <c r="BT57" i="7"/>
  <c r="BY49" i="7"/>
  <c r="I28" i="9"/>
  <c r="I29" i="9" s="1"/>
  <c r="CD117" i="4"/>
  <c r="BY84" i="6"/>
  <c r="AU95" i="8"/>
  <c r="AU13" i="8" s="1"/>
  <c r="AV13" i="8" s="1"/>
  <c r="BI46" i="3"/>
  <c r="BI12" i="3"/>
  <c r="BI62" i="3"/>
  <c r="BI49" i="3"/>
  <c r="BI15" i="3"/>
  <c r="BI14" i="3"/>
  <c r="BG121" i="3"/>
  <c r="D49" i="9"/>
  <c r="D47" i="9"/>
  <c r="D48" i="9"/>
  <c r="D44" i="9"/>
  <c r="D58" i="9"/>
  <c r="D50" i="9"/>
  <c r="E40" i="9"/>
  <c r="AH126" i="8"/>
  <c r="AL121" i="8"/>
  <c r="AH123" i="8"/>
  <c r="BT138" i="4"/>
  <c r="BT105" i="6" s="1"/>
  <c r="BT151" i="4"/>
  <c r="BT153" i="4" s="1"/>
  <c r="BT104" i="6"/>
  <c r="AZ69" i="3"/>
  <c r="E69" i="9"/>
  <c r="E71" i="9"/>
  <c r="G44" i="9"/>
  <c r="G40" i="9"/>
  <c r="AR115" i="8"/>
  <c r="AV115" i="8"/>
  <c r="N5" i="9"/>
  <c r="AY69" i="3"/>
  <c r="AT39" i="3"/>
  <c r="AT69" i="3"/>
  <c r="BO155" i="4"/>
  <c r="U92" i="8"/>
  <c r="U91" i="8"/>
  <c r="J8" i="9"/>
  <c r="K7" i="9"/>
  <c r="AO80" i="8"/>
  <c r="AP78" i="8"/>
  <c r="AI69" i="3"/>
  <c r="AN69" i="3"/>
  <c r="BY96" i="6"/>
  <c r="I33" i="9"/>
  <c r="CD129" i="4"/>
  <c r="BY59" i="7"/>
  <c r="BY57" i="7" s="1"/>
  <c r="AB92" i="8"/>
  <c r="AB91" i="8"/>
  <c r="Y92" i="8"/>
  <c r="Y91" i="8"/>
  <c r="AQ97" i="8"/>
  <c r="BE38" i="3"/>
  <c r="BE68" i="3"/>
  <c r="BE35" i="3"/>
  <c r="BE59" i="3"/>
  <c r="AR78" i="8"/>
  <c r="AR108" i="8" s="1"/>
  <c r="AV78" i="8"/>
  <c r="BO143" i="4"/>
  <c r="BO109" i="6" s="1"/>
  <c r="BO108" i="6"/>
  <c r="BO10" i="3"/>
  <c r="BO147" i="4"/>
  <c r="H26" i="9"/>
  <c r="N31" i="9"/>
  <c r="BJ155" i="4"/>
  <c r="BJ149" i="4"/>
  <c r="AK59" i="3"/>
  <c r="AK68" i="3"/>
  <c r="AK38" i="3"/>
  <c r="BF121" i="3"/>
  <c r="AL91" i="8"/>
  <c r="AL92" i="8"/>
  <c r="H37" i="9"/>
  <c r="H38" i="9" s="1"/>
  <c r="H34" i="9"/>
  <c r="AT95" i="8"/>
  <c r="AT13" i="8" s="1"/>
  <c r="BH62" i="3"/>
  <c r="BH46" i="3"/>
  <c r="BH15" i="3"/>
  <c r="BH14" i="3"/>
  <c r="BH49" i="3"/>
  <c r="BJ10" i="3"/>
  <c r="J24" i="9"/>
  <c r="K23" i="9"/>
  <c r="L23" i="9" s="1"/>
  <c r="M23" i="9" s="1"/>
  <c r="N23" i="9" s="1"/>
  <c r="O23" i="9" s="1"/>
  <c r="P23" i="9" s="1"/>
  <c r="Q23" i="9" s="1"/>
  <c r="R23" i="9" s="1"/>
  <c r="S23" i="9" s="1"/>
  <c r="T23" i="9" s="1"/>
  <c r="AG91" i="8"/>
  <c r="AG92" i="8"/>
  <c r="CD82" i="4"/>
  <c r="CD60" i="6" s="1"/>
  <c r="CD14" i="7"/>
  <c r="CD9" i="7" s="1"/>
  <c r="CD18" i="7" s="1"/>
  <c r="CD59" i="6"/>
  <c r="J17" i="9"/>
  <c r="BP42" i="8"/>
  <c r="BK88" i="8"/>
  <c r="BK45" i="8"/>
  <c r="BK110" i="8"/>
  <c r="BK83" i="8"/>
  <c r="BY60" i="7"/>
  <c r="CD133" i="4"/>
  <c r="BY100" i="6"/>
  <c r="BY137" i="4"/>
  <c r="I35" i="9"/>
  <c r="I36" i="9" s="1"/>
  <c r="BT142" i="4"/>
  <c r="BT88" i="6"/>
  <c r="BT148" i="4"/>
  <c r="BT150" i="4" s="1"/>
  <c r="BT155" i="4" s="1"/>
  <c r="BT122" i="4"/>
  <c r="BT89" i="6" s="1"/>
  <c r="BE55" i="7"/>
  <c r="BE50" i="7"/>
  <c r="BG20" i="3"/>
  <c r="BG63" i="3"/>
  <c r="BG53" i="3"/>
  <c r="AS14" i="8"/>
  <c r="AS64" i="8" s="1"/>
  <c r="AS28" i="8"/>
  <c r="AS39" i="8" s="1"/>
  <c r="AS46" i="8" s="1"/>
  <c r="X91" i="8"/>
  <c r="X92" i="8"/>
  <c r="AU39" i="3"/>
  <c r="BH11" i="3"/>
  <c r="BH156" i="4"/>
  <c r="CF87" i="4"/>
  <c r="CF56" i="4"/>
  <c r="CF73" i="4"/>
  <c r="BJ143" i="4"/>
  <c r="BJ109" i="6" s="1"/>
  <c r="CF53" i="4"/>
  <c r="BJ108" i="6"/>
  <c r="CF59" i="4"/>
  <c r="CF43" i="4"/>
  <c r="BJ147" i="4"/>
  <c r="CF84" i="4"/>
  <c r="CF27" i="4"/>
  <c r="CF81" i="4"/>
  <c r="CF117" i="4"/>
  <c r="CF113" i="4"/>
  <c r="CF137" i="4"/>
  <c r="AZ68" i="3"/>
  <c r="AP69" i="3"/>
  <c r="BF80" i="7"/>
  <c r="BF51" i="7" s="1"/>
  <c r="BF56" i="3"/>
  <c r="BF26" i="3"/>
  <c r="BF96" i="3"/>
  <c r="AR87" i="8" s="1"/>
  <c r="BF66" i="3"/>
  <c r="AR90" i="8" l="1"/>
  <c r="AR92" i="8" s="1"/>
  <c r="AT96" i="8"/>
  <c r="BJ11" i="3"/>
  <c r="BG56" i="3"/>
  <c r="BG80" i="7"/>
  <c r="BG51" i="7" s="1"/>
  <c r="BG96" i="3"/>
  <c r="AS87" i="8" s="1"/>
  <c r="AS90" i="8" s="1"/>
  <c r="AS92" i="8" s="1"/>
  <c r="BG66" i="3"/>
  <c r="BG26" i="3"/>
  <c r="BT11" i="3"/>
  <c r="BY151" i="4"/>
  <c r="BY153" i="4" s="1"/>
  <c r="BY138" i="4"/>
  <c r="BY105" i="6" s="1"/>
  <c r="BY104" i="6"/>
  <c r="BP110" i="8"/>
  <c r="BP45" i="8"/>
  <c r="BP88" i="8"/>
  <c r="BP83" i="8"/>
  <c r="BH65" i="3"/>
  <c r="BH118" i="3"/>
  <c r="BJ15" i="3"/>
  <c r="I34" i="9"/>
  <c r="I37" i="9"/>
  <c r="I38" i="9" s="1"/>
  <c r="AP108" i="8"/>
  <c r="AQ108" i="8" s="1"/>
  <c r="AP79" i="8"/>
  <c r="AP11" i="8" s="1"/>
  <c r="O5" i="9"/>
  <c r="BT72" i="7"/>
  <c r="BT74" i="7" s="1"/>
  <c r="BT64" i="7"/>
  <c r="BT66" i="7" s="1"/>
  <c r="AU39" i="8"/>
  <c r="AU46" i="8" s="1"/>
  <c r="AV28" i="8"/>
  <c r="W92" i="8"/>
  <c r="W91" i="8"/>
  <c r="G80" i="8"/>
  <c r="I78" i="8"/>
  <c r="J18" i="9"/>
  <c r="K17" i="9"/>
  <c r="L17" i="9" s="1"/>
  <c r="M17" i="9" s="1"/>
  <c r="N17" i="9" s="1"/>
  <c r="O17" i="9" s="1"/>
  <c r="P17" i="9" s="1"/>
  <c r="Q17" i="9" s="1"/>
  <c r="R17" i="9" s="1"/>
  <c r="S17" i="9" s="1"/>
  <c r="T17" i="9" s="1"/>
  <c r="AV95" i="8"/>
  <c r="BJ46" i="3"/>
  <c r="BJ62" i="3"/>
  <c r="BJ49" i="3"/>
  <c r="BJ12" i="3"/>
  <c r="BO62" i="3"/>
  <c r="BO46" i="3"/>
  <c r="BA95" i="8"/>
  <c r="BA13" i="8" s="1"/>
  <c r="BO15" i="3"/>
  <c r="BO49" i="3"/>
  <c r="BO14" i="3"/>
  <c r="BE69" i="3"/>
  <c r="BE44" i="3"/>
  <c r="BE47" i="3"/>
  <c r="BE39" i="3"/>
  <c r="BI64" i="3"/>
  <c r="BI117" i="3"/>
  <c r="BI20" i="3"/>
  <c r="BI63" i="3"/>
  <c r="BI53" i="3"/>
  <c r="CD49" i="7"/>
  <c r="J28" i="9"/>
  <c r="CD84" i="6"/>
  <c r="BY142" i="4"/>
  <c r="BY88" i="6"/>
  <c r="BY148" i="4"/>
  <c r="BY150" i="4" s="1"/>
  <c r="BY155" i="4" s="1"/>
  <c r="BY122" i="4"/>
  <c r="BY89" i="6" s="1"/>
  <c r="BF27" i="3"/>
  <c r="BF32" i="3"/>
  <c r="BF67" i="3"/>
  <c r="BF57" i="3"/>
  <c r="BT108" i="6"/>
  <c r="BT147" i="4"/>
  <c r="BT156" i="4" s="1"/>
  <c r="BT10" i="3"/>
  <c r="BT143" i="4"/>
  <c r="BT109" i="6" s="1"/>
  <c r="CD60" i="7"/>
  <c r="CD137" i="4"/>
  <c r="J35" i="9"/>
  <c r="CD100" i="6"/>
  <c r="BJ156" i="4"/>
  <c r="H39" i="9"/>
  <c r="BY72" i="7"/>
  <c r="BY74" i="7" s="1"/>
  <c r="BY64" i="7"/>
  <c r="BY66" i="7" s="1"/>
  <c r="J25" i="9"/>
  <c r="AR118" i="8"/>
  <c r="AR121" i="8"/>
  <c r="D51" i="9"/>
  <c r="D59" i="9" s="1"/>
  <c r="D62" i="9" s="1"/>
  <c r="D68" i="9"/>
  <c r="D69" i="9" s="1"/>
  <c r="BI65" i="3"/>
  <c r="BI118" i="3"/>
  <c r="CD121" i="4"/>
  <c r="BH64" i="3"/>
  <c r="BH117" i="3"/>
  <c r="BH121" i="3" s="1"/>
  <c r="BJ14" i="3"/>
  <c r="BH12" i="3"/>
  <c r="O31" i="9"/>
  <c r="J33" i="9"/>
  <c r="CD96" i="6"/>
  <c r="CD59" i="7"/>
  <c r="CD57" i="7" s="1"/>
  <c r="L7" i="9"/>
  <c r="K25" i="9"/>
  <c r="BO11" i="3"/>
  <c r="BO12" i="3" s="1"/>
  <c r="BO156" i="4"/>
  <c r="AV101" i="8"/>
  <c r="I39" i="9"/>
  <c r="BO20" i="3" l="1"/>
  <c r="BO63" i="3"/>
  <c r="BO53" i="3"/>
  <c r="AR58" i="8"/>
  <c r="AR97" i="8"/>
  <c r="BF59" i="3"/>
  <c r="BF68" i="3"/>
  <c r="BY11" i="3"/>
  <c r="J29" i="9"/>
  <c r="K28" i="9"/>
  <c r="L28" i="9" s="1"/>
  <c r="M28" i="9" s="1"/>
  <c r="N28" i="9" s="1"/>
  <c r="O28" i="9" s="1"/>
  <c r="P28" i="9" s="1"/>
  <c r="Q28" i="9" s="1"/>
  <c r="R28" i="9" s="1"/>
  <c r="S28" i="9" s="1"/>
  <c r="T28" i="9" s="1"/>
  <c r="BI80" i="7"/>
  <c r="BI51" i="7" s="1"/>
  <c r="BI96" i="3"/>
  <c r="AU87" i="8" s="1"/>
  <c r="BI26" i="3"/>
  <c r="BI66" i="3"/>
  <c r="BI56" i="3"/>
  <c r="G56" i="9"/>
  <c r="G49" i="9" s="1"/>
  <c r="BO117" i="3"/>
  <c r="BO64" i="3"/>
  <c r="AQ11" i="8"/>
  <c r="AP89" i="8"/>
  <c r="AP91" i="8" s="1"/>
  <c r="AP80" i="8"/>
  <c r="AP18" i="8"/>
  <c r="AP26" i="8" s="1"/>
  <c r="AP54" i="8" s="1"/>
  <c r="AP82" i="8"/>
  <c r="AP84" i="8" s="1"/>
  <c r="AV96" i="8"/>
  <c r="AV102" i="8" s="1"/>
  <c r="F54" i="9"/>
  <c r="J34" i="9"/>
  <c r="K33" i="9"/>
  <c r="J37" i="9"/>
  <c r="J38" i="9" s="1"/>
  <c r="P31" i="9"/>
  <c r="CD148" i="4"/>
  <c r="CD150" i="4" s="1"/>
  <c r="CD122" i="4"/>
  <c r="CD89" i="6" s="1"/>
  <c r="CD142" i="4"/>
  <c r="CD88" i="6"/>
  <c r="BI121" i="3"/>
  <c r="AQ107" i="8"/>
  <c r="AT14" i="8"/>
  <c r="AT28" i="8"/>
  <c r="AT39" i="8" s="1"/>
  <c r="AT46" i="8" s="1"/>
  <c r="K26" i="9"/>
  <c r="BJ117" i="3"/>
  <c r="BJ64" i="3"/>
  <c r="F56" i="9"/>
  <c r="F49" i="9" s="1"/>
  <c r="BJ54" i="3"/>
  <c r="CD104" i="6"/>
  <c r="CD151" i="4"/>
  <c r="CD153" i="4" s="1"/>
  <c r="CD138" i="4"/>
  <c r="CD105" i="6" s="1"/>
  <c r="M7" i="9"/>
  <c r="L25" i="9"/>
  <c r="AR123" i="8"/>
  <c r="BY143" i="4"/>
  <c r="BY109" i="6" s="1"/>
  <c r="BY10" i="3"/>
  <c r="BY147" i="4"/>
  <c r="BY156" i="4" s="1"/>
  <c r="BY108" i="6"/>
  <c r="BO65" i="3"/>
  <c r="BO118" i="3"/>
  <c r="G55" i="9"/>
  <c r="G48" i="9" s="1"/>
  <c r="M78" i="8"/>
  <c r="M79" i="8" s="1"/>
  <c r="M80" i="8" s="1"/>
  <c r="I79" i="8"/>
  <c r="AV39" i="8"/>
  <c r="AV46" i="8" s="1"/>
  <c r="AV103" i="8"/>
  <c r="P5" i="9"/>
  <c r="BJ118" i="3"/>
  <c r="F55" i="9"/>
  <c r="F48" i="9" s="1"/>
  <c r="BJ55" i="3"/>
  <c r="BJ65" i="3"/>
  <c r="BF96" i="8"/>
  <c r="H54" i="9"/>
  <c r="J26" i="9"/>
  <c r="J39" i="9"/>
  <c r="CD64" i="7"/>
  <c r="CD66" i="7" s="1"/>
  <c r="CD72" i="7"/>
  <c r="CD74" i="7" s="1"/>
  <c r="I40" i="9"/>
  <c r="BA96" i="8"/>
  <c r="G54" i="9"/>
  <c r="BH53" i="3"/>
  <c r="BH20" i="3"/>
  <c r="BH63" i="3"/>
  <c r="H40" i="9"/>
  <c r="K35" i="9"/>
  <c r="L35" i="9" s="1"/>
  <c r="M35" i="9" s="1"/>
  <c r="N35" i="9" s="1"/>
  <c r="O35" i="9" s="1"/>
  <c r="P35" i="9" s="1"/>
  <c r="Q35" i="9" s="1"/>
  <c r="R35" i="9" s="1"/>
  <c r="S35" i="9" s="1"/>
  <c r="T35" i="9" s="1"/>
  <c r="J36" i="9"/>
  <c r="BF95" i="8"/>
  <c r="BF13" i="8" s="1"/>
  <c r="BT12" i="3"/>
  <c r="BT62" i="3"/>
  <c r="BT46" i="3"/>
  <c r="BT15" i="3"/>
  <c r="BT14" i="3"/>
  <c r="BT49" i="3"/>
  <c r="BJ53" i="3"/>
  <c r="BJ63" i="3"/>
  <c r="BJ20" i="3"/>
  <c r="BG67" i="3"/>
  <c r="BG27" i="3"/>
  <c r="BG32" i="3" s="1"/>
  <c r="BG57" i="3"/>
  <c r="AS97" i="8" l="1"/>
  <c r="BG59" i="3"/>
  <c r="BG68" i="3"/>
  <c r="AS58" i="8"/>
  <c r="AS65" i="8" s="1"/>
  <c r="AS86" i="8" s="1"/>
  <c r="AT115" i="8" s="1"/>
  <c r="BT53" i="3"/>
  <c r="BT63" i="3"/>
  <c r="BT20" i="3"/>
  <c r="BH26" i="3"/>
  <c r="BH96" i="3"/>
  <c r="AT87" i="8" s="1"/>
  <c r="BH56" i="3"/>
  <c r="BH80" i="7"/>
  <c r="BH51" i="7" s="1"/>
  <c r="BH66" i="3"/>
  <c r="BF14" i="8"/>
  <c r="BF28" i="8"/>
  <c r="BF39" i="8" s="1"/>
  <c r="BF46" i="8" s="1"/>
  <c r="Q5" i="9"/>
  <c r="N7" i="9"/>
  <c r="M25" i="9"/>
  <c r="AU64" i="8"/>
  <c r="AT64" i="8"/>
  <c r="AV64" i="8" s="1"/>
  <c r="F64" i="9" s="1"/>
  <c r="CD147" i="4"/>
  <c r="CD10" i="3"/>
  <c r="CD108" i="6"/>
  <c r="CD143" i="4"/>
  <c r="CD109" i="6" s="1"/>
  <c r="F57" i="9"/>
  <c r="F47" i="9"/>
  <c r="AR49" i="8"/>
  <c r="AR65" i="8"/>
  <c r="AR86" i="8" s="1"/>
  <c r="AS115" i="8" s="1"/>
  <c r="J40" i="9"/>
  <c r="BO121" i="3"/>
  <c r="BI67" i="3"/>
  <c r="BI27" i="3"/>
  <c r="BI32" i="3"/>
  <c r="BI57" i="3"/>
  <c r="H56" i="9"/>
  <c r="H49" i="9" s="1"/>
  <c r="BT64" i="3"/>
  <c r="BT117" i="3"/>
  <c r="BT121" i="3" s="1"/>
  <c r="H55" i="9"/>
  <c r="H48" i="9" s="1"/>
  <c r="BT65" i="3"/>
  <c r="BT118" i="3"/>
  <c r="BF64" i="8"/>
  <c r="H64" i="9" s="1"/>
  <c r="G47" i="9"/>
  <c r="G57" i="9"/>
  <c r="BY46" i="3"/>
  <c r="BY12" i="3"/>
  <c r="BY49" i="3"/>
  <c r="BY15" i="3"/>
  <c r="BK95" i="8"/>
  <c r="BK13" i="8" s="1"/>
  <c r="BY14" i="3"/>
  <c r="BY62" i="3"/>
  <c r="AR126" i="8"/>
  <c r="BF33" i="3" s="1"/>
  <c r="AR72" i="8"/>
  <c r="CD155" i="4"/>
  <c r="L33" i="9"/>
  <c r="K37" i="9"/>
  <c r="AQ82" i="8"/>
  <c r="AQ84" i="8" s="1"/>
  <c r="AQ80" i="8"/>
  <c r="AQ89" i="8"/>
  <c r="AQ91" i="8" s="1"/>
  <c r="AQ18" i="8"/>
  <c r="AQ26" i="8" s="1"/>
  <c r="AQ54" i="8" s="1"/>
  <c r="BJ26" i="3"/>
  <c r="BJ96" i="3"/>
  <c r="BJ66" i="3"/>
  <c r="BJ56" i="3"/>
  <c r="BJ80" i="7"/>
  <c r="BA28" i="8"/>
  <c r="BA39" i="8" s="1"/>
  <c r="BA46" i="8" s="1"/>
  <c r="BA14" i="8"/>
  <c r="BA64" i="8" s="1"/>
  <c r="G64" i="9" s="1"/>
  <c r="H47" i="9"/>
  <c r="H57" i="9"/>
  <c r="J78" i="8"/>
  <c r="J79" i="8" s="1"/>
  <c r="I80" i="8"/>
  <c r="L26" i="9"/>
  <c r="BJ121" i="3"/>
  <c r="Q31" i="9"/>
  <c r="BK96" i="8"/>
  <c r="I54" i="9"/>
  <c r="BO66" i="3"/>
  <c r="BO96" i="3"/>
  <c r="BO26" i="3"/>
  <c r="BO56" i="3"/>
  <c r="BO80" i="7"/>
  <c r="AU97" i="8" l="1"/>
  <c r="BI68" i="3"/>
  <c r="AU58" i="8"/>
  <c r="AU65" i="8" s="1"/>
  <c r="AU86" i="8" s="1"/>
  <c r="BI59" i="3"/>
  <c r="CD46" i="3"/>
  <c r="BP95" i="8"/>
  <c r="BP13" i="8" s="1"/>
  <c r="CD49" i="3"/>
  <c r="CD62" i="3"/>
  <c r="CD14" i="3"/>
  <c r="CD15" i="3"/>
  <c r="M26" i="9"/>
  <c r="BT26" i="3"/>
  <c r="BT66" i="3"/>
  <c r="BT80" i="7"/>
  <c r="BT96" i="3"/>
  <c r="BT56" i="3"/>
  <c r="AT118" i="8"/>
  <c r="AT121" i="8"/>
  <c r="AT123" i="8" s="1"/>
  <c r="BJ22" i="7"/>
  <c r="AZ88" i="7" s="1"/>
  <c r="BJ39" i="7"/>
  <c r="AZ90" i="7" s="1"/>
  <c r="BJ51" i="7"/>
  <c r="BJ47" i="7"/>
  <c r="AZ91" i="7" s="1"/>
  <c r="BJ31" i="7"/>
  <c r="AZ89" i="7" s="1"/>
  <c r="BJ78" i="7"/>
  <c r="BJ70" i="7"/>
  <c r="AZ93" i="7" s="1"/>
  <c r="BO51" i="7"/>
  <c r="BO39" i="7"/>
  <c r="BO47" i="7"/>
  <c r="BO31" i="7"/>
  <c r="BO22" i="7"/>
  <c r="BO78" i="7"/>
  <c r="BO70" i="7"/>
  <c r="K38" i="9"/>
  <c r="K39" i="9"/>
  <c r="AR48" i="8"/>
  <c r="AR75" i="8"/>
  <c r="AR77" i="8" s="1"/>
  <c r="AR79" i="8" s="1"/>
  <c r="F50" i="9"/>
  <c r="F58" i="9"/>
  <c r="O7" i="9"/>
  <c r="N25" i="9"/>
  <c r="BA87" i="8"/>
  <c r="BA90" i="8" s="1"/>
  <c r="BA92" i="8" s="1"/>
  <c r="BO82" i="7"/>
  <c r="C88" i="9"/>
  <c r="D98" i="9" s="1"/>
  <c r="BJ96" i="7"/>
  <c r="BJ112" i="7" s="1"/>
  <c r="BJ128" i="7" s="1"/>
  <c r="BY64" i="3"/>
  <c r="BY117" i="3"/>
  <c r="I56" i="9"/>
  <c r="I49" i="9" s="1"/>
  <c r="M33" i="9"/>
  <c r="L37" i="9"/>
  <c r="AR98" i="8"/>
  <c r="BF38" i="3"/>
  <c r="BY118" i="3"/>
  <c r="BY65" i="3"/>
  <c r="I55" i="9"/>
  <c r="I48" i="9" s="1"/>
  <c r="G50" i="9"/>
  <c r="G58" i="9"/>
  <c r="AS118" i="8"/>
  <c r="AS121" i="8"/>
  <c r="AU90" i="8"/>
  <c r="AU92" i="8" s="1"/>
  <c r="AT90" i="8"/>
  <c r="AT92" i="8" s="1"/>
  <c r="BJ57" i="3"/>
  <c r="BJ67" i="3"/>
  <c r="BY20" i="3"/>
  <c r="BY53" i="3"/>
  <c r="BY63" i="3"/>
  <c r="R31" i="9"/>
  <c r="I47" i="9"/>
  <c r="I57" i="9"/>
  <c r="J80" i="8"/>
  <c r="K78" i="8"/>
  <c r="K79" i="8" s="1"/>
  <c r="BO57" i="3"/>
  <c r="BO67" i="3"/>
  <c r="BO27" i="3"/>
  <c r="G61" i="9" s="1"/>
  <c r="BK28" i="8"/>
  <c r="BK39" i="8" s="1"/>
  <c r="BK46" i="8" s="1"/>
  <c r="BK14" i="8"/>
  <c r="H50" i="9"/>
  <c r="H58" i="9"/>
  <c r="BJ82" i="7"/>
  <c r="AV87" i="8"/>
  <c r="AV90" i="8" s="1"/>
  <c r="CD11" i="3"/>
  <c r="CD156" i="4"/>
  <c r="AS49" i="8"/>
  <c r="R5" i="9"/>
  <c r="BH67" i="3"/>
  <c r="BH32" i="3"/>
  <c r="BH57" i="3"/>
  <c r="BH27" i="3"/>
  <c r="BJ27" i="3" s="1"/>
  <c r="P7" i="9" l="1"/>
  <c r="O25" i="9"/>
  <c r="AZ109" i="7"/>
  <c r="BJ93" i="7"/>
  <c r="BJ50" i="7"/>
  <c r="BJ55" i="7"/>
  <c r="AZ92" i="7" s="1"/>
  <c r="J55" i="9"/>
  <c r="J48" i="9" s="1"/>
  <c r="K48" i="9" s="1"/>
  <c r="CD65" i="3"/>
  <c r="CD118" i="3"/>
  <c r="K80" i="8"/>
  <c r="L78" i="8"/>
  <c r="L79" i="8" s="1"/>
  <c r="BY96" i="3"/>
  <c r="BY26" i="3"/>
  <c r="BY66" i="3"/>
  <c r="BY80" i="7"/>
  <c r="BY56" i="3"/>
  <c r="G51" i="9"/>
  <c r="G59" i="9" s="1"/>
  <c r="G62" i="9" s="1"/>
  <c r="BY121" i="3"/>
  <c r="F51" i="9"/>
  <c r="F59" i="9" s="1"/>
  <c r="AR11" i="8"/>
  <c r="AS78" i="8"/>
  <c r="AS108" i="8" s="1"/>
  <c r="AZ106" i="7"/>
  <c r="BJ90" i="7"/>
  <c r="BT67" i="3"/>
  <c r="BT32" i="3"/>
  <c r="BT57" i="3"/>
  <c r="BT27" i="3"/>
  <c r="H61" i="9" s="1"/>
  <c r="CD117" i="3"/>
  <c r="CD121" i="3" s="1"/>
  <c r="J56" i="9"/>
  <c r="J49" i="9" s="1"/>
  <c r="K49" i="9" s="1"/>
  <c r="CD64" i="3"/>
  <c r="F61" i="9"/>
  <c r="BJ58" i="3"/>
  <c r="F60" i="9" s="1"/>
  <c r="S5" i="9"/>
  <c r="J54" i="9"/>
  <c r="BP96" i="8"/>
  <c r="S31" i="9"/>
  <c r="BF44" i="3"/>
  <c r="BF39" i="3"/>
  <c r="BF47" i="3"/>
  <c r="BF69" i="3"/>
  <c r="L38" i="9"/>
  <c r="L39" i="9"/>
  <c r="AR51" i="8"/>
  <c r="AR53" i="8" s="1"/>
  <c r="BJ89" i="7"/>
  <c r="AZ105" i="7"/>
  <c r="BJ88" i="7"/>
  <c r="AZ94" i="7"/>
  <c r="AZ104" i="7"/>
  <c r="BF87" i="8"/>
  <c r="BF90" i="8" s="1"/>
  <c r="BF92" i="8" s="1"/>
  <c r="BT82" i="7"/>
  <c r="AT97" i="8"/>
  <c r="BH68" i="3"/>
  <c r="BH59" i="3"/>
  <c r="AT58" i="8"/>
  <c r="H51" i="9"/>
  <c r="BR91" i="8"/>
  <c r="AV92" i="8"/>
  <c r="BK64" i="8"/>
  <c r="I64" i="9" s="1"/>
  <c r="BO32" i="3"/>
  <c r="I50" i="9"/>
  <c r="I58" i="9"/>
  <c r="BJ32" i="3"/>
  <c r="AS123" i="8"/>
  <c r="N33" i="9"/>
  <c r="M37" i="9"/>
  <c r="N26" i="9"/>
  <c r="K40" i="9"/>
  <c r="BO50" i="7"/>
  <c r="BO55" i="7"/>
  <c r="AZ107" i="7"/>
  <c r="BJ91" i="7"/>
  <c r="AT126" i="8"/>
  <c r="AT72" i="8"/>
  <c r="AT75" i="8" s="1"/>
  <c r="BT47" i="7"/>
  <c r="BT51" i="7"/>
  <c r="BT39" i="7"/>
  <c r="BT31" i="7"/>
  <c r="BT22" i="7"/>
  <c r="BT70" i="7"/>
  <c r="BT78" i="7"/>
  <c r="CD12" i="3"/>
  <c r="CD63" i="3" l="1"/>
  <c r="CD20" i="3"/>
  <c r="CD53" i="3"/>
  <c r="BT50" i="7"/>
  <c r="BT55" i="7"/>
  <c r="BJ106" i="7"/>
  <c r="AZ122" i="7"/>
  <c r="BJ122" i="7" s="1"/>
  <c r="BK87" i="8"/>
  <c r="BK90" i="8" s="1"/>
  <c r="BK92" i="8" s="1"/>
  <c r="BY82" i="7"/>
  <c r="AZ123" i="7"/>
  <c r="BJ123" i="7" s="1"/>
  <c r="BJ107" i="7"/>
  <c r="AS72" i="8"/>
  <c r="AS126" i="8"/>
  <c r="BG33" i="3" s="1"/>
  <c r="BA58" i="8"/>
  <c r="BA65" i="8" s="1"/>
  <c r="BA86" i="8" s="1"/>
  <c r="BF115" i="8" s="1"/>
  <c r="BO59" i="3"/>
  <c r="BO68" i="3"/>
  <c r="BA97" i="8"/>
  <c r="AZ121" i="7"/>
  <c r="BJ121" i="7" s="1"/>
  <c r="BJ105" i="7"/>
  <c r="L40" i="9"/>
  <c r="BP28" i="8"/>
  <c r="BP39" i="8" s="1"/>
  <c r="BP46" i="8" s="1"/>
  <c r="BP14" i="8"/>
  <c r="BP64" i="8" s="1"/>
  <c r="J64" i="9" s="1"/>
  <c r="K64" i="9" s="1"/>
  <c r="L64" i="9" s="1"/>
  <c r="M64" i="9" s="1"/>
  <c r="N64" i="9" s="1"/>
  <c r="O64" i="9" s="1"/>
  <c r="P64" i="9" s="1"/>
  <c r="Q64" i="9" s="1"/>
  <c r="R64" i="9" s="1"/>
  <c r="S64" i="9" s="1"/>
  <c r="T64" i="9" s="1"/>
  <c r="K56" i="9"/>
  <c r="L49" i="9"/>
  <c r="BT68" i="3"/>
  <c r="BF97" i="8"/>
  <c r="BF58" i="8"/>
  <c r="BF65" i="8" s="1"/>
  <c r="BF86" i="8" s="1"/>
  <c r="BK115" i="8" s="1"/>
  <c r="BT59" i="3"/>
  <c r="BY39" i="7"/>
  <c r="BY51" i="7"/>
  <c r="BY47" i="7"/>
  <c r="BY31" i="7"/>
  <c r="BY22" i="7"/>
  <c r="BY70" i="7"/>
  <c r="BY78" i="7"/>
  <c r="L80" i="8"/>
  <c r="N78" i="8"/>
  <c r="L48" i="9"/>
  <c r="K55" i="9"/>
  <c r="AZ125" i="7"/>
  <c r="BJ125" i="7" s="1"/>
  <c r="BJ109" i="7"/>
  <c r="J57" i="9"/>
  <c r="J47" i="9"/>
  <c r="K47" i="9" s="1"/>
  <c r="AR80" i="8"/>
  <c r="AR89" i="8"/>
  <c r="AR91" i="8" s="1"/>
  <c r="AR18" i="8"/>
  <c r="AR26" i="8" s="1"/>
  <c r="AR54" i="8" s="1"/>
  <c r="AR82" i="8"/>
  <c r="AR84" i="8" s="1"/>
  <c r="AZ108" i="7"/>
  <c r="BJ92" i="7"/>
  <c r="BJ94" i="7" s="1"/>
  <c r="O26" i="9"/>
  <c r="M38" i="9"/>
  <c r="M39" i="9"/>
  <c r="BJ59" i="3"/>
  <c r="AV97" i="8"/>
  <c r="BJ68" i="3"/>
  <c r="BJ104" i="7"/>
  <c r="AZ120" i="7"/>
  <c r="AZ110" i="7"/>
  <c r="O33" i="9"/>
  <c r="N37" i="9"/>
  <c r="I51" i="9"/>
  <c r="AT65" i="8"/>
  <c r="AT86" i="8" s="1"/>
  <c r="AU115" i="8" s="1"/>
  <c r="AV58" i="8"/>
  <c r="AV65" i="8" s="1"/>
  <c r="AV86" i="8" s="1"/>
  <c r="BA115" i="8" s="1"/>
  <c r="T31" i="9"/>
  <c r="T5" i="9"/>
  <c r="AT49" i="8"/>
  <c r="AU49" i="8" s="1"/>
  <c r="AV49" i="8" s="1"/>
  <c r="BA49" i="8" s="1"/>
  <c r="BF49" i="8" s="1"/>
  <c r="F62" i="9"/>
  <c r="F68" i="9" s="1"/>
  <c r="G68" i="9"/>
  <c r="BY27" i="3"/>
  <c r="I61" i="9" s="1"/>
  <c r="BY32" i="3"/>
  <c r="BY57" i="3"/>
  <c r="BY67" i="3"/>
  <c r="Q7" i="9"/>
  <c r="P25" i="9"/>
  <c r="F71" i="9" l="1"/>
  <c r="F76" i="9" s="1"/>
  <c r="F69" i="9"/>
  <c r="BE94" i="7"/>
  <c r="BJ97" i="7"/>
  <c r="BJ99" i="7" s="1"/>
  <c r="AU118" i="8"/>
  <c r="AU121" i="8"/>
  <c r="P33" i="9"/>
  <c r="O37" i="9"/>
  <c r="L47" i="9"/>
  <c r="K54" i="9"/>
  <c r="K57" i="9" s="1"/>
  <c r="M40" i="9"/>
  <c r="J50" i="9"/>
  <c r="J58" i="9"/>
  <c r="L55" i="9"/>
  <c r="M48" i="9"/>
  <c r="BY50" i="7"/>
  <c r="BY55" i="7"/>
  <c r="BK68" i="8"/>
  <c r="BK118" i="8"/>
  <c r="BK121" i="8"/>
  <c r="BK123" i="8" s="1"/>
  <c r="AS98" i="8"/>
  <c r="BH33" i="3"/>
  <c r="BG38" i="3"/>
  <c r="CD96" i="3"/>
  <c r="CD66" i="3"/>
  <c r="CD80" i="7"/>
  <c r="CD26" i="3"/>
  <c r="CD56" i="3"/>
  <c r="G69" i="9"/>
  <c r="G71" i="9"/>
  <c r="G76" i="9" s="1"/>
  <c r="H70" i="9"/>
  <c r="P26" i="9"/>
  <c r="BY68" i="3"/>
  <c r="BK97" i="8"/>
  <c r="BK58" i="8"/>
  <c r="BK65" i="8" s="1"/>
  <c r="BK86" i="8" s="1"/>
  <c r="BP115" i="8" s="1"/>
  <c r="BY59" i="3"/>
  <c r="BK49" i="8"/>
  <c r="BJ120" i="7"/>
  <c r="R78" i="8"/>
  <c r="R79" i="8" s="1"/>
  <c r="R80" i="8" s="1"/>
  <c r="N79" i="8"/>
  <c r="M49" i="9"/>
  <c r="L56" i="9"/>
  <c r="AS75" i="8"/>
  <c r="AS77" i="8" s="1"/>
  <c r="AS79" i="8" s="1"/>
  <c r="AS48" i="8"/>
  <c r="R7" i="9"/>
  <c r="Q25" i="9"/>
  <c r="BA121" i="8"/>
  <c r="BA123" i="8" s="1"/>
  <c r="BA118" i="8"/>
  <c r="N38" i="9"/>
  <c r="N39" i="9"/>
  <c r="AT77" i="8"/>
  <c r="AZ124" i="7"/>
  <c r="BJ124" i="7" s="1"/>
  <c r="BJ108" i="7"/>
  <c r="BJ110" i="7" s="1"/>
  <c r="BF118" i="8"/>
  <c r="BF121" i="8"/>
  <c r="BF123" i="8" s="1"/>
  <c r="BF68" i="8"/>
  <c r="BE110" i="7" l="1"/>
  <c r="BJ113" i="7"/>
  <c r="BJ115" i="7" s="1"/>
  <c r="AT78" i="8"/>
  <c r="AT108" i="8" s="1"/>
  <c r="AS11" i="8"/>
  <c r="H43" i="9"/>
  <c r="CD27" i="3"/>
  <c r="J61" i="9" s="1"/>
  <c r="CD67" i="3"/>
  <c r="CD57" i="3"/>
  <c r="BK126" i="8"/>
  <c r="BK72" i="8"/>
  <c r="BK75" i="8" s="1"/>
  <c r="K50" i="9"/>
  <c r="K58" i="9"/>
  <c r="AU123" i="8"/>
  <c r="AV121" i="8"/>
  <c r="N40" i="9"/>
  <c r="S7" i="9"/>
  <c r="R25" i="9"/>
  <c r="BJ126" i="7"/>
  <c r="CD51" i="7"/>
  <c r="CD47" i="7"/>
  <c r="CD39" i="7"/>
  <c r="CD31" i="7"/>
  <c r="CD22" i="7"/>
  <c r="CD70" i="7"/>
  <c r="CD78" i="7"/>
  <c r="BG44" i="3"/>
  <c r="BG47" i="3"/>
  <c r="BG69" i="3"/>
  <c r="BG39" i="3"/>
  <c r="M55" i="9"/>
  <c r="N48" i="9"/>
  <c r="L54" i="9"/>
  <c r="L57" i="9" s="1"/>
  <c r="M47" i="9"/>
  <c r="AT79" i="8"/>
  <c r="AT48" i="8"/>
  <c r="AS51" i="8"/>
  <c r="AS53" i="8" s="1"/>
  <c r="N49" i="9"/>
  <c r="M56" i="9"/>
  <c r="AZ126" i="7"/>
  <c r="BP118" i="8"/>
  <c r="BP68" i="8"/>
  <c r="BP121" i="8"/>
  <c r="BP123" i="8" s="1"/>
  <c r="AT98" i="8"/>
  <c r="BH38" i="3"/>
  <c r="I66" i="9"/>
  <c r="BK69" i="8"/>
  <c r="O38" i="9"/>
  <c r="O39" i="9"/>
  <c r="Q26" i="9"/>
  <c r="BF69" i="8"/>
  <c r="H66" i="9"/>
  <c r="BF21" i="8"/>
  <c r="BF126" i="8"/>
  <c r="BF72" i="8"/>
  <c r="BF75" i="8" s="1"/>
  <c r="BF77" i="8" s="1"/>
  <c r="BA72" i="8"/>
  <c r="BA75" i="8" s="1"/>
  <c r="BA77" i="8" s="1"/>
  <c r="BA126" i="8"/>
  <c r="N80" i="8"/>
  <c r="O78" i="8"/>
  <c r="O79" i="8" s="1"/>
  <c r="BP87" i="8"/>
  <c r="BP90" i="8" s="1"/>
  <c r="BP92" i="8" s="1"/>
  <c r="CD82" i="7"/>
  <c r="J51" i="9"/>
  <c r="Q33" i="9"/>
  <c r="P37" i="9"/>
  <c r="O80" i="8" l="1"/>
  <c r="P78" i="8"/>
  <c r="P79" i="8" s="1"/>
  <c r="L50" i="9"/>
  <c r="L58" i="9"/>
  <c r="T7" i="9"/>
  <c r="T25" i="9" s="1"/>
  <c r="S25" i="9"/>
  <c r="BK77" i="8"/>
  <c r="AS82" i="8"/>
  <c r="AS84" i="8" s="1"/>
  <c r="AS80" i="8"/>
  <c r="AS89" i="8"/>
  <c r="AS91" i="8" s="1"/>
  <c r="AS18" i="8"/>
  <c r="AS26" i="8" s="1"/>
  <c r="AS54" i="8" s="1"/>
  <c r="AT51" i="8"/>
  <c r="AT53" i="8" s="1"/>
  <c r="N55" i="9"/>
  <c r="O48" i="9"/>
  <c r="CD50" i="7"/>
  <c r="CD55" i="7"/>
  <c r="AU126" i="8"/>
  <c r="BI33" i="3" s="1"/>
  <c r="AU72" i="8"/>
  <c r="AV123" i="8"/>
  <c r="AV122" i="8" s="1"/>
  <c r="H59" i="9"/>
  <c r="H44" i="9"/>
  <c r="AV108" i="8"/>
  <c r="P38" i="9"/>
  <c r="P39" i="9"/>
  <c r="BK21" i="8"/>
  <c r="BF25" i="8"/>
  <c r="BP126" i="8"/>
  <c r="BP72" i="8"/>
  <c r="BP75" i="8" s="1"/>
  <c r="AU78" i="8"/>
  <c r="AU108" i="8" s="1"/>
  <c r="AT11" i="8"/>
  <c r="BJ129" i="7"/>
  <c r="BJ131" i="7" s="1"/>
  <c r="BE126" i="7"/>
  <c r="K51" i="9"/>
  <c r="R33" i="9"/>
  <c r="Q37" i="9"/>
  <c r="O40" i="9"/>
  <c r="BH47" i="3"/>
  <c r="BH69" i="3"/>
  <c r="BH39" i="3"/>
  <c r="BH44" i="3"/>
  <c r="J66" i="9"/>
  <c r="BP69" i="8"/>
  <c r="N56" i="9"/>
  <c r="O49" i="9"/>
  <c r="M54" i="9"/>
  <c r="M57" i="9" s="1"/>
  <c r="N47" i="9"/>
  <c r="R26" i="9"/>
  <c r="CD32" i="3"/>
  <c r="M50" i="9" l="1"/>
  <c r="M58" i="9"/>
  <c r="AT82" i="8"/>
  <c r="AT84" i="8" s="1"/>
  <c r="AT80" i="8"/>
  <c r="AT89" i="8"/>
  <c r="AT91" i="8" s="1"/>
  <c r="AT18" i="8"/>
  <c r="AT26" i="8" s="1"/>
  <c r="AT54" i="8" s="1"/>
  <c r="AU75" i="8"/>
  <c r="AU77" i="8" s="1"/>
  <c r="AU79" i="8" s="1"/>
  <c r="AU11" i="8" s="1"/>
  <c r="AV72" i="8"/>
  <c r="AV75" i="8" s="1"/>
  <c r="AV77" i="8" s="1"/>
  <c r="AV79" i="8" s="1"/>
  <c r="BA78" i="8" s="1"/>
  <c r="Q38" i="9"/>
  <c r="Q39" i="9"/>
  <c r="BP21" i="8"/>
  <c r="BP25" i="8" s="1"/>
  <c r="BK25" i="8"/>
  <c r="AU98" i="8"/>
  <c r="BI38" i="3"/>
  <c r="BJ33" i="3"/>
  <c r="S26" i="9"/>
  <c r="BP97" i="8"/>
  <c r="CD68" i="3"/>
  <c r="CD59" i="3"/>
  <c r="BP58" i="8"/>
  <c r="AV107" i="8"/>
  <c r="O55" i="9"/>
  <c r="P48" i="9"/>
  <c r="S33" i="9"/>
  <c r="R37" i="9"/>
  <c r="P40" i="9"/>
  <c r="H62" i="9"/>
  <c r="H68" i="9"/>
  <c r="T26" i="9"/>
  <c r="P80" i="8"/>
  <c r="Q78" i="8"/>
  <c r="Q79" i="8" s="1"/>
  <c r="Q80" i="8" s="1"/>
  <c r="P49" i="9"/>
  <c r="O56" i="9"/>
  <c r="N54" i="9"/>
  <c r="N57" i="9" s="1"/>
  <c r="O47" i="9"/>
  <c r="AU48" i="8"/>
  <c r="L51" i="9"/>
  <c r="T33" i="9" l="1"/>
  <c r="T37" i="9" s="1"/>
  <c r="S37" i="9"/>
  <c r="AV98" i="8"/>
  <c r="BO33" i="3"/>
  <c r="BJ35" i="3"/>
  <c r="BJ38" i="3"/>
  <c r="AU18" i="8"/>
  <c r="AU26" i="8" s="1"/>
  <c r="AU82" i="8"/>
  <c r="AU84" i="8" s="1"/>
  <c r="AU80" i="8"/>
  <c r="AV11" i="8"/>
  <c r="AU89" i="8"/>
  <c r="AU91" i="8" s="1"/>
  <c r="N50" i="9"/>
  <c r="N58" i="9"/>
  <c r="BP65" i="8"/>
  <c r="BP49" i="8"/>
  <c r="P55" i="9"/>
  <c r="Q48" i="9"/>
  <c r="BI47" i="3"/>
  <c r="BI39" i="3"/>
  <c r="BI44" i="3"/>
  <c r="BI69" i="3"/>
  <c r="Q40" i="9"/>
  <c r="M51" i="9"/>
  <c r="P47" i="9"/>
  <c r="O54" i="9"/>
  <c r="O57" i="9" s="1"/>
  <c r="BA108" i="8"/>
  <c r="BA79" i="8"/>
  <c r="H69" i="9"/>
  <c r="D96" i="9"/>
  <c r="H71" i="9"/>
  <c r="H76" i="9" s="1"/>
  <c r="C84" i="9" s="1"/>
  <c r="I70" i="9"/>
  <c r="D95" i="9"/>
  <c r="AU51" i="8"/>
  <c r="AU53" i="8" s="1"/>
  <c r="AV48" i="8"/>
  <c r="P56" i="9"/>
  <c r="Q49" i="9"/>
  <c r="R38" i="9"/>
  <c r="R39" i="9"/>
  <c r="R40" i="9" l="1"/>
  <c r="BA48" i="8"/>
  <c r="AV51" i="8"/>
  <c r="AV53" i="8" s="1"/>
  <c r="BP86" i="8"/>
  <c r="BP77" i="8"/>
  <c r="AV80" i="8"/>
  <c r="AV82" i="8"/>
  <c r="AV84" i="8" s="1"/>
  <c r="AV18" i="8"/>
  <c r="AV26" i="8" s="1"/>
  <c r="AV54" i="8" s="1"/>
  <c r="AV89" i="8"/>
  <c r="AV91" i="8" s="1"/>
  <c r="O50" i="9"/>
  <c r="O58" i="9"/>
  <c r="Q55" i="9"/>
  <c r="R48" i="9"/>
  <c r="N51" i="9"/>
  <c r="BJ47" i="3"/>
  <c r="BJ69" i="3"/>
  <c r="BJ39" i="3"/>
  <c r="BJ44" i="3"/>
  <c r="Q56" i="9"/>
  <c r="R49" i="9"/>
  <c r="D97" i="9"/>
  <c r="D99" i="9" s="1"/>
  <c r="D101" i="9" s="1"/>
  <c r="P54" i="9"/>
  <c r="P57" i="9" s="1"/>
  <c r="Q47" i="9"/>
  <c r="S38" i="9"/>
  <c r="S39" i="9"/>
  <c r="I43" i="9"/>
  <c r="BA11" i="8"/>
  <c r="BF78" i="8"/>
  <c r="AU54" i="8"/>
  <c r="BA98" i="8"/>
  <c r="BT33" i="3"/>
  <c r="BO38" i="3"/>
  <c r="T38" i="9"/>
  <c r="T39" i="9"/>
  <c r="Q54" i="9" l="1"/>
  <c r="Q57" i="9" s="1"/>
  <c r="R47" i="9"/>
  <c r="R55" i="9"/>
  <c r="S48" i="9"/>
  <c r="BF48" i="8"/>
  <c r="BA51" i="8"/>
  <c r="BA53" i="8" s="1"/>
  <c r="BO44" i="3"/>
  <c r="BO47" i="3"/>
  <c r="BO69" i="3"/>
  <c r="BO39" i="3"/>
  <c r="BF98" i="8"/>
  <c r="BY33" i="3"/>
  <c r="BT38" i="3"/>
  <c r="BT35" i="3"/>
  <c r="P50" i="9"/>
  <c r="P58" i="9"/>
  <c r="T40" i="9"/>
  <c r="S40" i="9"/>
  <c r="O51" i="9"/>
  <c r="BF108" i="8"/>
  <c r="BF79" i="8"/>
  <c r="BA80" i="8"/>
  <c r="BA18" i="8"/>
  <c r="BA26" i="8" s="1"/>
  <c r="BA54" i="8" s="1"/>
  <c r="BA82" i="8"/>
  <c r="BA84" i="8" s="1"/>
  <c r="BA89" i="8"/>
  <c r="BA91" i="8" s="1"/>
  <c r="I59" i="9"/>
  <c r="I44" i="9"/>
  <c r="R56" i="9"/>
  <c r="S49" i="9"/>
  <c r="S56" i="9" l="1"/>
  <c r="T49" i="9"/>
  <c r="T56" i="9" s="1"/>
  <c r="BF11" i="8"/>
  <c r="BK78" i="8"/>
  <c r="T48" i="9"/>
  <c r="T55" i="9" s="1"/>
  <c r="S55" i="9"/>
  <c r="BT44" i="3"/>
  <c r="BT39" i="3"/>
  <c r="BT69" i="3"/>
  <c r="BT47" i="3"/>
  <c r="BF51" i="8"/>
  <c r="BF53" i="8" s="1"/>
  <c r="BK48" i="8"/>
  <c r="S47" i="9"/>
  <c r="R54" i="9"/>
  <c r="R57" i="9" s="1"/>
  <c r="I62" i="9"/>
  <c r="I68" i="9"/>
  <c r="P51" i="9"/>
  <c r="BK98" i="8"/>
  <c r="CD33" i="3"/>
  <c r="BY38" i="3"/>
  <c r="Q50" i="9"/>
  <c r="Q58" i="9"/>
  <c r="Q51" i="9" l="1"/>
  <c r="BK51" i="8"/>
  <c r="BK53" i="8" s="1"/>
  <c r="BP48" i="8"/>
  <c r="BP51" i="8" s="1"/>
  <c r="BP53" i="8" s="1"/>
  <c r="BK108" i="8"/>
  <c r="BK79" i="8"/>
  <c r="BF18" i="8"/>
  <c r="BF26" i="8" s="1"/>
  <c r="BF54" i="8" s="1"/>
  <c r="BF82" i="8"/>
  <c r="BF84" i="8" s="1"/>
  <c r="BF80" i="8"/>
  <c r="BF89" i="8"/>
  <c r="BF91" i="8" s="1"/>
  <c r="J70" i="9"/>
  <c r="I71" i="9"/>
  <c r="I76" i="9" s="1"/>
  <c r="I69" i="9"/>
  <c r="BY39" i="3"/>
  <c r="BY47" i="3"/>
  <c r="BY44" i="3"/>
  <c r="BY69" i="3"/>
  <c r="R50" i="9"/>
  <c r="R58" i="9"/>
  <c r="BP98" i="8"/>
  <c r="CD35" i="3"/>
  <c r="CD38" i="3"/>
  <c r="S54" i="9"/>
  <c r="S57" i="9" s="1"/>
  <c r="T47" i="9"/>
  <c r="T54" i="9" s="1"/>
  <c r="T57" i="9" s="1"/>
  <c r="R51" i="9" l="1"/>
  <c r="S50" i="9"/>
  <c r="S58" i="9"/>
  <c r="BK11" i="8"/>
  <c r="BP78" i="8"/>
  <c r="R43" i="9"/>
  <c r="J43" i="9"/>
  <c r="K43" i="9"/>
  <c r="P43" i="9"/>
  <c r="M43" i="9"/>
  <c r="S43" i="9"/>
  <c r="L43" i="9"/>
  <c r="T43" i="9"/>
  <c r="N43" i="9"/>
  <c r="Q43" i="9"/>
  <c r="O43" i="9"/>
  <c r="CD39" i="3"/>
  <c r="CD47" i="3"/>
  <c r="CD44" i="3"/>
  <c r="CD69" i="3"/>
  <c r="T50" i="9"/>
  <c r="T58" i="9"/>
  <c r="T51" i="9" l="1"/>
  <c r="T61" i="9"/>
  <c r="N59" i="9"/>
  <c r="N44" i="9"/>
  <c r="M59" i="9"/>
  <c r="M44" i="9"/>
  <c r="R59" i="9"/>
  <c r="R44" i="9"/>
  <c r="T59" i="9"/>
  <c r="T62" i="9" s="1"/>
  <c r="T44" i="9"/>
  <c r="P59" i="9"/>
  <c r="P44" i="9"/>
  <c r="BP108" i="8"/>
  <c r="BP79" i="8"/>
  <c r="BP11" i="8" s="1"/>
  <c r="O59" i="9"/>
  <c r="O44" i="9"/>
  <c r="L59" i="9"/>
  <c r="L44" i="9"/>
  <c r="K59" i="9"/>
  <c r="K44" i="9"/>
  <c r="BK18" i="8"/>
  <c r="BK26" i="8" s="1"/>
  <c r="BK54" i="8" s="1"/>
  <c r="BK82" i="8"/>
  <c r="BK84" i="8" s="1"/>
  <c r="BK80" i="8"/>
  <c r="BK89" i="8"/>
  <c r="BK91" i="8" s="1"/>
  <c r="Q59" i="9"/>
  <c r="Q44" i="9"/>
  <c r="S44" i="9"/>
  <c r="J59" i="9"/>
  <c r="J44" i="9"/>
  <c r="S51" i="9"/>
  <c r="S59" i="9" s="1"/>
  <c r="S62" i="9" l="1"/>
  <c r="S61" i="9"/>
  <c r="S68" i="9" s="1"/>
  <c r="O62" i="9"/>
  <c r="O68" i="9" s="1"/>
  <c r="O61" i="9"/>
  <c r="P62" i="9"/>
  <c r="P68" i="9"/>
  <c r="P61" i="9"/>
  <c r="R62" i="9"/>
  <c r="R61" i="9"/>
  <c r="R68" i="9" s="1"/>
  <c r="N62" i="9"/>
  <c r="N61" i="9"/>
  <c r="N68" i="9"/>
  <c r="BP18" i="8"/>
  <c r="BP26" i="8" s="1"/>
  <c r="BP54" i="8" s="1"/>
  <c r="BP82" i="8"/>
  <c r="BP84" i="8" s="1"/>
  <c r="BP80" i="8"/>
  <c r="BP89" i="8"/>
  <c r="BP91" i="8" s="1"/>
  <c r="J62" i="9"/>
  <c r="J68" i="9" s="1"/>
  <c r="Q62" i="9"/>
  <c r="Q61" i="9"/>
  <c r="Q68" i="9"/>
  <c r="L62" i="9"/>
  <c r="L61" i="9"/>
  <c r="L68" i="9" s="1"/>
  <c r="M62" i="9"/>
  <c r="M68" i="9" s="1"/>
  <c r="M61" i="9"/>
  <c r="T68" i="9"/>
  <c r="K62" i="9"/>
  <c r="K61" i="9"/>
  <c r="K68" i="9" s="1"/>
  <c r="O69" i="9" l="1"/>
  <c r="O71" i="9"/>
  <c r="O76" i="9" s="1"/>
  <c r="M69" i="9"/>
  <c r="M71" i="9"/>
  <c r="M76" i="9" s="1"/>
  <c r="S69" i="9"/>
  <c r="S71" i="9"/>
  <c r="S76" i="9" s="1"/>
  <c r="K71" i="9"/>
  <c r="K76" i="9" s="1"/>
  <c r="K69" i="9"/>
  <c r="L71" i="9"/>
  <c r="L76" i="9" s="1"/>
  <c r="L69" i="9"/>
  <c r="J69" i="9"/>
  <c r="J71" i="9"/>
  <c r="J76" i="9" s="1"/>
  <c r="R69" i="9"/>
  <c r="R71" i="9"/>
  <c r="R76" i="9" s="1"/>
  <c r="P69" i="9"/>
  <c r="P71" i="9"/>
  <c r="P76" i="9" s="1"/>
  <c r="Q71" i="9"/>
  <c r="Q76" i="9" s="1"/>
  <c r="Q69" i="9"/>
  <c r="N69" i="9"/>
  <c r="N71" i="9"/>
  <c r="N76" i="9" s="1"/>
  <c r="T69" i="9"/>
  <c r="T71" i="9"/>
  <c r="T76" i="9" s="1"/>
  <c r="U76" i="9" s="1"/>
  <c r="C86" i="9" s="1"/>
  <c r="C85" i="9" l="1"/>
  <c r="C87" i="9" s="1"/>
  <c r="C89" i="9" s="1"/>
  <c r="C91" i="9" s="1"/>
</calcChain>
</file>

<file path=xl/sharedStrings.xml><?xml version="1.0" encoding="utf-8"?>
<sst xmlns="http://schemas.openxmlformats.org/spreadsheetml/2006/main" count="1171" uniqueCount="459">
  <si>
    <t>Total Emerging Markets</t>
  </si>
  <si>
    <t>VALEANT PHARMACEUTICALS INTERNATIONAL (VRX)</t>
  </si>
  <si>
    <t>Quarterly Income Statement</t>
  </si>
  <si>
    <t>legacy Biovail &lt; ----|</t>
  </si>
  <si>
    <t>| ----&gt; post VRX merger</t>
  </si>
  <si>
    <t>millions USD</t>
  </si>
  <si>
    <t>Fiscal year ends December 31</t>
  </si>
  <si>
    <t>1QA</t>
  </si>
  <si>
    <t>2QA</t>
  </si>
  <si>
    <t>3QA</t>
  </si>
  <si>
    <t>4QA</t>
  </si>
  <si>
    <t>FY 2005</t>
  </si>
  <si>
    <t>FY 2006</t>
  </si>
  <si>
    <t>FY 2007</t>
  </si>
  <si>
    <t>FY 2008</t>
  </si>
  <si>
    <t>FY 2009</t>
  </si>
  <si>
    <t>FY 2010A</t>
  </si>
  <si>
    <t>FY 2011A</t>
  </si>
  <si>
    <t>FY 2012A</t>
  </si>
  <si>
    <t>FY 2013A</t>
  </si>
  <si>
    <t>FY 2014A</t>
  </si>
  <si>
    <t>FY 2015A</t>
  </si>
  <si>
    <t>1QE</t>
  </si>
  <si>
    <t>2QE</t>
  </si>
  <si>
    <t>3QE</t>
  </si>
  <si>
    <t>4QE</t>
  </si>
  <si>
    <t>FY 2016E</t>
  </si>
  <si>
    <t>FY 2017E</t>
  </si>
  <si>
    <t>FY 2018E</t>
  </si>
  <si>
    <t>FY 2019E</t>
  </si>
  <si>
    <t>FY 2020E</t>
  </si>
  <si>
    <t>Comments</t>
  </si>
  <si>
    <t>FY 2015E</t>
  </si>
  <si>
    <t>Income Statement</t>
  </si>
  <si>
    <t>Net Revenue</t>
  </si>
  <si>
    <t>$11.0-$11.2bn</t>
  </si>
  <si>
    <t>Cost of goods, services and alliances</t>
  </si>
  <si>
    <t>~77%</t>
  </si>
  <si>
    <t>Gross Profit</t>
  </si>
  <si>
    <t xml:space="preserve"> </t>
  </si>
  <si>
    <t>R&amp;D</t>
  </si>
  <si>
    <t>$400-500mm</t>
  </si>
  <si>
    <t>SG&amp;A</t>
  </si>
  <si>
    <t>~25%</t>
  </si>
  <si>
    <t>Amortization of intangibles</t>
  </si>
  <si>
    <t>Other</t>
  </si>
  <si>
    <t>Operating Income (Inc amort)</t>
  </si>
  <si>
    <t>Operating Income (ex amort)</t>
  </si>
  <si>
    <t>Interest Income</t>
  </si>
  <si>
    <t>Interest Expense</t>
  </si>
  <si>
    <t>$1.625bn</t>
  </si>
  <si>
    <t>Other Non-Operating Income</t>
  </si>
  <si>
    <t>Pretax Income</t>
  </si>
  <si>
    <t>Taxes</t>
  </si>
  <si>
    <t>New tax reporting structure ~10-15%, Cash taxes ~$215mm</t>
  </si>
  <si>
    <t>Loss from Discontinued Operations</t>
  </si>
  <si>
    <t>Net Income (loss) attrib to non-controlling interest</t>
  </si>
  <si>
    <t>Net Income (inc amort)</t>
  </si>
  <si>
    <t>Net Income (ex amort)</t>
  </si>
  <si>
    <t>FD shares outstanding</t>
  </si>
  <si>
    <t>Adjusted EPS</t>
  </si>
  <si>
    <t>Depreciation and Amortization</t>
  </si>
  <si>
    <t>Reported Cash EPS</t>
  </si>
  <si>
    <t>$8.50-$9.50</t>
  </si>
  <si>
    <t>Adjusted Cash EPS</t>
  </si>
  <si>
    <t>JPM published EPS</t>
  </si>
  <si>
    <t>Differential</t>
  </si>
  <si>
    <t>JPM published revenue</t>
  </si>
  <si>
    <t>JPMe EPS</t>
  </si>
  <si>
    <t>Bloomberg consensus EPS</t>
  </si>
  <si>
    <t>JPMe Revenue</t>
  </si>
  <si>
    <t>Bloomberg consensus revenue</t>
  </si>
  <si>
    <t>Margins</t>
  </si>
  <si>
    <t>Gross Margin</t>
  </si>
  <si>
    <t>R&amp;D (% of sales)</t>
  </si>
  <si>
    <t>SG&amp;A (% of sales)</t>
  </si>
  <si>
    <t>Operating Margin</t>
  </si>
  <si>
    <t>Pretax Margin</t>
  </si>
  <si>
    <t>Tax Rate</t>
  </si>
  <si>
    <t>Net Margin</t>
  </si>
  <si>
    <t>Growth Rates</t>
  </si>
  <si>
    <t>Net Revenues</t>
  </si>
  <si>
    <t>Operating Income</t>
  </si>
  <si>
    <t>Net Income</t>
  </si>
  <si>
    <t>EPS</t>
  </si>
  <si>
    <t>nm</t>
  </si>
  <si>
    <t>Medicis Synergies</t>
  </si>
  <si>
    <t>Valeant R&amp;D (% of legacy VRX sales)</t>
  </si>
  <si>
    <t>Valeant R&amp;D</t>
  </si>
  <si>
    <t>Valeant SG&amp;A (% of legacy VRX sales)</t>
  </si>
  <si>
    <t>Valeant SG&amp;A</t>
  </si>
  <si>
    <t>Medicis R&amp;D</t>
  </si>
  <si>
    <t>Medicis SG&amp;A</t>
  </si>
  <si>
    <t>R&amp;D synergies</t>
  </si>
  <si>
    <t>SG&amp;A synergies</t>
  </si>
  <si>
    <t>Total synergies</t>
  </si>
  <si>
    <t>Bausch &amp; Lomb Synergies</t>
  </si>
  <si>
    <t>Bausch R&amp;D</t>
  </si>
  <si>
    <t>BOL 2Q/13 R&amp;D: $25mm</t>
  </si>
  <si>
    <t>Bausch SG&amp;A</t>
  </si>
  <si>
    <t>BOL 2Q/13 SG&amp;A: $257mm</t>
  </si>
  <si>
    <t>Amortization</t>
  </si>
  <si>
    <t>EBITDA</t>
  </si>
  <si>
    <t>$5.6-$5.8bn</t>
  </si>
  <si>
    <t>VRX/SLXP/DNDNQ Margin Calculation</t>
  </si>
  <si>
    <t>VRX Published R&amp;D</t>
  </si>
  <si>
    <t>VRX Published SG&amp;A</t>
  </si>
  <si>
    <t>SLXP R&amp;D</t>
  </si>
  <si>
    <t>SLXP SG&amp;A</t>
  </si>
  <si>
    <t>Total SLXP Opex</t>
  </si>
  <si>
    <t>SLXP Opex Growth</t>
  </si>
  <si>
    <t>SLXP R&amp;D Synergies</t>
  </si>
  <si>
    <t>SLXP SG&amp;A Synergies</t>
  </si>
  <si>
    <t>SLXP Total Opex Synergies</t>
  </si>
  <si>
    <t>Incremental DNDNQ R&amp;D</t>
  </si>
  <si>
    <t>Incremental DNDNQ SG&amp;A</t>
  </si>
  <si>
    <t>DNDNQ Total Incremental Opex</t>
  </si>
  <si>
    <t>Pro-Forma R&amp;D</t>
  </si>
  <si>
    <t>Pro-Forma SG&amp;A</t>
  </si>
  <si>
    <t>Model R&amp;D (from above)</t>
  </si>
  <si>
    <t>Model SG&amp;A (from above)</t>
  </si>
  <si>
    <t>Quarterly Revenue Analysis</t>
  </si>
  <si>
    <t>FY 2009A</t>
  </si>
  <si>
    <t>Developed Markets Segment</t>
  </si>
  <si>
    <t>Dermatology</t>
  </si>
  <si>
    <t>Solodyn</t>
  </si>
  <si>
    <t>growth</t>
  </si>
  <si>
    <t>Elidel</t>
  </si>
  <si>
    <t>Jublia</t>
  </si>
  <si>
    <t>Luzu (luliconazole)</t>
  </si>
  <si>
    <t>Onexton</t>
  </si>
  <si>
    <t>IDP-118 (psoriasis)</t>
  </si>
  <si>
    <t>brodalumab (IL-17, psoriasis)</t>
  </si>
  <si>
    <t>risk adjusted</t>
  </si>
  <si>
    <t>Other Dermatology</t>
  </si>
  <si>
    <t>Total Dermatology</t>
  </si>
  <si>
    <t>Consumer</t>
  </si>
  <si>
    <t>Ocuvite</t>
  </si>
  <si>
    <t>Renu Multiplus</t>
  </si>
  <si>
    <t>CeraVe</t>
  </si>
  <si>
    <t>BioTrue Solution</t>
  </si>
  <si>
    <t>Luminesse (Eye-whitening)</t>
  </si>
  <si>
    <t>Other Consumer</t>
  </si>
  <si>
    <t>Total Consumer</t>
  </si>
  <si>
    <t>Ophthalmology Rx</t>
  </si>
  <si>
    <t>Lotemax</t>
  </si>
  <si>
    <t>Vesneo</t>
  </si>
  <si>
    <t>Other Ophthalmology Rx</t>
  </si>
  <si>
    <t>Total Ophthalmology Rx</t>
  </si>
  <si>
    <t>Total Contact Lenses</t>
  </si>
  <si>
    <t>Total Surgical</t>
  </si>
  <si>
    <t>Neuro &amp; Other/Generics</t>
  </si>
  <si>
    <t>Wellbutrin XL</t>
  </si>
  <si>
    <t>Xenazine/Nitoman</t>
  </si>
  <si>
    <t>Nitropress</t>
  </si>
  <si>
    <t>Isuprel</t>
  </si>
  <si>
    <t>Other Neuro/Other/Generics</t>
  </si>
  <si>
    <t>Total Neuro/Other/Generics</t>
  </si>
  <si>
    <t>Dental</t>
  </si>
  <si>
    <t>Arestin</t>
  </si>
  <si>
    <t>Other Dental</t>
  </si>
  <si>
    <t>Total Dental</t>
  </si>
  <si>
    <t>Total Oncology/Urology (Provenge)</t>
  </si>
  <si>
    <t>Total Women's Health (Addyi)</t>
  </si>
  <si>
    <t>Gastrointestinal (Salix)</t>
  </si>
  <si>
    <t>Xifaxan (HE, TD)</t>
  </si>
  <si>
    <t>Xifaxan (IBS-D)</t>
  </si>
  <si>
    <t>Total Xifaxan</t>
  </si>
  <si>
    <t>Glumetza</t>
  </si>
  <si>
    <t>Apriso</t>
  </si>
  <si>
    <t>Uceris Tablets</t>
  </si>
  <si>
    <t>Uceris Foam</t>
  </si>
  <si>
    <t>Total Uceris</t>
  </si>
  <si>
    <t>Relistor (injection)</t>
  </si>
  <si>
    <t>Relistor (oral)</t>
  </si>
  <si>
    <t>Other GI</t>
  </si>
  <si>
    <t>Total Gastrointestinal (Salix)</t>
  </si>
  <si>
    <t>Total United States</t>
  </si>
  <si>
    <t>Total Developed ROW (Canada/Austraila/Japan/WEU)</t>
  </si>
  <si>
    <t>operational growth</t>
  </si>
  <si>
    <t>FX impact</t>
  </si>
  <si>
    <t>Total Developed</t>
  </si>
  <si>
    <t>Emerging Markets Segment</t>
  </si>
  <si>
    <t>Emerging Mkts - EMEA</t>
  </si>
  <si>
    <t>Emerging Mkts - Latin America</t>
  </si>
  <si>
    <t>Emerging Mkts - Asia</t>
  </si>
  <si>
    <t>Total Valeant Revenues</t>
  </si>
  <si>
    <t>Gross Margin Calculation</t>
  </si>
  <si>
    <t>Total Revenue</t>
  </si>
  <si>
    <t>Developed Markets</t>
  </si>
  <si>
    <t>Gross margin</t>
  </si>
  <si>
    <t>COGS</t>
  </si>
  <si>
    <t>Emerging Markets Revenues</t>
  </si>
  <si>
    <t>Consolidated</t>
  </si>
  <si>
    <t>FX Analysis</t>
  </si>
  <si>
    <t>% of Business Unit</t>
  </si>
  <si>
    <t>Developed ROW</t>
  </si>
  <si>
    <t>Western Europe (EUR)</t>
  </si>
  <si>
    <t>% Change</t>
  </si>
  <si>
    <t>UK (GBP)</t>
  </si>
  <si>
    <t>Canada (CAD)</t>
  </si>
  <si>
    <t>Australia (AUD)</t>
  </si>
  <si>
    <t>Japan (JPY)</t>
  </si>
  <si>
    <t>Implied FX Impact</t>
  </si>
  <si>
    <t>Reported FX Impact</t>
  </si>
  <si>
    <t>EM- EMEA</t>
  </si>
  <si>
    <t>Russia (RUB)</t>
  </si>
  <si>
    <t>Poland (PLN)</t>
  </si>
  <si>
    <t>Serbia (RSD)</t>
  </si>
  <si>
    <t>EM- LatAm</t>
  </si>
  <si>
    <t>Brazil (BRL)</t>
  </si>
  <si>
    <t>Mexico (MXN)</t>
  </si>
  <si>
    <t>EM- APAC</t>
  </si>
  <si>
    <t>China (CNY)</t>
  </si>
  <si>
    <t>Korea (KRW)</t>
  </si>
  <si>
    <t>India (INR)</t>
  </si>
  <si>
    <t>Indonesia (IDR)</t>
  </si>
  <si>
    <t>Thai (THB)</t>
  </si>
  <si>
    <t>BRLUSD Curncy</t>
  </si>
  <si>
    <t>RUBUSD Curncy</t>
  </si>
  <si>
    <t>RSDUSD Curncy</t>
  </si>
  <si>
    <t>PLNUSD Curncy</t>
  </si>
  <si>
    <t>KRWUSD Curncy</t>
  </si>
  <si>
    <t>INRUSD Curncy</t>
  </si>
  <si>
    <t>IDRUSD Curncy</t>
  </si>
  <si>
    <t>THBUSD Curncy</t>
  </si>
  <si>
    <t>Annual Product Sales</t>
  </si>
  <si>
    <t>Broader SOTP analysis</t>
  </si>
  <si>
    <t>Total US Legacy B&amp;L, Consumer, Other Businesses</t>
  </si>
  <si>
    <t>Operating Profit</t>
  </si>
  <si>
    <t>% Adjusted downside</t>
  </si>
  <si>
    <t>Implied EBITDA</t>
  </si>
  <si>
    <t>Emerging Markets Total (Breakdown)</t>
  </si>
  <si>
    <t>% Bausch &amp; Lomb</t>
  </si>
  <si>
    <t>% Branded Generics</t>
  </si>
  <si>
    <t>Emerging Markets B&amp;L</t>
  </si>
  <si>
    <t>Emerging Markets Brand Generics</t>
  </si>
  <si>
    <t>VRX Total Operating Profit</t>
  </si>
  <si>
    <t>VRX Depreciation</t>
  </si>
  <si>
    <t>VRX EBITDA</t>
  </si>
  <si>
    <t>Scenario 1</t>
  </si>
  <si>
    <t>EV/EBITDA</t>
  </si>
  <si>
    <t>Value</t>
  </si>
  <si>
    <t>Comment</t>
  </si>
  <si>
    <t>US B&amp;L, Consumer, and Other Brands</t>
  </si>
  <si>
    <t>US GI (Salix)</t>
  </si>
  <si>
    <t>Discount to original Salix acquisition</t>
  </si>
  <si>
    <t>US Derm</t>
  </si>
  <si>
    <t>US Neuro/Other</t>
  </si>
  <si>
    <t>Blend of low-growth Major Pharma trading multiple and Established Products transaction comps</t>
  </si>
  <si>
    <t>EM</t>
  </si>
  <si>
    <t>Blend of B&amp;L transaction multiple and emerging market comps</t>
  </si>
  <si>
    <t>Total EV</t>
  </si>
  <si>
    <t>(less: YE15 net debt)</t>
  </si>
  <si>
    <t>Equity Value</t>
  </si>
  <si>
    <t>Shares outstanding</t>
  </si>
  <si>
    <t>$/Sh</t>
  </si>
  <si>
    <t>Scenario 2</t>
  </si>
  <si>
    <t>In-line with B&amp;L transaction multiple</t>
  </si>
  <si>
    <t>Discount to Medicis transaciton multiple due to controversies</t>
  </si>
  <si>
    <t>Scenario 3 - current price</t>
  </si>
  <si>
    <t>Discount to B&amp;L multiple despite higher growth business</t>
  </si>
  <si>
    <t>Balance Sheet and Cash Flows</t>
  </si>
  <si>
    <t>FY 2014E</t>
  </si>
  <si>
    <t>BALANCE SHEET</t>
  </si>
  <si>
    <t>ASSETS</t>
  </si>
  <si>
    <t>Cash &amp; equivalents</t>
  </si>
  <si>
    <t>Marketable securities</t>
  </si>
  <si>
    <t>Receivables</t>
  </si>
  <si>
    <t>Inventories</t>
  </si>
  <si>
    <t>Prepaid expenses and other current assets</t>
  </si>
  <si>
    <t>Deferred tax assets, net</t>
  </si>
  <si>
    <t>Assets held for sale</t>
  </si>
  <si>
    <t>Total current assets</t>
  </si>
  <si>
    <t>Long-term marketable securities &amp; restricted cash</t>
  </si>
  <si>
    <t>PP&amp;E, net</t>
  </si>
  <si>
    <t>Intangible assets, net</t>
  </si>
  <si>
    <t>Goodwill</t>
  </si>
  <si>
    <t>Other long-term assets, net</t>
  </si>
  <si>
    <t>Total long-term assets</t>
  </si>
  <si>
    <t>TOTAL ASSETS</t>
  </si>
  <si>
    <t>LIABILITIES</t>
  </si>
  <si>
    <t>Accounts payable</t>
  </si>
  <si>
    <t>Dividends payable</t>
  </si>
  <si>
    <t>Accrued liabilities</t>
  </si>
  <si>
    <t>Accrued legal settlements</t>
  </si>
  <si>
    <t>Income taxes payable</t>
  </si>
  <si>
    <t>Deferred revenue</t>
  </si>
  <si>
    <t>Deferred tax liabilities</t>
  </si>
  <si>
    <t>Current portion of long-term obligations</t>
  </si>
  <si>
    <t>Acquisition related contingent consideration</t>
  </si>
  <si>
    <t>Other current liabilities</t>
  </si>
  <si>
    <t>Liabilities held for sale</t>
  </si>
  <si>
    <t>Total current liabilities</t>
  </si>
  <si>
    <t>Long-term obligations</t>
  </si>
  <si>
    <t>Other long-term liabilities</t>
  </si>
  <si>
    <t>Total non-current liabilities</t>
  </si>
  <si>
    <t>TOTAL LIABILITIES</t>
  </si>
  <si>
    <t>SHAREHOLDERS' EQUITY</t>
  </si>
  <si>
    <t>Common stock + APIC</t>
  </si>
  <si>
    <t>Accumulated earnings (deficit)</t>
  </si>
  <si>
    <t>Accumulated OCI</t>
  </si>
  <si>
    <t>Total shareholders' equity</t>
  </si>
  <si>
    <t>Non-controlling interest</t>
  </si>
  <si>
    <t>TOTAL LIABILITIES &amp; S/H EQUITY</t>
  </si>
  <si>
    <t>check</t>
  </si>
  <si>
    <t>CASH FLOW STATEMENT (by quarter)</t>
  </si>
  <si>
    <t>Operations</t>
  </si>
  <si>
    <t>Net income (inc Amort)</t>
  </si>
  <si>
    <t>D&amp;A</t>
  </si>
  <si>
    <t>Share-based compensation</t>
  </si>
  <si>
    <t>Deferred income taxes</t>
  </si>
  <si>
    <t>Restructuring charges</t>
  </si>
  <si>
    <t>Changes in working capital</t>
  </si>
  <si>
    <t>CASH FLOW FROM OPERATING ACTIVITIES</t>
  </si>
  <si>
    <t>Investing</t>
  </si>
  <si>
    <t>Capex</t>
  </si>
  <si>
    <t>Other (including business development)</t>
  </si>
  <si>
    <t>CASH FLOW FROM INVESTING ACTIVITIES</t>
  </si>
  <si>
    <t>Financing</t>
  </si>
  <si>
    <t>Net debt activities</t>
  </si>
  <si>
    <t>Net stock activities</t>
  </si>
  <si>
    <t>Dividends</t>
  </si>
  <si>
    <t>CASH FLOW FROM FINANCING ACTIVITES</t>
  </si>
  <si>
    <t>Effect of exchange rates on cash</t>
  </si>
  <si>
    <t>NET CASH FLOW</t>
  </si>
  <si>
    <t>Cash &amp; equivalents, beginning of period</t>
  </si>
  <si>
    <t>Cash &amp; equivalents, end of period</t>
  </si>
  <si>
    <t>Cash</t>
  </si>
  <si>
    <t>Debt</t>
  </si>
  <si>
    <t>Net debt</t>
  </si>
  <si>
    <t>Free cash flow</t>
  </si>
  <si>
    <t>Total debt</t>
  </si>
  <si>
    <t>net debt</t>
  </si>
  <si>
    <t>TTM EBITDA</t>
  </si>
  <si>
    <t>Net Debt/EBITDA (TTM)</t>
  </si>
  <si>
    <t>Gross Debt/EBITDA (TTM)</t>
  </si>
  <si>
    <t>P&amp;L Items</t>
  </si>
  <si>
    <t>Revenue</t>
  </si>
  <si>
    <t>Cost of sales</t>
  </si>
  <si>
    <t>Adjusted net income</t>
  </si>
  <si>
    <t>FD share count</t>
  </si>
  <si>
    <t>Balance Sheet and Cash Flow Drivers</t>
  </si>
  <si>
    <t>Days sales outstanding</t>
  </si>
  <si>
    <t>Days inventory outstanding</t>
  </si>
  <si>
    <t>Days payable outstanding</t>
  </si>
  <si>
    <t>Amortization expense</t>
  </si>
  <si>
    <t>From last 10-Q</t>
  </si>
  <si>
    <t>Depreciation expense</t>
  </si>
  <si>
    <t>Share issuance/buyback/adjustments</t>
  </si>
  <si>
    <t>Cash interest rate</t>
  </si>
  <si>
    <t>Interest income</t>
  </si>
  <si>
    <t>Average debt interest rate</t>
  </si>
  <si>
    <t>Interest expense</t>
  </si>
  <si>
    <t>Interest expense HARD CODE for P&amp;L</t>
  </si>
  <si>
    <t>Business Development</t>
  </si>
  <si>
    <t>Free cash flow from prior period</t>
  </si>
  <si>
    <t>Target FCF to biz dev</t>
  </si>
  <si>
    <t>Target purchase multiple</t>
  </si>
  <si>
    <t>Additional periodic revenues</t>
  </si>
  <si>
    <t>Share Repo</t>
  </si>
  <si>
    <t>% of FCF</t>
  </si>
  <si>
    <t>Share Repo amount</t>
  </si>
  <si>
    <t>Share Issuance amount</t>
  </si>
  <si>
    <t xml:space="preserve">  Purchase Price</t>
  </si>
  <si>
    <t>Total Share Issuance (Repo)</t>
  </si>
  <si>
    <t>Sept 30, 2014</t>
  </si>
  <si>
    <t>Due Date</t>
  </si>
  <si>
    <t>Revolving Credit Facility</t>
  </si>
  <si>
    <t>April 2018</t>
  </si>
  <si>
    <t>Series A-1 Tranche A Term Loan Facility</t>
  </si>
  <si>
    <t>April 2016</t>
  </si>
  <si>
    <t>Series A-2 Tranche A Term Loan Facility</t>
  </si>
  <si>
    <t>Series A-3 Tranche A Term Loan Facility</t>
  </si>
  <si>
    <t>October 2018</t>
  </si>
  <si>
    <t>Series D-2 Tranche B Term Loan Facility</t>
  </si>
  <si>
    <t>February 2019</t>
  </si>
  <si>
    <t>Series C-2 Tranche B Term Loan Facility</t>
  </si>
  <si>
    <t>December 2019</t>
  </si>
  <si>
    <t>Series E-1 Tranche B Term Loan Facility</t>
  </si>
  <si>
    <t>August 2020</t>
  </si>
  <si>
    <t>Senior Notes:</t>
  </si>
  <si>
    <t>6.75%</t>
  </si>
  <si>
    <t>October 2017</t>
  </si>
  <si>
    <t>6.875%</t>
  </si>
  <si>
    <t>December 2018</t>
  </si>
  <si>
    <t>7.00%</t>
  </si>
  <si>
    <t>October 2020</t>
  </si>
  <si>
    <t>August 2021</t>
  </si>
  <si>
    <t>7.25%</t>
  </si>
  <si>
    <t>July 2022</t>
  </si>
  <si>
    <t>6.375%</t>
  </si>
  <si>
    <t>August 2018</t>
  </si>
  <si>
    <t>7.50%</t>
  </si>
  <si>
    <t>July 2021</t>
  </si>
  <si>
    <t>5.625%</t>
  </si>
  <si>
    <t>December 2021</t>
  </si>
  <si>
    <t>Various</t>
  </si>
  <si>
    <t>Less current portion</t>
  </si>
  <si>
    <t>Total long-term debt</t>
  </si>
  <si>
    <t>millions USD, fiscal year ends 12/31</t>
  </si>
  <si>
    <t>Terminal</t>
  </si>
  <si>
    <t>Solodyn, 2025; Onexton, 2029; Jublia, 2030</t>
  </si>
  <si>
    <t>Total US</t>
  </si>
  <si>
    <t>Incremental Revenues</t>
  </si>
  <si>
    <t>Total Revenue (inclu. Business Development)</t>
  </si>
  <si>
    <t>Operating expenses</t>
  </si>
  <si>
    <t>EBIT margin</t>
  </si>
  <si>
    <t>P&amp;L/Cash Flow</t>
  </si>
  <si>
    <t>EBIT</t>
  </si>
  <si>
    <t>EBIT (from biz dev)</t>
  </si>
  <si>
    <t>Tax rate</t>
  </si>
  <si>
    <t>Tax</t>
  </si>
  <si>
    <t>Incremental Tax (from biz dev)</t>
  </si>
  <si>
    <t>D&amp;A (linked to deprectiation only)</t>
  </si>
  <si>
    <t>Change in NWC</t>
  </si>
  <si>
    <t>Restructuring Charges</t>
  </si>
  <si>
    <t>Announced Acquisitions/Divestitures</t>
  </si>
  <si>
    <t>Free Cash Flow</t>
  </si>
  <si>
    <t>Free Cash Flow ex-BD</t>
  </si>
  <si>
    <t>Adjusted FCF</t>
  </si>
  <si>
    <t>PV Analysis</t>
  </si>
  <si>
    <t>Year</t>
  </si>
  <si>
    <t>PV factor</t>
  </si>
  <si>
    <t>PV of FCF</t>
  </si>
  <si>
    <t>DCF</t>
  </si>
  <si>
    <t>WACC</t>
  </si>
  <si>
    <t>Terminal growth rate</t>
  </si>
  <si>
    <t>Multiple on biz dev</t>
  </si>
  <si>
    <t>Percent of prev yr FCF</t>
  </si>
  <si>
    <t>PV of estimate periods (now-2018)</t>
  </si>
  <si>
    <t>PV of long-term periods (2019-2030)</t>
  </si>
  <si>
    <t>Terminal PV</t>
  </si>
  <si>
    <t>Less: net debt (YE 2015)</t>
  </si>
  <si>
    <t>Equity value</t>
  </si>
  <si>
    <t>DCF/share</t>
  </si>
  <si>
    <t>Reverse DCF Analysis</t>
  </si>
  <si>
    <t>PV of 2016-2018 Cash Flow</t>
  </si>
  <si>
    <t>PV of 2019+ Cash Flow</t>
  </si>
  <si>
    <t>Less: net debt</t>
  </si>
  <si>
    <t>Implied DCF Value</t>
  </si>
  <si>
    <t>Market Value</t>
  </si>
  <si>
    <t>Assumed Terminal Growth</t>
  </si>
  <si>
    <t>Premium to B&amp;L transaction multiple</t>
  </si>
  <si>
    <t>In-line with Medicis transaciton multiple</t>
  </si>
  <si>
    <t>Welcome to WallStreetOasis' free financial model templates! Download more free templates, master your finance career, and get top interviewing/networking/modeling tips at WallStreetOasis.com. You can find other services and information at WSO below:</t>
  </si>
  <si>
    <t>FREE RESOURCES</t>
  </si>
  <si>
    <t>PREMIUM RESOURCES &amp; SERVICES</t>
  </si>
  <si>
    <t>Join the WSO Community! &gt;&gt;</t>
  </si>
  <si>
    <t>Interview &amp; Prep Courses (IB, PE, HF, Consulting) &gt;&gt;</t>
  </si>
  <si>
    <t>Top FAQs &amp; Resources &gt;&gt;</t>
  </si>
  <si>
    <t>Resume Review Service &gt;&gt;</t>
  </si>
  <si>
    <t>Industry Reports &amp; Company Database &gt;&gt;</t>
  </si>
  <si>
    <t>Find a Mentor &gt;&gt;</t>
  </si>
  <si>
    <t>WSO Templates (Resume, Networking, Models, etc) &gt;&gt;</t>
  </si>
  <si>
    <t>GMAT/Series 7 Exam Prep Courses &gt;&gt;</t>
  </si>
  <si>
    <t>The Talent Oasis - Land a Job! &gt;&gt;</t>
  </si>
  <si>
    <t>Elite Modeling Package &gt;&gt;</t>
  </si>
  <si>
    <t>Financial Modeling Courses &gt;&gt;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</si>
</sst>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1">
    <numFmt numFmtId="5" formatCode="&quot;$&quot;#,##0_);\(&quot;$&quot;#,##0\)"/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#,##0.0_);\(#,##0.0\)"/>
    <numFmt numFmtId="166" formatCode="&quot;$&quot;#,##0.0"/>
    <numFmt numFmtId="167" formatCode="mmm\ yyyy"/>
    <numFmt numFmtId="168" formatCode="_(* #,##0.0_);_(* \(#,##0.0\);_(* &quot;-&quot;??_);_(@_)"/>
    <numFmt numFmtId="169" formatCode="_(* #,##0.000_);_(* \(#,##0.000\);_(* &quot;-&quot;??_);_(@_)"/>
    <numFmt numFmtId="170" formatCode="_(* #,##0.0000_);_(* \(#,##0.0000\);_(* &quot;-&quot;??_);_(@_)"/>
    <numFmt numFmtId="171" formatCode="_(* #,##0_);_(* \(#,##0\);_(* &quot;-&quot;??_);_(@_)"/>
    <numFmt numFmtId="172" formatCode="#,##0.0"/>
    <numFmt numFmtId="173" formatCode="#,##0.0000"/>
    <numFmt numFmtId="174" formatCode="0.0\x"/>
    <numFmt numFmtId="175" formatCode="_(* #,##0.0\x_);_(* \(#,##0.0\);_(* &quot;-&quot;??_);_(@_)"/>
    <numFmt numFmtId="176" formatCode="_(* #,##0.00000_);_(* \(#,##0.00000\);_(* &quot;-&quot;??_);_(@_)"/>
    <numFmt numFmtId="177" formatCode="_(&quot;$&quot;#,##0_)&quot;millions&quot;;\(&quot;$&quot;#,##0\)&quot; millions&quot;"/>
    <numFmt numFmtId="178" formatCode="&quot;$&quot;#,##0.00_)\ \ \ ;\(&quot;$&quot;#,##0.00\)\ \ \ "/>
    <numFmt numFmtId="179" formatCode="&quot;$&quot;#,##0.00&quot;*&quot;\ \ ;\(&quot;$&quot;#,##0.00\)&quot;*&quot;\ \ "/>
    <numFmt numFmtId="180" formatCode="&quot;$&quot;#,##0.00\A_)\ ;\(&quot;$&quot;#,##0.00\A\)\ \ "/>
    <numFmt numFmtId="181" formatCode="&quot;$&quot;@\ "/>
    <numFmt numFmtId="182" formatCode="0.0\ \x"/>
    <numFmt numFmtId="183" formatCode="#,##0.0_);[Red]\(#,##0.0\)"/>
    <numFmt numFmtId="184" formatCode="#,##0.0;\(#,##0.0\)"/>
    <numFmt numFmtId="185" formatCode="\£#,##0_);\(\£#,##0\)"/>
    <numFmt numFmtId="186" formatCode="&quot;Yes&quot;;&quot;No&quot;"/>
    <numFmt numFmtId="187" formatCode="&quot;Yes&quot;;&quot;No&quot;;&quot;No&quot;"/>
    <numFmt numFmtId="188" formatCode="&quot;Yes&quot;;&quot;Yes&quot;;&quot;No&quot;"/>
    <numFmt numFmtId="189" formatCode="&quot;$&quot;#,##0.0_);\(&quot;$&quot;#,##0\)"/>
    <numFmt numFmtId="190" formatCode="&quot;DM&quot;#,##0.0_);\(&quot;DM&quot;#,##0.0\)"/>
    <numFmt numFmtId="191" formatCode="General_)"/>
    <numFmt numFmtId="192" formatCode="0.000_)"/>
    <numFmt numFmtId="193" formatCode=".000"/>
    <numFmt numFmtId="194" formatCode="#,##0_%_);\(#,##0\)_%;#,##0_%_);@_%_)"/>
    <numFmt numFmtId="195" formatCode="#,##0.00_%_);\(#,##0.00\)_%;#,##0.00_%_);@_%_)"/>
    <numFmt numFmtId="196" formatCode="_(* #,##0.000_);_(* \(#,##0.000\);_(* &quot;-&quot;???_);_(@_)"/>
    <numFmt numFmtId="197" formatCode="0.00_);\(0.00\);0.00"/>
    <numFmt numFmtId="198" formatCode="&quot;$&quot;#,##0.0;\(&quot;$&quot;#,##0.0\)"/>
    <numFmt numFmtId="199" formatCode="\£#,##0.0;\(\£#,##0.0\);\£#,##0.0"/>
    <numFmt numFmtId="200" formatCode="&quot;$&quot;#,##0_%_);\(&quot;$&quot;#,##0\)_%;&quot;$&quot;#,##0_%_);@_%_)"/>
    <numFmt numFmtId="201" formatCode="&quot;$&quot;#,##0.00_%_);\(&quot;$&quot;#,##0.00\)_%;&quot;$&quot;#,##0.00_%_);@_%_)"/>
    <numFmt numFmtId="202" formatCode="&quot;$&quot;#,##0.00_%_);\(&quot;$&quot;#,##0.00\)_%;&quot;$&quot;###0.00_%_);@_%_)"/>
    <numFmt numFmtId="203" formatCode="&quot;$&quot;#,##0\ ;\(&quot;$&quot;#,##0\)"/>
    <numFmt numFmtId="204" formatCode="_(&quot;$&quot;\ #,##0.0_);_(&quot;$&quot;\ \(#,##0.0\);_(* &quot;-&quot;??_);_(@_)"/>
    <numFmt numFmtId="205" formatCode="_(&quot;$&quot;\ #,##0.00_);_(&quot;$&quot;\ \(#,##0.00\);_(* &quot;-&quot;??_);_(@_)"/>
    <numFmt numFmtId="206" formatCode="&quot;$&quot;#,##0.0;\(&quot;$&quot;###0.0\)"/>
    <numFmt numFmtId="207" formatCode="_(&quot;$&quot;#,##0.0_);_(\(&quot;$&quot;#,##0.0\);_(&quot;--&quot;_);_(@_)"/>
    <numFmt numFmtId="208" formatCode="_(&quot;$&quot;#,##0.00_);_(\(&quot;$&quot;#,##0.00\);_(&quot;--&quot;_);_(@_)"/>
    <numFmt numFmtId="209" formatCode="\+0%;\(0%\)"/>
    <numFmt numFmtId="210" formatCode="@\ \ \ \ \ "/>
    <numFmt numFmtId="211" formatCode="#,##0\ ;\(#,##0\);\-\ "/>
    <numFmt numFmtId="212" formatCode="mmm"/>
    <numFmt numFmtId="213" formatCode="m/d/yy_%_)"/>
    <numFmt numFmtId="214" formatCode="yyyy"/>
    <numFmt numFmtId="215" formatCode="&quot;$&quot;#,##0.0\ \ \ ;\(&quot;$&quot;#,##0.0\)\ \ "/>
    <numFmt numFmtId="216" formatCode="&quot;C&quot;&quot;$&quot;#,##0.00_);[Red]\(&quot;C&quot;&quot;$&quot;#,##0.00\)"/>
    <numFmt numFmtId="217" formatCode="&quot;$&quot;#,##0.0_);\(&quot;$&quot;#,##0.0\)"/>
    <numFmt numFmtId="218" formatCode="0_%_);\(0\)_%;0_%_);@_%_)"/>
    <numFmt numFmtId="219" formatCode="#,##0.00_)\ \ \ \ \ ;\(#,##0.00\)\ \ \ \ \ "/>
    <numFmt numFmtId="220" formatCode="0.000\x"/>
    <numFmt numFmtId="221" formatCode="&quot;$&quot;#,##0.00_)\ \ \ \ \ ;\(&quot;$&quot;#,##0.00\)\ \ \ \ \ "/>
    <numFmt numFmtId="222" formatCode="&quot;$&quot;#,##0.00\A\ \ \ \ ;\(&quot;$&quot;#,##0.00\A\)\ \ \ \ "/>
    <numFmt numFmtId="223" formatCode="&quot;$&quot;#,##0.00&quot;E&quot;\ \ \ \ ;\(&quot;$&quot;#,##0.00&quot;E&quot;\)\ \ \ \ "/>
    <numFmt numFmtId="224" formatCode="#,##0.00\A\ \ \ \ ;\(#,##0.00\A\)\ \ \ \ "/>
    <numFmt numFmtId="225" formatCode="#,##0.00&quot;E&quot;\ \ \ \ ;\(#,##0.00&quot;E&quot;\)\ \ \ \ "/>
    <numFmt numFmtId="226" formatCode="_([$€-2]* #,##0.00_);_([$€-2]* \(#,##0.00\);_([$€-2]* &quot;-&quot;??_)"/>
    <numFmt numFmtId="227" formatCode="#,##0.000_);\(#,##0.000\)"/>
    <numFmt numFmtId="228" formatCode="0%\ \ \ \ \ \ \ "/>
    <numFmt numFmtId="229" formatCode="dd\-mmm\-yy"/>
    <numFmt numFmtId="230" formatCode="0.0%_);[Red]\(0.0%\)"/>
    <numFmt numFmtId="231" formatCode="0.00%_);[Red]\(0.00%\)"/>
    <numFmt numFmtId="232" formatCode="&quot;$&quot;#,##0"/>
    <numFmt numFmtId="233" formatCode="0.0\%_);\(0.0\%\);0.0\%_);@_%_)"/>
    <numFmt numFmtId="234" formatCode="#,##0.00\ ;\ \(#,##0.00\);\ &quot;- &quot;"/>
    <numFmt numFmtId="235" formatCode="##0.00"/>
    <numFmt numFmtId="236" formatCode="0.00_);\(0.00\);0.00_)"/>
    <numFmt numFmtId="237" formatCode="0.00_)"/>
    <numFmt numFmtId="238" formatCode="_(&quot;$&quot;* #,##0_)\ &quot;millions&quot;;_(&quot;$&quot;* \(#,##0\)&quot; millions&quot;"/>
    <numFmt numFmtId="239" formatCode="&quot;$&quot;#,##0\ &quot;MM&quot;;\(&quot;$&quot;#,##0.00\ &quot;MM&quot;\)"/>
    <numFmt numFmtId="240" formatCode="#,##0\ &quot;MM&quot;"/>
    <numFmt numFmtId="241" formatCode="0.0\x_)_);&quot;NM&quot;_x_)_);0.0\x_)_);@_%_)"/>
    <numFmt numFmtId="242" formatCode="#,##0.0\x_);[Red]\(#,##0.0\x\)"/>
    <numFmt numFmtId="243" formatCode="0%;\-0%"/>
    <numFmt numFmtId="244" formatCode="#,##0.000_);[Red]\(#,##0.000\)"/>
    <numFmt numFmtId="245" formatCode="#,##0.00\p;[Red]\-&quot;£&quot;#,##0.00\p"/>
    <numFmt numFmtId="246" formatCode="#,##0.00\p;[Red]\-#,##0.00\p"/>
    <numFmt numFmtId="247" formatCode="0.0"/>
    <numFmt numFmtId="248" formatCode="#,##0.0\ \ \ ;\(#,##0.0\)\ \ "/>
    <numFmt numFmtId="249" formatCode="&quot;DK&quot;#,##0_);\(&quot;$&quot;#,##0\)"/>
    <numFmt numFmtId="250" formatCode="&quot;FL&quot;#,##0_);\(&quot;$&quot;#,##0\)"/>
    <numFmt numFmtId="251" formatCode="&quot;$&quot;General"/>
    <numFmt numFmtId="252" formatCode="0.000&quot;:1&quot;"/>
    <numFmt numFmtId="253" formatCode="0.0\ \ \ \ \ \ "/>
    <numFmt numFmtId="254" formatCode="0.0%\ \ \ \ \ "/>
    <numFmt numFmtId="255" formatCode="&quot;$&quot;#,##0.0;\(&quot;$&quot;#,##0\)"/>
    <numFmt numFmtId="256" formatCode="&quot;$&quot;0"/>
    <numFmt numFmtId="257" formatCode="0&quot;(A)&quot;"/>
    <numFmt numFmtId="258" formatCode="&quot;FL&quot;#,##0.00_);\(&quot;$&quot;#,##0.00\)"/>
    <numFmt numFmtId="259" formatCode="0.0%;[Red]\(0.0%\)"/>
    <numFmt numFmtId="260" formatCode="#,##0.0\%_);\(#,##0.0\%\);#,##0.0\%_);@_)"/>
    <numFmt numFmtId="261" formatCode="0.00\%;\-0.00\%;0.00\%"/>
    <numFmt numFmtId="262" formatCode="&quot;EP&quot;#,##0_);\(&quot;$&quot;#,##0\)"/>
    <numFmt numFmtId="263" formatCode="0.000%"/>
    <numFmt numFmtId="264" formatCode="0.00\ \ \ \ "/>
    <numFmt numFmtId="265" formatCode="@\ "/>
    <numFmt numFmtId="266" formatCode="&quot;$&quot;@"/>
    <numFmt numFmtId="267" formatCode="0.00\x;\-0.00\x;0.00\x"/>
    <numFmt numFmtId="268" formatCode="##0.00000"/>
    <numFmt numFmtId="269" formatCode="_(&quot;Quarterly:&quot;* 0.000%"/>
    <numFmt numFmtId="270" formatCode="_(* #,##0.0_);_(* \(#,##0.0\);_(* &quot;-&quot;_);_(@_)"/>
    <numFmt numFmtId="271" formatCode="* &quot;$&quot;#,##0.0_);\(* &quot;$&quot;#,##0.0\)"/>
    <numFmt numFmtId="272" formatCode="&quot;£&quot;#,##0.0;[Red]\-&quot;£&quot;#,##0.0"/>
    <numFmt numFmtId="273" formatCode="#,##0.0\ ;\(#,##0.0\)"/>
    <numFmt numFmtId="274" formatCode="&quot;£&quot;#,##0.00;[Red]\-&quot;£&quot;#,##0.00"/>
    <numFmt numFmtId="275" formatCode="0_);\(0\)"/>
    <numFmt numFmtId="276" formatCode="\¥#,##0_);\(\¥#,##0\)"/>
  </numFmts>
  <fonts count="178">
    <font>
      <sz val="10"/>
      <name val="Arial"/>
      <family val="2"/>
    </font>
    <font>
      <sz val="12"/>
      <color theme="1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8"/>
      <name val="Arial"/>
      <family val="2"/>
    </font>
    <font>
      <b/>
      <sz val="9"/>
      <name val="Arial"/>
      <family val="2"/>
    </font>
    <font>
      <sz val="10"/>
      <color theme="1"/>
      <name val="Arial"/>
      <family val="2"/>
    </font>
    <font>
      <sz val="9"/>
      <name val="Arial"/>
      <family val="2"/>
    </font>
    <font>
      <sz val="9"/>
      <color indexed="9"/>
      <name val="Arial"/>
      <family val="2"/>
    </font>
    <font>
      <sz val="9"/>
      <color theme="0"/>
      <name val="Arial"/>
      <family val="2"/>
    </font>
    <font>
      <b/>
      <sz val="9"/>
      <color indexed="9"/>
      <name val="Arial"/>
      <family val="2"/>
    </font>
    <font>
      <sz val="9"/>
      <color indexed="12"/>
      <name val="Arial"/>
      <family val="2"/>
    </font>
    <font>
      <sz val="9"/>
      <color rgb="FFFF0000"/>
      <name val="Arial"/>
      <family val="2"/>
    </font>
    <font>
      <u/>
      <sz val="9"/>
      <color indexed="12"/>
      <name val="Arial"/>
      <family val="2"/>
    </font>
    <font>
      <i/>
      <sz val="9"/>
      <name val="Arial"/>
      <family val="2"/>
    </font>
    <font>
      <b/>
      <sz val="9"/>
      <color indexed="12"/>
      <name val="Arial"/>
      <family val="2"/>
    </font>
    <font>
      <u val="singleAccounting"/>
      <sz val="9"/>
      <name val="Arial"/>
      <family val="2"/>
    </font>
    <font>
      <u val="singleAccounting"/>
      <sz val="9"/>
      <color indexed="12"/>
      <name val="Arial"/>
      <family val="2"/>
    </font>
    <font>
      <b/>
      <u val="singleAccounting"/>
      <sz val="9"/>
      <name val="Arial"/>
      <family val="2"/>
    </font>
    <font>
      <sz val="9"/>
      <color rgb="FF0000FF"/>
      <name val="Arial"/>
      <family val="2"/>
    </font>
    <font>
      <sz val="9"/>
      <color theme="4"/>
      <name val="Arial"/>
      <family val="2"/>
    </font>
    <font>
      <sz val="8.5"/>
      <name val="Arial"/>
      <family val="2"/>
    </font>
    <font>
      <b/>
      <sz val="8.5"/>
      <name val="Arial"/>
      <family val="2"/>
    </font>
    <font>
      <b/>
      <sz val="8.5"/>
      <color rgb="FFFF0000"/>
      <name val="Arial"/>
      <family val="2"/>
    </font>
    <font>
      <b/>
      <sz val="8.5"/>
      <color theme="0"/>
      <name val="Arial"/>
      <family val="2"/>
    </font>
    <font>
      <b/>
      <sz val="9"/>
      <color rgb="FF663300"/>
      <name val="Arial"/>
      <family val="2"/>
    </font>
    <font>
      <i/>
      <sz val="8"/>
      <name val="Arial"/>
      <family val="2"/>
    </font>
    <font>
      <i/>
      <sz val="8"/>
      <color indexed="12"/>
      <name val="Arial"/>
      <family val="2"/>
    </font>
    <font>
      <i/>
      <sz val="8"/>
      <color indexed="55"/>
      <name val="Arial"/>
      <family val="2"/>
    </font>
    <font>
      <i/>
      <u val="singleAccounting"/>
      <sz val="8"/>
      <name val="Arial"/>
      <family val="2"/>
    </font>
    <font>
      <u val="singleAccounting"/>
      <sz val="9"/>
      <color rgb="FFFF0000"/>
      <name val="Arial"/>
      <family val="2"/>
    </font>
    <font>
      <i/>
      <sz val="8"/>
      <color rgb="FF0000FF"/>
      <name val="Arial"/>
      <family val="2"/>
    </font>
    <font>
      <sz val="9"/>
      <color theme="1"/>
      <name val="Arial"/>
      <family val="2"/>
    </font>
    <font>
      <i/>
      <sz val="8"/>
      <color theme="1"/>
      <name val="Arial"/>
      <family val="2"/>
    </font>
    <font>
      <sz val="9"/>
      <color indexed="55"/>
      <name val="Arial"/>
      <family val="2"/>
    </font>
    <font>
      <i/>
      <u/>
      <sz val="8"/>
      <name val="Arial"/>
      <family val="2"/>
    </font>
    <font>
      <sz val="9"/>
      <color theme="1" tint="0.499984740745262"/>
      <name val="Arial"/>
      <family val="2"/>
    </font>
    <font>
      <i/>
      <sz val="8"/>
      <color theme="1" tint="0.499984740745262"/>
      <name val="Arial"/>
      <family val="2"/>
    </font>
    <font>
      <i/>
      <sz val="8"/>
      <color rgb="FFFF0000"/>
      <name val="Arial"/>
      <family val="2"/>
    </font>
    <font>
      <b/>
      <sz val="9"/>
      <color theme="1"/>
      <name val="Arial"/>
      <family val="2"/>
    </font>
    <font>
      <b/>
      <sz val="9"/>
      <color rgb="FFFF0000"/>
      <name val="Arial"/>
      <family val="2"/>
    </font>
    <font>
      <b/>
      <sz val="9"/>
      <color theme="0" tint="-0.499984740745262"/>
      <name val="Arial"/>
      <family val="2"/>
    </font>
    <font>
      <b/>
      <i/>
      <sz val="8"/>
      <name val="Arial"/>
      <family val="2"/>
    </font>
    <font>
      <b/>
      <i/>
      <sz val="8"/>
      <color indexed="12"/>
      <name val="Arial"/>
      <family val="2"/>
    </font>
    <font>
      <sz val="8"/>
      <color theme="1" tint="0.499984740745262"/>
      <name val="Arial"/>
      <family val="2"/>
    </font>
    <font>
      <b/>
      <sz val="9"/>
      <color theme="1" tint="0.499984740745262"/>
      <name val="Arial"/>
      <family val="2"/>
    </font>
    <font>
      <sz val="8"/>
      <color theme="1"/>
      <name val="Arial"/>
      <family val="2"/>
    </font>
    <font>
      <b/>
      <sz val="9"/>
      <color indexed="55"/>
      <name val="Arial"/>
      <family val="2"/>
    </font>
    <font>
      <b/>
      <sz val="9"/>
      <color rgb="FF0000FF"/>
      <name val="Arial"/>
      <family val="2"/>
    </font>
    <font>
      <sz val="8"/>
      <color indexed="55"/>
      <name val="Arial"/>
      <family val="2"/>
    </font>
    <font>
      <sz val="8.5"/>
      <color rgb="FF0000FF"/>
      <name val="Arial"/>
      <family val="2"/>
    </font>
    <font>
      <b/>
      <sz val="10"/>
      <name val="Arial"/>
      <family val="2"/>
    </font>
    <font>
      <u val="singleAccounting"/>
      <sz val="8"/>
      <name val="Arial"/>
      <family val="2"/>
    </font>
    <font>
      <i/>
      <u val="singleAccounting"/>
      <sz val="8"/>
      <color indexed="12"/>
      <name val="Arial"/>
      <family val="2"/>
    </font>
    <font>
      <i/>
      <u val="singleAccounting"/>
      <sz val="8"/>
      <color theme="1"/>
      <name val="Arial"/>
      <family val="2"/>
    </font>
    <font>
      <i/>
      <u val="singleAccounting"/>
      <sz val="8"/>
      <color indexed="55"/>
      <name val="Arial"/>
      <family val="2"/>
    </font>
    <font>
      <u val="singleAccounting"/>
      <sz val="9"/>
      <color theme="1"/>
      <name val="Arial"/>
      <family val="2"/>
    </font>
    <font>
      <u val="singleAccounting"/>
      <sz val="9"/>
      <color theme="1" tint="0.499984740745262"/>
      <name val="Arial"/>
      <family val="2"/>
    </font>
    <font>
      <sz val="8.5"/>
      <color theme="0"/>
      <name val="Arial"/>
      <family val="2"/>
    </font>
    <font>
      <u val="singleAccounting"/>
      <sz val="8.5"/>
      <name val="Arial"/>
      <family val="2"/>
    </font>
    <font>
      <b/>
      <i/>
      <sz val="9"/>
      <name val="Arial"/>
      <family val="2"/>
    </font>
    <font>
      <b/>
      <sz val="9"/>
      <color theme="0"/>
      <name val="Arial"/>
      <family val="2"/>
    </font>
    <font>
      <sz val="9"/>
      <color rgb="FF00B0F0"/>
      <name val="Arial"/>
      <family val="2"/>
    </font>
    <font>
      <sz val="9"/>
      <color indexed="10"/>
      <name val="Arial"/>
      <family val="2"/>
    </font>
    <font>
      <sz val="9"/>
      <color indexed="53"/>
      <name val="Arial"/>
      <family val="2"/>
    </font>
    <font>
      <sz val="10"/>
      <name val="Times New Roman"/>
      <family val="1"/>
    </font>
    <font>
      <i/>
      <sz val="8"/>
      <color theme="4"/>
      <name val="Arial"/>
      <family val="2"/>
    </font>
    <font>
      <sz val="10"/>
      <color theme="3" tint="0.39997558519241921"/>
      <name val="Arial"/>
      <family val="2"/>
    </font>
    <font>
      <u val="singleAccounting"/>
      <sz val="10"/>
      <name val="Arial"/>
      <family val="2"/>
    </font>
    <font>
      <i/>
      <sz val="8"/>
      <color theme="3" tint="0.39997558519241921"/>
      <name val="Arial"/>
      <family val="2"/>
    </font>
    <font>
      <sz val="10"/>
      <color rgb="FF0000FF"/>
      <name val="Arial"/>
      <family val="2"/>
    </font>
    <font>
      <b/>
      <sz val="10"/>
      <color theme="0"/>
      <name val="Arial"/>
      <family val="2"/>
    </font>
    <font>
      <sz val="10"/>
      <name val="GillSans"/>
      <family val="2"/>
    </font>
    <font>
      <sz val="10"/>
      <color indexed="14"/>
      <name val="Baskerville MT"/>
    </font>
    <font>
      <sz val="10"/>
      <color indexed="8"/>
      <name val="MS Sans Serif"/>
      <family val="2"/>
    </font>
    <font>
      <sz val="10"/>
      <color indexed="8"/>
      <name val="Palatino"/>
      <family val="1"/>
    </font>
    <font>
      <b/>
      <sz val="10"/>
      <color indexed="17"/>
      <name val="MS Sans Serif"/>
      <family val="2"/>
    </font>
    <font>
      <sz val="12"/>
      <name val="Arial"/>
      <family val="2"/>
    </font>
    <font>
      <sz val="8"/>
      <name val="Times New Roman"/>
      <family val="1"/>
    </font>
    <font>
      <sz val="10"/>
      <color indexed="8"/>
      <name val="Tms Rmn"/>
    </font>
    <font>
      <strike/>
      <sz val="8"/>
      <name val="Arial"/>
      <family val="2"/>
    </font>
    <font>
      <sz val="8"/>
      <color indexed="8"/>
      <name val="Arial"/>
      <family val="2"/>
    </font>
    <font>
      <sz val="8"/>
      <color indexed="12"/>
      <name val="Tms Rmn"/>
    </font>
    <font>
      <sz val="10"/>
      <color indexed="12"/>
      <name val="Times New Roman"/>
      <family val="1"/>
    </font>
    <font>
      <b/>
      <sz val="8"/>
      <color indexed="8"/>
      <name val="Arial"/>
      <family val="2"/>
    </font>
    <font>
      <b/>
      <sz val="8"/>
      <name val="Times New Roman"/>
      <family val="1"/>
    </font>
    <font>
      <sz val="10"/>
      <color indexed="18"/>
      <name val="Times New Roman"/>
      <family val="1"/>
    </font>
    <font>
      <b/>
      <sz val="8"/>
      <name val="GillSans"/>
      <family val="2"/>
    </font>
    <font>
      <b/>
      <sz val="7"/>
      <name val="Helvetica-Narrow"/>
      <family val="2"/>
    </font>
    <font>
      <b/>
      <sz val="7"/>
      <name val="GillSans"/>
      <family val="2"/>
    </font>
    <font>
      <sz val="11"/>
      <name val="Tms Rmn"/>
      <family val="1"/>
    </font>
    <font>
      <sz val="12"/>
      <name val="Book Antiqua"/>
      <family val="1"/>
    </font>
    <font>
      <sz val="8"/>
      <name val="Palatino"/>
      <family val="1"/>
    </font>
    <font>
      <sz val="8"/>
      <color indexed="24"/>
      <name val="Times New Roman"/>
      <family val="1"/>
    </font>
    <font>
      <sz val="24"/>
      <name val="Arial"/>
      <family val="2"/>
    </font>
    <font>
      <sz val="11"/>
      <color indexed="12"/>
      <name val="Book Antiqua"/>
      <family val="1"/>
    </font>
    <font>
      <sz val="8"/>
      <name val="Univers"/>
      <family val="2"/>
    </font>
    <font>
      <sz val="8"/>
      <name val="Univers 47 CondensedLight"/>
      <family val="2"/>
    </font>
    <font>
      <sz val="8"/>
      <name val="Helv"/>
    </font>
    <font>
      <sz val="10"/>
      <color indexed="8"/>
      <name val="Arial"/>
      <family val="2"/>
    </font>
    <font>
      <sz val="10"/>
      <name val="Palatino"/>
      <family val="1"/>
    </font>
    <font>
      <sz val="8"/>
      <name val="Arial MT"/>
    </font>
    <font>
      <sz val="8"/>
      <name val="Helvetica"/>
      <family val="2"/>
    </font>
    <font>
      <sz val="10"/>
      <name val="MS Sans Serif"/>
      <family val="2"/>
    </font>
    <font>
      <sz val="10"/>
      <name val="Helv"/>
    </font>
    <font>
      <sz val="8"/>
      <color indexed="12"/>
      <name val="Times New Roman"/>
      <family val="1"/>
    </font>
    <font>
      <u val="doubleAccounting"/>
      <sz val="10"/>
      <name val="Arial"/>
      <family val="2"/>
    </font>
    <font>
      <b/>
      <i/>
      <sz val="8"/>
      <color indexed="12"/>
      <name val="HelveticaNeue Condensed"/>
      <family val="2"/>
    </font>
    <font>
      <b/>
      <i/>
      <sz val="9"/>
      <color indexed="12"/>
      <name val="HelveticaNeue Condensed"/>
    </font>
    <font>
      <sz val="7"/>
      <name val="Palatino"/>
      <family val="1"/>
    </font>
    <font>
      <b/>
      <sz val="10"/>
      <color rgb="FFFFFFFF"/>
      <name val="Arial"/>
      <family val="2"/>
    </font>
    <font>
      <sz val="10"/>
      <color rgb="FFFFFFFF"/>
      <name val="Arial"/>
      <family val="2"/>
    </font>
    <font>
      <sz val="8"/>
      <color indexed="17"/>
      <name val="Times New Roman"/>
      <family val="1"/>
    </font>
    <font>
      <b/>
      <sz val="10"/>
      <color indexed="9"/>
      <name val="GillSans"/>
      <family val="2"/>
    </font>
    <font>
      <b/>
      <sz val="10"/>
      <color indexed="8"/>
      <name val="GillSans"/>
      <family val="2"/>
    </font>
    <font>
      <sz val="6"/>
      <color indexed="16"/>
      <name val="Palatino"/>
      <family val="1"/>
    </font>
    <font>
      <b/>
      <sz val="8"/>
      <color indexed="9"/>
      <name val="Helvetica"/>
      <family val="2"/>
    </font>
    <font>
      <b/>
      <sz val="10"/>
      <color indexed="18"/>
      <name val="Times New Roman"/>
      <family val="1"/>
    </font>
    <font>
      <b/>
      <sz val="16"/>
      <name val="Times New Roman"/>
      <family val="1"/>
    </font>
    <font>
      <b/>
      <sz val="8"/>
      <name val="Arial MT"/>
    </font>
    <font>
      <b/>
      <i/>
      <sz val="22"/>
      <name val="Times New Roman"/>
      <family val="1"/>
    </font>
    <font>
      <sz val="8"/>
      <color indexed="9"/>
      <name val="Times New Roman"/>
      <family val="1"/>
    </font>
    <font>
      <sz val="8"/>
      <color indexed="39"/>
      <name val="Arial"/>
      <family val="2"/>
    </font>
    <font>
      <sz val="10"/>
      <color indexed="17"/>
      <name val="Arial"/>
      <family val="2"/>
    </font>
    <font>
      <b/>
      <sz val="10"/>
      <name val="MS Sans Serif"/>
      <family val="2"/>
    </font>
    <font>
      <sz val="10"/>
      <name val="GillSans Light"/>
      <family val="2"/>
    </font>
    <font>
      <b/>
      <sz val="22"/>
      <color indexed="16"/>
      <name val="Arial"/>
      <family val="2"/>
    </font>
    <font>
      <b/>
      <sz val="10"/>
      <color indexed="17"/>
      <name val="Arial"/>
      <family val="2"/>
    </font>
    <font>
      <b/>
      <i/>
      <sz val="16"/>
      <name val="Helv"/>
    </font>
    <font>
      <sz val="10"/>
      <name val="Geneva"/>
      <family val="2"/>
    </font>
    <font>
      <sz val="12"/>
      <color indexed="12"/>
      <name val="Times New Roman"/>
      <family val="1"/>
    </font>
    <font>
      <b/>
      <sz val="12"/>
      <name val="Times New Roman"/>
      <family val="1"/>
    </font>
    <font>
      <i/>
      <sz val="10"/>
      <name val="Helv"/>
    </font>
    <font>
      <sz val="8"/>
      <color indexed="8"/>
      <name val="Times New Roman"/>
      <family val="1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Arial Narrow"/>
      <family val="2"/>
    </font>
    <font>
      <b/>
      <sz val="26"/>
      <name val="Times New Roman"/>
      <family val="1"/>
    </font>
    <font>
      <b/>
      <sz val="18"/>
      <name val="Times New Roman"/>
      <family val="1"/>
    </font>
    <font>
      <sz val="10"/>
      <color indexed="16"/>
      <name val="Helvetica-Black"/>
    </font>
    <font>
      <i/>
      <sz val="8"/>
      <name val="Times New Roman"/>
      <family val="1"/>
    </font>
    <font>
      <i/>
      <sz val="8"/>
      <name val="Arial MT"/>
    </font>
    <font>
      <u/>
      <sz val="10"/>
      <name val="GillSans"/>
      <family val="2"/>
    </font>
    <font>
      <sz val="8"/>
      <color indexed="10"/>
      <name val="Arial"/>
      <family val="2"/>
    </font>
    <font>
      <sz val="10"/>
      <name val="Tms Rmn"/>
    </font>
    <font>
      <sz val="10"/>
      <color indexed="23"/>
      <name val="MS Sans Serif"/>
      <family val="2"/>
    </font>
    <font>
      <b/>
      <sz val="12"/>
      <name val="MS Sans Serif"/>
      <family val="2"/>
    </font>
    <font>
      <b/>
      <sz val="16"/>
      <color indexed="16"/>
      <name val="Arial"/>
      <family val="2"/>
    </font>
    <font>
      <b/>
      <sz val="10"/>
      <name val="GillSans"/>
      <family val="2"/>
    </font>
    <font>
      <b/>
      <sz val="9"/>
      <name val="Palatino"/>
      <family val="1"/>
    </font>
    <font>
      <sz val="9"/>
      <color indexed="21"/>
      <name val="Helvetica-Black"/>
    </font>
    <font>
      <sz val="9"/>
      <name val="Helvetica-Black"/>
    </font>
    <font>
      <b/>
      <sz val="12"/>
      <name val="GillSans"/>
      <family val="2"/>
    </font>
    <font>
      <b/>
      <sz val="10"/>
      <name val="lr ¾©"/>
      <family val="1"/>
    </font>
    <font>
      <sz val="12"/>
      <name val="Times New Roman"/>
      <family val="1"/>
    </font>
    <font>
      <sz val="9"/>
      <name val="Times New Roman"/>
      <family val="1"/>
    </font>
    <font>
      <b/>
      <sz val="16"/>
      <color indexed="62"/>
      <name val="Arial"/>
      <family val="2"/>
    </font>
    <font>
      <b/>
      <sz val="10"/>
      <name val="Helvetica 65"/>
      <family val="2"/>
    </font>
    <font>
      <b/>
      <sz val="10"/>
      <name val="Times New Roman"/>
      <family val="1"/>
    </font>
    <font>
      <b/>
      <sz val="8"/>
      <name val="Helv"/>
    </font>
    <font>
      <b/>
      <sz val="8"/>
      <color indexed="18"/>
      <name val="Times New Roman"/>
      <family val="1"/>
    </font>
    <font>
      <u/>
      <sz val="11"/>
      <name val="GillSans"/>
      <family val="2"/>
    </font>
    <font>
      <b/>
      <sz val="10"/>
      <color indexed="16"/>
      <name val="GillSans"/>
      <family val="2"/>
    </font>
    <font>
      <b/>
      <i/>
      <sz val="24"/>
      <name val="Arial"/>
      <family val="2"/>
    </font>
    <font>
      <sz val="10"/>
      <name val="MS Serif"/>
      <family val="1"/>
    </font>
    <font>
      <sz val="8"/>
      <color indexed="9"/>
      <name val="Arial"/>
      <family val="2"/>
    </font>
    <font>
      <b/>
      <u/>
      <sz val="8"/>
      <name val="Helvetica"/>
      <family val="2"/>
    </font>
    <font>
      <sz val="10"/>
      <name val="細明朝体"/>
      <family val="3"/>
      <charset val="128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b/>
      <u/>
      <sz val="18"/>
      <color theme="10"/>
      <name val="Calibri"/>
      <family val="2"/>
      <scheme val="minor"/>
    </font>
    <font>
      <b/>
      <u/>
      <sz val="18"/>
      <color rgb="FF0000FF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6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1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lightGray">
        <fgColor indexed="15"/>
      </patternFill>
    </fill>
    <fill>
      <patternFill patternType="lightGray">
        <fgColor indexed="12"/>
      </patternFill>
    </fill>
    <fill>
      <patternFill patternType="solid">
        <fgColor indexed="26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66669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indexed="9"/>
      </patternFill>
    </fill>
    <fill>
      <patternFill patternType="mediumGray"/>
    </fill>
    <fill>
      <patternFill patternType="solid">
        <fgColor indexed="12"/>
      </patternFill>
    </fill>
    <fill>
      <patternFill patternType="solid">
        <fgColor indexed="13"/>
      </patternFill>
    </fill>
    <fill>
      <patternFill patternType="mediumGray">
        <fgColor indexed="22"/>
      </patternFill>
    </fill>
    <fill>
      <patternFill patternType="solid">
        <fgColor indexed="63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38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59999389629810485"/>
        <bgColor indexed="64"/>
      </patternFill>
    </fill>
  </fills>
  <borders count="92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0"/>
      </left>
      <right style="thin">
        <color indexed="60"/>
      </right>
      <top style="thin">
        <color indexed="60"/>
      </top>
      <bottom/>
      <diagonal/>
    </border>
    <border>
      <left/>
      <right/>
      <top style="thin">
        <color indexed="60"/>
      </top>
      <bottom/>
      <diagonal/>
    </border>
    <border>
      <left style="thin">
        <color indexed="60"/>
      </left>
      <right style="thin">
        <color indexed="60"/>
      </right>
      <top/>
      <bottom/>
      <diagonal/>
    </border>
    <border>
      <left style="thin">
        <color indexed="60"/>
      </left>
      <right style="thin">
        <color indexed="60"/>
      </right>
      <top/>
      <bottom style="thin">
        <color indexed="60"/>
      </bottom>
      <diagonal/>
    </border>
    <border>
      <left/>
      <right/>
      <top/>
      <bottom style="thin">
        <color indexed="60"/>
      </bottom>
      <diagonal/>
    </border>
    <border>
      <left style="thin">
        <color indexed="55"/>
      </left>
      <right style="thin">
        <color indexed="55"/>
      </right>
      <top style="thin">
        <color indexed="55"/>
      </top>
      <bottom style="thin">
        <color indexed="55"/>
      </bottom>
      <diagonal/>
    </border>
    <border>
      <left/>
      <right/>
      <top style="thin">
        <color indexed="55"/>
      </top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 style="thin">
        <color indexed="55"/>
      </bottom>
      <diagonal/>
    </border>
    <border>
      <left/>
      <right style="thin">
        <color indexed="55"/>
      </right>
      <top style="thin">
        <color indexed="55"/>
      </top>
      <bottom style="thin">
        <color indexed="55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 style="thin">
        <color indexed="55"/>
      </left>
      <right style="thin">
        <color indexed="55"/>
      </right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 style="thin">
        <color indexed="55"/>
      </left>
      <right style="thin">
        <color indexed="55"/>
      </right>
      <top/>
      <bottom/>
      <diagonal/>
    </border>
    <border>
      <left/>
      <right style="thin">
        <color indexed="55"/>
      </right>
      <top/>
      <bottom/>
      <diagonal/>
    </border>
    <border>
      <left style="thin">
        <color indexed="55"/>
      </left>
      <right/>
      <top/>
      <bottom style="thin">
        <color indexed="55"/>
      </bottom>
      <diagonal/>
    </border>
    <border>
      <left style="thin">
        <color indexed="55"/>
      </left>
      <right style="thin">
        <color indexed="55"/>
      </right>
      <top/>
      <bottom style="thin">
        <color indexed="55"/>
      </bottom>
      <diagonal/>
    </border>
    <border>
      <left/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60"/>
      </left>
      <right/>
      <top style="thin">
        <color indexed="60"/>
      </top>
      <bottom/>
      <diagonal/>
    </border>
    <border>
      <left/>
      <right style="thin">
        <color indexed="60"/>
      </right>
      <top style="thin">
        <color indexed="60"/>
      </top>
      <bottom/>
      <diagonal/>
    </border>
    <border>
      <left style="thin">
        <color theme="4" tint="0.39994506668294322"/>
      </left>
      <right/>
      <top style="thin">
        <color theme="4" tint="0.39994506668294322"/>
      </top>
      <bottom/>
      <diagonal/>
    </border>
    <border>
      <left/>
      <right/>
      <top style="thin">
        <color theme="4" tint="0.39994506668294322"/>
      </top>
      <bottom/>
      <diagonal/>
    </border>
    <border>
      <left/>
      <right style="thin">
        <color theme="4" tint="0.39994506668294322"/>
      </right>
      <top style="thin">
        <color theme="4" tint="0.39994506668294322"/>
      </top>
      <bottom/>
      <diagonal/>
    </border>
    <border>
      <left style="thin">
        <color indexed="60"/>
      </left>
      <right/>
      <top/>
      <bottom/>
      <diagonal/>
    </border>
    <border>
      <left style="thin">
        <color theme="4" tint="0.39994506668294322"/>
      </left>
      <right/>
      <top/>
      <bottom/>
      <diagonal/>
    </border>
    <border>
      <left/>
      <right style="thin">
        <color theme="4" tint="0.39994506668294322"/>
      </right>
      <top/>
      <bottom/>
      <diagonal/>
    </border>
    <border>
      <left/>
      <right style="thin">
        <color indexed="60"/>
      </right>
      <top/>
      <bottom/>
      <diagonal/>
    </border>
    <border>
      <left style="thin">
        <color indexed="60"/>
      </left>
      <right/>
      <top/>
      <bottom style="thin">
        <color indexed="60"/>
      </bottom>
      <diagonal/>
    </border>
    <border>
      <left/>
      <right style="thin">
        <color indexed="60"/>
      </right>
      <top/>
      <bottom style="thin">
        <color indexed="60"/>
      </bottom>
      <diagonal/>
    </border>
    <border>
      <left style="thin">
        <color theme="4" tint="0.39994506668294322"/>
      </left>
      <right/>
      <top/>
      <bottom style="thin">
        <color theme="4" tint="0.39994506668294322"/>
      </bottom>
      <diagonal/>
    </border>
    <border>
      <left/>
      <right/>
      <top/>
      <bottom style="thin">
        <color theme="4" tint="0.39994506668294322"/>
      </bottom>
      <diagonal/>
    </border>
    <border>
      <left/>
      <right style="thin">
        <color theme="4" tint="0.39994506668294322"/>
      </right>
      <top/>
      <bottom style="thin">
        <color theme="4" tint="0.39994506668294322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indexed="60"/>
      </right>
      <top/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44"/>
      </bottom>
      <diagonal/>
    </border>
    <border>
      <left/>
      <right/>
      <top/>
      <bottom style="hair">
        <color auto="1"/>
      </bottom>
      <diagonal/>
    </border>
    <border>
      <left style="thick">
        <color auto="1"/>
      </left>
      <right/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hair">
        <color auto="1"/>
      </left>
      <right/>
      <top/>
      <bottom/>
      <diagonal/>
    </border>
    <border>
      <left/>
      <right/>
      <top/>
      <bottom style="dotted">
        <color auto="1"/>
      </bottom>
      <diagonal/>
    </border>
    <border>
      <left style="dotted">
        <color indexed="12"/>
      </left>
      <right style="dotted">
        <color indexed="12"/>
      </right>
      <top style="dotted">
        <color indexed="12"/>
      </top>
      <bottom style="dotted">
        <color indexed="12"/>
      </bottom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/>
      <top/>
      <bottom style="thick">
        <color auto="1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dotted">
        <color auto="1"/>
      </top>
      <bottom style="dotted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thin">
        <color indexed="9"/>
      </left>
      <right/>
      <top style="thin">
        <color indexed="9"/>
      </top>
      <bottom style="thin">
        <color indexed="23"/>
      </bottom>
      <diagonal/>
    </border>
    <border>
      <left style="thin">
        <color indexed="23"/>
      </left>
      <right style="dashed">
        <color indexed="9"/>
      </right>
      <top/>
      <bottom style="dashed">
        <color indexed="9"/>
      </bottom>
      <diagonal/>
    </border>
    <border>
      <left/>
      <right/>
      <top style="thick">
        <color auto="1"/>
      </top>
      <bottom style="thin">
        <color auto="1"/>
      </bottom>
      <diagonal/>
    </border>
    <border>
      <left/>
      <right/>
      <top style="thick">
        <color auto="1"/>
      </top>
      <bottom/>
      <diagonal/>
    </border>
    <border>
      <left/>
      <right/>
      <top style="dotted">
        <color auto="1"/>
      </top>
      <bottom style="medium">
        <color auto="1"/>
      </bottom>
      <diagonal/>
    </border>
  </borders>
  <cellStyleXfs count="448">
    <xf numFmtId="0" fontId="0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" fillId="0" borderId="0"/>
    <xf numFmtId="43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74" fillId="0" borderId="0"/>
    <xf numFmtId="177" fontId="74" fillId="0" borderId="0">
      <alignment horizontal="right"/>
    </xf>
    <xf numFmtId="178" fontId="74" fillId="8" borderId="0"/>
    <xf numFmtId="179" fontId="74" fillId="8" borderId="0"/>
    <xf numFmtId="180" fontId="74" fillId="8" borderId="0"/>
    <xf numFmtId="181" fontId="74" fillId="8" borderId="0">
      <alignment horizontal="right"/>
    </xf>
    <xf numFmtId="7" fontId="75" fillId="0" borderId="0">
      <alignment horizontal="right"/>
    </xf>
    <xf numFmtId="0" fontId="76" fillId="0" borderId="0" applyNumberFormat="0" applyFont="0" applyFill="0" applyBorder="0" applyAlignment="0" applyProtection="0"/>
    <xf numFmtId="0" fontId="2" fillId="0" borderId="0"/>
    <xf numFmtId="3" fontId="9" fillId="0" borderId="0"/>
    <xf numFmtId="3" fontId="9" fillId="0" borderId="0"/>
    <xf numFmtId="3" fontId="9" fillId="0" borderId="0"/>
    <xf numFmtId="0" fontId="2" fillId="0" borderId="0"/>
    <xf numFmtId="3" fontId="9" fillId="0" borderId="0"/>
    <xf numFmtId="0" fontId="2" fillId="0" borderId="0"/>
    <xf numFmtId="3" fontId="9" fillId="0" borderId="0"/>
    <xf numFmtId="3" fontId="9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/>
    <xf numFmtId="182" fontId="77" fillId="0" borderId="0">
      <alignment horizontal="left"/>
      <protection locked="0"/>
    </xf>
    <xf numFmtId="38" fontId="67" fillId="0" borderId="73"/>
    <xf numFmtId="165" fontId="4" fillId="0" borderId="0"/>
    <xf numFmtId="165" fontId="78" fillId="0" borderId="73">
      <alignment horizontal="right"/>
    </xf>
    <xf numFmtId="0" fontId="2" fillId="0" borderId="0"/>
    <xf numFmtId="0" fontId="2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4" fillId="0" borderId="74" applyNumberFormat="0" applyFill="0" applyAlignment="0" applyProtection="0"/>
    <xf numFmtId="183" fontId="80" fillId="0" borderId="0" applyFill="0" applyBorder="0" applyProtection="0"/>
    <xf numFmtId="0" fontId="81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9" borderId="0" applyNumberFormat="0" applyFill="0" applyBorder="0" applyAlignment="0" applyProtection="0">
      <protection locked="0"/>
    </xf>
    <xf numFmtId="165" fontId="67" fillId="0" borderId="0" applyNumberFormat="0" applyFont="0" applyAlignment="0" applyProtection="0"/>
    <xf numFmtId="0" fontId="84" fillId="0" borderId="0" applyNumberFormat="0" applyFill="0" applyBorder="0" applyAlignment="0" applyProtection="0"/>
    <xf numFmtId="7" fontId="85" fillId="0" borderId="0">
      <alignment horizontal="right"/>
      <protection locked="0"/>
    </xf>
    <xf numFmtId="0" fontId="86" fillId="9" borderId="10" applyNumberFormat="0" applyFill="0" applyBorder="0" applyAlignment="0" applyProtection="0">
      <protection locked="0"/>
    </xf>
    <xf numFmtId="0" fontId="80" fillId="0" borderId="30" applyNumberFormat="0" applyFont="0" applyFill="0" applyAlignment="0" applyProtection="0"/>
    <xf numFmtId="0" fontId="80" fillId="0" borderId="75" applyNumberFormat="0" applyFont="0" applyFill="0" applyAlignment="0" applyProtection="0"/>
    <xf numFmtId="184" fontId="2" fillId="0" borderId="0" applyFont="0" applyFill="0" applyBorder="0" applyAlignment="0" applyProtection="0"/>
    <xf numFmtId="185" fontId="70" fillId="0" borderId="0" applyFont="0" applyFill="0" applyBorder="0" applyAlignment="0" applyProtection="0"/>
    <xf numFmtId="186" fontId="2" fillId="0" borderId="0" applyFill="0" applyBorder="0" applyAlignment="0"/>
    <xf numFmtId="187" fontId="2" fillId="0" borderId="0" applyFill="0" applyBorder="0" applyAlignment="0"/>
    <xf numFmtId="186" fontId="2" fillId="0" borderId="0" applyFill="0" applyBorder="0" applyAlignment="0"/>
    <xf numFmtId="188" fontId="2" fillId="0" borderId="0" applyFill="0" applyBorder="0" applyAlignment="0"/>
    <xf numFmtId="189" fontId="2" fillId="0" borderId="0" applyFill="0" applyBorder="0" applyAlignment="0"/>
    <xf numFmtId="186" fontId="2" fillId="0" borderId="0" applyFill="0" applyBorder="0" applyAlignment="0"/>
    <xf numFmtId="190" fontId="2" fillId="0" borderId="0" applyFill="0" applyBorder="0" applyAlignment="0"/>
    <xf numFmtId="187" fontId="2" fillId="0" borderId="0" applyFill="0" applyBorder="0" applyAlignment="0"/>
    <xf numFmtId="191" fontId="80" fillId="17" borderId="0" applyNumberFormat="0" applyFont="0" applyBorder="0" applyAlignment="0"/>
    <xf numFmtId="183" fontId="80" fillId="0" borderId="0" applyFill="0" applyBorder="0" applyProtection="0"/>
    <xf numFmtId="183" fontId="87" fillId="0" borderId="0" applyFont="0" applyFill="0" applyBorder="0" applyAlignment="0" applyProtection="0"/>
    <xf numFmtId="1" fontId="88" fillId="0" borderId="0"/>
    <xf numFmtId="0" fontId="89" fillId="0" borderId="45" applyNumberFormat="0" applyFill="0" applyProtection="0">
      <alignment horizontal="left" vertical="center"/>
    </xf>
    <xf numFmtId="0" fontId="2" fillId="0" borderId="0">
      <alignment horizontal="center" wrapText="1"/>
      <protection hidden="1"/>
    </xf>
    <xf numFmtId="0" fontId="90" fillId="0" borderId="76" applyNumberFormat="0" applyFill="0" applyProtection="0">
      <alignment horizontal="center" vertical="center"/>
    </xf>
    <xf numFmtId="0" fontId="91" fillId="0" borderId="45" applyNumberFormat="0" applyFill="0" applyBorder="0" applyProtection="0">
      <alignment horizontal="right" vertical="center"/>
    </xf>
    <xf numFmtId="192" fontId="92" fillId="0" borderId="0"/>
    <xf numFmtId="192" fontId="92" fillId="0" borderId="0"/>
    <xf numFmtId="192" fontId="92" fillId="0" borderId="0"/>
    <xf numFmtId="192" fontId="92" fillId="0" borderId="0"/>
    <xf numFmtId="192" fontId="92" fillId="0" borderId="0"/>
    <xf numFmtId="192" fontId="92" fillId="0" borderId="0"/>
    <xf numFmtId="192" fontId="92" fillId="0" borderId="0"/>
    <xf numFmtId="192" fontId="92" fillId="0" borderId="0"/>
    <xf numFmtId="193" fontId="93" fillId="0" borderId="0"/>
    <xf numFmtId="186" fontId="2" fillId="0" borderId="0" applyFont="0" applyFill="0" applyBorder="0" applyAlignment="0" applyProtection="0"/>
    <xf numFmtId="193" fontId="93" fillId="0" borderId="0"/>
    <xf numFmtId="194" fontId="94" fillId="0" borderId="0" applyFont="0" applyFill="0" applyBorder="0" applyAlignment="0" applyProtection="0">
      <alignment horizontal="right"/>
    </xf>
    <xf numFmtId="195" fontId="94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184" fontId="9" fillId="0" borderId="77" applyFill="0" applyBorder="0" applyProtection="0"/>
    <xf numFmtId="196" fontId="2" fillId="0" borderId="45" applyFont="0"/>
    <xf numFmtId="165" fontId="4" fillId="0" borderId="0"/>
    <xf numFmtId="3" fontId="95" fillId="0" borderId="0" applyFont="0" applyFill="0" applyBorder="0" applyAlignment="0" applyProtection="0"/>
    <xf numFmtId="0" fontId="96" fillId="18" borderId="0">
      <alignment horizontal="center" vertical="center" wrapText="1"/>
    </xf>
    <xf numFmtId="197" fontId="2" fillId="0" borderId="0" applyFill="0" applyBorder="0">
      <alignment horizontal="right"/>
      <protection locked="0"/>
    </xf>
    <xf numFmtId="198" fontId="80" fillId="0" borderId="0" applyFont="0" applyFill="0" applyBorder="0" applyAlignment="0" applyProtection="0">
      <protection locked="0"/>
    </xf>
    <xf numFmtId="199" fontId="80" fillId="0" borderId="0" applyFont="0" applyFill="0" applyBorder="0" applyAlignment="0" applyProtection="0">
      <protection locked="0"/>
    </xf>
    <xf numFmtId="184" fontId="93" fillId="0" borderId="0"/>
    <xf numFmtId="187" fontId="2" fillId="0" borderId="0" applyFont="0" applyFill="0" applyBorder="0" applyAlignment="0" applyProtection="0"/>
    <xf numFmtId="184" fontId="93" fillId="0" borderId="0"/>
    <xf numFmtId="8" fontId="97" fillId="0" borderId="78">
      <protection locked="0"/>
    </xf>
    <xf numFmtId="200" fontId="94" fillId="0" borderId="0" applyFont="0" applyFill="0" applyBorder="0" applyAlignment="0" applyProtection="0">
      <alignment horizontal="right"/>
    </xf>
    <xf numFmtId="201" fontId="94" fillId="0" borderId="0" applyFont="0" applyFill="0" applyBorder="0" applyAlignment="0" applyProtection="0">
      <alignment horizontal="right"/>
    </xf>
    <xf numFmtId="5" fontId="74" fillId="0" borderId="0" applyFont="0" applyFill="0" applyBorder="0" applyAlignment="0" applyProtection="0"/>
    <xf numFmtId="44" fontId="2" fillId="0" borderId="0" applyFont="0" applyFill="0" applyBorder="0" applyAlignment="0" applyProtection="0"/>
    <xf numFmtId="202" fontId="67" fillId="0" borderId="0" applyFont="0" applyFill="0" applyBorder="0" applyProtection="0">
      <alignment horizontal="right"/>
    </xf>
    <xf numFmtId="203" fontId="95" fillId="0" borderId="0" applyFont="0" applyFill="0" applyBorder="0" applyAlignment="0" applyProtection="0"/>
    <xf numFmtId="204" fontId="98" fillId="0" borderId="79" applyFill="0" applyBorder="0" applyAlignment="0" applyProtection="0">
      <alignment horizontal="right"/>
    </xf>
    <xf numFmtId="205" fontId="99" fillId="0" borderId="79" applyFont="0" applyFill="0" applyBorder="0" applyAlignment="0" applyProtection="0">
      <alignment horizontal="right"/>
    </xf>
    <xf numFmtId="7" fontId="100" fillId="0" borderId="0" applyFill="0" applyBorder="0" applyProtection="0"/>
    <xf numFmtId="43" fontId="4" fillId="0" borderId="0" applyFont="0" applyFill="0" applyBorder="0" applyAlignment="0" applyProtection="0"/>
    <xf numFmtId="198" fontId="67" fillId="0" borderId="0" applyFont="0" applyFill="0" applyBorder="0" applyAlignment="0" applyProtection="0"/>
    <xf numFmtId="206" fontId="67" fillId="0" borderId="0" applyFont="0" applyFill="0" applyBorder="0" applyAlignment="0" applyProtection="0"/>
    <xf numFmtId="184" fontId="67" fillId="0" borderId="0" applyFont="0" applyFill="0" applyBorder="0" applyAlignment="0" applyProtection="0"/>
    <xf numFmtId="9" fontId="67" fillId="0" borderId="0" applyFont="0" applyFill="0" applyBorder="0" applyAlignment="0" applyProtection="0"/>
    <xf numFmtId="207" fontId="67" fillId="0" borderId="0" applyFont="0" applyFill="0" applyBorder="0" applyAlignment="0" applyProtection="0"/>
    <xf numFmtId="208" fontId="67" fillId="0" borderId="0" applyFont="0" applyFill="0" applyBorder="0" applyAlignment="0" applyProtection="0"/>
    <xf numFmtId="37" fontId="2" fillId="0" borderId="0" applyFont="0" applyFill="0" applyBorder="0" applyAlignment="0" applyProtection="0"/>
    <xf numFmtId="209" fontId="67" fillId="0" borderId="0" applyFont="0" applyFill="0" applyBorder="0" applyAlignment="0" applyProtection="0"/>
    <xf numFmtId="4" fontId="67" fillId="0" borderId="0" applyFont="0" applyFill="0" applyBorder="0" applyAlignment="0" applyProtection="0"/>
    <xf numFmtId="165" fontId="67" fillId="0" borderId="0" applyFont="0" applyFill="0" applyBorder="0" applyAlignment="0" applyProtection="0"/>
    <xf numFmtId="210" fontId="74" fillId="8" borderId="10">
      <alignment horizontal="right"/>
    </xf>
    <xf numFmtId="191" fontId="80" fillId="0" borderId="0" applyFont="0" applyFill="0" applyBorder="0" applyProtection="0">
      <alignment horizontal="right"/>
    </xf>
    <xf numFmtId="15" fontId="3" fillId="0" borderId="0" applyFill="0" applyBorder="0" applyAlignment="0"/>
    <xf numFmtId="211" fontId="2" fillId="19" borderId="0" applyFont="0" applyFill="0" applyBorder="0" applyAlignment="0" applyProtection="0"/>
    <xf numFmtId="212" fontId="2" fillId="19" borderId="5" applyFont="0" applyFill="0" applyBorder="0" applyAlignment="0" applyProtection="0"/>
    <xf numFmtId="211" fontId="2" fillId="19" borderId="0" applyFont="0" applyFill="0" applyBorder="0" applyAlignment="0" applyProtection="0"/>
    <xf numFmtId="17" fontId="3" fillId="0" borderId="0" applyFill="0" applyBorder="0">
      <alignment horizontal="right"/>
    </xf>
    <xf numFmtId="213" fontId="94" fillId="0" borderId="0" applyFont="0" applyFill="0" applyBorder="0" applyAlignment="0" applyProtection="0"/>
    <xf numFmtId="14" fontId="87" fillId="0" borderId="0" applyFill="0" applyBorder="0" applyProtection="0">
      <alignment horizontal="center"/>
    </xf>
    <xf numFmtId="14" fontId="101" fillId="0" borderId="0" applyFill="0" applyBorder="0" applyAlignment="0"/>
    <xf numFmtId="214" fontId="87" fillId="0" borderId="0" applyFill="0" applyBorder="0" applyProtection="0">
      <alignment horizontal="center"/>
    </xf>
    <xf numFmtId="191" fontId="80" fillId="0" borderId="0" applyFont="0" applyFill="0" applyBorder="0" applyProtection="0">
      <alignment horizontal="right"/>
    </xf>
    <xf numFmtId="14" fontId="67" fillId="0" borderId="0">
      <alignment horizontal="right"/>
      <protection locked="0"/>
    </xf>
    <xf numFmtId="14" fontId="87" fillId="0" borderId="0" applyFont="0" applyFill="0" applyBorder="0" applyAlignment="0" applyProtection="0">
      <alignment horizontal="center"/>
    </xf>
    <xf numFmtId="214" fontId="87" fillId="0" borderId="0" applyFont="0" applyFill="0" applyBorder="0" applyAlignment="0" applyProtection="0">
      <alignment horizontal="center"/>
    </xf>
    <xf numFmtId="15" fontId="102" fillId="0" borderId="0" applyFont="0" applyFill="0" applyBorder="0" applyAlignment="0" applyProtection="0">
      <alignment horizontal="center"/>
    </xf>
    <xf numFmtId="183" fontId="102" fillId="0" borderId="0" applyFont="0" applyFill="0" applyBorder="0" applyAlignment="0" applyProtection="0">
      <alignment horizontal="center"/>
    </xf>
    <xf numFmtId="165" fontId="103" fillId="0" borderId="0"/>
    <xf numFmtId="39" fontId="104" fillId="0" borderId="0"/>
    <xf numFmtId="38" fontId="105" fillId="0" borderId="0" applyFont="0" applyFill="0" applyBorder="0" applyAlignment="0" applyProtection="0"/>
    <xf numFmtId="4" fontId="106" fillId="0" borderId="0" applyFont="0" applyFill="0" applyBorder="0" applyAlignment="0" applyProtection="0"/>
    <xf numFmtId="215" fontId="100" fillId="0" borderId="0"/>
    <xf numFmtId="216" fontId="87" fillId="0" borderId="0" applyFill="0" applyBorder="0" applyProtection="0"/>
    <xf numFmtId="6" fontId="80" fillId="0" borderId="0" applyFill="0" applyBorder="0" applyProtection="0"/>
    <xf numFmtId="215" fontId="100" fillId="0" borderId="0"/>
    <xf numFmtId="217" fontId="80" fillId="0" borderId="0"/>
    <xf numFmtId="217" fontId="107" fillId="0" borderId="0">
      <protection locked="0"/>
    </xf>
    <xf numFmtId="7" fontId="80" fillId="0" borderId="0"/>
    <xf numFmtId="7" fontId="4" fillId="0" borderId="0"/>
    <xf numFmtId="6" fontId="80" fillId="0" borderId="0" applyFont="0" applyFill="0" applyBorder="0" applyAlignment="0" applyProtection="0"/>
    <xf numFmtId="218" fontId="94" fillId="0" borderId="80" applyNumberFormat="0" applyFont="0" applyFill="0" applyAlignment="0" applyProtection="0"/>
    <xf numFmtId="42" fontId="108" fillId="0" borderId="0" applyFill="0" applyBorder="0" applyAlignment="0" applyProtection="0"/>
    <xf numFmtId="0" fontId="2" fillId="0" borderId="3" applyNumberFormat="0" applyBorder="0"/>
    <xf numFmtId="164" fontId="109" fillId="0" borderId="81" applyNumberFormat="0" applyAlignment="0" applyProtection="0">
      <alignment vertical="top"/>
    </xf>
    <xf numFmtId="0" fontId="4" fillId="20" borderId="0" applyNumberFormat="0" applyFont="0" applyBorder="0" applyAlignment="0" applyProtection="0"/>
    <xf numFmtId="164" fontId="110" fillId="0" borderId="81" applyNumberFormat="0" applyAlignment="0" applyProtection="0">
      <alignment vertical="top"/>
    </xf>
    <xf numFmtId="186" fontId="2" fillId="0" borderId="0" applyFill="0" applyBorder="0" applyAlignment="0"/>
    <xf numFmtId="187" fontId="2" fillId="0" borderId="0" applyFill="0" applyBorder="0" applyAlignment="0"/>
    <xf numFmtId="186" fontId="2" fillId="0" borderId="0" applyFill="0" applyBorder="0" applyAlignment="0"/>
    <xf numFmtId="190" fontId="2" fillId="0" borderId="0" applyFill="0" applyBorder="0" applyAlignment="0"/>
    <xf numFmtId="187" fontId="2" fillId="0" borderId="0" applyFill="0" applyBorder="0" applyAlignment="0"/>
    <xf numFmtId="219" fontId="74" fillId="0" borderId="0"/>
    <xf numFmtId="220" fontId="93" fillId="0" borderId="0"/>
    <xf numFmtId="221" fontId="74" fillId="0" borderId="0"/>
    <xf numFmtId="222" fontId="74" fillId="0" borderId="0"/>
    <xf numFmtId="223" fontId="74" fillId="0" borderId="0"/>
    <xf numFmtId="39" fontId="74" fillId="21" borderId="0"/>
    <xf numFmtId="224" fontId="74" fillId="0" borderId="0"/>
    <xf numFmtId="225" fontId="74" fillId="0" borderId="0"/>
    <xf numFmtId="0" fontId="4" fillId="0" borderId="0"/>
    <xf numFmtId="226" fontId="2" fillId="0" borderId="0" applyFont="0" applyFill="0" applyBorder="0" applyAlignment="0" applyProtection="0"/>
    <xf numFmtId="2" fontId="95" fillId="0" borderId="0" applyFont="0" applyFill="0" applyBorder="0" applyAlignment="0" applyProtection="0"/>
    <xf numFmtId="183" fontId="2" fillId="19" borderId="0" applyFont="0" applyFill="0" applyBorder="0" applyAlignment="0"/>
    <xf numFmtId="227" fontId="100" fillId="0" borderId="0" applyFill="0" applyBorder="0" applyProtection="0"/>
    <xf numFmtId="0" fontId="111" fillId="0" borderId="0" applyFill="0" applyBorder="0" applyProtection="0">
      <alignment horizontal="left"/>
    </xf>
    <xf numFmtId="183" fontId="4" fillId="9" borderId="21" applyFont="0" applyBorder="0" applyAlignment="0" applyProtection="0">
      <alignment vertical="top"/>
    </xf>
    <xf numFmtId="221" fontId="74" fillId="0" borderId="82"/>
    <xf numFmtId="228" fontId="74" fillId="8" borderId="10">
      <alignment horizontal="right"/>
    </xf>
    <xf numFmtId="183" fontId="80" fillId="0" borderId="0" applyFill="0" applyBorder="0" applyAlignment="0" applyProtection="0">
      <protection locked="0"/>
    </xf>
    <xf numFmtId="0" fontId="53" fillId="0" borderId="0" applyNumberFormat="0">
      <protection locked="0"/>
    </xf>
    <xf numFmtId="0" fontId="2" fillId="22" borderId="0" applyNumberFormat="0">
      <alignment horizontal="right" wrapText="1"/>
    </xf>
    <xf numFmtId="0" fontId="3" fillId="23" borderId="0">
      <alignment horizontal="left"/>
    </xf>
    <xf numFmtId="0" fontId="6" fillId="23" borderId="0">
      <alignment horizontal="left"/>
    </xf>
    <xf numFmtId="0" fontId="5" fillId="23" borderId="0">
      <alignment horizontal="left"/>
    </xf>
    <xf numFmtId="229" fontId="3" fillId="23" borderId="0">
      <alignment horizontal="right"/>
    </xf>
    <xf numFmtId="0" fontId="2" fillId="0" borderId="0"/>
    <xf numFmtId="0" fontId="3" fillId="23" borderId="0">
      <alignment horizontal="right"/>
    </xf>
    <xf numFmtId="0" fontId="5" fillId="23" borderId="0">
      <alignment horizontal="left"/>
    </xf>
    <xf numFmtId="0" fontId="2" fillId="0" borderId="0"/>
    <xf numFmtId="0" fontId="53" fillId="0" borderId="0"/>
    <xf numFmtId="0" fontId="112" fillId="24" borderId="21">
      <alignment horizontal="center" wrapText="1"/>
    </xf>
    <xf numFmtId="0" fontId="53" fillId="25" borderId="0">
      <alignment horizontal="left" wrapText="1"/>
    </xf>
    <xf numFmtId="0" fontId="5" fillId="25" borderId="0">
      <alignment horizontal="left"/>
    </xf>
    <xf numFmtId="0" fontId="112" fillId="0" borderId="0">
      <protection hidden="1"/>
    </xf>
    <xf numFmtId="0" fontId="113" fillId="24" borderId="21">
      <alignment horizontal="center" wrapText="1"/>
    </xf>
    <xf numFmtId="0" fontId="2" fillId="26" borderId="0" applyNumberFormat="0">
      <alignment horizontal="right" wrapText="1"/>
      <protection locked="0"/>
    </xf>
    <xf numFmtId="0" fontId="112" fillId="24" borderId="0">
      <alignment horizontal="left"/>
    </xf>
    <xf numFmtId="38" fontId="4" fillId="8" borderId="0" applyNumberFormat="0" applyFont="0" applyBorder="0" applyAlignment="0">
      <protection hidden="1"/>
    </xf>
    <xf numFmtId="230" fontId="80" fillId="0" borderId="0" applyFill="0" applyBorder="0" applyAlignment="0" applyProtection="0">
      <alignment horizontal="right"/>
    </xf>
    <xf numFmtId="231" fontId="114" fillId="0" borderId="0" applyFill="0" applyBorder="0" applyAlignment="0" applyProtection="0"/>
    <xf numFmtId="0" fontId="80" fillId="27" borderId="21"/>
    <xf numFmtId="0" fontId="67" fillId="0" borderId="0"/>
    <xf numFmtId="184" fontId="107" fillId="0" borderId="0" applyNumberFormat="0" applyFill="0" applyBorder="0" applyAlignment="0" applyProtection="0"/>
    <xf numFmtId="232" fontId="2" fillId="19" borderId="21" applyNumberFormat="0" applyFont="0" applyAlignment="0"/>
    <xf numFmtId="233" fontId="94" fillId="0" borderId="0" applyFont="0" applyFill="0" applyBorder="0" applyAlignment="0" applyProtection="0">
      <alignment horizontal="right"/>
    </xf>
    <xf numFmtId="0" fontId="115" fillId="28" borderId="0" applyNumberFormat="0" applyBorder="0" applyProtection="0">
      <alignment horizontal="left" vertical="center"/>
    </xf>
    <xf numFmtId="0" fontId="116" fillId="1" borderId="0" applyNumberFormat="0" applyBorder="0" applyProtection="0">
      <alignment horizontal="left" vertical="center"/>
    </xf>
    <xf numFmtId="0" fontId="117" fillId="0" borderId="0" applyProtection="0">
      <alignment horizontal="right"/>
    </xf>
    <xf numFmtId="0" fontId="5" fillId="0" borderId="70" applyNumberFormat="0" applyAlignment="0" applyProtection="0">
      <alignment horizontal="left" vertical="center"/>
    </xf>
    <xf numFmtId="0" fontId="5" fillId="0" borderId="22">
      <alignment horizontal="left" vertical="center"/>
    </xf>
    <xf numFmtId="37" fontId="118" fillId="29" borderId="0">
      <alignment horizontal="centerContinuous"/>
    </xf>
    <xf numFmtId="0" fontId="119" fillId="0" borderId="0"/>
    <xf numFmtId="191" fontId="120" fillId="0" borderId="0">
      <alignment horizontal="right"/>
    </xf>
    <xf numFmtId="191" fontId="120" fillId="0" borderId="0">
      <alignment horizontal="left"/>
    </xf>
    <xf numFmtId="37" fontId="121" fillId="0" borderId="45">
      <alignment horizontal="right"/>
    </xf>
    <xf numFmtId="0" fontId="122" fillId="0" borderId="83" applyNumberFormat="0" applyFill="0" applyBorder="0" applyAlignment="0" applyProtection="0">
      <alignment horizontal="left"/>
    </xf>
    <xf numFmtId="0" fontId="123" fillId="0" borderId="0" applyNumberFormat="0" applyFill="0" applyBorder="0" applyAlignment="0" applyProtection="0"/>
    <xf numFmtId="183" fontId="80" fillId="0" borderId="0" applyFill="0" applyBorder="0" applyAlignment="0" applyProtection="0"/>
    <xf numFmtId="164" fontId="2" fillId="0" borderId="0">
      <alignment horizontal="right"/>
    </xf>
    <xf numFmtId="8" fontId="4" fillId="19" borderId="0" applyFont="0" applyBorder="0" applyAlignment="0" applyProtection="0">
      <protection locked="0"/>
    </xf>
    <xf numFmtId="212" fontId="2" fillId="19" borderId="0" applyFont="0" applyBorder="0" applyAlignment="0" applyProtection="0">
      <protection locked="0"/>
    </xf>
    <xf numFmtId="183" fontId="2" fillId="19" borderId="0" applyFont="0" applyBorder="0" applyAlignment="0">
      <protection locked="0"/>
    </xf>
    <xf numFmtId="183" fontId="4" fillId="19" borderId="0">
      <protection locked="0"/>
    </xf>
    <xf numFmtId="234" fontId="2" fillId="19" borderId="0" applyFont="0" applyBorder="0" applyAlignment="0">
      <protection locked="0"/>
    </xf>
    <xf numFmtId="10" fontId="4" fillId="19" borderId="0">
      <protection locked="0"/>
    </xf>
    <xf numFmtId="183" fontId="124" fillId="19" borderId="0" applyNumberFormat="0" applyBorder="0" applyAlignment="0">
      <protection locked="0"/>
    </xf>
    <xf numFmtId="234" fontId="2" fillId="19" borderId="21"/>
    <xf numFmtId="37" fontId="103" fillId="8" borderId="0" applyFont="0" applyBorder="0" applyProtection="0"/>
    <xf numFmtId="38" fontId="28" fillId="19" borderId="21"/>
    <xf numFmtId="232" fontId="4" fillId="19" borderId="0" applyNumberFormat="0" applyFont="0" applyBorder="0" applyAlignment="0" applyProtection="0">
      <alignment horizontal="center"/>
      <protection locked="0"/>
    </xf>
    <xf numFmtId="164" fontId="4" fillId="19" borderId="45" applyNumberFormat="0" applyFont="0" applyAlignment="0" applyProtection="0">
      <alignment horizontal="center"/>
      <protection locked="0"/>
    </xf>
    <xf numFmtId="40" fontId="28" fillId="19" borderId="21"/>
    <xf numFmtId="235" fontId="125" fillId="0" borderId="25" applyBorder="0">
      <protection locked="0"/>
    </xf>
    <xf numFmtId="0" fontId="2" fillId="0" borderId="0" applyFill="0" applyBorder="0">
      <alignment horizontal="right"/>
      <protection locked="0"/>
    </xf>
    <xf numFmtId="236" fontId="2" fillId="0" borderId="0" applyFill="0" applyBorder="0">
      <alignment horizontal="right"/>
      <protection locked="0"/>
    </xf>
    <xf numFmtId="0" fontId="126" fillId="30" borderId="84">
      <alignment horizontal="left" vertical="center" wrapText="1"/>
    </xf>
    <xf numFmtId="165" fontId="2" fillId="0" borderId="0" applyFont="0" applyFill="0" applyBorder="0" applyAlignment="0" applyProtection="0"/>
    <xf numFmtId="0" fontId="127" fillId="0" borderId="0" applyNumberFormat="0" applyFill="0" applyBorder="0" applyProtection="0">
      <alignment horizontal="left" vertical="center"/>
    </xf>
    <xf numFmtId="237" fontId="80" fillId="0" borderId="0">
      <alignment horizontal="left"/>
    </xf>
    <xf numFmtId="0" fontId="128" fillId="0" borderId="0" applyNumberFormat="0">
      <alignment horizontal="left"/>
    </xf>
    <xf numFmtId="186" fontId="2" fillId="0" borderId="0" applyFill="0" applyBorder="0" applyAlignment="0"/>
    <xf numFmtId="187" fontId="2" fillId="0" borderId="0" applyFill="0" applyBorder="0" applyAlignment="0"/>
    <xf numFmtId="186" fontId="2" fillId="0" borderId="0" applyFill="0" applyBorder="0" applyAlignment="0"/>
    <xf numFmtId="190" fontId="2" fillId="0" borderId="0" applyFill="0" applyBorder="0" applyAlignment="0"/>
    <xf numFmtId="187" fontId="2" fillId="0" borderId="0" applyFill="0" applyBorder="0" applyAlignment="0"/>
    <xf numFmtId="0" fontId="4" fillId="0" borderId="0"/>
    <xf numFmtId="238" fontId="74" fillId="0" borderId="0">
      <alignment horizontal="right"/>
    </xf>
    <xf numFmtId="239" fontId="74" fillId="0" borderId="0">
      <alignment horizontal="right"/>
    </xf>
    <xf numFmtId="230" fontId="80" fillId="0" borderId="0" applyFill="0" applyBorder="0" applyAlignment="0" applyProtection="0">
      <alignment horizontal="right"/>
    </xf>
    <xf numFmtId="240" fontId="74" fillId="0" borderId="0">
      <alignment horizontal="right"/>
    </xf>
    <xf numFmtId="17" fontId="102" fillId="0" borderId="0" applyFont="0" applyFill="0" applyBorder="0" applyAlignment="0" applyProtection="0">
      <alignment horizontal="center"/>
    </xf>
    <xf numFmtId="241" fontId="94" fillId="0" borderId="0" applyFont="0" applyFill="0" applyBorder="0" applyAlignment="0" applyProtection="0">
      <alignment horizontal="right"/>
    </xf>
    <xf numFmtId="40" fontId="80" fillId="0" borderId="0" applyFill="0" applyBorder="0" applyAlignment="0" applyProtection="0">
      <alignment horizontal="left"/>
    </xf>
    <xf numFmtId="242" fontId="80" fillId="0" borderId="0" applyFill="0" applyBorder="0" applyAlignment="0" applyProtection="0">
      <alignment horizontal="left"/>
    </xf>
    <xf numFmtId="243" fontId="2" fillId="8" borderId="0" applyFont="0" applyBorder="0" applyAlignment="0" applyProtection="0">
      <alignment horizontal="right"/>
      <protection hidden="1"/>
    </xf>
    <xf numFmtId="0" fontId="129" fillId="0" borderId="0">
      <alignment horizontal="right"/>
    </xf>
    <xf numFmtId="0" fontId="2" fillId="21" borderId="0"/>
    <xf numFmtId="0" fontId="125" fillId="0" borderId="85" applyNumberFormat="0" applyAlignment="0"/>
    <xf numFmtId="165" fontId="105" fillId="0" borderId="73">
      <alignment horizontal="right"/>
    </xf>
    <xf numFmtId="237" fontId="130" fillId="0" borderId="0"/>
    <xf numFmtId="38" fontId="4" fillId="0" borderId="0" applyFont="0" applyFill="0" applyBorder="0" applyAlignment="0"/>
    <xf numFmtId="183" fontId="2" fillId="0" borderId="0" applyFont="0" applyFill="0" applyBorder="0" applyAlignment="0"/>
    <xf numFmtId="40" fontId="4" fillId="0" borderId="0" applyFont="0" applyFill="0" applyBorder="0" applyAlignment="0"/>
    <xf numFmtId="244" fontId="4" fillId="0" borderId="0" applyFont="0" applyFill="0" applyBorder="0" applyAlignment="0"/>
    <xf numFmtId="0" fontId="2" fillId="0" borderId="0"/>
    <xf numFmtId="0" fontId="67" fillId="0" borderId="0"/>
    <xf numFmtId="0" fontId="67" fillId="0" borderId="0"/>
    <xf numFmtId="0" fontId="2" fillId="0" borderId="0"/>
    <xf numFmtId="0" fontId="8" fillId="0" borderId="0"/>
    <xf numFmtId="0" fontId="8" fillId="0" borderId="0"/>
    <xf numFmtId="0" fontId="2" fillId="0" borderId="0"/>
    <xf numFmtId="183" fontId="3" fillId="0" borderId="0" applyNumberFormat="0" applyFill="0" applyBorder="0" applyAlignment="0" applyProtection="0"/>
    <xf numFmtId="245" fontId="2" fillId="0" borderId="0" applyFont="0" applyFill="0" applyBorder="0" applyAlignment="0" applyProtection="0"/>
    <xf numFmtId="165" fontId="132" fillId="0" borderId="0">
      <alignment horizontal="left"/>
      <protection locked="0"/>
    </xf>
    <xf numFmtId="165" fontId="133" fillId="0" borderId="0">
      <alignment horizontal="left"/>
      <protection locked="0"/>
    </xf>
    <xf numFmtId="184" fontId="67" fillId="0" borderId="0" applyFill="0" applyBorder="0" applyAlignment="0" applyProtection="0"/>
    <xf numFmtId="0" fontId="104" fillId="0" borderId="0" applyFill="0" applyBorder="0" applyAlignment="0" applyProtection="0"/>
    <xf numFmtId="0" fontId="134" fillId="0" borderId="8"/>
    <xf numFmtId="246" fontId="2" fillId="0" borderId="0" applyFont="0" applyFill="0" applyBorder="0" applyAlignment="0" applyProtection="0"/>
    <xf numFmtId="1" fontId="107" fillId="0" borderId="0">
      <alignment horizontal="right"/>
      <protection locked="0"/>
    </xf>
    <xf numFmtId="247" fontId="135" fillId="0" borderId="0">
      <alignment horizontal="right"/>
      <protection locked="0"/>
    </xf>
    <xf numFmtId="165" fontId="107" fillId="0" borderId="0">
      <protection locked="0"/>
    </xf>
    <xf numFmtId="2" fontId="135" fillId="0" borderId="0">
      <alignment horizontal="right"/>
      <protection locked="0"/>
    </xf>
    <xf numFmtId="2" fontId="107" fillId="0" borderId="0">
      <alignment horizontal="right"/>
      <protection locked="0"/>
    </xf>
    <xf numFmtId="248" fontId="100" fillId="0" borderId="0"/>
    <xf numFmtId="249" fontId="2" fillId="0" borderId="0" applyFont="0" applyFill="0" applyBorder="0" applyAlignment="0" applyProtection="0"/>
    <xf numFmtId="43" fontId="67" fillId="0" borderId="0" applyFont="0" applyFill="0" applyBorder="0" applyAlignment="0" applyProtection="0"/>
    <xf numFmtId="41" fontId="67" fillId="0" borderId="0" applyFont="0" applyFill="0" applyBorder="0" applyAlignment="0" applyProtection="0"/>
    <xf numFmtId="40" fontId="136" fillId="9" borderId="0">
      <alignment horizontal="right"/>
    </xf>
    <xf numFmtId="0" fontId="137" fillId="9" borderId="0">
      <alignment horizontal="right"/>
    </xf>
    <xf numFmtId="0" fontId="138" fillId="9" borderId="10"/>
    <xf numFmtId="0" fontId="138" fillId="0" borderId="0" applyBorder="0">
      <alignment horizontal="centerContinuous"/>
    </xf>
    <xf numFmtId="0" fontId="139" fillId="0" borderId="0" applyBorder="0">
      <alignment horizontal="centerContinuous"/>
    </xf>
    <xf numFmtId="3" fontId="140" fillId="9" borderId="0" applyAlignment="0"/>
    <xf numFmtId="0" fontId="141" fillId="0" borderId="0" applyProtection="0">
      <alignment horizontal="left"/>
    </xf>
    <xf numFmtId="0" fontId="141" fillId="0" borderId="0" applyFill="0" applyBorder="0" applyProtection="0">
      <alignment horizontal="left"/>
    </xf>
    <xf numFmtId="0" fontId="142" fillId="0" borderId="0" applyFill="0" applyBorder="0" applyProtection="0">
      <alignment horizontal="left"/>
    </xf>
    <xf numFmtId="1" fontId="143" fillId="0" borderId="0" applyProtection="0">
      <alignment horizontal="right" vertical="center"/>
    </xf>
    <xf numFmtId="0" fontId="102" fillId="0" borderId="0" applyNumberFormat="0" applyFill="0" applyBorder="0" applyAlignment="0" applyProtection="0"/>
    <xf numFmtId="250" fontId="2" fillId="0" borderId="0"/>
    <xf numFmtId="251" fontId="2" fillId="0" borderId="0" applyFill="0" applyBorder="0"/>
    <xf numFmtId="252" fontId="2" fillId="0" borderId="0" applyFont="0" applyFill="0" applyBorder="0" applyAlignment="0" applyProtection="0"/>
    <xf numFmtId="253" fontId="74" fillId="0" borderId="0"/>
    <xf numFmtId="254" fontId="74" fillId="0" borderId="0"/>
    <xf numFmtId="164" fontId="80" fillId="0" borderId="0">
      <alignment horizontal="right"/>
    </xf>
    <xf numFmtId="255" fontId="93" fillId="0" borderId="0"/>
    <xf numFmtId="10" fontId="2" fillId="0" borderId="0"/>
    <xf numFmtId="164" fontId="80" fillId="0" borderId="0"/>
    <xf numFmtId="256" fontId="93" fillId="0" borderId="0" applyFont="0" applyFill="0" applyBorder="0" applyAlignment="0" applyProtection="0"/>
    <xf numFmtId="257" fontId="2" fillId="0" borderId="0" applyFont="0" applyFill="0" applyBorder="0" applyAlignment="0" applyProtection="0"/>
    <xf numFmtId="164" fontId="144" fillId="0" borderId="0" applyFont="0" applyFill="0" applyBorder="0" applyAlignment="0" applyProtection="0"/>
    <xf numFmtId="258" fontId="2" fillId="0" borderId="0" applyFont="0" applyFill="0" applyBorder="0" applyAlignment="0"/>
    <xf numFmtId="9" fontId="8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59" fontId="102" fillId="0" borderId="0" applyFont="0" applyFill="0" applyBorder="0" applyAlignment="0" applyProtection="0">
      <alignment horizontal="center"/>
    </xf>
    <xf numFmtId="260" fontId="80" fillId="0" borderId="0" applyFont="0" applyFill="0" applyBorder="0" applyProtection="0">
      <alignment horizontal="right"/>
    </xf>
    <xf numFmtId="164" fontId="2" fillId="0" borderId="0"/>
    <xf numFmtId="164" fontId="9" fillId="0" borderId="77" applyFill="0" applyBorder="0" applyProtection="0"/>
    <xf numFmtId="9" fontId="4" fillId="0" borderId="0"/>
    <xf numFmtId="37" fontId="145" fillId="0" borderId="0" applyBorder="0"/>
    <xf numFmtId="164" fontId="107" fillId="0" borderId="0"/>
    <xf numFmtId="10" fontId="103" fillId="0" borderId="0" applyBorder="0"/>
    <xf numFmtId="10" fontId="107" fillId="0" borderId="0">
      <protection locked="0"/>
    </xf>
    <xf numFmtId="261" fontId="2" fillId="0" borderId="0" applyFill="0" applyBorder="0">
      <alignment horizontal="right"/>
      <protection locked="0"/>
    </xf>
    <xf numFmtId="230" fontId="80" fillId="0" borderId="0" applyFont="0" applyFill="0" applyBorder="0" applyAlignment="0" applyProtection="0"/>
    <xf numFmtId="262" fontId="2" fillId="0" borderId="0" applyFont="0" applyFill="0" applyBorder="0" applyAlignment="0" applyProtection="0"/>
    <xf numFmtId="263" fontId="100" fillId="0" borderId="0" applyFill="0" applyBorder="0" applyProtection="0"/>
    <xf numFmtId="38" fontId="4" fillId="0" borderId="0" applyFill="0" applyBorder="0" applyAlignment="0" applyProtection="0">
      <alignment horizontal="right"/>
    </xf>
    <xf numFmtId="244" fontId="80" fillId="0" borderId="0" applyFill="0" applyBorder="0" applyAlignment="0" applyProtection="0">
      <alignment horizontal="left"/>
    </xf>
    <xf numFmtId="0" fontId="131" fillId="0" borderId="0"/>
    <xf numFmtId="186" fontId="2" fillId="0" borderId="0" applyFill="0" applyBorder="0" applyAlignment="0"/>
    <xf numFmtId="187" fontId="2" fillId="0" borderId="0" applyFill="0" applyBorder="0" applyAlignment="0"/>
    <xf numFmtId="186" fontId="2" fillId="0" borderId="0" applyFill="0" applyBorder="0" applyAlignment="0"/>
    <xf numFmtId="190" fontId="2" fillId="0" borderId="0" applyFill="0" applyBorder="0" applyAlignment="0"/>
    <xf numFmtId="187" fontId="2" fillId="0" borderId="0" applyFill="0" applyBorder="0" applyAlignment="0"/>
    <xf numFmtId="38" fontId="80" fillId="0" borderId="0" applyFont="0" applyFill="0" applyBorder="0" applyAlignment="0" applyProtection="0"/>
    <xf numFmtId="173" fontId="2" fillId="0" borderId="0" applyProtection="0">
      <alignment horizontal="right"/>
    </xf>
    <xf numFmtId="173" fontId="2" fillId="0" borderId="0">
      <alignment horizontal="right"/>
      <protection locked="0"/>
    </xf>
    <xf numFmtId="0" fontId="3" fillId="8" borderId="21" applyNumberFormat="0" applyFont="0" applyAlignment="0" applyProtection="0"/>
    <xf numFmtId="232" fontId="4" fillId="8" borderId="0" applyNumberFormat="0" applyFont="0" applyBorder="0" applyAlignment="0" applyProtection="0">
      <alignment horizontal="center"/>
      <protection locked="0"/>
    </xf>
    <xf numFmtId="0" fontId="105" fillId="0" borderId="0" applyNumberFormat="0" applyFont="0" applyFill="0" applyBorder="0" applyAlignment="0" applyProtection="0">
      <alignment horizontal="left"/>
    </xf>
    <xf numFmtId="15" fontId="105" fillId="0" borderId="0" applyFont="0" applyFill="0" applyBorder="0" applyAlignment="0" applyProtection="0"/>
    <xf numFmtId="4" fontId="105" fillId="0" borderId="0" applyFont="0" applyFill="0" applyBorder="0" applyAlignment="0" applyProtection="0"/>
    <xf numFmtId="0" fontId="126" fillId="0" borderId="30">
      <alignment horizontal="center"/>
    </xf>
    <xf numFmtId="3" fontId="105" fillId="0" borderId="0" applyFont="0" applyFill="0" applyBorder="0" applyAlignment="0" applyProtection="0"/>
    <xf numFmtId="0" fontId="105" fillId="31" borderId="0" applyNumberFormat="0" applyFont="0" applyBorder="0" applyAlignment="0" applyProtection="0"/>
    <xf numFmtId="264" fontId="74" fillId="8" borderId="0"/>
    <xf numFmtId="0" fontId="146" fillId="0" borderId="0">
      <alignment horizontal="center"/>
    </xf>
    <xf numFmtId="0" fontId="74" fillId="0" borderId="45">
      <alignment horizontal="centerContinuous"/>
    </xf>
    <xf numFmtId="265" fontId="74" fillId="8" borderId="0">
      <alignment horizontal="right"/>
    </xf>
    <xf numFmtId="266" fontId="74" fillId="8" borderId="10">
      <alignment horizontal="right"/>
    </xf>
    <xf numFmtId="267" fontId="2" fillId="0" borderId="0">
      <alignment horizontal="right"/>
      <protection locked="0"/>
    </xf>
    <xf numFmtId="183" fontId="147" fillId="0" borderId="0" applyNumberFormat="0" applyFill="0" applyBorder="0" applyAlignment="0" applyProtection="0">
      <alignment horizontal="left"/>
    </xf>
    <xf numFmtId="49" fontId="9" fillId="0" borderId="0">
      <alignment horizontal="right"/>
    </xf>
    <xf numFmtId="0" fontId="127" fillId="0" borderId="0" applyNumberFormat="0" applyFill="0" applyBorder="0" applyProtection="0">
      <alignment horizontal="right" vertical="center"/>
    </xf>
    <xf numFmtId="0" fontId="148" fillId="0" borderId="86"/>
    <xf numFmtId="268" fontId="149" fillId="0" borderId="0" applyFill="0" applyBorder="0">
      <alignment horizontal="right"/>
      <protection hidden="1"/>
    </xf>
    <xf numFmtId="0" fontId="150" fillId="18" borderId="21">
      <alignment horizontal="center" vertical="center" wrapText="1"/>
      <protection hidden="1"/>
    </xf>
    <xf numFmtId="0" fontId="67" fillId="32" borderId="0" applyNumberFormat="0" applyFont="0" applyBorder="0" applyAlignment="0" applyProtection="0"/>
    <xf numFmtId="183" fontId="80" fillId="0" borderId="45" applyFill="0" applyBorder="0" applyProtection="0"/>
    <xf numFmtId="42" fontId="70" fillId="0" borderId="0" applyFill="0" applyBorder="0" applyAlignment="0" applyProtection="0"/>
    <xf numFmtId="191" fontId="151" fillId="0" borderId="0" applyNumberFormat="0">
      <alignment horizontal="left"/>
    </xf>
    <xf numFmtId="3" fontId="4" fillId="0" borderId="0"/>
    <xf numFmtId="37" fontId="9" fillId="0" borderId="0"/>
    <xf numFmtId="3" fontId="2" fillId="8" borderId="87" applyFont="0" applyFill="0" applyBorder="0" applyAlignment="0" applyProtection="0"/>
    <xf numFmtId="4" fontId="2" fillId="8" borderId="87" applyFont="0" applyFill="0" applyBorder="0" applyAlignment="0" applyProtection="0"/>
    <xf numFmtId="244" fontId="2" fillId="8" borderId="87" applyFont="0" applyFill="0" applyBorder="0" applyAlignment="0" applyProtection="0"/>
    <xf numFmtId="183" fontId="2" fillId="8" borderId="88" applyFont="0" applyFill="0" applyBorder="0" applyAlignment="0" applyProtection="0"/>
    <xf numFmtId="10" fontId="2" fillId="8" borderId="87" applyFont="0" applyFill="0" applyBorder="0" applyAlignment="0" applyProtection="0"/>
    <xf numFmtId="9" fontId="2" fillId="8" borderId="87" applyFont="0" applyFill="0" applyBorder="0" applyAlignment="0" applyProtection="0"/>
    <xf numFmtId="2" fontId="2" fillId="8" borderId="87" applyFont="0" applyFill="0" applyBorder="0" applyAlignment="0" applyProtection="0"/>
    <xf numFmtId="0" fontId="105" fillId="0" borderId="0"/>
    <xf numFmtId="0" fontId="106" fillId="0" borderId="0"/>
    <xf numFmtId="183" fontId="4" fillId="33" borderId="0" applyNumberFormat="0" applyFont="0" applyBorder="0" applyAlignment="0">
      <protection hidden="1"/>
    </xf>
    <xf numFmtId="0" fontId="2" fillId="0" borderId="0"/>
    <xf numFmtId="3" fontId="9" fillId="0" borderId="0"/>
    <xf numFmtId="0" fontId="101" fillId="0" borderId="0" applyNumberFormat="0" applyBorder="0" applyAlignment="0"/>
    <xf numFmtId="0" fontId="152" fillId="0" borderId="0" applyNumberFormat="0" applyFill="0" applyBorder="0" applyProtection="0">
      <alignment horizontal="left" vertical="center"/>
    </xf>
    <xf numFmtId="183" fontId="80" fillId="0" borderId="0" applyFill="0" applyBorder="0" applyAlignment="0" applyProtection="0"/>
    <xf numFmtId="0" fontId="67" fillId="0" borderId="0"/>
    <xf numFmtId="0" fontId="152" fillId="0" borderId="22" applyNumberFormat="0" applyFill="0" applyProtection="0">
      <alignment horizontal="left" vertical="center"/>
    </xf>
    <xf numFmtId="0" fontId="3" fillId="8" borderId="0" applyNumberFormat="0" applyFont="0" applyBorder="0" applyAlignment="0" applyProtection="0"/>
    <xf numFmtId="0" fontId="80" fillId="0" borderId="0"/>
    <xf numFmtId="0" fontId="7" fillId="0" borderId="0" applyFill="0" applyBorder="0" applyProtection="0">
      <alignment horizontal="center" vertical="center"/>
    </xf>
    <xf numFmtId="0" fontId="153" fillId="0" borderId="0" applyBorder="0" applyProtection="0">
      <alignment vertical="center"/>
    </xf>
    <xf numFmtId="218" fontId="153" fillId="0" borderId="45" applyBorder="0" applyProtection="0">
      <alignment horizontal="right" vertical="center"/>
    </xf>
    <xf numFmtId="0" fontId="154" fillId="6" borderId="0" applyBorder="0" applyProtection="0">
      <alignment horizontal="centerContinuous" vertical="center"/>
    </xf>
    <xf numFmtId="0" fontId="154" fillId="15" borderId="45" applyBorder="0" applyProtection="0">
      <alignment horizontal="centerContinuous" vertical="center"/>
    </xf>
    <xf numFmtId="3" fontId="7" fillId="0" borderId="0" applyNumberFormat="0"/>
    <xf numFmtId="0" fontId="7" fillId="0" borderId="0" applyFill="0" applyBorder="0" applyProtection="0"/>
    <xf numFmtId="0" fontId="155" fillId="0" borderId="0" applyFill="0" applyBorder="0" applyProtection="0">
      <alignment horizontal="left"/>
    </xf>
    <xf numFmtId="191" fontId="28" fillId="0" borderId="0"/>
    <xf numFmtId="0" fontId="111" fillId="0" borderId="9" applyFill="0" applyBorder="0" applyProtection="0">
      <alignment horizontal="left" vertical="top"/>
    </xf>
    <xf numFmtId="0" fontId="83" fillId="9" borderId="3" applyNumberFormat="0" applyFont="0" applyFill="0" applyAlignment="0" applyProtection="0">
      <protection locked="0"/>
    </xf>
    <xf numFmtId="0" fontId="80" fillId="0" borderId="0"/>
    <xf numFmtId="0" fontId="83" fillId="9" borderId="89" applyNumberFormat="0" applyFont="0" applyFill="0" applyAlignment="0" applyProtection="0">
      <protection locked="0"/>
    </xf>
    <xf numFmtId="49" fontId="156" fillId="0" borderId="0"/>
    <xf numFmtId="0" fontId="157" fillId="34" borderId="0">
      <alignment vertical="top" wrapText="1"/>
    </xf>
    <xf numFmtId="183" fontId="2" fillId="35" borderId="0" applyNumberFormat="0" applyFont="0" applyBorder="0" applyAlignment="0" applyProtection="0"/>
    <xf numFmtId="0" fontId="3" fillId="0" borderId="0" applyNumberFormat="0" applyFill="0" applyBorder="0" applyAlignment="0" applyProtection="0"/>
    <xf numFmtId="269" fontId="93" fillId="0" borderId="0">
      <alignment horizontal="center" vertical="center"/>
    </xf>
    <xf numFmtId="191" fontId="107" fillId="0" borderId="0">
      <alignment horizontal="left"/>
      <protection locked="0"/>
    </xf>
    <xf numFmtId="49" fontId="101" fillId="0" borderId="0" applyFill="0" applyBorder="0" applyAlignment="0"/>
    <xf numFmtId="270" fontId="2" fillId="0" borderId="0" applyFill="0" applyBorder="0" applyAlignment="0"/>
    <xf numFmtId="271" fontId="2" fillId="0" borderId="0" applyFill="0" applyBorder="0" applyAlignment="0"/>
    <xf numFmtId="272" fontId="2" fillId="0" borderId="0" applyFill="0" applyBorder="0" applyAlignment="0" applyProtection="0">
      <alignment horizontal="right"/>
    </xf>
    <xf numFmtId="18" fontId="83" fillId="9" borderId="0" applyFont="0" applyFill="0" applyBorder="0" applyAlignment="0" applyProtection="0">
      <protection locked="0"/>
    </xf>
    <xf numFmtId="1" fontId="87" fillId="0" borderId="22" applyFill="0" applyBorder="0" applyProtection="0">
      <alignment horizontal="right"/>
    </xf>
    <xf numFmtId="0" fontId="67" fillId="0" borderId="0" applyNumberFormat="0" applyFill="0" applyBorder="0" applyAlignment="0" applyProtection="0"/>
    <xf numFmtId="0" fontId="158" fillId="0" borderId="0" applyNumberFormat="0" applyFill="0" applyBorder="0" applyAlignment="0" applyProtection="0"/>
    <xf numFmtId="0" fontId="159" fillId="0" borderId="0"/>
    <xf numFmtId="183" fontId="87" fillId="0" borderId="0" applyFill="0" applyBorder="0" applyProtection="0"/>
    <xf numFmtId="3" fontId="160" fillId="0" borderId="0"/>
    <xf numFmtId="0" fontId="161" fillId="0" borderId="90"/>
    <xf numFmtId="237" fontId="162" fillId="0" borderId="0">
      <alignment horizontal="centerContinuous"/>
    </xf>
    <xf numFmtId="0" fontId="7" fillId="0" borderId="91"/>
    <xf numFmtId="237" fontId="87" fillId="0" borderId="0">
      <alignment horizontal="centerContinuous"/>
      <protection locked="0"/>
    </xf>
    <xf numFmtId="237" fontId="87" fillId="0" borderId="0">
      <alignment horizontal="left"/>
    </xf>
    <xf numFmtId="191" fontId="163" fillId="0" borderId="0">
      <alignment horizontal="center"/>
    </xf>
    <xf numFmtId="183" fontId="164" fillId="0" borderId="0" applyNumberFormat="0" applyFill="0" applyBorder="0" applyAlignment="0" applyProtection="0"/>
    <xf numFmtId="191" fontId="163" fillId="0" borderId="0">
      <alignment horizontal="left"/>
    </xf>
    <xf numFmtId="0" fontId="2" fillId="0" borderId="0" applyBorder="0"/>
    <xf numFmtId="0" fontId="165" fillId="0" borderId="0"/>
    <xf numFmtId="0" fontId="166" fillId="0" borderId="0" applyNumberFormat="0" applyFont="0" applyFill="0" applyBorder="0" applyAlignment="0">
      <alignment horizontal="left" vertical="center"/>
    </xf>
    <xf numFmtId="0" fontId="7" fillId="0" borderId="22">
      <alignment horizontal="right" wrapText="1"/>
    </xf>
    <xf numFmtId="0" fontId="167" fillId="0" borderId="0"/>
    <xf numFmtId="3" fontId="7" fillId="0" borderId="45" applyNumberFormat="0"/>
    <xf numFmtId="198" fontId="80" fillId="0" borderId="0">
      <alignment horizontal="right"/>
    </xf>
    <xf numFmtId="0" fontId="168" fillId="0" borderId="45" applyNumberFormat="0" applyFill="0" applyProtection="0"/>
    <xf numFmtId="0" fontId="80" fillId="0" borderId="0" applyNumberFormat="0" applyFill="0" applyBorder="0" applyAlignment="0" applyProtection="0"/>
    <xf numFmtId="244" fontId="144" fillId="0" borderId="0" applyFill="0" applyBorder="0" applyAlignment="0" applyProtection="0"/>
    <xf numFmtId="273" fontId="2" fillId="0" borderId="0" applyNumberFormat="0"/>
    <xf numFmtId="232" fontId="2" fillId="0" borderId="0">
      <alignment horizontal="right"/>
    </xf>
    <xf numFmtId="38" fontId="80" fillId="0" borderId="0" applyFill="0" applyBorder="0" applyAlignment="0" applyProtection="0">
      <alignment horizontal="left"/>
    </xf>
    <xf numFmtId="38" fontId="87" fillId="0" borderId="0" applyFill="0" applyBorder="0" applyAlignment="0" applyProtection="0">
      <alignment horizontal="left"/>
    </xf>
    <xf numFmtId="6" fontId="105" fillId="0" borderId="0" applyFont="0" applyFill="0" applyBorder="0" applyAlignment="0" applyProtection="0"/>
    <xf numFmtId="274" fontId="106" fillId="0" borderId="0" applyFont="0" applyFill="0" applyBorder="0" applyAlignment="0" applyProtection="0"/>
    <xf numFmtId="183" fontId="169" fillId="0" borderId="0" applyNumberFormat="0" applyFill="0" applyBorder="0" applyAlignment="0" applyProtection="0"/>
    <xf numFmtId="0" fontId="3" fillId="9" borderId="0" applyNumberFormat="0" applyFont="0" applyAlignment="0" applyProtection="0"/>
    <xf numFmtId="0" fontId="3" fillId="9" borderId="3" applyNumberFormat="0" applyFont="0" applyAlignment="0" applyProtection="0">
      <protection locked="0"/>
    </xf>
    <xf numFmtId="0" fontId="169" fillId="0" borderId="0" applyNumberFormat="0" applyFill="0" applyBorder="0" applyAlignment="0" applyProtection="0"/>
    <xf numFmtId="1" fontId="80" fillId="0" borderId="0" applyFont="0" applyFill="0" applyBorder="0" applyAlignment="0" applyProtection="0"/>
    <xf numFmtId="275" fontId="170" fillId="0" borderId="0"/>
    <xf numFmtId="276" fontId="70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71" fillId="0" borderId="0"/>
    <xf numFmtId="0" fontId="2" fillId="0" borderId="0" applyFont="0" applyFill="0" applyBorder="0" applyAlignment="0" applyProtection="0"/>
    <xf numFmtId="0" fontId="2" fillId="0" borderId="0" applyFont="0" applyFill="0" applyBorder="0" applyAlignment="0" applyProtection="0"/>
    <xf numFmtId="0" fontId="1" fillId="0" borderId="0"/>
    <xf numFmtId="0" fontId="174" fillId="0" borderId="0" applyNumberFormat="0" applyFill="0" applyBorder="0" applyAlignment="0" applyProtection="0"/>
  </cellStyleXfs>
  <cellXfs count="1028">
    <xf numFmtId="0" fontId="0" fillId="0" borderId="0" xfId="0"/>
    <xf numFmtId="0" fontId="0" fillId="0" borderId="1" xfId="0" applyBorder="1"/>
    <xf numFmtId="0" fontId="9" fillId="0" borderId="0" xfId="0" applyFont="1" applyFill="1"/>
    <xf numFmtId="43" fontId="9" fillId="0" borderId="0" xfId="0" applyNumberFormat="1" applyFont="1" applyFill="1"/>
    <xf numFmtId="43" fontId="7" fillId="0" borderId="0" xfId="1" applyFont="1" applyFill="1"/>
    <xf numFmtId="2" fontId="9" fillId="0" borderId="0" xfId="0" applyNumberFormat="1" applyFont="1" applyFill="1"/>
    <xf numFmtId="43" fontId="7" fillId="0" borderId="0" xfId="1" applyFont="1" applyFill="1" applyBorder="1"/>
    <xf numFmtId="164" fontId="9" fillId="0" borderId="0" xfId="0" applyNumberFormat="1" applyFont="1" applyFill="1"/>
    <xf numFmtId="0" fontId="9" fillId="0" borderId="0" xfId="0" applyFont="1" applyFill="1" applyBorder="1"/>
    <xf numFmtId="43" fontId="7" fillId="0" borderId="0" xfId="1" applyFont="1" applyFill="1" applyBorder="1" applyAlignment="1"/>
    <xf numFmtId="165" fontId="9" fillId="0" borderId="0" xfId="0" applyNumberFormat="1" applyFont="1" applyFill="1"/>
    <xf numFmtId="9" fontId="9" fillId="2" borderId="0" xfId="2" applyFont="1" applyFill="1" applyBorder="1" applyAlignment="1">
      <alignment horizontal="center"/>
    </xf>
    <xf numFmtId="43" fontId="9" fillId="0" borderId="0" xfId="1" applyFont="1" applyFill="1"/>
    <xf numFmtId="166" fontId="10" fillId="0" borderId="0" xfId="0" applyNumberFormat="1" applyFont="1" applyFill="1" applyAlignment="1">
      <alignment horizontal="center"/>
    </xf>
    <xf numFmtId="166" fontId="9" fillId="0" borderId="0" xfId="0" applyNumberFormat="1" applyFont="1" applyFill="1" applyAlignment="1">
      <alignment horizontal="center"/>
    </xf>
    <xf numFmtId="0" fontId="11" fillId="0" borderId="0" xfId="1" applyNumberFormat="1" applyFont="1" applyFill="1" applyAlignment="1">
      <alignment horizontal="center"/>
    </xf>
    <xf numFmtId="0" fontId="9" fillId="0" borderId="0" xfId="1" applyNumberFormat="1" applyFont="1" applyFill="1" applyAlignment="1">
      <alignment horizontal="center"/>
    </xf>
    <xf numFmtId="4" fontId="9" fillId="2" borderId="0" xfId="1" applyNumberFormat="1" applyFont="1" applyFill="1" applyAlignment="1"/>
    <xf numFmtId="0" fontId="9" fillId="4" borderId="0" xfId="0" applyFont="1" applyFill="1"/>
    <xf numFmtId="9" fontId="7" fillId="4" borderId="0" xfId="2" applyFont="1" applyFill="1" applyAlignment="1">
      <alignment horizontal="right"/>
    </xf>
    <xf numFmtId="9" fontId="7" fillId="5" borderId="0" xfId="2" applyFont="1" applyFill="1"/>
    <xf numFmtId="0" fontId="9" fillId="5" borderId="0" xfId="0" applyFont="1" applyFill="1"/>
    <xf numFmtId="43" fontId="12" fillId="6" borderId="2" xfId="1" applyFont="1" applyFill="1" applyBorder="1" applyAlignment="1">
      <alignment horizontal="left"/>
    </xf>
    <xf numFmtId="167" fontId="12" fillId="6" borderId="3" xfId="1" applyNumberFormat="1" applyFont="1" applyFill="1" applyBorder="1" applyAlignment="1">
      <alignment horizontal="center"/>
    </xf>
    <xf numFmtId="168" fontId="12" fillId="6" borderId="4" xfId="1" applyNumberFormat="1" applyFont="1" applyFill="1" applyBorder="1" applyAlignment="1">
      <alignment horizontal="center"/>
    </xf>
    <xf numFmtId="168" fontId="12" fillId="6" borderId="2" xfId="1" applyNumberFormat="1" applyFont="1" applyFill="1" applyBorder="1" applyAlignment="1">
      <alignment horizontal="center"/>
    </xf>
    <xf numFmtId="167" fontId="7" fillId="7" borderId="3" xfId="1" applyNumberFormat="1" applyFont="1" applyFill="1" applyBorder="1" applyAlignment="1">
      <alignment horizontal="center"/>
    </xf>
    <xf numFmtId="43" fontId="12" fillId="6" borderId="0" xfId="1" applyFont="1" applyFill="1" applyBorder="1" applyAlignment="1">
      <alignment horizontal="center"/>
    </xf>
    <xf numFmtId="168" fontId="9" fillId="0" borderId="0" xfId="1" applyNumberFormat="1" applyFont="1" applyFill="1"/>
    <xf numFmtId="168" fontId="12" fillId="6" borderId="5" xfId="1" applyNumberFormat="1" applyFont="1" applyFill="1" applyBorder="1" applyAlignment="1">
      <alignment horizontal="left"/>
    </xf>
    <xf numFmtId="168" fontId="12" fillId="6" borderId="1" xfId="1" applyNumberFormat="1" applyFont="1" applyFill="1" applyBorder="1" applyAlignment="1">
      <alignment horizontal="center"/>
    </xf>
    <xf numFmtId="168" fontId="12" fillId="6" borderId="6" xfId="1" applyNumberFormat="1" applyFont="1" applyFill="1" applyBorder="1" applyAlignment="1">
      <alignment horizontal="center"/>
    </xf>
    <xf numFmtId="168" fontId="12" fillId="6" borderId="5" xfId="1" applyNumberFormat="1" applyFont="1" applyFill="1" applyBorder="1" applyAlignment="1">
      <alignment horizontal="center"/>
    </xf>
    <xf numFmtId="168" fontId="7" fillId="7" borderId="1" xfId="1" applyNumberFormat="1" applyFont="1" applyFill="1" applyBorder="1" applyAlignment="1">
      <alignment horizontal="center"/>
    </xf>
    <xf numFmtId="168" fontId="7" fillId="8" borderId="2" xfId="1" applyNumberFormat="1" applyFont="1" applyFill="1" applyBorder="1"/>
    <xf numFmtId="168" fontId="7" fillId="8" borderId="7" xfId="1" applyNumberFormat="1" applyFont="1" applyFill="1" applyBorder="1"/>
    <xf numFmtId="168" fontId="7" fillId="8" borderId="3" xfId="1" applyNumberFormat="1" applyFont="1" applyFill="1" applyBorder="1"/>
    <xf numFmtId="43" fontId="9" fillId="8" borderId="2" xfId="1" applyFont="1" applyFill="1" applyBorder="1"/>
    <xf numFmtId="168" fontId="7" fillId="0" borderId="8" xfId="1" applyNumberFormat="1" applyFont="1" applyFill="1" applyBorder="1"/>
    <xf numFmtId="168" fontId="7" fillId="0" borderId="9" xfId="1" applyNumberFormat="1" applyFont="1" applyFill="1" applyBorder="1" applyAlignment="1">
      <alignment horizontal="center"/>
    </xf>
    <xf numFmtId="168" fontId="7" fillId="0" borderId="0" xfId="1" applyNumberFormat="1" applyFont="1" applyFill="1" applyBorder="1" applyAlignment="1">
      <alignment horizontal="center"/>
    </xf>
    <xf numFmtId="168" fontId="7" fillId="0" borderId="8" xfId="1" applyNumberFormat="1" applyFont="1" applyFill="1" applyBorder="1" applyAlignment="1">
      <alignment horizontal="center"/>
    </xf>
    <xf numFmtId="43" fontId="9" fillId="2" borderId="8" xfId="1" applyFont="1" applyFill="1" applyBorder="1"/>
    <xf numFmtId="168" fontId="9" fillId="0" borderId="8" xfId="1" applyNumberFormat="1" applyFont="1" applyFill="1" applyBorder="1"/>
    <xf numFmtId="168" fontId="9" fillId="0" borderId="9" xfId="1" applyNumberFormat="1" applyFont="1" applyFill="1" applyBorder="1" applyAlignment="1">
      <alignment horizontal="center"/>
    </xf>
    <xf numFmtId="168" fontId="9" fillId="0" borderId="0" xfId="1" applyNumberFormat="1" applyFont="1" applyFill="1" applyBorder="1" applyAlignment="1">
      <alignment horizontal="center"/>
    </xf>
    <xf numFmtId="168" fontId="9" fillId="0" borderId="8" xfId="1" applyNumberFormat="1" applyFont="1" applyFill="1" applyBorder="1" applyAlignment="1">
      <alignment horizontal="center"/>
    </xf>
    <xf numFmtId="168" fontId="9" fillId="0" borderId="0" xfId="1" applyNumberFormat="1" applyFont="1" applyFill="1" applyBorder="1"/>
    <xf numFmtId="10" fontId="9" fillId="0" borderId="8" xfId="1" applyNumberFormat="1" applyFont="1" applyFill="1" applyBorder="1"/>
    <xf numFmtId="168" fontId="9" fillId="2" borderId="0" xfId="1" applyNumberFormat="1" applyFont="1" applyFill="1" applyBorder="1" applyAlignment="1">
      <alignment horizontal="center"/>
    </xf>
    <xf numFmtId="168" fontId="13" fillId="0" borderId="8" xfId="1" applyNumberFormat="1" applyFont="1" applyFill="1" applyBorder="1" applyAlignment="1">
      <alignment horizontal="center"/>
    </xf>
    <xf numFmtId="168" fontId="13" fillId="0" borderId="0" xfId="1" applyNumberFormat="1" applyFont="1" applyFill="1" applyBorder="1" applyAlignment="1">
      <alignment horizontal="center"/>
    </xf>
    <xf numFmtId="169" fontId="9" fillId="0" borderId="0" xfId="1" applyNumberFormat="1" applyFont="1" applyFill="1" applyBorder="1"/>
    <xf numFmtId="168" fontId="13" fillId="2" borderId="8" xfId="1" applyNumberFormat="1" applyFont="1" applyFill="1" applyBorder="1" applyAlignment="1">
      <alignment horizontal="center"/>
    </xf>
    <xf numFmtId="168" fontId="9" fillId="2" borderId="0" xfId="1" applyNumberFormat="1" applyFont="1" applyFill="1" applyBorder="1"/>
    <xf numFmtId="168" fontId="9" fillId="2" borderId="8" xfId="1" applyNumberFormat="1" applyFont="1" applyFill="1" applyBorder="1" applyAlignment="1">
      <alignment horizontal="center"/>
    </xf>
    <xf numFmtId="169" fontId="7" fillId="0" borderId="0" xfId="1" applyNumberFormat="1" applyFont="1" applyFill="1" applyBorder="1" applyAlignment="1">
      <alignment horizontal="center"/>
    </xf>
    <xf numFmtId="170" fontId="9" fillId="0" borderId="0" xfId="1" applyNumberFormat="1" applyFont="1" applyFill="1" applyBorder="1"/>
    <xf numFmtId="8" fontId="9" fillId="0" borderId="8" xfId="1" applyNumberFormat="1" applyFont="1" applyFill="1" applyBorder="1"/>
    <xf numFmtId="43" fontId="9" fillId="0" borderId="8" xfId="1" applyNumberFormat="1" applyFont="1" applyFill="1" applyBorder="1"/>
    <xf numFmtId="43" fontId="9" fillId="0" borderId="0" xfId="1" applyNumberFormat="1" applyFont="1" applyFill="1"/>
    <xf numFmtId="43" fontId="9" fillId="0" borderId="9" xfId="1" applyNumberFormat="1" applyFont="1" applyFill="1" applyBorder="1"/>
    <xf numFmtId="169" fontId="14" fillId="0" borderId="0" xfId="1" applyNumberFormat="1" applyFont="1" applyFill="1" applyAlignment="1">
      <alignment horizontal="right"/>
    </xf>
    <xf numFmtId="168" fontId="14" fillId="0" borderId="0" xfId="1" applyNumberFormat="1" applyFont="1" applyFill="1" applyAlignment="1">
      <alignment horizontal="left"/>
    </xf>
    <xf numFmtId="164" fontId="9" fillId="0" borderId="8" xfId="1" applyNumberFormat="1" applyFont="1" applyFill="1" applyBorder="1"/>
    <xf numFmtId="43" fontId="7" fillId="0" borderId="8" xfId="1" applyFont="1" applyFill="1" applyBorder="1"/>
    <xf numFmtId="43" fontId="7" fillId="0" borderId="9" xfId="1" applyFont="1" applyFill="1" applyBorder="1" applyAlignment="1">
      <alignment horizontal="center"/>
    </xf>
    <xf numFmtId="43" fontId="7" fillId="0" borderId="0" xfId="1" applyFont="1" applyFill="1" applyBorder="1" applyAlignment="1">
      <alignment horizontal="center"/>
    </xf>
    <xf numFmtId="43" fontId="7" fillId="0" borderId="8" xfId="1" applyFont="1" applyFill="1" applyBorder="1" applyAlignment="1">
      <alignment horizontal="center"/>
    </xf>
    <xf numFmtId="43" fontId="9" fillId="0" borderId="0" xfId="1" applyFont="1" applyFill="1" applyBorder="1"/>
    <xf numFmtId="43" fontId="9" fillId="0" borderId="8" xfId="1" applyFont="1" applyFill="1" applyBorder="1"/>
    <xf numFmtId="168" fontId="9" fillId="0" borderId="9" xfId="1" applyNumberFormat="1" applyFont="1" applyFill="1" applyBorder="1"/>
    <xf numFmtId="168" fontId="9" fillId="0" borderId="10" xfId="1" applyNumberFormat="1" applyFont="1" applyFill="1" applyBorder="1"/>
    <xf numFmtId="168" fontId="15" fillId="0" borderId="0" xfId="1" applyNumberFormat="1" applyFont="1" applyFill="1"/>
    <xf numFmtId="168" fontId="9" fillId="0" borderId="0" xfId="1" quotePrefix="1" applyNumberFormat="1" applyFont="1" applyFill="1"/>
    <xf numFmtId="43" fontId="7" fillId="8" borderId="8" xfId="1" applyFont="1" applyFill="1" applyBorder="1"/>
    <xf numFmtId="43" fontId="9" fillId="8" borderId="9" xfId="1" applyFont="1" applyFill="1" applyBorder="1"/>
    <xf numFmtId="43" fontId="9" fillId="8" borderId="0" xfId="1" applyFont="1" applyFill="1" applyBorder="1"/>
    <xf numFmtId="43" fontId="7" fillId="8" borderId="8" xfId="1" applyFont="1" applyFill="1" applyBorder="1" applyAlignment="1">
      <alignment horizontal="center"/>
    </xf>
    <xf numFmtId="43" fontId="7" fillId="8" borderId="0" xfId="1" applyFont="1" applyFill="1" applyBorder="1" applyAlignment="1">
      <alignment horizontal="center"/>
    </xf>
    <xf numFmtId="43" fontId="7" fillId="8" borderId="0" xfId="1" applyNumberFormat="1" applyFont="1" applyFill="1" applyBorder="1" applyAlignment="1">
      <alignment horizontal="center"/>
    </xf>
    <xf numFmtId="43" fontId="7" fillId="8" borderId="8" xfId="1" applyNumberFormat="1" applyFont="1" applyFill="1" applyBorder="1" applyAlignment="1">
      <alignment horizontal="center"/>
    </xf>
    <xf numFmtId="43" fontId="9" fillId="8" borderId="8" xfId="1" applyFont="1" applyFill="1" applyBorder="1"/>
    <xf numFmtId="43" fontId="7" fillId="0" borderId="5" xfId="1" applyFont="1" applyFill="1" applyBorder="1"/>
    <xf numFmtId="43" fontId="9" fillId="0" borderId="11" xfId="1" applyFont="1" applyFill="1" applyBorder="1"/>
    <xf numFmtId="43" fontId="9" fillId="0" borderId="1" xfId="1" applyFont="1" applyFill="1" applyBorder="1"/>
    <xf numFmtId="43" fontId="7" fillId="0" borderId="5" xfId="1" applyFont="1" applyFill="1" applyBorder="1" applyAlignment="1">
      <alignment horizontal="center"/>
    </xf>
    <xf numFmtId="43" fontId="7" fillId="0" borderId="1" xfId="1" applyFont="1" applyFill="1" applyBorder="1" applyAlignment="1">
      <alignment horizontal="center"/>
    </xf>
    <xf numFmtId="43" fontId="7" fillId="0" borderId="1" xfId="1" applyNumberFormat="1" applyFont="1" applyFill="1" applyBorder="1" applyAlignment="1">
      <alignment horizontal="center"/>
    </xf>
    <xf numFmtId="43" fontId="7" fillId="0" borderId="5" xfId="1" applyNumberFormat="1" applyFont="1" applyFill="1" applyBorder="1" applyAlignment="1">
      <alignment horizontal="center"/>
    </xf>
    <xf numFmtId="43" fontId="9" fillId="0" borderId="5" xfId="1" applyFont="1" applyFill="1" applyBorder="1"/>
    <xf numFmtId="164" fontId="9" fillId="0" borderId="0" xfId="2" applyNumberFormat="1" applyFont="1" applyFill="1" applyBorder="1"/>
    <xf numFmtId="164" fontId="9" fillId="0" borderId="0" xfId="2" applyNumberFormat="1" applyFont="1" applyFill="1" applyBorder="1" applyAlignment="1">
      <alignment horizontal="center"/>
    </xf>
    <xf numFmtId="43" fontId="16" fillId="0" borderId="0" xfId="1" applyFont="1" applyFill="1" applyBorder="1" applyAlignment="1">
      <alignment horizontal="center"/>
    </xf>
    <xf numFmtId="171" fontId="9" fillId="0" borderId="0" xfId="1" applyNumberFormat="1" applyFont="1" applyFill="1" applyBorder="1"/>
    <xf numFmtId="171" fontId="9" fillId="5" borderId="12" xfId="1" applyNumberFormat="1" applyFont="1" applyFill="1" applyBorder="1"/>
    <xf numFmtId="171" fontId="9" fillId="0" borderId="0" xfId="1" applyNumberFormat="1" applyFont="1"/>
    <xf numFmtId="43" fontId="9" fillId="0" borderId="13" xfId="1" applyFont="1" applyFill="1" applyBorder="1"/>
    <xf numFmtId="43" fontId="9" fillId="5" borderId="13" xfId="1" applyFont="1" applyFill="1" applyBorder="1"/>
    <xf numFmtId="43" fontId="9" fillId="5" borderId="12" xfId="1" applyFont="1" applyFill="1" applyBorder="1"/>
    <xf numFmtId="43" fontId="9" fillId="8" borderId="0" xfId="1" applyFont="1" applyFill="1"/>
    <xf numFmtId="171" fontId="17" fillId="0" borderId="0" xfId="1" applyNumberFormat="1" applyFont="1" applyFill="1" applyBorder="1"/>
    <xf numFmtId="171" fontId="17" fillId="5" borderId="14" xfId="1" applyNumberFormat="1" applyFont="1" applyFill="1" applyBorder="1"/>
    <xf numFmtId="43" fontId="17" fillId="0" borderId="0" xfId="1" applyFont="1" applyFill="1" applyBorder="1"/>
    <xf numFmtId="169" fontId="9" fillId="0" borderId="0" xfId="1" applyNumberFormat="1" applyFont="1"/>
    <xf numFmtId="43" fontId="17" fillId="5" borderId="0" xfId="1" applyFont="1" applyFill="1" applyBorder="1"/>
    <xf numFmtId="43" fontId="17" fillId="5" borderId="14" xfId="1" applyFont="1" applyFill="1" applyBorder="1"/>
    <xf numFmtId="171" fontId="17" fillId="0" borderId="0" xfId="1" applyNumberFormat="1" applyFont="1"/>
    <xf numFmtId="171" fontId="9" fillId="5" borderId="14" xfId="1" applyNumberFormat="1" applyFont="1" applyFill="1" applyBorder="1"/>
    <xf numFmtId="171" fontId="9" fillId="5" borderId="0" xfId="1" applyNumberFormat="1" applyFont="1" applyFill="1" applyBorder="1"/>
    <xf numFmtId="171" fontId="17" fillId="5" borderId="0" xfId="1" applyNumberFormat="1" applyFont="1" applyFill="1" applyBorder="1"/>
    <xf numFmtId="171" fontId="17" fillId="0" borderId="0" xfId="1" applyNumberFormat="1" applyFont="1" applyBorder="1"/>
    <xf numFmtId="43" fontId="9" fillId="5" borderId="0" xfId="1" applyFont="1" applyFill="1" applyBorder="1"/>
    <xf numFmtId="43" fontId="9" fillId="5" borderId="14" xfId="1" applyFont="1" applyFill="1" applyBorder="1"/>
    <xf numFmtId="43" fontId="9" fillId="5" borderId="0" xfId="1" applyNumberFormat="1" applyFont="1" applyFill="1" applyBorder="1"/>
    <xf numFmtId="171" fontId="9" fillId="5" borderId="15" xfId="1" applyNumberFormat="1" applyFont="1" applyFill="1" applyBorder="1"/>
    <xf numFmtId="171" fontId="9" fillId="5" borderId="16" xfId="1" applyNumberFormat="1" applyFont="1" applyFill="1" applyBorder="1"/>
    <xf numFmtId="9" fontId="7" fillId="8" borderId="2" xfId="2" applyFont="1" applyFill="1" applyBorder="1"/>
    <xf numFmtId="10" fontId="7" fillId="8" borderId="2" xfId="2" applyNumberFormat="1" applyFont="1" applyFill="1" applyBorder="1"/>
    <xf numFmtId="164" fontId="9" fillId="0" borderId="0" xfId="2" applyNumberFormat="1" applyFont="1" applyFill="1"/>
    <xf numFmtId="164" fontId="9" fillId="0" borderId="9" xfId="2" applyNumberFormat="1" applyFont="1" applyFill="1" applyBorder="1" applyAlignment="1">
      <alignment horizontal="center"/>
    </xf>
    <xf numFmtId="164" fontId="9" fillId="0" borderId="8" xfId="2" applyNumberFormat="1" applyFont="1" applyFill="1" applyBorder="1" applyAlignment="1">
      <alignment horizontal="center"/>
    </xf>
    <xf numFmtId="164" fontId="9" fillId="9" borderId="8" xfId="2" applyNumberFormat="1" applyFont="1" applyFill="1" applyBorder="1" applyAlignment="1">
      <alignment horizontal="center"/>
    </xf>
    <xf numFmtId="164" fontId="9" fillId="0" borderId="10" xfId="2" applyNumberFormat="1" applyFont="1" applyFill="1" applyBorder="1" applyAlignment="1">
      <alignment horizontal="center"/>
    </xf>
    <xf numFmtId="164" fontId="9" fillId="2" borderId="8" xfId="2" applyNumberFormat="1" applyFont="1" applyFill="1" applyBorder="1" applyAlignment="1">
      <alignment horizontal="center"/>
    </xf>
    <xf numFmtId="164" fontId="13" fillId="2" borderId="0" xfId="2" applyNumberFormat="1" applyFont="1" applyFill="1" applyBorder="1" applyAlignment="1">
      <alignment horizontal="center"/>
    </xf>
    <xf numFmtId="164" fontId="13" fillId="2" borderId="10" xfId="2" applyNumberFormat="1" applyFont="1" applyFill="1" applyBorder="1" applyAlignment="1">
      <alignment horizontal="center"/>
    </xf>
    <xf numFmtId="164" fontId="9" fillId="2" borderId="0" xfId="2" applyNumberFormat="1" applyFont="1" applyFill="1"/>
    <xf numFmtId="164" fontId="13" fillId="2" borderId="8" xfId="2" applyNumberFormat="1" applyFont="1" applyFill="1" applyBorder="1" applyAlignment="1">
      <alignment horizontal="center"/>
    </xf>
    <xf numFmtId="164" fontId="13" fillId="0" borderId="0" xfId="2" applyNumberFormat="1" applyFont="1" applyFill="1" applyBorder="1" applyAlignment="1">
      <alignment horizontal="center"/>
    </xf>
    <xf numFmtId="164" fontId="13" fillId="0" borderId="10" xfId="2" applyNumberFormat="1" applyFont="1" applyFill="1" applyBorder="1" applyAlignment="1">
      <alignment horizontal="center"/>
    </xf>
    <xf numFmtId="164" fontId="13" fillId="0" borderId="8" xfId="2" applyNumberFormat="1" applyFont="1" applyFill="1" applyBorder="1" applyAlignment="1">
      <alignment horizontal="center"/>
    </xf>
    <xf numFmtId="164" fontId="13" fillId="0" borderId="9" xfId="2" applyNumberFormat="1" applyFont="1" applyFill="1" applyBorder="1" applyAlignment="1">
      <alignment horizontal="center"/>
    </xf>
    <xf numFmtId="164" fontId="9" fillId="0" borderId="11" xfId="2" applyNumberFormat="1" applyFont="1" applyFill="1" applyBorder="1" applyAlignment="1">
      <alignment horizontal="center"/>
    </xf>
    <xf numFmtId="164" fontId="9" fillId="0" borderId="1" xfId="2" applyNumberFormat="1" applyFont="1" applyFill="1" applyBorder="1" applyAlignment="1">
      <alignment horizontal="center"/>
    </xf>
    <xf numFmtId="164" fontId="9" fillId="0" borderId="5" xfId="2" applyNumberFormat="1" applyFont="1" applyFill="1" applyBorder="1" applyAlignment="1">
      <alignment horizontal="center"/>
    </xf>
    <xf numFmtId="43" fontId="9" fillId="2" borderId="5" xfId="1" applyFont="1" applyFill="1" applyBorder="1"/>
    <xf numFmtId="164" fontId="13" fillId="9" borderId="9" xfId="2" applyNumberFormat="1" applyFont="1" applyFill="1" applyBorder="1" applyAlignment="1">
      <alignment horizontal="right"/>
    </xf>
    <xf numFmtId="164" fontId="13" fillId="9" borderId="0" xfId="2" applyNumberFormat="1" applyFont="1" applyFill="1" applyBorder="1" applyAlignment="1">
      <alignment horizontal="right"/>
    </xf>
    <xf numFmtId="171" fontId="9" fillId="0" borderId="8" xfId="1" applyNumberFormat="1" applyFont="1" applyFill="1" applyBorder="1" applyAlignment="1">
      <alignment horizontal="center"/>
    </xf>
    <xf numFmtId="171" fontId="9" fillId="0" borderId="9" xfId="1" applyNumberFormat="1" applyFont="1" applyFill="1" applyBorder="1" applyAlignment="1">
      <alignment horizontal="center"/>
    </xf>
    <xf numFmtId="171" fontId="9" fillId="0" borderId="0" xfId="1" applyNumberFormat="1" applyFont="1" applyFill="1" applyBorder="1" applyAlignment="1">
      <alignment horizontal="center"/>
    </xf>
    <xf numFmtId="171" fontId="13" fillId="0" borderId="9" xfId="1" applyNumberFormat="1" applyFont="1" applyFill="1" applyBorder="1" applyAlignment="1">
      <alignment horizontal="center"/>
    </xf>
    <xf numFmtId="171" fontId="13" fillId="0" borderId="0" xfId="1" applyNumberFormat="1" applyFont="1" applyFill="1" applyBorder="1" applyAlignment="1">
      <alignment horizontal="center"/>
    </xf>
    <xf numFmtId="171" fontId="9" fillId="0" borderId="8" xfId="1" applyNumberFormat="1" applyFont="1" applyFill="1" applyBorder="1"/>
    <xf numFmtId="171" fontId="9" fillId="0" borderId="0" xfId="1" applyNumberFormat="1" applyFont="1" applyFill="1"/>
    <xf numFmtId="171" fontId="18" fillId="0" borderId="0" xfId="1" applyNumberFormat="1" applyFont="1" applyFill="1" applyBorder="1"/>
    <xf numFmtId="171" fontId="18" fillId="0" borderId="8" xfId="1" applyNumberFormat="1" applyFont="1" applyFill="1" applyBorder="1"/>
    <xf numFmtId="171" fontId="19" fillId="0" borderId="9" xfId="1" applyNumberFormat="1" applyFont="1" applyFill="1" applyBorder="1" applyAlignment="1">
      <alignment horizontal="center"/>
    </xf>
    <xf numFmtId="171" fontId="19" fillId="0" borderId="0" xfId="1" applyNumberFormat="1" applyFont="1" applyFill="1" applyBorder="1" applyAlignment="1">
      <alignment horizontal="center"/>
    </xf>
    <xf numFmtId="171" fontId="18" fillId="0" borderId="8" xfId="1" applyNumberFormat="1" applyFont="1" applyFill="1" applyBorder="1" applyAlignment="1">
      <alignment horizontal="center"/>
    </xf>
    <xf numFmtId="171" fontId="18" fillId="0" borderId="0" xfId="1" applyNumberFormat="1" applyFont="1" applyFill="1"/>
    <xf numFmtId="171" fontId="18" fillId="0" borderId="0" xfId="1" applyNumberFormat="1" applyFont="1" applyFill="1" applyBorder="1" applyAlignment="1">
      <alignment horizontal="center"/>
    </xf>
    <xf numFmtId="164" fontId="7" fillId="0" borderId="0" xfId="2" applyNumberFormat="1" applyFont="1" applyFill="1" applyBorder="1"/>
    <xf numFmtId="171" fontId="7" fillId="0" borderId="11" xfId="1" applyNumberFormat="1" applyFont="1" applyFill="1" applyBorder="1" applyAlignment="1">
      <alignment horizontal="center"/>
    </xf>
    <xf numFmtId="171" fontId="7" fillId="0" borderId="1" xfId="1" applyNumberFormat="1" applyFont="1" applyFill="1" applyBorder="1" applyAlignment="1">
      <alignment horizontal="center"/>
    </xf>
    <xf numFmtId="171" fontId="7" fillId="0" borderId="5" xfId="1" applyNumberFormat="1" applyFont="1" applyFill="1" applyBorder="1" applyAlignment="1">
      <alignment horizontal="center"/>
    </xf>
    <xf numFmtId="168" fontId="7" fillId="0" borderId="0" xfId="1" applyNumberFormat="1" applyFont="1" applyFill="1"/>
    <xf numFmtId="171" fontId="13" fillId="7" borderId="0" xfId="1" applyNumberFormat="1" applyFont="1" applyFill="1" applyBorder="1" applyAlignment="1">
      <alignment horizontal="center"/>
    </xf>
    <xf numFmtId="171" fontId="9" fillId="7" borderId="8" xfId="1" applyNumberFormat="1" applyFont="1" applyFill="1" applyBorder="1" applyAlignment="1">
      <alignment horizontal="center"/>
    </xf>
    <xf numFmtId="171" fontId="13" fillId="7" borderId="1" xfId="1" applyNumberFormat="1" applyFont="1" applyFill="1" applyBorder="1" applyAlignment="1">
      <alignment horizontal="center"/>
    </xf>
    <xf numFmtId="171" fontId="9" fillId="7" borderId="5" xfId="1" applyNumberFormat="1" applyFont="1" applyFill="1" applyBorder="1" applyAlignment="1">
      <alignment horizontal="center"/>
    </xf>
    <xf numFmtId="171" fontId="9" fillId="0" borderId="2" xfId="1" applyNumberFormat="1" applyFont="1" applyFill="1" applyBorder="1"/>
    <xf numFmtId="43" fontId="20" fillId="0" borderId="0" xfId="1" applyFont="1" applyFill="1" applyBorder="1"/>
    <xf numFmtId="164" fontId="20" fillId="0" borderId="0" xfId="2" applyNumberFormat="1" applyFont="1" applyFill="1" applyBorder="1"/>
    <xf numFmtId="8" fontId="9" fillId="0" borderId="0" xfId="1" applyNumberFormat="1" applyFont="1" applyFill="1"/>
    <xf numFmtId="171" fontId="7" fillId="8" borderId="17" xfId="1" applyNumberFormat="1" applyFont="1" applyFill="1" applyBorder="1"/>
    <xf numFmtId="168" fontId="7" fillId="8" borderId="18" xfId="1" applyNumberFormat="1" applyFont="1" applyFill="1" applyBorder="1" applyAlignment="1">
      <alignment horizontal="center"/>
    </xf>
    <xf numFmtId="168" fontId="7" fillId="8" borderId="19" xfId="1" applyNumberFormat="1" applyFont="1" applyFill="1" applyBorder="1" applyAlignment="1">
      <alignment horizontal="center"/>
    </xf>
    <xf numFmtId="168" fontId="7" fillId="8" borderId="17" xfId="1" applyNumberFormat="1" applyFont="1" applyFill="1" applyBorder="1"/>
    <xf numFmtId="168" fontId="7" fillId="8" borderId="20" xfId="1" applyNumberFormat="1" applyFont="1" applyFill="1" applyBorder="1" applyAlignment="1">
      <alignment horizontal="center"/>
    </xf>
    <xf numFmtId="168" fontId="7" fillId="8" borderId="21" xfId="1" applyNumberFormat="1" applyFont="1" applyFill="1" applyBorder="1" applyAlignment="1">
      <alignment horizontal="center"/>
    </xf>
    <xf numFmtId="168" fontId="9" fillId="0" borderId="22" xfId="1" applyNumberFormat="1" applyFont="1" applyFill="1" applyBorder="1"/>
    <xf numFmtId="168" fontId="7" fillId="8" borderId="22" xfId="1" applyNumberFormat="1" applyFont="1" applyFill="1" applyBorder="1" applyAlignment="1">
      <alignment horizontal="center"/>
    </xf>
    <xf numFmtId="43" fontId="9" fillId="8" borderId="21" xfId="1" applyFont="1" applyFill="1" applyBorder="1"/>
    <xf numFmtId="172" fontId="9" fillId="0" borderId="0" xfId="2" applyNumberFormat="1" applyFont="1" applyFill="1" applyBorder="1" applyAlignment="1">
      <alignment horizontal="center"/>
    </xf>
    <xf numFmtId="172" fontId="9" fillId="0" borderId="8" xfId="2" applyNumberFormat="1" applyFont="1" applyFill="1" applyBorder="1" applyAlignment="1">
      <alignment horizontal="center"/>
    </xf>
    <xf numFmtId="172" fontId="9" fillId="0" borderId="0" xfId="2" applyNumberFormat="1" applyFont="1" applyFill="1"/>
    <xf numFmtId="172" fontId="9" fillId="0" borderId="9" xfId="2" applyNumberFormat="1" applyFont="1" applyFill="1" applyBorder="1" applyAlignment="1">
      <alignment horizontal="center"/>
    </xf>
    <xf numFmtId="172" fontId="21" fillId="0" borderId="0" xfId="2" applyNumberFormat="1" applyFont="1" applyFill="1" applyBorder="1" applyAlignment="1">
      <alignment horizontal="center"/>
    </xf>
    <xf numFmtId="172" fontId="21" fillId="0" borderId="8" xfId="2" applyNumberFormat="1" applyFont="1" applyFill="1" applyBorder="1" applyAlignment="1">
      <alignment horizontal="center"/>
    </xf>
    <xf numFmtId="172" fontId="21" fillId="0" borderId="0" xfId="2" applyNumberFormat="1" applyFont="1" applyFill="1"/>
    <xf numFmtId="9" fontId="22" fillId="0" borderId="8" xfId="2" applyNumberFormat="1" applyFont="1" applyFill="1" applyBorder="1" applyAlignment="1">
      <alignment horizontal="center"/>
    </xf>
    <xf numFmtId="9" fontId="22" fillId="0" borderId="0" xfId="2" applyNumberFormat="1" applyFont="1" applyFill="1"/>
    <xf numFmtId="9" fontId="21" fillId="0" borderId="8" xfId="2" applyNumberFormat="1" applyFont="1" applyFill="1" applyBorder="1" applyAlignment="1">
      <alignment horizontal="center"/>
    </xf>
    <xf numFmtId="9" fontId="21" fillId="0" borderId="0" xfId="2" applyNumberFormat="1" applyFont="1" applyFill="1"/>
    <xf numFmtId="4" fontId="9" fillId="0" borderId="0" xfId="2" applyNumberFormat="1" applyFont="1" applyFill="1" applyBorder="1" applyAlignment="1">
      <alignment horizontal="center"/>
    </xf>
    <xf numFmtId="172" fontId="21" fillId="7" borderId="8" xfId="2" applyNumberFormat="1" applyFont="1" applyFill="1" applyBorder="1" applyAlignment="1">
      <alignment horizontal="center"/>
    </xf>
    <xf numFmtId="172" fontId="9" fillId="7" borderId="8" xfId="2" applyNumberFormat="1" applyFont="1" applyFill="1" applyBorder="1" applyAlignment="1">
      <alignment horizontal="center"/>
    </xf>
    <xf numFmtId="172" fontId="9" fillId="0" borderId="1" xfId="2" applyNumberFormat="1" applyFont="1" applyFill="1" applyBorder="1" applyAlignment="1">
      <alignment horizontal="center"/>
    </xf>
    <xf numFmtId="172" fontId="9" fillId="0" borderId="5" xfId="2" applyNumberFormat="1" applyFont="1" applyFill="1" applyBorder="1" applyAlignment="1">
      <alignment horizontal="center"/>
    </xf>
    <xf numFmtId="9" fontId="9" fillId="0" borderId="0" xfId="1" applyNumberFormat="1" applyFont="1" applyFill="1"/>
    <xf numFmtId="43" fontId="7" fillId="9" borderId="0" xfId="1" applyFont="1" applyFill="1"/>
    <xf numFmtId="0" fontId="9" fillId="9" borderId="0" xfId="0" applyFont="1" applyFill="1" applyBorder="1"/>
    <xf numFmtId="0" fontId="9" fillId="9" borderId="0" xfId="0" applyFont="1" applyFill="1"/>
    <xf numFmtId="0" fontId="7" fillId="9" borderId="0" xfId="0" applyFont="1" applyFill="1" applyAlignment="1">
      <alignment horizontal="right"/>
    </xf>
    <xf numFmtId="0" fontId="7" fillId="9" borderId="0" xfId="0" applyFont="1" applyFill="1" applyAlignment="1">
      <alignment horizontal="left"/>
    </xf>
    <xf numFmtId="0" fontId="9" fillId="0" borderId="0" xfId="0" applyFont="1"/>
    <xf numFmtId="43" fontId="9" fillId="0" borderId="0" xfId="1" applyFont="1"/>
    <xf numFmtId="43" fontId="7" fillId="9" borderId="0" xfId="0" applyNumberFormat="1" applyFont="1" applyFill="1" applyAlignment="1">
      <alignment horizontal="right"/>
    </xf>
    <xf numFmtId="168" fontId="9" fillId="0" borderId="0" xfId="0" applyNumberFormat="1" applyFont="1"/>
    <xf numFmtId="43" fontId="9" fillId="0" borderId="0" xfId="0" applyNumberFormat="1" applyFont="1"/>
    <xf numFmtId="9" fontId="9" fillId="9" borderId="0" xfId="2" applyFont="1" applyFill="1" applyAlignment="1">
      <alignment horizontal="right"/>
    </xf>
    <xf numFmtId="0" fontId="9" fillId="9" borderId="0" xfId="0" applyFont="1" applyFill="1" applyAlignment="1">
      <alignment horizontal="right"/>
    </xf>
    <xf numFmtId="168" fontId="9" fillId="9" borderId="0" xfId="0" applyNumberFormat="1" applyFont="1" applyFill="1" applyAlignment="1">
      <alignment horizontal="right"/>
    </xf>
    <xf numFmtId="43" fontId="9" fillId="9" borderId="0" xfId="0" applyNumberFormat="1" applyFont="1" applyFill="1" applyAlignment="1">
      <alignment horizontal="right"/>
    </xf>
    <xf numFmtId="9" fontId="9" fillId="9" borderId="0" xfId="0" applyNumberFormat="1" applyFont="1" applyFill="1" applyAlignment="1">
      <alignment horizontal="right"/>
    </xf>
    <xf numFmtId="4" fontId="9" fillId="9" borderId="0" xfId="0" applyNumberFormat="1" applyFont="1" applyFill="1" applyAlignment="1">
      <alignment horizontal="right"/>
    </xf>
    <xf numFmtId="0" fontId="23" fillId="0" borderId="0" xfId="0" applyFont="1" applyFill="1"/>
    <xf numFmtId="43" fontId="24" fillId="9" borderId="0" xfId="1" applyFont="1" applyFill="1"/>
    <xf numFmtId="0" fontId="24" fillId="9" borderId="0" xfId="0" applyFont="1" applyFill="1" applyBorder="1" applyAlignment="1">
      <alignment horizontal="centerContinuous"/>
    </xf>
    <xf numFmtId="0" fontId="23" fillId="9" borderId="0" xfId="0" applyFont="1" applyFill="1" applyBorder="1" applyAlignment="1">
      <alignment horizontal="centerContinuous"/>
    </xf>
    <xf numFmtId="0" fontId="24" fillId="9" borderId="0" xfId="0" applyFont="1" applyFill="1" applyBorder="1" applyAlignment="1">
      <alignment horizontal="center"/>
    </xf>
    <xf numFmtId="1" fontId="24" fillId="9" borderId="0" xfId="0" applyNumberFormat="1" applyFont="1" applyFill="1" applyBorder="1" applyAlignment="1">
      <alignment horizontal="centerContinuous"/>
    </xf>
    <xf numFmtId="168" fontId="25" fillId="9" borderId="0" xfId="0" applyNumberFormat="1" applyFont="1" applyFill="1" applyBorder="1" applyAlignment="1">
      <alignment horizontal="center"/>
    </xf>
    <xf numFmtId="0" fontId="26" fillId="9" borderId="0" xfId="0" applyNumberFormat="1" applyFont="1" applyFill="1" applyBorder="1" applyAlignment="1">
      <alignment horizontal="center"/>
    </xf>
    <xf numFmtId="4" fontId="24" fillId="9" borderId="0" xfId="0" applyNumberFormat="1" applyFont="1" applyFill="1" applyBorder="1" applyAlignment="1">
      <alignment horizontal="center"/>
    </xf>
    <xf numFmtId="43" fontId="23" fillId="0" borderId="0" xfId="1" applyFont="1"/>
    <xf numFmtId="0" fontId="23" fillId="0" borderId="0" xfId="0" applyFont="1"/>
    <xf numFmtId="0" fontId="27" fillId="6" borderId="2" xfId="1" applyNumberFormat="1" applyFont="1" applyFill="1" applyBorder="1" applyAlignment="1">
      <alignment horizontal="center"/>
    </xf>
    <xf numFmtId="43" fontId="12" fillId="6" borderId="5" xfId="1" applyFont="1" applyFill="1" applyBorder="1" applyAlignment="1">
      <alignment horizontal="left"/>
    </xf>
    <xf numFmtId="43" fontId="12" fillId="6" borderId="1" xfId="1" applyFont="1" applyFill="1" applyBorder="1" applyAlignment="1">
      <alignment horizontal="center"/>
    </xf>
    <xf numFmtId="43" fontId="12" fillId="6" borderId="6" xfId="1" applyFont="1" applyFill="1" applyBorder="1" applyAlignment="1">
      <alignment horizontal="center"/>
    </xf>
    <xf numFmtId="43" fontId="12" fillId="6" borderId="5" xfId="1" applyFont="1" applyFill="1" applyBorder="1" applyAlignment="1">
      <alignment horizontal="center"/>
    </xf>
    <xf numFmtId="43" fontId="7" fillId="7" borderId="1" xfId="1" applyFont="1" applyFill="1" applyBorder="1" applyAlignment="1">
      <alignment horizontal="center"/>
    </xf>
    <xf numFmtId="43" fontId="7" fillId="10" borderId="2" xfId="1" applyFont="1" applyFill="1" applyBorder="1"/>
    <xf numFmtId="171" fontId="7" fillId="10" borderId="3" xfId="1" applyNumberFormat="1" applyFont="1" applyFill="1" applyBorder="1"/>
    <xf numFmtId="171" fontId="7" fillId="10" borderId="2" xfId="1" applyNumberFormat="1" applyFont="1" applyFill="1" applyBorder="1"/>
    <xf numFmtId="168" fontId="9" fillId="10" borderId="0" xfId="1" applyNumberFormat="1" applyFont="1" applyFill="1"/>
    <xf numFmtId="43" fontId="9" fillId="3" borderId="0" xfId="1" applyFont="1" applyFill="1"/>
    <xf numFmtId="43" fontId="7" fillId="11" borderId="8" xfId="1" applyFont="1" applyFill="1" applyBorder="1"/>
    <xf numFmtId="43" fontId="9" fillId="11" borderId="0" xfId="1" applyFont="1" applyFill="1" applyAlignment="1">
      <alignment horizontal="right"/>
    </xf>
    <xf numFmtId="43" fontId="9" fillId="11" borderId="8" xfId="1" applyFont="1" applyFill="1" applyBorder="1" applyAlignment="1">
      <alignment horizontal="right"/>
    </xf>
    <xf numFmtId="43" fontId="14" fillId="11" borderId="8" xfId="1" applyFont="1" applyFill="1" applyBorder="1" applyAlignment="1">
      <alignment horizontal="right"/>
    </xf>
    <xf numFmtId="43" fontId="14" fillId="11" borderId="0" xfId="1" applyFont="1" applyFill="1" applyAlignment="1">
      <alignment horizontal="right"/>
    </xf>
    <xf numFmtId="168" fontId="9" fillId="11" borderId="8" xfId="1" applyNumberFormat="1" applyFont="1" applyFill="1" applyBorder="1" applyAlignment="1">
      <alignment horizontal="right"/>
    </xf>
    <xf numFmtId="168" fontId="9" fillId="11" borderId="0" xfId="1" applyNumberFormat="1" applyFont="1" applyFill="1" applyAlignment="1">
      <alignment horizontal="right"/>
    </xf>
    <xf numFmtId="9" fontId="9" fillId="11" borderId="0" xfId="1" applyNumberFormat="1" applyFont="1" applyFill="1"/>
    <xf numFmtId="43" fontId="9" fillId="11" borderId="8" xfId="1" applyFont="1" applyFill="1" applyBorder="1" applyAlignment="1">
      <alignment horizontal="left" indent="2"/>
    </xf>
    <xf numFmtId="168" fontId="9" fillId="11" borderId="0" xfId="1" applyNumberFormat="1" applyFont="1" applyFill="1" applyBorder="1" applyAlignment="1">
      <alignment horizontal="right"/>
    </xf>
    <xf numFmtId="168" fontId="13" fillId="11" borderId="0" xfId="1" applyNumberFormat="1" applyFont="1" applyFill="1" applyBorder="1" applyAlignment="1">
      <alignment horizontal="right"/>
    </xf>
    <xf numFmtId="168" fontId="9" fillId="11" borderId="0" xfId="1" applyNumberFormat="1" applyFont="1" applyFill="1"/>
    <xf numFmtId="43" fontId="4" fillId="3" borderId="0" xfId="1" applyFont="1" applyFill="1"/>
    <xf numFmtId="168" fontId="9" fillId="0" borderId="0" xfId="1" applyNumberFormat="1" applyFont="1"/>
    <xf numFmtId="168" fontId="9" fillId="7" borderId="8" xfId="1" applyNumberFormat="1" applyFont="1" applyFill="1" applyBorder="1" applyAlignment="1">
      <alignment horizontal="right"/>
    </xf>
    <xf numFmtId="43" fontId="28" fillId="11" borderId="8" xfId="1" applyFont="1" applyFill="1" applyBorder="1" applyAlignment="1">
      <alignment horizontal="left" indent="2"/>
    </xf>
    <xf numFmtId="9" fontId="28" fillId="11" borderId="8" xfId="2" applyNumberFormat="1" applyFont="1" applyFill="1" applyBorder="1" applyAlignment="1">
      <alignment horizontal="right"/>
    </xf>
    <xf numFmtId="9" fontId="28" fillId="11" borderId="0" xfId="2" applyFont="1" applyFill="1" applyAlignment="1">
      <alignment horizontal="right"/>
    </xf>
    <xf numFmtId="9" fontId="29" fillId="11" borderId="8" xfId="2" applyNumberFormat="1" applyFont="1" applyFill="1" applyBorder="1" applyAlignment="1">
      <alignment horizontal="right"/>
    </xf>
    <xf numFmtId="0" fontId="23" fillId="11" borderId="0" xfId="0" applyFont="1" applyFill="1"/>
    <xf numFmtId="43" fontId="23" fillId="3" borderId="0" xfId="1" applyFont="1" applyFill="1"/>
    <xf numFmtId="9" fontId="28" fillId="11" borderId="8" xfId="2" applyFont="1" applyFill="1" applyBorder="1" applyAlignment="1">
      <alignment horizontal="right"/>
    </xf>
    <xf numFmtId="165" fontId="28" fillId="0" borderId="0" xfId="0" applyNumberFormat="1" applyFont="1" applyFill="1"/>
    <xf numFmtId="165" fontId="30" fillId="11" borderId="0" xfId="0" applyNumberFormat="1" applyFont="1" applyFill="1" applyAlignment="1">
      <alignment horizontal="right"/>
    </xf>
    <xf numFmtId="164" fontId="30" fillId="11" borderId="0" xfId="2" applyNumberFormat="1" applyFont="1" applyFill="1" applyAlignment="1">
      <alignment horizontal="right"/>
    </xf>
    <xf numFmtId="9" fontId="30" fillId="11" borderId="8" xfId="2" applyFont="1" applyFill="1" applyBorder="1" applyAlignment="1">
      <alignment horizontal="right"/>
    </xf>
    <xf numFmtId="164" fontId="28" fillId="11" borderId="0" xfId="2" applyNumberFormat="1" applyFont="1" applyFill="1" applyAlignment="1">
      <alignment horizontal="right"/>
    </xf>
    <xf numFmtId="165" fontId="28" fillId="11" borderId="0" xfId="0" applyNumberFormat="1" applyFont="1" applyFill="1" applyAlignment="1">
      <alignment horizontal="right"/>
    </xf>
    <xf numFmtId="164" fontId="28" fillId="11" borderId="8" xfId="2" applyNumberFormat="1" applyFont="1" applyFill="1" applyBorder="1" applyAlignment="1">
      <alignment horizontal="right"/>
    </xf>
    <xf numFmtId="168" fontId="13" fillId="11" borderId="0" xfId="1" applyNumberFormat="1" applyFont="1" applyFill="1" applyAlignment="1">
      <alignment horizontal="right"/>
    </xf>
    <xf numFmtId="168" fontId="13" fillId="11" borderId="8" xfId="1" applyNumberFormat="1" applyFont="1" applyFill="1" applyBorder="1" applyAlignment="1">
      <alignment horizontal="right"/>
    </xf>
    <xf numFmtId="168" fontId="9" fillId="7" borderId="0" xfId="1" applyNumberFormat="1" applyFont="1" applyFill="1"/>
    <xf numFmtId="43" fontId="31" fillId="11" borderId="8" xfId="1" applyFont="1" applyFill="1" applyBorder="1" applyAlignment="1">
      <alignment horizontal="left" indent="2"/>
    </xf>
    <xf numFmtId="43" fontId="18" fillId="11" borderId="0" xfId="1" applyFont="1" applyFill="1" applyAlignment="1">
      <alignment horizontal="right"/>
    </xf>
    <xf numFmtId="43" fontId="18" fillId="11" borderId="8" xfId="1" applyFont="1" applyFill="1" applyBorder="1" applyAlignment="1">
      <alignment horizontal="right"/>
    </xf>
    <xf numFmtId="43" fontId="32" fillId="11" borderId="8" xfId="1" applyFont="1" applyFill="1" applyBorder="1" applyAlignment="1">
      <alignment horizontal="right"/>
    </xf>
    <xf numFmtId="43" fontId="32" fillId="11" borderId="0" xfId="1" applyFont="1" applyFill="1" applyAlignment="1">
      <alignment horizontal="right"/>
    </xf>
    <xf numFmtId="9" fontId="33" fillId="11" borderId="0" xfId="1" applyNumberFormat="1" applyFont="1" applyFill="1" applyAlignment="1">
      <alignment horizontal="right"/>
    </xf>
    <xf numFmtId="43" fontId="7" fillId="0" borderId="8" xfId="1" applyFont="1" applyBorder="1"/>
    <xf numFmtId="43" fontId="9" fillId="0" borderId="0" xfId="1" applyFont="1" applyAlignment="1">
      <alignment horizontal="right"/>
    </xf>
    <xf numFmtId="43" fontId="9" fillId="0" borderId="8" xfId="1" applyFont="1" applyBorder="1" applyAlignment="1">
      <alignment horizontal="right"/>
    </xf>
    <xf numFmtId="43" fontId="14" fillId="0" borderId="8" xfId="1" applyFont="1" applyBorder="1" applyAlignment="1">
      <alignment horizontal="right"/>
    </xf>
    <xf numFmtId="43" fontId="14" fillId="0" borderId="0" xfId="1" applyFont="1" applyAlignment="1">
      <alignment horizontal="right"/>
    </xf>
    <xf numFmtId="43" fontId="14" fillId="0" borderId="8" xfId="1" applyFont="1" applyFill="1" applyBorder="1" applyAlignment="1">
      <alignment horizontal="right"/>
    </xf>
    <xf numFmtId="43" fontId="9" fillId="0" borderId="9" xfId="1" applyFont="1" applyBorder="1" applyAlignment="1">
      <alignment horizontal="right"/>
    </xf>
    <xf numFmtId="168" fontId="7" fillId="0" borderId="0" xfId="1" applyNumberFormat="1" applyFont="1" applyFill="1" applyAlignment="1">
      <alignment horizontal="right"/>
    </xf>
    <xf numFmtId="168" fontId="9" fillId="0" borderId="8" xfId="1" applyNumberFormat="1" applyFont="1" applyFill="1" applyBorder="1" applyAlignment="1">
      <alignment horizontal="right"/>
    </xf>
    <xf numFmtId="168" fontId="7" fillId="0" borderId="8" xfId="1" applyNumberFormat="1" applyFont="1" applyFill="1" applyBorder="1" applyAlignment="1">
      <alignment horizontal="right"/>
    </xf>
    <xf numFmtId="9" fontId="9" fillId="3" borderId="0" xfId="1" applyNumberFormat="1" applyFont="1" applyFill="1"/>
    <xf numFmtId="43" fontId="28" fillId="0" borderId="8" xfId="1" applyFont="1" applyFill="1" applyBorder="1" applyAlignment="1">
      <alignment horizontal="left" indent="1"/>
    </xf>
    <xf numFmtId="168" fontId="9" fillId="0" borderId="0" xfId="1" applyNumberFormat="1" applyFont="1" applyFill="1" applyAlignment="1">
      <alignment horizontal="right"/>
    </xf>
    <xf numFmtId="9" fontId="28" fillId="0" borderId="0" xfId="1" applyNumberFormat="1" applyFont="1" applyFill="1" applyAlignment="1">
      <alignment horizontal="right"/>
    </xf>
    <xf numFmtId="9" fontId="28" fillId="0" borderId="8" xfId="2" applyNumberFormat="1" applyFont="1" applyFill="1" applyBorder="1" applyAlignment="1">
      <alignment horizontal="right"/>
    </xf>
    <xf numFmtId="43" fontId="9" fillId="11" borderId="9" xfId="1" applyFont="1" applyFill="1" applyBorder="1" applyAlignment="1">
      <alignment horizontal="right"/>
    </xf>
    <xf numFmtId="9" fontId="28" fillId="11" borderId="0" xfId="1" applyNumberFormat="1" applyFont="1" applyFill="1" applyAlignment="1">
      <alignment horizontal="right"/>
    </xf>
    <xf numFmtId="168" fontId="9" fillId="2" borderId="0" xfId="1" applyNumberFormat="1" applyFont="1" applyFill="1"/>
    <xf numFmtId="168" fontId="9" fillId="11" borderId="10" xfId="1" applyNumberFormat="1" applyFont="1" applyFill="1" applyBorder="1" applyAlignment="1">
      <alignment horizontal="right"/>
    </xf>
    <xf numFmtId="168" fontId="34" fillId="11" borderId="9" xfId="1" applyNumberFormat="1" applyFont="1" applyFill="1" applyBorder="1" applyAlignment="1">
      <alignment horizontal="right"/>
    </xf>
    <xf numFmtId="168" fontId="34" fillId="11" borderId="0" xfId="1" applyNumberFormat="1" applyFont="1" applyFill="1" applyBorder="1" applyAlignment="1">
      <alignment horizontal="right"/>
    </xf>
    <xf numFmtId="168" fontId="9" fillId="11" borderId="9" xfId="1" applyNumberFormat="1" applyFont="1" applyFill="1" applyBorder="1" applyAlignment="1">
      <alignment horizontal="right"/>
    </xf>
    <xf numFmtId="165" fontId="28" fillId="11" borderId="9" xfId="0" applyNumberFormat="1" applyFont="1" applyFill="1" applyBorder="1" applyAlignment="1">
      <alignment horizontal="right"/>
    </xf>
    <xf numFmtId="0" fontId="4" fillId="2" borderId="0" xfId="0" applyFont="1" applyFill="1"/>
    <xf numFmtId="0" fontId="4" fillId="11" borderId="0" xfId="0" applyFont="1" applyFill="1" applyAlignment="1">
      <alignment horizontal="right"/>
    </xf>
    <xf numFmtId="9" fontId="4" fillId="11" borderId="0" xfId="2" applyFont="1" applyFill="1" applyAlignment="1">
      <alignment horizontal="right"/>
    </xf>
    <xf numFmtId="9" fontId="4" fillId="11" borderId="8" xfId="2" applyFont="1" applyFill="1" applyBorder="1" applyAlignment="1">
      <alignment horizontal="right"/>
    </xf>
    <xf numFmtId="9" fontId="29" fillId="11" borderId="0" xfId="2" applyFont="1" applyFill="1" applyAlignment="1">
      <alignment horizontal="right"/>
    </xf>
    <xf numFmtId="165" fontId="35" fillId="11" borderId="0" xfId="0" applyNumberFormat="1" applyFont="1" applyFill="1" applyAlignment="1">
      <alignment horizontal="right"/>
    </xf>
    <xf numFmtId="164" fontId="29" fillId="11" borderId="8" xfId="2" applyNumberFormat="1" applyFont="1" applyFill="1" applyBorder="1" applyAlignment="1">
      <alignment horizontal="right"/>
    </xf>
    <xf numFmtId="43" fontId="7" fillId="2" borderId="8" xfId="1" applyFont="1" applyFill="1" applyBorder="1"/>
    <xf numFmtId="0" fontId="4" fillId="2" borderId="0" xfId="0" applyFont="1" applyFill="1" applyAlignment="1">
      <alignment horizontal="right"/>
    </xf>
    <xf numFmtId="9" fontId="4" fillId="2" borderId="0" xfId="2" applyFont="1" applyFill="1" applyAlignment="1">
      <alignment horizontal="right"/>
    </xf>
    <xf numFmtId="9" fontId="4" fillId="2" borderId="8" xfId="2" applyFont="1" applyFill="1" applyBorder="1" applyAlignment="1">
      <alignment horizontal="right"/>
    </xf>
    <xf numFmtId="9" fontId="28" fillId="2" borderId="0" xfId="2" applyFont="1" applyFill="1" applyAlignment="1">
      <alignment horizontal="right"/>
    </xf>
    <xf numFmtId="164" fontId="28" fillId="2" borderId="8" xfId="2" applyNumberFormat="1" applyFont="1" applyFill="1" applyBorder="1" applyAlignment="1">
      <alignment horizontal="right"/>
    </xf>
    <xf numFmtId="9" fontId="29" fillId="2" borderId="0" xfId="2" applyFont="1" applyFill="1" applyAlignment="1">
      <alignment horizontal="right"/>
    </xf>
    <xf numFmtId="165" fontId="35" fillId="2" borderId="0" xfId="0" applyNumberFormat="1" applyFont="1" applyFill="1" applyAlignment="1">
      <alignment horizontal="right"/>
    </xf>
    <xf numFmtId="165" fontId="28" fillId="2" borderId="0" xfId="0" applyNumberFormat="1" applyFont="1" applyFill="1" applyAlignment="1">
      <alignment horizontal="right"/>
    </xf>
    <xf numFmtId="164" fontId="29" fillId="2" borderId="8" xfId="2" applyNumberFormat="1" applyFont="1" applyFill="1" applyBorder="1" applyAlignment="1">
      <alignment horizontal="right"/>
    </xf>
    <xf numFmtId="165" fontId="28" fillId="2" borderId="9" xfId="0" applyNumberFormat="1" applyFont="1" applyFill="1" applyBorder="1" applyAlignment="1">
      <alignment horizontal="right"/>
    </xf>
    <xf numFmtId="43" fontId="28" fillId="2" borderId="8" xfId="1" applyFont="1" applyFill="1" applyBorder="1" applyAlignment="1">
      <alignment horizontal="left" indent="1"/>
    </xf>
    <xf numFmtId="168" fontId="9" fillId="2" borderId="0" xfId="1" applyNumberFormat="1" applyFont="1" applyFill="1" applyAlignment="1">
      <alignment horizontal="right"/>
    </xf>
    <xf numFmtId="168" fontId="9" fillId="2" borderId="8" xfId="1" applyNumberFormat="1" applyFont="1" applyFill="1" applyBorder="1" applyAlignment="1">
      <alignment horizontal="right"/>
    </xf>
    <xf numFmtId="168" fontId="34" fillId="2" borderId="9" xfId="1" applyNumberFormat="1" applyFont="1" applyFill="1" applyBorder="1" applyAlignment="1">
      <alignment horizontal="right"/>
    </xf>
    <xf numFmtId="168" fontId="9" fillId="2" borderId="0" xfId="1" applyNumberFormat="1" applyFont="1" applyFill="1" applyBorder="1" applyAlignment="1">
      <alignment horizontal="right"/>
    </xf>
    <xf numFmtId="168" fontId="34" fillId="2" borderId="0" xfId="1" applyNumberFormat="1" applyFont="1" applyFill="1" applyBorder="1" applyAlignment="1">
      <alignment horizontal="right"/>
    </xf>
    <xf numFmtId="168" fontId="13" fillId="2" borderId="0" xfId="1" applyNumberFormat="1" applyFont="1" applyFill="1" applyBorder="1" applyAlignment="1">
      <alignment horizontal="right"/>
    </xf>
    <xf numFmtId="168" fontId="9" fillId="2" borderId="9" xfId="1" applyNumberFormat="1" applyFont="1" applyFill="1" applyBorder="1" applyAlignment="1">
      <alignment horizontal="right"/>
    </xf>
    <xf numFmtId="165" fontId="30" fillId="0" borderId="0" xfId="0" applyNumberFormat="1" applyFont="1" applyFill="1" applyAlignment="1">
      <alignment horizontal="right"/>
    </xf>
    <xf numFmtId="164" fontId="30" fillId="0" borderId="0" xfId="2" applyNumberFormat="1" applyFont="1" applyFill="1" applyAlignment="1">
      <alignment horizontal="right"/>
    </xf>
    <xf numFmtId="9" fontId="30" fillId="0" borderId="8" xfId="2" applyFont="1" applyFill="1" applyBorder="1" applyAlignment="1">
      <alignment horizontal="right"/>
    </xf>
    <xf numFmtId="164" fontId="28" fillId="0" borderId="0" xfId="2" applyNumberFormat="1" applyFont="1" applyFill="1" applyAlignment="1">
      <alignment horizontal="right"/>
    </xf>
    <xf numFmtId="165" fontId="28" fillId="0" borderId="0" xfId="0" applyNumberFormat="1" applyFont="1" applyFill="1" applyAlignment="1">
      <alignment horizontal="right"/>
    </xf>
    <xf numFmtId="164" fontId="28" fillId="0" borderId="8" xfId="2" applyNumberFormat="1" applyFont="1" applyFill="1" applyBorder="1" applyAlignment="1">
      <alignment horizontal="right"/>
    </xf>
    <xf numFmtId="165" fontId="28" fillId="0" borderId="9" xfId="0" applyNumberFormat="1" applyFont="1" applyFill="1" applyBorder="1" applyAlignment="1">
      <alignment horizontal="right"/>
    </xf>
    <xf numFmtId="9" fontId="28" fillId="0" borderId="0" xfId="2" applyFont="1" applyFill="1" applyAlignment="1">
      <alignment horizontal="right"/>
    </xf>
    <xf numFmtId="43" fontId="28" fillId="0" borderId="8" xfId="1" applyFont="1" applyFill="1" applyBorder="1" applyAlignment="1">
      <alignment horizontal="left" indent="2"/>
    </xf>
    <xf numFmtId="4" fontId="28" fillId="0" borderId="0" xfId="2" applyNumberFormat="1" applyFont="1" applyFill="1" applyAlignment="1">
      <alignment horizontal="right"/>
    </xf>
    <xf numFmtId="4" fontId="28" fillId="0" borderId="8" xfId="2" applyNumberFormat="1" applyFont="1" applyFill="1" applyBorder="1" applyAlignment="1">
      <alignment horizontal="right"/>
    </xf>
    <xf numFmtId="4" fontId="9" fillId="0" borderId="0" xfId="1" applyNumberFormat="1" applyFont="1" applyFill="1"/>
    <xf numFmtId="168" fontId="7" fillId="2" borderId="0" xfId="1" applyNumberFormat="1" applyFont="1" applyFill="1" applyBorder="1" applyAlignment="1">
      <alignment horizontal="right"/>
    </xf>
    <xf numFmtId="168" fontId="21" fillId="0" borderId="0" xfId="1" applyNumberFormat="1" applyFont="1" applyFill="1"/>
    <xf numFmtId="9" fontId="33" fillId="0" borderId="8" xfId="2" applyNumberFormat="1" applyFont="1" applyFill="1" applyBorder="1" applyAlignment="1">
      <alignment horizontal="right"/>
    </xf>
    <xf numFmtId="168" fontId="7" fillId="2" borderId="8" xfId="1" applyNumberFormat="1" applyFont="1" applyFill="1" applyBorder="1" applyAlignment="1">
      <alignment horizontal="right"/>
    </xf>
    <xf numFmtId="168" fontId="21" fillId="2" borderId="0" xfId="1" applyNumberFormat="1" applyFont="1" applyFill="1"/>
    <xf numFmtId="9" fontId="33" fillId="2" borderId="8" xfId="2" applyNumberFormat="1" applyFont="1" applyFill="1" applyBorder="1" applyAlignment="1">
      <alignment horizontal="right"/>
    </xf>
    <xf numFmtId="43" fontId="9" fillId="11" borderId="0" xfId="1" applyNumberFormat="1" applyFont="1" applyFill="1" applyAlignment="1">
      <alignment horizontal="right"/>
    </xf>
    <xf numFmtId="168" fontId="36" fillId="11" borderId="0" xfId="1" applyNumberFormat="1" applyFont="1" applyFill="1" applyAlignment="1">
      <alignment horizontal="right"/>
    </xf>
    <xf numFmtId="168" fontId="36" fillId="11" borderId="8" xfId="1" applyNumberFormat="1" applyFont="1" applyFill="1" applyBorder="1" applyAlignment="1">
      <alignment horizontal="right"/>
    </xf>
    <xf numFmtId="9" fontId="30" fillId="11" borderId="0" xfId="2" applyFont="1" applyFill="1" applyAlignment="1">
      <alignment horizontal="right"/>
    </xf>
    <xf numFmtId="9" fontId="29" fillId="11" borderId="9" xfId="2" applyFont="1" applyFill="1" applyBorder="1" applyAlignment="1">
      <alignment horizontal="right"/>
    </xf>
    <xf numFmtId="9" fontId="9" fillId="11" borderId="0" xfId="2" applyFont="1" applyFill="1"/>
    <xf numFmtId="9" fontId="29" fillId="11" borderId="8" xfId="2" applyFont="1" applyFill="1" applyBorder="1" applyAlignment="1">
      <alignment horizontal="right"/>
    </xf>
    <xf numFmtId="9" fontId="28" fillId="0" borderId="0" xfId="2" applyFont="1" applyFill="1"/>
    <xf numFmtId="9" fontId="28" fillId="3" borderId="0" xfId="2" applyFont="1" applyFill="1"/>
    <xf numFmtId="168" fontId="34" fillId="11" borderId="0" xfId="1" applyNumberFormat="1" applyFont="1" applyFill="1" applyAlignment="1">
      <alignment horizontal="right"/>
    </xf>
    <xf numFmtId="168" fontId="13" fillId="11" borderId="9" xfId="1" applyNumberFormat="1" applyFont="1" applyFill="1" applyBorder="1" applyAlignment="1">
      <alignment horizontal="right"/>
    </xf>
    <xf numFmtId="9" fontId="35" fillId="11" borderId="0" xfId="2" applyFont="1" applyFill="1" applyAlignment="1">
      <alignment horizontal="right"/>
    </xf>
    <xf numFmtId="9" fontId="28" fillId="11" borderId="9" xfId="2" applyFont="1" applyFill="1" applyBorder="1" applyAlignment="1">
      <alignment horizontal="right"/>
    </xf>
    <xf numFmtId="9" fontId="37" fillId="11" borderId="0" xfId="2" applyFont="1" applyFill="1" applyAlignment="1">
      <alignment horizontal="right"/>
    </xf>
    <xf numFmtId="0" fontId="4" fillId="0" borderId="0" xfId="0" applyFont="1" applyFill="1"/>
    <xf numFmtId="0" fontId="4" fillId="12" borderId="0" xfId="0" applyFont="1" applyFill="1" applyAlignment="1">
      <alignment horizontal="right"/>
    </xf>
    <xf numFmtId="9" fontId="4" fillId="12" borderId="0" xfId="2" applyFont="1" applyFill="1" applyAlignment="1">
      <alignment horizontal="right"/>
    </xf>
    <xf numFmtId="9" fontId="4" fillId="12" borderId="8" xfId="2" applyFont="1" applyFill="1" applyBorder="1" applyAlignment="1">
      <alignment horizontal="right"/>
    </xf>
    <xf numFmtId="9" fontId="28" fillId="12" borderId="0" xfId="2" applyFont="1" applyFill="1" applyAlignment="1">
      <alignment horizontal="right"/>
    </xf>
    <xf numFmtId="164" fontId="28" fillId="12" borderId="8" xfId="2" applyNumberFormat="1" applyFont="1" applyFill="1" applyBorder="1" applyAlignment="1">
      <alignment horizontal="right"/>
    </xf>
    <xf numFmtId="0" fontId="0" fillId="2" borderId="0" xfId="0" applyFill="1"/>
    <xf numFmtId="0" fontId="0" fillId="2" borderId="9" xfId="0" applyFill="1" applyBorder="1"/>
    <xf numFmtId="168" fontId="9" fillId="13" borderId="0" xfId="1" applyNumberFormat="1" applyFont="1" applyFill="1" applyAlignment="1">
      <alignment horizontal="right"/>
    </xf>
    <xf numFmtId="168" fontId="9" fillId="13" borderId="8" xfId="1" applyNumberFormat="1" applyFont="1" applyFill="1" applyBorder="1" applyAlignment="1">
      <alignment horizontal="right"/>
    </xf>
    <xf numFmtId="0" fontId="0" fillId="3" borderId="0" xfId="0" applyFill="1"/>
    <xf numFmtId="0" fontId="0" fillId="2" borderId="8" xfId="0" applyFill="1" applyBorder="1"/>
    <xf numFmtId="164" fontId="28" fillId="2" borderId="0" xfId="2" applyNumberFormat="1" applyFont="1" applyFill="1" applyAlignment="1">
      <alignment horizontal="right"/>
    </xf>
    <xf numFmtId="168" fontId="9" fillId="0" borderId="0" xfId="1" applyNumberFormat="1" applyFont="1" applyAlignment="1">
      <alignment horizontal="right"/>
    </xf>
    <xf numFmtId="168" fontId="9" fillId="0" borderId="0" xfId="1" applyNumberFormat="1" applyFont="1" applyFill="1" applyAlignment="1">
      <alignment horizontal="center"/>
    </xf>
    <xf numFmtId="168" fontId="34" fillId="0" borderId="0" xfId="1" applyNumberFormat="1" applyFont="1" applyFill="1" applyAlignment="1">
      <alignment horizontal="right"/>
    </xf>
    <xf numFmtId="168" fontId="9" fillId="0" borderId="9" xfId="1" applyNumberFormat="1" applyFont="1" applyFill="1" applyBorder="1" applyAlignment="1">
      <alignment horizontal="right"/>
    </xf>
    <xf numFmtId="168" fontId="38" fillId="0" borderId="8" xfId="1" applyNumberFormat="1" applyFont="1" applyFill="1" applyBorder="1" applyAlignment="1">
      <alignment horizontal="right"/>
    </xf>
    <xf numFmtId="168" fontId="7" fillId="2" borderId="0" xfId="1" applyNumberFormat="1" applyFont="1" applyFill="1" applyAlignment="1">
      <alignment horizontal="right"/>
    </xf>
    <xf numFmtId="168" fontId="13" fillId="2" borderId="0" xfId="1" applyNumberFormat="1" applyFont="1" applyFill="1" applyAlignment="1">
      <alignment horizontal="right"/>
    </xf>
    <xf numFmtId="172" fontId="9" fillId="2" borderId="8" xfId="2" applyNumberFormat="1" applyFont="1" applyFill="1" applyBorder="1" applyAlignment="1">
      <alignment horizontal="right"/>
    </xf>
    <xf numFmtId="165" fontId="28" fillId="2" borderId="0" xfId="0" applyNumberFormat="1" applyFont="1" applyFill="1"/>
    <xf numFmtId="168" fontId="13" fillId="0" borderId="0" xfId="1" applyNumberFormat="1" applyFont="1" applyFill="1" applyAlignment="1">
      <alignment horizontal="right"/>
    </xf>
    <xf numFmtId="9" fontId="28" fillId="0" borderId="8" xfId="2" applyFont="1" applyFill="1" applyBorder="1" applyAlignment="1">
      <alignment horizontal="right"/>
    </xf>
    <xf numFmtId="9" fontId="29" fillId="0" borderId="0" xfId="2" applyFont="1" applyFill="1" applyAlignment="1">
      <alignment horizontal="right"/>
    </xf>
    <xf numFmtId="9" fontId="28" fillId="0" borderId="9" xfId="2" applyFont="1" applyFill="1" applyBorder="1" applyAlignment="1">
      <alignment horizontal="right"/>
    </xf>
    <xf numFmtId="168" fontId="28" fillId="0" borderId="8" xfId="2" applyNumberFormat="1" applyFont="1" applyFill="1" applyBorder="1" applyAlignment="1">
      <alignment horizontal="right"/>
    </xf>
    <xf numFmtId="9" fontId="9" fillId="0" borderId="0" xfId="2" applyFont="1" applyFill="1"/>
    <xf numFmtId="9" fontId="39" fillId="0" borderId="8" xfId="2" applyFont="1" applyFill="1" applyBorder="1" applyAlignment="1">
      <alignment horizontal="right"/>
    </xf>
    <xf numFmtId="9" fontId="29" fillId="0" borderId="8" xfId="2" applyFont="1" applyFill="1" applyBorder="1" applyAlignment="1">
      <alignment horizontal="right"/>
    </xf>
    <xf numFmtId="168" fontId="9" fillId="0" borderId="0" xfId="2" applyNumberFormat="1" applyFont="1" applyFill="1"/>
    <xf numFmtId="172" fontId="13" fillId="7" borderId="8" xfId="2" applyNumberFormat="1" applyFont="1" applyFill="1" applyBorder="1" applyAlignment="1">
      <alignment horizontal="right"/>
    </xf>
    <xf numFmtId="43" fontId="9" fillId="11" borderId="8" xfId="1" applyFont="1" applyFill="1" applyBorder="1" applyAlignment="1">
      <alignment horizontal="left" indent="3"/>
    </xf>
    <xf numFmtId="43" fontId="9" fillId="11" borderId="8" xfId="1" applyFont="1" applyFill="1" applyBorder="1" applyAlignment="1">
      <alignment horizontal="left"/>
    </xf>
    <xf numFmtId="168" fontId="9" fillId="2" borderId="0" xfId="1" applyNumberFormat="1" applyFont="1" applyFill="1" applyAlignment="1">
      <alignment horizontal="center"/>
    </xf>
    <xf numFmtId="168" fontId="9" fillId="11" borderId="8" xfId="1" applyNumberFormat="1" applyFont="1" applyFill="1" applyBorder="1" applyAlignment="1">
      <alignment horizontal="center"/>
    </xf>
    <xf numFmtId="168" fontId="9" fillId="11" borderId="0" xfId="1" applyNumberFormat="1" applyFont="1" applyFill="1" applyBorder="1" applyAlignment="1">
      <alignment horizontal="center"/>
    </xf>
    <xf numFmtId="168" fontId="9" fillId="11" borderId="0" xfId="1" applyNumberFormat="1" applyFont="1" applyFill="1" applyAlignment="1">
      <alignment horizontal="center"/>
    </xf>
    <xf numFmtId="168" fontId="14" fillId="11" borderId="8" xfId="1" applyNumberFormat="1" applyFont="1" applyFill="1" applyBorder="1" applyAlignment="1">
      <alignment horizontal="right"/>
    </xf>
    <xf numFmtId="168" fontId="38" fillId="11" borderId="0" xfId="1" applyNumberFormat="1" applyFont="1" applyFill="1" applyAlignment="1">
      <alignment horizontal="right"/>
    </xf>
    <xf numFmtId="172" fontId="9" fillId="11" borderId="8" xfId="2" applyNumberFormat="1" applyFont="1" applyFill="1" applyBorder="1" applyAlignment="1">
      <alignment horizontal="right"/>
    </xf>
    <xf numFmtId="0" fontId="9" fillId="0" borderId="0" xfId="0" applyFont="1" applyBorder="1"/>
    <xf numFmtId="172" fontId="13" fillId="11" borderId="8" xfId="2" applyNumberFormat="1" applyFont="1" applyFill="1" applyBorder="1" applyAlignment="1">
      <alignment horizontal="right"/>
    </xf>
    <xf numFmtId="43" fontId="28" fillId="11" borderId="8" xfId="1" applyFont="1" applyFill="1" applyBorder="1" applyAlignment="1">
      <alignment horizontal="left" indent="3"/>
    </xf>
    <xf numFmtId="9" fontId="13" fillId="11" borderId="0" xfId="1" applyNumberFormat="1" applyFont="1" applyFill="1" applyAlignment="1">
      <alignment horizontal="right"/>
    </xf>
    <xf numFmtId="9" fontId="40" fillId="11" borderId="8" xfId="2" applyFont="1" applyFill="1" applyBorder="1" applyAlignment="1">
      <alignment horizontal="right"/>
    </xf>
    <xf numFmtId="3" fontId="39" fillId="11" borderId="8" xfId="2" applyNumberFormat="1" applyFont="1" applyFill="1" applyBorder="1" applyAlignment="1">
      <alignment horizontal="right"/>
    </xf>
    <xf numFmtId="9" fontId="39" fillId="11" borderId="8" xfId="2" applyFont="1" applyFill="1" applyBorder="1" applyAlignment="1">
      <alignment horizontal="right"/>
    </xf>
    <xf numFmtId="9" fontId="9" fillId="11" borderId="0" xfId="1" applyNumberFormat="1" applyFont="1" applyFill="1" applyAlignment="1">
      <alignment horizontal="right"/>
    </xf>
    <xf numFmtId="43" fontId="7" fillId="11" borderId="8" xfId="1" applyFont="1" applyFill="1" applyBorder="1" applyAlignment="1">
      <alignment horizontal="left" indent="2"/>
    </xf>
    <xf numFmtId="168" fontId="7" fillId="11" borderId="0" xfId="1" applyNumberFormat="1" applyFont="1" applyFill="1" applyAlignment="1">
      <alignment horizontal="right"/>
    </xf>
    <xf numFmtId="168" fontId="7" fillId="11" borderId="8" xfId="1" applyNumberFormat="1" applyFont="1" applyFill="1" applyBorder="1" applyAlignment="1">
      <alignment horizontal="right"/>
    </xf>
    <xf numFmtId="43" fontId="7" fillId="11" borderId="8" xfId="1" applyFont="1" applyFill="1" applyBorder="1" applyAlignment="1">
      <alignment horizontal="left"/>
    </xf>
    <xf numFmtId="168" fontId="7" fillId="2" borderId="0" xfId="1" applyNumberFormat="1" applyFont="1" applyFill="1" applyAlignment="1">
      <alignment horizontal="center"/>
    </xf>
    <xf numFmtId="168" fontId="7" fillId="11" borderId="8" xfId="1" applyNumberFormat="1" applyFont="1" applyFill="1" applyBorder="1" applyAlignment="1">
      <alignment horizontal="center"/>
    </xf>
    <xf numFmtId="168" fontId="7" fillId="11" borderId="0" xfId="1" applyNumberFormat="1" applyFont="1" applyFill="1" applyBorder="1" applyAlignment="1">
      <alignment horizontal="center"/>
    </xf>
    <xf numFmtId="168" fontId="7" fillId="11" borderId="0" xfId="1" applyNumberFormat="1" applyFont="1" applyFill="1" applyAlignment="1">
      <alignment horizontal="center"/>
    </xf>
    <xf numFmtId="168" fontId="41" fillId="11" borderId="0" xfId="1" applyNumberFormat="1" applyFont="1" applyFill="1" applyAlignment="1">
      <alignment horizontal="right"/>
    </xf>
    <xf numFmtId="168" fontId="7" fillId="11" borderId="9" xfId="1" applyNumberFormat="1" applyFont="1" applyFill="1" applyBorder="1" applyAlignment="1">
      <alignment horizontal="right"/>
    </xf>
    <xf numFmtId="168" fontId="42" fillId="11" borderId="8" xfId="1" applyNumberFormat="1" applyFont="1" applyFill="1" applyBorder="1" applyAlignment="1">
      <alignment horizontal="right"/>
    </xf>
    <xf numFmtId="168" fontId="43" fillId="11" borderId="0" xfId="1" applyNumberFormat="1" applyFont="1" applyFill="1" applyAlignment="1">
      <alignment horizontal="right"/>
    </xf>
    <xf numFmtId="168" fontId="7" fillId="11" borderId="0" xfId="1" applyNumberFormat="1" applyFont="1" applyFill="1"/>
    <xf numFmtId="43" fontId="13" fillId="11" borderId="0" xfId="1" applyNumberFormat="1" applyFont="1" applyFill="1" applyAlignment="1">
      <alignment horizontal="right"/>
    </xf>
    <xf numFmtId="168" fontId="28" fillId="11" borderId="8" xfId="2" applyNumberFormat="1" applyFont="1" applyFill="1" applyBorder="1" applyAlignment="1">
      <alignment horizontal="right"/>
    </xf>
    <xf numFmtId="9" fontId="3" fillId="11" borderId="0" xfId="2" applyFont="1" applyFill="1" applyAlignment="1">
      <alignment horizontal="right"/>
    </xf>
    <xf numFmtId="9" fontId="3" fillId="11" borderId="8" xfId="2" applyFont="1" applyFill="1" applyBorder="1" applyAlignment="1">
      <alignment horizontal="right"/>
    </xf>
    <xf numFmtId="9" fontId="44" fillId="11" borderId="0" xfId="2" applyFont="1" applyFill="1" applyAlignment="1">
      <alignment horizontal="right"/>
    </xf>
    <xf numFmtId="9" fontId="44" fillId="11" borderId="8" xfId="2" applyFont="1" applyFill="1" applyBorder="1" applyAlignment="1">
      <alignment horizontal="right"/>
    </xf>
    <xf numFmtId="9" fontId="44" fillId="2" borderId="0" xfId="2" applyFont="1" applyFill="1" applyAlignment="1">
      <alignment horizontal="right"/>
    </xf>
    <xf numFmtId="9" fontId="45" fillId="11" borderId="0" xfId="2" applyFont="1" applyFill="1" applyAlignment="1">
      <alignment horizontal="right"/>
    </xf>
    <xf numFmtId="168" fontId="41" fillId="11" borderId="9" xfId="1" applyNumberFormat="1" applyFont="1" applyFill="1" applyBorder="1" applyAlignment="1">
      <alignment horizontal="right"/>
    </xf>
    <xf numFmtId="168" fontId="14" fillId="11" borderId="8" xfId="1" applyNumberFormat="1" applyFont="1" applyFill="1" applyBorder="1" applyAlignment="1">
      <alignment horizontal="center"/>
    </xf>
    <xf numFmtId="9" fontId="46" fillId="11" borderId="0" xfId="2" applyFont="1" applyFill="1" applyAlignment="1">
      <alignment horizontal="right"/>
    </xf>
    <xf numFmtId="168" fontId="40" fillId="11" borderId="8" xfId="2" applyNumberFormat="1" applyFont="1" applyFill="1" applyBorder="1" applyAlignment="1">
      <alignment horizontal="right"/>
    </xf>
    <xf numFmtId="8" fontId="13" fillId="11" borderId="0" xfId="1" applyNumberFormat="1" applyFont="1" applyFill="1" applyAlignment="1">
      <alignment horizontal="right"/>
    </xf>
    <xf numFmtId="9" fontId="39" fillId="11" borderId="8" xfId="2" applyNumberFormat="1" applyFont="1" applyFill="1" applyBorder="1" applyAlignment="1">
      <alignment horizontal="right"/>
    </xf>
    <xf numFmtId="168" fontId="47" fillId="11" borderId="0" xfId="1" applyNumberFormat="1" applyFont="1" applyFill="1" applyAlignment="1">
      <alignment horizontal="right"/>
    </xf>
    <xf numFmtId="168" fontId="34" fillId="11" borderId="0" xfId="1" applyNumberFormat="1" applyFont="1" applyFill="1" applyAlignment="1">
      <alignment horizontal="center"/>
    </xf>
    <xf numFmtId="9" fontId="21" fillId="11" borderId="0" xfId="2" applyFont="1" applyFill="1"/>
    <xf numFmtId="168" fontId="21" fillId="11" borderId="8" xfId="1" applyNumberFormat="1" applyFont="1" applyFill="1" applyBorder="1" applyAlignment="1">
      <alignment horizontal="center"/>
    </xf>
    <xf numFmtId="0" fontId="9" fillId="2" borderId="0" xfId="0" applyFont="1" applyFill="1" applyBorder="1"/>
    <xf numFmtId="9" fontId="48" fillId="11" borderId="0" xfId="2" applyFont="1" applyFill="1" applyAlignment="1">
      <alignment horizontal="right"/>
    </xf>
    <xf numFmtId="9" fontId="4" fillId="11" borderId="9" xfId="2" applyFont="1" applyFill="1" applyBorder="1" applyAlignment="1">
      <alignment horizontal="right"/>
    </xf>
    <xf numFmtId="4" fontId="9" fillId="0" borderId="0" xfId="2" applyNumberFormat="1" applyFont="1" applyFill="1"/>
    <xf numFmtId="43" fontId="7" fillId="2" borderId="2" xfId="1" applyFont="1" applyFill="1" applyBorder="1"/>
    <xf numFmtId="168" fontId="9" fillId="2" borderId="3" xfId="1" applyNumberFormat="1" applyFont="1" applyFill="1" applyBorder="1" applyAlignment="1">
      <alignment horizontal="right"/>
    </xf>
    <xf numFmtId="168" fontId="9" fillId="2" borderId="2" xfId="1" applyNumberFormat="1" applyFont="1" applyFill="1" applyBorder="1" applyAlignment="1">
      <alignment horizontal="right"/>
    </xf>
    <xf numFmtId="168" fontId="34" fillId="2" borderId="3" xfId="1" applyNumberFormat="1" applyFont="1" applyFill="1" applyBorder="1" applyAlignment="1">
      <alignment horizontal="right"/>
    </xf>
    <xf numFmtId="168" fontId="7" fillId="2" borderId="3" xfId="1" applyNumberFormat="1" applyFont="1" applyFill="1" applyBorder="1" applyAlignment="1">
      <alignment horizontal="right"/>
    </xf>
    <xf numFmtId="168" fontId="7" fillId="2" borderId="2" xfId="1" applyNumberFormat="1" applyFont="1" applyFill="1" applyBorder="1" applyAlignment="1">
      <alignment horizontal="right"/>
    </xf>
    <xf numFmtId="168" fontId="9" fillId="2" borderId="3" xfId="1" applyNumberFormat="1" applyFont="1" applyFill="1" applyBorder="1"/>
    <xf numFmtId="43" fontId="28" fillId="2" borderId="5" xfId="1" applyFont="1" applyFill="1" applyBorder="1" applyAlignment="1">
      <alignment horizontal="left" indent="1"/>
    </xf>
    <xf numFmtId="168" fontId="9" fillId="2" borderId="1" xfId="1" applyNumberFormat="1" applyFont="1" applyFill="1" applyBorder="1" applyAlignment="1">
      <alignment horizontal="right"/>
    </xf>
    <xf numFmtId="168" fontId="9" fillId="2" borderId="5" xfId="1" applyNumberFormat="1" applyFont="1" applyFill="1" applyBorder="1" applyAlignment="1">
      <alignment horizontal="right"/>
    </xf>
    <xf numFmtId="168" fontId="34" fillId="2" borderId="1" xfId="1" applyNumberFormat="1" applyFont="1" applyFill="1" applyBorder="1" applyAlignment="1">
      <alignment horizontal="right"/>
    </xf>
    <xf numFmtId="9" fontId="28" fillId="2" borderId="1" xfId="1" applyNumberFormat="1" applyFont="1" applyFill="1" applyBorder="1" applyAlignment="1">
      <alignment horizontal="right"/>
    </xf>
    <xf numFmtId="9" fontId="28" fillId="2" borderId="5" xfId="1" applyNumberFormat="1" applyFont="1" applyFill="1" applyBorder="1" applyAlignment="1">
      <alignment horizontal="right"/>
    </xf>
    <xf numFmtId="168" fontId="9" fillId="2" borderId="1" xfId="1" applyNumberFormat="1" applyFont="1" applyFill="1" applyBorder="1"/>
    <xf numFmtId="43" fontId="7" fillId="0" borderId="2" xfId="1" applyFont="1" applyBorder="1"/>
    <xf numFmtId="168" fontId="49" fillId="0" borderId="3" xfId="1" applyNumberFormat="1" applyFont="1" applyBorder="1" applyAlignment="1">
      <alignment horizontal="right"/>
    </xf>
    <xf numFmtId="168" fontId="49" fillId="0" borderId="2" xfId="1" applyNumberFormat="1" applyFont="1" applyBorder="1" applyAlignment="1">
      <alignment horizontal="right"/>
    </xf>
    <xf numFmtId="168" fontId="7" fillId="0" borderId="3" xfId="1" applyNumberFormat="1" applyFont="1" applyBorder="1" applyAlignment="1">
      <alignment horizontal="right"/>
    </xf>
    <xf numFmtId="168" fontId="7" fillId="0" borderId="2" xfId="1" applyNumberFormat="1" applyFont="1" applyBorder="1" applyAlignment="1">
      <alignment horizontal="right"/>
    </xf>
    <xf numFmtId="168" fontId="7" fillId="0" borderId="3" xfId="1" applyNumberFormat="1" applyFont="1" applyFill="1" applyBorder="1" applyAlignment="1">
      <alignment horizontal="right"/>
    </xf>
    <xf numFmtId="168" fontId="7" fillId="0" borderId="4" xfId="1" applyNumberFormat="1" applyFont="1" applyBorder="1" applyAlignment="1">
      <alignment horizontal="right"/>
    </xf>
    <xf numFmtId="168" fontId="7" fillId="0" borderId="0" xfId="1" applyNumberFormat="1" applyFont="1"/>
    <xf numFmtId="43" fontId="28" fillId="0" borderId="8" xfId="1" applyFont="1" applyBorder="1" applyAlignment="1">
      <alignment horizontal="left" indent="2"/>
    </xf>
    <xf numFmtId="168" fontId="49" fillId="0" borderId="0" xfId="1" applyNumberFormat="1" applyFont="1" applyBorder="1" applyAlignment="1">
      <alignment horizontal="right"/>
    </xf>
    <xf numFmtId="168" fontId="49" fillId="0" borderId="8" xfId="1" applyNumberFormat="1" applyFont="1" applyBorder="1" applyAlignment="1">
      <alignment horizontal="right"/>
    </xf>
    <xf numFmtId="168" fontId="7" fillId="0" borderId="0" xfId="1" applyNumberFormat="1" applyFont="1" applyBorder="1" applyAlignment="1">
      <alignment horizontal="right"/>
    </xf>
    <xf numFmtId="168" fontId="7" fillId="0" borderId="8" xfId="1" applyNumberFormat="1" applyFont="1" applyBorder="1" applyAlignment="1">
      <alignment horizontal="right"/>
    </xf>
    <xf numFmtId="168" fontId="7" fillId="0" borderId="0" xfId="1" applyNumberFormat="1" applyFont="1" applyFill="1" applyBorder="1" applyAlignment="1">
      <alignment horizontal="right"/>
    </xf>
    <xf numFmtId="9" fontId="28" fillId="0" borderId="0" xfId="2" applyFont="1" applyFill="1" applyBorder="1" applyAlignment="1">
      <alignment horizontal="right"/>
    </xf>
    <xf numFmtId="9" fontId="28" fillId="0" borderId="0" xfId="1" applyNumberFormat="1" applyFont="1" applyBorder="1" applyAlignment="1">
      <alignment horizontal="right"/>
    </xf>
    <xf numFmtId="9" fontId="28" fillId="0" borderId="8" xfId="1" applyNumberFormat="1" applyFont="1" applyBorder="1" applyAlignment="1">
      <alignment horizontal="right"/>
    </xf>
    <xf numFmtId="9" fontId="33" fillId="0" borderId="0" xfId="1" applyNumberFormat="1" applyFont="1" applyBorder="1" applyAlignment="1">
      <alignment horizontal="right"/>
    </xf>
    <xf numFmtId="9" fontId="33" fillId="0" borderId="10" xfId="1" applyNumberFormat="1" applyFont="1" applyBorder="1" applyAlignment="1">
      <alignment horizontal="right"/>
    </xf>
    <xf numFmtId="43" fontId="7" fillId="3" borderId="0" xfId="1" applyFont="1" applyFill="1"/>
    <xf numFmtId="9" fontId="4" fillId="0" borderId="0" xfId="2" applyFont="1" applyFill="1" applyBorder="1"/>
    <xf numFmtId="43" fontId="28" fillId="0" borderId="8" xfId="1" applyFont="1" applyBorder="1" applyAlignment="1">
      <alignment horizontal="left" indent="1"/>
    </xf>
    <xf numFmtId="9" fontId="51" fillId="0" borderId="0" xfId="2" applyFont="1" applyFill="1" applyBorder="1" applyAlignment="1">
      <alignment horizontal="right"/>
    </xf>
    <xf numFmtId="9" fontId="51" fillId="0" borderId="8" xfId="2" applyFont="1" applyFill="1" applyBorder="1" applyAlignment="1">
      <alignment horizontal="right"/>
    </xf>
    <xf numFmtId="9" fontId="30" fillId="0" borderId="0" xfId="2" applyFont="1" applyFill="1" applyBorder="1" applyAlignment="1">
      <alignment horizontal="right"/>
    </xf>
    <xf numFmtId="9" fontId="28" fillId="0" borderId="5" xfId="2" applyFont="1" applyFill="1" applyBorder="1" applyAlignment="1">
      <alignment horizontal="right"/>
    </xf>
    <xf numFmtId="9" fontId="28" fillId="0" borderId="1" xfId="2" applyNumberFormat="1" applyFont="1" applyFill="1" applyBorder="1" applyAlignment="1">
      <alignment horizontal="right"/>
    </xf>
    <xf numFmtId="9" fontId="28" fillId="0" borderId="6" xfId="2" applyNumberFormat="1" applyFont="1" applyFill="1" applyBorder="1" applyAlignment="1">
      <alignment horizontal="right"/>
    </xf>
    <xf numFmtId="9" fontId="28" fillId="0" borderId="10" xfId="2" applyFont="1" applyFill="1" applyBorder="1" applyAlignment="1">
      <alignment horizontal="right"/>
    </xf>
    <xf numFmtId="9" fontId="21" fillId="0" borderId="0" xfId="2" applyFont="1" applyFill="1"/>
    <xf numFmtId="9" fontId="33" fillId="0" borderId="8" xfId="2" applyFont="1" applyFill="1" applyBorder="1" applyAlignment="1">
      <alignment horizontal="right"/>
    </xf>
    <xf numFmtId="9" fontId="4" fillId="3" borderId="0" xfId="2" applyFont="1" applyFill="1" applyBorder="1"/>
    <xf numFmtId="9" fontId="33" fillId="0" borderId="6" xfId="2" applyNumberFormat="1" applyFont="1" applyFill="1" applyBorder="1" applyAlignment="1">
      <alignment horizontal="right"/>
    </xf>
    <xf numFmtId="168" fontId="7" fillId="0" borderId="0" xfId="1" applyNumberFormat="1" applyFont="1" applyFill="1" applyBorder="1"/>
    <xf numFmtId="43" fontId="7" fillId="0" borderId="2" xfId="1" applyFont="1" applyFill="1" applyBorder="1"/>
    <xf numFmtId="168" fontId="7" fillId="0" borderId="2" xfId="1" applyNumberFormat="1" applyFont="1" applyFill="1" applyBorder="1" applyAlignment="1">
      <alignment horizontal="right"/>
    </xf>
    <xf numFmtId="168" fontId="7" fillId="0" borderId="0" xfId="1" applyNumberFormat="1" applyFont="1" applyBorder="1"/>
    <xf numFmtId="43" fontId="28" fillId="0" borderId="5" xfId="1" applyFont="1" applyFill="1" applyBorder="1" applyAlignment="1">
      <alignment horizontal="left" indent="1"/>
    </xf>
    <xf numFmtId="9" fontId="4" fillId="0" borderId="1" xfId="2" applyFont="1" applyFill="1" applyBorder="1" applyAlignment="1">
      <alignment horizontal="right"/>
    </xf>
    <xf numFmtId="9" fontId="4" fillId="0" borderId="5" xfId="2" applyFont="1" applyFill="1" applyBorder="1" applyAlignment="1">
      <alignment horizontal="right"/>
    </xf>
    <xf numFmtId="9" fontId="28" fillId="0" borderId="1" xfId="2" applyFont="1" applyFill="1" applyBorder="1" applyAlignment="1">
      <alignment horizontal="right"/>
    </xf>
    <xf numFmtId="9" fontId="28" fillId="0" borderId="11" xfId="2" applyFont="1" applyFill="1" applyBorder="1" applyAlignment="1">
      <alignment horizontal="right"/>
    </xf>
    <xf numFmtId="9" fontId="4" fillId="3" borderId="0" xfId="2" applyFont="1" applyFill="1"/>
    <xf numFmtId="9" fontId="4" fillId="0" borderId="0" xfId="2" applyFont="1" applyBorder="1"/>
    <xf numFmtId="43" fontId="16" fillId="0" borderId="0" xfId="1" applyFont="1" applyFill="1" applyBorder="1" applyAlignment="1">
      <alignment horizontal="left" indent="1"/>
    </xf>
    <xf numFmtId="0" fontId="9" fillId="0" borderId="0" xfId="0" applyFont="1" applyFill="1" applyBorder="1" applyAlignment="1">
      <alignment horizontal="right"/>
    </xf>
    <xf numFmtId="9" fontId="16" fillId="0" borderId="0" xfId="2" applyFont="1" applyFill="1" applyBorder="1" applyAlignment="1">
      <alignment horizontal="right"/>
    </xf>
    <xf numFmtId="168" fontId="9" fillId="0" borderId="0" xfId="0" applyNumberFormat="1" applyFont="1" applyFill="1" applyBorder="1" applyAlignment="1">
      <alignment horizontal="right"/>
    </xf>
    <xf numFmtId="168" fontId="9" fillId="0" borderId="0" xfId="0" applyNumberFormat="1" applyFont="1" applyFill="1" applyBorder="1"/>
    <xf numFmtId="43" fontId="9" fillId="0" borderId="0" xfId="0" applyNumberFormat="1" applyFont="1" applyFill="1" applyBorder="1"/>
    <xf numFmtId="43" fontId="9" fillId="3" borderId="0" xfId="1" applyFont="1" applyFill="1" applyBorder="1"/>
    <xf numFmtId="168" fontId="9" fillId="10" borderId="7" xfId="1" applyNumberFormat="1" applyFont="1" applyFill="1" applyBorder="1"/>
    <xf numFmtId="168" fontId="9" fillId="10" borderId="3" xfId="1" applyNumberFormat="1" applyFont="1" applyFill="1" applyBorder="1"/>
    <xf numFmtId="168" fontId="9" fillId="10" borderId="4" xfId="1" applyNumberFormat="1" applyFont="1" applyFill="1" applyBorder="1"/>
    <xf numFmtId="9" fontId="7" fillId="10" borderId="2" xfId="1" applyNumberFormat="1" applyFont="1" applyFill="1" applyBorder="1"/>
    <xf numFmtId="0" fontId="3" fillId="0" borderId="0" xfId="0" applyFont="1" applyFill="1" applyAlignment="1">
      <alignment horizontal="right"/>
    </xf>
    <xf numFmtId="43" fontId="7" fillId="0" borderId="8" xfId="1" applyFont="1" applyBorder="1" applyAlignment="1">
      <alignment horizontal="left"/>
    </xf>
    <xf numFmtId="168" fontId="7" fillId="0" borderId="0" xfId="1" applyNumberFormat="1" applyFont="1" applyAlignment="1">
      <alignment horizontal="right"/>
    </xf>
    <xf numFmtId="168" fontId="7" fillId="0" borderId="0" xfId="1" applyNumberFormat="1" applyFont="1" applyFill="1" applyAlignment="1">
      <alignment horizontal="center"/>
    </xf>
    <xf numFmtId="168" fontId="50" fillId="0" borderId="0" xfId="1" applyNumberFormat="1" applyFont="1" applyFill="1" applyBorder="1" applyAlignment="1">
      <alignment horizontal="right"/>
    </xf>
    <xf numFmtId="168" fontId="50" fillId="0" borderId="0" xfId="1" applyNumberFormat="1" applyFont="1" applyFill="1" applyAlignment="1">
      <alignment horizontal="right"/>
    </xf>
    <xf numFmtId="168" fontId="7" fillId="0" borderId="9" xfId="1" applyNumberFormat="1" applyFont="1" applyFill="1" applyBorder="1" applyAlignment="1">
      <alignment horizontal="right"/>
    </xf>
    <xf numFmtId="168" fontId="7" fillId="0" borderId="10" xfId="1" applyNumberFormat="1" applyFont="1" applyFill="1" applyBorder="1" applyAlignment="1">
      <alignment horizontal="right"/>
    </xf>
    <xf numFmtId="168" fontId="7" fillId="0" borderId="10" xfId="1" applyNumberFormat="1" applyFont="1" applyFill="1" applyBorder="1" applyAlignment="1">
      <alignment horizontal="center"/>
    </xf>
    <xf numFmtId="43" fontId="28" fillId="0" borderId="8" xfId="1" applyFont="1" applyBorder="1" applyAlignment="1">
      <alignment horizontal="left" indent="3"/>
    </xf>
    <xf numFmtId="9" fontId="28" fillId="2" borderId="0" xfId="2" applyFont="1" applyFill="1" applyBorder="1" applyAlignment="1">
      <alignment horizontal="right"/>
    </xf>
    <xf numFmtId="9" fontId="33" fillId="2" borderId="9" xfId="2" applyFont="1" applyFill="1" applyBorder="1" applyAlignment="1">
      <alignment horizontal="right"/>
    </xf>
    <xf numFmtId="9" fontId="33" fillId="2" borderId="0" xfId="2" applyFont="1" applyFill="1" applyBorder="1" applyAlignment="1">
      <alignment horizontal="right"/>
    </xf>
    <xf numFmtId="9" fontId="33" fillId="2" borderId="10" xfId="2" applyFont="1" applyFill="1" applyBorder="1" applyAlignment="1">
      <alignment horizontal="right"/>
    </xf>
    <xf numFmtId="9" fontId="33" fillId="0" borderId="0" xfId="2" applyFont="1" applyFill="1" applyBorder="1" applyAlignment="1">
      <alignment horizontal="right"/>
    </xf>
    <xf numFmtId="9" fontId="33" fillId="0" borderId="9" xfId="2" applyFont="1" applyFill="1" applyBorder="1" applyAlignment="1">
      <alignment horizontal="right"/>
    </xf>
    <xf numFmtId="9" fontId="33" fillId="0" borderId="10" xfId="2" applyFont="1" applyFill="1" applyBorder="1" applyAlignment="1">
      <alignment horizontal="right"/>
    </xf>
    <xf numFmtId="9" fontId="28" fillId="2" borderId="8" xfId="1" applyNumberFormat="1" applyFont="1" applyFill="1" applyBorder="1" applyAlignment="1">
      <alignment horizontal="right"/>
    </xf>
    <xf numFmtId="9" fontId="4" fillId="0" borderId="0" xfId="2" applyFont="1" applyFill="1" applyAlignment="1">
      <alignment horizontal="right"/>
    </xf>
    <xf numFmtId="43" fontId="28" fillId="0" borderId="5" xfId="1" applyFont="1" applyBorder="1" applyAlignment="1">
      <alignment horizontal="left" indent="2"/>
    </xf>
    <xf numFmtId="9" fontId="4" fillId="0" borderId="1" xfId="2" applyFont="1" applyBorder="1" applyAlignment="1">
      <alignment horizontal="right"/>
    </xf>
    <xf numFmtId="9" fontId="4" fillId="0" borderId="5" xfId="2" applyFont="1" applyBorder="1" applyAlignment="1">
      <alignment horizontal="right"/>
    </xf>
    <xf numFmtId="9" fontId="28" fillId="0" borderId="5" xfId="1" applyNumberFormat="1" applyFont="1" applyBorder="1" applyAlignment="1">
      <alignment horizontal="right"/>
    </xf>
    <xf numFmtId="9" fontId="28" fillId="0" borderId="6" xfId="2" applyFont="1" applyFill="1" applyBorder="1" applyAlignment="1">
      <alignment horizontal="right"/>
    </xf>
    <xf numFmtId="9" fontId="21" fillId="2" borderId="1" xfId="2" applyFont="1" applyFill="1" applyBorder="1"/>
    <xf numFmtId="9" fontId="33" fillId="2" borderId="5" xfId="2" applyFont="1" applyFill="1" applyBorder="1" applyAlignment="1">
      <alignment horizontal="right"/>
    </xf>
    <xf numFmtId="9" fontId="4" fillId="3" borderId="0" xfId="2" applyFont="1" applyFill="1" applyAlignment="1">
      <alignment horizontal="right"/>
    </xf>
    <xf numFmtId="9" fontId="4" fillId="0" borderId="0" xfId="2" applyFont="1" applyAlignment="1">
      <alignment horizontal="right"/>
    </xf>
    <xf numFmtId="9" fontId="9" fillId="0" borderId="1" xfId="2" applyFont="1" applyFill="1" applyBorder="1"/>
    <xf numFmtId="9" fontId="33" fillId="0" borderId="5" xfId="2" applyFont="1" applyFill="1" applyBorder="1" applyAlignment="1">
      <alignment horizontal="right"/>
    </xf>
    <xf numFmtId="9" fontId="21" fillId="0" borderId="1" xfId="2" applyFont="1" applyFill="1" applyBorder="1"/>
    <xf numFmtId="9" fontId="3" fillId="0" borderId="0" xfId="2" applyFont="1" applyFill="1" applyAlignment="1">
      <alignment horizontal="right"/>
    </xf>
    <xf numFmtId="9" fontId="3" fillId="0" borderId="0" xfId="2" applyFont="1" applyAlignment="1">
      <alignment horizontal="right"/>
    </xf>
    <xf numFmtId="9" fontId="3" fillId="0" borderId="8" xfId="2" applyFont="1" applyBorder="1" applyAlignment="1">
      <alignment horizontal="right"/>
    </xf>
    <xf numFmtId="9" fontId="3" fillId="0" borderId="8" xfId="2" applyFont="1" applyFill="1" applyBorder="1" applyAlignment="1">
      <alignment horizontal="right"/>
    </xf>
    <xf numFmtId="9" fontId="44" fillId="0" borderId="0" xfId="2" applyFont="1" applyFill="1" applyAlignment="1">
      <alignment horizontal="right"/>
    </xf>
    <xf numFmtId="9" fontId="44" fillId="0" borderId="8" xfId="2" applyFont="1" applyFill="1" applyBorder="1" applyAlignment="1">
      <alignment horizontal="right"/>
    </xf>
    <xf numFmtId="168" fontId="7" fillId="2" borderId="0" xfId="1" applyNumberFormat="1" applyFont="1" applyFill="1" applyBorder="1" applyAlignment="1">
      <alignment horizontal="center"/>
    </xf>
    <xf numFmtId="168" fontId="41" fillId="0" borderId="0" xfId="1" applyNumberFormat="1" applyFont="1" applyFill="1" applyAlignment="1">
      <alignment horizontal="right"/>
    </xf>
    <xf numFmtId="168" fontId="41" fillId="0" borderId="9" xfId="1" applyNumberFormat="1" applyFont="1" applyFill="1" applyBorder="1" applyAlignment="1">
      <alignment horizontal="right"/>
    </xf>
    <xf numFmtId="168" fontId="41" fillId="0" borderId="0" xfId="1" applyNumberFormat="1" applyFont="1" applyFill="1" applyBorder="1" applyAlignment="1">
      <alignment horizontal="right"/>
    </xf>
    <xf numFmtId="168" fontId="41" fillId="0" borderId="10" xfId="1" applyNumberFormat="1" applyFont="1" applyFill="1" applyBorder="1" applyAlignment="1">
      <alignment horizontal="right"/>
    </xf>
    <xf numFmtId="168" fontId="7" fillId="2" borderId="10" xfId="1" applyNumberFormat="1" applyFont="1" applyFill="1" applyBorder="1" applyAlignment="1">
      <alignment horizontal="center"/>
    </xf>
    <xf numFmtId="168" fontId="7" fillId="2" borderId="0" xfId="1" applyNumberFormat="1" applyFont="1" applyFill="1"/>
    <xf numFmtId="168" fontId="7" fillId="2" borderId="8" xfId="1" applyNumberFormat="1" applyFont="1" applyFill="1" applyBorder="1" applyAlignment="1">
      <alignment horizontal="center"/>
    </xf>
    <xf numFmtId="9" fontId="3" fillId="3" borderId="0" xfId="2" applyFont="1" applyFill="1" applyAlignment="1">
      <alignment horizontal="right"/>
    </xf>
    <xf numFmtId="9" fontId="45" fillId="0" borderId="0" xfId="2" applyFont="1" applyFill="1" applyAlignment="1">
      <alignment horizontal="right"/>
    </xf>
    <xf numFmtId="9" fontId="4" fillId="0" borderId="8" xfId="2" applyFont="1" applyBorder="1" applyAlignment="1">
      <alignment horizontal="right"/>
    </xf>
    <xf numFmtId="9" fontId="4" fillId="0" borderId="8" xfId="2" applyFont="1" applyFill="1" applyBorder="1" applyAlignment="1">
      <alignment horizontal="right"/>
    </xf>
    <xf numFmtId="9" fontId="21" fillId="2" borderId="0" xfId="2" applyFont="1" applyFill="1"/>
    <xf numFmtId="9" fontId="33" fillId="2" borderId="8" xfId="2" applyFont="1" applyFill="1" applyBorder="1" applyAlignment="1">
      <alignment horizontal="right"/>
    </xf>
    <xf numFmtId="43" fontId="7" fillId="0" borderId="2" xfId="1" applyFont="1" applyFill="1" applyBorder="1" applyAlignment="1">
      <alignment horizontal="left"/>
    </xf>
    <xf numFmtId="0" fontId="0" fillId="0" borderId="11" xfId="0" applyBorder="1"/>
    <xf numFmtId="0" fontId="0" fillId="0" borderId="5" xfId="0" applyBorder="1"/>
    <xf numFmtId="43" fontId="28" fillId="0" borderId="0" xfId="1" applyFont="1" applyFill="1" applyBorder="1" applyAlignment="1">
      <alignment horizontal="left" indent="1"/>
    </xf>
    <xf numFmtId="9" fontId="4" fillId="0" borderId="0" xfId="2" applyFont="1" applyFill="1" applyBorder="1" applyAlignment="1">
      <alignment horizontal="right"/>
    </xf>
    <xf numFmtId="168" fontId="28" fillId="0" borderId="0" xfId="2" applyNumberFormat="1" applyFont="1" applyFill="1" applyBorder="1" applyAlignment="1">
      <alignment horizontal="right"/>
    </xf>
    <xf numFmtId="4" fontId="28" fillId="0" borderId="0" xfId="2" applyNumberFormat="1" applyFont="1" applyFill="1" applyBorder="1" applyAlignment="1">
      <alignment horizontal="right"/>
    </xf>
    <xf numFmtId="173" fontId="28" fillId="0" borderId="0" xfId="2" applyNumberFormat="1" applyFont="1" applyFill="1" applyBorder="1" applyAlignment="1">
      <alignment horizontal="right"/>
    </xf>
    <xf numFmtId="43" fontId="23" fillId="0" borderId="0" xfId="0" applyNumberFormat="1" applyFont="1"/>
    <xf numFmtId="171" fontId="7" fillId="0" borderId="8" xfId="1" applyNumberFormat="1" applyFont="1" applyBorder="1" applyAlignment="1">
      <alignment horizontal="left"/>
    </xf>
    <xf numFmtId="168" fontId="24" fillId="0" borderId="8" xfId="0" applyNumberFormat="1" applyFont="1" applyBorder="1"/>
    <xf numFmtId="168" fontId="24" fillId="0" borderId="0" xfId="0" applyNumberFormat="1" applyFont="1"/>
    <xf numFmtId="43" fontId="7" fillId="0" borderId="8" xfId="1" applyFont="1" applyBorder="1" applyAlignment="1">
      <alignment horizontal="left" indent="1"/>
    </xf>
    <xf numFmtId="168" fontId="23" fillId="0" borderId="8" xfId="0" applyNumberFormat="1" applyFont="1" applyBorder="1"/>
    <xf numFmtId="168" fontId="23" fillId="0" borderId="0" xfId="0" applyNumberFormat="1" applyFont="1"/>
    <xf numFmtId="43" fontId="16" fillId="0" borderId="8" xfId="1" applyFont="1" applyBorder="1" applyAlignment="1">
      <alignment horizontal="left" indent="1"/>
    </xf>
    <xf numFmtId="164" fontId="23" fillId="0" borderId="8" xfId="0" applyNumberFormat="1" applyFont="1" applyBorder="1"/>
    <xf numFmtId="164" fontId="23" fillId="0" borderId="0" xfId="0" applyNumberFormat="1" applyFont="1"/>
    <xf numFmtId="164" fontId="52" fillId="0" borderId="0" xfId="0" applyNumberFormat="1" applyFont="1"/>
    <xf numFmtId="164" fontId="52" fillId="0" borderId="8" xfId="0" applyNumberFormat="1" applyFont="1" applyBorder="1"/>
    <xf numFmtId="0" fontId="23" fillId="0" borderId="8" xfId="0" applyFont="1" applyBorder="1"/>
    <xf numFmtId="43" fontId="9" fillId="0" borderId="8" xfId="1" applyFont="1" applyBorder="1" applyAlignment="1">
      <alignment horizontal="left" indent="1"/>
    </xf>
    <xf numFmtId="43" fontId="24" fillId="0" borderId="8" xfId="0" applyNumberFormat="1" applyFont="1" applyBorder="1"/>
    <xf numFmtId="43" fontId="24" fillId="0" borderId="0" xfId="0" applyNumberFormat="1" applyFont="1"/>
    <xf numFmtId="43" fontId="16" fillId="0" borderId="5" xfId="1" applyFont="1" applyBorder="1" applyAlignment="1">
      <alignment horizontal="left" indent="1"/>
    </xf>
    <xf numFmtId="164" fontId="24" fillId="0" borderId="5" xfId="0" applyNumberFormat="1" applyFont="1" applyBorder="1"/>
    <xf numFmtId="164" fontId="24" fillId="0" borderId="1" xfId="0" applyNumberFormat="1" applyFont="1" applyBorder="1"/>
    <xf numFmtId="1" fontId="23" fillId="0" borderId="0" xfId="0" applyNumberFormat="1" applyFont="1"/>
    <xf numFmtId="43" fontId="24" fillId="0" borderId="0" xfId="1" applyFont="1"/>
    <xf numFmtId="0" fontId="24" fillId="0" borderId="0" xfId="0" applyFont="1" applyAlignment="1">
      <alignment horizontal="right"/>
    </xf>
    <xf numFmtId="43" fontId="24" fillId="0" borderId="0" xfId="0" applyNumberFormat="1" applyFont="1" applyAlignment="1">
      <alignment horizontal="right"/>
    </xf>
    <xf numFmtId="43" fontId="7" fillId="2" borderId="0" xfId="1" applyFont="1" applyFill="1"/>
    <xf numFmtId="43" fontId="9" fillId="2" borderId="0" xfId="1" applyFont="1" applyFill="1"/>
    <xf numFmtId="43" fontId="12" fillId="6" borderId="7" xfId="1" applyFont="1" applyFill="1" applyBorder="1" applyAlignment="1">
      <alignment horizontal="left"/>
    </xf>
    <xf numFmtId="43" fontId="12" fillId="6" borderId="11" xfId="1" applyFont="1" applyFill="1" applyBorder="1" applyAlignment="1">
      <alignment horizontal="left"/>
    </xf>
    <xf numFmtId="0" fontId="7" fillId="3" borderId="7" xfId="0" applyFont="1" applyFill="1" applyBorder="1"/>
    <xf numFmtId="0" fontId="9" fillId="3" borderId="2" xfId="0" applyFont="1" applyFill="1" applyBorder="1"/>
    <xf numFmtId="0" fontId="9" fillId="3" borderId="3" xfId="0" applyFont="1" applyFill="1" applyBorder="1"/>
    <xf numFmtId="0" fontId="9" fillId="2" borderId="0" xfId="0" applyFont="1" applyFill="1"/>
    <xf numFmtId="0" fontId="9" fillId="2" borderId="9" xfId="0" applyFont="1" applyFill="1" applyBorder="1"/>
    <xf numFmtId="9" fontId="21" fillId="2" borderId="8" xfId="0" applyNumberFormat="1" applyFont="1" applyFill="1" applyBorder="1" applyAlignment="1">
      <alignment horizontal="center"/>
    </xf>
    <xf numFmtId="169" fontId="9" fillId="2" borderId="0" xfId="1" applyNumberFormat="1" applyFont="1" applyFill="1" applyBorder="1" applyAlignment="1">
      <alignment horizontal="right"/>
    </xf>
    <xf numFmtId="169" fontId="9" fillId="2" borderId="8" xfId="1" applyNumberFormat="1" applyFont="1" applyFill="1" applyBorder="1" applyAlignment="1">
      <alignment horizontal="right"/>
    </xf>
    <xf numFmtId="0" fontId="9" fillId="2" borderId="9" xfId="0" applyFont="1" applyFill="1" applyBorder="1" applyAlignment="1">
      <alignment horizontal="left" indent="1"/>
    </xf>
    <xf numFmtId="0" fontId="21" fillId="2" borderId="8" xfId="0" applyFont="1" applyFill="1" applyBorder="1" applyAlignment="1">
      <alignment horizontal="center"/>
    </xf>
    <xf numFmtId="9" fontId="21" fillId="2" borderId="8" xfId="1" applyNumberFormat="1" applyFont="1" applyFill="1" applyBorder="1" applyAlignment="1">
      <alignment horizontal="right"/>
    </xf>
    <xf numFmtId="9" fontId="9" fillId="2" borderId="0" xfId="0" applyNumberFormat="1" applyFont="1" applyFill="1" applyBorder="1"/>
    <xf numFmtId="9" fontId="9" fillId="2" borderId="8" xfId="1" applyNumberFormat="1" applyFont="1" applyFill="1" applyBorder="1" applyAlignment="1">
      <alignment horizontal="right"/>
    </xf>
    <xf numFmtId="0" fontId="50" fillId="2" borderId="8" xfId="0" applyFont="1" applyFill="1" applyBorder="1" applyAlignment="1">
      <alignment horizontal="center"/>
    </xf>
    <xf numFmtId="164" fontId="9" fillId="2" borderId="8" xfId="1" applyNumberFormat="1" applyFont="1" applyFill="1" applyBorder="1" applyAlignment="1">
      <alignment horizontal="right"/>
    </xf>
    <xf numFmtId="164" fontId="9" fillId="2" borderId="0" xfId="1" applyNumberFormat="1" applyFont="1" applyFill="1" applyBorder="1"/>
    <xf numFmtId="0" fontId="7" fillId="2" borderId="0" xfId="0" applyFont="1" applyFill="1" applyBorder="1"/>
    <xf numFmtId="8" fontId="7" fillId="2" borderId="8" xfId="1" applyNumberFormat="1" applyFont="1" applyFill="1" applyBorder="1" applyAlignment="1">
      <alignment horizontal="right"/>
    </xf>
    <xf numFmtId="0" fontId="28" fillId="2" borderId="9" xfId="0" applyFont="1" applyFill="1" applyBorder="1"/>
    <xf numFmtId="8" fontId="7" fillId="2" borderId="0" xfId="1" applyNumberFormat="1" applyFont="1" applyFill="1" applyBorder="1" applyAlignment="1">
      <alignment horizontal="right"/>
    </xf>
    <xf numFmtId="9" fontId="9" fillId="2" borderId="8" xfId="0" applyNumberFormat="1" applyFont="1" applyFill="1" applyBorder="1" applyAlignment="1">
      <alignment horizontal="center"/>
    </xf>
    <xf numFmtId="0" fontId="9" fillId="2" borderId="8" xfId="0" applyFont="1" applyFill="1" applyBorder="1" applyAlignment="1">
      <alignment horizontal="center"/>
    </xf>
    <xf numFmtId="0" fontId="9" fillId="2" borderId="8" xfId="0" applyFont="1" applyFill="1" applyBorder="1"/>
    <xf numFmtId="0" fontId="7" fillId="2" borderId="9" xfId="0" applyFont="1" applyFill="1" applyBorder="1"/>
    <xf numFmtId="9" fontId="7" fillId="2" borderId="8" xfId="0" applyNumberFormat="1" applyFont="1" applyFill="1" applyBorder="1" applyAlignment="1">
      <alignment horizontal="center"/>
    </xf>
    <xf numFmtId="9" fontId="7" fillId="2" borderId="0" xfId="0" applyNumberFormat="1" applyFont="1" applyFill="1" applyBorder="1"/>
    <xf numFmtId="9" fontId="7" fillId="2" borderId="8" xfId="0" applyNumberFormat="1" applyFont="1" applyFill="1" applyBorder="1"/>
    <xf numFmtId="0" fontId="7" fillId="3" borderId="9" xfId="0" applyFont="1" applyFill="1" applyBorder="1"/>
    <xf numFmtId="0" fontId="9" fillId="3" borderId="8" xfId="0" applyFont="1" applyFill="1" applyBorder="1"/>
    <xf numFmtId="0" fontId="9" fillId="3" borderId="0" xfId="0" applyFont="1" applyFill="1" applyBorder="1"/>
    <xf numFmtId="0" fontId="21" fillId="2" borderId="8" xfId="0" applyFont="1" applyFill="1" applyBorder="1"/>
    <xf numFmtId="9" fontId="7" fillId="2" borderId="8" xfId="1" applyNumberFormat="1" applyFont="1" applyFill="1" applyBorder="1" applyAlignment="1">
      <alignment horizontal="right"/>
    </xf>
    <xf numFmtId="0" fontId="9" fillId="2" borderId="5" xfId="0" applyFont="1" applyFill="1" applyBorder="1"/>
    <xf numFmtId="0" fontId="9" fillId="2" borderId="3" xfId="0" applyFont="1" applyFill="1" applyBorder="1"/>
    <xf numFmtId="14" fontId="9" fillId="2" borderId="0" xfId="0" applyNumberFormat="1" applyFont="1" applyFill="1"/>
    <xf numFmtId="0" fontId="53" fillId="2" borderId="0" xfId="0" applyFont="1" applyFill="1" applyAlignment="1">
      <alignment wrapText="1"/>
    </xf>
    <xf numFmtId="14" fontId="0" fillId="2" borderId="0" xfId="0" applyNumberFormat="1" applyFill="1"/>
    <xf numFmtId="43" fontId="18" fillId="11" borderId="8" xfId="1" applyFont="1" applyFill="1" applyBorder="1" applyAlignment="1">
      <alignment horizontal="left" indent="2"/>
    </xf>
    <xf numFmtId="168" fontId="18" fillId="11" borderId="0" xfId="1" applyNumberFormat="1" applyFont="1" applyFill="1" applyAlignment="1">
      <alignment horizontal="right"/>
    </xf>
    <xf numFmtId="168" fontId="18" fillId="11" borderId="8" xfId="1" applyNumberFormat="1" applyFont="1" applyFill="1" applyBorder="1" applyAlignment="1">
      <alignment horizontal="right"/>
    </xf>
    <xf numFmtId="9" fontId="18" fillId="11" borderId="0" xfId="1" applyNumberFormat="1" applyFont="1" applyFill="1"/>
    <xf numFmtId="168" fontId="18" fillId="11" borderId="0" xfId="1" applyNumberFormat="1" applyFont="1" applyFill="1"/>
    <xf numFmtId="0" fontId="54" fillId="11" borderId="0" xfId="0" applyFont="1" applyFill="1" applyAlignment="1">
      <alignment horizontal="right"/>
    </xf>
    <xf numFmtId="9" fontId="54" fillId="11" borderId="0" xfId="2" applyFont="1" applyFill="1" applyAlignment="1">
      <alignment horizontal="right"/>
    </xf>
    <xf numFmtId="9" fontId="54" fillId="11" borderId="8" xfId="2" applyFont="1" applyFill="1" applyBorder="1" applyAlignment="1">
      <alignment horizontal="right"/>
    </xf>
    <xf numFmtId="9" fontId="31" fillId="11" borderId="0" xfId="2" applyFont="1" applyFill="1" applyAlignment="1">
      <alignment horizontal="right"/>
    </xf>
    <xf numFmtId="164" fontId="31" fillId="11" borderId="8" xfId="2" applyNumberFormat="1" applyFont="1" applyFill="1" applyBorder="1" applyAlignment="1">
      <alignment horizontal="right"/>
    </xf>
    <xf numFmtId="9" fontId="55" fillId="11" borderId="0" xfId="2" applyFont="1" applyFill="1" applyAlignment="1">
      <alignment horizontal="right"/>
    </xf>
    <xf numFmtId="165" fontId="56" fillId="11" borderId="0" xfId="0" applyNumberFormat="1" applyFont="1" applyFill="1" applyAlignment="1">
      <alignment horizontal="right"/>
    </xf>
    <xf numFmtId="165" fontId="31" fillId="11" borderId="0" xfId="0" applyNumberFormat="1" applyFont="1" applyFill="1" applyAlignment="1">
      <alignment horizontal="right"/>
    </xf>
    <xf numFmtId="165" fontId="31" fillId="11" borderId="9" xfId="0" applyNumberFormat="1" applyFont="1" applyFill="1" applyBorder="1" applyAlignment="1">
      <alignment horizontal="right"/>
    </xf>
    <xf numFmtId="164" fontId="55" fillId="11" borderId="8" xfId="2" applyNumberFormat="1" applyFont="1" applyFill="1" applyBorder="1" applyAlignment="1">
      <alignment horizontal="right"/>
    </xf>
    <xf numFmtId="168" fontId="19" fillId="11" borderId="0" xfId="1" applyNumberFormat="1" applyFont="1" applyFill="1" applyBorder="1" applyAlignment="1">
      <alignment horizontal="right"/>
    </xf>
    <xf numFmtId="165" fontId="57" fillId="11" borderId="0" xfId="0" applyNumberFormat="1" applyFont="1" applyFill="1" applyAlignment="1">
      <alignment horizontal="right"/>
    </xf>
    <xf numFmtId="164" fontId="57" fillId="11" borderId="0" xfId="2" applyNumberFormat="1" applyFont="1" applyFill="1" applyAlignment="1">
      <alignment horizontal="right"/>
    </xf>
    <xf numFmtId="9" fontId="57" fillId="11" borderId="8" xfId="2" applyFont="1" applyFill="1" applyBorder="1" applyAlignment="1">
      <alignment horizontal="right"/>
    </xf>
    <xf numFmtId="164" fontId="31" fillId="11" borderId="0" xfId="2" applyNumberFormat="1" applyFont="1" applyFill="1" applyAlignment="1">
      <alignment horizontal="right"/>
    </xf>
    <xf numFmtId="9" fontId="28" fillId="2" borderId="8" xfId="2" applyNumberFormat="1" applyFont="1" applyFill="1" applyBorder="1" applyAlignment="1">
      <alignment horizontal="right"/>
    </xf>
    <xf numFmtId="168" fontId="9" fillId="7" borderId="0" xfId="1" applyNumberFormat="1" applyFont="1" applyFill="1" applyAlignment="1">
      <alignment horizontal="right"/>
    </xf>
    <xf numFmtId="172" fontId="9" fillId="0" borderId="8" xfId="2" applyNumberFormat="1" applyFont="1" applyFill="1" applyBorder="1" applyAlignment="1">
      <alignment horizontal="right"/>
    </xf>
    <xf numFmtId="9" fontId="28" fillId="2" borderId="8" xfId="2" applyFont="1" applyFill="1" applyBorder="1" applyAlignment="1">
      <alignment horizontal="right"/>
    </xf>
    <xf numFmtId="168" fontId="28" fillId="2" borderId="8" xfId="2" applyNumberFormat="1" applyFont="1" applyFill="1" applyBorder="1" applyAlignment="1">
      <alignment horizontal="right"/>
    </xf>
    <xf numFmtId="9" fontId="9" fillId="2" borderId="0" xfId="2" applyFont="1" applyFill="1"/>
    <xf numFmtId="168" fontId="18" fillId="2" borderId="0" xfId="1" applyNumberFormat="1" applyFont="1" applyFill="1" applyAlignment="1">
      <alignment horizontal="right"/>
    </xf>
    <xf numFmtId="168" fontId="18" fillId="2" borderId="0" xfId="1" applyNumberFormat="1" applyFont="1" applyFill="1" applyAlignment="1">
      <alignment horizontal="center"/>
    </xf>
    <xf numFmtId="168" fontId="18" fillId="11" borderId="8" xfId="1" applyNumberFormat="1" applyFont="1" applyFill="1" applyBorder="1" applyAlignment="1">
      <alignment horizontal="center"/>
    </xf>
    <xf numFmtId="168" fontId="18" fillId="11" borderId="0" xfId="1" applyNumberFormat="1" applyFont="1" applyFill="1" applyBorder="1" applyAlignment="1">
      <alignment horizontal="center"/>
    </xf>
    <xf numFmtId="168" fontId="18" fillId="11" borderId="0" xfId="1" applyNumberFormat="1" applyFont="1" applyFill="1" applyAlignment="1">
      <alignment horizontal="center"/>
    </xf>
    <xf numFmtId="168" fontId="58" fillId="11" borderId="0" xfId="1" applyNumberFormat="1" applyFont="1" applyFill="1" applyAlignment="1">
      <alignment horizontal="right"/>
    </xf>
    <xf numFmtId="168" fontId="18" fillId="11" borderId="9" xfId="1" applyNumberFormat="1" applyFont="1" applyFill="1" applyBorder="1" applyAlignment="1">
      <alignment horizontal="right"/>
    </xf>
    <xf numFmtId="168" fontId="19" fillId="11" borderId="0" xfId="1" applyNumberFormat="1" applyFont="1" applyFill="1" applyAlignment="1">
      <alignment horizontal="right"/>
    </xf>
    <xf numFmtId="168" fontId="32" fillId="11" borderId="8" xfId="1" applyNumberFormat="1" applyFont="1" applyFill="1" applyBorder="1" applyAlignment="1">
      <alignment horizontal="center"/>
    </xf>
    <xf numFmtId="168" fontId="59" fillId="11" borderId="0" xfId="1" applyNumberFormat="1" applyFont="1" applyFill="1" applyAlignment="1">
      <alignment horizontal="right"/>
    </xf>
    <xf numFmtId="172" fontId="19" fillId="11" borderId="8" xfId="2" applyNumberFormat="1" applyFont="1" applyFill="1" applyBorder="1" applyAlignment="1">
      <alignment horizontal="right"/>
    </xf>
    <xf numFmtId="168" fontId="50" fillId="0" borderId="0" xfId="1" applyNumberFormat="1" applyFont="1" applyBorder="1" applyAlignment="1">
      <alignment horizontal="right"/>
    </xf>
    <xf numFmtId="9" fontId="33" fillId="0" borderId="1" xfId="2" applyNumberFormat="1" applyFont="1" applyFill="1" applyBorder="1" applyAlignment="1">
      <alignment horizontal="right"/>
    </xf>
    <xf numFmtId="43" fontId="7" fillId="10" borderId="8" xfId="1" applyFont="1" applyFill="1" applyBorder="1"/>
    <xf numFmtId="43" fontId="9" fillId="10" borderId="0" xfId="1" applyFont="1" applyFill="1" applyAlignment="1">
      <alignment horizontal="right"/>
    </xf>
    <xf numFmtId="43" fontId="9" fillId="10" borderId="8" xfId="1" applyFont="1" applyFill="1" applyBorder="1" applyAlignment="1">
      <alignment horizontal="right"/>
    </xf>
    <xf numFmtId="43" fontId="14" fillId="10" borderId="8" xfId="1" applyFont="1" applyFill="1" applyBorder="1" applyAlignment="1">
      <alignment horizontal="right"/>
    </xf>
    <xf numFmtId="43" fontId="14" fillId="10" borderId="0" xfId="1" applyFont="1" applyFill="1" applyAlignment="1">
      <alignment horizontal="right"/>
    </xf>
    <xf numFmtId="43" fontId="9" fillId="10" borderId="9" xfId="1" applyFont="1" applyFill="1" applyBorder="1" applyAlignment="1">
      <alignment horizontal="right"/>
    </xf>
    <xf numFmtId="168" fontId="7" fillId="10" borderId="0" xfId="1" applyNumberFormat="1" applyFont="1" applyFill="1" applyAlignment="1">
      <alignment horizontal="right"/>
    </xf>
    <xf numFmtId="168" fontId="9" fillId="10" borderId="8" xfId="1" applyNumberFormat="1" applyFont="1" applyFill="1" applyBorder="1" applyAlignment="1">
      <alignment horizontal="right"/>
    </xf>
    <xf numFmtId="168" fontId="7" fillId="10" borderId="8" xfId="1" applyNumberFormat="1" applyFont="1" applyFill="1" applyBorder="1" applyAlignment="1">
      <alignment horizontal="right"/>
    </xf>
    <xf numFmtId="9" fontId="9" fillId="10" borderId="0" xfId="1" applyNumberFormat="1" applyFont="1" applyFill="1"/>
    <xf numFmtId="43" fontId="9" fillId="10" borderId="8" xfId="1" applyFont="1" applyFill="1" applyBorder="1"/>
    <xf numFmtId="0" fontId="4" fillId="10" borderId="0" xfId="0" applyFont="1" applyFill="1" applyAlignment="1">
      <alignment horizontal="right"/>
    </xf>
    <xf numFmtId="9" fontId="4" fillId="10" borderId="0" xfId="2" applyFont="1" applyFill="1" applyAlignment="1">
      <alignment horizontal="right"/>
    </xf>
    <xf numFmtId="9" fontId="4" fillId="10" borderId="8" xfId="2" applyFont="1" applyFill="1" applyBorder="1" applyAlignment="1">
      <alignment horizontal="right"/>
    </xf>
    <xf numFmtId="9" fontId="28" fillId="10" borderId="0" xfId="2" applyFont="1" applyFill="1" applyAlignment="1">
      <alignment horizontal="right"/>
    </xf>
    <xf numFmtId="164" fontId="28" fillId="10" borderId="8" xfId="2" applyNumberFormat="1" applyFont="1" applyFill="1" applyBorder="1" applyAlignment="1">
      <alignment horizontal="right"/>
    </xf>
    <xf numFmtId="9" fontId="29" fillId="10" borderId="0" xfId="2" applyFont="1" applyFill="1" applyAlignment="1">
      <alignment horizontal="right"/>
    </xf>
    <xf numFmtId="165" fontId="35" fillId="10" borderId="0" xfId="0" applyNumberFormat="1" applyFont="1" applyFill="1" applyAlignment="1">
      <alignment horizontal="right"/>
    </xf>
    <xf numFmtId="165" fontId="28" fillId="10" borderId="0" xfId="0" applyNumberFormat="1" applyFont="1" applyFill="1" applyAlignment="1">
      <alignment horizontal="right"/>
    </xf>
    <xf numFmtId="164" fontId="29" fillId="10" borderId="8" xfId="2" applyNumberFormat="1" applyFont="1" applyFill="1" applyBorder="1" applyAlignment="1">
      <alignment horizontal="right"/>
    </xf>
    <xf numFmtId="165" fontId="28" fillId="10" borderId="9" xfId="0" applyNumberFormat="1" applyFont="1" applyFill="1" applyBorder="1" applyAlignment="1">
      <alignment horizontal="right"/>
    </xf>
    <xf numFmtId="168" fontId="9" fillId="10" borderId="0" xfId="1" applyNumberFormat="1" applyFont="1" applyFill="1" applyAlignment="1">
      <alignment horizontal="right"/>
    </xf>
    <xf numFmtId="165" fontId="30" fillId="10" borderId="0" xfId="0" applyNumberFormat="1" applyFont="1" applyFill="1" applyAlignment="1">
      <alignment horizontal="right"/>
    </xf>
    <xf numFmtId="164" fontId="30" fillId="10" borderId="0" xfId="2" applyNumberFormat="1" applyFont="1" applyFill="1" applyAlignment="1">
      <alignment horizontal="right"/>
    </xf>
    <xf numFmtId="9" fontId="30" fillId="10" borderId="8" xfId="2" applyFont="1" applyFill="1" applyBorder="1" applyAlignment="1">
      <alignment horizontal="right"/>
    </xf>
    <xf numFmtId="164" fontId="28" fillId="10" borderId="0" xfId="2" applyNumberFormat="1" applyFont="1" applyFill="1" applyAlignment="1">
      <alignment horizontal="right"/>
    </xf>
    <xf numFmtId="168" fontId="13" fillId="10" borderId="0" xfId="1" applyNumberFormat="1" applyFont="1" applyFill="1" applyBorder="1" applyAlignment="1">
      <alignment horizontal="right"/>
    </xf>
    <xf numFmtId="165" fontId="44" fillId="0" borderId="0" xfId="0" applyNumberFormat="1" applyFont="1" applyFill="1"/>
    <xf numFmtId="9" fontId="21" fillId="0" borderId="8" xfId="1" applyNumberFormat="1" applyFont="1" applyFill="1" applyBorder="1" applyAlignment="1">
      <alignment horizontal="right"/>
    </xf>
    <xf numFmtId="9" fontId="21" fillId="0" borderId="0" xfId="1" applyNumberFormat="1" applyFont="1" applyFill="1"/>
    <xf numFmtId="0" fontId="0" fillId="2" borderId="0" xfId="0" applyFill="1" applyBorder="1"/>
    <xf numFmtId="168" fontId="50" fillId="0" borderId="8" xfId="1" applyNumberFormat="1" applyFont="1" applyFill="1" applyBorder="1" applyAlignment="1">
      <alignment horizontal="right"/>
    </xf>
    <xf numFmtId="168" fontId="49" fillId="10" borderId="3" xfId="1" applyNumberFormat="1" applyFont="1" applyFill="1" applyBorder="1" applyAlignment="1">
      <alignment horizontal="right"/>
    </xf>
    <xf numFmtId="168" fontId="49" fillId="10" borderId="2" xfId="1" applyNumberFormat="1" applyFont="1" applyFill="1" applyBorder="1" applyAlignment="1">
      <alignment horizontal="right"/>
    </xf>
    <xf numFmtId="168" fontId="7" fillId="10" borderId="3" xfId="1" applyNumberFormat="1" applyFont="1" applyFill="1" applyBorder="1" applyAlignment="1">
      <alignment horizontal="right"/>
    </xf>
    <xf numFmtId="168" fontId="7" fillId="10" borderId="2" xfId="1" applyNumberFormat="1" applyFont="1" applyFill="1" applyBorder="1" applyAlignment="1">
      <alignment horizontal="right"/>
    </xf>
    <xf numFmtId="43" fontId="7" fillId="10" borderId="8" xfId="1" applyFont="1" applyFill="1" applyBorder="1" applyAlignment="1">
      <alignment horizontal="left"/>
    </xf>
    <xf numFmtId="0" fontId="23" fillId="10" borderId="0" xfId="0" applyFont="1" applyFill="1"/>
    <xf numFmtId="168" fontId="7" fillId="10" borderId="8" xfId="1" applyNumberFormat="1" applyFont="1" applyFill="1" applyBorder="1" applyAlignment="1">
      <alignment horizontal="center"/>
    </xf>
    <xf numFmtId="168" fontId="41" fillId="10" borderId="0" xfId="1" applyNumberFormat="1" applyFont="1" applyFill="1" applyAlignment="1">
      <alignment horizontal="right"/>
    </xf>
    <xf numFmtId="168" fontId="7" fillId="10" borderId="0" xfId="1" applyNumberFormat="1" applyFont="1" applyFill="1"/>
    <xf numFmtId="43" fontId="9" fillId="0" borderId="8" xfId="1" applyFont="1" applyBorder="1" applyAlignment="1">
      <alignment horizontal="left"/>
    </xf>
    <xf numFmtId="168" fontId="9" fillId="0" borderId="8" xfId="1" applyNumberFormat="1" applyFont="1" applyBorder="1" applyAlignment="1">
      <alignment horizontal="right"/>
    </xf>
    <xf numFmtId="168" fontId="9" fillId="0" borderId="0" xfId="1" applyNumberFormat="1" applyFont="1" applyFill="1" applyBorder="1" applyAlignment="1">
      <alignment horizontal="right"/>
    </xf>
    <xf numFmtId="168" fontId="21" fillId="0" borderId="0" xfId="1" applyNumberFormat="1" applyFont="1" applyFill="1" applyBorder="1" applyAlignment="1">
      <alignment horizontal="right"/>
    </xf>
    <xf numFmtId="168" fontId="21" fillId="0" borderId="0" xfId="1" applyNumberFormat="1" applyFont="1" applyFill="1" applyAlignment="1">
      <alignment horizontal="right"/>
    </xf>
    <xf numFmtId="9" fontId="9" fillId="0" borderId="8" xfId="1" applyNumberFormat="1" applyFont="1" applyFill="1" applyBorder="1" applyAlignment="1">
      <alignment horizontal="center"/>
    </xf>
    <xf numFmtId="9" fontId="21" fillId="0" borderId="8" xfId="1" applyNumberFormat="1" applyFont="1" applyFill="1" applyBorder="1" applyAlignment="1">
      <alignment horizontal="center"/>
    </xf>
    <xf numFmtId="9" fontId="4" fillId="0" borderId="0" xfId="2" applyFont="1" applyBorder="1" applyAlignment="1">
      <alignment horizontal="right"/>
    </xf>
    <xf numFmtId="43" fontId="7" fillId="0" borderId="5" xfId="1" applyFont="1" applyBorder="1"/>
    <xf numFmtId="9" fontId="29" fillId="0" borderId="1" xfId="2" applyFont="1" applyFill="1" applyBorder="1" applyAlignment="1">
      <alignment horizontal="right"/>
    </xf>
    <xf numFmtId="168" fontId="21" fillId="0" borderId="1" xfId="1" applyNumberFormat="1" applyFont="1" applyFill="1" applyBorder="1" applyAlignment="1">
      <alignment horizontal="right"/>
    </xf>
    <xf numFmtId="168" fontId="9" fillId="0" borderId="5" xfId="1" applyNumberFormat="1" applyFont="1" applyFill="1" applyBorder="1" applyAlignment="1">
      <alignment horizontal="center"/>
    </xf>
    <xf numFmtId="168" fontId="9" fillId="0" borderId="1" xfId="1" applyNumberFormat="1" applyFont="1" applyFill="1" applyBorder="1" applyAlignment="1">
      <alignment horizontal="right"/>
    </xf>
    <xf numFmtId="168" fontId="34" fillId="0" borderId="0" xfId="1" applyNumberFormat="1" applyFont="1" applyFill="1" applyBorder="1" applyAlignment="1">
      <alignment horizontal="right"/>
    </xf>
    <xf numFmtId="9" fontId="9" fillId="0" borderId="0" xfId="1" applyNumberFormat="1" applyFont="1" applyFill="1" applyBorder="1"/>
    <xf numFmtId="0" fontId="23" fillId="0" borderId="0" xfId="0" applyFont="1" applyFill="1" applyBorder="1"/>
    <xf numFmtId="43" fontId="7" fillId="0" borderId="10" xfId="1" applyFont="1" applyBorder="1"/>
    <xf numFmtId="168" fontId="9" fillId="0" borderId="3" xfId="1" applyNumberFormat="1" applyFont="1" applyFill="1" applyBorder="1" applyAlignment="1">
      <alignment horizontal="center"/>
    </xf>
    <xf numFmtId="168" fontId="34" fillId="0" borderId="3" xfId="1" applyNumberFormat="1" applyFont="1" applyFill="1" applyBorder="1" applyAlignment="1">
      <alignment horizontal="right"/>
    </xf>
    <xf numFmtId="168" fontId="9" fillId="0" borderId="3" xfId="1" applyNumberFormat="1" applyFont="1" applyFill="1" applyBorder="1" applyAlignment="1">
      <alignment horizontal="right"/>
    </xf>
    <xf numFmtId="168" fontId="9" fillId="0" borderId="3" xfId="1" applyNumberFormat="1" applyFont="1" applyFill="1" applyBorder="1"/>
    <xf numFmtId="0" fontId="23" fillId="0" borderId="0" xfId="0" applyFont="1" applyBorder="1"/>
    <xf numFmtId="1" fontId="23" fillId="0" borderId="0" xfId="0" applyNumberFormat="1" applyFont="1" applyFill="1"/>
    <xf numFmtId="43" fontId="26" fillId="14" borderId="24" xfId="1" applyFont="1" applyFill="1" applyBorder="1"/>
    <xf numFmtId="0" fontId="60" fillId="14" borderId="25" xfId="0" applyFont="1" applyFill="1" applyBorder="1"/>
    <xf numFmtId="0" fontId="60" fillId="14" borderId="26" xfId="0" applyFont="1" applyFill="1" applyBorder="1"/>
    <xf numFmtId="43" fontId="23" fillId="0" borderId="27" xfId="1" applyFont="1" applyBorder="1"/>
    <xf numFmtId="43" fontId="7" fillId="2" borderId="0" xfId="1" applyFont="1" applyFill="1" applyBorder="1" applyAlignment="1">
      <alignment horizontal="center"/>
    </xf>
    <xf numFmtId="0" fontId="23" fillId="2" borderId="0" xfId="0" applyFont="1" applyFill="1" applyBorder="1"/>
    <xf numFmtId="0" fontId="23" fillId="0" borderId="28" xfId="0" applyFont="1" applyBorder="1"/>
    <xf numFmtId="43" fontId="20" fillId="2" borderId="0" xfId="1" applyFont="1" applyFill="1" applyBorder="1" applyAlignment="1">
      <alignment horizontal="center"/>
    </xf>
    <xf numFmtId="0" fontId="61" fillId="2" borderId="0" xfId="0" applyFont="1" applyFill="1" applyBorder="1"/>
    <xf numFmtId="43" fontId="7" fillId="0" borderId="27" xfId="1" applyFont="1" applyBorder="1"/>
    <xf numFmtId="171" fontId="9" fillId="0" borderId="0" xfId="0" applyNumberFormat="1" applyFont="1" applyBorder="1"/>
    <xf numFmtId="174" fontId="21" fillId="0" borderId="0" xfId="1" applyNumberFormat="1" applyFont="1" applyBorder="1"/>
    <xf numFmtId="171" fontId="18" fillId="0" borderId="0" xfId="0" applyNumberFormat="1" applyFont="1" applyBorder="1"/>
    <xf numFmtId="0" fontId="7" fillId="0" borderId="0" xfId="0" applyFont="1" applyBorder="1"/>
    <xf numFmtId="171" fontId="7" fillId="0" borderId="0" xfId="0" applyNumberFormat="1" applyFont="1" applyBorder="1"/>
    <xf numFmtId="174" fontId="62" fillId="0" borderId="0" xfId="1" applyNumberFormat="1" applyFont="1" applyBorder="1"/>
    <xf numFmtId="43" fontId="9" fillId="0" borderId="27" xfId="1" applyFont="1" applyBorder="1"/>
    <xf numFmtId="43" fontId="7" fillId="0" borderId="29" xfId="1" applyFont="1" applyBorder="1"/>
    <xf numFmtId="0" fontId="9" fillId="0" borderId="30" xfId="0" applyFont="1" applyBorder="1"/>
    <xf numFmtId="6" fontId="63" fillId="14" borderId="30" xfId="0" applyNumberFormat="1" applyFont="1" applyFill="1" applyBorder="1"/>
    <xf numFmtId="0" fontId="23" fillId="0" borderId="30" xfId="0" applyFont="1" applyBorder="1"/>
    <xf numFmtId="0" fontId="23" fillId="0" borderId="30" xfId="0" applyFont="1" applyFill="1" applyBorder="1"/>
    <xf numFmtId="0" fontId="23" fillId="0" borderId="31" xfId="0" applyFont="1" applyBorder="1"/>
    <xf numFmtId="165" fontId="42" fillId="0" borderId="0" xfId="0" applyNumberFormat="1" applyFont="1" applyFill="1"/>
    <xf numFmtId="171" fontId="9" fillId="0" borderId="0" xfId="0" applyNumberFormat="1" applyFont="1" applyFill="1"/>
    <xf numFmtId="171" fontId="12" fillId="15" borderId="2" xfId="1" applyNumberFormat="1" applyFont="1" applyFill="1" applyBorder="1"/>
    <xf numFmtId="171" fontId="10" fillId="15" borderId="8" xfId="1" applyNumberFormat="1" applyFont="1" applyFill="1" applyBorder="1"/>
    <xf numFmtId="171" fontId="10" fillId="15" borderId="0" xfId="1" applyNumberFormat="1" applyFont="1" applyFill="1"/>
    <xf numFmtId="171" fontId="7" fillId="8" borderId="2" xfId="1" applyNumberFormat="1" applyFont="1" applyFill="1" applyBorder="1"/>
    <xf numFmtId="171" fontId="7" fillId="8" borderId="3" xfId="1" applyNumberFormat="1" applyFont="1" applyFill="1" applyBorder="1"/>
    <xf numFmtId="171" fontId="9" fillId="8" borderId="0" xfId="1" applyNumberFormat="1" applyFont="1" applyFill="1"/>
    <xf numFmtId="171" fontId="9" fillId="0" borderId="8" xfId="1" applyNumberFormat="1" applyFont="1" applyBorder="1"/>
    <xf numFmtId="171" fontId="18" fillId="0" borderId="8" xfId="1" applyNumberFormat="1" applyFont="1" applyBorder="1"/>
    <xf numFmtId="171" fontId="18" fillId="0" borderId="0" xfId="1" applyNumberFormat="1" applyFont="1"/>
    <xf numFmtId="171" fontId="7" fillId="0" borderId="8" xfId="1" applyNumberFormat="1" applyFont="1" applyBorder="1"/>
    <xf numFmtId="171" fontId="7" fillId="0" borderId="0" xfId="1" applyNumberFormat="1" applyFont="1"/>
    <xf numFmtId="171" fontId="9" fillId="7" borderId="0" xfId="1" applyNumberFormat="1" applyFont="1" applyFill="1"/>
    <xf numFmtId="171" fontId="7" fillId="0" borderId="21" xfId="1" applyNumberFormat="1" applyFont="1" applyBorder="1"/>
    <xf numFmtId="171" fontId="7" fillId="0" borderId="22" xfId="1" applyNumberFormat="1" applyFont="1" applyBorder="1"/>
    <xf numFmtId="43" fontId="7" fillId="0" borderId="22" xfId="1" applyNumberFormat="1" applyFont="1" applyBorder="1"/>
    <xf numFmtId="171" fontId="64" fillId="0" borderId="0" xfId="1" applyNumberFormat="1" applyFont="1"/>
    <xf numFmtId="43" fontId="9" fillId="0" borderId="0" xfId="1" applyNumberFormat="1" applyFont="1"/>
    <xf numFmtId="171" fontId="9" fillId="0" borderId="10" xfId="1" applyNumberFormat="1" applyFont="1" applyFill="1" applyBorder="1"/>
    <xf numFmtId="171" fontId="9" fillId="0" borderId="10" xfId="1" applyNumberFormat="1" applyFont="1" applyBorder="1"/>
    <xf numFmtId="171" fontId="13" fillId="0" borderId="0" xfId="1" applyNumberFormat="1" applyFont="1" applyFill="1"/>
    <xf numFmtId="171" fontId="13" fillId="0" borderId="0" xfId="1" applyNumberFormat="1" applyFont="1"/>
    <xf numFmtId="171" fontId="13" fillId="0" borderId="8" xfId="1" applyNumberFormat="1" applyFont="1" applyBorder="1"/>
    <xf numFmtId="171" fontId="9" fillId="2" borderId="0" xfId="1" applyNumberFormat="1" applyFont="1" applyFill="1"/>
    <xf numFmtId="171" fontId="13" fillId="2" borderId="0" xfId="1" applyNumberFormat="1" applyFont="1" applyFill="1"/>
    <xf numFmtId="171" fontId="9" fillId="2" borderId="8" xfId="1" applyNumberFormat="1" applyFont="1" applyFill="1" applyBorder="1"/>
    <xf numFmtId="171" fontId="13" fillId="2" borderId="0" xfId="1" applyNumberFormat="1" applyFont="1" applyFill="1" applyBorder="1"/>
    <xf numFmtId="171" fontId="21" fillId="2" borderId="8" xfId="1" applyNumberFormat="1" applyFont="1" applyFill="1" applyBorder="1"/>
    <xf numFmtId="171" fontId="7" fillId="0" borderId="22" xfId="1" applyNumberFormat="1" applyFont="1" applyFill="1" applyBorder="1"/>
    <xf numFmtId="171" fontId="7" fillId="0" borderId="21" xfId="1" applyNumberFormat="1" applyFont="1" applyFill="1" applyBorder="1"/>
    <xf numFmtId="168" fontId="7" fillId="0" borderId="22" xfId="1" applyNumberFormat="1" applyFont="1" applyBorder="1"/>
    <xf numFmtId="169" fontId="7" fillId="8" borderId="3" xfId="1" applyNumberFormat="1" applyFont="1" applyFill="1" applyBorder="1"/>
    <xf numFmtId="171" fontId="21" fillId="0" borderId="8" xfId="1" applyNumberFormat="1" applyFont="1" applyBorder="1"/>
    <xf numFmtId="171" fontId="7" fillId="2" borderId="22" xfId="1" applyNumberFormat="1" applyFont="1" applyFill="1" applyBorder="1"/>
    <xf numFmtId="171" fontId="13" fillId="2" borderId="8" xfId="1" applyNumberFormat="1" applyFont="1" applyFill="1" applyBorder="1"/>
    <xf numFmtId="171" fontId="7" fillId="0" borderId="3" xfId="1" applyNumberFormat="1" applyFont="1" applyBorder="1"/>
    <xf numFmtId="171" fontId="9" fillId="0" borderId="32" xfId="1" applyNumberFormat="1" applyFont="1" applyFill="1" applyBorder="1"/>
    <xf numFmtId="171" fontId="9" fillId="0" borderId="22" xfId="1" applyNumberFormat="1" applyFont="1" applyFill="1" applyBorder="1"/>
    <xf numFmtId="171" fontId="13" fillId="0" borderId="23" xfId="1" applyNumberFormat="1" applyFont="1" applyFill="1" applyBorder="1"/>
    <xf numFmtId="171" fontId="13" fillId="0" borderId="32" xfId="1" applyNumberFormat="1" applyFont="1" applyFill="1" applyBorder="1"/>
    <xf numFmtId="171" fontId="13" fillId="0" borderId="22" xfId="1" applyNumberFormat="1" applyFont="1" applyFill="1" applyBorder="1"/>
    <xf numFmtId="169" fontId="7" fillId="0" borderId="22" xfId="1" applyNumberFormat="1" applyFont="1" applyBorder="1"/>
    <xf numFmtId="171" fontId="7" fillId="0" borderId="1" xfId="1" applyNumberFormat="1" applyFont="1" applyBorder="1"/>
    <xf numFmtId="171" fontId="9" fillId="0" borderId="2" xfId="1" applyNumberFormat="1" applyFont="1" applyBorder="1"/>
    <xf numFmtId="171" fontId="65" fillId="0" borderId="2" xfId="1" applyNumberFormat="1" applyFont="1" applyBorder="1"/>
    <xf numFmtId="171" fontId="9" fillId="0" borderId="7" xfId="1" applyNumberFormat="1" applyFont="1" applyBorder="1"/>
    <xf numFmtId="171" fontId="9" fillId="0" borderId="3" xfId="1" applyNumberFormat="1" applyFont="1" applyBorder="1"/>
    <xf numFmtId="171" fontId="9" fillId="0" borderId="3" xfId="1" applyNumberFormat="1" applyFont="1" applyFill="1" applyBorder="1"/>
    <xf numFmtId="171" fontId="9" fillId="0" borderId="5" xfId="1" applyNumberFormat="1" applyFont="1" applyBorder="1"/>
    <xf numFmtId="171" fontId="9" fillId="0" borderId="11" xfId="1" applyNumberFormat="1" applyFont="1" applyBorder="1"/>
    <xf numFmtId="171" fontId="9" fillId="0" borderId="1" xfId="1" applyNumberFormat="1" applyFont="1" applyBorder="1"/>
    <xf numFmtId="171" fontId="9" fillId="0" borderId="1" xfId="1" applyNumberFormat="1" applyFont="1" applyFill="1" applyBorder="1"/>
    <xf numFmtId="168" fontId="64" fillId="0" borderId="0" xfId="1" applyNumberFormat="1" applyFont="1"/>
    <xf numFmtId="170" fontId="64" fillId="0" borderId="0" xfId="1" applyNumberFormat="1" applyFont="1"/>
    <xf numFmtId="43" fontId="64" fillId="0" borderId="0" xfId="1" applyNumberFormat="1" applyFont="1" applyFill="1"/>
    <xf numFmtId="168" fontId="64" fillId="0" borderId="0" xfId="1" applyNumberFormat="1" applyFont="1" applyFill="1"/>
    <xf numFmtId="171" fontId="9" fillId="8" borderId="33" xfId="1" applyNumberFormat="1" applyFont="1" applyFill="1" applyBorder="1"/>
    <xf numFmtId="171" fontId="9" fillId="8" borderId="34" xfId="1" applyNumberFormat="1" applyFont="1" applyFill="1" applyBorder="1"/>
    <xf numFmtId="171" fontId="9" fillId="8" borderId="35" xfId="1" applyNumberFormat="1" applyFont="1" applyFill="1" applyBorder="1"/>
    <xf numFmtId="171" fontId="9" fillId="8" borderId="36" xfId="1" applyNumberFormat="1" applyFont="1" applyFill="1" applyBorder="1"/>
    <xf numFmtId="171" fontId="18" fillId="8" borderId="37" xfId="1" applyNumberFormat="1" applyFont="1" applyFill="1" applyBorder="1"/>
    <xf numFmtId="171" fontId="18" fillId="8" borderId="38" xfId="1" applyNumberFormat="1" applyFont="1" applyFill="1" applyBorder="1"/>
    <xf numFmtId="171" fontId="18" fillId="8" borderId="0" xfId="1" applyNumberFormat="1" applyFont="1" applyFill="1" applyBorder="1"/>
    <xf numFmtId="171" fontId="18" fillId="8" borderId="39" xfId="1" applyNumberFormat="1" applyFont="1" applyFill="1" applyBorder="1"/>
    <xf numFmtId="171" fontId="18" fillId="8" borderId="0" xfId="1" applyNumberFormat="1" applyFont="1" applyFill="1"/>
    <xf numFmtId="171" fontId="7" fillId="8" borderId="40" xfId="1" applyNumberFormat="1" applyFont="1" applyFill="1" applyBorder="1"/>
    <xf numFmtId="171" fontId="7" fillId="8" borderId="41" xfId="1" applyNumberFormat="1" applyFont="1" applyFill="1" applyBorder="1"/>
    <xf numFmtId="171" fontId="7" fillId="8" borderId="42" xfId="1" applyNumberFormat="1" applyFont="1" applyFill="1" applyBorder="1"/>
    <xf numFmtId="171" fontId="7" fillId="8" borderId="43" xfId="1" applyNumberFormat="1" applyFont="1" applyFill="1" applyBorder="1"/>
    <xf numFmtId="171" fontId="7" fillId="8" borderId="0" xfId="1" applyNumberFormat="1" applyFont="1" applyFill="1"/>
    <xf numFmtId="171" fontId="7" fillId="8" borderId="7" xfId="1" applyNumberFormat="1" applyFont="1" applyFill="1" applyBorder="1"/>
    <xf numFmtId="171" fontId="7" fillId="8" borderId="4" xfId="1" applyNumberFormat="1" applyFont="1" applyFill="1" applyBorder="1"/>
    <xf numFmtId="171" fontId="9" fillId="0" borderId="0" xfId="1" applyNumberFormat="1" applyFont="1" applyBorder="1"/>
    <xf numFmtId="171" fontId="9" fillId="8" borderId="0" xfId="1" applyNumberFormat="1" applyFont="1" applyFill="1" applyBorder="1"/>
    <xf numFmtId="171" fontId="7" fillId="8" borderId="9" xfId="1" applyNumberFormat="1" applyFont="1" applyFill="1" applyBorder="1"/>
    <xf numFmtId="171" fontId="7" fillId="8" borderId="0" xfId="1" applyNumberFormat="1" applyFont="1" applyFill="1" applyBorder="1"/>
    <xf numFmtId="171" fontId="7" fillId="0" borderId="0" xfId="1" applyNumberFormat="1" applyFont="1" applyBorder="1"/>
    <xf numFmtId="171" fontId="7" fillId="8" borderId="10" xfId="1" applyNumberFormat="1" applyFont="1" applyFill="1" applyBorder="1"/>
    <xf numFmtId="171" fontId="9" fillId="8" borderId="9" xfId="1" applyNumberFormat="1" applyFont="1" applyFill="1" applyBorder="1"/>
    <xf numFmtId="171" fontId="9" fillId="8" borderId="10" xfId="1" applyNumberFormat="1" applyFont="1" applyFill="1" applyBorder="1"/>
    <xf numFmtId="175" fontId="7" fillId="8" borderId="0" xfId="1" applyNumberFormat="1" applyFont="1" applyFill="1" applyBorder="1"/>
    <xf numFmtId="175" fontId="7" fillId="8" borderId="10" xfId="1" applyNumberFormat="1" applyFont="1" applyFill="1" applyBorder="1"/>
    <xf numFmtId="171" fontId="7" fillId="8" borderId="44" xfId="1" applyNumberFormat="1" applyFont="1" applyFill="1" applyBorder="1"/>
    <xf numFmtId="171" fontId="7" fillId="0" borderId="45" xfId="1" applyNumberFormat="1" applyFont="1" applyBorder="1"/>
    <xf numFmtId="175" fontId="7" fillId="8" borderId="45" xfId="1" applyNumberFormat="1" applyFont="1" applyFill="1" applyBorder="1"/>
    <xf numFmtId="175" fontId="7" fillId="8" borderId="46" xfId="1" applyNumberFormat="1" applyFont="1" applyFill="1" applyBorder="1"/>
    <xf numFmtId="171" fontId="7" fillId="8" borderId="33" xfId="1" applyNumberFormat="1" applyFont="1" applyFill="1" applyBorder="1"/>
    <xf numFmtId="171" fontId="9" fillId="8" borderId="37" xfId="1" applyNumberFormat="1" applyFont="1" applyFill="1" applyBorder="1"/>
    <xf numFmtId="171" fontId="9" fillId="8" borderId="38" xfId="1" applyNumberFormat="1" applyFont="1" applyFill="1" applyBorder="1"/>
    <xf numFmtId="171" fontId="9" fillId="8" borderId="39" xfId="1" applyNumberFormat="1" applyFont="1" applyFill="1" applyBorder="1"/>
    <xf numFmtId="171" fontId="9" fillId="8" borderId="40" xfId="1" applyNumberFormat="1" applyFont="1" applyFill="1" applyBorder="1"/>
    <xf numFmtId="171" fontId="9" fillId="8" borderId="41" xfId="1" applyNumberFormat="1" applyFont="1" applyFill="1" applyBorder="1"/>
    <xf numFmtId="171" fontId="9" fillId="8" borderId="42" xfId="1" applyNumberFormat="1" applyFont="1" applyFill="1" applyBorder="1"/>
    <xf numFmtId="171" fontId="9" fillId="8" borderId="43" xfId="1" applyNumberFormat="1" applyFont="1" applyFill="1" applyBorder="1"/>
    <xf numFmtId="171" fontId="7" fillId="5" borderId="12" xfId="1" applyNumberFormat="1" applyFont="1" applyFill="1" applyBorder="1"/>
    <xf numFmtId="171" fontId="9" fillId="5" borderId="47" xfId="1" applyNumberFormat="1" applyFont="1" applyFill="1" applyBorder="1"/>
    <xf numFmtId="171" fontId="9" fillId="5" borderId="13" xfId="1" applyNumberFormat="1" applyFont="1" applyFill="1" applyBorder="1"/>
    <xf numFmtId="171" fontId="9" fillId="5" borderId="48" xfId="1" applyNumberFormat="1" applyFont="1" applyFill="1" applyBorder="1"/>
    <xf numFmtId="171" fontId="9" fillId="5" borderId="49" xfId="1" applyNumberFormat="1" applyFont="1" applyFill="1" applyBorder="1"/>
    <xf numFmtId="171" fontId="9" fillId="5" borderId="50" xfId="1" applyNumberFormat="1" applyFont="1" applyFill="1" applyBorder="1"/>
    <xf numFmtId="171" fontId="9" fillId="5" borderId="51" xfId="1" applyNumberFormat="1" applyFont="1" applyFill="1" applyBorder="1"/>
    <xf numFmtId="171" fontId="13" fillId="5" borderId="0" xfId="1" applyNumberFormat="1" applyFont="1" applyFill="1" applyBorder="1"/>
    <xf numFmtId="171" fontId="9" fillId="5" borderId="52" xfId="1" applyNumberFormat="1" applyFont="1" applyFill="1" applyBorder="1"/>
    <xf numFmtId="171" fontId="13" fillId="5" borderId="53" xfId="1" applyNumberFormat="1" applyFont="1" applyFill="1" applyBorder="1"/>
    <xf numFmtId="171" fontId="13" fillId="5" borderId="54" xfId="1" applyNumberFormat="1" applyFont="1" applyFill="1" applyBorder="1"/>
    <xf numFmtId="171" fontId="9" fillId="5" borderId="55" xfId="1" applyNumberFormat="1" applyFont="1" applyFill="1" applyBorder="1"/>
    <xf numFmtId="171" fontId="13" fillId="5" borderId="14" xfId="1" applyNumberFormat="1" applyFont="1" applyFill="1" applyBorder="1"/>
    <xf numFmtId="171" fontId="13" fillId="5" borderId="55" xfId="1" applyNumberFormat="1" applyFont="1" applyFill="1" applyBorder="1"/>
    <xf numFmtId="171" fontId="66" fillId="5" borderId="0" xfId="1" applyNumberFormat="1" applyFont="1" applyFill="1" applyBorder="1"/>
    <xf numFmtId="171" fontId="9" fillId="5" borderId="53" xfId="1" applyNumberFormat="1" applyFont="1" applyFill="1" applyBorder="1"/>
    <xf numFmtId="171" fontId="9" fillId="5" borderId="54" xfId="1" applyNumberFormat="1" applyFont="1" applyFill="1" applyBorder="1"/>
    <xf numFmtId="10" fontId="66" fillId="5" borderId="0" xfId="2" applyNumberFormat="1" applyFont="1" applyFill="1" applyBorder="1"/>
    <xf numFmtId="10" fontId="13" fillId="5" borderId="0" xfId="2" applyNumberFormat="1" applyFont="1" applyFill="1" applyBorder="1"/>
    <xf numFmtId="10" fontId="9" fillId="5" borderId="14" xfId="2" applyNumberFormat="1" applyFont="1" applyFill="1" applyBorder="1"/>
    <xf numFmtId="10" fontId="13" fillId="5" borderId="55" xfId="2" applyNumberFormat="1" applyFont="1" applyFill="1" applyBorder="1"/>
    <xf numFmtId="10" fontId="13" fillId="5" borderId="53" xfId="2" applyNumberFormat="1" applyFont="1" applyFill="1" applyBorder="1"/>
    <xf numFmtId="10" fontId="13" fillId="5" borderId="54" xfId="2" applyNumberFormat="1" applyFont="1" applyFill="1" applyBorder="1"/>
    <xf numFmtId="10" fontId="13" fillId="5" borderId="14" xfId="2" applyNumberFormat="1" applyFont="1" applyFill="1" applyBorder="1"/>
    <xf numFmtId="10" fontId="9" fillId="5" borderId="0" xfId="2" applyNumberFormat="1" applyFont="1" applyFill="1" applyBorder="1"/>
    <xf numFmtId="171" fontId="9" fillId="5" borderId="56" xfId="1" applyNumberFormat="1" applyFont="1" applyFill="1" applyBorder="1"/>
    <xf numFmtId="171" fontId="9" fillId="5" borderId="57" xfId="1" applyNumberFormat="1" applyFont="1" applyFill="1" applyBorder="1"/>
    <xf numFmtId="171" fontId="66" fillId="5" borderId="16" xfId="1" applyNumberFormat="1" applyFont="1" applyFill="1" applyBorder="1"/>
    <xf numFmtId="171" fontId="9" fillId="5" borderId="58" xfId="1" applyNumberFormat="1" applyFont="1" applyFill="1" applyBorder="1"/>
    <xf numFmtId="171" fontId="9" fillId="5" borderId="59" xfId="1" applyNumberFormat="1" applyFont="1" applyFill="1" applyBorder="1"/>
    <xf numFmtId="171" fontId="9" fillId="5" borderId="60" xfId="1" applyNumberFormat="1" applyFont="1" applyFill="1" applyBorder="1"/>
    <xf numFmtId="171" fontId="7" fillId="8" borderId="34" xfId="1" applyNumberFormat="1" applyFont="1" applyFill="1" applyBorder="1"/>
    <xf numFmtId="171" fontId="7" fillId="8" borderId="35" xfId="1" applyNumberFormat="1" applyFont="1" applyFill="1" applyBorder="1"/>
    <xf numFmtId="171" fontId="7" fillId="8" borderId="36" xfId="1" applyNumberFormat="1" applyFont="1" applyFill="1" applyBorder="1"/>
    <xf numFmtId="9" fontId="13" fillId="8" borderId="0" xfId="2" applyFont="1" applyFill="1" applyBorder="1"/>
    <xf numFmtId="9" fontId="13" fillId="8" borderId="38" xfId="2" applyFont="1" applyFill="1" applyBorder="1"/>
    <xf numFmtId="175" fontId="13" fillId="8" borderId="0" xfId="1" applyNumberFormat="1" applyFont="1" applyFill="1" applyBorder="1"/>
    <xf numFmtId="175" fontId="13" fillId="8" borderId="38" xfId="1" applyNumberFormat="1" applyFont="1" applyFill="1" applyBorder="1"/>
    <xf numFmtId="175" fontId="9" fillId="8" borderId="43" xfId="1" applyNumberFormat="1" applyFont="1" applyFill="1" applyBorder="1"/>
    <xf numFmtId="3" fontId="9" fillId="8" borderId="0" xfId="2" applyNumberFormat="1" applyFont="1" applyFill="1" applyBorder="1"/>
    <xf numFmtId="3" fontId="9" fillId="8" borderId="38" xfId="1" applyNumberFormat="1" applyFont="1" applyFill="1" applyBorder="1"/>
    <xf numFmtId="3" fontId="9" fillId="8" borderId="38" xfId="2" applyNumberFormat="1" applyFont="1" applyFill="1" applyBorder="1"/>
    <xf numFmtId="3" fontId="13" fillId="8" borderId="0" xfId="2" applyNumberFormat="1" applyFont="1" applyFill="1" applyBorder="1"/>
    <xf numFmtId="168" fontId="9" fillId="8" borderId="42" xfId="1" applyNumberFormat="1" applyFont="1" applyFill="1" applyBorder="1"/>
    <xf numFmtId="176" fontId="9" fillId="8" borderId="42" xfId="1" applyNumberFormat="1" applyFont="1" applyFill="1" applyBorder="1"/>
    <xf numFmtId="168" fontId="9" fillId="8" borderId="41" xfId="1" applyNumberFormat="1" applyFont="1" applyFill="1" applyBorder="1"/>
    <xf numFmtId="171" fontId="9" fillId="0" borderId="0" xfId="1" quotePrefix="1" applyNumberFormat="1" applyFont="1"/>
    <xf numFmtId="168" fontId="9" fillId="8" borderId="0" xfId="1" applyNumberFormat="1" applyFont="1" applyFill="1" applyBorder="1"/>
    <xf numFmtId="10" fontId="0" fillId="0" borderId="0" xfId="2" applyNumberFormat="1" applyFont="1"/>
    <xf numFmtId="171" fontId="12" fillId="6" borderId="61" xfId="4" applyNumberFormat="1" applyFont="1" applyFill="1" applyBorder="1" applyAlignment="1">
      <alignment horizontal="left"/>
    </xf>
    <xf numFmtId="0" fontId="12" fillId="6" borderId="0" xfId="4" quotePrefix="1" applyNumberFormat="1" applyFont="1" applyFill="1" applyBorder="1" applyAlignment="1">
      <alignment horizontal="right"/>
    </xf>
    <xf numFmtId="171" fontId="12" fillId="6" borderId="0" xfId="4" applyNumberFormat="1" applyFont="1" applyFill="1" applyBorder="1" applyAlignment="1">
      <alignment horizontal="left"/>
    </xf>
    <xf numFmtId="171" fontId="2" fillId="0" borderId="0" xfId="4" applyNumberFormat="1" applyFont="1"/>
    <xf numFmtId="171" fontId="53" fillId="11" borderId="61" xfId="4" applyNumberFormat="1" applyFont="1" applyFill="1" applyBorder="1"/>
    <xf numFmtId="171" fontId="53" fillId="11" borderId="62" xfId="4" applyNumberFormat="1" applyFont="1" applyFill="1" applyBorder="1"/>
    <xf numFmtId="171" fontId="53" fillId="11" borderId="63" xfId="4" applyNumberFormat="1" applyFont="1" applyFill="1" applyBorder="1"/>
    <xf numFmtId="171" fontId="2" fillId="2" borderId="64" xfId="4" applyNumberFormat="1" applyFont="1" applyFill="1" applyBorder="1" applyAlignment="1">
      <alignment horizontal="left" indent="1"/>
    </xf>
    <xf numFmtId="171" fontId="2" fillId="0" borderId="10" xfId="4" applyNumberFormat="1" applyFont="1" applyBorder="1" applyAlignment="1">
      <alignment horizontal="left" indent="1"/>
    </xf>
    <xf numFmtId="171" fontId="2" fillId="2" borderId="0" xfId="4" applyNumberFormat="1" applyFont="1" applyFill="1" applyBorder="1"/>
    <xf numFmtId="171" fontId="2" fillId="2" borderId="10" xfId="4" applyNumberFormat="1" applyFont="1" applyFill="1" applyBorder="1"/>
    <xf numFmtId="171" fontId="28" fillId="2" borderId="64" xfId="4" applyNumberFormat="1" applyFont="1" applyFill="1" applyBorder="1" applyAlignment="1">
      <alignment horizontal="left" indent="2"/>
    </xf>
    <xf numFmtId="171" fontId="2" fillId="2" borderId="10" xfId="4" applyNumberFormat="1" applyFont="1" applyFill="1" applyBorder="1" applyAlignment="1">
      <alignment horizontal="left" indent="1"/>
    </xf>
    <xf numFmtId="9" fontId="28" fillId="2" borderId="0" xfId="4" applyNumberFormat="1" applyFont="1" applyFill="1" applyBorder="1"/>
    <xf numFmtId="9" fontId="68" fillId="2" borderId="0" xfId="4" applyNumberFormat="1" applyFont="1" applyFill="1" applyBorder="1"/>
    <xf numFmtId="9" fontId="68" fillId="16" borderId="0" xfId="4" applyNumberFormat="1" applyFont="1" applyFill="1" applyBorder="1"/>
    <xf numFmtId="171" fontId="2" fillId="2" borderId="0" xfId="4" applyNumberFormat="1" applyFont="1" applyFill="1"/>
    <xf numFmtId="171" fontId="53" fillId="2" borderId="0" xfId="4" applyNumberFormat="1" applyFont="1" applyFill="1" applyBorder="1"/>
    <xf numFmtId="171" fontId="53" fillId="2" borderId="64" xfId="4" applyNumberFormat="1" applyFont="1" applyFill="1" applyBorder="1" applyAlignment="1">
      <alignment horizontal="left" indent="1"/>
    </xf>
    <xf numFmtId="171" fontId="2" fillId="0" borderId="0" xfId="4" applyNumberFormat="1" applyFont="1" applyFill="1"/>
    <xf numFmtId="171" fontId="53" fillId="0" borderId="61" xfId="4" applyNumberFormat="1" applyFont="1" applyBorder="1"/>
    <xf numFmtId="171" fontId="53" fillId="0" borderId="63" xfId="4" applyNumberFormat="1" applyFont="1" applyBorder="1"/>
    <xf numFmtId="171" fontId="53" fillId="0" borderId="62" xfId="4" applyNumberFormat="1" applyFont="1" applyBorder="1"/>
    <xf numFmtId="171" fontId="28" fillId="0" borderId="11" xfId="4" applyNumberFormat="1" applyFont="1" applyBorder="1"/>
    <xf numFmtId="171" fontId="28" fillId="0" borderId="46" xfId="4" applyNumberFormat="1" applyFont="1" applyBorder="1"/>
    <xf numFmtId="9" fontId="28" fillId="0" borderId="45" xfId="5" applyFont="1" applyBorder="1"/>
    <xf numFmtId="9" fontId="28" fillId="0" borderId="46" xfId="5" applyFont="1" applyBorder="1"/>
    <xf numFmtId="171" fontId="0" fillId="0" borderId="0" xfId="4" applyNumberFormat="1" applyFont="1" applyFill="1"/>
    <xf numFmtId="171" fontId="0" fillId="0" borderId="0" xfId="4" applyNumberFormat="1" applyFont="1" applyBorder="1"/>
    <xf numFmtId="171" fontId="0" fillId="0" borderId="0" xfId="4" applyNumberFormat="1" applyFont="1"/>
    <xf numFmtId="171" fontId="0" fillId="11" borderId="62" xfId="4" applyNumberFormat="1" applyFont="1" applyFill="1" applyBorder="1"/>
    <xf numFmtId="171" fontId="0" fillId="11" borderId="63" xfId="4" applyNumberFormat="1" applyFont="1" applyFill="1" applyBorder="1"/>
    <xf numFmtId="171" fontId="0" fillId="0" borderId="64" xfId="4" applyNumberFormat="1" applyFont="1" applyBorder="1"/>
    <xf numFmtId="171" fontId="0" fillId="0" borderId="10" xfId="4" applyNumberFormat="1" applyFont="1" applyBorder="1"/>
    <xf numFmtId="171" fontId="53" fillId="0" borderId="11" xfId="4" applyNumberFormat="1" applyFont="1" applyBorder="1"/>
    <xf numFmtId="171" fontId="0" fillId="0" borderId="45" xfId="4" applyNumberFormat="1" applyFont="1" applyBorder="1"/>
    <xf numFmtId="171" fontId="0" fillId="0" borderId="46" xfId="4" applyNumberFormat="1" applyFont="1" applyBorder="1"/>
    <xf numFmtId="171" fontId="2" fillId="0" borderId="64" xfId="4" applyNumberFormat="1" applyFont="1" applyBorder="1"/>
    <xf numFmtId="171" fontId="2" fillId="0" borderId="10" xfId="4" applyNumberFormat="1" applyFont="1" applyBorder="1"/>
    <xf numFmtId="9" fontId="2" fillId="0" borderId="0" xfId="5" applyFont="1" applyBorder="1"/>
    <xf numFmtId="9" fontId="2" fillId="0" borderId="0" xfId="5" applyNumberFormat="1" applyFont="1" applyBorder="1"/>
    <xf numFmtId="9" fontId="69" fillId="0" borderId="0" xfId="5" applyFont="1" applyBorder="1"/>
    <xf numFmtId="9" fontId="69" fillId="0" borderId="10" xfId="5" applyFont="1" applyBorder="1"/>
    <xf numFmtId="9" fontId="69" fillId="0" borderId="0" xfId="5" applyNumberFormat="1" applyFont="1" applyBorder="1"/>
    <xf numFmtId="9" fontId="69" fillId="0" borderId="10" xfId="5" applyNumberFormat="1" applyFont="1" applyBorder="1"/>
    <xf numFmtId="9" fontId="2" fillId="0" borderId="10" xfId="5" applyFont="1" applyBorder="1"/>
    <xf numFmtId="171" fontId="2" fillId="0" borderId="11" xfId="4" applyNumberFormat="1" applyFont="1" applyBorder="1"/>
    <xf numFmtId="171" fontId="2" fillId="0" borderId="46" xfId="4" applyNumberFormat="1" applyFont="1" applyBorder="1"/>
    <xf numFmtId="9" fontId="2" fillId="0" borderId="45" xfId="5" applyFont="1" applyBorder="1"/>
    <xf numFmtId="9" fontId="2" fillId="0" borderId="46" xfId="5" applyFont="1" applyBorder="1"/>
    <xf numFmtId="171" fontId="2" fillId="0" borderId="0" xfId="4" applyNumberFormat="1" applyFont="1" applyBorder="1"/>
    <xf numFmtId="171" fontId="70" fillId="0" borderId="64" xfId="4" applyNumberFormat="1" applyFont="1" applyBorder="1"/>
    <xf numFmtId="171" fontId="70" fillId="0" borderId="10" xfId="4" applyNumberFormat="1" applyFont="1" applyBorder="1"/>
    <xf numFmtId="171" fontId="70" fillId="0" borderId="0" xfId="4" applyNumberFormat="1" applyFont="1" applyBorder="1"/>
    <xf numFmtId="171" fontId="53" fillId="0" borderId="64" xfId="4" applyNumberFormat="1" applyFont="1" applyBorder="1"/>
    <xf numFmtId="171" fontId="53" fillId="0" borderId="10" xfId="4" applyNumberFormat="1" applyFont="1" applyBorder="1"/>
    <xf numFmtId="171" fontId="53" fillId="0" borderId="0" xfId="4" applyNumberFormat="1" applyFont="1" applyBorder="1"/>
    <xf numFmtId="171" fontId="28" fillId="0" borderId="64" xfId="4" applyNumberFormat="1" applyFont="1" applyBorder="1"/>
    <xf numFmtId="171" fontId="28" fillId="0" borderId="10" xfId="4" applyNumberFormat="1" applyFont="1" applyBorder="1"/>
    <xf numFmtId="9" fontId="28" fillId="0" borderId="0" xfId="5" applyFont="1" applyBorder="1"/>
    <xf numFmtId="9" fontId="71" fillId="0" borderId="0" xfId="5" applyFont="1" applyBorder="1"/>
    <xf numFmtId="9" fontId="71" fillId="0" borderId="10" xfId="5" applyFont="1" applyBorder="1"/>
    <xf numFmtId="171" fontId="2" fillId="2" borderId="64" xfId="4" applyNumberFormat="1" applyFont="1" applyFill="1" applyBorder="1"/>
    <xf numFmtId="171" fontId="2" fillId="0" borderId="0" xfId="4" applyNumberFormat="1" applyFont="1" applyFill="1" applyBorder="1"/>
    <xf numFmtId="171" fontId="72" fillId="0" borderId="0" xfId="4" applyNumberFormat="1" applyFont="1" applyFill="1" applyBorder="1"/>
    <xf numFmtId="171" fontId="72" fillId="0" borderId="0" xfId="4" applyNumberFormat="1" applyFont="1" applyBorder="1"/>
    <xf numFmtId="171" fontId="53" fillId="0" borderId="65" xfId="4" applyNumberFormat="1" applyFont="1" applyBorder="1"/>
    <xf numFmtId="171" fontId="2" fillId="0" borderId="66" xfId="4" applyNumberFormat="1" applyFont="1" applyBorder="1"/>
    <xf numFmtId="171" fontId="53" fillId="0" borderId="67" xfId="4" applyNumberFormat="1" applyFont="1" applyFill="1" applyBorder="1"/>
    <xf numFmtId="171" fontId="2" fillId="0" borderId="62" xfId="4" applyNumberFormat="1" applyFont="1" applyBorder="1"/>
    <xf numFmtId="171" fontId="53" fillId="0" borderId="62" xfId="4" applyNumberFormat="1" applyFont="1" applyFill="1" applyBorder="1"/>
    <xf numFmtId="171" fontId="2" fillId="0" borderId="63" xfId="4" applyNumberFormat="1" applyFont="1" applyBorder="1"/>
    <xf numFmtId="171" fontId="2" fillId="0" borderId="61" xfId="4" applyNumberFormat="1" applyFont="1" applyBorder="1"/>
    <xf numFmtId="171" fontId="2" fillId="0" borderId="62" xfId="4" applyNumberFormat="1" applyFont="1" applyFill="1" applyBorder="1"/>
    <xf numFmtId="171" fontId="72" fillId="0" borderId="62" xfId="4" applyNumberFormat="1" applyFont="1" applyFill="1" applyBorder="1"/>
    <xf numFmtId="171" fontId="2" fillId="0" borderId="45" xfId="4" applyNumberFormat="1" applyFont="1" applyBorder="1"/>
    <xf numFmtId="171" fontId="2" fillId="0" borderId="45" xfId="4" applyNumberFormat="1" applyFont="1" applyFill="1" applyBorder="1"/>
    <xf numFmtId="43" fontId="2" fillId="0" borderId="0" xfId="4" applyNumberFormat="1" applyFont="1" applyBorder="1"/>
    <xf numFmtId="43" fontId="2" fillId="0" borderId="10" xfId="4" applyNumberFormat="1" applyFont="1" applyBorder="1"/>
    <xf numFmtId="171" fontId="53" fillId="0" borderId="66" xfId="4" applyNumberFormat="1" applyFont="1" applyBorder="1"/>
    <xf numFmtId="171" fontId="53" fillId="0" borderId="67" xfId="4" applyNumberFormat="1" applyFont="1" applyBorder="1"/>
    <xf numFmtId="164" fontId="69" fillId="0" borderId="10" xfId="5" applyNumberFormat="1" applyFont="1" applyBorder="1" applyAlignment="1">
      <alignment horizontal="right"/>
    </xf>
    <xf numFmtId="9" fontId="69" fillId="0" borderId="10" xfId="5" applyFont="1" applyBorder="1" applyAlignment="1">
      <alignment horizontal="right"/>
    </xf>
    <xf numFmtId="171" fontId="53" fillId="2" borderId="64" xfId="4" applyNumberFormat="1" applyFont="1" applyFill="1" applyBorder="1"/>
    <xf numFmtId="171" fontId="53" fillId="2" borderId="11" xfId="4" applyNumberFormat="1" applyFont="1" applyFill="1" applyBorder="1"/>
    <xf numFmtId="9" fontId="17" fillId="2" borderId="68" xfId="7" applyFont="1" applyFill="1" applyBorder="1"/>
    <xf numFmtId="9" fontId="2" fillId="0" borderId="0" xfId="5" applyFont="1"/>
    <xf numFmtId="9" fontId="69" fillId="0" borderId="0" xfId="5" applyFont="1" applyBorder="1" applyAlignment="1">
      <alignment horizontal="right"/>
    </xf>
    <xf numFmtId="43" fontId="2" fillId="0" borderId="0" xfId="4" applyNumberFormat="1" applyFont="1"/>
    <xf numFmtId="171" fontId="73" fillId="14" borderId="11" xfId="4" applyNumberFormat="1" applyFont="1" applyFill="1" applyBorder="1"/>
    <xf numFmtId="43" fontId="73" fillId="14" borderId="46" xfId="4" applyFont="1" applyFill="1" applyBorder="1"/>
    <xf numFmtId="171" fontId="53" fillId="16" borderId="69" xfId="4" applyNumberFormat="1" applyFont="1" applyFill="1" applyBorder="1"/>
    <xf numFmtId="171" fontId="2" fillId="16" borderId="70" xfId="4" applyNumberFormat="1" applyFont="1" applyFill="1" applyBorder="1"/>
    <xf numFmtId="171" fontId="2" fillId="16" borderId="71" xfId="4" applyNumberFormat="1" applyFont="1" applyFill="1" applyBorder="1"/>
    <xf numFmtId="171" fontId="2" fillId="16" borderId="27" xfId="4" applyNumberFormat="1" applyFont="1" applyFill="1" applyBorder="1"/>
    <xf numFmtId="171" fontId="2" fillId="16" borderId="0" xfId="4" applyNumberFormat="1" applyFont="1" applyFill="1" applyBorder="1"/>
    <xf numFmtId="171" fontId="2" fillId="16" borderId="28" xfId="4" applyNumberFormat="1" applyFont="1" applyFill="1" applyBorder="1"/>
    <xf numFmtId="171" fontId="70" fillId="16" borderId="27" xfId="4" applyNumberFormat="1" applyFont="1" applyFill="1" applyBorder="1"/>
    <xf numFmtId="171" fontId="70" fillId="16" borderId="0" xfId="4" applyNumberFormat="1" applyFont="1" applyFill="1" applyBorder="1"/>
    <xf numFmtId="171" fontId="70" fillId="16" borderId="28" xfId="4" applyNumberFormat="1" applyFont="1" applyFill="1" applyBorder="1"/>
    <xf numFmtId="8" fontId="2" fillId="16" borderId="28" xfId="4" applyNumberFormat="1" applyFont="1" applyFill="1" applyBorder="1"/>
    <xf numFmtId="171" fontId="53" fillId="16" borderId="29" xfId="4" applyNumberFormat="1" applyFont="1" applyFill="1" applyBorder="1"/>
    <xf numFmtId="171" fontId="2" fillId="16" borderId="30" xfId="4" applyNumberFormat="1" applyFont="1" applyFill="1" applyBorder="1"/>
    <xf numFmtId="164" fontId="53" fillId="16" borderId="72" xfId="4" applyNumberFormat="1" applyFont="1" applyFill="1" applyBorder="1"/>
    <xf numFmtId="171" fontId="9" fillId="10" borderId="0" xfId="1" applyNumberFormat="1" applyFont="1" applyFill="1" applyBorder="1"/>
    <xf numFmtId="171" fontId="9" fillId="10" borderId="38" xfId="1" applyNumberFormat="1" applyFont="1" applyFill="1" applyBorder="1"/>
    <xf numFmtId="175" fontId="17" fillId="2" borderId="55" xfId="6" applyNumberFormat="1" applyFont="1" applyFill="1" applyBorder="1"/>
    <xf numFmtId="0" fontId="1" fillId="36" borderId="0" xfId="446" applyFill="1"/>
    <xf numFmtId="0" fontId="1" fillId="0" borderId="24" xfId="446" applyFill="1" applyBorder="1"/>
    <xf numFmtId="0" fontId="1" fillId="0" borderId="25" xfId="446" applyFill="1" applyBorder="1"/>
    <xf numFmtId="0" fontId="1" fillId="0" borderId="26" xfId="446" applyFill="1" applyBorder="1"/>
    <xf numFmtId="0" fontId="1" fillId="0" borderId="27" xfId="446" applyFill="1" applyBorder="1"/>
    <xf numFmtId="0" fontId="1" fillId="0" borderId="0" xfId="446" applyFill="1" applyBorder="1"/>
    <xf numFmtId="0" fontId="1" fillId="0" borderId="28" xfId="446" applyFill="1" applyBorder="1"/>
    <xf numFmtId="0" fontId="173" fillId="0" borderId="0" xfId="446" applyFont="1" applyFill="1" applyBorder="1" applyAlignment="1">
      <alignment horizontal="center" vertical="center" wrapText="1"/>
    </xf>
    <xf numFmtId="0" fontId="173" fillId="37" borderId="0" xfId="446" applyFont="1" applyFill="1" applyBorder="1" applyAlignment="1">
      <alignment horizontal="center"/>
    </xf>
    <xf numFmtId="0" fontId="173" fillId="0" borderId="0" xfId="446" applyFont="1" applyFill="1" applyBorder="1" applyAlignment="1">
      <alignment horizontal="center"/>
    </xf>
    <xf numFmtId="0" fontId="175" fillId="0" borderId="0" xfId="447" applyFont="1" applyFill="1" applyBorder="1" applyAlignment="1"/>
    <xf numFmtId="0" fontId="174" fillId="0" borderId="0" xfId="447" applyFill="1" applyBorder="1"/>
    <xf numFmtId="0" fontId="176" fillId="0" borderId="0" xfId="447" applyFont="1" applyFill="1" applyBorder="1"/>
    <xf numFmtId="0" fontId="176" fillId="0" borderId="0" xfId="447" applyFont="1" applyFill="1" applyBorder="1" applyAlignment="1"/>
    <xf numFmtId="0" fontId="172" fillId="0" borderId="27" xfId="446" applyFont="1" applyFill="1" applyBorder="1" applyAlignment="1">
      <alignment wrapText="1"/>
    </xf>
    <xf numFmtId="0" fontId="172" fillId="0" borderId="0" xfId="446" applyFont="1" applyFill="1" applyBorder="1" applyAlignment="1">
      <alignment wrapText="1"/>
    </xf>
    <xf numFmtId="0" fontId="174" fillId="0" borderId="0" xfId="447" applyFill="1" applyBorder="1" applyAlignment="1">
      <alignment wrapText="1"/>
    </xf>
    <xf numFmtId="0" fontId="1" fillId="0" borderId="29" xfId="446" applyFill="1" applyBorder="1"/>
    <xf numFmtId="0" fontId="1" fillId="0" borderId="30" xfId="446" applyFill="1" applyBorder="1"/>
    <xf numFmtId="0" fontId="1" fillId="0" borderId="31" xfId="446" applyFill="1" applyBorder="1"/>
    <xf numFmtId="43" fontId="20" fillId="2" borderId="0" xfId="1" applyFont="1" applyFill="1" applyBorder="1" applyAlignment="1">
      <alignment horizontal="center"/>
    </xf>
    <xf numFmtId="43" fontId="20" fillId="2" borderId="28" xfId="1" applyFont="1" applyFill="1" applyBorder="1" applyAlignment="1">
      <alignment horizontal="center"/>
    </xf>
    <xf numFmtId="0" fontId="173" fillId="0" borderId="0" xfId="446" applyFont="1" applyFill="1" applyBorder="1" applyAlignment="1">
      <alignment horizontal="center" vertical="center" wrapText="1"/>
    </xf>
    <xf numFmtId="43" fontId="12" fillId="6" borderId="2" xfId="1" applyFont="1" applyFill="1" applyBorder="1" applyAlignment="1">
      <alignment horizontal="center" wrapText="1"/>
    </xf>
    <xf numFmtId="43" fontId="12" fillId="6" borderId="5" xfId="1" applyFont="1" applyFill="1" applyBorder="1" applyAlignment="1">
      <alignment horizontal="center" wrapText="1"/>
    </xf>
    <xf numFmtId="0" fontId="177" fillId="0" borderId="0" xfId="447" applyFont="1" applyFill="1" applyBorder="1" applyAlignment="1"/>
  </cellXfs>
  <cellStyles count="448">
    <cellStyle name="_6.9.2003 Revised Sales Forecasts to CSFB" xfId="16" xr:uid="{00000000-0005-0000-0000-000000000000}"/>
    <cellStyle name="_BMY_model" xfId="17" xr:uid="{00000000-0005-0000-0000-000001000000}"/>
    <cellStyle name="_BMY_model_client_101008" xfId="18" xr:uid="{00000000-0005-0000-0000-000002000000}"/>
    <cellStyle name="_CEPH Catalysts" xfId="19" xr:uid="{00000000-0005-0000-0000-000003000000}"/>
    <cellStyle name="_Cialis Income Statement and Cash Flow" xfId="20" xr:uid="{00000000-0005-0000-0000-000004000000}"/>
    <cellStyle name="_Doryx by Dose" xfId="21" xr:uid="{00000000-0005-0000-0000-000005000000}"/>
    <cellStyle name="_IMS Data" xfId="22" xr:uid="{00000000-0005-0000-0000-000006000000}"/>
    <cellStyle name="_LLY_model" xfId="23" xr:uid="{00000000-0005-0000-0000-000007000000}"/>
    <cellStyle name="_PFE_model_client_010609" xfId="24" xr:uid="{00000000-0005-0000-0000-000008000000}"/>
    <cellStyle name="******************************************" xfId="15" xr:uid="{00000000-0005-0000-0000-000009000000}"/>
    <cellStyle name="$" xfId="8" xr:uid="{00000000-0005-0000-0000-00000A000000}"/>
    <cellStyle name="$m" xfId="9" xr:uid="{00000000-0005-0000-0000-00000B000000}"/>
    <cellStyle name="$q" xfId="10" xr:uid="{00000000-0005-0000-0000-00000C000000}"/>
    <cellStyle name="$q*" xfId="11" xr:uid="{00000000-0005-0000-0000-00000D000000}"/>
    <cellStyle name="$qA" xfId="12" xr:uid="{00000000-0005-0000-0000-00000E000000}"/>
    <cellStyle name="$qRange" xfId="13" xr:uid="{00000000-0005-0000-0000-00000F000000}"/>
    <cellStyle name="$sign" xfId="14" xr:uid="{00000000-0005-0000-0000-000010000000}"/>
    <cellStyle name="0.0 x" xfId="28" xr:uid="{00000000-0005-0000-0000-000011000000}"/>
    <cellStyle name="000" xfId="29" xr:uid="{00000000-0005-0000-0000-000012000000}"/>
    <cellStyle name="1,comma" xfId="30" xr:uid="{00000000-0005-0000-0000-000013000000}"/>
    <cellStyle name="a" xfId="31" xr:uid="{00000000-0005-0000-0000-000014000000}"/>
    <cellStyle name="AFE" xfId="32" xr:uid="{00000000-0005-0000-0000-000015000000}"/>
    <cellStyle name="Arial 10" xfId="33" xr:uid="{00000000-0005-0000-0000-000016000000}"/>
    <cellStyle name="Arial 12" xfId="34" xr:uid="{00000000-0005-0000-0000-000017000000}"/>
    <cellStyle name="ArialNormal" xfId="35" xr:uid="{00000000-0005-0000-0000-000018000000}"/>
    <cellStyle name="BalanceSheet" xfId="36" xr:uid="{00000000-0005-0000-0000-000019000000}"/>
    <cellStyle name="BLACK" xfId="37" xr:uid="{00000000-0005-0000-0000-00001A000000}"/>
    <cellStyle name="BlackStrike" xfId="38" xr:uid="{00000000-0005-0000-0000-00001B000000}"/>
    <cellStyle name="BlackText" xfId="39" xr:uid="{00000000-0005-0000-0000-00001C000000}"/>
    <cellStyle name="Blank" xfId="40" xr:uid="{00000000-0005-0000-0000-00001D000000}"/>
    <cellStyle name="Blue" xfId="41" xr:uid="{00000000-0005-0000-0000-00001E000000}"/>
    <cellStyle name="blue$00" xfId="42" xr:uid="{00000000-0005-0000-0000-00001F000000}"/>
    <cellStyle name="BoldText" xfId="43" xr:uid="{00000000-0005-0000-0000-000020000000}"/>
    <cellStyle name="Border Heavy" xfId="44" xr:uid="{00000000-0005-0000-0000-000021000000}"/>
    <cellStyle name="Border Thin" xfId="45" xr:uid="{00000000-0005-0000-0000-000022000000}"/>
    <cellStyle name="BRACKET" xfId="46" xr:uid="{00000000-0005-0000-0000-000023000000}"/>
    <cellStyle name="British Pound" xfId="47" xr:uid="{00000000-0005-0000-0000-000024000000}"/>
    <cellStyle name="Calc Currency (0)" xfId="48" xr:uid="{00000000-0005-0000-0000-000025000000}"/>
    <cellStyle name="Calc Currency (2)" xfId="49" xr:uid="{00000000-0005-0000-0000-000026000000}"/>
    <cellStyle name="Calc Percent (0)" xfId="50" xr:uid="{00000000-0005-0000-0000-000027000000}"/>
    <cellStyle name="Calc Percent (1)" xfId="51" xr:uid="{00000000-0005-0000-0000-000028000000}"/>
    <cellStyle name="Calc Percent (2)" xfId="52" xr:uid="{00000000-0005-0000-0000-000029000000}"/>
    <cellStyle name="Calc Units (0)" xfId="53" xr:uid="{00000000-0005-0000-0000-00002A000000}"/>
    <cellStyle name="Calc Units (1)" xfId="54" xr:uid="{00000000-0005-0000-0000-00002B000000}"/>
    <cellStyle name="Calc Units (2)" xfId="55" xr:uid="{00000000-0005-0000-0000-00002C000000}"/>
    <cellStyle name="Case" xfId="56" xr:uid="{00000000-0005-0000-0000-00002D000000}"/>
    <cellStyle name="Cash Flow Statement" xfId="57" xr:uid="{00000000-0005-0000-0000-00002E000000}"/>
    <cellStyle name="CashFlow" xfId="58" xr:uid="{00000000-0005-0000-0000-00002F000000}"/>
    <cellStyle name="Changeable" xfId="59" xr:uid="{00000000-0005-0000-0000-000030000000}"/>
    <cellStyle name="Colhead_left" xfId="60" xr:uid="{00000000-0005-0000-0000-000031000000}"/>
    <cellStyle name="ColHeading" xfId="61" xr:uid="{00000000-0005-0000-0000-000032000000}"/>
    <cellStyle name="colheadleft" xfId="62" xr:uid="{00000000-0005-0000-0000-000033000000}"/>
    <cellStyle name="colheadright" xfId="63" xr:uid="{00000000-0005-0000-0000-000034000000}"/>
    <cellStyle name="Comma" xfId="1" builtinId="3"/>
    <cellStyle name="Comma  - Style1" xfId="64" xr:uid="{00000000-0005-0000-0000-000036000000}"/>
    <cellStyle name="Comma  - Style2" xfId="65" xr:uid="{00000000-0005-0000-0000-000037000000}"/>
    <cellStyle name="Comma  - Style3" xfId="66" xr:uid="{00000000-0005-0000-0000-000038000000}"/>
    <cellStyle name="Comma  - Style4" xfId="67" xr:uid="{00000000-0005-0000-0000-000039000000}"/>
    <cellStyle name="Comma  - Style5" xfId="68" xr:uid="{00000000-0005-0000-0000-00003A000000}"/>
    <cellStyle name="Comma  - Style6" xfId="69" xr:uid="{00000000-0005-0000-0000-00003B000000}"/>
    <cellStyle name="Comma  - Style7" xfId="70" xr:uid="{00000000-0005-0000-0000-00003C000000}"/>
    <cellStyle name="Comma  - Style8" xfId="71" xr:uid="{00000000-0005-0000-0000-00003D000000}"/>
    <cellStyle name="comma (1)" xfId="72" xr:uid="{00000000-0005-0000-0000-00003E000000}"/>
    <cellStyle name="Comma [00]" xfId="73" xr:uid="{00000000-0005-0000-0000-00003F000000}"/>
    <cellStyle name="Comma [1]" xfId="74" xr:uid="{00000000-0005-0000-0000-000040000000}"/>
    <cellStyle name="Comma 0" xfId="75" xr:uid="{00000000-0005-0000-0000-000041000000}"/>
    <cellStyle name="Comma 2" xfId="76" xr:uid="{00000000-0005-0000-0000-000042000000}"/>
    <cellStyle name="Comma 23 2 2 2" xfId="77" xr:uid="{00000000-0005-0000-0000-000043000000}"/>
    <cellStyle name="Comma 3" xfId="6" xr:uid="{00000000-0005-0000-0000-000044000000}"/>
    <cellStyle name="Comma 3 2" xfId="78" xr:uid="{00000000-0005-0000-0000-000045000000}"/>
    <cellStyle name="Comma 4" xfId="79" xr:uid="{00000000-0005-0000-0000-000046000000}"/>
    <cellStyle name="Comma 5" xfId="80" xr:uid="{00000000-0005-0000-0000-000047000000}"/>
    <cellStyle name="Comma 5 2" xfId="81" xr:uid="{00000000-0005-0000-0000-000048000000}"/>
    <cellStyle name="Comma 6" xfId="4" xr:uid="{00000000-0005-0000-0000-000049000000}"/>
    <cellStyle name="Comma, 1 dec" xfId="84" xr:uid="{00000000-0005-0000-0000-00004A000000}"/>
    <cellStyle name="Comma(1)" xfId="82" xr:uid="{00000000-0005-0000-0000-00004B000000}"/>
    <cellStyle name="Comma(xxx)" xfId="83" xr:uid="{00000000-0005-0000-0000-00004C000000}"/>
    <cellStyle name="Comma0" xfId="85" xr:uid="{00000000-0005-0000-0000-00004D000000}"/>
    <cellStyle name="Company" xfId="86" xr:uid="{00000000-0005-0000-0000-00004E000000}"/>
    <cellStyle name="CurRatio" xfId="87" xr:uid="{00000000-0005-0000-0000-00004F000000}"/>
    <cellStyle name="Currency ($)" xfId="88" xr:uid="{00000000-0005-0000-0000-000050000000}"/>
    <cellStyle name="Currency (£)" xfId="89" xr:uid="{00000000-0005-0000-0000-000051000000}"/>
    <cellStyle name="Currency (1)" xfId="90" xr:uid="{00000000-0005-0000-0000-000052000000}"/>
    <cellStyle name="Currency [00]" xfId="91" xr:uid="{00000000-0005-0000-0000-000053000000}"/>
    <cellStyle name="Currency [1]" xfId="92" xr:uid="{00000000-0005-0000-0000-000054000000}"/>
    <cellStyle name="Currency [2]" xfId="93" xr:uid="{00000000-0005-0000-0000-000055000000}"/>
    <cellStyle name="Currency 0" xfId="94" xr:uid="{00000000-0005-0000-0000-000056000000}"/>
    <cellStyle name="Currency 2" xfId="95" xr:uid="{00000000-0005-0000-0000-000057000000}"/>
    <cellStyle name="Currency 3" xfId="96" xr:uid="{00000000-0005-0000-0000-000058000000}"/>
    <cellStyle name="Currency 4" xfId="97" xr:uid="{00000000-0005-0000-0000-000059000000}"/>
    <cellStyle name="Currency Per Share" xfId="98" xr:uid="{00000000-0005-0000-0000-00005A000000}"/>
    <cellStyle name="Currency0" xfId="99" xr:uid="{00000000-0005-0000-0000-00005B000000}"/>
    <cellStyle name="Currency1" xfId="100" xr:uid="{00000000-0005-0000-0000-00005C000000}"/>
    <cellStyle name="Currency2" xfId="101" xr:uid="{00000000-0005-0000-0000-00005D000000}"/>
    <cellStyle name="Currsmall" xfId="102" xr:uid="{00000000-0005-0000-0000-00005E000000}"/>
    <cellStyle name="CustomStyle1" xfId="103" xr:uid="{00000000-0005-0000-0000-00005F000000}"/>
    <cellStyle name="CustomStyle14_BMETnew" xfId="104" xr:uid="{00000000-0005-0000-0000-000060000000}"/>
    <cellStyle name="CustomStyle15_BMETnew" xfId="105" xr:uid="{00000000-0005-0000-0000-000061000000}"/>
    <cellStyle name="CustomStyle16_BMETnew" xfId="106" xr:uid="{00000000-0005-0000-0000-000062000000}"/>
    <cellStyle name="CustomStyle17_BMETnew" xfId="107" xr:uid="{00000000-0005-0000-0000-000063000000}"/>
    <cellStyle name="CustomStyle18_BMETnew" xfId="108" xr:uid="{00000000-0005-0000-0000-000064000000}"/>
    <cellStyle name="CustomStyle21_BMETnew" xfId="109" xr:uid="{00000000-0005-0000-0000-000065000000}"/>
    <cellStyle name="CustomStyle25" xfId="110" xr:uid="{00000000-0005-0000-0000-000066000000}"/>
    <cellStyle name="CustomStyle27_BMETnew" xfId="111" xr:uid="{00000000-0005-0000-0000-000067000000}"/>
    <cellStyle name="CustomStyle31_BMETnew" xfId="112" xr:uid="{00000000-0005-0000-0000-000068000000}"/>
    <cellStyle name="CustomStyle9_BMETnew" xfId="113" xr:uid="{00000000-0005-0000-0000-000069000000}"/>
    <cellStyle name="d_yield" xfId="114" xr:uid="{00000000-0005-0000-0000-00006A000000}"/>
    <cellStyle name="Date" xfId="115" xr:uid="{00000000-0005-0000-0000-00006B000000}"/>
    <cellStyle name="Date [d-mmm-yy]" xfId="116" xr:uid="{00000000-0005-0000-0000-00006C000000}"/>
    <cellStyle name="Date [mm-d-yy]" xfId="117" xr:uid="{00000000-0005-0000-0000-00006D000000}"/>
    <cellStyle name="Date [mm-d-yyyy]" xfId="118" xr:uid="{00000000-0005-0000-0000-00006E000000}"/>
    <cellStyle name="Date [mmm-d-yyyy]" xfId="119" xr:uid="{00000000-0005-0000-0000-00006F000000}"/>
    <cellStyle name="Date [mmm-yy]" xfId="120" xr:uid="{00000000-0005-0000-0000-000070000000}"/>
    <cellStyle name="Date Aligned" xfId="121" xr:uid="{00000000-0005-0000-0000-000071000000}"/>
    <cellStyle name="Date Day" xfId="122" xr:uid="{00000000-0005-0000-0000-000072000000}"/>
    <cellStyle name="Date Short" xfId="123" xr:uid="{00000000-0005-0000-0000-000073000000}"/>
    <cellStyle name="Date Year" xfId="124" xr:uid="{00000000-0005-0000-0000-000074000000}"/>
    <cellStyle name="Date_dcf(grasso)v5" xfId="125" xr:uid="{00000000-0005-0000-0000-000075000000}"/>
    <cellStyle name="Date1" xfId="126" xr:uid="{00000000-0005-0000-0000-000076000000}"/>
    <cellStyle name="Dates" xfId="127" xr:uid="{00000000-0005-0000-0000-000077000000}"/>
    <cellStyle name="DateYear" xfId="128" xr:uid="{00000000-0005-0000-0000-000078000000}"/>
    <cellStyle name="Day-Mon-Yr" xfId="129" xr:uid="{00000000-0005-0000-0000-000079000000}"/>
    <cellStyle name="Decimal Number" xfId="130" xr:uid="{00000000-0005-0000-0000-00007A000000}"/>
    <cellStyle name="Decimal1" xfId="131" xr:uid="{00000000-0005-0000-0000-00007B000000}"/>
    <cellStyle name="Decimal2" xfId="132" xr:uid="{00000000-0005-0000-0000-00007C000000}"/>
    <cellStyle name="Dezimal [0]_ALTGGV" xfId="133" xr:uid="{00000000-0005-0000-0000-00007D000000}"/>
    <cellStyle name="Dezimal_ALTGGV" xfId="134" xr:uid="{00000000-0005-0000-0000-00007E000000}"/>
    <cellStyle name="Dollar" xfId="135" xr:uid="{00000000-0005-0000-0000-00007F000000}"/>
    <cellStyle name="Dollar (Canadian)" xfId="136" xr:uid="{00000000-0005-0000-0000-000080000000}"/>
    <cellStyle name="Dollar Whole" xfId="137" xr:uid="{00000000-0005-0000-0000-000081000000}"/>
    <cellStyle name="Dollar_BVF model" xfId="138" xr:uid="{00000000-0005-0000-0000-000082000000}"/>
    <cellStyle name="Dollar1" xfId="139" xr:uid="{00000000-0005-0000-0000-000083000000}"/>
    <cellStyle name="Dollar1Blue" xfId="140" xr:uid="{00000000-0005-0000-0000-000084000000}"/>
    <cellStyle name="Dollar2" xfId="141" xr:uid="{00000000-0005-0000-0000-000085000000}"/>
    <cellStyle name="dollars" xfId="142" xr:uid="{00000000-0005-0000-0000-000086000000}"/>
    <cellStyle name="DollarWhole" xfId="143" xr:uid="{00000000-0005-0000-0000-000087000000}"/>
    <cellStyle name="Dotted Line" xfId="144" xr:uid="{00000000-0005-0000-0000-000088000000}"/>
    <cellStyle name="Double Accounting" xfId="145" xr:uid="{00000000-0005-0000-0000-000089000000}"/>
    <cellStyle name="Download" xfId="146" xr:uid="{00000000-0005-0000-0000-00008A000000}"/>
    <cellStyle name="Driver" xfId="147" xr:uid="{00000000-0005-0000-0000-00008B000000}"/>
    <cellStyle name="Driver Lable" xfId="148" xr:uid="{00000000-0005-0000-0000-00008C000000}"/>
    <cellStyle name="Driver_BellStat" xfId="149" xr:uid="{00000000-0005-0000-0000-00008D000000}"/>
    <cellStyle name="Enter Currency (0)" xfId="150" xr:uid="{00000000-0005-0000-0000-00008E000000}"/>
    <cellStyle name="Enter Currency (2)" xfId="151" xr:uid="{00000000-0005-0000-0000-00008F000000}"/>
    <cellStyle name="Enter Units (0)" xfId="152" xr:uid="{00000000-0005-0000-0000-000090000000}"/>
    <cellStyle name="Enter Units (1)" xfId="153" xr:uid="{00000000-0005-0000-0000-000091000000}"/>
    <cellStyle name="Enter Units (2)" xfId="154" xr:uid="{00000000-0005-0000-0000-000092000000}"/>
    <cellStyle name="eps" xfId="155" xr:uid="{00000000-0005-0000-0000-000093000000}"/>
    <cellStyle name="EPS Input" xfId="156" xr:uid="{00000000-0005-0000-0000-000094000000}"/>
    <cellStyle name="eps_AOL Model Master" xfId="160" xr:uid="{00000000-0005-0000-0000-000095000000}"/>
    <cellStyle name="eps$" xfId="157" xr:uid="{00000000-0005-0000-0000-000096000000}"/>
    <cellStyle name="eps$A" xfId="158" xr:uid="{00000000-0005-0000-0000-000097000000}"/>
    <cellStyle name="eps$E" xfId="159" xr:uid="{00000000-0005-0000-0000-000098000000}"/>
    <cellStyle name="epsA" xfId="161" xr:uid="{00000000-0005-0000-0000-000099000000}"/>
    <cellStyle name="epsE" xfId="162" xr:uid="{00000000-0005-0000-0000-00009A000000}"/>
    <cellStyle name="ept-95" xfId="163" xr:uid="{00000000-0005-0000-0000-00009B000000}"/>
    <cellStyle name="Euro" xfId="164" xr:uid="{00000000-0005-0000-0000-00009C000000}"/>
    <cellStyle name="ÊÝ [0.00]_COMPANY" xfId="25" xr:uid="{00000000-0005-0000-0000-00009D000000}"/>
    <cellStyle name="ÊÝ_COMPANY" xfId="26" xr:uid="{00000000-0005-0000-0000-00009E000000}"/>
    <cellStyle name="Fixed" xfId="165" xr:uid="{00000000-0005-0000-0000-00009F000000}"/>
    <cellStyle name="Fixed [0]" xfId="166" xr:uid="{00000000-0005-0000-0000-0000A0000000}"/>
    <cellStyle name="Fixlong" xfId="167" xr:uid="{00000000-0005-0000-0000-0000A1000000}"/>
    <cellStyle name="Footnote" xfId="168" xr:uid="{00000000-0005-0000-0000-0000A2000000}"/>
    <cellStyle name="Formula" xfId="169" xr:uid="{00000000-0005-0000-0000-0000A3000000}"/>
    <cellStyle name="fy_eps$" xfId="170" xr:uid="{00000000-0005-0000-0000-0000A4000000}"/>
    <cellStyle name="g_rate" xfId="171" xr:uid="{00000000-0005-0000-0000-0000A5000000}"/>
    <cellStyle name="General" xfId="172" xr:uid="{00000000-0005-0000-0000-0000A6000000}"/>
    <cellStyle name="GPSBlankCell" xfId="173" xr:uid="{00000000-0005-0000-0000-0000A7000000}"/>
    <cellStyle name="GPSCalculatedCell" xfId="174" xr:uid="{00000000-0005-0000-0000-0000A8000000}"/>
    <cellStyle name="GPSCoverPageAnalyst" xfId="175" xr:uid="{00000000-0005-0000-0000-0000A9000000}"/>
    <cellStyle name="GPSCoverPageCompanyName" xfId="176" xr:uid="{00000000-0005-0000-0000-0000AA000000}"/>
    <cellStyle name="GPSCoverPageCompanySubTitle" xfId="177" xr:uid="{00000000-0005-0000-0000-0000AB000000}"/>
    <cellStyle name="GPSCoverPageDate" xfId="178" xr:uid="{00000000-0005-0000-0000-0000AC000000}"/>
    <cellStyle name="GPSCoverPageDisclaimer" xfId="179" xr:uid="{00000000-0005-0000-0000-0000AD000000}"/>
    <cellStyle name="GPSCoverPageEntity" xfId="180" xr:uid="{00000000-0005-0000-0000-0000AE000000}"/>
    <cellStyle name="GPSCoverPageUnderline" xfId="181" xr:uid="{00000000-0005-0000-0000-0000AF000000}"/>
    <cellStyle name="GPSDataItemTitle" xfId="182" xr:uid="{00000000-0005-0000-0000-0000B0000000}"/>
    <cellStyle name="GPSDivisionTitle" xfId="183" xr:uid="{00000000-0005-0000-0000-0000B1000000}"/>
    <cellStyle name="GPSFYTitle" xfId="184" xr:uid="{00000000-0005-0000-0000-0000B2000000}"/>
    <cellStyle name="GPSHeaderSubTitle" xfId="185" xr:uid="{00000000-0005-0000-0000-0000B3000000}"/>
    <cellStyle name="GPSHeaderTitle" xfId="186" xr:uid="{00000000-0005-0000-0000-0000B4000000}"/>
    <cellStyle name="GPSHidden" xfId="187" xr:uid="{00000000-0005-0000-0000-0000B5000000}"/>
    <cellStyle name="GPSInterimTitle" xfId="188" xr:uid="{00000000-0005-0000-0000-0000B6000000}"/>
    <cellStyle name="GPSPrice" xfId="189" xr:uid="{00000000-0005-0000-0000-0000B7000000}"/>
    <cellStyle name="GPSSectionHeader" xfId="190" xr:uid="{00000000-0005-0000-0000-0000B8000000}"/>
    <cellStyle name="Grey" xfId="191" xr:uid="{00000000-0005-0000-0000-0000B9000000}"/>
    <cellStyle name="Growth" xfId="192" xr:uid="{00000000-0005-0000-0000-0000BA000000}"/>
    <cellStyle name="GrowthRate" xfId="193" xr:uid="{00000000-0005-0000-0000-0000BB000000}"/>
    <cellStyle name="GrpStyle5" xfId="194" xr:uid="{00000000-0005-0000-0000-0000BC000000}"/>
    <cellStyle name="haeding 2" xfId="195" xr:uid="{00000000-0005-0000-0000-0000BD000000}"/>
    <cellStyle name="Hard" xfId="196" xr:uid="{00000000-0005-0000-0000-0000BE000000}"/>
    <cellStyle name="hard no." xfId="197" xr:uid="{00000000-0005-0000-0000-0000BF000000}"/>
    <cellStyle name="Hard Percent" xfId="198" xr:uid="{00000000-0005-0000-0000-0000C0000000}"/>
    <cellStyle name="head1" xfId="199" xr:uid="{00000000-0005-0000-0000-0000C1000000}"/>
    <cellStyle name="head2" xfId="200" xr:uid="{00000000-0005-0000-0000-0000C2000000}"/>
    <cellStyle name="Header" xfId="201" xr:uid="{00000000-0005-0000-0000-0000C3000000}"/>
    <cellStyle name="Header1" xfId="202" xr:uid="{00000000-0005-0000-0000-0000C4000000}"/>
    <cellStyle name="Header2" xfId="203" xr:uid="{00000000-0005-0000-0000-0000C5000000}"/>
    <cellStyle name="Heading" xfId="204" xr:uid="{00000000-0005-0000-0000-0000C6000000}"/>
    <cellStyle name="Heading 5" xfId="205" xr:uid="{00000000-0005-0000-0000-0000C7000000}"/>
    <cellStyle name="Heading Left" xfId="206" xr:uid="{00000000-0005-0000-0000-0000C8000000}"/>
    <cellStyle name="Heading Right" xfId="207" xr:uid="{00000000-0005-0000-0000-0000C9000000}"/>
    <cellStyle name="Heading2" xfId="208" xr:uid="{00000000-0005-0000-0000-0000CA000000}"/>
    <cellStyle name="HeadingS" xfId="209" xr:uid="{00000000-0005-0000-0000-0000CB000000}"/>
    <cellStyle name="Hidden" xfId="210" xr:uid="{00000000-0005-0000-0000-0000CC000000}"/>
    <cellStyle name="Hyperlink" xfId="447" builtinId="8"/>
    <cellStyle name="IncomeStatement" xfId="211" xr:uid="{00000000-0005-0000-0000-0000CE000000}"/>
    <cellStyle name="input cell" xfId="212" xr:uid="{00000000-0005-0000-0000-0000CF000000}"/>
    <cellStyle name="Input Currency" xfId="213" xr:uid="{00000000-0005-0000-0000-0000D0000000}"/>
    <cellStyle name="Input Date" xfId="214" xr:uid="{00000000-0005-0000-0000-0000D1000000}"/>
    <cellStyle name="Input Fixed [0]" xfId="215" xr:uid="{00000000-0005-0000-0000-0000D2000000}"/>
    <cellStyle name="Input Normal" xfId="216" xr:uid="{00000000-0005-0000-0000-0000D3000000}"/>
    <cellStyle name="Input Percent" xfId="217" xr:uid="{00000000-0005-0000-0000-0000D4000000}"/>
    <cellStyle name="Input Percent [2]" xfId="218" xr:uid="{00000000-0005-0000-0000-0000D5000000}"/>
    <cellStyle name="Input Titles" xfId="219" xr:uid="{00000000-0005-0000-0000-0000D6000000}"/>
    <cellStyle name="Input%" xfId="220" xr:uid="{00000000-0005-0000-0000-0000D7000000}"/>
    <cellStyle name="Input0" xfId="221" xr:uid="{00000000-0005-0000-0000-0000D8000000}"/>
    <cellStyle name="Input0dec" xfId="222" xr:uid="{00000000-0005-0000-0000-0000D9000000}"/>
    <cellStyle name="Input1" xfId="223" xr:uid="{00000000-0005-0000-0000-0000DA000000}"/>
    <cellStyle name="Input2" xfId="224" xr:uid="{00000000-0005-0000-0000-0000DB000000}"/>
    <cellStyle name="Input2dec" xfId="225" xr:uid="{00000000-0005-0000-0000-0000DC000000}"/>
    <cellStyle name="Inputs" xfId="226" xr:uid="{00000000-0005-0000-0000-0000DD000000}"/>
    <cellStyle name="Integer" xfId="227" xr:uid="{00000000-0005-0000-0000-0000DE000000}"/>
    <cellStyle name="Item" xfId="228" xr:uid="{00000000-0005-0000-0000-0000DF000000}"/>
    <cellStyle name="ItemTypeClass" xfId="229" xr:uid="{00000000-0005-0000-0000-0000E0000000}"/>
    <cellStyle name="Jason" xfId="230" xr:uid="{00000000-0005-0000-0000-0000E1000000}"/>
    <cellStyle name="KP_Normal" xfId="231" xr:uid="{00000000-0005-0000-0000-0000E2000000}"/>
    <cellStyle name="Lable8Left" xfId="232" xr:uid="{00000000-0005-0000-0000-0000E3000000}"/>
    <cellStyle name="Large Page Heading" xfId="233" xr:uid="{00000000-0005-0000-0000-0000E4000000}"/>
    <cellStyle name="Link Currency (0)" xfId="234" xr:uid="{00000000-0005-0000-0000-0000E5000000}"/>
    <cellStyle name="Link Currency (2)" xfId="235" xr:uid="{00000000-0005-0000-0000-0000E6000000}"/>
    <cellStyle name="Link Units (0)" xfId="236" xr:uid="{00000000-0005-0000-0000-0000E7000000}"/>
    <cellStyle name="Link Units (1)" xfId="237" xr:uid="{00000000-0005-0000-0000-0000E8000000}"/>
    <cellStyle name="Link Units (2)" xfId="238" xr:uid="{00000000-0005-0000-0000-0000E9000000}"/>
    <cellStyle name="lots" xfId="239" xr:uid="{00000000-0005-0000-0000-0000EA000000}"/>
    <cellStyle name="m" xfId="240" xr:uid="{00000000-0005-0000-0000-0000EB000000}"/>
    <cellStyle name="m$" xfId="241" xr:uid="{00000000-0005-0000-0000-0000EC000000}"/>
    <cellStyle name="Margins" xfId="242" xr:uid="{00000000-0005-0000-0000-0000ED000000}"/>
    <cellStyle name="mm" xfId="243" xr:uid="{00000000-0005-0000-0000-0000EE000000}"/>
    <cellStyle name="Mon-Yr" xfId="244" xr:uid="{00000000-0005-0000-0000-0000EF000000}"/>
    <cellStyle name="Multiple" xfId="245" xr:uid="{00000000-0005-0000-0000-0000F0000000}"/>
    <cellStyle name="Multiple Without" xfId="246" xr:uid="{00000000-0005-0000-0000-0000F1000000}"/>
    <cellStyle name="Multiple_Doryx by Dose" xfId="247" xr:uid="{00000000-0005-0000-0000-0000F2000000}"/>
    <cellStyle name="NA is zero" xfId="248" xr:uid="{00000000-0005-0000-0000-0000F3000000}"/>
    <cellStyle name="Name" xfId="249" xr:uid="{00000000-0005-0000-0000-0000F4000000}"/>
    <cellStyle name="New" xfId="250" xr:uid="{00000000-0005-0000-0000-0000F5000000}"/>
    <cellStyle name="NewAcct" xfId="251" xr:uid="{00000000-0005-0000-0000-0000F6000000}"/>
    <cellStyle name="Norm" xfId="252" xr:uid="{00000000-0005-0000-0000-0000F7000000}"/>
    <cellStyle name="Normal" xfId="0" builtinId="0"/>
    <cellStyle name="Normal - Style1" xfId="253" xr:uid="{00000000-0005-0000-0000-0000F9000000}"/>
    <cellStyle name="Normal [0]" xfId="254" xr:uid="{00000000-0005-0000-0000-0000FA000000}"/>
    <cellStyle name="Normal [1]" xfId="255" xr:uid="{00000000-0005-0000-0000-0000FB000000}"/>
    <cellStyle name="Normal [2]" xfId="256" xr:uid="{00000000-0005-0000-0000-0000FC000000}"/>
    <cellStyle name="Normal [3]" xfId="257" xr:uid="{00000000-0005-0000-0000-0000FD000000}"/>
    <cellStyle name="Normal 2" xfId="258" xr:uid="{00000000-0005-0000-0000-0000FE000000}"/>
    <cellStyle name="Normal 2 2" xfId="259" xr:uid="{00000000-0005-0000-0000-0000FF000000}"/>
    <cellStyle name="Normal 3" xfId="260" xr:uid="{00000000-0005-0000-0000-000000010000}"/>
    <cellStyle name="Normal 4" xfId="261" xr:uid="{00000000-0005-0000-0000-000001010000}"/>
    <cellStyle name="Normal 5" xfId="262" xr:uid="{00000000-0005-0000-0000-000002010000}"/>
    <cellStyle name="Normal 5 2" xfId="263" xr:uid="{00000000-0005-0000-0000-000003010000}"/>
    <cellStyle name="Normal 6" xfId="3" xr:uid="{00000000-0005-0000-0000-000004010000}"/>
    <cellStyle name="Normal 6 2" xfId="264" xr:uid="{00000000-0005-0000-0000-000005010000}"/>
    <cellStyle name="Normal 7" xfId="446" xr:uid="{00000000-0005-0000-0000-000006010000}"/>
    <cellStyle name="Normal Bold" xfId="265" xr:uid="{00000000-0005-0000-0000-000007010000}"/>
    <cellStyle name="Normal Pct" xfId="266" xr:uid="{00000000-0005-0000-0000-000008010000}"/>
    <cellStyle name="NormalBlue" xfId="267" xr:uid="{00000000-0005-0000-0000-000009010000}"/>
    <cellStyle name="NormalBold" xfId="268" xr:uid="{00000000-0005-0000-0000-00000A010000}"/>
    <cellStyle name="NormalE" xfId="269" xr:uid="{00000000-0005-0000-0000-00000B010000}"/>
    <cellStyle name="NormalHelv" xfId="270" xr:uid="{00000000-0005-0000-0000-00000C010000}"/>
    <cellStyle name="Notes" xfId="271" xr:uid="{00000000-0005-0000-0000-00000D010000}"/>
    <cellStyle name="NPPESalesPct" xfId="272" xr:uid="{00000000-0005-0000-0000-00000E010000}"/>
    <cellStyle name="Num0Un" xfId="273" xr:uid="{00000000-0005-0000-0000-00000F010000}"/>
    <cellStyle name="Num1" xfId="274" xr:uid="{00000000-0005-0000-0000-000010010000}"/>
    <cellStyle name="Num1Blue" xfId="275" xr:uid="{00000000-0005-0000-0000-000011010000}"/>
    <cellStyle name="Num2" xfId="276" xr:uid="{00000000-0005-0000-0000-000012010000}"/>
    <cellStyle name="Num2Un" xfId="277" xr:uid="{00000000-0005-0000-0000-000013010000}"/>
    <cellStyle name="Number" xfId="278" xr:uid="{00000000-0005-0000-0000-000014010000}"/>
    <cellStyle name="NWI%S" xfId="279" xr:uid="{00000000-0005-0000-0000-000015010000}"/>
    <cellStyle name="Œ…‹æØ‚è [0.00]_GE 3 MINIMUM" xfId="280" xr:uid="{00000000-0005-0000-0000-000016010000}"/>
    <cellStyle name="Œ…‹æØ‚è_GE 3 MINIMUM" xfId="281" xr:uid="{00000000-0005-0000-0000-000017010000}"/>
    <cellStyle name="Output Amounts" xfId="282" xr:uid="{00000000-0005-0000-0000-000018010000}"/>
    <cellStyle name="Output Column Headings" xfId="283" xr:uid="{00000000-0005-0000-0000-000019010000}"/>
    <cellStyle name="Output Line Items" xfId="284" xr:uid="{00000000-0005-0000-0000-00001A010000}"/>
    <cellStyle name="Output Report Heading" xfId="285" xr:uid="{00000000-0005-0000-0000-00001B010000}"/>
    <cellStyle name="Output Report Title" xfId="286" xr:uid="{00000000-0005-0000-0000-00001C010000}"/>
    <cellStyle name="OutputPlain" xfId="287" xr:uid="{00000000-0005-0000-0000-00001D010000}"/>
    <cellStyle name="Page Heading" xfId="288" xr:uid="{00000000-0005-0000-0000-00001E010000}"/>
    <cellStyle name="Page Heading Large" xfId="289" xr:uid="{00000000-0005-0000-0000-00001F010000}"/>
    <cellStyle name="Page Heading Small" xfId="290" xr:uid="{00000000-0005-0000-0000-000020010000}"/>
    <cellStyle name="Page Number" xfId="291" xr:uid="{00000000-0005-0000-0000-000021010000}"/>
    <cellStyle name="Palatino" xfId="292" xr:uid="{00000000-0005-0000-0000-000022010000}"/>
    <cellStyle name="pc1" xfId="293" xr:uid="{00000000-0005-0000-0000-000023010000}"/>
    <cellStyle name="pcent" xfId="294" xr:uid="{00000000-0005-0000-0000-000024010000}"/>
    <cellStyle name="pct_sub" xfId="295" xr:uid="{00000000-0005-0000-0000-000025010000}"/>
    <cellStyle name="pe" xfId="296" xr:uid="{00000000-0005-0000-0000-000026010000}"/>
    <cellStyle name="PEG" xfId="297" xr:uid="{00000000-0005-0000-0000-000027010000}"/>
    <cellStyle name="Perc1" xfId="298" xr:uid="{00000000-0005-0000-0000-000028010000}"/>
    <cellStyle name="Percent" xfId="2" builtinId="5"/>
    <cellStyle name="Percent (.xx)" xfId="300" xr:uid="{00000000-0005-0000-0000-00002A010000}"/>
    <cellStyle name="Percent ()" xfId="299" xr:uid="{00000000-0005-0000-0000-00002B010000}"/>
    <cellStyle name="Percent (1)" xfId="301" xr:uid="{00000000-0005-0000-0000-00002C010000}"/>
    <cellStyle name="Percent [0]" xfId="302" xr:uid="{00000000-0005-0000-0000-00002D010000}"/>
    <cellStyle name="Percent [00]" xfId="303" xr:uid="{00000000-0005-0000-0000-00002E010000}"/>
    <cellStyle name="Percent [1]" xfId="304" xr:uid="{00000000-0005-0000-0000-00002F010000}"/>
    <cellStyle name="Percent [2]" xfId="305" xr:uid="{00000000-0005-0000-0000-000030010000}"/>
    <cellStyle name="Percent 2" xfId="306" xr:uid="{00000000-0005-0000-0000-000031010000}"/>
    <cellStyle name="Percent 2 2" xfId="7" xr:uid="{00000000-0005-0000-0000-000032010000}"/>
    <cellStyle name="Percent 2 3" xfId="307" xr:uid="{00000000-0005-0000-0000-000033010000}"/>
    <cellStyle name="Percent 3" xfId="5" xr:uid="{00000000-0005-0000-0000-000034010000}"/>
    <cellStyle name="Percent 4" xfId="308" xr:uid="{00000000-0005-0000-0000-000035010000}"/>
    <cellStyle name="Percent 5" xfId="309" xr:uid="{00000000-0005-0000-0000-000036010000}"/>
    <cellStyle name="Percent 5 2" xfId="310" xr:uid="{00000000-0005-0000-0000-000037010000}"/>
    <cellStyle name="Percent Decimal" xfId="311" xr:uid="{00000000-0005-0000-0000-000038010000}"/>
    <cellStyle name="Percent Hard" xfId="312" xr:uid="{00000000-0005-0000-0000-000039010000}"/>
    <cellStyle name="Percent(.x)" xfId="313" xr:uid="{00000000-0005-0000-0000-00003A010000}"/>
    <cellStyle name="Percent(1)" xfId="314" xr:uid="{00000000-0005-0000-0000-00003B010000}"/>
    <cellStyle name="Percent0" xfId="315" xr:uid="{00000000-0005-0000-0000-00003C010000}"/>
    <cellStyle name="Percent1" xfId="316" xr:uid="{00000000-0005-0000-0000-00003D010000}"/>
    <cellStyle name="Percent1Blue" xfId="317" xr:uid="{00000000-0005-0000-0000-00003E010000}"/>
    <cellStyle name="Percent2" xfId="318" xr:uid="{00000000-0005-0000-0000-00003F010000}"/>
    <cellStyle name="Percent2Blue" xfId="319" xr:uid="{00000000-0005-0000-0000-000040010000}"/>
    <cellStyle name="PercentChange" xfId="320" xr:uid="{00000000-0005-0000-0000-000041010000}"/>
    <cellStyle name="PercentPresentation" xfId="321" xr:uid="{00000000-0005-0000-0000-000042010000}"/>
    <cellStyle name="PercentSales" xfId="322" xr:uid="{00000000-0005-0000-0000-000043010000}"/>
    <cellStyle name="Perlong" xfId="323" xr:uid="{00000000-0005-0000-0000-000044010000}"/>
    <cellStyle name="PlainDollar" xfId="324" xr:uid="{00000000-0005-0000-0000-000045010000}"/>
    <cellStyle name="POPS" xfId="325" xr:uid="{00000000-0005-0000-0000-000046010000}"/>
    <cellStyle name="Preffered" xfId="326" xr:uid="{00000000-0005-0000-0000-000047010000}"/>
    <cellStyle name="PrePop Currency (0)" xfId="327" xr:uid="{00000000-0005-0000-0000-000048010000}"/>
    <cellStyle name="PrePop Currency (2)" xfId="328" xr:uid="{00000000-0005-0000-0000-000049010000}"/>
    <cellStyle name="PrePop Units (0)" xfId="329" xr:uid="{00000000-0005-0000-0000-00004A010000}"/>
    <cellStyle name="PrePop Units (1)" xfId="330" xr:uid="{00000000-0005-0000-0000-00004B010000}"/>
    <cellStyle name="PrePop Units (2)" xfId="331" xr:uid="{00000000-0005-0000-0000-00004C010000}"/>
    <cellStyle name="PresentationZero" xfId="332" xr:uid="{00000000-0005-0000-0000-00004D010000}"/>
    <cellStyle name="Price" xfId="333" xr:uid="{00000000-0005-0000-0000-00004E010000}"/>
    <cellStyle name="PriceUn" xfId="334" xr:uid="{00000000-0005-0000-0000-00004F010000}"/>
    <cellStyle name="Private" xfId="335" xr:uid="{00000000-0005-0000-0000-000050010000}"/>
    <cellStyle name="Private1" xfId="336" xr:uid="{00000000-0005-0000-0000-000051010000}"/>
    <cellStyle name="PSChar" xfId="337" xr:uid="{00000000-0005-0000-0000-000052010000}"/>
    <cellStyle name="PSDate" xfId="338" xr:uid="{00000000-0005-0000-0000-000053010000}"/>
    <cellStyle name="PSDec" xfId="339" xr:uid="{00000000-0005-0000-0000-000054010000}"/>
    <cellStyle name="PSHeading" xfId="340" xr:uid="{00000000-0005-0000-0000-000055010000}"/>
    <cellStyle name="PSInt" xfId="341" xr:uid="{00000000-0005-0000-0000-000056010000}"/>
    <cellStyle name="PSSpacer" xfId="342" xr:uid="{00000000-0005-0000-0000-000057010000}"/>
    <cellStyle name="q" xfId="343" xr:uid="{00000000-0005-0000-0000-000058010000}"/>
    <cellStyle name="QEPS-h" xfId="344" xr:uid="{00000000-0005-0000-0000-000059010000}"/>
    <cellStyle name="QEPS-H1" xfId="345" xr:uid="{00000000-0005-0000-0000-00005A010000}"/>
    <cellStyle name="qRange" xfId="346" xr:uid="{00000000-0005-0000-0000-00005B010000}"/>
    <cellStyle name="range" xfId="347" xr:uid="{00000000-0005-0000-0000-00005C010000}"/>
    <cellStyle name="RatioX" xfId="348" xr:uid="{00000000-0005-0000-0000-00005D010000}"/>
    <cellStyle name="Red font" xfId="349" xr:uid="{00000000-0005-0000-0000-00005E010000}"/>
    <cellStyle name="Ref Numbers" xfId="350" xr:uid="{00000000-0005-0000-0000-00005F010000}"/>
    <cellStyle name="Right" xfId="351" xr:uid="{00000000-0005-0000-0000-000060010000}"/>
    <cellStyle name="ScotchRule" xfId="352" xr:uid="{00000000-0005-0000-0000-000061010000}"/>
    <cellStyle name="ScripFactor" xfId="353" xr:uid="{00000000-0005-0000-0000-000062010000}"/>
    <cellStyle name="SectionHeading" xfId="354" xr:uid="{00000000-0005-0000-0000-000063010000}"/>
    <cellStyle name="Shaded" xfId="355" xr:uid="{00000000-0005-0000-0000-000064010000}"/>
    <cellStyle name="Shares" xfId="356" xr:uid="{00000000-0005-0000-0000-000065010000}"/>
    <cellStyle name="Single Accounting" xfId="357" xr:uid="{00000000-0005-0000-0000-000066010000}"/>
    <cellStyle name="Small Page Heading" xfId="358" xr:uid="{00000000-0005-0000-0000-000067010000}"/>
    <cellStyle name="Source Line" xfId="359" xr:uid="{00000000-0005-0000-0000-000068010000}"/>
    <cellStyle name="Special9" xfId="360" xr:uid="{00000000-0005-0000-0000-000069010000}"/>
    <cellStyle name="SSComma0" xfId="361" xr:uid="{00000000-0005-0000-0000-00006A010000}"/>
    <cellStyle name="SSComma2" xfId="362" xr:uid="{00000000-0005-0000-0000-00006B010000}"/>
    <cellStyle name="SSDecs3" xfId="363" xr:uid="{00000000-0005-0000-0000-00006C010000}"/>
    <cellStyle name="SSDflt" xfId="364" xr:uid="{00000000-0005-0000-0000-00006D010000}"/>
    <cellStyle name="SSDfltPct" xfId="365" xr:uid="{00000000-0005-0000-0000-00006E010000}"/>
    <cellStyle name="SSDfltPct0" xfId="366" xr:uid="{00000000-0005-0000-0000-00006F010000}"/>
    <cellStyle name="SSFixed2" xfId="367" xr:uid="{00000000-0005-0000-0000-000070010000}"/>
    <cellStyle name="Standaard_KPN" xfId="368" xr:uid="{00000000-0005-0000-0000-000071010000}"/>
    <cellStyle name="Standard_ALTGGV" xfId="369" xr:uid="{00000000-0005-0000-0000-000072010000}"/>
    <cellStyle name="Strange" xfId="370" xr:uid="{00000000-0005-0000-0000-000073010000}"/>
    <cellStyle name="Style 1" xfId="371" xr:uid="{00000000-0005-0000-0000-000074010000}"/>
    <cellStyle name="Style 1 2" xfId="372" xr:uid="{00000000-0005-0000-0000-000075010000}"/>
    <cellStyle name="STYLE1" xfId="373" xr:uid="{00000000-0005-0000-0000-000076010000}"/>
    <cellStyle name="Subhead" xfId="374" xr:uid="{00000000-0005-0000-0000-000077010000}"/>
    <cellStyle name="Subscribers" xfId="375" xr:uid="{00000000-0005-0000-0000-000078010000}"/>
    <cellStyle name="Subtitle" xfId="376" xr:uid="{00000000-0005-0000-0000-000079010000}"/>
    <cellStyle name="Subtotal_left" xfId="377" xr:uid="{00000000-0005-0000-0000-00007A010000}"/>
    <cellStyle name="Summary" xfId="378" xr:uid="{00000000-0005-0000-0000-00007B010000}"/>
    <cellStyle name="Table" xfId="379" xr:uid="{00000000-0005-0000-0000-00007C010000}"/>
    <cellStyle name="Table Col Head" xfId="380" xr:uid="{00000000-0005-0000-0000-00007D010000}"/>
    <cellStyle name="Table Head" xfId="381" xr:uid="{00000000-0005-0000-0000-00007E010000}"/>
    <cellStyle name="Table Head Aligned" xfId="382" xr:uid="{00000000-0005-0000-0000-00007F010000}"/>
    <cellStyle name="Table Head Blue" xfId="383" xr:uid="{00000000-0005-0000-0000-000080010000}"/>
    <cellStyle name="Table Head Green" xfId="384" xr:uid="{00000000-0005-0000-0000-000081010000}"/>
    <cellStyle name="Table Heading" xfId="385" xr:uid="{00000000-0005-0000-0000-000082010000}"/>
    <cellStyle name="Table Sub Head" xfId="386" xr:uid="{00000000-0005-0000-0000-000083010000}"/>
    <cellStyle name="Table Title" xfId="387" xr:uid="{00000000-0005-0000-0000-000084010000}"/>
    <cellStyle name="Table Unites" xfId="388" xr:uid="{00000000-0005-0000-0000-000085010000}"/>
    <cellStyle name="Table Units" xfId="389" xr:uid="{00000000-0005-0000-0000-000086010000}"/>
    <cellStyle name="TableBase" xfId="390" xr:uid="{00000000-0005-0000-0000-000087010000}"/>
    <cellStyle name="TableFootnotes" xfId="391" xr:uid="{00000000-0005-0000-0000-000088010000}"/>
    <cellStyle name="TableHead" xfId="392" xr:uid="{00000000-0005-0000-0000-000089010000}"/>
    <cellStyle name="tcn" xfId="393" xr:uid="{00000000-0005-0000-0000-00008A010000}"/>
    <cellStyle name="Terms" xfId="394" xr:uid="{00000000-0005-0000-0000-00008B010000}"/>
    <cellStyle name="Test [green]" xfId="395" xr:uid="{00000000-0005-0000-0000-00008C010000}"/>
    <cellStyle name="Text" xfId="396" xr:uid="{00000000-0005-0000-0000-00008D010000}"/>
    <cellStyle name="Text (centered)" xfId="397" xr:uid="{00000000-0005-0000-0000-00008E010000}"/>
    <cellStyle name="Text 8" xfId="398" xr:uid="{00000000-0005-0000-0000-00008F010000}"/>
    <cellStyle name="Text Indent A" xfId="399" xr:uid="{00000000-0005-0000-0000-000090010000}"/>
    <cellStyle name="Text Indent B" xfId="400" xr:uid="{00000000-0005-0000-0000-000091010000}"/>
    <cellStyle name="Text Indent C" xfId="401" xr:uid="{00000000-0005-0000-0000-000092010000}"/>
    <cellStyle name="TFCF" xfId="402" xr:uid="{00000000-0005-0000-0000-000093010000}"/>
    <cellStyle name="Time" xfId="403" xr:uid="{00000000-0005-0000-0000-000094010000}"/>
    <cellStyle name="Time Strip" xfId="404" xr:uid="{00000000-0005-0000-0000-000095010000}"/>
    <cellStyle name="Times 10" xfId="405" xr:uid="{00000000-0005-0000-0000-000096010000}"/>
    <cellStyle name="Times 12" xfId="406" xr:uid="{00000000-0005-0000-0000-000097010000}"/>
    <cellStyle name="TIMES 9" xfId="407" xr:uid="{00000000-0005-0000-0000-000098010000}"/>
    <cellStyle name="Title II" xfId="408" xr:uid="{00000000-0005-0000-0000-000099010000}"/>
    <cellStyle name="Title Line" xfId="409" xr:uid="{00000000-0005-0000-0000-00009A010000}"/>
    <cellStyle name="Title1" xfId="410" xr:uid="{00000000-0005-0000-0000-00009B010000}"/>
    <cellStyle name="Title10" xfId="411" xr:uid="{00000000-0005-0000-0000-00009C010000}"/>
    <cellStyle name="Title2" xfId="412" xr:uid="{00000000-0005-0000-0000-00009D010000}"/>
    <cellStyle name="Title8" xfId="413" xr:uid="{00000000-0005-0000-0000-00009E010000}"/>
    <cellStyle name="Title8Left" xfId="414" xr:uid="{00000000-0005-0000-0000-00009F010000}"/>
    <cellStyle name="TitleCenter" xfId="415" xr:uid="{00000000-0005-0000-0000-0000A0010000}"/>
    <cellStyle name="TitleII" xfId="416" xr:uid="{00000000-0005-0000-0000-0000A1010000}"/>
    <cellStyle name="TitleLeft" xfId="417" xr:uid="{00000000-0005-0000-0000-0000A2010000}"/>
    <cellStyle name="Titles" xfId="418" xr:uid="{00000000-0005-0000-0000-0000A3010000}"/>
    <cellStyle name="tn" xfId="419" xr:uid="{00000000-0005-0000-0000-0000A4010000}"/>
    <cellStyle name="tom" xfId="420" xr:uid="{00000000-0005-0000-0000-0000A5010000}"/>
    <cellStyle name="Top Row" xfId="421" xr:uid="{00000000-0005-0000-0000-0000A6010000}"/>
    <cellStyle name="topline" xfId="422" xr:uid="{00000000-0005-0000-0000-0000A7010000}"/>
    <cellStyle name="Total Row" xfId="423" xr:uid="{00000000-0005-0000-0000-0000A8010000}"/>
    <cellStyle name="TransVal" xfId="424" xr:uid="{00000000-0005-0000-0000-0000A9010000}"/>
    <cellStyle name="UnderLine" xfId="425" xr:uid="{00000000-0005-0000-0000-0000AA010000}"/>
    <cellStyle name="Unhidden" xfId="426" xr:uid="{00000000-0005-0000-0000-0000AB010000}"/>
    <cellStyle name="Units" xfId="427" xr:uid="{00000000-0005-0000-0000-0000AC010000}"/>
    <cellStyle name="Upload Only" xfId="428" xr:uid="{00000000-0005-0000-0000-0000AD010000}"/>
    <cellStyle name="v" xfId="429" xr:uid="{00000000-0005-0000-0000-0000AE010000}"/>
    <cellStyle name="Valuation" xfId="430" xr:uid="{00000000-0005-0000-0000-0000AF010000}"/>
    <cellStyle name="Valuation Bold" xfId="431" xr:uid="{00000000-0005-0000-0000-0000B0010000}"/>
    <cellStyle name="W_GTParent" xfId="27" xr:uid="{00000000-0005-0000-0000-0000B1010000}"/>
    <cellStyle name="Währung [0]_ALTGGV" xfId="432" xr:uid="{00000000-0005-0000-0000-0000B2010000}"/>
    <cellStyle name="Währung_ALTGGV" xfId="433" xr:uid="{00000000-0005-0000-0000-0000B3010000}"/>
    <cellStyle name="White" xfId="434" xr:uid="{00000000-0005-0000-0000-0000B4010000}"/>
    <cellStyle name="WhitePattern" xfId="435" xr:uid="{00000000-0005-0000-0000-0000B5010000}"/>
    <cellStyle name="WhitePattern1" xfId="436" xr:uid="{00000000-0005-0000-0000-0000B6010000}"/>
    <cellStyle name="WhiteText" xfId="437" xr:uid="{00000000-0005-0000-0000-0000B7010000}"/>
    <cellStyle name="WholeNumber" xfId="438" xr:uid="{00000000-0005-0000-0000-0000B8010000}"/>
    <cellStyle name="Year" xfId="439" xr:uid="{00000000-0005-0000-0000-0000B9010000}"/>
    <cellStyle name="Yen" xfId="440" xr:uid="{00000000-0005-0000-0000-0000BA010000}"/>
    <cellStyle name="桁区切り [0.00]_Hoshino" xfId="441" xr:uid="{00000000-0005-0000-0000-0000BB010000}"/>
    <cellStyle name="桁区切り_Hoshino" xfId="442" xr:uid="{00000000-0005-0000-0000-0000BC010000}"/>
    <cellStyle name="標準_3G" xfId="443" xr:uid="{00000000-0005-0000-0000-0000BD010000}"/>
    <cellStyle name="通貨 [0.00]_Hoshino" xfId="444" xr:uid="{00000000-0005-0000-0000-0000BE010000}"/>
    <cellStyle name="通貨_Hoshino" xfId="445" xr:uid="{00000000-0005-0000-0000-0000BF010000}"/>
  </cellStyles>
  <dxfs count="886"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9" Type="http://schemas.openxmlformats.org/officeDocument/2006/relationships/externalLink" Target="externalLinks/externalLink31.xml"/><Relationship Id="rId21" Type="http://schemas.openxmlformats.org/officeDocument/2006/relationships/externalLink" Target="externalLinks/externalLink13.xml"/><Relationship Id="rId34" Type="http://schemas.openxmlformats.org/officeDocument/2006/relationships/externalLink" Target="externalLinks/externalLink26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50" Type="http://schemas.openxmlformats.org/officeDocument/2006/relationships/externalLink" Target="externalLinks/externalLink42.xml"/><Relationship Id="rId55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9" Type="http://schemas.openxmlformats.org/officeDocument/2006/relationships/externalLink" Target="externalLinks/externalLink21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53" Type="http://schemas.openxmlformats.org/officeDocument/2006/relationships/externalLink" Target="externalLinks/externalLink45.xml"/><Relationship Id="rId5" Type="http://schemas.openxmlformats.org/officeDocument/2006/relationships/worksheet" Target="worksheets/sheet5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4229100</xdr:colOff>
      <xdr:row>1</xdr:row>
      <xdr:rowOff>177800</xdr:rowOff>
    </xdr:from>
    <xdr:to>
      <xdr:col>5</xdr:col>
      <xdr:colOff>1324234</xdr:colOff>
      <xdr:row>11</xdr:row>
      <xdr:rowOff>115356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95CD8F71-E9F5-A640-B929-7A46581C4D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7300" y="393700"/>
          <a:ext cx="2670434" cy="196955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NN_EQUITY/VOL1/DOCUME~1/palmern/LOCALS~1/Temp/COASTAL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C:/amerib$/NYC/Ikenson/FAC%20Models/TLB/TLB%20Model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F:/NYC/Ikenson/FAC%20Models/TLB/TLB%20Model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Alexandra/WIP/idph-exhibit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Documents%20and%20Settings/webberd/My%20Documents/Models-Marketing/HGSI%20MODEL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/H:/NYC/webberd/Companies/GILD/Models/gild%20model%2008-05-03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OCUME~1/sald/LOCALS~1/Temp/IGT_VD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/E:/TEMP/inpres99a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E:/Documents%20and%20Settings/jgreff/Local%20Settings/Temporary%20Internet%20Files/OLKB4C/IGT_CURR3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E:/JGreff/New%20Shared%20Drive/Gaming%20Industry/ASCA/Model/ASCA%20Model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A:/USERS/AACC%20Research/Greff/New%20Shared%20Drive/Gaming%20Industry/AZR/Model/AZR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:/AG%20files/Schering%20Plough/RelativePE%20SGP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/C:/Models/Client%20Models%20(Current%20only)/Research/PHARMA/BIOTECH%20COMPANIES/LiDco/Trash/Research/PHARMA/PERSONAL%20FOLDERS/WOODS/Templates/Valuation%20Models/One%20Page%20DCF%20Model%20(Revised%2001-01)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/D:/Desktop%20Model%20Folder/2000%20LRP-NEUPOGEN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WINNT/Profiles/dk146624/Temporary%20Internet%20Files/OLK6C/FRX%20Old%20Models/FRX_income_JPM%20current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UserHome/Book1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A:/CONSUMER/GAMING/IN_PRES/inpres99a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/C:/NYC/Ikenson/FAC%20Models/TLB/TLB%20Model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Model/LLY-external092906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HLTHCARE/Major%20Pharma/SGP/Model/SGP-model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C:/Research/RS%20Biotech%20and%20Life%20Science%20Group/Client%20Models/CELG_Client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/C:/Models/Client%20Models%20(Current%20only)/Research/PHARMA/BIOTECH%20COMPANIES/LiDco/Trash/TEMPLATE/Excel/LINKTA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:/HLTHCARE/Major%20Pharma/PFE/Model/PFE_model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C:/WINNT/Profiles/user/Personal/Woods%20Custom%20Sheet%203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BMY/Model/OLD%20Models/BMY-model12220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/C:/HLTHCARE/Major%20Pharma/MRK/Models/MRK-model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/A:/USERS/AACC%20Research/Greff/New%20Shared%20Drive/Lodging%20Industry/FS/Model/F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/C:/HLTHCARE/Major%20Pharma/FRX/FRX%20Model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/Nyp17w2/sys2/GAMING/IN_PRES/INPRES99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/D:/agfiles/excelfiles/PEs%20monthly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/C:/HLTHCARE/Major%20Pharma/CEPH/Provigil.Nuvigil%20Market%20Model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Model/MRK-external032807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microsoft.com/office/2006/relationships/xlExternalLinkPath/xlStartup" Target="Valuations/VALUATIONS%20ACTIVE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C:/HLTHCARE/Major%20Pharma/Category%20Models/Cholesterol/Value%20of%20Rx/Lipitor%20EPS%20and%20DivPO%20Models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C:/Research/RS%20Life%20Sciences/Specialty%20Pharma/Companies/BVF/BVF_pubmodel_JPM.xls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C:/DOCUME~1/pantginj/LOCALS~1/Temp/C.Program%20Files.Notes.Data/~9620216.xls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/E:/balsheet/2001%20Fiscal%20Year/0009/Closing/StmtOpResultsP9.xls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/fgpny-fsvr02/FulcrumResearch/JGreff/New%20Shared%20Drive/Gaming%20Industry/STN/Model/STN%20Model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Model/MRK-external091307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/C:/HLTHCARE/Major%20Pharma/FX%20bloomber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INANCE/Sammy/WINDOWS/DESKTOP/New%20IL-1ra%20Revenue%20Model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No%20Value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Rsch-nyc-19b4/GameLodg/DANDERS/COMPANY/HET/HET_VDF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C:/HLTHCARE/Major%20Pharma/PFE/Model/PFE_model_WY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crprdndfs01/ds_dfs/Equity%20Research/Healthcare/Schott_C/LLY/Model/LLY-model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S"/>
      <sheetName val="Analysis"/>
      <sheetName val="DCF "/>
      <sheetName val="BS"/>
      <sheetName val="CF"/>
      <sheetName val="Data"/>
      <sheetName val="Capex"/>
      <sheetName val="Info"/>
      <sheetName val="FAC"/>
      <sheetName val="Sheet1"/>
      <sheetName val="quarterly income and e&amp;p"/>
      <sheetName val="refining"/>
      <sheetName val="historical reserves"/>
      <sheetName val="refining &amp; marketing"/>
      <sheetName val="Growth Metrics"/>
      <sheetName val="template"/>
      <sheetName val="Flash Inputs (manual entry)"/>
      <sheetName val="Coastals Rig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 refreshError="1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Comps"/>
      <sheetName val="Comps - Divisional"/>
      <sheetName val="Revenue"/>
      <sheetName val="Sales Productivity"/>
      <sheetName val="Division Model"/>
      <sheetName val="Guidance"/>
      <sheetName val="Balance Sheet"/>
      <sheetName val="Cash Flow"/>
      <sheetName val="PE Valuation"/>
      <sheetName val="PE Valuation - Report"/>
      <sheetName val="Monthly Sales Analysi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Comps"/>
      <sheetName val="Comps - Divisional"/>
      <sheetName val="Revenue"/>
      <sheetName val="Sales Productivity"/>
      <sheetName val="Division Model"/>
      <sheetName val="Guidance"/>
      <sheetName val="Balance Sheet"/>
      <sheetName val="Cash Flow"/>
      <sheetName val="PE Valuation"/>
      <sheetName val="PE Valuation - Report"/>
      <sheetName val="Monthly Sales Analysis"/>
      <sheetName val="__FDSCACHE__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sum"/>
      <sheetName val="Comps (2)"/>
      <sheetName val="comp"/>
      <sheetName val="pipeline"/>
      <sheetName val="zevalin"/>
      <sheetName val="Sheet1"/>
      <sheetName val="r-trial"/>
      <sheetName val="Sheet3"/>
      <sheetName val="z-trial"/>
      <sheetName val="table (3)"/>
      <sheetName val="#REF"/>
      <sheetName val="DATA"/>
      <sheetName val="Sales"/>
      <sheetName val="EPS chang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odel"/>
      <sheetName val="Delta"/>
      <sheetName val="Quarterly Model"/>
      <sheetName val="Op expenses"/>
      <sheetName val="Products"/>
      <sheetName val="Calendar"/>
      <sheetName val="Cash Flow"/>
      <sheetName val="Competition"/>
      <sheetName val="Balance Sheet"/>
      <sheetName val="Shares"/>
      <sheetName val="Tax"/>
      <sheetName val="Revenue Summary"/>
      <sheetName val="Therapeutics"/>
      <sheetName val="Repifermin"/>
      <sheetName val="Albugranin"/>
      <sheetName val="BLyS"/>
      <sheetName val="Albumin Fusion"/>
      <sheetName val="Sheet1"/>
      <sheetName val="Gene Consortium"/>
      <sheetName val="unused"/>
      <sheetName val="Valuation"/>
      <sheetName val="Collaborations"/>
      <sheetName val="Strategic"/>
      <sheetName val="Holders-Analysts"/>
      <sheetName val="Management"/>
      <sheetName val="Consensus"/>
      <sheetName val="Financial History"/>
      <sheetName val="Comp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Model"/>
      <sheetName val="Rev-Exp Summary"/>
      <sheetName val="Tax"/>
      <sheetName val="Delta"/>
      <sheetName val="Balance Sheet"/>
      <sheetName val="Cash Flow"/>
      <sheetName val="Shares"/>
      <sheetName val="AmBisome"/>
      <sheetName val="Viread"/>
      <sheetName val="Hepsera"/>
      <sheetName val="Tamiflu"/>
      <sheetName val="Collab rsch"/>
      <sheetName val="Competition"/>
      <sheetName val="Valuation"/>
      <sheetName val="Products"/>
      <sheetName val="Managemen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_VDF"/>
      <sheetName val="Summary Page_VDF"/>
      <sheetName val="Invested capital_VDF"/>
      <sheetName val="NOPAT_VDF"/>
      <sheetName val="WACC_VDF"/>
      <sheetName val="DCF_VDF"/>
      <sheetName val="PV of Op Leases_VDF"/>
      <sheetName val="Sales"/>
    </sheetNames>
    <sheetDataSet>
      <sheetData sheetId="0" refreshError="1">
        <row r="44">
          <cell r="R44">
            <v>0.10503724816205434</v>
          </cell>
        </row>
      </sheetData>
      <sheetData sheetId="1"/>
      <sheetData sheetId="2" refreshError="1">
        <row r="1">
          <cell r="P1" t="str">
            <v>Invested Capital</v>
          </cell>
        </row>
        <row r="2">
          <cell r="O2" t="str">
            <v>P-2</v>
          </cell>
          <cell r="P2" t="str">
            <v>P-1</v>
          </cell>
          <cell r="Q2" t="str">
            <v>Present (P)</v>
          </cell>
          <cell r="R2" t="str">
            <v>Present (P)</v>
          </cell>
        </row>
        <row r="3">
          <cell r="O3">
            <v>1995</v>
          </cell>
          <cell r="P3">
            <v>1996</v>
          </cell>
          <cell r="Q3">
            <v>1997</v>
          </cell>
          <cell r="R3">
            <v>1998</v>
          </cell>
        </row>
        <row r="4">
          <cell r="O4">
            <v>289.42599999999999</v>
          </cell>
          <cell r="P4">
            <v>230.75800000000001</v>
          </cell>
          <cell r="Q4">
            <v>166.71499999999997</v>
          </cell>
          <cell r="R4">
            <v>194.767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11.498149999999999</v>
          </cell>
          <cell r="K5">
            <v>114.35785</v>
          </cell>
          <cell r="L5">
            <v>129.38685000000001</v>
          </cell>
          <cell r="M5">
            <v>193.4385</v>
          </cell>
          <cell r="N5">
            <v>169.32695000000001</v>
          </cell>
          <cell r="O5">
            <v>258.38670000000002</v>
          </cell>
          <cell r="P5">
            <v>194.08539999999999</v>
          </cell>
          <cell r="Q5">
            <v>129.51649999999998</v>
          </cell>
          <cell r="R5">
            <v>194.767</v>
          </cell>
        </row>
        <row r="6">
          <cell r="O6">
            <v>31.039299999999997</v>
          </cell>
          <cell r="P6">
            <v>36.672600000000003</v>
          </cell>
          <cell r="Q6">
            <v>37.198500000000003</v>
          </cell>
          <cell r="R6">
            <v>0</v>
          </cell>
        </row>
        <row r="7">
          <cell r="O7">
            <v>193.46699999999998</v>
          </cell>
          <cell r="P7">
            <v>220.36799999999999</v>
          </cell>
          <cell r="Q7">
            <v>248.46899999999999</v>
          </cell>
          <cell r="R7">
            <v>252.54299999999998</v>
          </cell>
        </row>
        <row r="8">
          <cell r="O8">
            <v>73.825000000000003</v>
          </cell>
          <cell r="P8">
            <v>100.343</v>
          </cell>
          <cell r="Q8">
            <v>92.444000000000003</v>
          </cell>
          <cell r="R8">
            <v>133.154</v>
          </cell>
        </row>
        <row r="9">
          <cell r="A9">
            <v>0.05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</row>
        <row r="10">
          <cell r="O10">
            <v>25.335999999999999</v>
          </cell>
          <cell r="P10">
            <v>19.353999999999999</v>
          </cell>
          <cell r="Q10">
            <v>18.228999999999999</v>
          </cell>
          <cell r="R10">
            <v>16.516999999999999</v>
          </cell>
        </row>
        <row r="11">
          <cell r="O11">
            <v>0</v>
          </cell>
          <cell r="P11">
            <v>0</v>
          </cell>
          <cell r="Q11">
            <v>0</v>
          </cell>
          <cell r="R11">
            <v>0</v>
          </cell>
        </row>
        <row r="12">
          <cell r="O12">
            <v>0</v>
          </cell>
          <cell r="P12">
            <v>0</v>
          </cell>
          <cell r="Q12">
            <v>0</v>
          </cell>
          <cell r="R12">
            <v>0</v>
          </cell>
        </row>
        <row r="13"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O14">
            <v>5.117</v>
          </cell>
          <cell r="P14">
            <v>17.425999999999998</v>
          </cell>
          <cell r="Q14">
            <v>10.601000000000001</v>
          </cell>
          <cell r="R14">
            <v>32.345999999999997</v>
          </cell>
        </row>
        <row r="15">
          <cell r="O15">
            <v>328.78430000000003</v>
          </cell>
          <cell r="P15">
            <v>394.16359999999997</v>
          </cell>
          <cell r="Q15">
            <v>406.94150000000002</v>
          </cell>
          <cell r="R15">
            <v>434.56</v>
          </cell>
        </row>
        <row r="17">
          <cell r="O17">
            <v>28.861999999999998</v>
          </cell>
          <cell r="P17">
            <v>33.145000000000003</v>
          </cell>
          <cell r="Q17">
            <v>46.238</v>
          </cell>
          <cell r="R17">
            <v>57.277000000000001</v>
          </cell>
        </row>
        <row r="18">
          <cell r="O18">
            <v>36.4</v>
          </cell>
          <cell r="P18">
            <v>52.689</v>
          </cell>
          <cell r="Q18">
            <v>50.451000000000001</v>
          </cell>
          <cell r="R18">
            <v>62.292999999999999</v>
          </cell>
        </row>
        <row r="19"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O21">
            <v>0</v>
          </cell>
          <cell r="P21">
            <v>0</v>
          </cell>
          <cell r="Q21">
            <v>0</v>
          </cell>
          <cell r="R21">
            <v>0</v>
          </cell>
        </row>
        <row r="22">
          <cell r="O22">
            <v>25.071999999999999</v>
          </cell>
          <cell r="P22">
            <v>33.488999999999997</v>
          </cell>
          <cell r="Q22">
            <v>42.484999999999999</v>
          </cell>
          <cell r="R22">
            <v>50.658999999999999</v>
          </cell>
        </row>
        <row r="23">
          <cell r="O23">
            <v>0</v>
          </cell>
          <cell r="P23">
            <v>0</v>
          </cell>
          <cell r="Q23">
            <v>0</v>
          </cell>
          <cell r="R23">
            <v>0</v>
          </cell>
        </row>
        <row r="24">
          <cell r="O24">
            <v>90.334000000000003</v>
          </cell>
          <cell r="P24">
            <v>119.32300000000001</v>
          </cell>
          <cell r="Q24">
            <v>139.17399999999998</v>
          </cell>
          <cell r="R24">
            <v>170.22899999999998</v>
          </cell>
        </row>
        <row r="26">
          <cell r="O26">
            <v>238.45030000000003</v>
          </cell>
          <cell r="P26">
            <v>274.84059999999999</v>
          </cell>
          <cell r="Q26">
            <v>267.76750000000004</v>
          </cell>
          <cell r="R26">
            <v>264.33100000000002</v>
          </cell>
        </row>
        <row r="28">
          <cell r="C28">
            <v>0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7.91</v>
          </cell>
          <cell r="K28">
            <v>9.3610000000000007</v>
          </cell>
          <cell r="L28">
            <v>11.807</v>
          </cell>
          <cell r="M28">
            <v>16.523</v>
          </cell>
          <cell r="N28">
            <v>23.344999999999999</v>
          </cell>
          <cell r="O28">
            <v>28.491</v>
          </cell>
          <cell r="P28">
            <v>25.701000000000001</v>
          </cell>
          <cell r="Q28">
            <v>31.074000000000002</v>
          </cell>
          <cell r="R28">
            <v>0</v>
          </cell>
          <cell r="S28">
            <v>45</v>
          </cell>
          <cell r="T28">
            <v>46</v>
          </cell>
        </row>
        <row r="29">
          <cell r="O29">
            <v>23.344999999999999</v>
          </cell>
          <cell r="P29">
            <v>28.491</v>
          </cell>
          <cell r="Q29">
            <v>25.701000000000001</v>
          </cell>
          <cell r="R29">
            <v>31.074000000000002</v>
          </cell>
          <cell r="S29">
            <v>0</v>
          </cell>
        </row>
        <row r="30">
          <cell r="O30">
            <v>28.491</v>
          </cell>
          <cell r="P30">
            <v>25.701000000000001</v>
          </cell>
          <cell r="Q30">
            <v>31.074000000000002</v>
          </cell>
          <cell r="R30">
            <v>0</v>
          </cell>
          <cell r="S30">
            <v>45</v>
          </cell>
        </row>
        <row r="31">
          <cell r="C31">
            <v>0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7.91</v>
          </cell>
          <cell r="L31">
            <v>9.3610000000000007</v>
          </cell>
          <cell r="M31">
            <v>11.807</v>
          </cell>
          <cell r="N31">
            <v>16.523</v>
          </cell>
          <cell r="O31">
            <v>23.344999999999999</v>
          </cell>
          <cell r="P31">
            <v>28.491</v>
          </cell>
          <cell r="Q31">
            <v>25.701000000000001</v>
          </cell>
          <cell r="R31">
            <v>31.074000000000002</v>
          </cell>
          <cell r="S31">
            <v>0</v>
          </cell>
          <cell r="T31">
            <v>45</v>
          </cell>
        </row>
        <row r="32"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O33">
            <v>119.298</v>
          </cell>
          <cell r="P33">
            <v>177.80199999999999</v>
          </cell>
          <cell r="Q33">
            <v>178.476</v>
          </cell>
          <cell r="R33">
            <v>168.75299999999999</v>
          </cell>
        </row>
        <row r="34">
          <cell r="A34">
            <v>1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</row>
        <row r="35">
          <cell r="O35">
            <v>11.046287899978912</v>
          </cell>
          <cell r="P35">
            <v>13.11518086653772</v>
          </cell>
          <cell r="Q35">
            <v>11.01234948567379</v>
          </cell>
          <cell r="R35">
            <v>11.01234948567379</v>
          </cell>
        </row>
        <row r="36">
          <cell r="O36">
            <v>0</v>
          </cell>
          <cell r="P36">
            <v>0</v>
          </cell>
          <cell r="Q36">
            <v>0</v>
          </cell>
          <cell r="R36">
            <v>0</v>
          </cell>
        </row>
        <row r="37">
          <cell r="O37">
            <v>0</v>
          </cell>
          <cell r="P37">
            <v>0</v>
          </cell>
          <cell r="Q37">
            <v>0</v>
          </cell>
          <cell r="R37">
            <v>0</v>
          </cell>
        </row>
        <row r="38">
          <cell r="O38">
            <v>0</v>
          </cell>
          <cell r="P38">
            <v>0</v>
          </cell>
          <cell r="Q38">
            <v>0</v>
          </cell>
          <cell r="R38">
            <v>0</v>
          </cell>
        </row>
        <row r="39">
          <cell r="O39">
            <v>0</v>
          </cell>
          <cell r="P39">
            <v>0</v>
          </cell>
          <cell r="Q39">
            <v>0</v>
          </cell>
          <cell r="R39">
            <v>0</v>
          </cell>
        </row>
        <row r="40">
          <cell r="O40">
            <v>1.2809040366577829</v>
          </cell>
          <cell r="P40">
            <v>1.7884200803230161</v>
          </cell>
          <cell r="Q40">
            <v>1.7884200803230161</v>
          </cell>
          <cell r="R40">
            <v>1.7884200803230161</v>
          </cell>
        </row>
        <row r="41">
          <cell r="O41">
            <v>34.854999999999997</v>
          </cell>
          <cell r="P41">
            <v>69.98</v>
          </cell>
          <cell r="Q41">
            <v>118.78700000000001</v>
          </cell>
          <cell r="R41">
            <v>297.15499999999997</v>
          </cell>
        </row>
        <row r="42">
          <cell r="O42">
            <v>43.511000000000003</v>
          </cell>
          <cell r="P42">
            <v>46.472999999999999</v>
          </cell>
          <cell r="Q42">
            <v>32.524000000000001</v>
          </cell>
          <cell r="R42">
            <v>37.75</v>
          </cell>
        </row>
        <row r="43">
          <cell r="O43">
            <v>209.99119193663668</v>
          </cell>
          <cell r="P43">
            <v>309.15860094686076</v>
          </cell>
          <cell r="Q43">
            <v>342.58776956599684</v>
          </cell>
          <cell r="R43">
            <v>516.45876956599682</v>
          </cell>
        </row>
        <row r="45">
          <cell r="O45">
            <v>0</v>
          </cell>
          <cell r="P45">
            <v>0</v>
          </cell>
          <cell r="Q45">
            <v>0</v>
          </cell>
          <cell r="R45">
            <v>0</v>
          </cell>
        </row>
        <row r="46">
          <cell r="O46">
            <v>0</v>
          </cell>
          <cell r="P46">
            <v>0</v>
          </cell>
          <cell r="Q46">
            <v>0</v>
          </cell>
          <cell r="R46">
            <v>0</v>
          </cell>
        </row>
        <row r="47">
          <cell r="O47">
            <v>0</v>
          </cell>
          <cell r="P47">
            <v>0</v>
          </cell>
          <cell r="Q47">
            <v>0</v>
          </cell>
          <cell r="R47">
            <v>0</v>
          </cell>
        </row>
        <row r="50">
          <cell r="O50">
            <v>448.44149193663668</v>
          </cell>
          <cell r="P50">
            <v>583.99920094686081</v>
          </cell>
          <cell r="Q50">
            <v>610.35526956599688</v>
          </cell>
          <cell r="R50">
            <v>780.78976956599683</v>
          </cell>
        </row>
        <row r="53">
          <cell r="O53">
            <v>0</v>
          </cell>
          <cell r="P53">
            <v>0</v>
          </cell>
          <cell r="Q53">
            <v>0</v>
          </cell>
          <cell r="R53">
            <v>0</v>
          </cell>
        </row>
        <row r="54">
          <cell r="O54">
            <v>7.3849999999999998</v>
          </cell>
          <cell r="P54">
            <v>8.1189999999999998</v>
          </cell>
          <cell r="Q54">
            <v>25.414000000000001</v>
          </cell>
          <cell r="R54">
            <v>30.311</v>
          </cell>
        </row>
        <row r="55">
          <cell r="O55">
            <v>0</v>
          </cell>
          <cell r="P55">
            <v>0</v>
          </cell>
          <cell r="Q55">
            <v>0</v>
          </cell>
          <cell r="R55">
            <v>0</v>
          </cell>
        </row>
        <row r="56">
          <cell r="O56">
            <v>0</v>
          </cell>
          <cell r="P56">
            <v>0</v>
          </cell>
          <cell r="Q56">
            <v>0</v>
          </cell>
          <cell r="R56">
            <v>0</v>
          </cell>
        </row>
        <row r="57">
          <cell r="O57">
            <v>107.54300000000001</v>
          </cell>
          <cell r="P57">
            <v>107.155</v>
          </cell>
          <cell r="Q57">
            <v>140.71299999999999</v>
          </cell>
          <cell r="R57">
            <v>322.51</v>
          </cell>
        </row>
        <row r="58">
          <cell r="O58">
            <v>0</v>
          </cell>
          <cell r="P58">
            <v>0</v>
          </cell>
          <cell r="Q58">
            <v>0</v>
          </cell>
          <cell r="R58">
            <v>0</v>
          </cell>
        </row>
        <row r="59">
          <cell r="O59">
            <v>11.046287899978912</v>
          </cell>
          <cell r="P59">
            <v>13.11518086653772</v>
          </cell>
          <cell r="Q59">
            <v>11.01234948567379</v>
          </cell>
          <cell r="R59">
            <v>11.01234948567379</v>
          </cell>
        </row>
        <row r="60">
          <cell r="O60">
            <v>0</v>
          </cell>
          <cell r="P60">
            <v>0</v>
          </cell>
          <cell r="Q60">
            <v>0</v>
          </cell>
          <cell r="R60">
            <v>0</v>
          </cell>
        </row>
        <row r="61">
          <cell r="C61">
            <v>0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52.584850144986802</v>
          </cell>
          <cell r="K61">
            <v>125.5285019754366</v>
          </cell>
          <cell r="L61">
            <v>133.92281883761169</v>
          </cell>
          <cell r="M61">
            <v>78.249975073504416</v>
          </cell>
          <cell r="N61">
            <v>130.30650233819992</v>
          </cell>
          <cell r="O61">
            <v>125.97428789997892</v>
          </cell>
          <cell r="P61">
            <v>128.38918086653771</v>
          </cell>
          <cell r="Q61">
            <v>177.13934948567379</v>
          </cell>
          <cell r="R61">
            <v>363.83334948567375</v>
          </cell>
        </row>
        <row r="63">
          <cell r="O63">
            <v>0</v>
          </cell>
          <cell r="P63">
            <v>0</v>
          </cell>
          <cell r="Q63">
            <v>0</v>
          </cell>
          <cell r="R63">
            <v>0</v>
          </cell>
        </row>
        <row r="64">
          <cell r="O64">
            <v>0</v>
          </cell>
          <cell r="P64">
            <v>0</v>
          </cell>
          <cell r="Q64">
            <v>0</v>
          </cell>
          <cell r="R64">
            <v>0</v>
          </cell>
        </row>
        <row r="65">
          <cell r="O65">
            <v>0</v>
          </cell>
          <cell r="P65">
            <v>0</v>
          </cell>
          <cell r="Q65">
            <v>0</v>
          </cell>
          <cell r="R65">
            <v>0</v>
          </cell>
        </row>
        <row r="66">
          <cell r="O66">
            <v>0</v>
          </cell>
          <cell r="P66">
            <v>0</v>
          </cell>
          <cell r="Q66">
            <v>0</v>
          </cell>
          <cell r="R66">
            <v>0</v>
          </cell>
        </row>
        <row r="67">
          <cell r="O67">
            <v>0</v>
          </cell>
          <cell r="P67">
            <v>0</v>
          </cell>
          <cell r="Q67">
            <v>0</v>
          </cell>
          <cell r="R67">
            <v>0</v>
          </cell>
        </row>
        <row r="68">
          <cell r="O68">
            <v>1.2809040366577829</v>
          </cell>
          <cell r="P68">
            <v>1.7884200803230161</v>
          </cell>
          <cell r="Q68">
            <v>1.7884200803230161</v>
          </cell>
          <cell r="R68">
            <v>1.7884200803230161</v>
          </cell>
        </row>
        <row r="69">
          <cell r="O69">
            <v>0</v>
          </cell>
          <cell r="P69">
            <v>0</v>
          </cell>
          <cell r="Q69">
            <v>0</v>
          </cell>
          <cell r="R69">
            <v>0</v>
          </cell>
        </row>
        <row r="70">
          <cell r="O70">
            <v>1.2809040366577829</v>
          </cell>
          <cell r="P70">
            <v>1.7884200803230161</v>
          </cell>
          <cell r="Q70">
            <v>1.7884200803230161</v>
          </cell>
          <cell r="R70">
            <v>1.7884200803230161</v>
          </cell>
        </row>
        <row r="72">
          <cell r="O72">
            <v>212.346</v>
          </cell>
          <cell r="P72">
            <v>296.39</v>
          </cell>
          <cell r="Q72">
            <v>389.904</v>
          </cell>
          <cell r="R72">
            <v>479.30199999999996</v>
          </cell>
        </row>
        <row r="73">
          <cell r="O73">
            <v>0</v>
          </cell>
          <cell r="P73">
            <v>0</v>
          </cell>
          <cell r="Q73">
            <v>0</v>
          </cell>
          <cell r="R73">
            <v>0</v>
          </cell>
        </row>
        <row r="74">
          <cell r="O74">
            <v>0</v>
          </cell>
          <cell r="P74">
            <v>0</v>
          </cell>
          <cell r="Q74">
            <v>0</v>
          </cell>
          <cell r="R74">
            <v>0</v>
          </cell>
        </row>
        <row r="76">
          <cell r="O76">
            <v>186.863</v>
          </cell>
          <cell r="P76">
            <v>271.68299999999999</v>
          </cell>
          <cell r="Q76">
            <v>348.80700000000002</v>
          </cell>
          <cell r="R76">
            <v>410.64300000000003</v>
          </cell>
        </row>
        <row r="78">
          <cell r="O78">
            <v>554.09</v>
          </cell>
          <cell r="P78">
            <v>623.20000000000005</v>
          </cell>
          <cell r="Q78">
            <v>519.84699999999998</v>
          </cell>
          <cell r="R78">
            <v>541.27599999999995</v>
          </cell>
        </row>
        <row r="79"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O80">
            <v>258.38670000000002</v>
          </cell>
          <cell r="P80">
            <v>194.08539999999999</v>
          </cell>
          <cell r="Q80">
            <v>129.51649999999998</v>
          </cell>
          <cell r="R80">
            <v>194.767</v>
          </cell>
        </row>
        <row r="81">
          <cell r="O81">
            <v>0</v>
          </cell>
          <cell r="P81">
            <v>0</v>
          </cell>
          <cell r="Q81">
            <v>0</v>
          </cell>
          <cell r="R81">
            <v>0</v>
          </cell>
        </row>
        <row r="83">
          <cell r="O83">
            <v>296.98420403665784</v>
          </cell>
          <cell r="P83">
            <v>430.90302008032307</v>
          </cell>
          <cell r="Q83">
            <v>392.11892008032305</v>
          </cell>
          <cell r="R83">
            <v>348.29742008032298</v>
          </cell>
        </row>
        <row r="84">
          <cell r="O84">
            <v>128.85048800000001</v>
          </cell>
          <cell r="P84">
            <v>125.57583199999999</v>
          </cell>
          <cell r="Q84">
            <v>113.71</v>
          </cell>
          <cell r="R84">
            <v>114.703</v>
          </cell>
        </row>
        <row r="85">
          <cell r="O85">
            <v>2.3048744994792556</v>
          </cell>
          <cell r="P85">
            <v>3.4314168038346988</v>
          </cell>
          <cell r="Q85">
            <v>3.4484119257789381</v>
          </cell>
          <cell r="R85">
            <v>3.036515349034663</v>
          </cell>
        </row>
        <row r="87">
          <cell r="C87">
            <v>0</v>
          </cell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154.82770014498681</v>
          </cell>
          <cell r="K87">
            <v>162.85368954940719</v>
          </cell>
          <cell r="L87">
            <v>264.6086572894306</v>
          </cell>
          <cell r="M87">
            <v>305.53416352532327</v>
          </cell>
          <cell r="N87">
            <v>509.37245637485768</v>
          </cell>
          <cell r="O87">
            <v>448.44149193663674</v>
          </cell>
          <cell r="P87">
            <v>583.99920094686081</v>
          </cell>
          <cell r="Q87">
            <v>610.35526956599688</v>
          </cell>
          <cell r="R87">
            <v>780.78976956599672</v>
          </cell>
        </row>
        <row r="88">
          <cell r="O88">
            <v>-0.11961966862491794</v>
          </cell>
          <cell r="P88">
            <v>0.30228627691163312</v>
          </cell>
          <cell r="Q88">
            <v>4.5130316234001586E-2</v>
          </cell>
          <cell r="R88">
            <v>4.5130316234001586E-2</v>
          </cell>
        </row>
        <row r="89">
          <cell r="C89">
            <v>0</v>
          </cell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154.82770014498681</v>
          </cell>
          <cell r="K89">
            <v>158.840694847197</v>
          </cell>
          <cell r="L89">
            <v>213.73117341941889</v>
          </cell>
          <cell r="M89">
            <v>285.0714104073769</v>
          </cell>
          <cell r="N89">
            <v>407.45330995009044</v>
          </cell>
          <cell r="O89">
            <v>478.90697415574721</v>
          </cell>
          <cell r="P89">
            <v>516.2203464417488</v>
          </cell>
          <cell r="Q89">
            <v>597.17723525642884</v>
          </cell>
          <cell r="R89">
            <v>597.17723525642884</v>
          </cell>
        </row>
        <row r="95">
          <cell r="O95">
            <v>3.0711455215573751</v>
          </cell>
          <cell r="P95">
            <v>3.5446591032657944</v>
          </cell>
          <cell r="Q95">
            <v>3.1736829644417996</v>
          </cell>
          <cell r="R95">
            <v>3.1736829644417996</v>
          </cell>
        </row>
        <row r="96">
          <cell r="O96">
            <v>6.9815952990131294</v>
          </cell>
          <cell r="P96">
            <v>8.4223508336778288</v>
          </cell>
          <cell r="Q96">
            <v>7.7180515283706885</v>
          </cell>
          <cell r="R96">
            <v>7.7180515283706885</v>
          </cell>
        </row>
        <row r="97">
          <cell r="C97" t="str">
            <v>--</v>
          </cell>
          <cell r="D97" t="str">
            <v xml:space="preserve">--  </v>
          </cell>
          <cell r="E97" t="str">
            <v xml:space="preserve">--  </v>
          </cell>
          <cell r="F97" t="str">
            <v xml:space="preserve">--  </v>
          </cell>
          <cell r="G97" t="str">
            <v xml:space="preserve">--  </v>
          </cell>
          <cell r="H97" t="str">
            <v xml:space="preserve">--  </v>
          </cell>
          <cell r="I97" t="str">
            <v xml:space="preserve">--  </v>
          </cell>
          <cell r="J97">
            <v>5.1859063965809922</v>
          </cell>
          <cell r="K97">
            <v>3.105422908353503</v>
          </cell>
          <cell r="L97">
            <v>3.9681745729381546</v>
          </cell>
          <cell r="M97">
            <v>3.0231657673892665</v>
          </cell>
          <cell r="N97">
            <v>2.6941392890636089</v>
          </cell>
          <cell r="O97">
            <v>2.2474561909483</v>
          </cell>
          <cell r="P97">
            <v>2.8578414306585214</v>
          </cell>
          <cell r="Q97">
            <v>2.7422001256523814</v>
          </cell>
          <cell r="R97">
            <v>2.7422001256523814</v>
          </cell>
        </row>
        <row r="98">
          <cell r="O98">
            <v>5.7336048729351665</v>
          </cell>
          <cell r="P98">
            <v>4.9374082800403905</v>
          </cell>
          <cell r="Q98">
            <v>4.1763454381129339</v>
          </cell>
          <cell r="R98">
            <v>4.1763454381129339</v>
          </cell>
        </row>
        <row r="99">
          <cell r="C99" t="str">
            <v>--</v>
          </cell>
          <cell r="D99" t="str">
            <v xml:space="preserve">--  </v>
          </cell>
          <cell r="E99" t="str">
            <v xml:space="preserve">--  </v>
          </cell>
          <cell r="F99" t="str">
            <v xml:space="preserve">--  </v>
          </cell>
          <cell r="G99" t="str">
            <v xml:space="preserve">--  </v>
          </cell>
          <cell r="H99" t="str">
            <v xml:space="preserve">--  </v>
          </cell>
          <cell r="I99" t="str">
            <v xml:space="preserve">--  </v>
          </cell>
          <cell r="J99">
            <v>5.7026695765341016</v>
          </cell>
          <cell r="K99">
            <v>2.8803849061066158</v>
          </cell>
          <cell r="L99">
            <v>3.532689050340057</v>
          </cell>
          <cell r="M99">
            <v>3.7655253558228621</v>
          </cell>
          <cell r="N99">
            <v>4.2923201511023992</v>
          </cell>
          <cell r="O99">
            <v>3.0623992850233517</v>
          </cell>
          <cell r="P99">
            <v>2.8255891076300372</v>
          </cell>
          <cell r="Q99">
            <v>2.2830046584365999</v>
          </cell>
          <cell r="R99">
            <v>2.2830046584365999</v>
          </cell>
        </row>
        <row r="100">
          <cell r="O100">
            <v>22.854523699953976</v>
          </cell>
          <cell r="P100">
            <v>13.992502503934753</v>
          </cell>
          <cell r="Q100">
            <v>7.8824158883703195</v>
          </cell>
          <cell r="R100">
            <v>7.8824158883703195</v>
          </cell>
        </row>
        <row r="101">
          <cell r="B101" t="str">
            <v xml:space="preserve"> Total other assets turns</v>
          </cell>
          <cell r="C101" t="str">
            <v>--</v>
          </cell>
          <cell r="D101" t="str">
            <v xml:space="preserve">--  </v>
          </cell>
          <cell r="E101" t="str">
            <v xml:space="preserve">--  </v>
          </cell>
          <cell r="F101" t="str">
            <v xml:space="preserve">--  </v>
          </cell>
          <cell r="G101" t="str">
            <v xml:space="preserve">--  </v>
          </cell>
          <cell r="H101" t="str">
            <v xml:space="preserve">--  </v>
          </cell>
          <cell r="I101" t="str">
            <v xml:space="preserve">--  </v>
          </cell>
          <cell r="J101" t="str">
            <v xml:space="preserve">--  </v>
          </cell>
          <cell r="K101" t="str">
            <v xml:space="preserve">--  </v>
          </cell>
          <cell r="L101" t="str">
            <v xml:space="preserve">--  </v>
          </cell>
          <cell r="M101" t="str">
            <v xml:space="preserve">--  </v>
          </cell>
          <cell r="N101" t="str">
            <v xml:space="preserve">--  </v>
          </cell>
          <cell r="O101" t="str">
            <v xml:space="preserve">--  </v>
          </cell>
          <cell r="P101" t="str">
            <v xml:space="preserve">--  </v>
          </cell>
          <cell r="Q101" t="str">
            <v xml:space="preserve">--  </v>
          </cell>
          <cell r="R101" t="str">
            <v xml:space="preserve">--  </v>
          </cell>
        </row>
        <row r="102">
          <cell r="C102" t="str">
            <v>--</v>
          </cell>
          <cell r="D102" t="str">
            <v xml:space="preserve">--  </v>
          </cell>
          <cell r="E102" t="str">
            <v xml:space="preserve">--  </v>
          </cell>
          <cell r="F102" t="str">
            <v xml:space="preserve">--  </v>
          </cell>
          <cell r="G102" t="str">
            <v xml:space="preserve">--  </v>
          </cell>
          <cell r="H102" t="str">
            <v xml:space="preserve">--  </v>
          </cell>
          <cell r="I102" t="str">
            <v xml:space="preserve">--  </v>
          </cell>
          <cell r="J102">
            <v>1.3580063503049324</v>
          </cell>
          <cell r="K102">
            <v>1.4943462708239887</v>
          </cell>
          <cell r="L102">
            <v>1.8689037897908622</v>
          </cell>
          <cell r="M102">
            <v>1.6768780822913059</v>
          </cell>
          <cell r="N102">
            <v>1.6553086783921716</v>
          </cell>
          <cell r="O102">
            <v>1.2962559192092946</v>
          </cell>
          <cell r="P102">
            <v>1.4208118782136456</v>
          </cell>
          <cell r="Q102">
            <v>1.2458110525270412</v>
          </cell>
          <cell r="R102">
            <v>1.2458110525270412</v>
          </cell>
        </row>
        <row r="105">
          <cell r="O105">
            <v>0.14454281322540216</v>
          </cell>
          <cell r="P105">
            <v>0.14910713359772479</v>
          </cell>
          <cell r="Q105">
            <v>0.16677526277977231</v>
          </cell>
          <cell r="R105">
            <v>0.16677526277977231</v>
          </cell>
        </row>
        <row r="106">
          <cell r="O106">
            <v>1.2962559192092946</v>
          </cell>
          <cell r="P106">
            <v>1.4208118782136456</v>
          </cell>
          <cell r="Q106">
            <v>1.2458110525270412</v>
          </cell>
          <cell r="R106">
            <v>1.2458110525270412</v>
          </cell>
        </row>
        <row r="107">
          <cell r="O107">
            <v>0.18736447722259106</v>
          </cell>
          <cell r="P107">
            <v>0.21185318654203633</v>
          </cell>
          <cell r="Q107">
            <v>0.20777046565914201</v>
          </cell>
          <cell r="R107">
            <v>0.20777046565914201</v>
          </cell>
        </row>
        <row r="108">
          <cell r="O108">
            <v>-0.13247454235994119</v>
          </cell>
          <cell r="P108">
            <v>2.4488709319445273E-2</v>
          </cell>
          <cell r="Q108">
            <v>-4.0827208828943251E-3</v>
          </cell>
          <cell r="R108">
            <v>-4.0827208828943251E-3</v>
          </cell>
        </row>
        <row r="109">
          <cell r="O109">
            <v>-0.19912506017263171</v>
          </cell>
          <cell r="P109" t="str">
            <v>NM</v>
          </cell>
          <cell r="Q109">
            <v>0.10853581848037203</v>
          </cell>
          <cell r="R109">
            <v>0.10853581848037203</v>
          </cell>
        </row>
        <row r="112">
          <cell r="O112">
            <v>-0.41419130953081551</v>
          </cell>
          <cell r="P112">
            <v>0.13070091877849621</v>
          </cell>
          <cell r="Q112">
            <v>-1.9271463174731274E-2</v>
          </cell>
          <cell r="R112">
            <v>0</v>
          </cell>
        </row>
        <row r="113">
          <cell r="O113">
            <v>8.2461520926468301E-2</v>
          </cell>
          <cell r="P113">
            <v>3.5112844228815332E-2</v>
          </cell>
          <cell r="Q113">
            <v>-7.2915051566889932E-2</v>
          </cell>
          <cell r="R113">
            <v>-8.4389232650254442E-2</v>
          </cell>
        </row>
        <row r="114">
          <cell r="O114" t="str">
            <v xml:space="preserve">  --</v>
          </cell>
          <cell r="P114" t="str">
            <v xml:space="preserve">  --</v>
          </cell>
          <cell r="Q114" t="str">
            <v xml:space="preserve">  --</v>
          </cell>
          <cell r="R114" t="str">
            <v xml:space="preserve">  --</v>
          </cell>
        </row>
        <row r="118">
          <cell r="O118">
            <v>1995</v>
          </cell>
          <cell r="P118">
            <v>1996</v>
          </cell>
          <cell r="Q118">
            <v>1997</v>
          </cell>
        </row>
        <row r="119">
          <cell r="O119">
            <v>3.0711455215573751</v>
          </cell>
          <cell r="P119">
            <v>3.5446591032657944</v>
          </cell>
          <cell r="Q119">
            <v>3.1736829644417996</v>
          </cell>
        </row>
        <row r="120">
          <cell r="O120">
            <v>118.84816184643338</v>
          </cell>
          <cell r="P120">
            <v>102.97182024181541</v>
          </cell>
          <cell r="Q120">
            <v>115.00833702971894</v>
          </cell>
        </row>
        <row r="121">
          <cell r="O121">
            <v>2.6906289538054939</v>
          </cell>
          <cell r="P121">
            <v>3.1828234807771807</v>
          </cell>
          <cell r="Q121">
            <v>2.7593976772292739</v>
          </cell>
        </row>
        <row r="122">
          <cell r="O122">
            <v>135.65601436190667</v>
          </cell>
          <cell r="P122">
            <v>114.67805305711595</v>
          </cell>
          <cell r="Q122">
            <v>132.27524362001293</v>
          </cell>
        </row>
        <row r="123">
          <cell r="O123">
            <v>9.6174626145682591</v>
          </cell>
          <cell r="P123">
            <v>8.9400551550631366</v>
          </cell>
          <cell r="Q123">
            <v>6.7013844273962935</v>
          </cell>
        </row>
        <row r="124">
          <cell r="O124">
            <v>37.95179816421728</v>
          </cell>
          <cell r="P124">
            <v>40.827488608197775</v>
          </cell>
          <cell r="Q124">
            <v>54.466357504849846</v>
          </cell>
        </row>
        <row r="125">
          <cell r="O125">
            <v>216.55237804412278</v>
          </cell>
          <cell r="P125">
            <v>176.8223846907336</v>
          </cell>
          <cell r="Q125">
            <v>192.81722314488204</v>
          </cell>
        </row>
      </sheetData>
      <sheetData sheetId="3" refreshError="1">
        <row r="1">
          <cell r="O1">
            <v>-2.7708421259500061E-2</v>
          </cell>
          <cell r="P1">
            <v>-2.1327912392358324E-2</v>
          </cell>
          <cell r="Q1">
            <v>-1.5210290737529737E-2</v>
          </cell>
        </row>
        <row r="2">
          <cell r="P2" t="str">
            <v>NOPAT Statement</v>
          </cell>
        </row>
        <row r="3">
          <cell r="O3" t="str">
            <v>P-2</v>
          </cell>
          <cell r="P3" t="str">
            <v>P-1</v>
          </cell>
          <cell r="Q3" t="str">
            <v>Present (P)</v>
          </cell>
        </row>
        <row r="4">
          <cell r="O4">
            <v>1995</v>
          </cell>
          <cell r="P4">
            <v>1996</v>
          </cell>
          <cell r="Q4">
            <v>1997</v>
          </cell>
        </row>
        <row r="5"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210.25700000000001</v>
          </cell>
          <cell r="K5">
            <v>237.363</v>
          </cell>
          <cell r="L5">
            <v>399.44299999999998</v>
          </cell>
          <cell r="M5">
            <v>478.03</v>
          </cell>
          <cell r="N5">
            <v>674.46100000000001</v>
          </cell>
          <cell r="O5">
            <v>620.78599999999994</v>
          </cell>
          <cell r="P5">
            <v>733.452</v>
          </cell>
          <cell r="Q5">
            <v>743.97</v>
          </cell>
        </row>
        <row r="6"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210.25700000000001</v>
          </cell>
          <cell r="K8">
            <v>237.363</v>
          </cell>
          <cell r="L8">
            <v>399.44299999999998</v>
          </cell>
          <cell r="M8">
            <v>478.03</v>
          </cell>
          <cell r="N8">
            <v>674.46100000000001</v>
          </cell>
          <cell r="O8">
            <v>620.78599999999994</v>
          </cell>
          <cell r="P8">
            <v>733.452</v>
          </cell>
          <cell r="Q8">
            <v>743.97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90.438999999999993</v>
          </cell>
          <cell r="K9">
            <v>91.069000000000003</v>
          </cell>
          <cell r="L9">
            <v>126.80500000000001</v>
          </cell>
          <cell r="M9">
            <v>170.83199999999999</v>
          </cell>
          <cell r="N9">
            <v>278.57299999999998</v>
          </cell>
          <cell r="O9">
            <v>239.244</v>
          </cell>
          <cell r="P9">
            <v>277.173</v>
          </cell>
          <cell r="Q9">
            <v>265.988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119.81800000000001</v>
          </cell>
          <cell r="K10">
            <v>146.29399999999998</v>
          </cell>
          <cell r="L10">
            <v>272.63799999999998</v>
          </cell>
          <cell r="M10">
            <v>307.19799999999998</v>
          </cell>
          <cell r="N10">
            <v>395.88800000000003</v>
          </cell>
          <cell r="O10">
            <v>381.54199999999992</v>
          </cell>
          <cell r="P10">
            <v>456.279</v>
          </cell>
          <cell r="Q10">
            <v>477.98200000000003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45.177</v>
          </cell>
          <cell r="K12">
            <v>50.475000000000001</v>
          </cell>
          <cell r="L12">
            <v>66.191999999999993</v>
          </cell>
          <cell r="M12">
            <v>57.526000000000003</v>
          </cell>
          <cell r="N12">
            <v>83.870999999999995</v>
          </cell>
          <cell r="O12">
            <v>88.551000000000002</v>
          </cell>
          <cell r="P12">
            <v>108.46899999999999</v>
          </cell>
          <cell r="Q12">
            <v>98.38</v>
          </cell>
        </row>
        <row r="13">
          <cell r="O13">
            <v>28.491</v>
          </cell>
          <cell r="P13">
            <v>25.701000000000001</v>
          </cell>
          <cell r="Q13">
            <v>31.074000000000002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36.667000000000002</v>
          </cell>
          <cell r="K14">
            <v>41.838999999999999</v>
          </cell>
          <cell r="L14">
            <v>89.331000000000003</v>
          </cell>
          <cell r="M14">
            <v>82.911000000000001</v>
          </cell>
          <cell r="N14">
            <v>90.765999999999991</v>
          </cell>
          <cell r="O14">
            <v>125.15899999999999</v>
          </cell>
          <cell r="P14">
            <v>152.27599999999998</v>
          </cell>
          <cell r="Q14">
            <v>157.09100000000001</v>
          </cell>
        </row>
        <row r="15">
          <cell r="O15">
            <v>481.44499999999999</v>
          </cell>
          <cell r="P15">
            <v>563.61900000000003</v>
          </cell>
          <cell r="Q15">
            <v>552.53300000000002</v>
          </cell>
        </row>
        <row r="17">
          <cell r="C17">
            <v>0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30.064000000000021</v>
          </cell>
          <cell r="K17">
            <v>44.619</v>
          </cell>
          <cell r="L17">
            <v>105.30799999999994</v>
          </cell>
          <cell r="M17">
            <v>150.23799999999994</v>
          </cell>
          <cell r="N17">
            <v>197.90600000000006</v>
          </cell>
          <cell r="O17">
            <v>139.34099999999995</v>
          </cell>
          <cell r="P17">
            <v>169.83299999999997</v>
          </cell>
          <cell r="Q17">
            <v>191.43700000000001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19">
          <cell r="O19">
            <v>139.34099999999995</v>
          </cell>
          <cell r="P19">
            <v>169.83299999999997</v>
          </cell>
          <cell r="Q19">
            <v>191.43700000000001</v>
          </cell>
        </row>
        <row r="21">
          <cell r="O21">
            <v>0</v>
          </cell>
          <cell r="P21">
            <v>0</v>
          </cell>
          <cell r="Q21">
            <v>0</v>
          </cell>
        </row>
        <row r="22">
          <cell r="C22">
            <v>0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1.1316410427298416</v>
          </cell>
          <cell r="K23">
            <v>1.1286849690759182</v>
          </cell>
          <cell r="L23">
            <v>1.8672821040415268</v>
          </cell>
          <cell r="M23">
            <v>1.5781964092550558</v>
          </cell>
          <cell r="N23">
            <v>1.3678098471102524</v>
          </cell>
          <cell r="O23">
            <v>0.86381971377835087</v>
          </cell>
          <cell r="P23">
            <v>1.0479029512363638</v>
          </cell>
          <cell r="Q23">
            <v>0.78297804843140639</v>
          </cell>
        </row>
        <row r="24">
          <cell r="O24">
            <v>0.86381971377835087</v>
          </cell>
          <cell r="P24">
            <v>1.0479029512363638</v>
          </cell>
          <cell r="Q24">
            <v>0.78297804843140639</v>
          </cell>
        </row>
        <row r="26"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31.195641042729864</v>
          </cell>
          <cell r="K26">
            <v>45.74768496907592</v>
          </cell>
          <cell r="L26">
            <v>107.17528210404146</v>
          </cell>
          <cell r="M26">
            <v>151.81619640925499</v>
          </cell>
          <cell r="N26">
            <v>199.27380984711033</v>
          </cell>
          <cell r="O26">
            <v>140.20481971377831</v>
          </cell>
          <cell r="P26">
            <v>170.88090295123632</v>
          </cell>
          <cell r="Q26">
            <v>192.21997804843141</v>
          </cell>
        </row>
        <row r="28">
          <cell r="O28">
            <v>0</v>
          </cell>
          <cell r="P28">
            <v>0</v>
          </cell>
          <cell r="Q28">
            <v>0</v>
          </cell>
        </row>
        <row r="29">
          <cell r="O29">
            <v>0</v>
          </cell>
          <cell r="P29">
            <v>0</v>
          </cell>
          <cell r="Q29">
            <v>0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2">
          <cell r="C32">
            <v>0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31.195641042729864</v>
          </cell>
          <cell r="K32">
            <v>45.74768496907592</v>
          </cell>
          <cell r="L32">
            <v>107.17528210404146</v>
          </cell>
          <cell r="M32">
            <v>151.81619640925499</v>
          </cell>
          <cell r="N32">
            <v>199.27380984711033</v>
          </cell>
          <cell r="O32">
            <v>140.20481971377831</v>
          </cell>
          <cell r="P32">
            <v>170.88090295123632</v>
          </cell>
          <cell r="Q32">
            <v>192.21997804843141</v>
          </cell>
        </row>
        <row r="34"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11.965</v>
          </cell>
          <cell r="K34">
            <v>18.606999999999999</v>
          </cell>
          <cell r="L34">
            <v>42.295999999999999</v>
          </cell>
          <cell r="M34">
            <v>68.566000000000003</v>
          </cell>
          <cell r="N34">
            <v>74.313000000000002</v>
          </cell>
          <cell r="O34">
            <v>52.116</v>
          </cell>
          <cell r="P34">
            <v>66.385999999999996</v>
          </cell>
          <cell r="Q34">
            <v>75.378</v>
          </cell>
        </row>
        <row r="35">
          <cell r="O35">
            <v>4.2401581056063664</v>
          </cell>
          <cell r="P35">
            <v>0.38628535327516383</v>
          </cell>
          <cell r="Q35">
            <v>-3.499737171075838</v>
          </cell>
        </row>
        <row r="36">
          <cell r="O36">
            <v>-6.1924740681384902</v>
          </cell>
          <cell r="P36">
            <v>-5.6315580440665283</v>
          </cell>
          <cell r="Q36">
            <v>-4.0116517248677246</v>
          </cell>
        </row>
        <row r="37">
          <cell r="O37">
            <v>0.31098082536592347</v>
          </cell>
          <cell r="P37">
            <v>0.37725029050925019</v>
          </cell>
          <cell r="Q37">
            <v>0.27757469410776042</v>
          </cell>
        </row>
        <row r="38">
          <cell r="O38">
            <v>0</v>
          </cell>
          <cell r="P38">
            <v>0</v>
          </cell>
          <cell r="Q38">
            <v>0</v>
          </cell>
        </row>
        <row r="39">
          <cell r="C39">
            <v>0</v>
          </cell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11.675921079712916</v>
          </cell>
          <cell r="K39">
            <v>17.429964457677489</v>
          </cell>
          <cell r="L39">
            <v>42.333635897203401</v>
          </cell>
          <cell r="M39">
            <v>59.774837622869477</v>
          </cell>
          <cell r="N39">
            <v>68.954342667015766</v>
          </cell>
          <cell r="O39">
            <v>50.474664862833805</v>
          </cell>
          <cell r="P39">
            <v>61.517977599717888</v>
          </cell>
          <cell r="Q39">
            <v>68.144185798164202</v>
          </cell>
        </row>
        <row r="41">
          <cell r="C41">
            <v>0</v>
          </cell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19.519719963016946</v>
          </cell>
          <cell r="K41">
            <v>28.317720511398431</v>
          </cell>
          <cell r="L41">
            <v>64.84164620683805</v>
          </cell>
          <cell r="M41">
            <v>92.041358786385501</v>
          </cell>
          <cell r="N41">
            <v>130.31946718009456</v>
          </cell>
          <cell r="O41">
            <v>89.730154850944501</v>
          </cell>
          <cell r="P41">
            <v>109.36292535151844</v>
          </cell>
          <cell r="Q41">
            <v>124.07579225026721</v>
          </cell>
        </row>
        <row r="43">
          <cell r="O43">
            <v>92.647999999999954</v>
          </cell>
          <cell r="P43">
            <v>118.01699999999997</v>
          </cell>
          <cell r="Q43">
            <v>137.24700000000001</v>
          </cell>
        </row>
        <row r="44">
          <cell r="O44">
            <v>0</v>
          </cell>
          <cell r="P44">
            <v>0</v>
          </cell>
          <cell r="Q44">
            <v>0</v>
          </cell>
        </row>
        <row r="45">
          <cell r="O45">
            <v>0.86381971377835087</v>
          </cell>
          <cell r="P45">
            <v>1.0479029512363638</v>
          </cell>
          <cell r="Q45">
            <v>0.78297804843140639</v>
          </cell>
        </row>
        <row r="46">
          <cell r="O46">
            <v>93.511819713778308</v>
          </cell>
          <cell r="P46">
            <v>119.06490295123633</v>
          </cell>
          <cell r="Q46">
            <v>138.02997804843142</v>
          </cell>
        </row>
        <row r="48">
          <cell r="C48">
            <v>0</v>
          </cell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-0.95399999999999996</v>
          </cell>
          <cell r="L48">
            <v>0.219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O49">
            <v>0</v>
          </cell>
          <cell r="P49">
            <v>0</v>
          </cell>
          <cell r="Q49">
            <v>0</v>
          </cell>
        </row>
        <row r="50">
          <cell r="O50">
            <v>-8.3000000000000004E-2</v>
          </cell>
          <cell r="P50">
            <v>0.79300000000000004</v>
          </cell>
          <cell r="Q50">
            <v>2.4E-2</v>
          </cell>
        </row>
        <row r="51">
          <cell r="O51">
            <v>0</v>
          </cell>
          <cell r="P51">
            <v>0</v>
          </cell>
          <cell r="Q51">
            <v>0</v>
          </cell>
        </row>
        <row r="52">
          <cell r="O52">
            <v>0</v>
          </cell>
          <cell r="P52">
            <v>0</v>
          </cell>
          <cell r="Q52">
            <v>0</v>
          </cell>
        </row>
        <row r="53">
          <cell r="O53">
            <v>0</v>
          </cell>
          <cell r="P53">
            <v>0</v>
          </cell>
          <cell r="Q53">
            <v>0</v>
          </cell>
        </row>
        <row r="54">
          <cell r="O54">
            <v>0</v>
          </cell>
          <cell r="P54">
            <v>0</v>
          </cell>
          <cell r="Q54">
            <v>0</v>
          </cell>
        </row>
        <row r="55">
          <cell r="O55">
            <v>-8.3000000000000004E-2</v>
          </cell>
          <cell r="P55">
            <v>0.79300000000000004</v>
          </cell>
          <cell r="Q55">
            <v>2.4E-2</v>
          </cell>
        </row>
        <row r="57">
          <cell r="O57">
            <v>93.42881971377831</v>
          </cell>
          <cell r="P57">
            <v>119.85790295123634</v>
          </cell>
          <cell r="Q57">
            <v>138.05397804843142</v>
          </cell>
        </row>
        <row r="58">
          <cell r="C58">
            <v>0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1.829</v>
          </cell>
          <cell r="K58">
            <v>0.76300000000000001</v>
          </cell>
          <cell r="L58">
            <v>-0.434</v>
          </cell>
          <cell r="M58">
            <v>0</v>
          </cell>
          <cell r="N58">
            <v>0.93500000000000005</v>
          </cell>
          <cell r="O58">
            <v>-12.032999999999999</v>
          </cell>
          <cell r="P58">
            <v>-4.3109999999999999</v>
          </cell>
          <cell r="Q58">
            <v>12.885</v>
          </cell>
        </row>
        <row r="59">
          <cell r="C59">
            <v>0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0.124</v>
          </cell>
          <cell r="K59">
            <v>-1.091</v>
          </cell>
          <cell r="L59">
            <v>3.1920000000000002</v>
          </cell>
          <cell r="M59">
            <v>-0.28199999999999997</v>
          </cell>
          <cell r="N59">
            <v>1.0209999999999999</v>
          </cell>
          <cell r="O59">
            <v>-0.17199999999999999</v>
          </cell>
          <cell r="P59">
            <v>-4.0309999999999997</v>
          </cell>
          <cell r="Q59">
            <v>2.9889999999999999</v>
          </cell>
        </row>
        <row r="60">
          <cell r="O60">
            <v>0</v>
          </cell>
          <cell r="P60">
            <v>0</v>
          </cell>
          <cell r="Q60">
            <v>0</v>
          </cell>
        </row>
        <row r="61">
          <cell r="O61">
            <v>0</v>
          </cell>
          <cell r="P61">
            <v>0</v>
          </cell>
          <cell r="Q61">
            <v>0</v>
          </cell>
        </row>
        <row r="63">
          <cell r="C63">
            <v>0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-0.19900000000000073</v>
          </cell>
          <cell r="K63">
            <v>-3.5200000000000014</v>
          </cell>
          <cell r="L63">
            <v>-6.2280000000000015</v>
          </cell>
          <cell r="M63">
            <v>-13.534000000000001</v>
          </cell>
          <cell r="N63">
            <v>-17.736999999999998</v>
          </cell>
          <cell r="O63">
            <v>-17.201000000000004</v>
          </cell>
          <cell r="P63">
            <v>-15.642999999999997</v>
          </cell>
          <cell r="Q63">
            <v>-11.315999999999999</v>
          </cell>
        </row>
        <row r="64">
          <cell r="O64">
            <v>4.2401581056063664</v>
          </cell>
          <cell r="P64">
            <v>0.38628535327516383</v>
          </cell>
          <cell r="Q64">
            <v>-3.499737171075838</v>
          </cell>
        </row>
        <row r="65">
          <cell r="O65">
            <v>0.31098082536592347</v>
          </cell>
          <cell r="P65">
            <v>0.37725029050925019</v>
          </cell>
          <cell r="Q65">
            <v>0.27757469410776042</v>
          </cell>
        </row>
        <row r="66">
          <cell r="O66">
            <v>-6.1924740681384902</v>
          </cell>
          <cell r="P66">
            <v>-5.6315580440665283</v>
          </cell>
          <cell r="Q66">
            <v>-4.0116517248677246</v>
          </cell>
        </row>
        <row r="67">
          <cell r="O67">
            <v>-15.559664862833802</v>
          </cell>
          <cell r="P67">
            <v>-10.774977599717884</v>
          </cell>
          <cell r="Q67">
            <v>-4.0821857981641969</v>
          </cell>
        </row>
        <row r="69">
          <cell r="O69">
            <v>89.730154850944515</v>
          </cell>
          <cell r="P69">
            <v>109.36292535151844</v>
          </cell>
          <cell r="Q69">
            <v>124.07579225026721</v>
          </cell>
        </row>
        <row r="71">
          <cell r="O71" t="str">
            <v>P-2</v>
          </cell>
          <cell r="P71" t="str">
            <v>P-1</v>
          </cell>
          <cell r="Q71" t="str">
            <v>Present (P)</v>
          </cell>
        </row>
        <row r="72">
          <cell r="O72">
            <v>1995</v>
          </cell>
          <cell r="P72">
            <v>1996</v>
          </cell>
          <cell r="Q72">
            <v>1997</v>
          </cell>
        </row>
        <row r="73">
          <cell r="O73">
            <v>620.78599999999994</v>
          </cell>
          <cell r="P73">
            <v>733.452</v>
          </cell>
          <cell r="Q73">
            <v>743.97</v>
          </cell>
        </row>
        <row r="74">
          <cell r="O74">
            <v>0</v>
          </cell>
          <cell r="P74">
            <v>0</v>
          </cell>
          <cell r="Q74">
            <v>0</v>
          </cell>
        </row>
        <row r="75">
          <cell r="O75">
            <v>0</v>
          </cell>
          <cell r="P75">
            <v>0</v>
          </cell>
          <cell r="Q75">
            <v>0</v>
          </cell>
        </row>
        <row r="76">
          <cell r="O76">
            <v>620.78599999999994</v>
          </cell>
          <cell r="P76">
            <v>733.452</v>
          </cell>
          <cell r="Q76">
            <v>743.97</v>
          </cell>
        </row>
        <row r="77">
          <cell r="O77">
            <v>239.244</v>
          </cell>
          <cell r="P77">
            <v>277.173</v>
          </cell>
          <cell r="Q77">
            <v>265.988</v>
          </cell>
        </row>
        <row r="78">
          <cell r="O78">
            <v>381.54199999999992</v>
          </cell>
          <cell r="P78">
            <v>456.279</v>
          </cell>
          <cell r="Q78">
            <v>477.98200000000003</v>
          </cell>
        </row>
        <row r="79">
          <cell r="O79">
            <v>88.551000000000002</v>
          </cell>
          <cell r="P79">
            <v>108.46899999999999</v>
          </cell>
          <cell r="Q79">
            <v>98.38</v>
          </cell>
        </row>
        <row r="80">
          <cell r="O80">
            <v>28.491</v>
          </cell>
          <cell r="P80">
            <v>25.701000000000001</v>
          </cell>
          <cell r="Q80">
            <v>31.074000000000002</v>
          </cell>
        </row>
        <row r="81">
          <cell r="O81">
            <v>125.15899999999999</v>
          </cell>
          <cell r="P81">
            <v>152.27599999999998</v>
          </cell>
          <cell r="Q81">
            <v>157.09100000000001</v>
          </cell>
        </row>
        <row r="82">
          <cell r="O82">
            <v>481.44499999999999</v>
          </cell>
          <cell r="P82">
            <v>563.61900000000003</v>
          </cell>
          <cell r="Q82">
            <v>552.53300000000002</v>
          </cell>
        </row>
        <row r="84">
          <cell r="O84">
            <v>139.34099999999995</v>
          </cell>
          <cell r="P84">
            <v>169.83299999999997</v>
          </cell>
          <cell r="Q84">
            <v>191.43700000000001</v>
          </cell>
        </row>
        <row r="85">
          <cell r="O85">
            <v>0</v>
          </cell>
          <cell r="P85">
            <v>0</v>
          </cell>
          <cell r="Q85">
            <v>0</v>
          </cell>
        </row>
        <row r="86">
          <cell r="O86">
            <v>-17.201000000000004</v>
          </cell>
          <cell r="P86">
            <v>-15.642999999999997</v>
          </cell>
          <cell r="Q86">
            <v>-11.315999999999999</v>
          </cell>
        </row>
        <row r="87">
          <cell r="O87">
            <v>-8.3000000000000004E-2</v>
          </cell>
          <cell r="P87">
            <v>0.79300000000000004</v>
          </cell>
          <cell r="Q87">
            <v>2.4E-2</v>
          </cell>
        </row>
        <row r="88">
          <cell r="O88">
            <v>-12.032999999999999</v>
          </cell>
          <cell r="P88">
            <v>-4.3109999999999999</v>
          </cell>
          <cell r="Q88">
            <v>12.885</v>
          </cell>
        </row>
        <row r="89">
          <cell r="O89">
            <v>-0.17199999999999999</v>
          </cell>
          <cell r="P89">
            <v>-4.0309999999999997</v>
          </cell>
          <cell r="Q89">
            <v>2.9889999999999999</v>
          </cell>
        </row>
        <row r="90">
          <cell r="O90">
            <v>144.76399999999995</v>
          </cell>
          <cell r="P90">
            <v>184.40299999999996</v>
          </cell>
          <cell r="Q90">
            <v>212.625</v>
          </cell>
        </row>
        <row r="91">
          <cell r="O91">
            <v>52.116</v>
          </cell>
          <cell r="P91">
            <v>66.385999999999996</v>
          </cell>
          <cell r="Q91">
            <v>75.378</v>
          </cell>
        </row>
        <row r="92">
          <cell r="O92">
            <v>0</v>
          </cell>
          <cell r="P92">
            <v>0</v>
          </cell>
          <cell r="Q92">
            <v>0</v>
          </cell>
        </row>
        <row r="93">
          <cell r="O93">
            <v>0</v>
          </cell>
          <cell r="P93">
            <v>0</v>
          </cell>
          <cell r="Q93">
            <v>0</v>
          </cell>
        </row>
        <row r="94">
          <cell r="O94">
            <v>92.647999999999954</v>
          </cell>
          <cell r="P94">
            <v>118.01699999999997</v>
          </cell>
          <cell r="Q94">
            <v>137.24700000000001</v>
          </cell>
        </row>
        <row r="95">
          <cell r="O95">
            <v>1047.3320000000001</v>
          </cell>
        </row>
        <row r="96">
          <cell r="C96">
            <v>0</v>
          </cell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0.1707688760435318</v>
          </cell>
          <cell r="K96">
            <v>0.25729629478696092</v>
          </cell>
          <cell r="L96">
            <v>0.47829325734821787</v>
          </cell>
          <cell r="M96">
            <v>0.87127266133343562</v>
          </cell>
          <cell r="N96">
            <v>1.0337816741608672</v>
          </cell>
          <cell r="O96">
            <v>0.70672952232748987</v>
          </cell>
          <cell r="P96">
            <v>0.92085674157303343</v>
          </cell>
          <cell r="Q96">
            <v>1.1285831757256806</v>
          </cell>
        </row>
        <row r="97">
          <cell r="O97">
            <v>0.36000663148296552</v>
          </cell>
          <cell r="P97">
            <v>0.360004989072846</v>
          </cell>
          <cell r="Q97">
            <v>0.3545114638447972</v>
          </cell>
        </row>
        <row r="98">
          <cell r="O98">
            <v>0.36000663148296547</v>
          </cell>
          <cell r="P98">
            <v>0.36000498907284595</v>
          </cell>
          <cell r="Q98">
            <v>0.3545114638447972</v>
          </cell>
        </row>
        <row r="100">
          <cell r="C100">
            <v>0</v>
          </cell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9.3640000000000008</v>
          </cell>
          <cell r="K100">
            <v>11.952</v>
          </cell>
          <cell r="L100">
            <v>16.826000000000001</v>
          </cell>
          <cell r="M100">
            <v>20.196000000000002</v>
          </cell>
          <cell r="N100">
            <v>20.074000000000002</v>
          </cell>
          <cell r="O100">
            <v>27.896000000000001</v>
          </cell>
          <cell r="P100">
            <v>30.501999999999999</v>
          </cell>
          <cell r="Q100">
            <v>35.024000000000001</v>
          </cell>
        </row>
        <row r="101">
          <cell r="C101">
            <v>0</v>
          </cell>
          <cell r="D101">
            <v>0</v>
          </cell>
          <cell r="E101">
            <v>0</v>
          </cell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30.064000000000021</v>
          </cell>
          <cell r="K101">
            <v>44.619</v>
          </cell>
          <cell r="L101">
            <v>105.30799999999994</v>
          </cell>
          <cell r="M101">
            <v>150.23799999999994</v>
          </cell>
          <cell r="N101">
            <v>197.90600000000006</v>
          </cell>
          <cell r="O101">
            <v>139.34099999999995</v>
          </cell>
          <cell r="P101">
            <v>169.83299999999997</v>
          </cell>
          <cell r="Q101">
            <v>191.43700000000001</v>
          </cell>
        </row>
        <row r="102"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39.428000000000026</v>
          </cell>
          <cell r="K102">
            <v>56.570999999999998</v>
          </cell>
          <cell r="L102">
            <v>122.13399999999993</v>
          </cell>
          <cell r="M102">
            <v>170.43399999999994</v>
          </cell>
          <cell r="N102">
            <v>217.98000000000008</v>
          </cell>
          <cell r="O102">
            <v>167.23699999999997</v>
          </cell>
          <cell r="P102">
            <v>200.33499999999998</v>
          </cell>
          <cell r="Q102">
            <v>226.46100000000001</v>
          </cell>
        </row>
        <row r="103">
          <cell r="O103">
            <v>211.34800000000001</v>
          </cell>
          <cell r="P103">
            <v>246.67099999999999</v>
          </cell>
          <cell r="Q103">
            <v>230.964</v>
          </cell>
        </row>
        <row r="104">
          <cell r="C104">
            <v>0</v>
          </cell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9.3640000000000008</v>
          </cell>
          <cell r="K104">
            <v>11.952</v>
          </cell>
          <cell r="L104">
            <v>16.826000000000001</v>
          </cell>
          <cell r="M104">
            <v>20.196000000000002</v>
          </cell>
          <cell r="N104">
            <v>20.074000000000002</v>
          </cell>
          <cell r="O104">
            <v>27.896000000000001</v>
          </cell>
          <cell r="P104">
            <v>30.501999999999999</v>
          </cell>
          <cell r="Q104">
            <v>35.024000000000001</v>
          </cell>
        </row>
        <row r="105">
          <cell r="O105">
            <v>0</v>
          </cell>
          <cell r="P105">
            <v>0</v>
          </cell>
          <cell r="Q105">
            <v>0</v>
          </cell>
        </row>
        <row r="108">
          <cell r="O108">
            <v>0.61461115424639079</v>
          </cell>
          <cell r="P108">
            <v>0.62209796960128272</v>
          </cell>
          <cell r="Q108">
            <v>0.64247483097436731</v>
          </cell>
        </row>
        <row r="109">
          <cell r="C109" t="str">
            <v xml:space="preserve">--  </v>
          </cell>
          <cell r="D109" t="str">
            <v xml:space="preserve">--  </v>
          </cell>
          <cell r="E109" t="str">
            <v xml:space="preserve">--  </v>
          </cell>
          <cell r="F109" t="str">
            <v xml:space="preserve">--  </v>
          </cell>
          <cell r="G109" t="str">
            <v xml:space="preserve">--  </v>
          </cell>
          <cell r="H109" t="str">
            <v xml:space="preserve">--  </v>
          </cell>
          <cell r="I109" t="str">
            <v xml:space="preserve">--  </v>
          </cell>
          <cell r="J109">
            <v>0.18752288865531241</v>
          </cell>
          <cell r="K109">
            <v>0.23833116366072218</v>
          </cell>
          <cell r="L109">
            <v>0.30576077187483552</v>
          </cell>
          <cell r="M109">
            <v>0.35653410873794522</v>
          </cell>
          <cell r="N109">
            <v>0.32319140765737392</v>
          </cell>
          <cell r="O109">
            <v>0.26939557270943609</v>
          </cell>
          <cell r="P109">
            <v>0.27313989190840027</v>
          </cell>
          <cell r="Q109">
            <v>0.30439533852171458</v>
          </cell>
        </row>
        <row r="110">
          <cell r="O110">
            <v>0.22445899230974919</v>
          </cell>
          <cell r="P110">
            <v>0.23155298506241714</v>
          </cell>
          <cell r="Q110">
            <v>0.25731817143164376</v>
          </cell>
        </row>
        <row r="111">
          <cell r="C111" t="str">
            <v xml:space="preserve">--  </v>
          </cell>
          <cell r="D111" t="str">
            <v xml:space="preserve">--  </v>
          </cell>
          <cell r="E111" t="str">
            <v xml:space="preserve">--  </v>
          </cell>
          <cell r="F111" t="str">
            <v xml:space="preserve">--  </v>
          </cell>
          <cell r="G111" t="str">
            <v xml:space="preserve">--  </v>
          </cell>
          <cell r="H111" t="str">
            <v xml:space="preserve">--  </v>
          </cell>
          <cell r="I111" t="str">
            <v xml:space="preserve">--  </v>
          </cell>
          <cell r="J111">
            <v>0.14298691601230884</v>
          </cell>
          <cell r="K111">
            <v>0.18797790725597502</v>
          </cell>
          <cell r="L111">
            <v>0.26363711468219481</v>
          </cell>
          <cell r="M111">
            <v>0.31428571428571417</v>
          </cell>
          <cell r="N111">
            <v>0.29342838207101679</v>
          </cell>
          <cell r="O111">
            <v>0.22445899230974919</v>
          </cell>
          <cell r="P111">
            <v>0.23155298506241714</v>
          </cell>
          <cell r="Q111">
            <v>0.25731817143164376</v>
          </cell>
        </row>
        <row r="112">
          <cell r="C112" t="str">
            <v xml:space="preserve">--  </v>
          </cell>
          <cell r="D112" t="str">
            <v xml:space="preserve">--  </v>
          </cell>
          <cell r="E112" t="str">
            <v xml:space="preserve">--  </v>
          </cell>
          <cell r="F112" t="str">
            <v xml:space="preserve">--  </v>
          </cell>
          <cell r="G112" t="str">
            <v xml:space="preserve">--  </v>
          </cell>
          <cell r="H112" t="str">
            <v xml:space="preserve">--  </v>
          </cell>
          <cell r="I112" t="str">
            <v xml:space="preserve">--  </v>
          </cell>
          <cell r="J112">
            <v>9.2837432109356383E-2</v>
          </cell>
          <cell r="K112">
            <v>0.11930132544414433</v>
          </cell>
          <cell r="L112">
            <v>0.16233016026526451</v>
          </cell>
          <cell r="M112">
            <v>0.19254305961212792</v>
          </cell>
          <cell r="N112">
            <v>0.19322016718549265</v>
          </cell>
          <cell r="O112">
            <v>0.14454281322540216</v>
          </cell>
          <cell r="P112">
            <v>0.14910713359772479</v>
          </cell>
          <cell r="Q112">
            <v>0.16677526277977231</v>
          </cell>
        </row>
        <row r="113">
          <cell r="C113" t="str">
            <v xml:space="preserve">--  </v>
          </cell>
          <cell r="D113" t="str">
            <v xml:space="preserve">--  </v>
          </cell>
          <cell r="E113" t="str">
            <v xml:space="preserve">--  </v>
          </cell>
          <cell r="F113" t="str">
            <v xml:space="preserve">--  </v>
          </cell>
          <cell r="G113" t="str">
            <v xml:space="preserve">--  </v>
          </cell>
          <cell r="H113" t="str">
            <v xml:space="preserve">--  </v>
          </cell>
          <cell r="I113" t="str">
            <v xml:space="preserve">--  </v>
          </cell>
          <cell r="J113">
            <v>9.5135952667449938E-2</v>
          </cell>
          <cell r="K113">
            <v>0.12735767579614349</v>
          </cell>
          <cell r="L113">
            <v>0.16218584378747405</v>
          </cell>
          <cell r="M113">
            <v>0.24899064912243993</v>
          </cell>
          <cell r="N113">
            <v>0.20823590985987336</v>
          </cell>
          <cell r="O113">
            <v>0.14924305638335911</v>
          </cell>
          <cell r="P113">
            <v>0.1609062351728538</v>
          </cell>
          <cell r="Q113">
            <v>0.18447921287148678</v>
          </cell>
        </row>
        <row r="114">
          <cell r="O114">
            <v>0.14264335858089586</v>
          </cell>
          <cell r="P114">
            <v>0.14788834170470597</v>
          </cell>
          <cell r="Q114">
            <v>0.13223651491323574</v>
          </cell>
        </row>
        <row r="115">
          <cell r="O115">
            <v>4.4936580399686857E-2</v>
          </cell>
          <cell r="P115">
            <v>4.1586906845983103E-2</v>
          </cell>
          <cell r="Q115">
            <v>4.7077167090070836E-2</v>
          </cell>
        </row>
        <row r="119">
          <cell r="O119">
            <v>0.14454281322540216</v>
          </cell>
          <cell r="P119">
            <v>0.14910713359772479</v>
          </cell>
          <cell r="Q119">
            <v>0.16677526277977231</v>
          </cell>
        </row>
        <row r="120">
          <cell r="O120">
            <v>1.2962559192092946</v>
          </cell>
          <cell r="P120">
            <v>1.4208118782136456</v>
          </cell>
          <cell r="Q120">
            <v>1.2458110525270412</v>
          </cell>
        </row>
        <row r="121">
          <cell r="O121">
            <v>0.18736447722259106</v>
          </cell>
          <cell r="P121">
            <v>0.21185318654203633</v>
          </cell>
          <cell r="Q121">
            <v>0.20777046565914201</v>
          </cell>
        </row>
        <row r="122">
          <cell r="O122">
            <v>-0.19912506017263171</v>
          </cell>
          <cell r="P122" t="str">
            <v>NM</v>
          </cell>
          <cell r="Q122">
            <v>0.10853581848037203</v>
          </cell>
        </row>
        <row r="123">
          <cell r="O123">
            <v>-0.13247454235994119</v>
          </cell>
          <cell r="P123">
            <v>2.4488709319445273E-2</v>
          </cell>
          <cell r="Q123">
            <v>-4.0827208828943251E-3</v>
          </cell>
        </row>
        <row r="124">
          <cell r="O124">
            <v>35.148817399196133</v>
          </cell>
          <cell r="P124">
            <v>52.05540505659944</v>
          </cell>
          <cell r="Q124">
            <v>61.349938793908187</v>
          </cell>
        </row>
        <row r="125">
          <cell r="O125">
            <v>-49.385930025780965</v>
          </cell>
          <cell r="P125">
            <v>16.906587657403307</v>
          </cell>
          <cell r="Q125">
            <v>9.2945337373087469</v>
          </cell>
        </row>
        <row r="128">
          <cell r="O128">
            <v>3.0711455215573751</v>
          </cell>
          <cell r="P128">
            <v>3.5446591032657944</v>
          </cell>
          <cell r="Q128">
            <v>3.1736829644417996</v>
          </cell>
        </row>
        <row r="129">
          <cell r="O129">
            <v>6.9815952990131294</v>
          </cell>
          <cell r="P129">
            <v>8.4223508336778288</v>
          </cell>
          <cell r="Q129">
            <v>7.7180515283706885</v>
          </cell>
        </row>
        <row r="130">
          <cell r="O130">
            <v>2.2474561909483</v>
          </cell>
          <cell r="P130">
            <v>2.8578414306585214</v>
          </cell>
          <cell r="Q130">
            <v>2.7422001256523814</v>
          </cell>
        </row>
        <row r="131">
          <cell r="O131">
            <v>5.7336048729351665</v>
          </cell>
          <cell r="P131">
            <v>4.9374082800403905</v>
          </cell>
          <cell r="Q131">
            <v>4.1763454381129339</v>
          </cell>
        </row>
        <row r="132">
          <cell r="O132">
            <v>3.0623992850233517</v>
          </cell>
          <cell r="P132">
            <v>2.8255891076300372</v>
          </cell>
          <cell r="Q132">
            <v>2.2830046584365999</v>
          </cell>
        </row>
        <row r="133">
          <cell r="O133">
            <v>22.854523699953976</v>
          </cell>
          <cell r="P133">
            <v>13.992502503934753</v>
          </cell>
          <cell r="Q133">
            <v>7.8824158883703195</v>
          </cell>
        </row>
        <row r="134">
          <cell r="O134" t="str">
            <v xml:space="preserve">--  </v>
          </cell>
          <cell r="P134" t="str">
            <v xml:space="preserve">--  </v>
          </cell>
          <cell r="Q134" t="str">
            <v xml:space="preserve">--  </v>
          </cell>
        </row>
        <row r="135">
          <cell r="O135">
            <v>1.2962559192092946</v>
          </cell>
          <cell r="P135">
            <v>1.4208118782136456</v>
          </cell>
          <cell r="Q135">
            <v>1.2458110525270412</v>
          </cell>
        </row>
        <row r="138">
          <cell r="O138">
            <v>-7.9582066272178925E-2</v>
          </cell>
          <cell r="P138">
            <v>0.18148927327613712</v>
          </cell>
          <cell r="Q138">
            <v>1.4340406734183053E-2</v>
          </cell>
        </row>
        <row r="139">
          <cell r="O139" t="str">
            <v xml:space="preserve">--  </v>
          </cell>
          <cell r="P139" t="str">
            <v xml:space="preserve">--  </v>
          </cell>
          <cell r="Q139" t="str">
            <v xml:space="preserve">--  </v>
          </cell>
        </row>
        <row r="140">
          <cell r="O140">
            <v>-7.9582066272178925E-2</v>
          </cell>
          <cell r="P140">
            <v>0.18148927327613712</v>
          </cell>
          <cell r="Q140">
            <v>1.4340406734183053E-2</v>
          </cell>
        </row>
        <row r="141">
          <cell r="O141">
            <v>-0.34033478821192398</v>
          </cell>
          <cell r="P141">
            <v>0.27382134530696861</v>
          </cell>
          <cell r="Q141">
            <v>0.16294262690968295</v>
          </cell>
        </row>
        <row r="142">
          <cell r="O142">
            <v>-0.23278741168914621</v>
          </cell>
          <cell r="P142">
            <v>0.19791074941550027</v>
          </cell>
          <cell r="Q142">
            <v>0.13041156063593498</v>
          </cell>
        </row>
        <row r="143">
          <cell r="O143">
            <v>-0.2959233171303553</v>
          </cell>
          <cell r="P143">
            <v>0.21883006437444852</v>
          </cell>
          <cell r="Q143">
            <v>0.12720731542162034</v>
          </cell>
        </row>
        <row r="144">
          <cell r="O144">
            <v>-0.31146008503133144</v>
          </cell>
          <cell r="P144">
            <v>0.21879791172975208</v>
          </cell>
          <cell r="Q144">
            <v>0.13453249217189572</v>
          </cell>
        </row>
        <row r="145">
          <cell r="O145">
            <v>0.22043264082244596</v>
          </cell>
          <cell r="P145">
            <v>-9.7925660734968903E-2</v>
          </cell>
          <cell r="Q145">
            <v>0.20905801330687526</v>
          </cell>
        </row>
        <row r="146">
          <cell r="O146">
            <v>0.38965826442163987</v>
          </cell>
          <cell r="P146">
            <v>9.3418411241755026E-2</v>
          </cell>
          <cell r="Q146">
            <v>0.14825257360173111</v>
          </cell>
        </row>
        <row r="147">
          <cell r="O147">
            <v>0</v>
          </cell>
          <cell r="P147">
            <v>0</v>
          </cell>
          <cell r="Q147">
            <v>0</v>
          </cell>
        </row>
        <row r="148">
          <cell r="O148">
            <v>0</v>
          </cell>
          <cell r="P148">
            <v>0</v>
          </cell>
          <cell r="Q148">
            <v>0</v>
          </cell>
        </row>
        <row r="149">
          <cell r="O149">
            <v>0</v>
          </cell>
          <cell r="P149">
            <v>0</v>
          </cell>
          <cell r="Q149">
            <v>0</v>
          </cell>
        </row>
        <row r="150">
          <cell r="O150">
            <v>-0.31636481861496474</v>
          </cell>
          <cell r="P150">
            <v>0.30298326655486685</v>
          </cell>
          <cell r="Q150">
            <v>0.22557953346554535</v>
          </cell>
        </row>
        <row r="151">
          <cell r="M151">
            <v>7.0056216364446547E-2</v>
          </cell>
          <cell r="N151">
            <v>6.0063907998109872E-2</v>
          </cell>
          <cell r="O151">
            <v>-2.656637983787483E-2</v>
          </cell>
          <cell r="P151">
            <v>-2.5414385702598359E-2</v>
          </cell>
          <cell r="Q151">
            <v>-9.4491366778282612E-2</v>
          </cell>
        </row>
        <row r="152">
          <cell r="O152">
            <v>0.42539276040384127</v>
          </cell>
          <cell r="P152">
            <v>-0.2027046637136953</v>
          </cell>
          <cell r="Q152">
            <v>-0.27753317328109983</v>
          </cell>
        </row>
        <row r="153">
          <cell r="M153" t="str">
            <v>--</v>
          </cell>
          <cell r="N153">
            <v>0.66525934629111383</v>
          </cell>
          <cell r="O153">
            <v>-3.3246341206957512E-2</v>
          </cell>
          <cell r="P153">
            <v>1.9169729051980614E-2</v>
          </cell>
          <cell r="Q153">
            <v>0.37970620491622681</v>
          </cell>
        </row>
        <row r="154">
          <cell r="O154">
            <v>0.22677772636125246</v>
          </cell>
          <cell r="P154">
            <v>0.49040218612214781</v>
          </cell>
          <cell r="Q154">
            <v>3.7907335125589511E-3</v>
          </cell>
        </row>
        <row r="155">
          <cell r="O155">
            <v>0.79019003595274739</v>
          </cell>
          <cell r="P155">
            <v>1.0077463778510978</v>
          </cell>
          <cell r="Q155">
            <v>0.69744212632180624</v>
          </cell>
        </row>
        <row r="159">
          <cell r="P159" t="str">
            <v>5 year CAGR</v>
          </cell>
        </row>
        <row r="160">
          <cell r="P160" t="str">
            <v>Sales</v>
          </cell>
          <cell r="Q160">
            <v>0.13934536568832079</v>
          </cell>
        </row>
        <row r="161">
          <cell r="P161" t="str">
            <v>EBITDA</v>
          </cell>
          <cell r="Q161">
            <v>-1</v>
          </cell>
        </row>
        <row r="162">
          <cell r="P162" t="str">
            <v>NOPAT</v>
          </cell>
          <cell r="Q162">
            <v>0.16530121417236776</v>
          </cell>
        </row>
      </sheetData>
      <sheetData sheetId="4" refreshError="1">
        <row r="11">
          <cell r="D11">
            <v>0.10299999999999999</v>
          </cell>
        </row>
        <row r="21">
          <cell r="J21">
            <v>9.9223839999999994E-2</v>
          </cell>
        </row>
        <row r="23">
          <cell r="U23">
            <v>0.11101367989451319</v>
          </cell>
        </row>
      </sheetData>
      <sheetData sheetId="5" refreshError="1">
        <row r="1">
          <cell r="F1" t="str">
            <v>Discounted Cash Flow</v>
          </cell>
        </row>
        <row r="2">
          <cell r="D2">
            <v>1</v>
          </cell>
          <cell r="E2">
            <v>2</v>
          </cell>
          <cell r="F2">
            <v>3</v>
          </cell>
          <cell r="G2">
            <v>4</v>
          </cell>
          <cell r="H2">
            <v>5</v>
          </cell>
          <cell r="L2">
            <v>9</v>
          </cell>
          <cell r="M2">
            <v>10</v>
          </cell>
          <cell r="Q2">
            <v>14</v>
          </cell>
          <cell r="R2">
            <v>15</v>
          </cell>
          <cell r="AA2">
            <v>24</v>
          </cell>
          <cell r="AB2">
            <v>25</v>
          </cell>
        </row>
        <row r="3">
          <cell r="C3" t="str">
            <v>Present(P)</v>
          </cell>
          <cell r="D3" t="str">
            <v>Estimated Year 1</v>
          </cell>
          <cell r="E3" t="str">
            <v>EY 2</v>
          </cell>
          <cell r="F3" t="str">
            <v>EY 3</v>
          </cell>
          <cell r="G3" t="str">
            <v>EY 4</v>
          </cell>
          <cell r="H3" t="str">
            <v>EY 5</v>
          </cell>
          <cell r="L3" t="str">
            <v>EY 9</v>
          </cell>
          <cell r="M3" t="str">
            <v>EY 10</v>
          </cell>
          <cell r="Q3" t="str">
            <v>EY 14</v>
          </cell>
          <cell r="R3" t="str">
            <v>EY 15</v>
          </cell>
          <cell r="AA3" t="str">
            <v>EY 24</v>
          </cell>
          <cell r="AB3" t="str">
            <v>EY 25</v>
          </cell>
        </row>
        <row r="4">
          <cell r="C4">
            <v>1997</v>
          </cell>
          <cell r="D4" t="str">
            <v>1998E</v>
          </cell>
          <cell r="E4" t="str">
            <v>1999E</v>
          </cell>
          <cell r="F4" t="str">
            <v>2000E</v>
          </cell>
          <cell r="G4" t="str">
            <v>2001E</v>
          </cell>
          <cell r="H4" t="str">
            <v>2002E</v>
          </cell>
          <cell r="L4" t="str">
            <v>2006E</v>
          </cell>
          <cell r="M4" t="str">
            <v>2007E</v>
          </cell>
          <cell r="Q4" t="str">
            <v>2011E</v>
          </cell>
          <cell r="R4" t="str">
            <v>2012E</v>
          </cell>
          <cell r="AA4" t="str">
            <v>2021E</v>
          </cell>
          <cell r="AB4" t="str">
            <v>2022E</v>
          </cell>
        </row>
        <row r="6">
          <cell r="C6">
            <v>743.97</v>
          </cell>
          <cell r="D6">
            <v>824.12199999999996</v>
          </cell>
          <cell r="E6">
            <v>986.22612499999991</v>
          </cell>
          <cell r="F6">
            <v>1036.076</v>
          </cell>
          <cell r="G6">
            <v>1139.6836000000001</v>
          </cell>
          <cell r="H6">
            <v>1253.6519600000001</v>
          </cell>
          <cell r="I6">
            <v>1366.4806364000003</v>
          </cell>
          <cell r="J6">
            <v>1489.4638936760005</v>
          </cell>
          <cell r="K6">
            <v>1623.5156441068407</v>
          </cell>
          <cell r="L6">
            <v>1769.6320520764564</v>
          </cell>
          <cell r="M6">
            <v>1928.8989367633376</v>
          </cell>
          <cell r="N6">
            <v>2092.8553463882213</v>
          </cell>
          <cell r="O6">
            <v>2270.7480508312201</v>
          </cell>
          <cell r="P6">
            <v>2463.7616351518736</v>
          </cell>
          <cell r="Q6">
            <v>2673.1813741397827</v>
          </cell>
          <cell r="R6">
            <v>2900.4017909416643</v>
          </cell>
          <cell r="S6">
            <v>3146.9359431717057</v>
          </cell>
          <cell r="T6">
            <v>3414.4254983413007</v>
          </cell>
          <cell r="U6">
            <v>3704.6516657003112</v>
          </cell>
          <cell r="V6">
            <v>4019.5470572848376</v>
          </cell>
          <cell r="W6">
            <v>4361.2085571540483</v>
          </cell>
          <cell r="X6">
            <v>4731.9112845121426</v>
          </cell>
          <cell r="Y6">
            <v>5134.1237436956744</v>
          </cell>
          <cell r="Z6">
            <v>5570.5242619098062</v>
          </cell>
          <cell r="AA6">
            <v>6044.0188241721398</v>
          </cell>
          <cell r="AB6">
            <v>6557.7604242267716</v>
          </cell>
          <cell r="AC6">
            <v>7115.1700602860474</v>
          </cell>
        </row>
        <row r="7"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</row>
        <row r="9">
          <cell r="C9">
            <v>743.97</v>
          </cell>
          <cell r="D9">
            <v>824.12199999999996</v>
          </cell>
          <cell r="E9">
            <v>986.22612499999991</v>
          </cell>
          <cell r="F9">
            <v>1036.076</v>
          </cell>
          <cell r="G9">
            <v>1139.6836000000001</v>
          </cell>
          <cell r="H9">
            <v>1253.6519600000001</v>
          </cell>
          <cell r="I9">
            <v>1366.4806364000003</v>
          </cell>
          <cell r="J9">
            <v>1489.4638936760005</v>
          </cell>
          <cell r="K9">
            <v>1623.5156441068407</v>
          </cell>
          <cell r="L9">
            <v>1769.6320520764564</v>
          </cell>
          <cell r="M9">
            <v>1928.8989367633376</v>
          </cell>
          <cell r="N9">
            <v>2092.8553463882213</v>
          </cell>
          <cell r="O9">
            <v>2270.7480508312201</v>
          </cell>
          <cell r="P9">
            <v>2463.7616351518736</v>
          </cell>
          <cell r="Q9">
            <v>2673.1813741397827</v>
          </cell>
          <cell r="R9">
            <v>2900.4017909416643</v>
          </cell>
          <cell r="S9">
            <v>3146.9359431717057</v>
          </cell>
          <cell r="T9">
            <v>3414.4254983413007</v>
          </cell>
          <cell r="U9">
            <v>3704.6516657003112</v>
          </cell>
          <cell r="V9">
            <v>4019.5470572848376</v>
          </cell>
          <cell r="W9">
            <v>4361.2085571540483</v>
          </cell>
          <cell r="X9">
            <v>4731.9112845121426</v>
          </cell>
          <cell r="Y9">
            <v>5134.1237436956744</v>
          </cell>
          <cell r="Z9">
            <v>5570.5242619098062</v>
          </cell>
          <cell r="AA9">
            <v>6044.0188241721398</v>
          </cell>
          <cell r="AB9">
            <v>6557.7604242267716</v>
          </cell>
          <cell r="AC9">
            <v>7115.1700602860474</v>
          </cell>
        </row>
        <row r="10">
          <cell r="C10">
            <v>1.4340406734183053E-2</v>
          </cell>
          <cell r="D10">
            <v>0.10773552697017343</v>
          </cell>
          <cell r="E10">
            <v>0.19669918410138301</v>
          </cell>
          <cell r="F10">
            <v>5.0546090532736718E-2</v>
          </cell>
          <cell r="G10">
            <v>0.10000000000000005</v>
          </cell>
          <cell r="H10">
            <v>0.10000000000000006</v>
          </cell>
          <cell r="L10">
            <v>9.0000000000000024E-2</v>
          </cell>
          <cell r="M10">
            <v>9.000000000000008E-2</v>
          </cell>
          <cell r="Q10">
            <v>8.4999999999999937E-2</v>
          </cell>
          <cell r="R10">
            <v>8.500000000000002E-2</v>
          </cell>
          <cell r="AA10">
            <v>8.500000000000002E-2</v>
          </cell>
          <cell r="AB10">
            <v>8.4999999999999992E-2</v>
          </cell>
        </row>
        <row r="12">
          <cell r="C12">
            <v>124.07579225026721</v>
          </cell>
          <cell r="D12">
            <v>140.71417600000007</v>
          </cell>
          <cell r="E12">
            <v>167.29526399999992</v>
          </cell>
          <cell r="F12">
            <v>184.77678399999996</v>
          </cell>
          <cell r="G12">
            <v>207.992257</v>
          </cell>
          <cell r="H12">
            <v>228.79148270000002</v>
          </cell>
          <cell r="I12">
            <v>250.74919677940005</v>
          </cell>
          <cell r="J12">
            <v>273.31662448954609</v>
          </cell>
          <cell r="K12">
            <v>297.91512069360527</v>
          </cell>
          <cell r="L12">
            <v>324.72748155602972</v>
          </cell>
          <cell r="M12">
            <v>353.95295489607241</v>
          </cell>
          <cell r="N12">
            <v>386.13181140862685</v>
          </cell>
          <cell r="O12">
            <v>418.95301537836008</v>
          </cell>
          <cell r="P12">
            <v>454.56402168552069</v>
          </cell>
          <cell r="Q12">
            <v>493.20196352878992</v>
          </cell>
          <cell r="R12">
            <v>535.12413042873709</v>
          </cell>
          <cell r="S12">
            <v>580.60968151517966</v>
          </cell>
          <cell r="T12">
            <v>629.96150444396994</v>
          </cell>
          <cell r="U12">
            <v>683.5082323217074</v>
          </cell>
          <cell r="V12">
            <v>741.60643206905252</v>
          </cell>
          <cell r="W12">
            <v>804.64297879492187</v>
          </cell>
          <cell r="X12">
            <v>873.03763199249033</v>
          </cell>
          <cell r="Y12">
            <v>947.24583071185191</v>
          </cell>
          <cell r="Z12">
            <v>1027.7617263223592</v>
          </cell>
          <cell r="AA12">
            <v>1115.1214730597599</v>
          </cell>
          <cell r="AB12">
            <v>1209.9067982698393</v>
          </cell>
          <cell r="AC12">
            <v>1312.7488761227758</v>
          </cell>
        </row>
        <row r="13">
          <cell r="C13">
            <v>0.13453249217189572</v>
          </cell>
          <cell r="D13">
            <v>0.13409854934613177</v>
          </cell>
          <cell r="E13">
            <v>0.18890128028038794</v>
          </cell>
          <cell r="F13">
            <v>0.10449500829862138</v>
          </cell>
          <cell r="G13">
            <v>0.12564063784116969</v>
          </cell>
          <cell r="H13">
            <v>0.1000000000000001</v>
          </cell>
          <cell r="L13">
            <v>8.9999999999999886E-2</v>
          </cell>
          <cell r="M13">
            <v>9.0000000000000066E-2</v>
          </cell>
          <cell r="Q13">
            <v>8.4999999999999937E-2</v>
          </cell>
          <cell r="R13">
            <v>8.5000000000000062E-2</v>
          </cell>
          <cell r="AA13">
            <v>8.5000000000000117E-2</v>
          </cell>
          <cell r="AB13">
            <v>8.4999999999999881E-2</v>
          </cell>
        </row>
        <row r="15">
          <cell r="C15">
            <v>226.46100000000001</v>
          </cell>
          <cell r="D15">
            <v>255.86590000000012</v>
          </cell>
          <cell r="E15">
            <v>303.39884999999987</v>
          </cell>
          <cell r="F15">
            <v>332.88720689290761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</row>
        <row r="18">
          <cell r="C18">
            <v>-7.073099999999954</v>
          </cell>
          <cell r="D18">
            <v>106.83340909090902</v>
          </cell>
          <cell r="E18">
            <v>-12.017774899732672</v>
          </cell>
          <cell r="F18">
            <v>6.127186093521118</v>
          </cell>
          <cell r="G18">
            <v>31.178662171442852</v>
          </cell>
          <cell r="H18">
            <v>39.988898245614052</v>
          </cell>
          <cell r="L18">
            <v>50.384968265384714</v>
          </cell>
          <cell r="M18">
            <v>54.919615409269454</v>
          </cell>
          <cell r="Q18">
            <v>70.989742029799686</v>
          </cell>
          <cell r="R18">
            <v>77.023870102332808</v>
          </cell>
          <cell r="AA18">
            <v>157.83152075411112</v>
          </cell>
          <cell r="AB18">
            <v>171.24720001821061</v>
          </cell>
        </row>
        <row r="19">
          <cell r="C19">
            <v>36.037403354323679</v>
          </cell>
          <cell r="D19">
            <v>63.653333242775744</v>
          </cell>
          <cell r="E19">
            <v>-21.748828885783702</v>
          </cell>
          <cell r="F19">
            <v>26.974071739223881</v>
          </cell>
          <cell r="G19">
            <v>37.418539564442426</v>
          </cell>
          <cell r="H19">
            <v>44.693474509803934</v>
          </cell>
          <cell r="L19">
            <v>56.634266654889757</v>
          </cell>
          <cell r="M19">
            <v>61.731350653829963</v>
          </cell>
          <cell r="Q19">
            <v>79.931198086988161</v>
          </cell>
          <cell r="R19">
            <v>86.725349924382272</v>
          </cell>
          <cell r="AA19">
            <v>176.67707547102009</v>
          </cell>
          <cell r="AB19">
            <v>191.69462688605654</v>
          </cell>
        </row>
        <row r="20">
          <cell r="C20">
            <v>0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L20">
            <v>0</v>
          </cell>
          <cell r="M20">
            <v>0</v>
          </cell>
          <cell r="Q20">
            <v>0</v>
          </cell>
          <cell r="R20">
            <v>0</v>
          </cell>
          <cell r="AA20">
            <v>0</v>
          </cell>
          <cell r="AB20">
            <v>0</v>
          </cell>
        </row>
        <row r="21">
          <cell r="C21">
            <v>28.964303354323725</v>
          </cell>
          <cell r="D21">
            <v>170.48674233368476</v>
          </cell>
          <cell r="E21">
            <v>-33.766603785516374</v>
          </cell>
          <cell r="F21">
            <v>33.101257832744999</v>
          </cell>
          <cell r="G21">
            <v>68.597201735885278</v>
          </cell>
          <cell r="H21">
            <v>84.682372755417987</v>
          </cell>
          <cell r="L21">
            <v>107.01923492027447</v>
          </cell>
          <cell r="M21">
            <v>116.65096606309942</v>
          </cell>
          <cell r="Q21">
            <v>150.92094011678785</v>
          </cell>
          <cell r="R21">
            <v>163.74922002671508</v>
          </cell>
          <cell r="AA21">
            <v>334.50859622513121</v>
          </cell>
          <cell r="AB21">
            <v>362.94182690426715</v>
          </cell>
        </row>
        <row r="23">
          <cell r="C23">
            <v>95.111488895943495</v>
          </cell>
          <cell r="D23">
            <v>-29.772566333684694</v>
          </cell>
          <cell r="E23">
            <v>201.06186778551628</v>
          </cell>
          <cell r="F23">
            <v>151.67552616725496</v>
          </cell>
          <cell r="G23">
            <v>139.39505526411472</v>
          </cell>
          <cell r="H23">
            <v>144.10910994458203</v>
          </cell>
          <cell r="L23">
            <v>217.70824663575524</v>
          </cell>
          <cell r="M23">
            <v>237.301988832973</v>
          </cell>
          <cell r="Q23">
            <v>342.28102341200207</v>
          </cell>
          <cell r="R23">
            <v>371.37491040202201</v>
          </cell>
          <cell r="AA23">
            <v>780.61287683462865</v>
          </cell>
          <cell r="AB23">
            <v>846.96497136557218</v>
          </cell>
        </row>
        <row r="26">
          <cell r="C26">
            <v>95.111488895943495</v>
          </cell>
          <cell r="D26">
            <v>-27.110483822860175</v>
          </cell>
          <cell r="E26">
            <v>166.71385960288541</v>
          </cell>
          <cell r="F26">
            <v>114.51925134303266</v>
          </cell>
          <cell r="G26">
            <v>95.836590561668046</v>
          </cell>
          <cell r="H26">
            <v>90.218669741823248</v>
          </cell>
          <cell r="L26">
            <v>93.705234134323447</v>
          </cell>
          <cell r="M26">
            <v>93.006080972383216</v>
          </cell>
          <cell r="Q26">
            <v>92.23096979682542</v>
          </cell>
          <cell r="R26">
            <v>91.122895234556694</v>
          </cell>
          <cell r="AA26">
            <v>82.440312829339362</v>
          </cell>
          <cell r="AB26">
            <v>81.449864460934506</v>
          </cell>
        </row>
        <row r="27">
          <cell r="C27">
            <v>95.111488895943495</v>
          </cell>
          <cell r="D27">
            <v>-27.110483822860175</v>
          </cell>
          <cell r="E27">
            <v>139.60337578002523</v>
          </cell>
          <cell r="F27">
            <v>254.1226271230579</v>
          </cell>
          <cell r="G27">
            <v>349.95921768472596</v>
          </cell>
          <cell r="H27">
            <v>440.1778874265492</v>
          </cell>
          <cell r="L27">
            <v>826.82879452942257</v>
          </cell>
          <cell r="M27">
            <v>919.83487550180575</v>
          </cell>
          <cell r="Q27">
            <v>1303.6397516819061</v>
          </cell>
          <cell r="R27">
            <v>1394.7626469164627</v>
          </cell>
          <cell r="AA27">
            <v>2183.0567229801832</v>
          </cell>
          <cell r="AB27">
            <v>2264.5065874411175</v>
          </cell>
        </row>
        <row r="29">
          <cell r="C29">
            <v>1339.6597727208389</v>
          </cell>
          <cell r="D29">
            <v>1703.7246328282909</v>
          </cell>
          <cell r="E29">
            <v>1881.7553524742486</v>
          </cell>
          <cell r="F29">
            <v>2118.1802952201483</v>
          </cell>
          <cell r="G29">
            <v>2329.9983247421633</v>
          </cell>
          <cell r="H29">
            <v>2553.6143283468705</v>
          </cell>
          <cell r="L29">
            <v>3604.6350249269449</v>
          </cell>
          <cell r="M29">
            <v>3932.3425115936689</v>
          </cell>
          <cell r="Q29">
            <v>5449.6710835296508</v>
          </cell>
          <cell r="R29">
            <v>5912.8931256296701</v>
          </cell>
          <cell r="AA29">
            <v>12321.616083756775</v>
          </cell>
          <cell r="AB29">
            <v>13368.953450876103</v>
          </cell>
        </row>
        <row r="30">
          <cell r="C30">
            <v>1339.6597727208389</v>
          </cell>
          <cell r="D30">
            <v>1551.387897812549</v>
          </cell>
          <cell r="E30">
            <v>1560.2893830371988</v>
          </cell>
          <cell r="F30">
            <v>1599.2851829680612</v>
          </cell>
          <cell r="G30">
            <v>1601.9154699181954</v>
          </cell>
          <cell r="H30">
            <v>1598.6753913455539</v>
          </cell>
          <cell r="L30">
            <v>1551.4945997644543</v>
          </cell>
          <cell r="M30">
            <v>1541.2081788402074</v>
          </cell>
          <cell r="Q30">
            <v>1468.4671796795599</v>
          </cell>
          <cell r="R30">
            <v>1450.8248288410743</v>
          </cell>
          <cell r="AA30">
            <v>1301.2825110277072</v>
          </cell>
          <cell r="AB30">
            <v>1285.6487379906102</v>
          </cell>
        </row>
        <row r="32">
          <cell r="C32">
            <v>1434.7712616167823</v>
          </cell>
          <cell r="D32">
            <v>1524.2774139896887</v>
          </cell>
          <cell r="E32">
            <v>1699.8927588172241</v>
          </cell>
          <cell r="F32">
            <v>1853.4078100911192</v>
          </cell>
          <cell r="G32">
            <v>1951.8746876029213</v>
          </cell>
          <cell r="H32">
            <v>2038.8532787721031</v>
          </cell>
          <cell r="L32">
            <v>2378.3233942938768</v>
          </cell>
          <cell r="M32">
            <v>2461.0430543420134</v>
          </cell>
          <cell r="Q32">
            <v>2772.1069313614662</v>
          </cell>
          <cell r="R32">
            <v>2845.587475757537</v>
          </cell>
          <cell r="AA32">
            <v>3484.3392340078904</v>
          </cell>
          <cell r="AB32">
            <v>3550.1553254317278</v>
          </cell>
        </row>
        <row r="33">
          <cell r="C33">
            <v>129.51649999999998</v>
          </cell>
          <cell r="D33">
            <v>129.51649999999998</v>
          </cell>
          <cell r="E33">
            <v>129.51649999999998</v>
          </cell>
          <cell r="F33">
            <v>129.51649999999998</v>
          </cell>
          <cell r="G33">
            <v>129.51649999999998</v>
          </cell>
          <cell r="H33">
            <v>129.51649999999998</v>
          </cell>
          <cell r="I33">
            <v>129.51649999999998</v>
          </cell>
          <cell r="J33">
            <v>129.51649999999998</v>
          </cell>
          <cell r="K33">
            <v>129.51649999999998</v>
          </cell>
          <cell r="L33">
            <v>129.51649999999998</v>
          </cell>
          <cell r="M33">
            <v>129.51649999999998</v>
          </cell>
          <cell r="N33">
            <v>129.51649999999998</v>
          </cell>
          <cell r="O33">
            <v>129.51649999999998</v>
          </cell>
          <cell r="P33">
            <v>129.51649999999998</v>
          </cell>
          <cell r="Q33">
            <v>129.51649999999998</v>
          </cell>
          <cell r="R33">
            <v>129.51649999999998</v>
          </cell>
          <cell r="S33">
            <v>129.51649999999998</v>
          </cell>
          <cell r="T33">
            <v>129.51649999999998</v>
          </cell>
          <cell r="U33">
            <v>129.51649999999998</v>
          </cell>
          <cell r="V33">
            <v>129.51649999999998</v>
          </cell>
          <cell r="W33">
            <v>129.51649999999998</v>
          </cell>
          <cell r="X33">
            <v>129.51649999999998</v>
          </cell>
          <cell r="Y33">
            <v>129.51649999999998</v>
          </cell>
          <cell r="Z33">
            <v>129.51649999999998</v>
          </cell>
          <cell r="AA33">
            <v>129.51649999999998</v>
          </cell>
          <cell r="AB33">
            <v>129.51649999999998</v>
          </cell>
        </row>
        <row r="34">
          <cell r="C34">
            <v>348.80700000000002</v>
          </cell>
          <cell r="D34">
            <v>348.80700000000002</v>
          </cell>
          <cell r="E34">
            <v>348.80700000000002</v>
          </cell>
          <cell r="F34">
            <v>348.80700000000002</v>
          </cell>
          <cell r="G34">
            <v>348.80700000000002</v>
          </cell>
          <cell r="H34">
            <v>348.80700000000002</v>
          </cell>
          <cell r="L34">
            <v>348.80700000000002</v>
          </cell>
          <cell r="M34">
            <v>348.80700000000002</v>
          </cell>
          <cell r="Q34">
            <v>348.80700000000002</v>
          </cell>
          <cell r="R34">
            <v>348.80700000000002</v>
          </cell>
          <cell r="AA34">
            <v>348.80700000000002</v>
          </cell>
          <cell r="AB34">
            <v>348.80700000000002</v>
          </cell>
        </row>
        <row r="35">
          <cell r="C35">
            <v>177.13934948567379</v>
          </cell>
          <cell r="D35">
            <v>177.13934948567379</v>
          </cell>
          <cell r="E35">
            <v>177.13934948567379</v>
          </cell>
          <cell r="F35">
            <v>177.13934948567379</v>
          </cell>
          <cell r="G35">
            <v>177.13934948567379</v>
          </cell>
          <cell r="H35">
            <v>177.13934948567379</v>
          </cell>
          <cell r="I35">
            <v>177.13934948567379</v>
          </cell>
          <cell r="J35">
            <v>177.13934948567379</v>
          </cell>
          <cell r="K35">
            <v>177.13934948567379</v>
          </cell>
          <cell r="L35">
            <v>177.13934948567379</v>
          </cell>
          <cell r="M35">
            <v>177.13934948567379</v>
          </cell>
          <cell r="N35">
            <v>177.13934948567379</v>
          </cell>
          <cell r="O35">
            <v>177.13934948567379</v>
          </cell>
          <cell r="P35">
            <v>177.13934948567379</v>
          </cell>
          <cell r="Q35">
            <v>177.13934948567379</v>
          </cell>
          <cell r="R35">
            <v>177.13934948567379</v>
          </cell>
          <cell r="S35">
            <v>177.13934948567379</v>
          </cell>
          <cell r="T35">
            <v>177.13934948567379</v>
          </cell>
          <cell r="U35">
            <v>177.13934948567379</v>
          </cell>
          <cell r="V35">
            <v>177.13934948567379</v>
          </cell>
          <cell r="W35">
            <v>177.13934948567379</v>
          </cell>
          <cell r="X35">
            <v>177.13934948567379</v>
          </cell>
          <cell r="Y35">
            <v>177.13934948567379</v>
          </cell>
          <cell r="Z35">
            <v>177.13934948567379</v>
          </cell>
          <cell r="AA35">
            <v>177.13934948567379</v>
          </cell>
          <cell r="AB35">
            <v>177.13934948567379</v>
          </cell>
        </row>
        <row r="36">
          <cell r="C36">
            <v>1735.9554121311085</v>
          </cell>
          <cell r="D36">
            <v>1825.4615645040149</v>
          </cell>
          <cell r="E36">
            <v>2001.0769093315503</v>
          </cell>
          <cell r="F36">
            <v>2154.5919606054454</v>
          </cell>
          <cell r="G36">
            <v>2253.0588381172474</v>
          </cell>
          <cell r="H36">
            <v>2340.037429286429</v>
          </cell>
          <cell r="L36">
            <v>2679.5075448082034</v>
          </cell>
          <cell r="M36">
            <v>2762.22720485634</v>
          </cell>
          <cell r="Q36">
            <v>3073.2910818757928</v>
          </cell>
          <cell r="R36">
            <v>3146.7716262718632</v>
          </cell>
          <cell r="AA36">
            <v>3785.5233845222165</v>
          </cell>
          <cell r="AB36">
            <v>3851.3394759460543</v>
          </cell>
        </row>
        <row r="37">
          <cell r="C37">
            <v>121.61</v>
          </cell>
          <cell r="D37">
            <v>121.61</v>
          </cell>
          <cell r="E37">
            <v>121.61</v>
          </cell>
          <cell r="F37">
            <v>121.61</v>
          </cell>
          <cell r="G37">
            <v>121.61</v>
          </cell>
          <cell r="H37">
            <v>121.61</v>
          </cell>
          <cell r="I37">
            <v>121.61</v>
          </cell>
          <cell r="J37">
            <v>121.61</v>
          </cell>
          <cell r="K37">
            <v>121.61</v>
          </cell>
          <cell r="L37">
            <v>121.61</v>
          </cell>
          <cell r="M37">
            <v>121.61</v>
          </cell>
          <cell r="N37">
            <v>121.61</v>
          </cell>
          <cell r="O37">
            <v>121.61</v>
          </cell>
          <cell r="P37">
            <v>121.61</v>
          </cell>
          <cell r="Q37">
            <v>121.61</v>
          </cell>
          <cell r="R37">
            <v>121.61</v>
          </cell>
          <cell r="S37">
            <v>121.61</v>
          </cell>
          <cell r="T37">
            <v>121.61</v>
          </cell>
          <cell r="U37">
            <v>121.61</v>
          </cell>
          <cell r="V37">
            <v>121.61</v>
          </cell>
          <cell r="W37">
            <v>121.61</v>
          </cell>
          <cell r="X37">
            <v>121.61</v>
          </cell>
          <cell r="Y37">
            <v>121.61</v>
          </cell>
          <cell r="Z37">
            <v>121.61</v>
          </cell>
          <cell r="AA37">
            <v>121.61</v>
          </cell>
          <cell r="AB37">
            <v>121.61</v>
          </cell>
        </row>
        <row r="39">
          <cell r="C39">
            <v>14.274775200486049</v>
          </cell>
          <cell r="D39">
            <v>15.01078500537797</v>
          </cell>
          <cell r="E39">
            <v>16.454871386658581</v>
          </cell>
          <cell r="F39">
            <v>17.717226877768649</v>
          </cell>
          <cell r="G39">
            <v>18.526920796951298</v>
          </cell>
          <cell r="H39">
            <v>19.242146445904357</v>
          </cell>
          <cell r="L39">
            <v>22.033611913561412</v>
          </cell>
          <cell r="M39">
            <v>22.713816337935533</v>
          </cell>
          <cell r="Q39">
            <v>25.27169707981081</v>
          </cell>
          <cell r="R39">
            <v>25.875928182483868</v>
          </cell>
          <cell r="AA39">
            <v>31.128388985463502</v>
          </cell>
          <cell r="AB39">
            <v>31.66959523021178</v>
          </cell>
        </row>
        <row r="41">
          <cell r="D41">
            <v>1</v>
          </cell>
          <cell r="E41">
            <v>2</v>
          </cell>
          <cell r="F41">
            <v>3</v>
          </cell>
          <cell r="G41">
            <v>4</v>
          </cell>
          <cell r="H41">
            <v>5</v>
          </cell>
          <cell r="L41">
            <v>9</v>
          </cell>
          <cell r="M41">
            <v>10</v>
          </cell>
          <cell r="Q41">
            <v>14</v>
          </cell>
          <cell r="R41">
            <v>15</v>
          </cell>
          <cell r="AA41">
            <v>24</v>
          </cell>
          <cell r="AB41">
            <v>25</v>
          </cell>
        </row>
        <row r="44">
          <cell r="C44">
            <v>0.20777046565914201</v>
          </cell>
          <cell r="D44">
            <v>0.20238677541661504</v>
          </cell>
          <cell r="E44">
            <v>0.21926456951973783</v>
          </cell>
          <cell r="F44">
            <v>0.24248893242941005</v>
          </cell>
          <cell r="G44">
            <v>0.25598255385438418</v>
          </cell>
          <cell r="H44">
            <v>0.2573105158730159</v>
          </cell>
          <cell r="L44">
            <v>0.26132648168197536</v>
          </cell>
          <cell r="M44">
            <v>0.26132648168197536</v>
          </cell>
          <cell r="Q44">
            <v>0.26645149245056376</v>
          </cell>
          <cell r="R44">
            <v>0.26645149245056382</v>
          </cell>
          <cell r="AA44">
            <v>0.27180519809504516</v>
          </cell>
          <cell r="AB44">
            <v>0.27180519809504505</v>
          </cell>
        </row>
        <row r="45">
          <cell r="C45">
            <v>-4.0827208828943251E-3</v>
          </cell>
          <cell r="D45">
            <v>-5.3836902425269673E-3</v>
          </cell>
          <cell r="E45">
            <v>1.687779410312279E-2</v>
          </cell>
          <cell r="F45">
            <v>2.3224362909672225E-2</v>
          </cell>
          <cell r="G45">
            <v>1.3493621424974123E-2</v>
          </cell>
          <cell r="H45">
            <v>1.3279620186317231E-3</v>
          </cell>
          <cell r="L45">
            <v>0</v>
          </cell>
          <cell r="M45">
            <v>0</v>
          </cell>
          <cell r="Q45">
            <v>0</v>
          </cell>
          <cell r="R45">
            <v>5.5511151231257827E-17</v>
          </cell>
          <cell r="AA45">
            <v>1.1102230246251565E-16</v>
          </cell>
          <cell r="AB45">
            <v>-1.1102230246251565E-16</v>
          </cell>
        </row>
        <row r="46">
          <cell r="C46">
            <v>-6.1829084895955393E-2</v>
          </cell>
          <cell r="D46">
            <v>0.15368187724306701</v>
          </cell>
          <cell r="E46">
            <v>0.35810203393451906</v>
          </cell>
          <cell r="F46">
            <v>0.36159252694519584</v>
          </cell>
          <cell r="G46">
            <v>1.009698442423538</v>
          </cell>
          <cell r="H46">
            <v>0.33110398489307596</v>
          </cell>
          <cell r="L46">
            <v>0.25053777372262781</v>
          </cell>
          <cell r="M46">
            <v>0.25053777372262753</v>
          </cell>
          <cell r="Q46">
            <v>0.25601445242369825</v>
          </cell>
          <cell r="R46">
            <v>0.25601445242369841</v>
          </cell>
          <cell r="AA46">
            <v>0.26115845070422544</v>
          </cell>
          <cell r="AB46">
            <v>0.26115845070422533</v>
          </cell>
        </row>
        <row r="47">
          <cell r="C47">
            <v>0.10853581848037203</v>
          </cell>
          <cell r="D47">
            <v>0.63129232171039351</v>
          </cell>
          <cell r="E47">
            <v>0.15650977265727781</v>
          </cell>
          <cell r="F47" t="str">
            <v>NM</v>
          </cell>
          <cell r="G47">
            <v>0.71539516648795098</v>
          </cell>
          <cell r="H47">
            <v>0.30320807807994471</v>
          </cell>
          <cell r="L47">
            <v>0.27308617335766328</v>
          </cell>
          <cell r="M47">
            <v>0.27308617335766477</v>
          </cell>
          <cell r="Q47">
            <v>0.27777568087971244</v>
          </cell>
          <cell r="R47">
            <v>0.27777568087971344</v>
          </cell>
          <cell r="AA47">
            <v>0.28335691901408538</v>
          </cell>
          <cell r="AB47">
            <v>0.28335691901408389</v>
          </cell>
        </row>
        <row r="48">
          <cell r="C48">
            <v>61.349938793908187</v>
          </cell>
          <cell r="D48">
            <v>72.442594245545621</v>
          </cell>
          <cell r="E48">
            <v>92.374977416740577</v>
          </cell>
          <cell r="F48">
            <v>109.95298984975616</v>
          </cell>
          <cell r="G48">
            <v>128.2072947141919</v>
          </cell>
          <cell r="H48">
            <v>141.48096540775839</v>
          </cell>
          <cell r="L48">
            <v>202.71061528864507</v>
          </cell>
          <cell r="M48">
            <v>220.95457066462313</v>
          </cell>
          <cell r="Q48">
            <v>311.44507318816932</v>
          </cell>
          <cell r="R48">
            <v>337.91790440916373</v>
          </cell>
          <cell r="AA48">
            <v>712.26655978505141</v>
          </cell>
          <cell r="AB48">
            <v>772.80921736678056</v>
          </cell>
        </row>
        <row r="49">
          <cell r="C49">
            <v>62.734123253970353</v>
          </cell>
          <cell r="D49">
            <v>73.558096371292422</v>
          </cell>
          <cell r="E49">
            <v>75.19319582759212</v>
          </cell>
          <cell r="F49">
            <v>84.220526411633742</v>
          </cell>
          <cell r="G49">
            <v>90.460304531138291</v>
          </cell>
          <cell r="H49">
            <v>91.176203780957096</v>
          </cell>
          <cell r="L49">
            <v>89.511549370596072</v>
          </cell>
          <cell r="M49">
            <v>88.843686114602249</v>
          </cell>
          <cell r="Q49">
            <v>85.918551897477101</v>
          </cell>
          <cell r="R49">
            <v>84.886315524008666</v>
          </cell>
          <cell r="AA49">
            <v>76.956741586014019</v>
          </cell>
          <cell r="AB49">
            <v>76.032173537619897</v>
          </cell>
        </row>
        <row r="50">
          <cell r="C50">
            <v>62.734123253970353</v>
          </cell>
          <cell r="D50">
            <v>73.558096371292422</v>
          </cell>
          <cell r="E50">
            <v>148.75129219888453</v>
          </cell>
          <cell r="F50">
            <v>232.97181861051826</v>
          </cell>
          <cell r="G50">
            <v>323.43212314165658</v>
          </cell>
          <cell r="H50">
            <v>414.60832692261368</v>
          </cell>
          <cell r="L50">
            <v>775.96756330674907</v>
          </cell>
          <cell r="M50">
            <v>864.81124942135136</v>
          </cell>
          <cell r="Q50">
            <v>1214.0100885673551</v>
          </cell>
          <cell r="R50">
            <v>1298.8964040913638</v>
          </cell>
          <cell r="AA50">
            <v>2025.2665681676237</v>
          </cell>
          <cell r="AB50">
            <v>2101.2987417052436</v>
          </cell>
        </row>
        <row r="51">
          <cell r="C51">
            <v>62.734123253970353</v>
          </cell>
          <cell r="D51">
            <v>80.781048317079694</v>
          </cell>
          <cell r="E51">
            <v>90.685228174011385</v>
          </cell>
          <cell r="F51">
            <v>111.54624665946982</v>
          </cell>
          <cell r="G51">
            <v>131.57520604004253</v>
          </cell>
          <cell r="H51">
            <v>145.6386090883413</v>
          </cell>
          <cell r="L51">
            <v>207.964930103987</v>
          </cell>
          <cell r="M51">
            <v>226.68177381334584</v>
          </cell>
          <cell r="Q51">
            <v>318.85482651140796</v>
          </cell>
          <cell r="R51">
            <v>345.95748676487773</v>
          </cell>
          <cell r="AA51">
            <v>728.68990157322901</v>
          </cell>
          <cell r="AB51">
            <v>790.62854320695328</v>
          </cell>
        </row>
        <row r="52">
          <cell r="C52">
            <v>645.3408699431576</v>
          </cell>
          <cell r="D52">
            <v>610.35526956599688</v>
          </cell>
          <cell r="E52">
            <v>610.35526956599688</v>
          </cell>
          <cell r="F52">
            <v>610.35526956599688</v>
          </cell>
          <cell r="G52">
            <v>610.35526956599688</v>
          </cell>
          <cell r="H52">
            <v>610.35526956599688</v>
          </cell>
          <cell r="L52">
            <v>610.35526956599688</v>
          </cell>
          <cell r="M52">
            <v>610.35526956599688</v>
          </cell>
          <cell r="Q52">
            <v>610.35526956599688</v>
          </cell>
          <cell r="R52">
            <v>610.35526956599688</v>
          </cell>
          <cell r="AA52">
            <v>610.35526956599688</v>
          </cell>
          <cell r="AB52">
            <v>610.35526956599688</v>
          </cell>
        </row>
        <row r="54">
          <cell r="C54">
            <v>729.30450315484188</v>
          </cell>
          <cell r="D54">
            <v>923.53276105722512</v>
          </cell>
          <cell r="E54">
            <v>1135.9800844886993</v>
          </cell>
          <cell r="F54">
            <v>1339.9537694018541</v>
          </cell>
          <cell r="G54">
            <v>1483.1745971879836</v>
          </cell>
          <cell r="H54">
            <v>1622.1082280372727</v>
          </cell>
          <cell r="L54">
            <v>2308.5131797813983</v>
          </cell>
          <cell r="M54">
            <v>2519.5697003850228</v>
          </cell>
          <cell r="Q54">
            <v>3523.2096714506506</v>
          </cell>
          <cell r="R54">
            <v>3822.6824935239551</v>
          </cell>
          <cell r="AA54">
            <v>8051.7122378242193</v>
          </cell>
          <cell r="AB54">
            <v>8736.1077780392789</v>
          </cell>
        </row>
        <row r="55">
          <cell r="C55">
            <v>729.30450315484188</v>
          </cell>
          <cell r="D55">
            <v>840.95605658944976</v>
          </cell>
          <cell r="E55">
            <v>941.91716411959737</v>
          </cell>
          <cell r="F55">
            <v>1011.7024571054575</v>
          </cell>
          <cell r="G55">
            <v>1019.7090300861214</v>
          </cell>
          <cell r="H55">
            <v>1015.5114174743458</v>
          </cell>
          <cell r="L55">
            <v>993.62229661198432</v>
          </cell>
          <cell r="M55">
            <v>987.49827054551838</v>
          </cell>
          <cell r="Q55">
            <v>949.36330841896699</v>
          </cell>
          <cell r="R55">
            <v>937.95753729102955</v>
          </cell>
          <cell r="AA55">
            <v>850.33913146512236</v>
          </cell>
          <cell r="AB55">
            <v>840.12304935134011</v>
          </cell>
        </row>
        <row r="56">
          <cell r="C56">
            <v>792.03862640881221</v>
          </cell>
          <cell r="D56">
            <v>914.51415296074219</v>
          </cell>
          <cell r="E56">
            <v>1090.668456318482</v>
          </cell>
          <cell r="F56">
            <v>1244.6742757159757</v>
          </cell>
          <cell r="G56">
            <v>1343.141153227778</v>
          </cell>
          <cell r="H56">
            <v>1430.1197443969595</v>
          </cell>
          <cell r="L56">
            <v>1769.5898599187335</v>
          </cell>
          <cell r="M56">
            <v>1852.3095199668696</v>
          </cell>
          <cell r="Q56">
            <v>2163.3733969863219</v>
          </cell>
          <cell r="R56">
            <v>2236.8539413823933</v>
          </cell>
          <cell r="AA56">
            <v>2875.6056996327461</v>
          </cell>
          <cell r="AB56">
            <v>2941.421791056584</v>
          </cell>
        </row>
        <row r="58">
          <cell r="C58">
            <v>1437.3794963519699</v>
          </cell>
          <cell r="D58">
            <v>1524.8694225267391</v>
          </cell>
          <cell r="E58">
            <v>1701.0237258844788</v>
          </cell>
          <cell r="F58">
            <v>1855.0295452819726</v>
          </cell>
          <cell r="G58">
            <v>1953.4964227937749</v>
          </cell>
          <cell r="H58">
            <v>2040.4750139629564</v>
          </cell>
          <cell r="L58">
            <v>2379.9451294847304</v>
          </cell>
          <cell r="M58">
            <v>2462.6647895328665</v>
          </cell>
          <cell r="Q58">
            <v>2773.7286665523188</v>
          </cell>
          <cell r="R58">
            <v>2847.2092109483901</v>
          </cell>
          <cell r="AA58">
            <v>3485.960969198743</v>
          </cell>
          <cell r="AB58">
            <v>3551.7770606225808</v>
          </cell>
        </row>
        <row r="59">
          <cell r="C59">
            <v>129.51649999999998</v>
          </cell>
          <cell r="D59">
            <v>129.51649999999998</v>
          </cell>
          <cell r="E59">
            <v>129.51649999999998</v>
          </cell>
          <cell r="F59">
            <v>129.51649999999998</v>
          </cell>
          <cell r="G59">
            <v>129.51649999999998</v>
          </cell>
          <cell r="H59">
            <v>129.51649999999998</v>
          </cell>
          <cell r="L59">
            <v>129.51649999999998</v>
          </cell>
          <cell r="M59">
            <v>129.51649999999998</v>
          </cell>
          <cell r="Q59">
            <v>129.51649999999998</v>
          </cell>
          <cell r="R59">
            <v>129.51649999999998</v>
          </cell>
          <cell r="AA59">
            <v>129.51649999999998</v>
          </cell>
          <cell r="AB59">
            <v>129.51649999999998</v>
          </cell>
        </row>
        <row r="60">
          <cell r="C60">
            <v>177.13934948567379</v>
          </cell>
          <cell r="D60">
            <v>177.13934948567379</v>
          </cell>
          <cell r="E60">
            <v>177.13934948567379</v>
          </cell>
          <cell r="F60">
            <v>177.13934948567379</v>
          </cell>
          <cell r="G60">
            <v>177.13934948567379</v>
          </cell>
          <cell r="H60">
            <v>177.13934948567379</v>
          </cell>
          <cell r="L60">
            <v>177.13934948567379</v>
          </cell>
          <cell r="M60">
            <v>177.13934948567379</v>
          </cell>
          <cell r="Q60">
            <v>177.13934948567379</v>
          </cell>
          <cell r="R60">
            <v>177.13934948567379</v>
          </cell>
          <cell r="AA60">
            <v>177.13934948567379</v>
          </cell>
          <cell r="AB60">
            <v>177.13934948567379</v>
          </cell>
        </row>
        <row r="61">
          <cell r="C61">
            <v>1738.563646866296</v>
          </cell>
          <cell r="D61">
            <v>1826.0535730410652</v>
          </cell>
          <cell r="E61">
            <v>2002.207876398805</v>
          </cell>
          <cell r="F61">
            <v>2156.2136957962985</v>
          </cell>
          <cell r="G61">
            <v>2254.680573308101</v>
          </cell>
          <cell r="H61">
            <v>2341.6591644772825</v>
          </cell>
          <cell r="L61">
            <v>2681.129279999057</v>
          </cell>
          <cell r="M61">
            <v>2763.8489400471926</v>
          </cell>
          <cell r="Q61">
            <v>3074.9128170666454</v>
          </cell>
          <cell r="R61">
            <v>3148.3933614627167</v>
          </cell>
          <cell r="AA61">
            <v>3787.1451197130691</v>
          </cell>
          <cell r="AB61">
            <v>3852.961211136907</v>
          </cell>
        </row>
        <row r="62">
          <cell r="C62">
            <v>121.61</v>
          </cell>
          <cell r="D62">
            <v>121.61</v>
          </cell>
          <cell r="E62">
            <v>121.61</v>
          </cell>
          <cell r="F62">
            <v>121.61</v>
          </cell>
          <cell r="G62">
            <v>121.61</v>
          </cell>
          <cell r="H62">
            <v>121.61</v>
          </cell>
          <cell r="L62">
            <v>121.61</v>
          </cell>
          <cell r="M62">
            <v>121.61</v>
          </cell>
          <cell r="Q62">
            <v>121.61</v>
          </cell>
          <cell r="R62">
            <v>121.61</v>
          </cell>
          <cell r="AA62">
            <v>121.61</v>
          </cell>
          <cell r="AB62">
            <v>121.61</v>
          </cell>
        </row>
        <row r="64">
          <cell r="C64">
            <v>14.296222735517606</v>
          </cell>
          <cell r="D64">
            <v>15.015653096300182</v>
          </cell>
          <cell r="E64">
            <v>16.464171337873569</v>
          </cell>
          <cell r="F64">
            <v>17.730562419178508</v>
          </cell>
          <cell r="G64">
            <v>18.540256338361164</v>
          </cell>
          <cell r="H64">
            <v>19.255481987314223</v>
          </cell>
          <cell r="L64">
            <v>22.046947454971278</v>
          </cell>
          <cell r="M64">
            <v>22.727151879345389</v>
          </cell>
          <cell r="Q64">
            <v>25.285032621220669</v>
          </cell>
          <cell r="R64">
            <v>25.88926372389373</v>
          </cell>
          <cell r="AA64">
            <v>31.141724526873357</v>
          </cell>
          <cell r="AB64">
            <v>31.682930771621635</v>
          </cell>
        </row>
        <row r="65">
          <cell r="C65">
            <v>9.2945337373087469</v>
          </cell>
          <cell r="D65">
            <v>11.092655451637434</v>
          </cell>
          <cell r="E65">
            <v>19.932383171194957</v>
          </cell>
          <cell r="F65">
            <v>17.578012433015587</v>
          </cell>
          <cell r="G65">
            <v>18.254304864435738</v>
          </cell>
          <cell r="H65">
            <v>13.273670693566487</v>
          </cell>
          <cell r="L65">
            <v>16.737573739429394</v>
          </cell>
          <cell r="M65">
            <v>18.243955375978061</v>
          </cell>
          <cell r="Q65">
            <v>24.398922784326601</v>
          </cell>
          <cell r="R65">
            <v>26.472831220994408</v>
          </cell>
          <cell r="AA65">
            <v>55.799684407124005</v>
          </cell>
          <cell r="AB65">
            <v>60.542657581729145</v>
          </cell>
        </row>
        <row r="68">
          <cell r="C68">
            <v>1.4340406734183053E-2</v>
          </cell>
          <cell r="D68">
            <v>0.10773552697017343</v>
          </cell>
          <cell r="E68">
            <v>0.19669918410138301</v>
          </cell>
          <cell r="F68">
            <v>5.0546090532736718E-2</v>
          </cell>
          <cell r="G68">
            <v>0.10000000000000005</v>
          </cell>
          <cell r="H68">
            <v>0.10000000000000006</v>
          </cell>
          <cell r="L68">
            <v>9.0000000000000024E-2</v>
          </cell>
          <cell r="M68">
            <v>9.000000000000008E-2</v>
          </cell>
          <cell r="Q68">
            <v>8.4999999999999937E-2</v>
          </cell>
          <cell r="R68">
            <v>8.500000000000002E-2</v>
          </cell>
          <cell r="AA68">
            <v>8.500000000000002E-2</v>
          </cell>
          <cell r="AB68">
            <v>8.4999999999999992E-2</v>
          </cell>
        </row>
        <row r="69">
          <cell r="C69">
            <v>0.16677526277977231</v>
          </cell>
          <cell r="D69">
            <v>0.17074435095774665</v>
          </cell>
          <cell r="E69">
            <v>0.16963175052780105</v>
          </cell>
          <cell r="F69">
            <v>0.17834288604310877</v>
          </cell>
          <cell r="G69">
            <v>0.1825</v>
          </cell>
          <cell r="H69">
            <v>0.1825</v>
          </cell>
          <cell r="L69">
            <v>0.1835</v>
          </cell>
          <cell r="M69">
            <v>0.18349999999999997</v>
          </cell>
          <cell r="Q69">
            <v>0.1845</v>
          </cell>
          <cell r="R69">
            <v>0.1845</v>
          </cell>
          <cell r="AA69">
            <v>0.1845</v>
          </cell>
          <cell r="AB69">
            <v>0.1845</v>
          </cell>
        </row>
        <row r="70">
          <cell r="C70">
            <v>-0.67247575584711294</v>
          </cell>
          <cell r="D70">
            <v>1.3328851318857808</v>
          </cell>
          <cell r="E70">
            <v>-7.4136144899043591E-2</v>
          </cell>
          <cell r="F70">
            <v>0.12291276745470484</v>
          </cell>
          <cell r="G70">
            <v>0.30093026159705311</v>
          </cell>
          <cell r="H70">
            <v>0.35087719298245607</v>
          </cell>
          <cell r="L70">
            <v>0.34482758620689652</v>
          </cell>
          <cell r="M70">
            <v>0.34482758620689702</v>
          </cell>
          <cell r="Q70">
            <v>0.33898305084745756</v>
          </cell>
          <cell r="R70">
            <v>0.33898305084745795</v>
          </cell>
          <cell r="AA70">
            <v>0.33333333333333315</v>
          </cell>
          <cell r="AB70">
            <v>0.33333333333333331</v>
          </cell>
        </row>
        <row r="71">
          <cell r="C71">
            <v>3.4262600641113878</v>
          </cell>
          <cell r="D71">
            <v>0.79415776577971608</v>
          </cell>
          <cell r="E71">
            <v>-0.13416579550818777</v>
          </cell>
          <cell r="F71">
            <v>0.54110610586734309</v>
          </cell>
          <cell r="G71">
            <v>0.3611563202356044</v>
          </cell>
          <cell r="H71">
            <v>0.39215686274509787</v>
          </cell>
          <cell r="L71">
            <v>0.38759689922480589</v>
          </cell>
          <cell r="M71">
            <v>0.38759689922480645</v>
          </cell>
          <cell r="Q71">
            <v>0.38167938931297685</v>
          </cell>
          <cell r="R71">
            <v>0.38167938931297707</v>
          </cell>
          <cell r="AA71">
            <v>0.37313432835820914</v>
          </cell>
          <cell r="AB71">
            <v>0.37313432835820876</v>
          </cell>
        </row>
        <row r="74">
          <cell r="C74">
            <v>267.76750000000004</v>
          </cell>
          <cell r="D74">
            <v>374.60090909090906</v>
          </cell>
          <cell r="E74">
            <v>362.58313419117638</v>
          </cell>
          <cell r="F74">
            <v>368.7103202846975</v>
          </cell>
          <cell r="G74">
            <v>399.88898245614035</v>
          </cell>
          <cell r="H74">
            <v>439.87788070175441</v>
          </cell>
          <cell r="L74">
            <v>610.21794899188149</v>
          </cell>
          <cell r="M74">
            <v>665.13756440115094</v>
          </cell>
          <cell r="Q74">
            <v>906.16317767450255</v>
          </cell>
          <cell r="R74">
            <v>983.18704777683536</v>
          </cell>
          <cell r="AA74">
            <v>2014.6729413907133</v>
          </cell>
          <cell r="AB74">
            <v>2185.9201414089239</v>
          </cell>
        </row>
        <row r="75">
          <cell r="C75">
            <v>342.58776956599684</v>
          </cell>
          <cell r="D75">
            <v>405.59096268015668</v>
          </cell>
          <cell r="E75">
            <v>383.19213379437298</v>
          </cell>
          <cell r="F75">
            <v>409.51620553359686</v>
          </cell>
          <cell r="G75">
            <v>446.93474509803929</v>
          </cell>
          <cell r="H75">
            <v>491.62821960784322</v>
          </cell>
          <cell r="L75">
            <v>685.90389615366519</v>
          </cell>
          <cell r="M75">
            <v>747.63524680749515</v>
          </cell>
          <cell r="Q75">
            <v>1020.2982344044972</v>
          </cell>
          <cell r="R75">
            <v>1107.0235843288795</v>
          </cell>
          <cell r="AA75">
            <v>2255.2309045418433</v>
          </cell>
          <cell r="AB75">
            <v>2446.9255314278998</v>
          </cell>
        </row>
        <row r="76">
          <cell r="C76">
            <v>0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L76">
            <v>0</v>
          </cell>
          <cell r="M76">
            <v>0</v>
          </cell>
          <cell r="Q76">
            <v>0</v>
          </cell>
          <cell r="R76">
            <v>0</v>
          </cell>
          <cell r="AA76">
            <v>0</v>
          </cell>
          <cell r="AB76">
            <v>0</v>
          </cell>
        </row>
        <row r="77">
          <cell r="C77">
            <v>610.35526956599688</v>
          </cell>
          <cell r="D77">
            <v>780.19187177106573</v>
          </cell>
          <cell r="E77">
            <v>745.77526798554936</v>
          </cell>
          <cell r="F77">
            <v>778.22652581829436</v>
          </cell>
          <cell r="G77">
            <v>846.82372755417964</v>
          </cell>
          <cell r="H77">
            <v>931.50610030959763</v>
          </cell>
          <cell r="I77">
            <v>1000.8438769676559</v>
          </cell>
          <cell r="J77">
            <v>1090.9198258947449</v>
          </cell>
          <cell r="K77">
            <v>1189.1026102252722</v>
          </cell>
          <cell r="L77">
            <v>1296.1218451455466</v>
          </cell>
          <cell r="M77">
            <v>1412.7728112086461</v>
          </cell>
          <cell r="N77">
            <v>1508.2422408309471</v>
          </cell>
          <cell r="O77">
            <v>1636.4428313015778</v>
          </cell>
          <cell r="P77">
            <v>1775.540471962212</v>
          </cell>
          <cell r="Q77">
            <v>1926.4614120789997</v>
          </cell>
          <cell r="R77">
            <v>2090.2106321057149</v>
          </cell>
          <cell r="S77">
            <v>2223.2084772655835</v>
          </cell>
          <cell r="T77">
            <v>2412.1811978331575</v>
          </cell>
          <cell r="U77">
            <v>2617.2165996489757</v>
          </cell>
          <cell r="V77">
            <v>2839.6800106191386</v>
          </cell>
          <cell r="W77">
            <v>3081.0528115217653</v>
          </cell>
          <cell r="X77">
            <v>3342.9423005011158</v>
          </cell>
          <cell r="Y77">
            <v>3627.0923960437103</v>
          </cell>
          <cell r="Z77">
            <v>3935.3952497074251</v>
          </cell>
          <cell r="AA77">
            <v>4269.9038459325566</v>
          </cell>
          <cell r="AB77">
            <v>4632.8456728368237</v>
          </cell>
        </row>
        <row r="78">
          <cell r="C78">
            <v>597.17723525642884</v>
          </cell>
          <cell r="D78">
            <v>695.27357066853131</v>
          </cell>
          <cell r="E78">
            <v>762.98356987830755</v>
          </cell>
          <cell r="F78">
            <v>762.00089690192181</v>
          </cell>
          <cell r="G78">
            <v>812.52512668623694</v>
          </cell>
          <cell r="H78">
            <v>889.16491393188858</v>
          </cell>
          <cell r="I78">
            <v>966.1749886386267</v>
          </cell>
          <cell r="J78">
            <v>1045.8818514312004</v>
          </cell>
          <cell r="K78">
            <v>1140.0112180600086</v>
          </cell>
          <cell r="L78">
            <v>1242.6122276854094</v>
          </cell>
          <cell r="M78">
            <v>1354.4473281770963</v>
          </cell>
          <cell r="N78">
            <v>1460.5075260197966</v>
          </cell>
          <cell r="O78">
            <v>1572.3425360662625</v>
          </cell>
          <cell r="P78">
            <v>1705.9916516318949</v>
          </cell>
          <cell r="Q78">
            <v>1851.0009420206059</v>
          </cell>
          <cell r="R78">
            <v>2008.3360220923573</v>
          </cell>
          <cell r="S78">
            <v>2156.709554685649</v>
          </cell>
          <cell r="T78">
            <v>2317.6948375493703</v>
          </cell>
          <cell r="U78">
            <v>2514.6988987410668</v>
          </cell>
          <cell r="V78">
            <v>2728.4483051340571</v>
          </cell>
          <cell r="W78">
            <v>2960.3664110704522</v>
          </cell>
          <cell r="X78">
            <v>3211.9975560114408</v>
          </cell>
          <cell r="Y78">
            <v>3485.0173482724131</v>
          </cell>
          <cell r="Z78">
            <v>3781.2438228755677</v>
          </cell>
          <cell r="AA78">
            <v>4102.6495478199904</v>
          </cell>
          <cell r="AB78">
            <v>4451.3747593846902</v>
          </cell>
        </row>
        <row r="79">
          <cell r="C79">
            <v>4.5130316234001586E-2</v>
          </cell>
          <cell r="D79">
            <v>0.27825859900551686</v>
          </cell>
          <cell r="E79">
            <v>-4.4112999674540763E-2</v>
          </cell>
          <cell r="F79">
            <v>4.3513454020003513E-2</v>
          </cell>
          <cell r="G79">
            <v>8.8145545622151947E-2</v>
          </cell>
          <cell r="H79">
            <v>0.10000000000000003</v>
          </cell>
          <cell r="L79">
            <v>8.9999999999999886E-2</v>
          </cell>
          <cell r="M79">
            <v>9.000000000000026E-2</v>
          </cell>
          <cell r="Q79">
            <v>8.499999999999984E-2</v>
          </cell>
          <cell r="R79">
            <v>8.5000000000000117E-2</v>
          </cell>
          <cell r="AA79">
            <v>8.5000000000000075E-2</v>
          </cell>
          <cell r="AB79">
            <v>8.4999999999999964E-2</v>
          </cell>
        </row>
        <row r="80">
          <cell r="C80">
            <v>2.7422001256523814</v>
          </cell>
          <cell r="D80">
            <v>2.5658858322946223</v>
          </cell>
          <cell r="E80">
            <v>2.675657819746426</v>
          </cell>
          <cell r="F80">
            <v>2.8335437536291561</v>
          </cell>
          <cell r="G80">
            <v>2.9656118498569266</v>
          </cell>
          <cell r="H80">
            <v>2.9857142857142862</v>
          </cell>
          <cell r="L80">
            <v>3.0248803827751196</v>
          </cell>
          <cell r="M80">
            <v>3.0248803827751196</v>
          </cell>
          <cell r="Q80">
            <v>3.0702637889688251</v>
          </cell>
          <cell r="R80">
            <v>3.0702637889688251</v>
          </cell>
          <cell r="AA80">
            <v>3.122302158273381</v>
          </cell>
          <cell r="AB80">
            <v>3.1223021582733814</v>
          </cell>
        </row>
        <row r="81">
          <cell r="C81">
            <v>2.2830046584365999</v>
          </cell>
          <cell r="D81">
            <v>2.2030083574438222</v>
          </cell>
          <cell r="E81">
            <v>2.5006269262309067</v>
          </cell>
          <cell r="F81">
            <v>2.6140156438327589</v>
          </cell>
          <cell r="G81">
            <v>2.6614100881305078</v>
          </cell>
          <cell r="H81">
            <v>2.6714285714285713</v>
          </cell>
          <cell r="L81">
            <v>2.6911004784688997</v>
          </cell>
          <cell r="M81">
            <v>2.6911004784688997</v>
          </cell>
          <cell r="Q81">
            <v>2.7268105515587528</v>
          </cell>
          <cell r="R81">
            <v>2.7268105515587528</v>
          </cell>
          <cell r="AA81">
            <v>2.7892565947242205</v>
          </cell>
          <cell r="AB81">
            <v>2.7892565947242205</v>
          </cell>
        </row>
        <row r="82">
          <cell r="C82" t="str">
            <v xml:space="preserve">--  </v>
          </cell>
          <cell r="D82" t="str">
            <v xml:space="preserve">--  </v>
          </cell>
          <cell r="E82" t="str">
            <v xml:space="preserve">--  </v>
          </cell>
          <cell r="F82" t="str">
            <v xml:space="preserve">--  </v>
          </cell>
          <cell r="G82" t="str">
            <v xml:space="preserve">--  </v>
          </cell>
          <cell r="H82" t="str">
            <v xml:space="preserve">--  </v>
          </cell>
          <cell r="L82" t="str">
            <v xml:space="preserve">--  </v>
          </cell>
          <cell r="M82" t="str">
            <v xml:space="preserve">--  </v>
          </cell>
          <cell r="Q82" t="str">
            <v xml:space="preserve">--  </v>
          </cell>
          <cell r="R82" t="str">
            <v xml:space="preserve">--  </v>
          </cell>
          <cell r="AA82" t="str">
            <v xml:space="preserve">--  </v>
          </cell>
          <cell r="AB82" t="str">
            <v xml:space="preserve">--  </v>
          </cell>
        </row>
        <row r="83">
          <cell r="C83">
            <v>1.2458110525270412</v>
          </cell>
          <cell r="D83">
            <v>1.1853204763810827</v>
          </cell>
          <cell r="E83">
            <v>1.2925915628265738</v>
          </cell>
          <cell r="F83">
            <v>1.359678189635195</v>
          </cell>
          <cell r="G83">
            <v>1.4026441307089546</v>
          </cell>
          <cell r="H83">
            <v>1.409920634920635</v>
          </cell>
          <cell r="I83">
            <v>1.414320027395263</v>
          </cell>
          <cell r="J83">
            <v>1.4241225159780675</v>
          </cell>
          <cell r="K83">
            <v>1.4241225159780675</v>
          </cell>
          <cell r="L83">
            <v>1.4241225159780675</v>
          </cell>
          <cell r="M83">
            <v>1.4241225159780675</v>
          </cell>
          <cell r="N83">
            <v>1.4329644381167355</v>
          </cell>
          <cell r="O83">
            <v>1.4441815308973649</v>
          </cell>
          <cell r="P83">
            <v>1.4441815308973647</v>
          </cell>
          <cell r="Q83">
            <v>1.4441815308973647</v>
          </cell>
          <cell r="R83">
            <v>1.4441815308973647</v>
          </cell>
          <cell r="S83">
            <v>1.459137572017845</v>
          </cell>
          <cell r="T83">
            <v>1.4731989056642012</v>
          </cell>
          <cell r="U83">
            <v>1.473198905664201</v>
          </cell>
          <cell r="V83">
            <v>1.4731989056642012</v>
          </cell>
          <cell r="W83">
            <v>1.473198905664201</v>
          </cell>
          <cell r="X83">
            <v>1.473198905664201</v>
          </cell>
          <cell r="Y83">
            <v>1.473198905664201</v>
          </cell>
          <cell r="Z83">
            <v>1.473198905664201</v>
          </cell>
          <cell r="AA83">
            <v>1.4731989056642012</v>
          </cell>
          <cell r="AB83">
            <v>1.473198905664201</v>
          </cell>
        </row>
        <row r="85">
          <cell r="C85">
            <v>2.7784178438384042</v>
          </cell>
          <cell r="D85">
            <v>2.2000000000000002</v>
          </cell>
          <cell r="E85">
            <v>2.72</v>
          </cell>
          <cell r="F85">
            <v>2.81</v>
          </cell>
          <cell r="G85">
            <v>2.85</v>
          </cell>
          <cell r="H85">
            <v>2.85</v>
          </cell>
          <cell r="L85">
            <v>2.9</v>
          </cell>
          <cell r="M85">
            <v>2.9</v>
          </cell>
          <cell r="Q85">
            <v>2.95</v>
          </cell>
          <cell r="R85">
            <v>2.95</v>
          </cell>
          <cell r="AA85">
            <v>3</v>
          </cell>
          <cell r="AB85">
            <v>3</v>
          </cell>
        </row>
        <row r="86">
          <cell r="C86">
            <v>2.171618680207088</v>
          </cell>
          <cell r="D86">
            <v>2.031904247950147</v>
          </cell>
          <cell r="E86">
            <v>2.5737118224071494</v>
          </cell>
          <cell r="F86">
            <v>2.5299999999999998</v>
          </cell>
          <cell r="G86">
            <v>2.5499999999999998</v>
          </cell>
          <cell r="H86">
            <v>2.5499999999999998</v>
          </cell>
          <cell r="L86">
            <v>2.58</v>
          </cell>
          <cell r="M86">
            <v>2.58</v>
          </cell>
          <cell r="Q86">
            <v>2.62</v>
          </cell>
          <cell r="R86">
            <v>2.62</v>
          </cell>
          <cell r="AA86">
            <v>2.6799999999999997</v>
          </cell>
          <cell r="AB86">
            <v>2.68</v>
          </cell>
        </row>
        <row r="87">
          <cell r="C87" t="e">
            <v>#DIV/0!</v>
          </cell>
          <cell r="D87" t="e">
            <v>#DIV/0!</v>
          </cell>
          <cell r="E87" t="e">
            <v>#DIV/0!</v>
          </cell>
          <cell r="F87" t="e">
            <v>#DIV/0!</v>
          </cell>
          <cell r="G87" t="e">
            <v>#DIV/0!</v>
          </cell>
          <cell r="H87" t="e">
            <v>#DIV/0!</v>
          </cell>
          <cell r="L87" t="e">
            <v>#DIV/0!</v>
          </cell>
          <cell r="M87" t="e">
            <v>#DIV/0!</v>
          </cell>
          <cell r="Q87" t="e">
            <v>#DIV/0!</v>
          </cell>
          <cell r="R87" t="e">
            <v>#DIV/0!</v>
          </cell>
          <cell r="AA87" t="e">
            <v>#DIV/0!</v>
          </cell>
          <cell r="AB87" t="e">
            <v>#DIV/0!</v>
          </cell>
        </row>
        <row r="88">
          <cell r="C88">
            <v>1.2189130447403396</v>
          </cell>
          <cell r="D88">
            <v>1.0563068263313371</v>
          </cell>
          <cell r="E88">
            <v>1.3224173116707723</v>
          </cell>
          <cell r="F88">
            <v>1.3313295880149814</v>
          </cell>
          <cell r="G88">
            <v>1.3458333333333332</v>
          </cell>
          <cell r="H88">
            <v>1.3458333333333334</v>
          </cell>
          <cell r="L88">
            <v>1.3653284671532848</v>
          </cell>
          <cell r="M88">
            <v>1.3653284671532846</v>
          </cell>
          <cell r="Q88">
            <v>1.3876122082585278</v>
          </cell>
          <cell r="R88">
            <v>1.3876122082585278</v>
          </cell>
          <cell r="AA88">
            <v>1.4154929577464788</v>
          </cell>
          <cell r="AB88">
            <v>1.415492957746479</v>
          </cell>
        </row>
        <row r="91">
          <cell r="C91" t="str">
            <v>N/A</v>
          </cell>
          <cell r="D91" t="str">
            <v>N/A</v>
          </cell>
          <cell r="E91" t="str">
            <v>NM</v>
          </cell>
          <cell r="F91" t="str">
            <v>NM</v>
          </cell>
          <cell r="G91" t="str">
            <v>NM</v>
          </cell>
          <cell r="H91" t="str">
            <v>NM</v>
          </cell>
          <cell r="L91">
            <v>4.5507069415421526</v>
          </cell>
          <cell r="M91">
            <v>0.26730599187098908</v>
          </cell>
          <cell r="Q91">
            <v>0.10853581848037203</v>
          </cell>
        </row>
        <row r="92">
          <cell r="C92">
            <v>-6.1829084895955393E-2</v>
          </cell>
          <cell r="D92">
            <v>0.15368187724306701</v>
          </cell>
          <cell r="E92">
            <v>0.35810203393451906</v>
          </cell>
          <cell r="F92">
            <v>0.36159252694519584</v>
          </cell>
          <cell r="G92">
            <v>1.009698442423538</v>
          </cell>
          <cell r="H92">
            <v>0.33110398489307596</v>
          </cell>
          <cell r="L92">
            <v>0.25053777372262781</v>
          </cell>
          <cell r="M92">
            <v>0.25053777372262753</v>
          </cell>
          <cell r="Q92">
            <v>0.25601445242369825</v>
          </cell>
          <cell r="R92">
            <v>0.25601445242369841</v>
          </cell>
          <cell r="AA92">
            <v>0.26115845070422544</v>
          </cell>
          <cell r="AB92">
            <v>0.26115845070422533</v>
          </cell>
        </row>
        <row r="93">
          <cell r="C93">
            <v>0.10853581848037203</v>
          </cell>
          <cell r="D93">
            <v>0.63129232171039351</v>
          </cell>
          <cell r="E93">
            <v>0.15650977265727781</v>
          </cell>
          <cell r="F93" t="str">
            <v>NM</v>
          </cell>
          <cell r="G93">
            <v>0.71539516648795098</v>
          </cell>
          <cell r="H93">
            <v>0.30320807807994471</v>
          </cell>
          <cell r="L93">
            <v>0.27308617335766328</v>
          </cell>
          <cell r="M93">
            <v>0.27308617335766477</v>
          </cell>
          <cell r="Q93">
            <v>0.27777568087971244</v>
          </cell>
          <cell r="R93">
            <v>0.27777568087971344</v>
          </cell>
          <cell r="AA93">
            <v>0.28335691901408538</v>
          </cell>
          <cell r="AB93">
            <v>0.28335691901408389</v>
          </cell>
        </row>
        <row r="96">
          <cell r="C96">
            <v>0.20777046565914201</v>
          </cell>
          <cell r="D96">
            <v>0.20238677541661504</v>
          </cell>
          <cell r="E96">
            <v>0.21065670933585751</v>
          </cell>
          <cell r="F96">
            <v>0.22077378551320964</v>
          </cell>
          <cell r="G96">
            <v>0.22909373891340909</v>
          </cell>
          <cell r="H96">
            <v>0.23447799035778649</v>
          </cell>
          <cell r="L96">
            <v>0.24586336807130496</v>
          </cell>
          <cell r="M96">
            <v>0.24736758330535419</v>
          </cell>
          <cell r="Q96">
            <v>0.25253549970996664</v>
          </cell>
          <cell r="R96">
            <v>0.25344018965752974</v>
          </cell>
          <cell r="AA96">
            <v>0.26007301327195681</v>
          </cell>
          <cell r="AB96">
            <v>0.2605324288632152</v>
          </cell>
        </row>
        <row r="97">
          <cell r="C97">
            <v>0.16677526277977231</v>
          </cell>
          <cell r="D97">
            <v>0.17074435095774665</v>
          </cell>
          <cell r="E97">
            <v>0.1701871415404107</v>
          </cell>
          <cell r="F97">
            <v>0.17286341671277256</v>
          </cell>
          <cell r="G97">
            <v>0.17522377672372652</v>
          </cell>
          <cell r="H97">
            <v>0.17665543485325244</v>
          </cell>
          <cell r="L97">
            <v>0.17966536563684621</v>
          </cell>
          <cell r="M97">
            <v>0.18004519514714024</v>
          </cell>
          <cell r="Q97">
            <v>0.1813069055962124</v>
          </cell>
          <cell r="R97">
            <v>0.18151804861694679</v>
          </cell>
          <cell r="AA97">
            <v>0.18263059025411099</v>
          </cell>
          <cell r="AB97">
            <v>0.18270500168453541</v>
          </cell>
        </row>
        <row r="98">
          <cell r="C98">
            <v>1.2458110525270412</v>
          </cell>
          <cell r="D98">
            <v>1.1853204763810827</v>
          </cell>
          <cell r="E98">
            <v>1.2377945092040774</v>
          </cell>
          <cell r="F98">
            <v>1.277157363376916</v>
          </cell>
          <cell r="G98">
            <v>1.307435230520221</v>
          </cell>
          <cell r="H98">
            <v>1.3273182936747308</v>
          </cell>
          <cell r="L98">
            <v>1.3684516612303752</v>
          </cell>
          <cell r="M98">
            <v>1.3739193823150646</v>
          </cell>
          <cell r="Q98">
            <v>1.3928620031295833</v>
          </cell>
          <cell r="R98">
            <v>1.3962258386346944</v>
          </cell>
          <cell r="AA98">
            <v>1.4240386175727346</v>
          </cell>
          <cell r="AB98">
            <v>1.4259731614411917</v>
          </cell>
        </row>
        <row r="99">
          <cell r="C99" t="str">
            <v>N/A</v>
          </cell>
          <cell r="D99">
            <v>0.10773552697017341</v>
          </cell>
          <cell r="E99">
            <v>0.15135841566617403</v>
          </cell>
          <cell r="F99">
            <v>0.1167228350190157</v>
          </cell>
          <cell r="G99">
            <v>0.1125184418801124</v>
          </cell>
          <cell r="H99">
            <v>0.11000340787175555</v>
          </cell>
          <cell r="L99">
            <v>0.10106807970812381</v>
          </cell>
          <cell r="M99">
            <v>9.9956233029393493E-2</v>
          </cell>
          <cell r="Q99">
            <v>9.5662109669395923E-2</v>
          </cell>
          <cell r="R99">
            <v>9.494805403153439E-2</v>
          </cell>
          <cell r="AA99">
            <v>9.1206889672184488E-2</v>
          </cell>
          <cell r="AB99">
            <v>9.0957933692161541E-2</v>
          </cell>
        </row>
        <row r="100">
          <cell r="C100" t="str">
            <v>N/A</v>
          </cell>
          <cell r="D100">
            <v>0.13409854934613175</v>
          </cell>
          <cell r="E100">
            <v>0.16117665205676035</v>
          </cell>
          <cell r="F100">
            <v>0.14196672382392261</v>
          </cell>
          <cell r="G100">
            <v>0.13786313628337865</v>
          </cell>
          <cell r="H100">
            <v>0.13018765491023743</v>
          </cell>
          <cell r="L100">
            <v>0.11282218833267743</v>
          </cell>
          <cell r="M100">
            <v>0.11051862971536375</v>
          </cell>
          <cell r="Q100">
            <v>0.10359529069061701</v>
          </cell>
          <cell r="R100">
            <v>0.10234574955660625</v>
          </cell>
          <cell r="AA100">
            <v>9.5808832766655749E-2</v>
          </cell>
          <cell r="AB100">
            <v>9.5374419138029021E-2</v>
          </cell>
        </row>
        <row r="101">
          <cell r="C101" t="str">
            <v>N/A</v>
          </cell>
          <cell r="D101">
            <v>0.27825859900551686</v>
          </cell>
          <cell r="E101">
            <v>0.1053826386566814</v>
          </cell>
          <cell r="F101">
            <v>8.4362384047034222E-2</v>
          </cell>
          <cell r="G101">
            <v>8.5306939563037698E-2</v>
          </cell>
          <cell r="H101">
            <v>8.8229766338703719E-2</v>
          </cell>
          <cell r="L101">
            <v>8.7277367585568699E-2</v>
          </cell>
          <cell r="M101">
            <v>8.7549324516335236E-2</v>
          </cell>
          <cell r="Q101">
            <v>8.5564278415949824E-2</v>
          </cell>
          <cell r="R101">
            <v>8.5526650726534648E-2</v>
          </cell>
          <cell r="AA101">
            <v>8.4429878490707821E-2</v>
          </cell>
          <cell r="AB101">
            <v>8.4452677598197523E-2</v>
          </cell>
        </row>
        <row r="102">
          <cell r="C102" t="str">
            <v>N/A</v>
          </cell>
          <cell r="D102">
            <v>-1.3130280755698958</v>
          </cell>
          <cell r="E102">
            <v>0.45394629864256619</v>
          </cell>
          <cell r="F102">
            <v>0.16831739604215645</v>
          </cell>
          <cell r="G102">
            <v>0.10028095829730344</v>
          </cell>
          <cell r="H102">
            <v>8.6655021187935777E-2</v>
          </cell>
          <cell r="L102">
            <v>9.6377744329680715E-2</v>
          </cell>
          <cell r="M102">
            <v>9.5738294219591458E-2</v>
          </cell>
          <cell r="Q102">
            <v>9.5784085419657439E-2</v>
          </cell>
          <cell r="R102">
            <v>9.5061823449473337E-2</v>
          </cell>
          <cell r="AA102">
            <v>9.1671017412337408E-2</v>
          </cell>
          <cell r="AB102">
            <v>9.1403390879928548E-2</v>
          </cell>
        </row>
        <row r="105">
          <cell r="C105" t="str">
            <v>N/A</v>
          </cell>
          <cell r="D105">
            <v>-2.5911720539526506E-2</v>
          </cell>
          <cell r="E105">
            <v>8.3393759638591414E-2</v>
          </cell>
          <cell r="F105">
            <v>0.1059193601617503</v>
          </cell>
          <cell r="G105">
            <v>5.5646339359847641E-2</v>
          </cell>
          <cell r="H105">
            <v>5.1877051722326595E-3</v>
          </cell>
          <cell r="L105">
            <v>0</v>
          </cell>
          <cell r="M105">
            <v>0</v>
          </cell>
          <cell r="Q105">
            <v>0</v>
          </cell>
          <cell r="R105">
            <v>2.2204460492503131E-16</v>
          </cell>
          <cell r="AA105">
            <v>4.4408920985006262E-16</v>
          </cell>
          <cell r="AB105">
            <v>-4.4408920985006262E-16</v>
          </cell>
        </row>
        <row r="106">
          <cell r="C106" t="str">
            <v>N/A</v>
          </cell>
          <cell r="D106" t="str">
            <v>N/A</v>
          </cell>
          <cell r="E106" t="str">
            <v>N/A</v>
          </cell>
          <cell r="F106" t="str">
            <v>N/A</v>
          </cell>
          <cell r="G106" t="str">
            <v>N/A</v>
          </cell>
          <cell r="H106">
            <v>4.369774340623378E-2</v>
          </cell>
          <cell r="L106">
            <v>4.1407935192749878E-3</v>
          </cell>
          <cell r="M106">
            <v>3.1021868025773447E-3</v>
          </cell>
          <cell r="Q106">
            <v>3.8918931599705164E-3</v>
          </cell>
          <cell r="R106">
            <v>3.8918931599705164E-3</v>
          </cell>
          <cell r="AA106">
            <v>0</v>
          </cell>
          <cell r="AB106">
            <v>0</v>
          </cell>
        </row>
        <row r="107">
          <cell r="C107" t="str">
            <v>N/A</v>
          </cell>
          <cell r="D107" t="str">
            <v>N/A</v>
          </cell>
          <cell r="E107" t="str">
            <v>N/A</v>
          </cell>
          <cell r="F107" t="str">
            <v>N/A</v>
          </cell>
          <cell r="G107" t="str">
            <v>N/A</v>
          </cell>
          <cell r="H107" t="str">
            <v>N/A</v>
          </cell>
          <cell r="L107" t="str">
            <v>N/A</v>
          </cell>
          <cell r="M107">
            <v>2.3198655575596527E-2</v>
          </cell>
          <cell r="Q107">
            <v>4.0163356266769146E-3</v>
          </cell>
          <cell r="R107">
            <v>3.4969622984146742E-3</v>
          </cell>
          <cell r="AA107">
            <v>1.9913216800651057E-3</v>
          </cell>
          <cell r="AB107">
            <v>1.9913216800651057E-3</v>
          </cell>
        </row>
      </sheetData>
      <sheetData sheetId="6" refreshError="1">
        <row r="19">
          <cell r="AD19" t="str">
            <v>PV of Operating Leases</v>
          </cell>
          <cell r="AF19" t="str">
            <v>PV of Operating Leases</v>
          </cell>
        </row>
        <row r="21">
          <cell r="AD21">
            <v>5.7746087600703762</v>
          </cell>
          <cell r="AF21">
            <v>4.0182989450098034</v>
          </cell>
        </row>
        <row r="22">
          <cell r="AD22">
            <v>3.6126374258895892</v>
          </cell>
          <cell r="AF22">
            <v>2.4623989286568593</v>
          </cell>
        </row>
        <row r="23">
          <cell r="AD23">
            <v>2.0033951912320549</v>
          </cell>
          <cell r="AF23">
            <v>2.123166343711079</v>
          </cell>
        </row>
        <row r="24">
          <cell r="AD24">
            <v>1.0191287786580068</v>
          </cell>
          <cell r="AF24">
            <v>1.6608487362452289</v>
          </cell>
        </row>
        <row r="25">
          <cell r="AD25">
            <v>0.70541071068769456</v>
          </cell>
          <cell r="AF25">
            <v>0.74763653205081704</v>
          </cell>
        </row>
        <row r="26">
          <cell r="AD26">
            <v>0</v>
          </cell>
          <cell r="AF26">
            <v>0</v>
          </cell>
        </row>
        <row r="27">
          <cell r="AD27">
            <v>0</v>
          </cell>
          <cell r="AF27">
            <v>0</v>
          </cell>
        </row>
        <row r="28">
          <cell r="AD28">
            <v>0</v>
          </cell>
          <cell r="AF28">
            <v>0</v>
          </cell>
        </row>
        <row r="29">
          <cell r="AD29">
            <v>0</v>
          </cell>
          <cell r="AF29">
            <v>0</v>
          </cell>
        </row>
        <row r="30">
          <cell r="AD30">
            <v>0</v>
          </cell>
          <cell r="AF30">
            <v>0</v>
          </cell>
        </row>
        <row r="31">
          <cell r="AD31">
            <v>0</v>
          </cell>
          <cell r="AF31">
            <v>0</v>
          </cell>
        </row>
        <row r="32">
          <cell r="AD32">
            <v>0</v>
          </cell>
          <cell r="AF32">
            <v>0</v>
          </cell>
        </row>
        <row r="33">
          <cell r="AD33">
            <v>0</v>
          </cell>
          <cell r="AF33">
            <v>0</v>
          </cell>
        </row>
        <row r="34">
          <cell r="AD34">
            <v>0</v>
          </cell>
          <cell r="AF34">
            <v>0</v>
          </cell>
        </row>
        <row r="35">
          <cell r="AD35">
            <v>0</v>
          </cell>
          <cell r="AF35">
            <v>0</v>
          </cell>
        </row>
        <row r="36">
          <cell r="AD36">
            <v>0</v>
          </cell>
          <cell r="AF36">
            <v>0</v>
          </cell>
        </row>
        <row r="37">
          <cell r="AD37">
            <v>0</v>
          </cell>
          <cell r="AF37">
            <v>0</v>
          </cell>
        </row>
        <row r="38">
          <cell r="AD38">
            <v>0</v>
          </cell>
          <cell r="AF38">
            <v>0</v>
          </cell>
        </row>
        <row r="39">
          <cell r="AD39">
            <v>0</v>
          </cell>
          <cell r="AF39">
            <v>0</v>
          </cell>
        </row>
        <row r="40">
          <cell r="AD40">
            <v>0</v>
          </cell>
          <cell r="AF40">
            <v>0</v>
          </cell>
        </row>
        <row r="41">
          <cell r="AD41">
            <v>0</v>
          </cell>
          <cell r="AF41">
            <v>0</v>
          </cell>
        </row>
        <row r="42">
          <cell r="AD42">
            <v>0</v>
          </cell>
          <cell r="AF42">
            <v>0</v>
          </cell>
        </row>
        <row r="43">
          <cell r="AD43">
            <v>0</v>
          </cell>
          <cell r="AF43">
            <v>0</v>
          </cell>
        </row>
        <row r="44">
          <cell r="AD44">
            <v>0</v>
          </cell>
          <cell r="AF44">
            <v>0</v>
          </cell>
        </row>
        <row r="45">
          <cell r="AD45">
            <v>0</v>
          </cell>
          <cell r="AF45">
            <v>0</v>
          </cell>
        </row>
        <row r="46">
          <cell r="AD46">
            <v>0</v>
          </cell>
          <cell r="AF46">
            <v>0</v>
          </cell>
        </row>
        <row r="47">
          <cell r="AD47">
            <v>0</v>
          </cell>
          <cell r="AF47">
            <v>0</v>
          </cell>
        </row>
        <row r="48">
          <cell r="AD48">
            <v>0</v>
          </cell>
          <cell r="AF48">
            <v>0</v>
          </cell>
        </row>
        <row r="49">
          <cell r="AD49">
            <v>0</v>
          </cell>
          <cell r="AF49">
            <v>0</v>
          </cell>
        </row>
        <row r="50">
          <cell r="AD50">
            <v>0</v>
          </cell>
          <cell r="AF50">
            <v>0</v>
          </cell>
        </row>
        <row r="51">
          <cell r="AD51">
            <v>0</v>
          </cell>
          <cell r="AF51">
            <v>0</v>
          </cell>
        </row>
        <row r="52">
          <cell r="AD52">
            <v>0</v>
          </cell>
          <cell r="AF52">
            <v>0</v>
          </cell>
        </row>
        <row r="53">
          <cell r="AD53">
            <v>0</v>
          </cell>
          <cell r="AF53">
            <v>0</v>
          </cell>
        </row>
        <row r="54">
          <cell r="AD54">
            <v>0</v>
          </cell>
          <cell r="AF54">
            <v>0</v>
          </cell>
        </row>
        <row r="55">
          <cell r="AD55">
            <v>0</v>
          </cell>
          <cell r="AF55">
            <v>0</v>
          </cell>
        </row>
        <row r="56">
          <cell r="AD56">
            <v>0</v>
          </cell>
          <cell r="AF56">
            <v>0</v>
          </cell>
        </row>
        <row r="57">
          <cell r="AD57">
            <v>0</v>
          </cell>
          <cell r="AF57">
            <v>0</v>
          </cell>
        </row>
        <row r="58">
          <cell r="AD58">
            <v>0</v>
          </cell>
          <cell r="AF58">
            <v>0</v>
          </cell>
        </row>
        <row r="59">
          <cell r="AD59">
            <v>0</v>
          </cell>
          <cell r="AF59">
            <v>0</v>
          </cell>
        </row>
        <row r="60">
          <cell r="AD60">
            <v>0</v>
          </cell>
          <cell r="AF60">
            <v>0</v>
          </cell>
        </row>
        <row r="62">
          <cell r="D62">
            <v>0</v>
          </cell>
          <cell r="F62">
            <v>0</v>
          </cell>
          <cell r="H62">
            <v>0</v>
          </cell>
          <cell r="J62">
            <v>0</v>
          </cell>
          <cell r="L62">
            <v>0</v>
          </cell>
          <cell r="N62">
            <v>0</v>
          </cell>
          <cell r="P62">
            <v>0</v>
          </cell>
          <cell r="R62">
            <v>12.888850144986806</v>
          </cell>
          <cell r="T62">
            <v>10.177501975436593</v>
          </cell>
          <cell r="V62">
            <v>18.093818837611693</v>
          </cell>
          <cell r="X62">
            <v>17.172975073504414</v>
          </cell>
          <cell r="Z62">
            <v>16.22550233819991</v>
          </cell>
          <cell r="AB62">
            <v>11.046287899978912</v>
          </cell>
          <cell r="AD62">
            <v>13.11518086653772</v>
          </cell>
          <cell r="AF62">
            <v>11.01234948567379</v>
          </cell>
        </row>
        <row r="63">
          <cell r="AD63">
            <v>1.0479029512363638</v>
          </cell>
          <cell r="AF63">
            <v>0.78297804843140639</v>
          </cell>
        </row>
      </sheetData>
      <sheetData sheetId="7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"/>
      <sheetName val="Major v. River v. Equip."/>
      <sheetName val="LgCapEBITDA"/>
      <sheetName val="SmCapEBITDA"/>
      <sheetName val="SupplyEBITDA"/>
      <sheetName val="LgCapEPS"/>
      <sheetName val="SmCapEPS"/>
      <sheetName val="SupplyEPS"/>
      <sheetName val="LodgingEBITDA"/>
      <sheetName val="LodgingEPS"/>
      <sheetName val="LargerCap Gaming Stock Val 2001"/>
      <sheetName val="LargerCap Gaming Stock Val 2002"/>
      <sheetName val="Smaller Cap Gaming Stock Val"/>
      <sheetName val="Lodging Stock Val."/>
      <sheetName val="Universe Table"/>
      <sheetName val="Universe Table Gaming only"/>
      <sheetName val="Universe Table Lodging Only"/>
      <sheetName val="CruiseEBITDA"/>
      <sheetName val="CruiseEPS"/>
      <sheetName val="Industry (2)"/>
      <sheetName val="Industry"/>
      <sheetName val="Lodging Returns ppt"/>
      <sheetName val="pbos"/>
      <sheetName val="Major v. River"/>
      <sheetName val="Major v. Equipment"/>
      <sheetName val="EBITDA Growth"/>
      <sheetName val="LV REt"/>
      <sheetName val="River Ret"/>
      <sheetName val="Demographics"/>
      <sheetName val="Leisure"/>
      <sheetName val="States"/>
      <sheetName val="nongame"/>
      <sheetName val="nongame2"/>
      <sheetName val="Room Margin"/>
      <sheetName val="Hyp Casino"/>
      <sheetName val="lv gates"/>
      <sheetName val="potential"/>
      <sheetName val="LV Detail $1 Mil"/>
      <sheetName val="Room Mrgn 95"/>
      <sheetName val="ACcap2"/>
      <sheetName val="ACcap"/>
      <sheetName val="LVCap"/>
      <sheetName val="LVCap2"/>
      <sheetName val="LVrooms"/>
      <sheetName val="LV Investment"/>
      <sheetName val="disclosure"/>
      <sheetName val="disclosure inpres"/>
      <sheetName val="EBITDA Mix"/>
      <sheetName val="Free Cash Flow"/>
      <sheetName val="Tougher Comps in 01 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>
        <row r="5">
          <cell r="C5" t="str">
            <v>-</v>
          </cell>
          <cell r="D5" t="str">
            <v>Hold</v>
          </cell>
        </row>
        <row r="6">
          <cell r="C6">
            <v>13</v>
          </cell>
          <cell r="D6" t="str">
            <v>Accumulate</v>
          </cell>
        </row>
        <row r="7">
          <cell r="C7">
            <v>43</v>
          </cell>
          <cell r="D7" t="str">
            <v>Hold</v>
          </cell>
        </row>
        <row r="8">
          <cell r="C8">
            <v>45</v>
          </cell>
          <cell r="D8" t="str">
            <v>Strong Buy</v>
          </cell>
        </row>
      </sheetData>
      <sheetData sheetId="20" refreshError="1">
        <row r="5">
          <cell r="C5">
            <v>81</v>
          </cell>
          <cell r="D5" t="str">
            <v>Accumulate</v>
          </cell>
        </row>
        <row r="6">
          <cell r="C6" t="str">
            <v>—</v>
          </cell>
          <cell r="D6" t="str">
            <v>Hold</v>
          </cell>
        </row>
        <row r="7">
          <cell r="C7" t="str">
            <v>—</v>
          </cell>
          <cell r="D7" t="str">
            <v>Hold</v>
          </cell>
        </row>
        <row r="8">
          <cell r="C8" t="str">
            <v>—</v>
          </cell>
          <cell r="D8" t="str">
            <v>Hold</v>
          </cell>
        </row>
        <row r="9">
          <cell r="C9">
            <v>35</v>
          </cell>
          <cell r="D9" t="str">
            <v>Strong Buy</v>
          </cell>
        </row>
        <row r="11">
          <cell r="C11">
            <v>37</v>
          </cell>
          <cell r="D11" t="str">
            <v>Hold</v>
          </cell>
        </row>
        <row r="12">
          <cell r="C12">
            <v>32</v>
          </cell>
          <cell r="D12" t="str">
            <v>Accumulate</v>
          </cell>
        </row>
        <row r="13">
          <cell r="C13" t="str">
            <v>—</v>
          </cell>
          <cell r="D13" t="str">
            <v>Hold</v>
          </cell>
        </row>
        <row r="14">
          <cell r="D14" t="str">
            <v>Hold</v>
          </cell>
        </row>
        <row r="15">
          <cell r="C15">
            <v>18</v>
          </cell>
          <cell r="D15" t="str">
            <v>Strong Buy/SBI</v>
          </cell>
        </row>
        <row r="16">
          <cell r="C16">
            <v>25</v>
          </cell>
          <cell r="D16" t="str">
            <v>Accumulate</v>
          </cell>
        </row>
        <row r="17">
          <cell r="D17" t="str">
            <v>Hold</v>
          </cell>
        </row>
        <row r="18">
          <cell r="C18">
            <v>21</v>
          </cell>
          <cell r="D18" t="str">
            <v>Strong Buy</v>
          </cell>
        </row>
        <row r="19">
          <cell r="C19" t="str">
            <v>—</v>
          </cell>
          <cell r="D19" t="str">
            <v>Hold</v>
          </cell>
        </row>
        <row r="20">
          <cell r="C20">
            <v>22</v>
          </cell>
          <cell r="D20" t="str">
            <v>Strong Buy</v>
          </cell>
        </row>
      </sheetData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L_Model_Summary"/>
      <sheetName val="IGT MODEL"/>
      <sheetName val="NEWVSREPLACEMENT"/>
      <sheetName val="Qtr analysis"/>
      <sheetName val="Returns Analysis"/>
      <sheetName val="listofnewgames"/>
      <sheetName val="fintables"/>
      <sheetName val="iQ_US_CoreIndustrials"/>
      <sheetName val="M_modMain"/>
    </sheetNames>
    <sheetDataSet>
      <sheetData sheetId="0"/>
      <sheetData sheetId="1" refreshError="1">
        <row r="2">
          <cell r="N2" t="str">
            <v>Annual</v>
          </cell>
          <cell r="O2" t="str">
            <v>12/31/93</v>
          </cell>
          <cell r="P2" t="str">
            <v>3/31/94</v>
          </cell>
          <cell r="Q2" t="str">
            <v>6/30/94</v>
          </cell>
          <cell r="R2" t="str">
            <v>9/30/94</v>
          </cell>
          <cell r="S2" t="str">
            <v>Annual</v>
          </cell>
          <cell r="T2" t="str">
            <v>12/31/94</v>
          </cell>
          <cell r="U2" t="str">
            <v>3/31/95</v>
          </cell>
          <cell r="V2" t="str">
            <v>6/30/95</v>
          </cell>
          <cell r="W2" t="str">
            <v>9/30/95</v>
          </cell>
          <cell r="X2" t="str">
            <v>Annual</v>
          </cell>
          <cell r="Y2" t="str">
            <v>12/31/95</v>
          </cell>
          <cell r="Z2" t="str">
            <v>3/31/96</v>
          </cell>
          <cell r="AA2" t="str">
            <v>6/30/96</v>
          </cell>
          <cell r="AB2" t="str">
            <v>9/30/96</v>
          </cell>
          <cell r="AC2" t="str">
            <v>Annual</v>
          </cell>
          <cell r="AD2" t="str">
            <v>12/31/96</v>
          </cell>
          <cell r="AE2" t="str">
            <v>3/31/97</v>
          </cell>
          <cell r="AF2" t="str">
            <v>6/30/97</v>
          </cell>
          <cell r="AG2" t="str">
            <v>9/30/97</v>
          </cell>
          <cell r="AH2" t="str">
            <v>Annual</v>
          </cell>
        </row>
        <row r="3">
          <cell r="E3" t="str">
            <v>1Q/92</v>
          </cell>
          <cell r="F3" t="str">
            <v>2Q/92</v>
          </cell>
          <cell r="G3" t="str">
            <v>3Q/92</v>
          </cell>
          <cell r="H3" t="str">
            <v>4Q/92</v>
          </cell>
          <cell r="I3">
            <v>1992</v>
          </cell>
          <cell r="J3" t="str">
            <v>1Q/93</v>
          </cell>
          <cell r="K3" t="str">
            <v>2Q/93</v>
          </cell>
          <cell r="L3" t="str">
            <v>3Q/93</v>
          </cell>
          <cell r="M3" t="str">
            <v>4Q/93</v>
          </cell>
          <cell r="N3" t="str">
            <v>1993A</v>
          </cell>
          <cell r="O3" t="str">
            <v>1Q94 A</v>
          </cell>
          <cell r="P3" t="str">
            <v>2Q94 A</v>
          </cell>
          <cell r="Q3" t="str">
            <v>3Q94 A</v>
          </cell>
          <cell r="R3" t="str">
            <v>4Q94 A</v>
          </cell>
          <cell r="S3" t="str">
            <v>1994A</v>
          </cell>
          <cell r="T3" t="str">
            <v>1Q95 A</v>
          </cell>
          <cell r="U3" t="str">
            <v>2Q95 A</v>
          </cell>
          <cell r="V3" t="str">
            <v>3Q95 A</v>
          </cell>
          <cell r="W3" t="str">
            <v>4Q95 A</v>
          </cell>
          <cell r="X3" t="str">
            <v>1995A</v>
          </cell>
          <cell r="Y3" t="str">
            <v>1Q96A</v>
          </cell>
          <cell r="Z3" t="str">
            <v>2Q96A</v>
          </cell>
          <cell r="AA3" t="str">
            <v>3Q96A</v>
          </cell>
          <cell r="AB3" t="str">
            <v>4Q96A</v>
          </cell>
          <cell r="AC3" t="str">
            <v>1996A</v>
          </cell>
          <cell r="AD3" t="str">
            <v>1Q97A</v>
          </cell>
          <cell r="AE3" t="str">
            <v>2Q97A</v>
          </cell>
          <cell r="AF3" t="str">
            <v>3Q97A</v>
          </cell>
          <cell r="AG3" t="str">
            <v>4Q97A</v>
          </cell>
          <cell r="AH3" t="str">
            <v>1997A</v>
          </cell>
        </row>
        <row r="4">
          <cell r="A4" t="str">
            <v>Revenues</v>
          </cell>
        </row>
        <row r="5">
          <cell r="A5" t="str">
            <v>Product Rev.</v>
          </cell>
          <cell r="E5">
            <v>41.767000000000003</v>
          </cell>
          <cell r="F5">
            <v>38.049999999999997</v>
          </cell>
          <cell r="G5">
            <v>78.849999999999994</v>
          </cell>
          <cell r="H5">
            <v>77.7</v>
          </cell>
          <cell r="I5">
            <v>236.36700000000002</v>
          </cell>
          <cell r="J5">
            <v>55.048000000000002</v>
          </cell>
          <cell r="K5">
            <v>67</v>
          </cell>
          <cell r="L5">
            <v>92.09</v>
          </cell>
          <cell r="M5">
            <v>121.479</v>
          </cell>
          <cell r="N5">
            <v>335.61700000000002</v>
          </cell>
          <cell r="O5">
            <v>113.49</v>
          </cell>
          <cell r="P5">
            <v>127</v>
          </cell>
          <cell r="Q5">
            <v>146.881</v>
          </cell>
          <cell r="R5">
            <v>126.79600000000001</v>
          </cell>
          <cell r="S5">
            <v>514.20000000000005</v>
          </cell>
          <cell r="T5">
            <v>114.14400000000001</v>
          </cell>
          <cell r="U5">
            <v>101.785</v>
          </cell>
          <cell r="V5">
            <v>97.293999999999997</v>
          </cell>
          <cell r="W5">
            <v>103.20099999999999</v>
          </cell>
          <cell r="X5">
            <v>416.42399999999998</v>
          </cell>
          <cell r="Y5">
            <v>99.08</v>
          </cell>
          <cell r="Z5">
            <v>100.124</v>
          </cell>
          <cell r="AA5">
            <v>134.447</v>
          </cell>
          <cell r="AB5">
            <v>147.999</v>
          </cell>
          <cell r="AC5">
            <v>481.65</v>
          </cell>
          <cell r="AD5">
            <v>129.333</v>
          </cell>
          <cell r="AE5">
            <v>98.222999999999999</v>
          </cell>
          <cell r="AF5">
            <v>87.293999999999997</v>
          </cell>
          <cell r="AG5">
            <v>146.29900000000001</v>
          </cell>
          <cell r="AH5">
            <v>461.149</v>
          </cell>
        </row>
        <row r="6">
          <cell r="A6" t="str">
            <v>Gaming Operations</v>
          </cell>
          <cell r="E6">
            <v>31.875</v>
          </cell>
          <cell r="F6">
            <v>37.1</v>
          </cell>
          <cell r="G6">
            <v>44.5</v>
          </cell>
          <cell r="H6">
            <v>49.6</v>
          </cell>
          <cell r="I6">
            <v>163.03299999999996</v>
          </cell>
          <cell r="J6">
            <v>32.216000000000001</v>
          </cell>
          <cell r="K6">
            <v>31.696999999999999</v>
          </cell>
          <cell r="L6">
            <v>39.896999999999998</v>
          </cell>
          <cell r="M6">
            <v>38.579000000000001</v>
          </cell>
          <cell r="N6">
            <v>142.38900000000001</v>
          </cell>
          <cell r="O6">
            <v>36.347999999999999</v>
          </cell>
          <cell r="P6">
            <v>37.5</v>
          </cell>
          <cell r="Q6">
            <v>40.801000000000002</v>
          </cell>
          <cell r="R6">
            <v>45.679000000000002</v>
          </cell>
          <cell r="S6">
            <v>160.328</v>
          </cell>
          <cell r="T6">
            <v>45.036000000000001</v>
          </cell>
          <cell r="U6">
            <v>48.24</v>
          </cell>
          <cell r="V6">
            <v>53.481000000000002</v>
          </cell>
          <cell r="W6">
            <v>57.604999999999997</v>
          </cell>
          <cell r="X6">
            <v>204.36199999999999</v>
          </cell>
          <cell r="Y6">
            <v>57.143000000000001</v>
          </cell>
          <cell r="Z6">
            <v>60.423000000000002</v>
          </cell>
          <cell r="AA6">
            <v>62.188000000000002</v>
          </cell>
          <cell r="AB6">
            <v>72.048000000000002</v>
          </cell>
          <cell r="AC6">
            <v>251.80200000000002</v>
          </cell>
          <cell r="AD6">
            <v>60.048000000000002</v>
          </cell>
          <cell r="AE6">
            <v>66.147999999999996</v>
          </cell>
          <cell r="AF6">
            <v>76.555000000000007</v>
          </cell>
          <cell r="AG6">
            <v>80.067999999999998</v>
          </cell>
          <cell r="AH6">
            <v>282.81900000000002</v>
          </cell>
        </row>
        <row r="7">
          <cell r="A7" t="str">
            <v>Gaming Systems</v>
          </cell>
        </row>
        <row r="8">
          <cell r="A8" t="str">
            <v xml:space="preserve">Casino Operations </v>
          </cell>
        </row>
        <row r="9">
          <cell r="A9" t="str">
            <v>Total Revenues</v>
          </cell>
          <cell r="E9">
            <v>73.641999999999996</v>
          </cell>
          <cell r="F9">
            <v>75.150000000000006</v>
          </cell>
          <cell r="G9">
            <v>123.35</v>
          </cell>
          <cell r="H9">
            <v>127.30000000000001</v>
          </cell>
          <cell r="I9">
            <v>399.4</v>
          </cell>
          <cell r="J9">
            <v>87.26400000000001</v>
          </cell>
          <cell r="K9">
            <v>98.697000000000003</v>
          </cell>
          <cell r="L9">
            <v>131.98699999999999</v>
          </cell>
          <cell r="M9">
            <v>160.05799999999999</v>
          </cell>
          <cell r="N9">
            <v>478.00600000000003</v>
          </cell>
          <cell r="O9">
            <v>149.83799999999999</v>
          </cell>
          <cell r="P9">
            <v>164.5</v>
          </cell>
          <cell r="Q9">
            <v>187.68200000000002</v>
          </cell>
          <cell r="R9">
            <v>172.47500000000002</v>
          </cell>
          <cell r="S9">
            <v>674.46100000000001</v>
          </cell>
          <cell r="T9">
            <v>159.18</v>
          </cell>
          <cell r="U9">
            <v>150.02500000000001</v>
          </cell>
          <cell r="V9">
            <v>150.77500000000001</v>
          </cell>
          <cell r="W9">
            <v>160.80599999999998</v>
          </cell>
          <cell r="X9">
            <v>620.78600000000006</v>
          </cell>
          <cell r="Y9">
            <v>156.22300000000001</v>
          </cell>
          <cell r="Z9">
            <v>160.547</v>
          </cell>
          <cell r="AA9">
            <v>196.63499999999999</v>
          </cell>
          <cell r="AB9">
            <v>220.047</v>
          </cell>
          <cell r="AC9">
            <v>733.452</v>
          </cell>
          <cell r="AD9">
            <v>189.381</v>
          </cell>
          <cell r="AE9">
            <v>164.37099999999998</v>
          </cell>
          <cell r="AF9">
            <v>163.84899999999999</v>
          </cell>
          <cell r="AG9">
            <v>226.36700000000002</v>
          </cell>
          <cell r="AH9">
            <v>743.96799999999985</v>
          </cell>
        </row>
        <row r="10">
          <cell r="A10" t="str">
            <v>Costs and Expenses</v>
          </cell>
        </row>
        <row r="11">
          <cell r="A11" t="str">
            <v>Products</v>
          </cell>
          <cell r="E11">
            <v>22.765000000000001</v>
          </cell>
          <cell r="F11">
            <v>19.53</v>
          </cell>
          <cell r="G11">
            <v>41.936</v>
          </cell>
          <cell r="H11">
            <v>37.9</v>
          </cell>
          <cell r="I11" t="e">
            <v>#REF!</v>
          </cell>
          <cell r="J11">
            <v>27.795000000000002</v>
          </cell>
          <cell r="K11">
            <v>33.509</v>
          </cell>
          <cell r="L11">
            <v>46.463000000000001</v>
          </cell>
          <cell r="M11">
            <v>59.25</v>
          </cell>
          <cell r="N11">
            <v>167.017</v>
          </cell>
          <cell r="O11">
            <v>60.481000000000002</v>
          </cell>
          <cell r="P11">
            <v>66.7</v>
          </cell>
          <cell r="Q11">
            <v>77.016000000000005</v>
          </cell>
          <cell r="R11">
            <v>67.198999999999998</v>
          </cell>
          <cell r="S11">
            <v>271.39600000000002</v>
          </cell>
          <cell r="T11">
            <v>66.251999999999995</v>
          </cell>
          <cell r="U11">
            <v>57.104999999999997</v>
          </cell>
          <cell r="V11">
            <v>54.097000000000001</v>
          </cell>
          <cell r="W11">
            <v>55.991</v>
          </cell>
          <cell r="X11">
            <v>233.44499999999999</v>
          </cell>
          <cell r="Y11">
            <v>54.93</v>
          </cell>
          <cell r="Z11">
            <v>54.481000000000002</v>
          </cell>
          <cell r="AA11">
            <v>72.725999999999999</v>
          </cell>
          <cell r="AB11">
            <v>83.412000000000006</v>
          </cell>
          <cell r="AC11">
            <v>265.54899999999998</v>
          </cell>
          <cell r="AD11">
            <v>68.701999999999998</v>
          </cell>
          <cell r="AE11">
            <v>53.424999999999997</v>
          </cell>
          <cell r="AF11">
            <v>49.241</v>
          </cell>
          <cell r="AG11">
            <v>85.114000000000004</v>
          </cell>
          <cell r="AH11">
            <v>256.48199999999997</v>
          </cell>
        </row>
        <row r="12">
          <cell r="A12" t="str">
            <v>Gaming Operations</v>
          </cell>
          <cell r="E12">
            <v>14.004</v>
          </cell>
          <cell r="F12">
            <v>15.8</v>
          </cell>
          <cell r="G12">
            <v>20.399999999999999</v>
          </cell>
          <cell r="H12">
            <v>20.2</v>
          </cell>
          <cell r="I12">
            <v>70.403999999999996</v>
          </cell>
          <cell r="J12">
            <v>12.739000000000001</v>
          </cell>
          <cell r="K12">
            <v>15.009</v>
          </cell>
          <cell r="L12">
            <v>17.268000000000001</v>
          </cell>
          <cell r="M12">
            <v>17.699000000000002</v>
          </cell>
          <cell r="N12">
            <v>62.715000000000003</v>
          </cell>
          <cell r="O12">
            <v>16.936</v>
          </cell>
          <cell r="P12">
            <v>16.5</v>
          </cell>
          <cell r="Q12">
            <v>17.678000000000001</v>
          </cell>
          <cell r="R12">
            <v>19.603999999999999</v>
          </cell>
          <cell r="S12">
            <v>70.718000000000004</v>
          </cell>
          <cell r="T12">
            <v>19.015999999999998</v>
          </cell>
          <cell r="U12">
            <v>22.634</v>
          </cell>
          <cell r="V12">
            <v>26.67</v>
          </cell>
          <cell r="W12">
            <v>28.943000000000001</v>
          </cell>
          <cell r="X12">
            <v>97.262999999999991</v>
          </cell>
          <cell r="Y12">
            <v>30.277000000000001</v>
          </cell>
          <cell r="Z12">
            <v>31.038</v>
          </cell>
          <cell r="AA12">
            <v>29.323</v>
          </cell>
          <cell r="AB12">
            <v>38.076000000000001</v>
          </cell>
          <cell r="AC12">
            <v>128.714</v>
          </cell>
          <cell r="AD12">
            <v>33.786999999999999</v>
          </cell>
          <cell r="AE12">
            <v>32.862000000000002</v>
          </cell>
          <cell r="AF12">
            <v>38.69</v>
          </cell>
          <cell r="AG12">
            <v>39.905999999999999</v>
          </cell>
          <cell r="AH12">
            <v>145.245</v>
          </cell>
        </row>
        <row r="13">
          <cell r="A13" t="str">
            <v>Gaming Systems</v>
          </cell>
        </row>
        <row r="14">
          <cell r="A14" t="str">
            <v xml:space="preserve">Casino Operations </v>
          </cell>
        </row>
        <row r="15">
          <cell r="A15" t="str">
            <v>SG&amp;A</v>
          </cell>
          <cell r="E15">
            <v>15.173</v>
          </cell>
          <cell r="F15">
            <v>15.048999999999999</v>
          </cell>
          <cell r="G15">
            <v>17.138000000000002</v>
          </cell>
          <cell r="H15">
            <v>18.8</v>
          </cell>
          <cell r="I15">
            <v>66.16</v>
          </cell>
          <cell r="J15">
            <v>11.920999999999999</v>
          </cell>
          <cell r="K15">
            <v>12.491</v>
          </cell>
          <cell r="L15">
            <v>15.215999999999999</v>
          </cell>
          <cell r="M15">
            <v>17.898</v>
          </cell>
          <cell r="N15">
            <v>57.526000000000003</v>
          </cell>
          <cell r="O15">
            <v>16.8</v>
          </cell>
          <cell r="P15">
            <v>23</v>
          </cell>
          <cell r="Q15">
            <v>18.773</v>
          </cell>
          <cell r="R15">
            <v>25.259</v>
          </cell>
          <cell r="S15">
            <v>83.831999999999994</v>
          </cell>
          <cell r="T15">
            <v>22.352</v>
          </cell>
          <cell r="U15">
            <v>21.852</v>
          </cell>
          <cell r="V15">
            <v>19.619</v>
          </cell>
          <cell r="W15">
            <v>24.727</v>
          </cell>
          <cell r="X15">
            <v>88.55</v>
          </cell>
          <cell r="Y15">
            <v>25.509</v>
          </cell>
          <cell r="Z15">
            <v>25.123000000000001</v>
          </cell>
          <cell r="AA15">
            <v>25.872</v>
          </cell>
          <cell r="AB15">
            <v>28.463000000000001</v>
          </cell>
          <cell r="AC15">
            <v>104.96700000000001</v>
          </cell>
          <cell r="AD15">
            <v>23.815999999999999</v>
          </cell>
          <cell r="AE15">
            <v>26.074000000000002</v>
          </cell>
          <cell r="AF15">
            <v>21.619</v>
          </cell>
          <cell r="AG15">
            <v>26.87</v>
          </cell>
          <cell r="AH15">
            <v>98.379000000000005</v>
          </cell>
        </row>
        <row r="16">
          <cell r="A16" t="str">
            <v>Depreciation &amp; Amortization</v>
          </cell>
          <cell r="E16">
            <v>3.278</v>
          </cell>
          <cell r="F16">
            <v>3.3079999999999998</v>
          </cell>
          <cell r="G16">
            <v>4.7889999999999997</v>
          </cell>
          <cell r="H16">
            <v>7.6</v>
          </cell>
          <cell r="I16">
            <v>18.975000000000001</v>
          </cell>
          <cell r="J16">
            <v>5.0289999999999999</v>
          </cell>
          <cell r="K16">
            <v>4.835</v>
          </cell>
          <cell r="L16">
            <v>5.2629999999999999</v>
          </cell>
          <cell r="M16">
            <v>5.069</v>
          </cell>
          <cell r="N16">
            <v>20.196000000000002</v>
          </cell>
          <cell r="O16">
            <v>4.5590000000000002</v>
          </cell>
          <cell r="P16">
            <v>4.7</v>
          </cell>
          <cell r="Q16">
            <v>5.1219999999999999</v>
          </cell>
          <cell r="R16">
            <v>5.7069999999999999</v>
          </cell>
          <cell r="S16">
            <v>20.074000000000002</v>
          </cell>
          <cell r="T16">
            <v>6.2590000000000003</v>
          </cell>
          <cell r="U16">
            <v>6.8620000000000001</v>
          </cell>
          <cell r="V16">
            <v>7.0910000000000002</v>
          </cell>
          <cell r="W16">
            <v>7.6820000000000004</v>
          </cell>
          <cell r="X16">
            <v>27.893999999999998</v>
          </cell>
          <cell r="Y16">
            <v>6.8659999999999997</v>
          </cell>
          <cell r="Z16">
            <v>6.5149999999999997</v>
          </cell>
          <cell r="AA16">
            <v>6.9450000000000003</v>
          </cell>
          <cell r="AB16">
            <v>3.2349999999999999</v>
          </cell>
          <cell r="AC16">
            <v>23.6</v>
          </cell>
          <cell r="AD16">
            <v>3.093</v>
          </cell>
          <cell r="AE16">
            <v>2.4140000000000001</v>
          </cell>
          <cell r="AF16">
            <v>3.0910000000000002</v>
          </cell>
          <cell r="AG16">
            <v>3.2490000000000001</v>
          </cell>
          <cell r="AH16">
            <v>11.847</v>
          </cell>
        </row>
        <row r="17">
          <cell r="A17" t="str">
            <v>Research &amp; Development</v>
          </cell>
          <cell r="E17">
            <v>2.306</v>
          </cell>
          <cell r="F17">
            <v>2.2210000000000001</v>
          </cell>
          <cell r="G17">
            <v>3.34</v>
          </cell>
          <cell r="H17">
            <v>3.9</v>
          </cell>
          <cell r="I17">
            <v>11.766999999999999</v>
          </cell>
          <cell r="J17">
            <v>3.6280000000000001</v>
          </cell>
          <cell r="K17">
            <v>4.2560000000000002</v>
          </cell>
          <cell r="L17">
            <v>4.1100000000000003</v>
          </cell>
          <cell r="M17">
            <v>4.5270000000000001</v>
          </cell>
          <cell r="N17">
            <v>16.523</v>
          </cell>
          <cell r="O17">
            <v>3.8759999999999999</v>
          </cell>
          <cell r="P17">
            <v>5.3</v>
          </cell>
          <cell r="Q17">
            <v>6.1440000000000001</v>
          </cell>
          <cell r="R17">
            <v>8.0619999999999994</v>
          </cell>
          <cell r="S17">
            <v>23.344999999999999</v>
          </cell>
          <cell r="T17">
            <v>7.0789999999999997</v>
          </cell>
          <cell r="U17">
            <v>7.2169999999999996</v>
          </cell>
          <cell r="V17">
            <v>7.0629999999999997</v>
          </cell>
          <cell r="W17">
            <v>7.133</v>
          </cell>
          <cell r="X17">
            <v>28.491999999999997</v>
          </cell>
          <cell r="Y17">
            <v>6.3029999999999999</v>
          </cell>
          <cell r="Z17">
            <v>6.3689999999999998</v>
          </cell>
          <cell r="AA17">
            <v>6.0179999999999998</v>
          </cell>
          <cell r="AB17">
            <v>7.0129999999999999</v>
          </cell>
          <cell r="AC17">
            <v>25.703000000000003</v>
          </cell>
          <cell r="AD17">
            <v>7.3949999999999996</v>
          </cell>
          <cell r="AE17">
            <v>7.2889999999999997</v>
          </cell>
          <cell r="AF17">
            <v>8.1389999999999993</v>
          </cell>
          <cell r="AG17">
            <v>8.2509999999999994</v>
          </cell>
          <cell r="AH17">
            <v>31.073999999999998</v>
          </cell>
        </row>
        <row r="18">
          <cell r="A18" t="str">
            <v>Provision for Bad Debts</v>
          </cell>
          <cell r="E18">
            <v>1.2</v>
          </cell>
          <cell r="F18">
            <v>0.79100000000000004</v>
          </cell>
          <cell r="G18">
            <v>1.2989999999999999</v>
          </cell>
          <cell r="H18">
            <v>1.4</v>
          </cell>
          <cell r="I18">
            <v>4.6899999999999995</v>
          </cell>
          <cell r="J18">
            <v>0.96099999999999997</v>
          </cell>
          <cell r="K18">
            <v>1.18</v>
          </cell>
          <cell r="L18">
            <v>1.35</v>
          </cell>
          <cell r="M18">
            <v>0.35099999999999998</v>
          </cell>
          <cell r="N18">
            <v>3.8</v>
          </cell>
          <cell r="O18">
            <v>1.5660000000000001</v>
          </cell>
          <cell r="P18">
            <v>3.2</v>
          </cell>
          <cell r="Q18">
            <v>1.2909999999999999</v>
          </cell>
          <cell r="R18">
            <v>1.1020000000000001</v>
          </cell>
          <cell r="S18">
            <v>7.1590000000000007</v>
          </cell>
          <cell r="T18">
            <v>1.486</v>
          </cell>
          <cell r="U18">
            <v>2.1269999999999998</v>
          </cell>
          <cell r="V18">
            <v>1.835</v>
          </cell>
          <cell r="W18">
            <v>0.43</v>
          </cell>
          <cell r="X18">
            <v>5.8779999999999992</v>
          </cell>
          <cell r="Y18">
            <v>1.6639999999999999</v>
          </cell>
          <cell r="Z18">
            <v>4.4690000000000003</v>
          </cell>
          <cell r="AA18">
            <v>4.4610000000000003</v>
          </cell>
          <cell r="AB18">
            <v>1.0269999999999999</v>
          </cell>
          <cell r="AC18">
            <v>11.621</v>
          </cell>
          <cell r="AD18">
            <v>2.8140000000000001</v>
          </cell>
          <cell r="AE18">
            <v>2.2839999999999998</v>
          </cell>
          <cell r="AF18">
            <v>1.17</v>
          </cell>
          <cell r="AG18">
            <v>3.2389999999999999</v>
          </cell>
          <cell r="AH18">
            <v>9.5069999999999997</v>
          </cell>
        </row>
        <row r="19">
          <cell r="A19" t="str">
            <v>Total Costs &amp; Expenses</v>
          </cell>
          <cell r="E19">
            <v>58.725999999999999</v>
          </cell>
          <cell r="F19">
            <v>56.698999999999998</v>
          </cell>
          <cell r="G19">
            <v>88.902000000000015</v>
          </cell>
          <cell r="H19">
            <v>89.8</v>
          </cell>
          <cell r="I19" t="e">
            <v>#REF!</v>
          </cell>
          <cell r="J19">
            <v>62.073000000000008</v>
          </cell>
          <cell r="K19">
            <v>71.28</v>
          </cell>
          <cell r="L19">
            <v>89.67</v>
          </cell>
          <cell r="M19">
            <v>104.794</v>
          </cell>
          <cell r="N19">
            <v>327.77700000000004</v>
          </cell>
          <cell r="O19">
            <v>104.218</v>
          </cell>
          <cell r="P19">
            <v>119.4</v>
          </cell>
          <cell r="Q19">
            <v>126.024</v>
          </cell>
          <cell r="R19">
            <v>126.93299999999999</v>
          </cell>
          <cell r="S19">
            <v>476.524</v>
          </cell>
          <cell r="T19">
            <v>122.444</v>
          </cell>
          <cell r="U19">
            <v>117.797</v>
          </cell>
          <cell r="V19">
            <v>116.37499999999999</v>
          </cell>
          <cell r="W19">
            <v>124.90600000000001</v>
          </cell>
          <cell r="X19">
            <v>481.52199999999999</v>
          </cell>
          <cell r="Y19">
            <v>125.54899999999999</v>
          </cell>
          <cell r="Z19">
            <v>127.995</v>
          </cell>
          <cell r="AA19">
            <v>145.34500000000003</v>
          </cell>
          <cell r="AB19">
            <v>161.226</v>
          </cell>
          <cell r="AC19">
            <v>560.11500000000001</v>
          </cell>
          <cell r="AD19">
            <v>139.607</v>
          </cell>
          <cell r="AE19">
            <v>124.34800000000001</v>
          </cell>
          <cell r="AF19">
            <v>121.94999999999999</v>
          </cell>
          <cell r="AG19">
            <v>166.62900000000002</v>
          </cell>
          <cell r="AH19">
            <v>552.53400000000011</v>
          </cell>
        </row>
        <row r="20">
          <cell r="A20" t="str">
            <v>Operating Income</v>
          </cell>
          <cell r="E20">
            <v>14.916</v>
          </cell>
          <cell r="F20">
            <v>18.471</v>
          </cell>
          <cell r="G20">
            <v>34.436</v>
          </cell>
          <cell r="H20">
            <v>37.5</v>
          </cell>
          <cell r="I20">
            <v>105.32300000000001</v>
          </cell>
          <cell r="J20">
            <v>25.191000000000003</v>
          </cell>
          <cell r="K20">
            <v>27.417000000000002</v>
          </cell>
          <cell r="L20">
            <v>42.316999999999993</v>
          </cell>
          <cell r="M20">
            <v>55.263999999999996</v>
          </cell>
          <cell r="N20">
            <v>150.22899999999998</v>
          </cell>
          <cell r="O20">
            <v>45.61999999999999</v>
          </cell>
          <cell r="P20">
            <v>45.099999999999994</v>
          </cell>
          <cell r="Q20">
            <v>61.658000000000015</v>
          </cell>
          <cell r="R20">
            <v>45.54200000000003</v>
          </cell>
          <cell r="S20">
            <v>197.93700000000001</v>
          </cell>
          <cell r="T20">
            <v>36.736000000000004</v>
          </cell>
          <cell r="U20">
            <v>32.228000000000009</v>
          </cell>
          <cell r="V20">
            <v>34.40000000000002</v>
          </cell>
          <cell r="W20">
            <v>35.899999999999977</v>
          </cell>
          <cell r="X20">
            <v>139.26400000000007</v>
          </cell>
          <cell r="Y20">
            <v>30.674000000000021</v>
          </cell>
          <cell r="Z20">
            <v>32.551999999999992</v>
          </cell>
          <cell r="AA20">
            <v>51.29</v>
          </cell>
          <cell r="AB20">
            <v>58.820999999999998</v>
          </cell>
          <cell r="AC20">
            <v>173.33700000000002</v>
          </cell>
          <cell r="AD20">
            <v>49.774000000000001</v>
          </cell>
          <cell r="AE20">
            <v>40.022999999999968</v>
          </cell>
          <cell r="AF20">
            <v>41.899000000000001</v>
          </cell>
          <cell r="AG20">
            <v>59.738</v>
          </cell>
          <cell r="AH20">
            <v>191.43399999999997</v>
          </cell>
        </row>
        <row r="21">
          <cell r="A21" t="str">
            <v>Interest Income</v>
          </cell>
          <cell r="E21">
            <v>5.3550000000000004</v>
          </cell>
          <cell r="F21">
            <v>5.0289999999999999</v>
          </cell>
          <cell r="G21">
            <v>5.23</v>
          </cell>
          <cell r="H21">
            <v>4.4000000000000004</v>
          </cell>
          <cell r="I21">
            <v>20.014000000000003</v>
          </cell>
          <cell r="J21">
            <v>5.4249999999999998</v>
          </cell>
          <cell r="K21">
            <v>6.3179999999999996</v>
          </cell>
          <cell r="L21">
            <v>6.8079999999999998</v>
          </cell>
          <cell r="M21">
            <v>7.8</v>
          </cell>
          <cell r="N21">
            <v>26.283000000000001</v>
          </cell>
          <cell r="O21">
            <v>6.7350000000000003</v>
          </cell>
          <cell r="P21">
            <v>7.1</v>
          </cell>
          <cell r="Q21">
            <v>7.2229999999999999</v>
          </cell>
          <cell r="R21">
            <v>8.4700000000000006</v>
          </cell>
          <cell r="S21">
            <v>29.527999999999999</v>
          </cell>
          <cell r="T21">
            <v>8.9909999999999997</v>
          </cell>
          <cell r="U21">
            <v>9.5570000000000004</v>
          </cell>
          <cell r="V21">
            <v>10.19</v>
          </cell>
          <cell r="W21">
            <v>8.8360000000000003</v>
          </cell>
          <cell r="X21">
            <v>37.573999999999998</v>
          </cell>
          <cell r="Y21">
            <v>9.73</v>
          </cell>
          <cell r="Z21">
            <v>9.3409999999999993</v>
          </cell>
          <cell r="AA21">
            <v>9.6940000000000008</v>
          </cell>
          <cell r="AB21">
            <v>10.411</v>
          </cell>
          <cell r="AC21">
            <v>39.176000000000002</v>
          </cell>
          <cell r="AD21">
            <v>10.228999999999999</v>
          </cell>
          <cell r="AE21">
            <v>10.144</v>
          </cell>
          <cell r="AF21">
            <v>9.9049999999999994</v>
          </cell>
          <cell r="AG21">
            <v>11.461</v>
          </cell>
          <cell r="AH21">
            <v>41.738999999999997</v>
          </cell>
        </row>
        <row r="22">
          <cell r="A22" t="str">
            <v>Interest Expense</v>
          </cell>
          <cell r="E22">
            <v>-3.4180000000000001</v>
          </cell>
          <cell r="F22">
            <v>-3.39</v>
          </cell>
          <cell r="G22">
            <v>-3.4729999999999999</v>
          </cell>
          <cell r="H22">
            <v>-3.5</v>
          </cell>
          <cell r="I22">
            <v>-13.780999999999999</v>
          </cell>
          <cell r="J22">
            <v>-3.0289999999999999</v>
          </cell>
          <cell r="K22">
            <v>-3.3410000000000002</v>
          </cell>
          <cell r="L22">
            <v>-3.173</v>
          </cell>
          <cell r="M22">
            <v>-3.206</v>
          </cell>
          <cell r="N22">
            <v>-12.749000000000001</v>
          </cell>
          <cell r="O22">
            <v>-2.8530000000000002</v>
          </cell>
          <cell r="P22">
            <v>-2.9</v>
          </cell>
          <cell r="Q22">
            <v>-2.794</v>
          </cell>
          <cell r="R22">
            <v>-3.246</v>
          </cell>
          <cell r="S22">
            <v>-11.793000000000001</v>
          </cell>
          <cell r="T22">
            <v>-5.1130000000000004</v>
          </cell>
          <cell r="U22">
            <v>-5.28</v>
          </cell>
          <cell r="V22">
            <v>-4.8250000000000002</v>
          </cell>
          <cell r="W22">
            <v>-5.1509999999999998</v>
          </cell>
          <cell r="X22">
            <v>-20.369</v>
          </cell>
          <cell r="Y22">
            <v>-5.2190000000000003</v>
          </cell>
          <cell r="Z22">
            <v>-5.125</v>
          </cell>
          <cell r="AA22">
            <v>-6.6689999999999996</v>
          </cell>
          <cell r="AB22">
            <v>-6.5209999999999999</v>
          </cell>
          <cell r="AC22">
            <v>-23.534000000000002</v>
          </cell>
          <cell r="AD22">
            <v>-6.8920000000000003</v>
          </cell>
          <cell r="AE22">
            <v>-6.8760000000000003</v>
          </cell>
          <cell r="AF22">
            <v>-8.1319999999999997</v>
          </cell>
          <cell r="AG22">
            <v>-8.5220000000000002</v>
          </cell>
          <cell r="AH22">
            <v>-30.421999999999997</v>
          </cell>
        </row>
        <row r="23">
          <cell r="A23" t="str">
            <v>Other</v>
          </cell>
          <cell r="E23">
            <v>0.59</v>
          </cell>
          <cell r="F23">
            <v>-1.65</v>
          </cell>
          <cell r="G23">
            <v>-3.1</v>
          </cell>
          <cell r="H23">
            <v>0.8</v>
          </cell>
          <cell r="I23">
            <v>-3.3600000000000003</v>
          </cell>
          <cell r="J23">
            <v>1.3</v>
          </cell>
          <cell r="K23">
            <v>-0.127</v>
          </cell>
          <cell r="L23">
            <v>-0.104</v>
          </cell>
          <cell r="M23">
            <v>-0.11</v>
          </cell>
          <cell r="N23">
            <v>0.28199999999999997</v>
          </cell>
          <cell r="O23">
            <v>-0.3</v>
          </cell>
          <cell r="P23">
            <v>-0.2</v>
          </cell>
          <cell r="Q23">
            <v>0.45500000000000002</v>
          </cell>
          <cell r="R23">
            <v>0</v>
          </cell>
          <cell r="S23">
            <v>-4.4999999999999984E-2</v>
          </cell>
          <cell r="T23">
            <v>-0.57399999999999995</v>
          </cell>
          <cell r="U23">
            <v>1.7000000000000001E-2</v>
          </cell>
          <cell r="V23">
            <v>-0.46400000000000002</v>
          </cell>
          <cell r="W23">
            <v>0.498</v>
          </cell>
          <cell r="X23">
            <v>-0.52299999999999991</v>
          </cell>
          <cell r="Y23">
            <v>0</v>
          </cell>
          <cell r="Z23">
            <v>0.248</v>
          </cell>
          <cell r="AA23">
            <v>0.58099999999999996</v>
          </cell>
          <cell r="AB23">
            <v>-4.8410000000000002</v>
          </cell>
          <cell r="AC23">
            <v>-4.0120000000000005</v>
          </cell>
          <cell r="AD23">
            <v>-0.81</v>
          </cell>
          <cell r="AE23">
            <v>1.3000000000000012E-2</v>
          </cell>
          <cell r="AF23">
            <v>-1.05</v>
          </cell>
          <cell r="AG23">
            <v>-0.495</v>
          </cell>
          <cell r="AH23">
            <v>-2.3420000000000001</v>
          </cell>
        </row>
        <row r="24">
          <cell r="A24" t="str">
            <v>Gain (loss) on Sale of Assets</v>
          </cell>
          <cell r="E24">
            <v>0</v>
          </cell>
          <cell r="F24">
            <v>0</v>
          </cell>
          <cell r="G24">
            <v>-0.1</v>
          </cell>
          <cell r="H24">
            <v>-1</v>
          </cell>
          <cell r="I24">
            <v>-1.1000000000000001</v>
          </cell>
          <cell r="J24">
            <v>5.9210000000000003</v>
          </cell>
          <cell r="K24">
            <v>0.7</v>
          </cell>
          <cell r="L24">
            <v>2.952</v>
          </cell>
          <cell r="M24">
            <v>0.50700000000000001</v>
          </cell>
          <cell r="N24">
            <v>10.09</v>
          </cell>
          <cell r="O24">
            <v>0</v>
          </cell>
          <cell r="P24">
            <v>1.6</v>
          </cell>
          <cell r="Q24">
            <v>-1.9870000000000001</v>
          </cell>
          <cell r="R24">
            <v>-0.64500000000000002</v>
          </cell>
          <cell r="S24">
            <v>-1.1589999999999998</v>
          </cell>
          <cell r="T24">
            <v>0</v>
          </cell>
          <cell r="U24">
            <v>-0.48699999999999999</v>
          </cell>
          <cell r="V24">
            <v>0.29199999999999998</v>
          </cell>
          <cell r="W24">
            <v>3.5399999999999991</v>
          </cell>
          <cell r="X24">
            <v>3.3449999999999993</v>
          </cell>
          <cell r="Y24">
            <v>-1.4E-2</v>
          </cell>
          <cell r="Z24">
            <v>-0.43900000000000006</v>
          </cell>
          <cell r="AA24">
            <v>-0.64200000000000002</v>
          </cell>
          <cell r="AB24">
            <v>-1.208</v>
          </cell>
          <cell r="AC24">
            <v>-2.3029999999999999</v>
          </cell>
          <cell r="AD24">
            <v>0.30499999999999999</v>
          </cell>
          <cell r="AE24">
            <v>0</v>
          </cell>
          <cell r="AF24">
            <v>10.414</v>
          </cell>
          <cell r="AG24">
            <v>1.4950000000000001</v>
          </cell>
          <cell r="AH24">
            <v>12.213999999999999</v>
          </cell>
        </row>
        <row r="25">
          <cell r="A25" t="str">
            <v>Extraordinary Items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-14.6</v>
          </cell>
          <cell r="X25">
            <v>-14.6</v>
          </cell>
          <cell r="Y25">
            <v>8.0419999999999998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</row>
        <row r="27">
          <cell r="A27" t="str">
            <v>Pretax Income</v>
          </cell>
          <cell r="E27">
            <v>17.443000000000001</v>
          </cell>
          <cell r="F27">
            <v>18.46</v>
          </cell>
          <cell r="G27">
            <v>32.992999999999995</v>
          </cell>
          <cell r="H27">
            <v>38.199999999999996</v>
          </cell>
          <cell r="I27">
            <v>107.096</v>
          </cell>
          <cell r="J27">
            <v>34.808000000000007</v>
          </cell>
          <cell r="K27">
            <v>30.966999999999999</v>
          </cell>
          <cell r="L27">
            <v>48.79999999999999</v>
          </cell>
          <cell r="M27">
            <v>60.254999999999988</v>
          </cell>
          <cell r="N27">
            <v>174.13500000000002</v>
          </cell>
          <cell r="O27">
            <v>49.201999999999991</v>
          </cell>
          <cell r="P27">
            <v>50.699999999999996</v>
          </cell>
          <cell r="Q27">
            <v>64.555000000000021</v>
          </cell>
          <cell r="R27">
            <v>50.121000000000024</v>
          </cell>
          <cell r="S27">
            <v>214.57800000000003</v>
          </cell>
          <cell r="T27">
            <v>40.04</v>
          </cell>
          <cell r="U27">
            <v>36.035000000000011</v>
          </cell>
          <cell r="V27">
            <v>39.593000000000018</v>
          </cell>
          <cell r="W27">
            <v>29.022999999999975</v>
          </cell>
          <cell r="X27">
            <v>144.69100000000009</v>
          </cell>
          <cell r="Y27">
            <v>43.213000000000022</v>
          </cell>
          <cell r="Z27">
            <v>36.576999999999991</v>
          </cell>
          <cell r="AA27">
            <v>54.253999999999998</v>
          </cell>
          <cell r="AB27">
            <v>56.661999999999999</v>
          </cell>
          <cell r="AC27">
            <v>182.66400000000004</v>
          </cell>
          <cell r="AD27">
            <v>52.605999999999995</v>
          </cell>
          <cell r="AE27">
            <v>43.303999999999967</v>
          </cell>
          <cell r="AF27">
            <v>53.036000000000008</v>
          </cell>
          <cell r="AG27">
            <v>63.677</v>
          </cell>
          <cell r="AH27">
            <v>212.62299999999996</v>
          </cell>
        </row>
        <row r="28">
          <cell r="A28" t="str">
            <v>Taxes</v>
          </cell>
          <cell r="E28">
            <v>6.87</v>
          </cell>
          <cell r="F28">
            <v>7.4729999999999999</v>
          </cell>
          <cell r="G28">
            <v>13.224</v>
          </cell>
          <cell r="H28">
            <v>14.745199999999999</v>
          </cell>
          <cell r="I28">
            <v>42.312199999999997</v>
          </cell>
          <cell r="J28">
            <v>13.64</v>
          </cell>
          <cell r="K28">
            <v>12.15</v>
          </cell>
          <cell r="L28">
            <v>19.129599999999996</v>
          </cell>
          <cell r="M28">
            <v>24.403274999999997</v>
          </cell>
          <cell r="N28">
            <v>68.585999999999999</v>
          </cell>
          <cell r="O28">
            <v>18.8</v>
          </cell>
          <cell r="P28">
            <v>19.399999999999999</v>
          </cell>
          <cell r="Q28">
            <v>24.7</v>
          </cell>
          <cell r="R28">
            <v>11.461</v>
          </cell>
          <cell r="S28">
            <v>74.361000000000004</v>
          </cell>
          <cell r="T28">
            <v>14.414</v>
          </cell>
          <cell r="U28">
            <v>12.973000000000001</v>
          </cell>
          <cell r="V28">
            <v>14.236000000000001</v>
          </cell>
          <cell r="W28">
            <v>10.493</v>
          </cell>
          <cell r="X28">
            <v>52.116000000000007</v>
          </cell>
          <cell r="Y28">
            <v>15.55</v>
          </cell>
          <cell r="Z28">
            <v>13.167719999999996</v>
          </cell>
          <cell r="AA28">
            <v>19.533000000000001</v>
          </cell>
          <cell r="AB28">
            <v>20.399000000000001</v>
          </cell>
          <cell r="AC28">
            <v>68.649720000000002</v>
          </cell>
          <cell r="AD28">
            <v>18.937999999999999</v>
          </cell>
          <cell r="AE28">
            <v>15.59</v>
          </cell>
          <cell r="AF28">
            <v>18.564</v>
          </cell>
          <cell r="AG28">
            <v>22.286999999999999</v>
          </cell>
          <cell r="AH28">
            <v>75.378999999999991</v>
          </cell>
        </row>
        <row r="29">
          <cell r="A29" t="str">
            <v>Net Income</v>
          </cell>
          <cell r="E29">
            <v>10.573</v>
          </cell>
          <cell r="F29">
            <v>10.987</v>
          </cell>
          <cell r="G29">
            <v>19.972999999999999</v>
          </cell>
          <cell r="H29">
            <v>23.454799999999999</v>
          </cell>
          <cell r="I29">
            <v>64.987799999999993</v>
          </cell>
          <cell r="J29">
            <v>21.168000000000006</v>
          </cell>
          <cell r="K29">
            <v>18.817</v>
          </cell>
          <cell r="L29">
            <v>29.670399999999994</v>
          </cell>
          <cell r="M29">
            <v>35.851724999999988</v>
          </cell>
          <cell r="N29">
            <v>105.54900000000002</v>
          </cell>
          <cell r="O29">
            <v>30.40199999999999</v>
          </cell>
          <cell r="P29">
            <v>31.299999999999997</v>
          </cell>
          <cell r="Q29">
            <v>39.855000000000018</v>
          </cell>
          <cell r="R29">
            <v>38.660000000000025</v>
          </cell>
          <cell r="S29">
            <v>140.21700000000004</v>
          </cell>
          <cell r="T29">
            <v>25.625999999999998</v>
          </cell>
          <cell r="U29">
            <v>23.062000000000012</v>
          </cell>
          <cell r="V29">
            <v>25.357000000000017</v>
          </cell>
          <cell r="W29">
            <v>18.529999999999973</v>
          </cell>
          <cell r="X29">
            <v>92.575000000000003</v>
          </cell>
          <cell r="Y29">
            <v>27.663000000000022</v>
          </cell>
          <cell r="Z29">
            <v>23.409279999999995</v>
          </cell>
          <cell r="AA29">
            <v>34.720999999999997</v>
          </cell>
          <cell r="AB29">
            <v>36.262999999999998</v>
          </cell>
          <cell r="AC29">
            <v>122.05628000000002</v>
          </cell>
          <cell r="AD29">
            <v>33.667999999999992</v>
          </cell>
          <cell r="AE29">
            <v>27.713999999999967</v>
          </cell>
          <cell r="AF29">
            <v>34.472000000000008</v>
          </cell>
          <cell r="AG29">
            <v>41.39</v>
          </cell>
          <cell r="AH29">
            <v>137.24399999999997</v>
          </cell>
        </row>
        <row r="30">
          <cell r="A30" t="str">
            <v>Net Income Continuing Ops.</v>
          </cell>
          <cell r="N30">
            <v>105.54899999999999</v>
          </cell>
          <cell r="O30">
            <v>30.401999999999994</v>
          </cell>
          <cell r="P30">
            <v>31.3</v>
          </cell>
          <cell r="Q30">
            <v>39.855000000000018</v>
          </cell>
          <cell r="R30">
            <v>38.660000000000025</v>
          </cell>
          <cell r="S30">
            <v>140.14511998434139</v>
          </cell>
          <cell r="T30">
            <v>25.626000000000005</v>
          </cell>
          <cell r="U30">
            <v>23.062000000000012</v>
          </cell>
          <cell r="V30">
            <v>25.357000000000017</v>
          </cell>
          <cell r="W30">
            <v>27.851503635048037</v>
          </cell>
          <cell r="X30">
            <v>101.89650363504806</v>
          </cell>
          <cell r="Y30">
            <v>22.514876842616825</v>
          </cell>
          <cell r="Z30">
            <v>23.409279999999995</v>
          </cell>
          <cell r="AA30">
            <v>34.720999999999997</v>
          </cell>
          <cell r="AB30">
            <v>36.262999999999998</v>
          </cell>
          <cell r="AC30">
            <v>116.90815684261682</v>
          </cell>
          <cell r="AD30">
            <v>33.667999999999999</v>
          </cell>
          <cell r="AE30">
            <v>27.713999999999963</v>
          </cell>
          <cell r="AF30">
            <v>34.472000000000001</v>
          </cell>
          <cell r="AG30">
            <v>41.389999999999993</v>
          </cell>
          <cell r="AH30">
            <v>137.24399999999994</v>
          </cell>
        </row>
        <row r="32">
          <cell r="A32" t="str">
            <v>EPS - Ex. Extr. Items FD.</v>
          </cell>
          <cell r="N32">
            <v>0.8</v>
          </cell>
          <cell r="O32">
            <v>0.22259481622492305</v>
          </cell>
          <cell r="P32">
            <v>0.22913616398243047</v>
          </cell>
          <cell r="Q32">
            <v>0.3</v>
          </cell>
          <cell r="R32">
            <v>0.28915482423335848</v>
          </cell>
          <cell r="S32">
            <v>1.05</v>
          </cell>
          <cell r="T32">
            <v>0.1917152326303426</v>
          </cell>
          <cell r="U32">
            <v>0.17537109137364654</v>
          </cell>
          <cell r="V32">
            <v>0.19505984799532305</v>
          </cell>
          <cell r="W32">
            <v>0.21473788461872043</v>
          </cell>
          <cell r="X32">
            <v>0.77688405661803261</v>
          </cell>
          <cell r="Y32">
            <v>0.17469779283371867</v>
          </cell>
          <cell r="Z32">
            <v>0.18565532556110712</v>
          </cell>
          <cell r="AA32">
            <v>0.27368031087674488</v>
          </cell>
          <cell r="AB32">
            <v>0.28430865242888947</v>
          </cell>
          <cell r="AC32">
            <v>0.9</v>
          </cell>
          <cell r="AD32">
            <v>0.2650293226276223</v>
          </cell>
          <cell r="AE32">
            <v>0.22404022602889195</v>
          </cell>
          <cell r="AF32">
            <v>0.28666467085786518</v>
          </cell>
          <cell r="AG32">
            <v>0.35370626741185113</v>
          </cell>
          <cell r="AH32">
            <v>1.1294404869262307</v>
          </cell>
        </row>
        <row r="33">
          <cell r="A33" t="str">
            <v>Extraordinary Items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  <cell r="W33">
            <v>-7.1869727332675881E-2</v>
          </cell>
          <cell r="X33">
            <v>-7.1869727332675881E-2</v>
          </cell>
          <cell r="Y33">
            <v>3.994539961811619E-2</v>
          </cell>
          <cell r="Z33">
            <v>0</v>
          </cell>
          <cell r="AA33">
            <v>0</v>
          </cell>
          <cell r="AB33">
            <v>0</v>
          </cell>
          <cell r="AC33">
            <v>3.994539961811619E-2</v>
          </cell>
          <cell r="AD33">
            <v>0</v>
          </cell>
          <cell r="AE33">
            <v>0</v>
          </cell>
          <cell r="AF33">
            <v>0</v>
          </cell>
          <cell r="AG33">
            <v>0</v>
          </cell>
          <cell r="AH33">
            <v>0</v>
          </cell>
        </row>
        <row r="34">
          <cell r="A34" t="str">
            <v>GAAP EPS</v>
          </cell>
          <cell r="E34">
            <v>0.09</v>
          </cell>
          <cell r="F34">
            <v>0.09</v>
          </cell>
          <cell r="G34">
            <v>0.16</v>
          </cell>
          <cell r="H34">
            <v>0.18</v>
          </cell>
          <cell r="I34">
            <v>0.52</v>
          </cell>
          <cell r="J34">
            <v>0.16</v>
          </cell>
          <cell r="K34">
            <v>0.15</v>
          </cell>
          <cell r="L34">
            <v>0.23</v>
          </cell>
          <cell r="M34">
            <v>0.27</v>
          </cell>
          <cell r="N34">
            <v>0.8</v>
          </cell>
          <cell r="O34">
            <v>0.22259481622492305</v>
          </cell>
          <cell r="P34">
            <v>0.22913616398243047</v>
          </cell>
          <cell r="Q34">
            <v>0.3</v>
          </cell>
          <cell r="R34">
            <v>0.28915482423335848</v>
          </cell>
          <cell r="S34">
            <v>1.05</v>
          </cell>
          <cell r="T34">
            <v>0.1917152326303426</v>
          </cell>
          <cell r="U34">
            <v>0.17537109137364654</v>
          </cell>
          <cell r="V34">
            <v>0.19505984799532305</v>
          </cell>
          <cell r="W34">
            <v>0.14286815728604454</v>
          </cell>
          <cell r="X34">
            <v>0.70501432928535668</v>
          </cell>
          <cell r="Y34">
            <v>0.21464319245183486</v>
          </cell>
          <cell r="Z34">
            <v>0.18565532556110712</v>
          </cell>
          <cell r="AA34">
            <v>0.27368031087674488</v>
          </cell>
          <cell r="AB34">
            <v>0.28430865242888947</v>
          </cell>
          <cell r="AC34">
            <v>0.95828748131857633</v>
          </cell>
          <cell r="AD34">
            <v>0.2650293226276223</v>
          </cell>
          <cell r="AE34">
            <v>0.22404022602889195</v>
          </cell>
          <cell r="AF34">
            <v>0.28666467085786518</v>
          </cell>
          <cell r="AG34">
            <v>0.35370626741185113</v>
          </cell>
          <cell r="AH34">
            <v>1.1294404869262307</v>
          </cell>
        </row>
        <row r="36">
          <cell r="A36" t="str">
            <v>Shares Outstanding - Primary</v>
          </cell>
          <cell r="E36">
            <v>118.464</v>
          </cell>
          <cell r="F36">
            <v>120.044</v>
          </cell>
          <cell r="G36">
            <v>120.514</v>
          </cell>
          <cell r="H36">
            <v>120.8</v>
          </cell>
          <cell r="I36">
            <v>120</v>
          </cell>
          <cell r="J36">
            <v>122.95399999999999</v>
          </cell>
          <cell r="K36">
            <v>122.55</v>
          </cell>
          <cell r="L36">
            <v>124.9</v>
          </cell>
          <cell r="M36">
            <v>125.6</v>
          </cell>
          <cell r="N36">
            <v>125.4</v>
          </cell>
          <cell r="O36">
            <v>129.626</v>
          </cell>
          <cell r="P36">
            <v>130</v>
          </cell>
          <cell r="Q36">
            <v>129.626</v>
          </cell>
          <cell r="R36">
            <v>133.5</v>
          </cell>
          <cell r="S36">
            <v>130.68799999999999</v>
          </cell>
          <cell r="T36">
            <v>133.5</v>
          </cell>
          <cell r="U36">
            <v>133.5</v>
          </cell>
          <cell r="V36">
            <v>133.5</v>
          </cell>
          <cell r="W36">
            <v>129.69999999999999</v>
          </cell>
          <cell r="X36">
            <v>132.55000000000001</v>
          </cell>
          <cell r="Y36">
            <v>130</v>
          </cell>
          <cell r="Z36">
            <v>130</v>
          </cell>
          <cell r="AA36">
            <v>130</v>
          </cell>
          <cell r="AB36">
            <v>130</v>
          </cell>
          <cell r="AC36">
            <v>130</v>
          </cell>
          <cell r="AD36">
            <v>130</v>
          </cell>
          <cell r="AE36">
            <v>130</v>
          </cell>
          <cell r="AF36">
            <v>130</v>
          </cell>
          <cell r="AG36">
            <v>130</v>
          </cell>
          <cell r="AH36">
            <v>130</v>
          </cell>
        </row>
        <row r="37">
          <cell r="A37" t="str">
            <v>Shares Outstanding - F.D. (Mil.)</v>
          </cell>
          <cell r="E37">
            <v>133.85599999999999</v>
          </cell>
          <cell r="F37">
            <v>134.88</v>
          </cell>
          <cell r="G37">
            <v>135.13200000000001</v>
          </cell>
          <cell r="H37">
            <v>135.80000000000001</v>
          </cell>
          <cell r="I37">
            <v>135.4</v>
          </cell>
          <cell r="J37">
            <v>137.88800000000001</v>
          </cell>
          <cell r="K37">
            <v>136.4</v>
          </cell>
          <cell r="L37">
            <v>136.667</v>
          </cell>
          <cell r="M37">
            <v>136.69999999999999</v>
          </cell>
          <cell r="N37">
            <v>136.61000000000001</v>
          </cell>
          <cell r="O37">
            <v>136.58000000000001</v>
          </cell>
          <cell r="P37">
            <v>136.6</v>
          </cell>
          <cell r="Q37">
            <v>136.58000000000001</v>
          </cell>
          <cell r="R37">
            <v>133.69999999999999</v>
          </cell>
          <cell r="S37">
            <v>135.858</v>
          </cell>
          <cell r="T37">
            <v>133.667</v>
          </cell>
          <cell r="U37">
            <v>131.50399999999999</v>
          </cell>
          <cell r="V37">
            <v>129.99600000000001</v>
          </cell>
          <cell r="W37">
            <v>129.69999999999999</v>
          </cell>
          <cell r="X37">
            <v>131.21674999999999</v>
          </cell>
          <cell r="Y37">
            <v>128.87899999999999</v>
          </cell>
          <cell r="Z37">
            <v>126.09</v>
          </cell>
          <cell r="AA37">
            <v>126.867</v>
          </cell>
          <cell r="AB37">
            <v>127.548</v>
          </cell>
          <cell r="AC37">
            <v>127.346</v>
          </cell>
          <cell r="AD37">
            <v>127.035</v>
          </cell>
          <cell r="AE37">
            <v>123.70099999999999</v>
          </cell>
          <cell r="AF37">
            <v>120.252</v>
          </cell>
          <cell r="AG37">
            <v>117.018</v>
          </cell>
          <cell r="AH37">
            <v>122.00149999999999</v>
          </cell>
        </row>
        <row r="39">
          <cell r="N39" t="str">
            <v>Annual</v>
          </cell>
          <cell r="O39" t="str">
            <v>12/31/93</v>
          </cell>
          <cell r="P39" t="str">
            <v>3/31/94</v>
          </cell>
          <cell r="Q39" t="str">
            <v>6/30/94</v>
          </cell>
          <cell r="R39" t="str">
            <v>9/30/94</v>
          </cell>
          <cell r="S39" t="str">
            <v>Annual</v>
          </cell>
          <cell r="T39" t="str">
            <v>12/31/94</v>
          </cell>
          <cell r="U39" t="str">
            <v>3/31/95</v>
          </cell>
          <cell r="V39" t="str">
            <v>6/30/95</v>
          </cell>
          <cell r="W39" t="str">
            <v>9/30/95</v>
          </cell>
          <cell r="X39" t="str">
            <v>Annual</v>
          </cell>
          <cell r="Y39" t="str">
            <v>12/31/95</v>
          </cell>
          <cell r="Z39" t="str">
            <v>3/31/96</v>
          </cell>
          <cell r="AA39" t="str">
            <v>6/30/96</v>
          </cell>
          <cell r="AB39" t="str">
            <v>9/30/96</v>
          </cell>
          <cell r="AC39" t="str">
            <v>Annual</v>
          </cell>
          <cell r="AD39" t="str">
            <v>12/31/96</v>
          </cell>
          <cell r="AE39" t="str">
            <v>3/31/97</v>
          </cell>
          <cell r="AF39" t="str">
            <v>6/30/97</v>
          </cell>
          <cell r="AG39" t="str">
            <v>9/30/97</v>
          </cell>
          <cell r="AH39" t="str">
            <v>Annual</v>
          </cell>
        </row>
        <row r="40">
          <cell r="E40" t="str">
            <v>1Q/92</v>
          </cell>
          <cell r="F40" t="str">
            <v>2Q/92</v>
          </cell>
          <cell r="G40" t="str">
            <v>3Q/92</v>
          </cell>
          <cell r="H40" t="str">
            <v>4Q/92</v>
          </cell>
          <cell r="I40">
            <v>1992</v>
          </cell>
          <cell r="J40" t="str">
            <v>1Q/93</v>
          </cell>
          <cell r="K40" t="str">
            <v>2Q/93</v>
          </cell>
          <cell r="L40" t="str">
            <v>3Q/93</v>
          </cell>
          <cell r="M40" t="str">
            <v>4Q/93</v>
          </cell>
          <cell r="N40" t="str">
            <v>1993A</v>
          </cell>
          <cell r="O40" t="str">
            <v>1Q94 A</v>
          </cell>
          <cell r="P40" t="str">
            <v>2Q94 A</v>
          </cell>
          <cell r="Q40" t="str">
            <v>3Q94 A</v>
          </cell>
          <cell r="R40" t="str">
            <v>4Q94 A</v>
          </cell>
          <cell r="S40" t="str">
            <v>1994A</v>
          </cell>
          <cell r="T40" t="str">
            <v>1Q95 A</v>
          </cell>
          <cell r="U40" t="str">
            <v>2Q95 A</v>
          </cell>
          <cell r="V40" t="str">
            <v>3Q95 A</v>
          </cell>
          <cell r="W40" t="str">
            <v>4Q95 A</v>
          </cell>
          <cell r="X40" t="str">
            <v>1995A</v>
          </cell>
          <cell r="Y40" t="str">
            <v>1Q96 A</v>
          </cell>
          <cell r="Z40" t="str">
            <v>2Q96 A</v>
          </cell>
          <cell r="AA40" t="str">
            <v>3Q96 A</v>
          </cell>
          <cell r="AB40" t="str">
            <v>4Q96 A</v>
          </cell>
          <cell r="AC40" t="str">
            <v>1996A</v>
          </cell>
          <cell r="AD40" t="str">
            <v>1Q97 A</v>
          </cell>
          <cell r="AE40" t="str">
            <v>2Q97A</v>
          </cell>
          <cell r="AF40" t="str">
            <v>3Q97A</v>
          </cell>
          <cell r="AG40" t="str">
            <v>4Q97A</v>
          </cell>
          <cell r="AH40" t="str">
            <v>1997A</v>
          </cell>
        </row>
        <row r="41">
          <cell r="A41" t="str">
            <v>% ANALYSIS</v>
          </cell>
        </row>
        <row r="42">
          <cell r="A42" t="str">
            <v>Product Profit-% of Prod. Rev.</v>
          </cell>
          <cell r="E42">
            <v>0.45495247444154474</v>
          </cell>
          <cell r="F42">
            <v>0.48672798948751639</v>
          </cell>
          <cell r="G42">
            <v>0.46815472415979709</v>
          </cell>
          <cell r="H42">
            <v>0.51222651222651228</v>
          </cell>
          <cell r="I42" t="e">
            <v>#REF!</v>
          </cell>
          <cell r="J42">
            <v>0.49507702368841733</v>
          </cell>
          <cell r="K42">
            <v>0.49986567164179108</v>
          </cell>
          <cell r="L42">
            <v>0.49546096210229129</v>
          </cell>
          <cell r="M42">
            <v>0.51226137850986597</v>
          </cell>
          <cell r="N42">
            <v>0.50235834299216076</v>
          </cell>
          <cell r="O42">
            <v>0.4670808000704908</v>
          </cell>
          <cell r="P42">
            <v>0.47480314960629921</v>
          </cell>
          <cell r="Q42">
            <v>0.47565716464348684</v>
          </cell>
          <cell r="R42">
            <v>0.47002271365027293</v>
          </cell>
          <cell r="S42">
            <v>0.47219758848697002</v>
          </cell>
          <cell r="T42">
            <v>0.4195752733389404</v>
          </cell>
          <cell r="U42">
            <v>0.43896448396129095</v>
          </cell>
          <cell r="V42">
            <v>0.44398421279832256</v>
          </cell>
          <cell r="W42">
            <v>0.4574568075890737</v>
          </cell>
          <cell r="X42">
            <v>0.43940550976888937</v>
          </cell>
          <cell r="Y42">
            <v>0.44559951554299559</v>
          </cell>
          <cell r="Z42">
            <v>0.45586472773760534</v>
          </cell>
          <cell r="AA42">
            <v>0.45907309199907775</v>
          </cell>
          <cell r="AB42">
            <v>0.43640159730808981</v>
          </cell>
          <cell r="AC42">
            <v>0.44866812000415246</v>
          </cell>
          <cell r="AD42">
            <v>0.46879759999381443</v>
          </cell>
          <cell r="AE42">
            <v>0.45608462376429149</v>
          </cell>
          <cell r="AF42">
            <v>0.4359177033931313</v>
          </cell>
          <cell r="AG42">
            <v>0.41821885317056162</v>
          </cell>
          <cell r="AH42">
            <v>0.44381967650368981</v>
          </cell>
        </row>
        <row r="43">
          <cell r="A43" t="str">
            <v>Gaming Operation Proft-% of Gmg. Rev.</v>
          </cell>
          <cell r="E43">
            <v>0.56065882352941177</v>
          </cell>
          <cell r="F43">
            <v>0.57412398921832886</v>
          </cell>
          <cell r="G43">
            <v>0.54157303370786525</v>
          </cell>
          <cell r="H43">
            <v>0.592741935483871</v>
          </cell>
          <cell r="I43">
            <v>0.56816104714996341</v>
          </cell>
          <cell r="J43">
            <v>0.60457536627762609</v>
          </cell>
          <cell r="K43">
            <v>0.52648515632394233</v>
          </cell>
          <cell r="L43">
            <v>0.56718550266937362</v>
          </cell>
          <cell r="M43">
            <v>0.5412270924596283</v>
          </cell>
          <cell r="N43">
            <v>0.55955165075953905</v>
          </cell>
          <cell r="O43">
            <v>0.53405964564762853</v>
          </cell>
          <cell r="P43">
            <v>0.56000000000000005</v>
          </cell>
          <cell r="Q43">
            <v>0.56672630572780081</v>
          </cell>
          <cell r="R43">
            <v>0.5708312353597933</v>
          </cell>
          <cell r="S43">
            <v>0.55891672072251875</v>
          </cell>
          <cell r="T43">
            <v>0.57776001421085366</v>
          </cell>
          <cell r="U43">
            <v>0.53080431177446097</v>
          </cell>
          <cell r="V43">
            <v>0.50131822516407687</v>
          </cell>
          <cell r="W43">
            <v>0.4975609756097561</v>
          </cell>
          <cell r="X43">
            <v>0.5240651393116138</v>
          </cell>
          <cell r="Y43">
            <v>0.47015382461543842</v>
          </cell>
          <cell r="Z43">
            <v>0.48632143389106797</v>
          </cell>
          <cell r="AA43">
            <v>0.52847816298964434</v>
          </cell>
          <cell r="AB43">
            <v>0.47151898734177211</v>
          </cell>
          <cell r="AC43">
            <v>0.48882852399901511</v>
          </cell>
          <cell r="AD43">
            <v>0.43733346656008532</v>
          </cell>
          <cell r="AE43">
            <v>0.50320493438955061</v>
          </cell>
          <cell r="AF43">
            <v>0.49461171706616169</v>
          </cell>
          <cell r="AG43">
            <v>0.50159864115501818</v>
          </cell>
          <cell r="AH43">
            <v>0.4864383227435215</v>
          </cell>
        </row>
        <row r="44">
          <cell r="A44" t="str">
            <v>Gaming Systems Profit-% of Gmg. Rev.</v>
          </cell>
        </row>
        <row r="45">
          <cell r="A45" t="str">
            <v>Casino Operations Profit-% of Gmg. Rev.</v>
          </cell>
        </row>
        <row r="46">
          <cell r="A46" t="str">
            <v>SG&amp;A % Total Rev.</v>
          </cell>
          <cell r="E46">
            <v>0.20603731566225797</v>
          </cell>
          <cell r="F46">
            <v>0.20025282767797736</v>
          </cell>
          <cell r="G46">
            <v>0.13893798135387112</v>
          </cell>
          <cell r="H46">
            <v>0.1476826394344069</v>
          </cell>
          <cell r="I46">
            <v>0.1656484727090636</v>
          </cell>
          <cell r="J46">
            <v>0.13660845251191783</v>
          </cell>
          <cell r="K46">
            <v>0.12655906461189295</v>
          </cell>
          <cell r="L46">
            <v>0.11528408100797806</v>
          </cell>
          <cell r="M46">
            <v>0.11182196453785503</v>
          </cell>
          <cell r="N46">
            <v>0.12034576971837174</v>
          </cell>
          <cell r="O46">
            <v>0.11212109077804029</v>
          </cell>
          <cell r="P46">
            <v>0.1398176291793313</v>
          </cell>
          <cell r="Q46">
            <v>0.10002557517503009</v>
          </cell>
          <cell r="R46">
            <v>0.14645021017538773</v>
          </cell>
          <cell r="S46">
            <v>0.12429480726090907</v>
          </cell>
          <cell r="T46">
            <v>0.14041965070988818</v>
          </cell>
          <cell r="U46">
            <v>0.14565572404599234</v>
          </cell>
          <cell r="V46">
            <v>0.13012104128668545</v>
          </cell>
          <cell r="W46">
            <v>0.15376913796748878</v>
          </cell>
          <cell r="X46">
            <v>0.14264174771982613</v>
          </cell>
          <cell r="Y46">
            <v>0.16328581578896834</v>
          </cell>
          <cell r="Z46">
            <v>0.15648377110752615</v>
          </cell>
          <cell r="AA46">
            <v>0.13157372797314823</v>
          </cell>
          <cell r="AB46">
            <v>0.12934963894077176</v>
          </cell>
          <cell r="AC46">
            <v>0.1431136597895977</v>
          </cell>
          <cell r="AD46">
            <v>0.12575707172314013</v>
          </cell>
          <cell r="AE46">
            <v>0.15862895522932879</v>
          </cell>
          <cell r="AF46">
            <v>0.13194465636042943</v>
          </cell>
          <cell r="AG46">
            <v>0.11870104741415488</v>
          </cell>
          <cell r="AH46">
            <v>0.13223552625919396</v>
          </cell>
        </row>
        <row r="47">
          <cell r="A47" t="str">
            <v>Deprec.-% of Total Rev.</v>
          </cell>
          <cell r="E47">
            <v>4.4512642242198745E-2</v>
          </cell>
          <cell r="F47">
            <v>4.4018629407850958E-2</v>
          </cell>
          <cell r="G47">
            <v>3.8824483177948926E-2</v>
          </cell>
          <cell r="H47">
            <v>5.9701492537313425E-2</v>
          </cell>
          <cell r="I47">
            <v>4.7508763144717081E-2</v>
          </cell>
          <cell r="J47">
            <v>5.7629721305463871E-2</v>
          </cell>
          <cell r="K47">
            <v>4.8988317780682286E-2</v>
          </cell>
          <cell r="L47">
            <v>3.9875139218256347E-2</v>
          </cell>
          <cell r="M47">
            <v>3.1669769708480677E-2</v>
          </cell>
          <cell r="N47">
            <v>4.2250515683903547E-2</v>
          </cell>
          <cell r="O47">
            <v>3.0426193622445578E-2</v>
          </cell>
          <cell r="P47">
            <v>2.8571428571428574E-2</v>
          </cell>
          <cell r="Q47">
            <v>2.7290843021706927E-2</v>
          </cell>
          <cell r="R47">
            <v>3.3088853457022754E-2</v>
          </cell>
          <cell r="S47">
            <v>2.9763025586357107E-2</v>
          </cell>
          <cell r="T47">
            <v>3.9320266365121245E-2</v>
          </cell>
          <cell r="U47">
            <v>4.5739043492751208E-2</v>
          </cell>
          <cell r="V47">
            <v>4.7030343226662247E-2</v>
          </cell>
          <cell r="W47">
            <v>4.7771849309105392E-2</v>
          </cell>
          <cell r="X47">
            <v>4.493335867754749E-2</v>
          </cell>
          <cell r="Y47">
            <v>4.3949994559059798E-2</v>
          </cell>
          <cell r="Z47">
            <v>4.058001706665338E-2</v>
          </cell>
          <cell r="AA47">
            <v>3.5319246319322609E-2</v>
          </cell>
          <cell r="AB47">
            <v>1.4701404699905021E-2</v>
          </cell>
          <cell r="AC47">
            <v>3.2176611421060958E-2</v>
          </cell>
          <cell r="AD47">
            <v>1.6332155812885135E-2</v>
          </cell>
          <cell r="AE47">
            <v>1.4686288943913467E-2</v>
          </cell>
          <cell r="AF47">
            <v>1.886493051529152E-2</v>
          </cell>
          <cell r="AG47">
            <v>1.4352798773672841E-2</v>
          </cell>
          <cell r="AH47">
            <v>1.5924072003096909E-2</v>
          </cell>
        </row>
        <row r="48">
          <cell r="A48" t="str">
            <v>R &amp; D % of Total Rev.</v>
          </cell>
          <cell r="E48">
            <v>3.1313652535238046E-2</v>
          </cell>
          <cell r="F48">
            <v>2.95542248835662E-2</v>
          </cell>
          <cell r="G48">
            <v>2.7077421970004054E-2</v>
          </cell>
          <cell r="H48">
            <v>3.0636292223095048E-2</v>
          </cell>
          <cell r="I48">
            <v>2.9461692538808211E-2</v>
          </cell>
          <cell r="J48">
            <v>4.1574990832416572E-2</v>
          </cell>
          <cell r="K48">
            <v>4.3121878071268632E-2</v>
          </cell>
          <cell r="L48">
            <v>3.1139430398448336E-2</v>
          </cell>
          <cell r="M48">
            <v>2.8283497232253312E-2</v>
          </cell>
          <cell r="N48">
            <v>3.456651171742614E-2</v>
          </cell>
          <cell r="O48">
            <v>2.5867937372362152E-2</v>
          </cell>
          <cell r="P48">
            <v>3.2218844984802431E-2</v>
          </cell>
          <cell r="Q48">
            <v>3.2736224038533261E-2</v>
          </cell>
          <cell r="R48">
            <v>4.6743006232787349E-2</v>
          </cell>
          <cell r="S48">
            <v>3.4612824166260166E-2</v>
          </cell>
          <cell r="T48">
            <v>4.4471667294886288E-2</v>
          </cell>
          <cell r="U48">
            <v>4.8105315780703213E-2</v>
          </cell>
          <cell r="V48">
            <v>4.6844636047090028E-2</v>
          </cell>
          <cell r="W48">
            <v>4.4357797594617124E-2</v>
          </cell>
          <cell r="X48">
            <v>4.5896653597213843E-2</v>
          </cell>
          <cell r="Y48">
            <v>4.0346171818490234E-2</v>
          </cell>
          <cell r="Z48">
            <v>3.9670626047201132E-2</v>
          </cell>
          <cell r="AA48">
            <v>3.0604927912121445E-2</v>
          </cell>
          <cell r="AB48">
            <v>3.1870464037228409E-2</v>
          </cell>
          <cell r="AC48">
            <v>3.5043874718454653E-2</v>
          </cell>
          <cell r="AD48">
            <v>3.904826777765457E-2</v>
          </cell>
          <cell r="AE48">
            <v>4.4344805348875416E-2</v>
          </cell>
          <cell r="AF48">
            <v>4.9673785009368379E-2</v>
          </cell>
          <cell r="AG48">
            <v>3.6449659181771191E-2</v>
          </cell>
          <cell r="AH48">
            <v>4.1767925502172142E-2</v>
          </cell>
        </row>
        <row r="49">
          <cell r="A49" t="str">
            <v>Bad Debt % of Product Rev.</v>
          </cell>
          <cell r="E49">
            <v>2.8730816194603392E-2</v>
          </cell>
          <cell r="F49">
            <v>2.0788436268068335E-2</v>
          </cell>
          <cell r="G49">
            <v>1.6474318325935322E-2</v>
          </cell>
          <cell r="H49">
            <v>1.8018018018018018E-2</v>
          </cell>
          <cell r="I49">
            <v>1.9842025325024219E-2</v>
          </cell>
          <cell r="J49">
            <v>1.7457491643656443E-2</v>
          </cell>
          <cell r="K49">
            <v>1.7611940298507461E-2</v>
          </cell>
          <cell r="L49">
            <v>1.4659572157671844E-2</v>
          </cell>
          <cell r="M49">
            <v>2.8893882893339588E-3</v>
          </cell>
          <cell r="N49">
            <v>1.1322430031851783E-2</v>
          </cell>
          <cell r="O49">
            <v>1.3798572561459161E-2</v>
          </cell>
          <cell r="P49">
            <v>2.5196850393700791E-2</v>
          </cell>
          <cell r="Q49">
            <v>8.7894281765510847E-3</v>
          </cell>
          <cell r="R49">
            <v>8.6911259030253325E-3</v>
          </cell>
          <cell r="S49">
            <v>1.3922598210812914E-2</v>
          </cell>
          <cell r="T49">
            <v>1.3018643117465657E-2</v>
          </cell>
          <cell r="U49">
            <v>2.0896988750798248E-2</v>
          </cell>
          <cell r="V49">
            <v>1.8860361378913396E-2</v>
          </cell>
          <cell r="W49">
            <v>4.1666262923808883E-3</v>
          </cell>
          <cell r="X49">
            <v>1.4999999999999999E-2</v>
          </cell>
          <cell r="Y49">
            <v>1.6794509487283005E-2</v>
          </cell>
          <cell r="Z49">
            <v>4.4634653030242506E-2</v>
          </cell>
          <cell r="AA49">
            <v>3.3180361034459677E-2</v>
          </cell>
          <cell r="AB49">
            <v>6.9392360759194319E-3</v>
          </cell>
          <cell r="AC49">
            <v>1.4999999999999999E-2</v>
          </cell>
          <cell r="AD49">
            <v>2.1757788035536175E-2</v>
          </cell>
          <cell r="AE49">
            <v>2.3253209533408672E-2</v>
          </cell>
          <cell r="AF49">
            <v>1.3402983022888171E-2</v>
          </cell>
          <cell r="AG49">
            <v>2.2139590837941474E-2</v>
          </cell>
          <cell r="AH49">
            <v>1.4999999999999999E-2</v>
          </cell>
        </row>
        <row r="50">
          <cell r="A50" t="str">
            <v>Net Int.Exp-% Op.Inc.+Net Int.</v>
          </cell>
          <cell r="E50">
            <v>0.1149350264047944</v>
          </cell>
          <cell r="F50">
            <v>8.1501740427647934E-2</v>
          </cell>
          <cell r="G50">
            <v>4.8545298814687943E-2</v>
          </cell>
          <cell r="H50">
            <v>2.343750000000001E-2</v>
          </cell>
          <cell r="I50">
            <v>5.5873283373373044E-2</v>
          </cell>
          <cell r="J50">
            <v>8.685250299053901E-2</v>
          </cell>
          <cell r="K50">
            <v>9.7946963216424279E-2</v>
          </cell>
          <cell r="L50">
            <v>7.910428272980502E-2</v>
          </cell>
          <cell r="M50">
            <v>7.6748304320224531E-2</v>
          </cell>
          <cell r="N50">
            <v>8.2643820643246643E-2</v>
          </cell>
          <cell r="O50">
            <v>7.8421073896004223E-2</v>
          </cell>
          <cell r="P50">
            <v>8.5192697768762662E-2</v>
          </cell>
          <cell r="Q50">
            <v>6.701771906729008E-2</v>
          </cell>
          <cell r="R50">
            <v>0.10290351810266708</v>
          </cell>
          <cell r="S50">
            <v>8.2231351311250422E-2</v>
          </cell>
          <cell r="T50">
            <v>9.5484315753188526E-2</v>
          </cell>
          <cell r="U50">
            <v>0.11716203259827418</v>
          </cell>
          <cell r="V50">
            <v>0.13491764114170746</v>
          </cell>
          <cell r="W50">
            <v>9.3090817228748318E-2</v>
          </cell>
          <cell r="X50">
            <v>0.10995788303114348</v>
          </cell>
          <cell r="Y50">
            <v>0.1282080432002273</v>
          </cell>
          <cell r="Z50">
            <v>0.11466492602262837</v>
          </cell>
          <cell r="AA50">
            <v>5.5693638957930607E-2</v>
          </cell>
          <cell r="AB50">
            <v>6.2030584745897843E-2</v>
          </cell>
          <cell r="AC50">
            <v>8.2771101550965953E-2</v>
          </cell>
          <cell r="AD50">
            <v>6.283067537798194E-2</v>
          </cell>
          <cell r="AE50">
            <v>7.5489131690189698E-2</v>
          </cell>
          <cell r="AF50">
            <v>4.0598094889173833E-2</v>
          </cell>
          <cell r="AG50">
            <v>4.6891204109960595E-2</v>
          </cell>
          <cell r="AH50">
            <v>5.5817233947058224E-2</v>
          </cell>
        </row>
        <row r="51">
          <cell r="A51" t="str">
            <v>Operating Income</v>
          </cell>
          <cell r="E51">
            <v>0.20254745933027349</v>
          </cell>
          <cell r="F51">
            <v>0.24578842315369259</v>
          </cell>
          <cell r="G51">
            <v>0.27917308471828134</v>
          </cell>
          <cell r="H51">
            <v>0.29457973291437545</v>
          </cell>
          <cell r="I51">
            <v>0.26370305458187282</v>
          </cell>
          <cell r="J51">
            <v>0.28867574257425743</v>
          </cell>
          <cell r="K51">
            <v>0.27778959846803852</v>
          </cell>
          <cell r="L51">
            <v>0.32061490904407247</v>
          </cell>
          <cell r="M51">
            <v>0.34527483787127167</v>
          </cell>
          <cell r="N51">
            <v>0.31428266590795928</v>
          </cell>
          <cell r="O51">
            <v>0.30446215245798791</v>
          </cell>
          <cell r="P51">
            <v>0.27416413373860177</v>
          </cell>
          <cell r="Q51">
            <v>0.32852377958461659</v>
          </cell>
          <cell r="R51">
            <v>0.26404986229888405</v>
          </cell>
          <cell r="S51">
            <v>0.29347434469895223</v>
          </cell>
          <cell r="T51">
            <v>0.23078276165347408</v>
          </cell>
          <cell r="U51">
            <v>0.21481753041159812</v>
          </cell>
          <cell r="V51">
            <v>0.22815453490300128</v>
          </cell>
          <cell r="W51">
            <v>0.22325037622974256</v>
          </cell>
          <cell r="X51">
            <v>0.22433495600738426</v>
          </cell>
          <cell r="Y51">
            <v>0.19634752885298593</v>
          </cell>
          <cell r="Z51">
            <v>0.20275682510417506</v>
          </cell>
          <cell r="AA51">
            <v>0.26083860960663158</v>
          </cell>
          <cell r="AB51">
            <v>0.26731107445227609</v>
          </cell>
          <cell r="AC51">
            <v>0.23633039380900184</v>
          </cell>
          <cell r="AD51">
            <v>0.26282467618187677</v>
          </cell>
          <cell r="AE51">
            <v>0.24349185683605973</v>
          </cell>
          <cell r="AF51">
            <v>0.25571715420905838</v>
          </cell>
          <cell r="AG51">
            <v>0.26389888985585352</v>
          </cell>
          <cell r="AH51">
            <v>0.2573148307454084</v>
          </cell>
        </row>
        <row r="52">
          <cell r="A52" t="str">
            <v>Pretax Income</v>
          </cell>
          <cell r="E52">
            <v>0.23686211672686786</v>
          </cell>
          <cell r="F52">
            <v>0.2456420492348636</v>
          </cell>
          <cell r="G52">
            <v>0.26747466558573163</v>
          </cell>
          <cell r="H52">
            <v>0.30007855459544375</v>
          </cell>
          <cell r="I52">
            <v>0.26814221331998001</v>
          </cell>
          <cell r="J52">
            <v>0.39888155482214893</v>
          </cell>
          <cell r="K52">
            <v>0.31375827026150743</v>
          </cell>
          <cell r="L52">
            <v>0.36973338283315776</v>
          </cell>
          <cell r="M52">
            <v>0.37645728423446495</v>
          </cell>
          <cell r="N52">
            <v>0.36429459044447143</v>
          </cell>
          <cell r="O52">
            <v>0.32836797074173435</v>
          </cell>
          <cell r="P52">
            <v>0.30820668693009118</v>
          </cell>
          <cell r="Q52">
            <v>0.34395946334757738</v>
          </cell>
          <cell r="R52">
            <v>0.29059863748369341</v>
          </cell>
          <cell r="S52">
            <v>0.31814737990780789</v>
          </cell>
          <cell r="T52">
            <v>0.2515391380826737</v>
          </cell>
          <cell r="U52">
            <v>0.24019330111648066</v>
          </cell>
          <cell r="V52">
            <v>0.26259658431437582</v>
          </cell>
          <cell r="W52">
            <v>0.18048455903386676</v>
          </cell>
          <cell r="X52">
            <v>0.23307709903251697</v>
          </cell>
          <cell r="Y52">
            <v>0.27661099838052028</v>
          </cell>
          <cell r="Z52">
            <v>0.22782736519523872</v>
          </cell>
          <cell r="AA52">
            <v>0.27591222315457575</v>
          </cell>
          <cell r="AB52">
            <v>0.25749953419042293</v>
          </cell>
          <cell r="AC52">
            <v>0.24904697239901186</v>
          </cell>
          <cell r="AD52">
            <v>0.27777865783790345</v>
          </cell>
          <cell r="AE52">
            <v>0.26345279885137873</v>
          </cell>
          <cell r="AF52">
            <v>0.3236882739595604</v>
          </cell>
          <cell r="AG52">
            <v>0.281299836106853</v>
          </cell>
          <cell r="AH52">
            <v>0.28579589444707298</v>
          </cell>
        </row>
        <row r="53">
          <cell r="A53" t="str">
            <v>Net Income</v>
          </cell>
          <cell r="E53">
            <v>0.14357296108199127</v>
          </cell>
          <cell r="F53">
            <v>0.14620093147039254</v>
          </cell>
          <cell r="G53">
            <v>0.16192136197811108</v>
          </cell>
          <cell r="H53">
            <v>0.1842482325216025</v>
          </cell>
          <cell r="I53">
            <v>0.1627135703555333</v>
          </cell>
          <cell r="J53">
            <v>0.24257425742574262</v>
          </cell>
          <cell r="K53">
            <v>0.1906542245458322</v>
          </cell>
          <cell r="L53">
            <v>0.2247978967625599</v>
          </cell>
          <cell r="M53">
            <v>0.22399208411950661</v>
          </cell>
          <cell r="N53">
            <v>0.22081103584473838</v>
          </cell>
          <cell r="O53">
            <v>0.20289913106154642</v>
          </cell>
          <cell r="P53">
            <v>0.19027355623100303</v>
          </cell>
          <cell r="Q53">
            <v>0.2123538751718333</v>
          </cell>
          <cell r="R53">
            <v>0.22414842730830567</v>
          </cell>
          <cell r="S53">
            <v>0.20789489681390033</v>
          </cell>
          <cell r="T53">
            <v>0.16098756125141347</v>
          </cell>
          <cell r="U53">
            <v>0.15372104649225135</v>
          </cell>
          <cell r="V53">
            <v>0.16817774830044779</v>
          </cell>
          <cell r="W53">
            <v>0.11523201870576953</v>
          </cell>
          <cell r="X53">
            <v>0.14912546352527278</v>
          </cell>
          <cell r="Y53">
            <v>0.1770737983523554</v>
          </cell>
          <cell r="Z53">
            <v>0.14580951372495279</v>
          </cell>
          <cell r="AA53">
            <v>0.17657588933811375</v>
          </cell>
          <cell r="AB53">
            <v>0.16479661163296933</v>
          </cell>
          <cell r="AC53">
            <v>0.1664134530957718</v>
          </cell>
          <cell r="AD53">
            <v>0.17777918587397887</v>
          </cell>
          <cell r="AE53">
            <v>0.16860638433786965</v>
          </cell>
          <cell r="AF53">
            <v>0.21038883362120006</v>
          </cell>
          <cell r="AG53">
            <v>0.18284467258920248</v>
          </cell>
          <cell r="AH53">
            <v>0.18447567637317733</v>
          </cell>
        </row>
        <row r="54">
          <cell r="A54" t="str">
            <v>Tax Rate</v>
          </cell>
          <cell r="E54">
            <v>0.39385426818781172</v>
          </cell>
          <cell r="F54">
            <v>0.40482123510292523</v>
          </cell>
          <cell r="G54">
            <v>0.40081229351680664</v>
          </cell>
          <cell r="H54">
            <v>0.38600000000000001</v>
          </cell>
          <cell r="I54">
            <v>0.39500000000000002</v>
          </cell>
          <cell r="J54">
            <v>0.3918639393242932</v>
          </cell>
          <cell r="K54">
            <v>0.39400000000000002</v>
          </cell>
          <cell r="L54">
            <v>0.39200000000000002</v>
          </cell>
          <cell r="M54">
            <v>0.40500000000000003</v>
          </cell>
          <cell r="N54">
            <v>0.3938668274614523</v>
          </cell>
          <cell r="O54">
            <v>0.38209828868745183</v>
          </cell>
          <cell r="P54">
            <v>0.38264299802761342</v>
          </cell>
          <cell r="Q54">
            <v>0.3826194717682595</v>
          </cell>
          <cell r="R54">
            <v>0.22866662676323288</v>
          </cell>
          <cell r="S54">
            <v>0.34654531219416712</v>
          </cell>
          <cell r="T54">
            <v>0.35999000999000996</v>
          </cell>
          <cell r="U54">
            <v>0.36001110031913408</v>
          </cell>
          <cell r="V54">
            <v>0.35955850781703824</v>
          </cell>
          <cell r="W54">
            <v>0.36154084691451638</v>
          </cell>
          <cell r="X54">
            <v>0.36</v>
          </cell>
          <cell r="Y54">
            <v>0.35984541688843619</v>
          </cell>
          <cell r="Z54">
            <v>0.36</v>
          </cell>
          <cell r="AA54">
            <v>0.36002875364028464</v>
          </cell>
          <cell r="AB54">
            <v>0.3600120009883167</v>
          </cell>
          <cell r="AC54">
            <v>0.36</v>
          </cell>
          <cell r="AD54">
            <v>0.3599969585218416</v>
          </cell>
          <cell r="AE54">
            <v>0.36001293183077804</v>
          </cell>
          <cell r="AF54">
            <v>0.35002639716419032</v>
          </cell>
          <cell r="AG54">
            <v>0.3500007852128712</v>
          </cell>
          <cell r="AH54">
            <v>0.35451950165316076</v>
          </cell>
        </row>
        <row r="55">
          <cell r="A55" t="str">
            <v>% CHANGE</v>
          </cell>
        </row>
        <row r="56">
          <cell r="A56" t="str">
            <v>Product Rev.</v>
          </cell>
          <cell r="O56">
            <v>1.0616552826624037</v>
          </cell>
          <cell r="P56">
            <v>0.89552238805970141</v>
          </cell>
          <cell r="Q56">
            <v>0.59497230969703541</v>
          </cell>
          <cell r="R56">
            <v>4.3768881864355125E-2</v>
          </cell>
          <cell r="S56">
            <v>0.53210355852057556</v>
          </cell>
          <cell r="T56">
            <v>5.7626222574678199E-3</v>
          </cell>
          <cell r="U56">
            <v>-0.19854330708661416</v>
          </cell>
          <cell r="V56">
            <v>-0.33759982570924763</v>
          </cell>
          <cell r="W56">
            <v>-0.18608631187103708</v>
          </cell>
          <cell r="X56">
            <v>-0.19015169194865822</v>
          </cell>
          <cell r="Y56">
            <v>-0.13197364732268013</v>
          </cell>
          <cell r="Z56">
            <v>-1.6318711008498354E-2</v>
          </cell>
          <cell r="AA56">
            <v>0.38186321869796713</v>
          </cell>
          <cell r="AB56">
            <v>0.43408494103739304</v>
          </cell>
          <cell r="AC56">
            <v>0.15663362342228115</v>
          </cell>
          <cell r="AD56">
            <v>0.30533911990310858</v>
          </cell>
          <cell r="AE56">
            <v>-1.8986456793575912E-2</v>
          </cell>
          <cell r="AF56">
            <v>-0.35071812684552284</v>
          </cell>
          <cell r="AG56">
            <v>-1.1486564098405982E-2</v>
          </cell>
          <cell r="AH56">
            <v>-4.2564102564102479E-2</v>
          </cell>
        </row>
        <row r="57">
          <cell r="A57" t="str">
            <v>Lease/Progressive Rev.</v>
          </cell>
          <cell r="O57">
            <v>0.12825925006208094</v>
          </cell>
          <cell r="P57">
            <v>0.18307726283244463</v>
          </cell>
          <cell r="Q57">
            <v>2.2658345238990574E-2</v>
          </cell>
          <cell r="R57">
            <v>0.18403794810648288</v>
          </cell>
          <cell r="S57">
            <v>0.1259858556489617</v>
          </cell>
          <cell r="T57">
            <v>0.23902277979531195</v>
          </cell>
          <cell r="U57">
            <v>0.28639999999999999</v>
          </cell>
          <cell r="V57">
            <v>0.31077669664959195</v>
          </cell>
          <cell r="W57">
            <v>0.26108277326561424</v>
          </cell>
          <cell r="X57">
            <v>0.27464946858939165</v>
          </cell>
          <cell r="Y57">
            <v>0.26882938093969266</v>
          </cell>
          <cell r="Z57">
            <v>0.2525497512437811</v>
          </cell>
          <cell r="AA57">
            <v>0.16280548232082426</v>
          </cell>
          <cell r="AB57">
            <v>0.25072476347539285</v>
          </cell>
          <cell r="AC57">
            <v>0.23213709006566785</v>
          </cell>
          <cell r="AD57">
            <v>5.0837372906567646E-2</v>
          </cell>
          <cell r="AE57">
            <v>9.4748688413352378E-2</v>
          </cell>
          <cell r="AF57">
            <v>0.2310252781887181</v>
          </cell>
          <cell r="AG57">
            <v>0.11131467910282034</v>
          </cell>
          <cell r="AH57">
            <v>0.12318011771153525</v>
          </cell>
        </row>
        <row r="58">
          <cell r="A58" t="str">
            <v>Operating Income</v>
          </cell>
          <cell r="O58">
            <v>0.81096423325790901</v>
          </cell>
          <cell r="P58">
            <v>0.64496480285953939</v>
          </cell>
          <cell r="Q58">
            <v>0.457050358012147</v>
          </cell>
          <cell r="R58">
            <v>-0.1759192240880133</v>
          </cell>
          <cell r="S58">
            <v>0.317568512071571</v>
          </cell>
          <cell r="T58">
            <v>-0.19473914949583493</v>
          </cell>
          <cell r="U58">
            <v>-0.28541019955654079</v>
          </cell>
          <cell r="V58">
            <v>-0.44208375231113539</v>
          </cell>
          <cell r="W58">
            <v>-0.21171665715164123</v>
          </cell>
          <cell r="X58">
            <v>-0.2964225991098175</v>
          </cell>
          <cell r="Y58">
            <v>-0.1650152439024386</v>
          </cell>
          <cell r="Z58">
            <v>1.0053369740597784E-2</v>
          </cell>
          <cell r="AA58">
            <v>0.49098837209302237</v>
          </cell>
          <cell r="AB58">
            <v>0.6384679665738171</v>
          </cell>
          <cell r="AC58">
            <v>0.24466480928308787</v>
          </cell>
          <cell r="AD58">
            <v>0.6226771858903295</v>
          </cell>
          <cell r="AE58">
            <v>0.22950970754485067</v>
          </cell>
          <cell r="AF58">
            <v>-0.18309612010138421</v>
          </cell>
          <cell r="AG58">
            <v>1.5589670355825369E-2</v>
          </cell>
          <cell r="AH58">
            <v>0.10440356069390822</v>
          </cell>
        </row>
        <row r="59">
          <cell r="A59" t="str">
            <v>Pretax Income</v>
          </cell>
          <cell r="O59">
            <v>0.41352562629280576</v>
          </cell>
          <cell r="P59">
            <v>0.637226725223625</v>
          </cell>
          <cell r="Q59">
            <v>0.32284836065573841</v>
          </cell>
          <cell r="R59">
            <v>-0.16818521284540644</v>
          </cell>
          <cell r="S59">
            <v>0.23225083986562156</v>
          </cell>
          <cell r="T59">
            <v>-0.18621194260395901</v>
          </cell>
          <cell r="U59">
            <v>-0.28925049309664663</v>
          </cell>
          <cell r="V59">
            <v>-0.38667802648904026</v>
          </cell>
          <cell r="W59">
            <v>-0.42094132200075896</v>
          </cell>
          <cell r="X59">
            <v>-0.32569508523706969</v>
          </cell>
          <cell r="Y59">
            <v>7.9245754245754751E-2</v>
          </cell>
          <cell r="Z59">
            <v>1.5040932426806819E-2</v>
          </cell>
          <cell r="AA59">
            <v>0.37029272851261519</v>
          </cell>
          <cell r="AB59">
            <v>0.95231368225200863</v>
          </cell>
          <cell r="AC59">
            <v>0.26244203163983881</v>
          </cell>
          <cell r="AD59">
            <v>0.21736514474810753</v>
          </cell>
          <cell r="AE59">
            <v>0.18391338819476655</v>
          </cell>
          <cell r="AF59">
            <v>-2.2449957606812232E-2</v>
          </cell>
          <cell r="AG59">
            <v>0.12380431329638908</v>
          </cell>
          <cell r="AH59">
            <v>0.16401151841632666</v>
          </cell>
        </row>
        <row r="60">
          <cell r="A60" t="str">
            <v>Net Income</v>
          </cell>
          <cell r="O60">
            <v>0.43622448979591755</v>
          </cell>
          <cell r="P60">
            <v>0.66338948822872923</v>
          </cell>
          <cell r="Q60">
            <v>0.34325792709232195</v>
          </cell>
          <cell r="R60">
            <v>7.8330261654077749E-2</v>
          </cell>
          <cell r="S60">
            <v>0.32845408293778267</v>
          </cell>
          <cell r="T60">
            <v>-0.15709492796526525</v>
          </cell>
          <cell r="U60">
            <v>-0.26319488817891334</v>
          </cell>
          <cell r="V60">
            <v>-0.36376866139756603</v>
          </cell>
          <cell r="W60">
            <v>-0.52069322296947851</v>
          </cell>
          <cell r="X60">
            <v>-0.3397733513054767</v>
          </cell>
          <cell r="Y60">
            <v>7.9489580894405165E-2</v>
          </cell>
          <cell r="Z60">
            <v>1.5058537854478526E-2</v>
          </cell>
          <cell r="AA60">
            <v>0.36928658753006949</v>
          </cell>
          <cell r="AB60">
            <v>0.95698866702644647</v>
          </cell>
          <cell r="AC60">
            <v>0.35924539617507056</v>
          </cell>
          <cell r="AD60">
            <v>0.21707696200701165</v>
          </cell>
          <cell r="AE60">
            <v>0.18388946605790402</v>
          </cell>
          <cell r="AF60">
            <v>-7.1714524351254028E-3</v>
          </cell>
          <cell r="AG60">
            <v>0.14138377961007098</v>
          </cell>
          <cell r="AH60">
            <v>0.1786029859976388</v>
          </cell>
        </row>
        <row r="61">
          <cell r="A61" t="str">
            <v>EPS - F.D.</v>
          </cell>
          <cell r="O61">
            <v>0.39121760140576911</v>
          </cell>
          <cell r="P61">
            <v>0.52757442654953657</v>
          </cell>
          <cell r="Q61">
            <v>0.30434782608695632</v>
          </cell>
          <cell r="R61">
            <v>7.0943793456883064E-2</v>
          </cell>
          <cell r="S61">
            <v>0.3125</v>
          </cell>
          <cell r="T61">
            <v>-0.13872552882533384</v>
          </cell>
          <cell r="U61">
            <v>-0.23464245745558743</v>
          </cell>
          <cell r="V61">
            <v>-0.34980050668225648</v>
          </cell>
          <cell r="W61">
            <v>-0.50591120979968596</v>
          </cell>
          <cell r="X61">
            <v>-0.32855778163299365</v>
          </cell>
          <cell r="Y61">
            <v>0.11959383459999251</v>
          </cell>
          <cell r="Z61">
            <v>5.8642699357723371E-2</v>
          </cell>
          <cell r="AA61">
            <v>0.40305815722417115</v>
          </cell>
          <cell r="AB61">
            <v>0.99000713545747487</v>
          </cell>
          <cell r="AC61">
            <v>0.35924539617507056</v>
          </cell>
          <cell r="AD61">
            <v>0.23474366738695385</v>
          </cell>
          <cell r="AE61">
            <v>0.20675356525202782</v>
          </cell>
          <cell r="AF61">
            <v>4.7443529786722394E-2</v>
          </cell>
          <cell r="AG61">
            <v>0.24409251843054336</v>
          </cell>
          <cell r="AH61">
            <v>0.1786029859976388</v>
          </cell>
        </row>
        <row r="62">
          <cell r="A62" t="str">
            <v>Shares Outstanding - F.D.</v>
          </cell>
          <cell r="O62">
            <v>-9.4859596194012408E-3</v>
          </cell>
          <cell r="P62">
            <v>1.4662756598240456E-3</v>
          </cell>
          <cell r="Q62">
            <v>-6.3658381321007873E-4</v>
          </cell>
          <cell r="R62">
            <v>-2.1945866861741048E-2</v>
          </cell>
          <cell r="S62">
            <v>-5.5047214698777935E-3</v>
          </cell>
          <cell r="T62">
            <v>-2.1328159320544771E-2</v>
          </cell>
          <cell r="U62">
            <v>-3.7306002928257698E-2</v>
          </cell>
          <cell r="V62">
            <v>-4.8206179528481496E-2</v>
          </cell>
          <cell r="W62">
            <v>-2.9917726252804755E-2</v>
          </cell>
          <cell r="X62">
            <v>-3.4162507912673612E-2</v>
          </cell>
          <cell r="Y62">
            <v>-3.5820359550225667E-2</v>
          </cell>
          <cell r="Z62">
            <v>-4.1169850346757464E-2</v>
          </cell>
          <cell r="AA62">
            <v>-2.4069971383734901E-2</v>
          </cell>
          <cell r="AB62">
            <v>-1.6592135697763966E-2</v>
          </cell>
          <cell r="AC62">
            <v>-2.9498901626507146E-2</v>
          </cell>
          <cell r="AD62">
            <v>-1.430799432025387E-2</v>
          </cell>
          <cell r="AE62">
            <v>-1.8946784043143872E-2</v>
          </cell>
          <cell r="AF62">
            <v>-5.2141218756650787E-2</v>
          </cell>
          <cell r="AG62">
            <v>-8.2557154953429301E-2</v>
          </cell>
          <cell r="AH62">
            <v>-4.1968338228134505E-2</v>
          </cell>
        </row>
        <row r="64">
          <cell r="N64" t="str">
            <v>Annual</v>
          </cell>
          <cell r="O64" t="str">
            <v>12/31/93</v>
          </cell>
          <cell r="P64" t="str">
            <v>3/31/94</v>
          </cell>
          <cell r="Q64" t="str">
            <v>6/30/94</v>
          </cell>
          <cell r="R64" t="str">
            <v>9/30/94</v>
          </cell>
          <cell r="S64" t="str">
            <v>Annual</v>
          </cell>
          <cell r="T64" t="str">
            <v>12/31/94</v>
          </cell>
          <cell r="U64" t="str">
            <v>3/31/95</v>
          </cell>
          <cell r="V64" t="str">
            <v>6/30/95</v>
          </cell>
          <cell r="W64" t="str">
            <v>9/30/95</v>
          </cell>
          <cell r="X64" t="str">
            <v>Annual</v>
          </cell>
          <cell r="Y64" t="str">
            <v>12/31/95</v>
          </cell>
          <cell r="Z64" t="str">
            <v>3/31/96</v>
          </cell>
          <cell r="AA64" t="str">
            <v>6/30/96</v>
          </cell>
          <cell r="AB64" t="str">
            <v>9/30/96</v>
          </cell>
          <cell r="AC64" t="str">
            <v>Annual</v>
          </cell>
          <cell r="AD64" t="str">
            <v>12/31/96</v>
          </cell>
          <cell r="AE64" t="str">
            <v>3/31/97</v>
          </cell>
          <cell r="AF64" t="str">
            <v>6/30/97</v>
          </cell>
          <cell r="AG64" t="str">
            <v>9/30/97</v>
          </cell>
          <cell r="AH64" t="str">
            <v>Annual</v>
          </cell>
        </row>
        <row r="65">
          <cell r="E65" t="str">
            <v>1Q/92</v>
          </cell>
          <cell r="F65" t="str">
            <v>2Q/92</v>
          </cell>
          <cell r="G65" t="str">
            <v>3Q/92</v>
          </cell>
          <cell r="H65" t="str">
            <v>4Q/92</v>
          </cell>
          <cell r="I65">
            <v>1992</v>
          </cell>
          <cell r="J65" t="str">
            <v>1Q/93</v>
          </cell>
          <cell r="K65" t="str">
            <v>2Q/93</v>
          </cell>
          <cell r="L65" t="str">
            <v>3Q/93</v>
          </cell>
          <cell r="M65" t="str">
            <v>4Q/93</v>
          </cell>
          <cell r="N65" t="str">
            <v>1993A</v>
          </cell>
          <cell r="O65" t="str">
            <v>1Q94 A</v>
          </cell>
          <cell r="P65" t="str">
            <v>2Q94 A</v>
          </cell>
          <cell r="Q65" t="str">
            <v>3Q94 A</v>
          </cell>
          <cell r="R65" t="str">
            <v>4Q94 A</v>
          </cell>
          <cell r="S65" t="str">
            <v>1994A</v>
          </cell>
          <cell r="T65" t="str">
            <v>1Q95 A</v>
          </cell>
          <cell r="U65" t="str">
            <v>2Q95 A</v>
          </cell>
          <cell r="V65" t="str">
            <v>3Q95 A</v>
          </cell>
          <cell r="W65" t="str">
            <v>4Q95 A</v>
          </cell>
          <cell r="X65" t="str">
            <v>1995A</v>
          </cell>
          <cell r="Y65" t="str">
            <v>1Q96 A</v>
          </cell>
          <cell r="Z65" t="str">
            <v>2Q96 A</v>
          </cell>
          <cell r="AA65" t="str">
            <v>3Q96 A</v>
          </cell>
          <cell r="AB65" t="str">
            <v>4Q96 A</v>
          </cell>
          <cell r="AC65" t="str">
            <v>1996A</v>
          </cell>
          <cell r="AD65" t="str">
            <v>1Q97A</v>
          </cell>
          <cell r="AE65" t="str">
            <v>2Q97A</v>
          </cell>
          <cell r="AF65" t="str">
            <v>3Q97A</v>
          </cell>
          <cell r="AG65" t="str">
            <v>4Q97A</v>
          </cell>
          <cell r="AH65" t="str">
            <v>1997A</v>
          </cell>
        </row>
        <row r="66">
          <cell r="A66" t="str">
            <v>CASH FLOW ANALYSIS</v>
          </cell>
        </row>
        <row r="67">
          <cell r="A67" t="str">
            <v>Pretax Income</v>
          </cell>
          <cell r="N67">
            <v>174.13500000000002</v>
          </cell>
          <cell r="O67">
            <v>49.201999999999991</v>
          </cell>
          <cell r="P67">
            <v>50.699999999999996</v>
          </cell>
          <cell r="Q67">
            <v>64.555000000000021</v>
          </cell>
          <cell r="R67">
            <v>50.121000000000024</v>
          </cell>
          <cell r="S67">
            <v>214.57800000000003</v>
          </cell>
          <cell r="T67">
            <v>40.04</v>
          </cell>
          <cell r="U67">
            <v>36.035000000000011</v>
          </cell>
          <cell r="V67">
            <v>39.593000000000018</v>
          </cell>
          <cell r="W67">
            <v>29.022999999999975</v>
          </cell>
          <cell r="X67">
            <v>144.69100000000009</v>
          </cell>
          <cell r="Y67">
            <v>43.213000000000022</v>
          </cell>
          <cell r="Z67">
            <v>36.576999999999991</v>
          </cell>
          <cell r="AA67">
            <v>54.253999999999998</v>
          </cell>
          <cell r="AB67">
            <v>56.661999999999999</v>
          </cell>
          <cell r="AC67">
            <v>182.66400000000004</v>
          </cell>
          <cell r="AD67">
            <v>52.605999999999995</v>
          </cell>
          <cell r="AE67">
            <v>43.303999999999967</v>
          </cell>
          <cell r="AF67">
            <v>53.036000000000008</v>
          </cell>
          <cell r="AG67">
            <v>63.677</v>
          </cell>
          <cell r="AH67">
            <v>212.62299999999996</v>
          </cell>
        </row>
        <row r="68">
          <cell r="A68" t="str">
            <v>Depreciation</v>
          </cell>
          <cell r="N68">
            <v>20.196000000000002</v>
          </cell>
          <cell r="O68">
            <v>4.5590000000000002</v>
          </cell>
          <cell r="P68">
            <v>4.7</v>
          </cell>
          <cell r="Q68">
            <v>5.1219999999999999</v>
          </cell>
          <cell r="R68">
            <v>5.7069999999999999</v>
          </cell>
          <cell r="S68">
            <v>20.074000000000002</v>
          </cell>
          <cell r="T68">
            <v>6.2590000000000003</v>
          </cell>
          <cell r="U68">
            <v>6.8620000000000001</v>
          </cell>
          <cell r="V68">
            <v>7.0910000000000002</v>
          </cell>
          <cell r="W68">
            <v>7.6820000000000004</v>
          </cell>
          <cell r="X68">
            <v>27.893999999999998</v>
          </cell>
          <cell r="Y68">
            <v>6.8659999999999997</v>
          </cell>
          <cell r="Z68">
            <v>6.5180000000000007</v>
          </cell>
          <cell r="AA68">
            <v>6.9450000000000003</v>
          </cell>
          <cell r="AB68">
            <v>10.172999999999998</v>
          </cell>
          <cell r="AC68">
            <v>30.501999999999999</v>
          </cell>
          <cell r="AD68">
            <v>8.2240000000000002</v>
          </cell>
          <cell r="AE68">
            <v>8.6769999999999996</v>
          </cell>
          <cell r="AF68">
            <v>9.2740000000000009</v>
          </cell>
          <cell r="AG68">
            <v>8.8490000000000002</v>
          </cell>
          <cell r="AH68">
            <v>35.024000000000001</v>
          </cell>
        </row>
        <row r="69">
          <cell r="A69" t="str">
            <v>Net Interest Expense</v>
          </cell>
          <cell r="N69">
            <v>-13.534000000000001</v>
          </cell>
          <cell r="O69">
            <v>-3.8820000000000001</v>
          </cell>
          <cell r="P69">
            <v>-4.1999999999999993</v>
          </cell>
          <cell r="Q69">
            <v>-4.4290000000000003</v>
          </cell>
          <cell r="R69">
            <v>-5.2240000000000002</v>
          </cell>
          <cell r="S69">
            <v>-17.734999999999999</v>
          </cell>
          <cell r="T69">
            <v>-3.8779999999999992</v>
          </cell>
          <cell r="U69">
            <v>-4.2770000000000001</v>
          </cell>
          <cell r="V69">
            <v>-5.3649999999999993</v>
          </cell>
          <cell r="W69">
            <v>-3.6850000000000005</v>
          </cell>
          <cell r="X69">
            <v>-17.204999999999998</v>
          </cell>
          <cell r="Y69">
            <v>-4.5110000000000001</v>
          </cell>
          <cell r="Z69">
            <v>-4.2159999999999993</v>
          </cell>
          <cell r="AA69">
            <v>-3.0250000000000012</v>
          </cell>
          <cell r="AB69">
            <v>-3.8899999999999997</v>
          </cell>
          <cell r="AC69">
            <v>-15.641999999999999</v>
          </cell>
          <cell r="AD69">
            <v>-3.3369999999999989</v>
          </cell>
          <cell r="AE69">
            <v>-3.2679999999999998</v>
          </cell>
          <cell r="AF69">
            <v>-1.7729999999999997</v>
          </cell>
          <cell r="AG69">
            <v>-2.9390000000000001</v>
          </cell>
          <cell r="AH69">
            <v>-11.317</v>
          </cell>
        </row>
        <row r="70">
          <cell r="A70" t="str">
            <v>EBITDA</v>
          </cell>
          <cell r="N70">
            <v>180.79700000000003</v>
          </cell>
          <cell r="O70">
            <v>49.878999999999991</v>
          </cell>
          <cell r="P70">
            <v>51.2</v>
          </cell>
          <cell r="Q70">
            <v>65.248000000000019</v>
          </cell>
          <cell r="R70">
            <v>50.604000000000028</v>
          </cell>
          <cell r="S70">
            <v>216.91700000000003</v>
          </cell>
          <cell r="T70">
            <v>42.420999999999999</v>
          </cell>
          <cell r="U70">
            <v>38.620000000000012</v>
          </cell>
          <cell r="V70">
            <v>41.319000000000017</v>
          </cell>
          <cell r="W70">
            <v>33.019999999999975</v>
          </cell>
          <cell r="X70">
            <v>155.38000000000011</v>
          </cell>
          <cell r="Y70">
            <v>45.568000000000019</v>
          </cell>
          <cell r="Z70">
            <v>38.878999999999991</v>
          </cell>
          <cell r="AA70">
            <v>58.173999999999999</v>
          </cell>
          <cell r="AB70">
            <v>62.944999999999993</v>
          </cell>
          <cell r="AC70">
            <v>197.52400000000006</v>
          </cell>
          <cell r="AD70">
            <v>57.493000000000002</v>
          </cell>
          <cell r="AE70">
            <v>48.712999999999965</v>
          </cell>
          <cell r="AF70">
            <v>60.537000000000006</v>
          </cell>
          <cell r="AG70">
            <v>69.586999999999989</v>
          </cell>
          <cell r="AH70">
            <v>236.32999999999996</v>
          </cell>
        </row>
        <row r="71">
          <cell r="A71" t="str">
            <v>EBITDA/Share</v>
          </cell>
          <cell r="N71">
            <v>1.3234536271136814</v>
          </cell>
          <cell r="O71">
            <v>0.36519988285254051</v>
          </cell>
          <cell r="P71">
            <v>0.37481698389458273</v>
          </cell>
          <cell r="Q71">
            <v>0.47772733928832928</v>
          </cell>
          <cell r="R71">
            <v>0.37848915482423362</v>
          </cell>
          <cell r="S71">
            <v>1.5966450264246494</v>
          </cell>
          <cell r="T71">
            <v>0.31736329834588939</v>
          </cell>
          <cell r="U71">
            <v>0.29367927971772734</v>
          </cell>
          <cell r="V71">
            <v>0.31784824148435348</v>
          </cell>
          <cell r="W71">
            <v>0.25458750963762511</v>
          </cell>
          <cell r="X71">
            <v>1.1841476031070737</v>
          </cell>
          <cell r="Y71">
            <v>0.35357195508965794</v>
          </cell>
          <cell r="Z71">
            <v>0.30834324688714404</v>
          </cell>
          <cell r="AA71">
            <v>0.45854319878297745</v>
          </cell>
          <cell r="AB71">
            <v>0.49350048609151059</v>
          </cell>
          <cell r="AC71">
            <v>1.5510813060480899</v>
          </cell>
          <cell r="AD71">
            <v>0.45257606171527537</v>
          </cell>
          <cell r="AE71">
            <v>0.39379633147670567</v>
          </cell>
          <cell r="AF71">
            <v>0.5034178225725976</v>
          </cell>
          <cell r="AG71">
            <v>0.59466919619203873</v>
          </cell>
          <cell r="AH71">
            <v>1.9371073306475737</v>
          </cell>
        </row>
        <row r="72">
          <cell r="A72" t="str">
            <v>Net Income</v>
          </cell>
          <cell r="N72">
            <v>105.54900000000002</v>
          </cell>
          <cell r="O72">
            <v>30.40199999999999</v>
          </cell>
          <cell r="P72">
            <v>31.299999999999997</v>
          </cell>
          <cell r="Q72">
            <v>39.855000000000018</v>
          </cell>
          <cell r="R72">
            <v>38.660000000000025</v>
          </cell>
          <cell r="S72">
            <v>140.21700000000004</v>
          </cell>
          <cell r="T72">
            <v>25.625999999999998</v>
          </cell>
          <cell r="U72">
            <v>23.062000000000012</v>
          </cell>
          <cell r="V72">
            <v>25.357000000000017</v>
          </cell>
          <cell r="W72">
            <v>18.529999999999973</v>
          </cell>
          <cell r="X72">
            <v>92.575000000000003</v>
          </cell>
          <cell r="Y72">
            <v>27.663000000000022</v>
          </cell>
          <cell r="Z72">
            <v>23.409279999999995</v>
          </cell>
          <cell r="AA72">
            <v>34.720999999999997</v>
          </cell>
          <cell r="AB72">
            <v>36.262999999999998</v>
          </cell>
          <cell r="AC72">
            <v>122.05628000000002</v>
          </cell>
          <cell r="AD72">
            <v>33.667999999999992</v>
          </cell>
          <cell r="AE72">
            <v>27.713999999999967</v>
          </cell>
          <cell r="AF72">
            <v>34.472000000000008</v>
          </cell>
          <cell r="AG72">
            <v>41.39</v>
          </cell>
          <cell r="AH72">
            <v>137.24399999999997</v>
          </cell>
        </row>
        <row r="73">
          <cell r="A73" t="str">
            <v>Depreciation</v>
          </cell>
          <cell r="N73">
            <v>20.196000000000002</v>
          </cell>
          <cell r="O73">
            <v>4.5590000000000002</v>
          </cell>
          <cell r="P73">
            <v>4.7</v>
          </cell>
          <cell r="Q73">
            <v>5.1219999999999999</v>
          </cell>
          <cell r="R73">
            <v>5.7069999999999999</v>
          </cell>
          <cell r="S73">
            <v>20.074000000000002</v>
          </cell>
          <cell r="T73">
            <v>6.2590000000000003</v>
          </cell>
          <cell r="U73">
            <v>6.8620000000000001</v>
          </cell>
          <cell r="V73">
            <v>7.0910000000000002</v>
          </cell>
          <cell r="W73">
            <v>7.6820000000000004</v>
          </cell>
          <cell r="X73">
            <v>27.893999999999998</v>
          </cell>
          <cell r="Y73">
            <v>6.8659999999999997</v>
          </cell>
          <cell r="Z73">
            <v>6.5180000000000007</v>
          </cell>
          <cell r="AA73">
            <v>6.9450000000000003</v>
          </cell>
          <cell r="AB73">
            <v>10.172999999999998</v>
          </cell>
          <cell r="AC73">
            <v>30.501999999999999</v>
          </cell>
          <cell r="AD73">
            <v>8.2240000000000002</v>
          </cell>
          <cell r="AE73">
            <v>8.6769999999999996</v>
          </cell>
          <cell r="AF73">
            <v>9.2740000000000009</v>
          </cell>
          <cell r="AG73">
            <v>8.8490000000000002</v>
          </cell>
          <cell r="AH73">
            <v>35.024000000000001</v>
          </cell>
        </row>
        <row r="74">
          <cell r="A74" t="str">
            <v xml:space="preserve">Cash Flow </v>
          </cell>
          <cell r="S74">
            <v>160.29100000000005</v>
          </cell>
          <cell r="X74">
            <v>120.46899999999999</v>
          </cell>
          <cell r="Y74">
            <v>34.529000000000025</v>
          </cell>
          <cell r="Z74">
            <v>29.927279999999996</v>
          </cell>
          <cell r="AA74">
            <v>41.665999999999997</v>
          </cell>
          <cell r="AB74">
            <v>46.435999999999993</v>
          </cell>
          <cell r="AC74">
            <v>152.55828000000002</v>
          </cell>
          <cell r="AD74">
            <v>41.891999999999996</v>
          </cell>
          <cell r="AE74">
            <v>36.390999999999963</v>
          </cell>
          <cell r="AF74">
            <v>43.746000000000009</v>
          </cell>
          <cell r="AG74">
            <v>50.239000000000004</v>
          </cell>
          <cell r="AH74">
            <v>172.26799999999997</v>
          </cell>
        </row>
        <row r="75">
          <cell r="A75" t="str">
            <v>Cash Flow / Share</v>
          </cell>
          <cell r="S75">
            <v>1.1798421881670571</v>
          </cell>
          <cell r="X75">
            <v>0.91809163083219181</v>
          </cell>
          <cell r="Y75">
            <v>0.26791796956835501</v>
          </cell>
          <cell r="Z75">
            <v>0.23734856055198664</v>
          </cell>
          <cell r="AA75">
            <v>0.32842267886842125</v>
          </cell>
          <cell r="AB75">
            <v>0.36406686110327086</v>
          </cell>
          <cell r="AC75">
            <v>1.1979825043582053</v>
          </cell>
          <cell r="AD75">
            <v>0.32976738694060692</v>
          </cell>
          <cell r="AE75">
            <v>0.294185172310652</v>
          </cell>
          <cell r="AF75">
            <v>0.36378604929647751</v>
          </cell>
          <cell r="AG75">
            <v>0.42932711206822888</v>
          </cell>
          <cell r="AH75">
            <v>1.4120154260398436</v>
          </cell>
        </row>
        <row r="76">
          <cell r="A76" t="str">
            <v>Less Maint. Exp. Cap Ex.</v>
          </cell>
          <cell r="N76">
            <v>116.155</v>
          </cell>
          <cell r="S76">
            <v>73.182000000000002</v>
          </cell>
          <cell r="T76">
            <v>10.865</v>
          </cell>
          <cell r="U76">
            <v>9.5220000000000002</v>
          </cell>
          <cell r="V76">
            <v>15.283999999999997</v>
          </cell>
          <cell r="W76">
            <v>7.8660000000000014</v>
          </cell>
          <cell r="X76">
            <v>43.536999999999999</v>
          </cell>
          <cell r="Y76">
            <v>25.4</v>
          </cell>
          <cell r="Z76">
            <v>19.300000000000004</v>
          </cell>
          <cell r="AA76">
            <v>14.599999999999994</v>
          </cell>
          <cell r="AB76">
            <v>12.299999999999997</v>
          </cell>
          <cell r="AC76">
            <v>71.599999999999994</v>
          </cell>
          <cell r="AD76">
            <v>9.1709999999999994</v>
          </cell>
          <cell r="AE76">
            <v>6.1840000000000011</v>
          </cell>
          <cell r="AF76">
            <v>11.902000000000001</v>
          </cell>
          <cell r="AG76">
            <v>8</v>
          </cell>
          <cell r="AH76">
            <v>35.257000000000005</v>
          </cell>
        </row>
        <row r="77">
          <cell r="A77" t="str">
            <v>Less Sodak Acquisition</v>
          </cell>
        </row>
        <row r="78">
          <cell r="A78" t="str">
            <v>Free Cash Flow</v>
          </cell>
          <cell r="N78">
            <v>9.5900000000000176</v>
          </cell>
          <cell r="S78">
            <v>87.109000000000052</v>
          </cell>
          <cell r="T78">
            <v>21.019999999999996</v>
          </cell>
          <cell r="U78">
            <v>20.402000000000015</v>
          </cell>
          <cell r="V78">
            <v>17.164000000000016</v>
          </cell>
          <cell r="W78">
            <v>18.345999999999975</v>
          </cell>
          <cell r="X78">
            <v>76.931999999999988</v>
          </cell>
          <cell r="Y78">
            <v>9.1290000000000262</v>
          </cell>
          <cell r="Z78">
            <v>10.627279999999992</v>
          </cell>
          <cell r="AA78">
            <v>27.066000000000003</v>
          </cell>
          <cell r="AB78">
            <v>34.135999999999996</v>
          </cell>
          <cell r="AC78">
            <v>80.95828000000003</v>
          </cell>
          <cell r="AD78">
            <v>32.720999999999997</v>
          </cell>
          <cell r="AE78">
            <v>30.206999999999962</v>
          </cell>
          <cell r="AF78">
            <v>31.844000000000008</v>
          </cell>
          <cell r="AG78">
            <v>42.239000000000004</v>
          </cell>
          <cell r="AH78">
            <v>137.01099999999997</v>
          </cell>
        </row>
        <row r="79">
          <cell r="A79" t="str">
            <v>Free Cash/Share</v>
          </cell>
          <cell r="N79">
            <v>7.0199838957616695E-2</v>
          </cell>
          <cell r="S79">
            <v>0.64117681697066087</v>
          </cell>
          <cell r="T79">
            <v>0.15725646569459922</v>
          </cell>
          <cell r="U79">
            <v>0.15514356977734531</v>
          </cell>
          <cell r="V79">
            <v>0.13203483184097983</v>
          </cell>
          <cell r="W79">
            <v>0.14144949884348479</v>
          </cell>
          <cell r="X79">
            <v>0.586297100027245</v>
          </cell>
          <cell r="Y79">
            <v>7.0833882944467505E-2</v>
          </cell>
          <cell r="Z79">
            <v>8.4283289713696502E-2</v>
          </cell>
          <cell r="AA79">
            <v>0.21334153089455887</v>
          </cell>
          <cell r="AB79">
            <v>0.26763257753943609</v>
          </cell>
          <cell r="AC79">
            <v>0.63573476983964972</v>
          </cell>
          <cell r="AD79">
            <v>0.2575746841421655</v>
          </cell>
          <cell r="AE79">
            <v>0.24419366052012484</v>
          </cell>
          <cell r="AF79">
            <v>0.26481056448125612</v>
          </cell>
          <cell r="AG79">
            <v>0.36096156146917574</v>
          </cell>
          <cell r="AH79">
            <v>1.123027175895378</v>
          </cell>
        </row>
        <row r="80">
          <cell r="A80" t="str">
            <v>Less Share Repurchases</v>
          </cell>
        </row>
        <row r="81">
          <cell r="A81" t="str">
            <v>Discretionary Cash Flow</v>
          </cell>
        </row>
        <row r="82">
          <cell r="A82" t="str">
            <v>BALANCE SHEET ANALYSIS</v>
          </cell>
        </row>
        <row r="83">
          <cell r="A83" t="str">
            <v>Cash</v>
          </cell>
          <cell r="I83">
            <v>149.352</v>
          </cell>
          <cell r="N83">
            <v>217.34</v>
          </cell>
          <cell r="O83">
            <v>226.54300000000001</v>
          </cell>
          <cell r="P83">
            <v>200.08700000000002</v>
          </cell>
          <cell r="Q83">
            <v>138.19499999999999</v>
          </cell>
          <cell r="R83">
            <v>203.05</v>
          </cell>
          <cell r="S83">
            <v>203.05</v>
          </cell>
          <cell r="T83">
            <v>238.45</v>
          </cell>
          <cell r="U83">
            <v>228.631</v>
          </cell>
          <cell r="V83">
            <v>258.03000000000003</v>
          </cell>
          <cell r="W83">
            <v>289.42599999999999</v>
          </cell>
          <cell r="X83">
            <v>289.42599999999999</v>
          </cell>
          <cell r="Y83">
            <v>283.76900000000001</v>
          </cell>
          <cell r="Z83">
            <v>205.39600000000002</v>
          </cell>
          <cell r="AA83">
            <v>228.185</v>
          </cell>
          <cell r="AB83">
            <v>230.75800000000001</v>
          </cell>
          <cell r="AC83">
            <v>230.75800000000001</v>
          </cell>
          <cell r="AD83">
            <v>214.51500000000001</v>
          </cell>
          <cell r="AE83">
            <v>164.935</v>
          </cell>
          <cell r="AF83">
            <v>174.953</v>
          </cell>
          <cell r="AG83">
            <v>166.71499999999997</v>
          </cell>
          <cell r="AH83">
            <v>166.71499999999997</v>
          </cell>
        </row>
        <row r="84">
          <cell r="A84" t="str">
            <v>Long Term Obligations</v>
          </cell>
          <cell r="I84">
            <v>136.797</v>
          </cell>
          <cell r="N84">
            <v>59.98</v>
          </cell>
          <cell r="O84">
            <v>60.129000000000005</v>
          </cell>
          <cell r="P84">
            <v>56.378999999999998</v>
          </cell>
          <cell r="Q84">
            <v>13.5</v>
          </cell>
          <cell r="R84">
            <v>113.723</v>
          </cell>
          <cell r="S84">
            <v>113.723</v>
          </cell>
          <cell r="T84">
            <v>112</v>
          </cell>
          <cell r="U84">
            <v>111.916</v>
          </cell>
          <cell r="V84">
            <v>114.17</v>
          </cell>
          <cell r="W84">
            <v>107.54300000000001</v>
          </cell>
          <cell r="X84">
            <v>110</v>
          </cell>
          <cell r="Y84">
            <v>107.36</v>
          </cell>
          <cell r="Z84">
            <v>116.00200000000001</v>
          </cell>
          <cell r="AA84">
            <v>107.203</v>
          </cell>
          <cell r="AB84">
            <v>107.155</v>
          </cell>
          <cell r="AC84">
            <v>107.155</v>
          </cell>
          <cell r="AD84">
            <v>102.408</v>
          </cell>
          <cell r="AE84">
            <v>115.86499999999999</v>
          </cell>
          <cell r="AF84">
            <v>117.95699999999999</v>
          </cell>
          <cell r="AG84">
            <v>166.12700000000001</v>
          </cell>
          <cell r="AH84">
            <v>166.12700000000001</v>
          </cell>
        </row>
        <row r="85">
          <cell r="A85" t="str">
            <v>Equity</v>
          </cell>
          <cell r="I85">
            <v>214.06200000000001</v>
          </cell>
          <cell r="N85">
            <v>378.54899999999998</v>
          </cell>
          <cell r="O85">
            <v>422</v>
          </cell>
          <cell r="P85">
            <v>467.38600000000002</v>
          </cell>
          <cell r="Q85">
            <v>489.06900000000002</v>
          </cell>
          <cell r="R85">
            <v>520.86800000000005</v>
          </cell>
          <cell r="S85">
            <v>520.86800000000005</v>
          </cell>
          <cell r="T85">
            <v>544</v>
          </cell>
          <cell r="U85">
            <v>515.06100000000004</v>
          </cell>
          <cell r="V85">
            <v>534.601</v>
          </cell>
          <cell r="W85">
            <v>554.09</v>
          </cell>
          <cell r="X85">
            <v>554.09</v>
          </cell>
          <cell r="Y85">
            <v>549.93799999999999</v>
          </cell>
          <cell r="Z85">
            <v>555.62900000000002</v>
          </cell>
          <cell r="AA85">
            <v>586.70799999999997</v>
          </cell>
          <cell r="AB85">
            <v>623.20000000000005</v>
          </cell>
          <cell r="AC85">
            <v>623.20000000000005</v>
          </cell>
          <cell r="AD85">
            <v>613.83199999999999</v>
          </cell>
          <cell r="AE85">
            <v>573.255</v>
          </cell>
          <cell r="AF85">
            <v>569.35699999999997</v>
          </cell>
          <cell r="AG85">
            <v>519.84699999999998</v>
          </cell>
          <cell r="AH85">
            <v>519.84699999999998</v>
          </cell>
        </row>
        <row r="86">
          <cell r="A86" t="str">
            <v>Debt/Total Capital</v>
          </cell>
          <cell r="I86">
            <v>0.38989166588287599</v>
          </cell>
          <cell r="N86">
            <v>0.13677544700578526</v>
          </cell>
          <cell r="O86">
            <v>0.1247155844182781</v>
          </cell>
          <cell r="P86">
            <v>0.10764178591543917</v>
          </cell>
          <cell r="Q86">
            <v>2.6861983130674592E-2</v>
          </cell>
          <cell r="R86">
            <v>0.1792067646720486</v>
          </cell>
          <cell r="S86">
            <v>0.1792067646720486</v>
          </cell>
          <cell r="T86">
            <v>0.17073170731707318</v>
          </cell>
          <cell r="U86">
            <v>0.17850096574515489</v>
          </cell>
          <cell r="V86">
            <v>0.17597888931533623</v>
          </cell>
          <cell r="W86">
            <v>0.16254177164681932</v>
          </cell>
          <cell r="X86">
            <v>0.16564019937056723</v>
          </cell>
          <cell r="Y86">
            <v>0.16333535169740362</v>
          </cell>
          <cell r="Z86">
            <v>0.17271686387316845</v>
          </cell>
          <cell r="AA86">
            <v>0.15449099380179881</v>
          </cell>
          <cell r="AB86">
            <v>0.14671632288407693</v>
          </cell>
          <cell r="AC86">
            <v>0.14671632288407693</v>
          </cell>
          <cell r="AD86">
            <v>0.14298000670166425</v>
          </cell>
          <cell r="AE86">
            <v>0.16813472254469466</v>
          </cell>
          <cell r="AF86">
            <v>0.17162024926016348</v>
          </cell>
          <cell r="AG86">
            <v>0.24217681719715328</v>
          </cell>
          <cell r="AH86">
            <v>0.24217681719715328</v>
          </cell>
        </row>
        <row r="87">
          <cell r="A87" t="str">
            <v>Book Value Per Share</v>
          </cell>
          <cell r="I87">
            <v>1.5809601181683899</v>
          </cell>
          <cell r="N87">
            <v>2.7710196910914275</v>
          </cell>
          <cell r="O87">
            <v>3.0897642407380288</v>
          </cell>
          <cell r="P87">
            <v>3.4215666178623723</v>
          </cell>
          <cell r="Q87">
            <v>3.5808244252452774</v>
          </cell>
          <cell r="R87">
            <v>3.8957965594614818</v>
          </cell>
          <cell r="S87">
            <v>3.8957965594614818</v>
          </cell>
          <cell r="T87">
            <v>4.0698152872436726</v>
          </cell>
          <cell r="U87">
            <v>3.9166945492152334</v>
          </cell>
          <cell r="V87">
            <v>4.1124419212898857</v>
          </cell>
          <cell r="W87">
            <v>4.2720894371626841</v>
          </cell>
          <cell r="X87">
            <v>4.2227078478928952</v>
          </cell>
          <cell r="Y87">
            <v>4.267087733455412</v>
          </cell>
          <cell r="Z87">
            <v>4.4066063922594969</v>
          </cell>
          <cell r="AA87">
            <v>4.6245911072225239</v>
          </cell>
          <cell r="AB87">
            <v>4.8860037005676293</v>
          </cell>
          <cell r="AC87">
            <v>4.8937540244687705</v>
          </cell>
          <cell r="AD87">
            <v>4.8319911835320974</v>
          </cell>
          <cell r="AE87">
            <v>4.634198591765629</v>
          </cell>
          <cell r="AF87">
            <v>4.7346987991883713</v>
          </cell>
          <cell r="AG87">
            <v>4.4424532977832465</v>
          </cell>
          <cell r="AH87">
            <v>4.4424532977832465</v>
          </cell>
        </row>
        <row r="88">
          <cell r="A88" t="str">
            <v>Return on Average Equity</v>
          </cell>
          <cell r="I88">
            <v>0.38</v>
          </cell>
          <cell r="N88">
            <v>0.35621681001533895</v>
          </cell>
          <cell r="S88">
            <v>0.31179530740468558</v>
          </cell>
          <cell r="X88">
            <v>0.17223928748844139</v>
          </cell>
          <cell r="AC88">
            <v>0.20735125585030029</v>
          </cell>
          <cell r="AH88">
            <v>0.2401371072230625</v>
          </cell>
        </row>
        <row r="89">
          <cell r="N89" t="str">
            <v>Annual</v>
          </cell>
          <cell r="O89" t="str">
            <v>12/31/93</v>
          </cell>
          <cell r="P89" t="str">
            <v>3/31/94</v>
          </cell>
          <cell r="Q89" t="str">
            <v>6/30/94</v>
          </cell>
          <cell r="R89" t="str">
            <v>9/30/94</v>
          </cell>
          <cell r="S89" t="str">
            <v>Annual</v>
          </cell>
          <cell r="T89" t="str">
            <v>12/31/94</v>
          </cell>
          <cell r="U89" t="str">
            <v>3/31/95</v>
          </cell>
          <cell r="V89" t="str">
            <v>6/30/95</v>
          </cell>
          <cell r="W89" t="str">
            <v>9/30/95</v>
          </cell>
          <cell r="X89" t="str">
            <v>Annual</v>
          </cell>
          <cell r="Y89" t="str">
            <v>12/31/95</v>
          </cell>
          <cell r="Z89" t="str">
            <v>3/31/96</v>
          </cell>
          <cell r="AA89" t="str">
            <v>6/30/96</v>
          </cell>
          <cell r="AB89" t="str">
            <v>9/30/96</v>
          </cell>
          <cell r="AC89" t="str">
            <v>Annual</v>
          </cell>
          <cell r="AD89" t="str">
            <v>12/31/96</v>
          </cell>
          <cell r="AE89" t="str">
            <v>3/31/97</v>
          </cell>
          <cell r="AF89" t="str">
            <v>6/30/97</v>
          </cell>
          <cell r="AG89" t="str">
            <v>9/30/97</v>
          </cell>
          <cell r="AH89" t="str">
            <v>Annual</v>
          </cell>
        </row>
        <row r="90">
          <cell r="E90" t="str">
            <v>1Q/92</v>
          </cell>
          <cell r="F90" t="str">
            <v>2Q/92</v>
          </cell>
          <cell r="G90" t="str">
            <v>3Q/92</v>
          </cell>
          <cell r="H90" t="str">
            <v>4Q/92</v>
          </cell>
          <cell r="I90">
            <v>1992</v>
          </cell>
          <cell r="J90" t="str">
            <v>1Q/93</v>
          </cell>
          <cell r="K90" t="str">
            <v>2Q/93</v>
          </cell>
          <cell r="L90" t="str">
            <v>3Q/93</v>
          </cell>
          <cell r="M90" t="str">
            <v>4Q/93</v>
          </cell>
          <cell r="N90" t="str">
            <v>1993A</v>
          </cell>
          <cell r="O90" t="str">
            <v>1Q94 A</v>
          </cell>
          <cell r="P90" t="str">
            <v>2Q94 A</v>
          </cell>
          <cell r="Q90" t="str">
            <v>3Q94 A</v>
          </cell>
          <cell r="R90" t="str">
            <v>4Q94 A</v>
          </cell>
          <cell r="S90" t="str">
            <v>1994A</v>
          </cell>
          <cell r="T90" t="str">
            <v>1Q95 A</v>
          </cell>
          <cell r="U90" t="str">
            <v>2Q95 A</v>
          </cell>
          <cell r="V90" t="str">
            <v>3Q95 A</v>
          </cell>
          <cell r="W90" t="str">
            <v>4Q95 A</v>
          </cell>
          <cell r="X90" t="str">
            <v>1995A</v>
          </cell>
          <cell r="Y90" t="str">
            <v>1Q96 A</v>
          </cell>
          <cell r="Z90" t="str">
            <v>2Q96 A</v>
          </cell>
          <cell r="AA90" t="str">
            <v>3Q96 A</v>
          </cell>
          <cell r="AB90" t="str">
            <v>4Q96 A</v>
          </cell>
          <cell r="AC90" t="str">
            <v>1996A</v>
          </cell>
          <cell r="AD90" t="str">
            <v>1Q97A</v>
          </cell>
          <cell r="AE90" t="str">
            <v>2Q97A</v>
          </cell>
          <cell r="AF90" t="str">
            <v>3Q97A</v>
          </cell>
          <cell r="AG90" t="str">
            <v>4Q97A</v>
          </cell>
          <cell r="AH90" t="str">
            <v>1997A</v>
          </cell>
        </row>
        <row r="91">
          <cell r="A91" t="str">
            <v>Domestic Units-New Casinos</v>
          </cell>
        </row>
        <row r="92">
          <cell r="A92" t="str">
            <v>Domestic Units-Replacement</v>
          </cell>
        </row>
        <row r="93">
          <cell r="A93" t="str">
            <v>Total Domestic Units Shipped</v>
          </cell>
          <cell r="Y93">
            <v>12300</v>
          </cell>
          <cell r="Z93">
            <v>13063</v>
          </cell>
          <cell r="AA93">
            <v>19785</v>
          </cell>
          <cell r="AB93">
            <v>18700</v>
          </cell>
          <cell r="AC93">
            <v>63848</v>
          </cell>
          <cell r="AD93">
            <v>16900</v>
          </cell>
          <cell r="AE93">
            <v>12900</v>
          </cell>
          <cell r="AF93">
            <v>10000</v>
          </cell>
          <cell r="AG93">
            <v>13200</v>
          </cell>
          <cell r="AH93">
            <v>53000</v>
          </cell>
        </row>
        <row r="94">
          <cell r="A94" t="str">
            <v>Int'l Units Shipped (excl. Pachisuro and Barcrest )</v>
          </cell>
          <cell r="Y94">
            <v>4800</v>
          </cell>
          <cell r="Z94">
            <v>3837</v>
          </cell>
          <cell r="AA94">
            <v>2815</v>
          </cell>
          <cell r="AB94">
            <v>4000</v>
          </cell>
          <cell r="AC94">
            <v>15452</v>
          </cell>
          <cell r="AD94">
            <v>3900</v>
          </cell>
          <cell r="AE94">
            <v>2800</v>
          </cell>
          <cell r="AF94">
            <v>2900</v>
          </cell>
          <cell r="AG94">
            <v>6500</v>
          </cell>
          <cell r="AH94">
            <v>16100</v>
          </cell>
        </row>
        <row r="95">
          <cell r="A95" t="str">
            <v xml:space="preserve">Total Gaming Device Units Shipped </v>
          </cell>
          <cell r="E95">
            <v>7800</v>
          </cell>
          <cell r="F95">
            <v>7200</v>
          </cell>
          <cell r="G95">
            <v>15000</v>
          </cell>
          <cell r="H95">
            <v>16000</v>
          </cell>
          <cell r="I95">
            <v>46000</v>
          </cell>
          <cell r="J95">
            <v>11000</v>
          </cell>
          <cell r="K95">
            <v>13000</v>
          </cell>
          <cell r="L95">
            <v>16000</v>
          </cell>
          <cell r="M95">
            <v>25000</v>
          </cell>
          <cell r="N95">
            <v>65000</v>
          </cell>
          <cell r="O95">
            <v>22000</v>
          </cell>
          <cell r="P95">
            <v>22000</v>
          </cell>
          <cell r="Q95">
            <v>26800</v>
          </cell>
          <cell r="R95">
            <v>23000</v>
          </cell>
          <cell r="S95">
            <v>93800</v>
          </cell>
          <cell r="T95">
            <v>20300</v>
          </cell>
          <cell r="U95">
            <v>17600</v>
          </cell>
          <cell r="V95">
            <v>18100</v>
          </cell>
          <cell r="W95">
            <v>17200</v>
          </cell>
          <cell r="X95">
            <v>73200</v>
          </cell>
          <cell r="Y95">
            <v>17100</v>
          </cell>
          <cell r="Z95">
            <v>16900</v>
          </cell>
          <cell r="AA95">
            <v>22600</v>
          </cell>
          <cell r="AB95">
            <v>22700</v>
          </cell>
          <cell r="AC95">
            <v>79300</v>
          </cell>
          <cell r="AD95">
            <v>20800</v>
          </cell>
          <cell r="AE95">
            <v>15700</v>
          </cell>
          <cell r="AF95">
            <v>12900</v>
          </cell>
          <cell r="AG95">
            <v>19700</v>
          </cell>
          <cell r="AH95">
            <v>69100</v>
          </cell>
        </row>
        <row r="148">
          <cell r="A148" t="str">
            <v>WACC</v>
          </cell>
          <cell r="X148">
            <v>0.13477</v>
          </cell>
        </row>
        <row r="150">
          <cell r="A150" t="str">
            <v>Spread</v>
          </cell>
          <cell r="X150">
            <v>0.12757072872304487</v>
          </cell>
        </row>
        <row r="151">
          <cell r="A151" t="str">
            <v>EVA</v>
          </cell>
          <cell r="X151">
            <v>44.566323796480837</v>
          </cell>
        </row>
        <row r="153">
          <cell r="A153" t="str">
            <v>Cash Return on Assets</v>
          </cell>
        </row>
        <row r="154">
          <cell r="A154" t="str">
            <v>Share Price At Beginning of Year</v>
          </cell>
          <cell r="X154">
            <v>20</v>
          </cell>
        </row>
        <row r="155">
          <cell r="A155" t="str">
            <v>Market Value + Long Term Debt</v>
          </cell>
          <cell r="X155">
            <v>2444.9090000000001</v>
          </cell>
        </row>
        <row r="156">
          <cell r="A156" t="str">
            <v>Value to Assets</v>
          </cell>
          <cell r="X156">
            <v>6.9985315417952396</v>
          </cell>
        </row>
        <row r="160">
          <cell r="A160" t="str">
            <v>Value anlaysis</v>
          </cell>
        </row>
        <row r="162">
          <cell r="A162" t="str">
            <v>!997 Cash Flow</v>
          </cell>
        </row>
        <row r="163">
          <cell r="A163" t="str">
            <v>WACC</v>
          </cell>
        </row>
        <row r="164">
          <cell r="A164" t="str">
            <v>Inlation</v>
          </cell>
        </row>
        <row r="166">
          <cell r="A166" t="str">
            <v>Value of 1997 Cash</v>
          </cell>
        </row>
        <row r="167">
          <cell r="A167" t="str">
            <v>share Price</v>
          </cell>
        </row>
        <row r="168">
          <cell r="A168" t="str">
            <v>total Value</v>
          </cell>
        </row>
        <row r="169">
          <cell r="A169" t="str">
            <v>Current/Total</v>
          </cell>
        </row>
        <row r="171">
          <cell r="A171" t="str">
            <v>Implications for future</v>
          </cell>
        </row>
        <row r="172">
          <cell r="A172" t="str">
            <v>WACC less inflation</v>
          </cell>
        </row>
        <row r="174">
          <cell r="A174" t="str">
            <v>Gross Margin on JV Systems</v>
          </cell>
        </row>
        <row r="175">
          <cell r="A175" t="str">
            <v>Gross Profit from IGT Systems</v>
          </cell>
        </row>
        <row r="176">
          <cell r="A176" t="str">
            <v>Gross Proft from JV games</v>
          </cell>
        </row>
      </sheetData>
      <sheetData sheetId="2"/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 Model"/>
      <sheetName val="Valuation"/>
      <sheetName val="3Q03 Comp"/>
      <sheetName val="ROIC"/>
      <sheetName val="2Q03 Comp"/>
      <sheetName val="Valuation By Property"/>
      <sheetName val="DCF"/>
      <sheetName val="FCF"/>
      <sheetName val="EBITDA Mix"/>
      <sheetName val="Property Portfolio"/>
      <sheetName val="Property Returns"/>
      <sheetName val="Holders"/>
      <sheetName val="Debt"/>
      <sheetName val="Horseshoe Analysis"/>
    </sheetNames>
    <sheetDataSet>
      <sheetData sheetId="0" refreshError="1">
        <row r="61">
          <cell r="D61">
            <v>1.0067773303211873E-2</v>
          </cell>
          <cell r="I61">
            <v>0.17412178476716206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ZR Earnings Model"/>
      <sheetName val="valuation"/>
      <sheetName val="Property Valuation "/>
      <sheetName val="DCF Model (2)"/>
      <sheetName val="DCF Model"/>
      <sheetName val="Chart1"/>
      <sheetName val="EBITDAR Mix"/>
      <sheetName val="96 AC Expansion Return"/>
      <sheetName val="Expansion"/>
      <sheetName val="FCF"/>
      <sheetName val="Sheet1"/>
      <sheetName val="Property Portfolio"/>
      <sheetName val="Qtlry Quickie"/>
      <sheetName val="3Q00 Comp"/>
      <sheetName val="2Q00 Comparison"/>
      <sheetName val="AZRold"/>
      <sheetName val="Prop. Comps"/>
      <sheetName val="AZR bkup 2-99"/>
      <sheetName val="AZR Old(3-98)"/>
      <sheetName val="LV Tro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ps info"/>
      <sheetName val="EPS % cht"/>
      <sheetName val="PE&amp;EPS cht"/>
      <sheetName val="DATA"/>
      <sheetName val="Sheet6"/>
      <sheetName val="Sheet7"/>
      <sheetName val="Sheet8"/>
      <sheetName val="Sheet9"/>
      <sheetName val="Sheet10"/>
      <sheetName val="Sheet11"/>
      <sheetName val="Sheet12"/>
      <sheetName val="Sheet13"/>
      <sheetName val="Sheet14"/>
      <sheetName val="Sheet15"/>
      <sheetName val="Sheet16"/>
      <sheetName val="Industry"/>
      <sheetName val="Industry (2)"/>
    </sheetNames>
    <sheetDataSet>
      <sheetData sheetId="0" refreshError="1"/>
      <sheetData sheetId="1" refreshError="1"/>
      <sheetData sheetId="2" refreshError="1"/>
      <sheetData sheetId="3" refreshError="1">
        <row r="28">
          <cell r="A28" t="str">
            <v>PFE</v>
          </cell>
        </row>
        <row r="29">
          <cell r="A29">
            <v>29586</v>
          </cell>
          <cell r="B29">
            <v>3.359375</v>
          </cell>
          <cell r="C29">
            <v>2</v>
          </cell>
          <cell r="D29">
            <v>0.22</v>
          </cell>
          <cell r="E29">
            <v>15.269886363636363</v>
          </cell>
          <cell r="F29">
            <v>9.0909090909090917</v>
          </cell>
        </row>
        <row r="30">
          <cell r="A30">
            <v>29951</v>
          </cell>
          <cell r="B30">
            <v>3.4296875</v>
          </cell>
          <cell r="C30">
            <v>2.5</v>
          </cell>
          <cell r="D30">
            <v>0.185</v>
          </cell>
          <cell r="E30">
            <v>18.538851351351351</v>
          </cell>
          <cell r="F30">
            <v>13.513513513513514</v>
          </cell>
        </row>
        <row r="31">
          <cell r="A31">
            <v>30316</v>
          </cell>
          <cell r="B31">
            <v>5.0390625</v>
          </cell>
          <cell r="C31">
            <v>3.1171875</v>
          </cell>
          <cell r="D31">
            <v>0.26500000000000001</v>
          </cell>
          <cell r="E31">
            <v>19.015330188679243</v>
          </cell>
          <cell r="F31">
            <v>11.762971698113207</v>
          </cell>
          <cell r="G31">
            <v>1.6805605760376563</v>
          </cell>
          <cell r="H31">
            <v>1.4517082822119796</v>
          </cell>
          <cell r="I31">
            <v>0.43243243243243246</v>
          </cell>
        </row>
        <row r="32">
          <cell r="A32">
            <v>30681</v>
          </cell>
          <cell r="B32">
            <v>5.59375</v>
          </cell>
          <cell r="C32">
            <v>4.1953125</v>
          </cell>
          <cell r="D32">
            <v>0.34</v>
          </cell>
          <cell r="E32">
            <v>16.452205882352938</v>
          </cell>
          <cell r="F32">
            <v>12.339154411764705</v>
          </cell>
          <cell r="G32">
            <v>1.3369501797243655</v>
          </cell>
          <cell r="H32">
            <v>1.2513975451572847</v>
          </cell>
          <cell r="I32">
            <v>0.28301886792452824</v>
          </cell>
        </row>
        <row r="33">
          <cell r="A33">
            <v>31047</v>
          </cell>
          <cell r="B33">
            <v>5.296875</v>
          </cell>
          <cell r="C33">
            <v>3.671875</v>
          </cell>
          <cell r="D33">
            <v>0.38500000000000001</v>
          </cell>
          <cell r="E33">
            <v>13.758116883116882</v>
          </cell>
          <cell r="F33">
            <v>9.5373376623376629</v>
          </cell>
          <cell r="G33">
            <v>1.3434367991025464</v>
          </cell>
          <cell r="H33">
            <v>1.073611816407108</v>
          </cell>
          <cell r="I33">
            <v>0.13235294117647056</v>
          </cell>
        </row>
        <row r="34">
          <cell r="A34">
            <v>31412</v>
          </cell>
          <cell r="B34">
            <v>7.03125</v>
          </cell>
          <cell r="C34">
            <v>4.703125</v>
          </cell>
          <cell r="D34">
            <v>0.43</v>
          </cell>
          <cell r="E34">
            <v>16.351744186046513</v>
          </cell>
          <cell r="F34">
            <v>10.9375</v>
          </cell>
          <cell r="G34">
            <v>1.126775693605035</v>
          </cell>
          <cell r="H34">
            <v>0.97627611803519043</v>
          </cell>
          <cell r="I34">
            <v>0.11688311688311681</v>
          </cell>
        </row>
        <row r="35">
          <cell r="A35">
            <v>31777</v>
          </cell>
          <cell r="B35">
            <v>9.109375</v>
          </cell>
          <cell r="C35">
            <v>5.78125</v>
          </cell>
          <cell r="D35">
            <v>0.49</v>
          </cell>
          <cell r="E35">
            <v>18.590561224489797</v>
          </cell>
          <cell r="F35">
            <v>11.798469387755102</v>
          </cell>
          <cell r="G35">
            <v>1.0598083721677647</v>
          </cell>
          <cell r="H35">
            <v>0.83955888119658884</v>
          </cell>
          <cell r="I35">
            <v>0.13953488372093026</v>
          </cell>
        </row>
        <row r="36">
          <cell r="A36">
            <v>32142</v>
          </cell>
          <cell r="B36">
            <v>9.625</v>
          </cell>
          <cell r="C36">
            <v>5</v>
          </cell>
          <cell r="D36">
            <v>0.51</v>
          </cell>
          <cell r="E36">
            <v>18.872549019607842</v>
          </cell>
          <cell r="F36">
            <v>9.8039215686274517</v>
          </cell>
          <cell r="G36">
            <v>0.98069782891331547</v>
          </cell>
          <cell r="H36">
            <v>0.76620501719801892</v>
          </cell>
          <cell r="I36">
            <v>4.081632653061229E-2</v>
          </cell>
        </row>
        <row r="37">
          <cell r="A37">
            <v>32508</v>
          </cell>
          <cell r="B37">
            <v>7.53125</v>
          </cell>
          <cell r="C37">
            <v>5.921875</v>
          </cell>
          <cell r="D37">
            <v>0.59</v>
          </cell>
          <cell r="E37">
            <v>12.764830508474576</v>
          </cell>
          <cell r="F37">
            <v>10.037076271186441</v>
          </cell>
          <cell r="G37">
            <v>1.0687609270826735</v>
          </cell>
          <cell r="H37">
            <v>0.98248593100885295</v>
          </cell>
          <cell r="I37">
            <v>0.1568627450980391</v>
          </cell>
        </row>
        <row r="38">
          <cell r="A38">
            <v>32873</v>
          </cell>
          <cell r="B38">
            <v>9.46875</v>
          </cell>
          <cell r="C38">
            <v>6.75</v>
          </cell>
          <cell r="D38">
            <v>0.54</v>
          </cell>
          <cell r="E38">
            <v>17.534722222222221</v>
          </cell>
          <cell r="F38">
            <v>12.5</v>
          </cell>
          <cell r="G38">
            <v>1.1145611373602617</v>
          </cell>
          <cell r="H38">
            <v>1.0383749228142822</v>
          </cell>
          <cell r="I38">
            <v>-8.4745762711864292E-2</v>
          </cell>
        </row>
        <row r="39">
          <cell r="A39">
            <v>33238</v>
          </cell>
          <cell r="B39">
            <v>10.21875</v>
          </cell>
          <cell r="C39">
            <v>6.8125</v>
          </cell>
          <cell r="D39">
            <v>0.59499999999999997</v>
          </cell>
          <cell r="E39">
            <v>17.17436974789916</v>
          </cell>
          <cell r="F39">
            <v>11.449579831932773</v>
          </cell>
          <cell r="G39">
            <v>0.99336238086507145</v>
          </cell>
          <cell r="H39">
            <v>0.82696146217235977</v>
          </cell>
          <cell r="I39">
            <v>0.10185185185185164</v>
          </cell>
        </row>
        <row r="40">
          <cell r="A40">
            <v>33603</v>
          </cell>
          <cell r="B40">
            <v>21.53125</v>
          </cell>
          <cell r="C40">
            <v>9.1875</v>
          </cell>
          <cell r="D40">
            <v>0.68</v>
          </cell>
          <cell r="E40">
            <v>31.663602941176467</v>
          </cell>
          <cell r="F40">
            <v>13.511029411764705</v>
          </cell>
          <cell r="G40">
            <v>1.2123708047917434</v>
          </cell>
          <cell r="H40">
            <v>0.69270647438403266</v>
          </cell>
          <cell r="I40">
            <v>0.14285714285714302</v>
          </cell>
        </row>
        <row r="41">
          <cell r="A41">
            <v>33969</v>
          </cell>
          <cell r="B41">
            <v>21.75</v>
          </cell>
          <cell r="C41">
            <v>16.28125</v>
          </cell>
          <cell r="D41">
            <v>0.81499999999999995</v>
          </cell>
          <cell r="E41">
            <v>26.687116564417181</v>
          </cell>
          <cell r="F41">
            <v>19.976993865030675</v>
          </cell>
          <cell r="G41">
            <v>1.1544984028615028</v>
          </cell>
          <cell r="H41">
            <v>0.96669407575015365</v>
          </cell>
          <cell r="I41">
            <v>0.19852941176470562</v>
          </cell>
        </row>
        <row r="42">
          <cell r="A42">
            <v>34334</v>
          </cell>
          <cell r="B42">
            <v>18.90625</v>
          </cell>
          <cell r="C42">
            <v>13.125</v>
          </cell>
          <cell r="D42">
            <v>0.92</v>
          </cell>
          <cell r="E42">
            <v>20.550271739130434</v>
          </cell>
          <cell r="F42">
            <v>14.266304347826086</v>
          </cell>
          <cell r="G42">
            <v>0.95477119304406899</v>
          </cell>
          <cell r="H42">
            <v>0.7275299828235281</v>
          </cell>
          <cell r="I42">
            <v>0.128834355828221</v>
          </cell>
        </row>
        <row r="43">
          <cell r="A43">
            <v>34699</v>
          </cell>
          <cell r="B43">
            <v>19.84375</v>
          </cell>
          <cell r="C43">
            <v>13.28125</v>
          </cell>
          <cell r="D43">
            <v>1.0449999999999999</v>
          </cell>
          <cell r="E43">
            <v>18.989234449760765</v>
          </cell>
          <cell r="F43">
            <v>12.70933014354067</v>
          </cell>
          <cell r="G43">
            <v>1.2049656266982134</v>
          </cell>
          <cell r="H43">
            <v>0.89227160646158066</v>
          </cell>
          <cell r="I43">
            <v>0.13586956521739113</v>
          </cell>
        </row>
        <row r="44">
          <cell r="A44">
            <v>35064</v>
          </cell>
          <cell r="B44">
            <v>33.4375</v>
          </cell>
          <cell r="C44">
            <v>18.625</v>
          </cell>
          <cell r="D44">
            <v>1.25</v>
          </cell>
          <cell r="E44">
            <v>26.75</v>
          </cell>
          <cell r="F44">
            <v>14.9</v>
          </cell>
          <cell r="G44">
            <v>1.4612266563721468</v>
          </cell>
          <cell r="H44">
            <v>1.1021410990830085</v>
          </cell>
          <cell r="I44">
            <v>0.19617224880382778</v>
          </cell>
        </row>
        <row r="45">
          <cell r="A45">
            <v>35430</v>
          </cell>
          <cell r="B45">
            <v>45.625</v>
          </cell>
          <cell r="C45">
            <v>30.125</v>
          </cell>
          <cell r="D45">
            <v>1.4950000000000001</v>
          </cell>
          <cell r="E45">
            <v>30.518394648829428</v>
          </cell>
          <cell r="F45">
            <v>20.1505016722408</v>
          </cell>
          <cell r="G45">
            <v>1.6536524952709712</v>
          </cell>
          <cell r="H45">
            <v>1.3811214720547347</v>
          </cell>
          <cell r="I45">
            <v>0.19600000000000017</v>
          </cell>
        </row>
        <row r="46">
          <cell r="A46">
            <v>35795</v>
          </cell>
          <cell r="B46">
            <v>80</v>
          </cell>
          <cell r="C46">
            <v>39.875</v>
          </cell>
          <cell r="D46">
            <v>1.59</v>
          </cell>
          <cell r="E46">
            <v>50.314465408805027</v>
          </cell>
          <cell r="F46">
            <v>25.078616352201255</v>
          </cell>
          <cell r="G46">
            <v>2.2937860453805241</v>
          </cell>
          <cell r="H46">
            <v>1.5261338969569294</v>
          </cell>
          <cell r="I46">
            <v>6.3545150501672198E-2</v>
          </cell>
        </row>
        <row r="47">
          <cell r="A47">
            <v>36160</v>
          </cell>
          <cell r="B47">
            <v>128.94</v>
          </cell>
          <cell r="C47">
            <v>71.06</v>
          </cell>
          <cell r="D47">
            <v>2</v>
          </cell>
          <cell r="E47">
            <v>64.47</v>
          </cell>
          <cell r="F47">
            <v>35.53</v>
          </cell>
          <cell r="G47">
            <v>2.3580317439866003</v>
          </cell>
          <cell r="H47">
            <v>1.7395601979109401</v>
          </cell>
          <cell r="I47">
            <v>0.25786163522012573</v>
          </cell>
        </row>
        <row r="48">
          <cell r="A48">
            <v>36525</v>
          </cell>
          <cell r="D48">
            <v>2.4900000000000002</v>
          </cell>
          <cell r="E48">
            <v>52.208835341365457</v>
          </cell>
          <cell r="G48">
            <v>2.0168306239354266</v>
          </cell>
          <cell r="I48">
            <v>0.24500000000000011</v>
          </cell>
        </row>
        <row r="49">
          <cell r="A49">
            <v>36891</v>
          </cell>
          <cell r="D49">
            <v>3.0169999999999999</v>
          </cell>
          <cell r="E49">
            <v>43.089161418627775</v>
          </cell>
          <cell r="G49">
            <v>1.7062205236043009</v>
          </cell>
          <cell r="I49">
            <v>0.21164658634538136</v>
          </cell>
        </row>
        <row r="50">
          <cell r="A50">
            <v>37256</v>
          </cell>
          <cell r="D50">
            <v>3.65</v>
          </cell>
          <cell r="E50">
            <v>35.616438356164387</v>
          </cell>
          <cell r="G50">
            <v>1.4525917686169489</v>
          </cell>
          <cell r="I50">
            <v>0.20981107059993365</v>
          </cell>
        </row>
        <row r="51">
          <cell r="A51">
            <v>37621</v>
          </cell>
          <cell r="D51">
            <v>4.0999999999999996</v>
          </cell>
          <cell r="E51">
            <v>31.707317073170735</v>
          </cell>
          <cell r="I51">
            <v>0.12328767123287654</v>
          </cell>
        </row>
        <row r="54">
          <cell r="A54" t="str">
            <v>MRK</v>
          </cell>
        </row>
        <row r="55">
          <cell r="A55">
            <v>29586</v>
          </cell>
          <cell r="B55">
            <v>4.7777777778099999</v>
          </cell>
          <cell r="C55">
            <v>3.2361111111400001</v>
          </cell>
          <cell r="D55">
            <v>0.31</v>
          </cell>
          <cell r="E55">
            <v>15.412186380032258</v>
          </cell>
          <cell r="F55">
            <v>10.439068100451614</v>
          </cell>
        </row>
        <row r="56">
          <cell r="A56">
            <v>29951</v>
          </cell>
          <cell r="B56">
            <v>5.7222222222000001</v>
          </cell>
          <cell r="C56">
            <v>4.2361111111199996</v>
          </cell>
          <cell r="D56">
            <v>0.3</v>
          </cell>
          <cell r="E56">
            <v>19.074074074000002</v>
          </cell>
          <cell r="F56">
            <v>14.1203703704</v>
          </cell>
        </row>
        <row r="57">
          <cell r="A57">
            <v>30316</v>
          </cell>
          <cell r="B57">
            <v>4.9027777778099999</v>
          </cell>
          <cell r="C57">
            <v>3.5555555555799998</v>
          </cell>
          <cell r="D57">
            <v>0.31</v>
          </cell>
          <cell r="E57">
            <v>15.81541218648387</v>
          </cell>
          <cell r="F57">
            <v>11.469534050258064</v>
          </cell>
          <cell r="G57">
            <v>1.397754230437394</v>
          </cell>
          <cell r="H57">
            <v>1.4154941456284118</v>
          </cell>
          <cell r="I57">
            <v>3.3333333333333437E-2</v>
          </cell>
        </row>
        <row r="58">
          <cell r="A58">
            <v>30681</v>
          </cell>
          <cell r="B58">
            <v>5.8125</v>
          </cell>
          <cell r="C58">
            <v>4.5416666666900003</v>
          </cell>
          <cell r="D58">
            <v>0.34</v>
          </cell>
          <cell r="E58">
            <v>17.095588235294116</v>
          </cell>
          <cell r="F58">
            <v>13.357843137323529</v>
          </cell>
          <cell r="G58">
            <v>1.3892331476465474</v>
          </cell>
          <cell r="H58">
            <v>1.354709695074809</v>
          </cell>
          <cell r="I58">
            <v>9.6774193548387233E-2</v>
          </cell>
        </row>
        <row r="59">
          <cell r="A59">
            <v>31047</v>
          </cell>
          <cell r="B59">
            <v>5.4166666666900003</v>
          </cell>
          <cell r="C59">
            <v>4.3472222222500001</v>
          </cell>
          <cell r="D59">
            <v>0.37</v>
          </cell>
          <cell r="E59">
            <v>14.639639639702704</v>
          </cell>
          <cell r="F59">
            <v>11.749249249324325</v>
          </cell>
          <cell r="G59">
            <v>1.4295147209943841</v>
          </cell>
          <cell r="H59">
            <v>1.3226052463046731</v>
          </cell>
          <cell r="I59">
            <v>8.8235294117646967E-2</v>
          </cell>
        </row>
        <row r="60">
          <cell r="A60">
            <v>31412</v>
          </cell>
          <cell r="B60">
            <v>7.6527777777999999</v>
          </cell>
          <cell r="C60">
            <v>5.0138888889300004</v>
          </cell>
          <cell r="D60">
            <v>0.42</v>
          </cell>
          <cell r="E60">
            <v>18.220899470952382</v>
          </cell>
          <cell r="F60">
            <v>11.937830687928573</v>
          </cell>
          <cell r="G60">
            <v>1.255576555375032</v>
          </cell>
          <cell r="H60">
            <v>1.0655651658763221</v>
          </cell>
          <cell r="I60">
            <v>0.13513513513513509</v>
          </cell>
        </row>
        <row r="61">
          <cell r="A61">
            <v>31777</v>
          </cell>
          <cell r="B61">
            <v>14.388888889</v>
          </cell>
          <cell r="C61">
            <v>7.4583333332999997</v>
          </cell>
          <cell r="D61">
            <v>0.54</v>
          </cell>
          <cell r="E61">
            <v>26.646090535185184</v>
          </cell>
          <cell r="F61">
            <v>13.811728394999999</v>
          </cell>
          <cell r="G61">
            <v>1.5190369722420529</v>
          </cell>
          <cell r="H61">
            <v>0.98281894520418689</v>
          </cell>
          <cell r="I61">
            <v>0.28571428571428581</v>
          </cell>
        </row>
        <row r="62">
          <cell r="A62">
            <v>32142</v>
          </cell>
          <cell r="B62">
            <v>24.777777777899999</v>
          </cell>
          <cell r="C62">
            <v>13.5555555556</v>
          </cell>
          <cell r="D62">
            <v>0.74</v>
          </cell>
          <cell r="E62">
            <v>33.483483483648648</v>
          </cell>
          <cell r="F62">
            <v>18.318318318378378</v>
          </cell>
          <cell r="G62">
            <v>1.7399440596366997</v>
          </cell>
          <cell r="H62">
            <v>1.4316299150215328</v>
          </cell>
          <cell r="I62">
            <v>0.37037037037037024</v>
          </cell>
        </row>
        <row r="63">
          <cell r="A63">
            <v>32508</v>
          </cell>
          <cell r="B63">
            <v>19.875</v>
          </cell>
          <cell r="C63">
            <v>16</v>
          </cell>
          <cell r="D63">
            <v>1.02</v>
          </cell>
          <cell r="E63">
            <v>19.485294117647058</v>
          </cell>
          <cell r="F63">
            <v>15.686274509803921</v>
          </cell>
          <cell r="G63">
            <v>1.6314451642604442</v>
          </cell>
          <cell r="H63">
            <v>1.5354614829487003</v>
          </cell>
          <cell r="I63">
            <v>0.37837837837837851</v>
          </cell>
        </row>
        <row r="64">
          <cell r="A64">
            <v>32873</v>
          </cell>
          <cell r="B64">
            <v>26.916666666699999</v>
          </cell>
          <cell r="C64">
            <v>18.75</v>
          </cell>
          <cell r="D64">
            <v>1.26</v>
          </cell>
          <cell r="E64">
            <v>21.362433862460318</v>
          </cell>
          <cell r="F64">
            <v>14.880952380952381</v>
          </cell>
          <cell r="G64">
            <v>1.3578623191619439</v>
          </cell>
          <cell r="H64">
            <v>1.2361606223979551</v>
          </cell>
          <cell r="I64">
            <v>0.23529411764705888</v>
          </cell>
        </row>
        <row r="65">
          <cell r="A65">
            <v>33238</v>
          </cell>
          <cell r="B65">
            <v>30.375</v>
          </cell>
          <cell r="C65">
            <v>22.333333333399999</v>
          </cell>
          <cell r="D65">
            <v>1.52</v>
          </cell>
          <cell r="E65">
            <v>19.983552631578949</v>
          </cell>
          <cell r="F65">
            <v>14.692982456184209</v>
          </cell>
          <cell r="G65">
            <v>1.1558450011055557</v>
          </cell>
          <cell r="H65">
            <v>1.0612206241622253</v>
          </cell>
          <cell r="I65">
            <v>0.20634920634920628</v>
          </cell>
        </row>
        <row r="66">
          <cell r="A66">
            <v>33603</v>
          </cell>
          <cell r="B66">
            <v>55.666666667000001</v>
          </cell>
          <cell r="C66">
            <v>27.333333333399999</v>
          </cell>
          <cell r="D66">
            <v>1.83</v>
          </cell>
          <cell r="E66">
            <v>30.41894353387978</v>
          </cell>
          <cell r="F66">
            <v>14.936247723169398</v>
          </cell>
          <cell r="G66">
            <v>1.164713918425424</v>
          </cell>
          <cell r="H66">
            <v>0.76577699489234097</v>
          </cell>
          <cell r="I66">
            <v>0.20394736842105265</v>
          </cell>
        </row>
        <row r="67">
          <cell r="A67">
            <v>33969</v>
          </cell>
          <cell r="B67">
            <v>56.583333332999999</v>
          </cell>
          <cell r="C67">
            <v>40.5</v>
          </cell>
          <cell r="D67">
            <v>2.12</v>
          </cell>
          <cell r="E67">
            <v>26.69025157216981</v>
          </cell>
          <cell r="F67">
            <v>19.10377358490566</v>
          </cell>
          <cell r="G67">
            <v>1.1546340249109901</v>
          </cell>
          <cell r="H67">
            <v>0.92443862543941469</v>
          </cell>
          <cell r="I67">
            <v>0.15846994535519121</v>
          </cell>
        </row>
        <row r="68">
          <cell r="A68">
            <v>34334</v>
          </cell>
          <cell r="B68">
            <v>44.125</v>
          </cell>
          <cell r="C68">
            <v>28.625</v>
          </cell>
          <cell r="D68">
            <v>2.33</v>
          </cell>
          <cell r="E68">
            <v>18.937768240343345</v>
          </cell>
          <cell r="F68">
            <v>12.285407725321887</v>
          </cell>
          <cell r="G68">
            <v>0.87985384358668273</v>
          </cell>
          <cell r="H68">
            <v>0.62651141132745103</v>
          </cell>
          <cell r="I68">
            <v>9.9056603773584939E-2</v>
          </cell>
        </row>
        <row r="69">
          <cell r="A69">
            <v>34699</v>
          </cell>
          <cell r="B69">
            <v>39.5</v>
          </cell>
          <cell r="C69">
            <v>28.125</v>
          </cell>
          <cell r="D69">
            <v>2.38</v>
          </cell>
          <cell r="E69">
            <v>16.596638655462186</v>
          </cell>
          <cell r="F69">
            <v>11.817226890756302</v>
          </cell>
          <cell r="G69">
            <v>1.0531429874896687</v>
          </cell>
          <cell r="H69">
            <v>0.82964057921613099</v>
          </cell>
          <cell r="I69">
            <v>2.1459227467811148E-2</v>
          </cell>
        </row>
        <row r="70">
          <cell r="A70">
            <v>35064</v>
          </cell>
          <cell r="B70">
            <v>67.25</v>
          </cell>
          <cell r="C70">
            <v>36.375</v>
          </cell>
          <cell r="D70">
            <v>2.7</v>
          </cell>
          <cell r="E70">
            <v>24.907407407407405</v>
          </cell>
          <cell r="F70">
            <v>13.472222222222221</v>
          </cell>
          <cell r="G70">
            <v>1.3605744913953184</v>
          </cell>
          <cell r="H70">
            <v>0.99652951725439798</v>
          </cell>
          <cell r="I70">
            <v>0.13445378151260523</v>
          </cell>
        </row>
        <row r="71">
          <cell r="A71">
            <v>35430</v>
          </cell>
          <cell r="B71">
            <v>84.25</v>
          </cell>
          <cell r="C71">
            <v>56.5</v>
          </cell>
          <cell r="D71">
            <v>3.12</v>
          </cell>
          <cell r="E71">
            <v>27.003205128205128</v>
          </cell>
          <cell r="F71">
            <v>18.108974358974358</v>
          </cell>
          <cell r="G71">
            <v>1.463180421329372</v>
          </cell>
          <cell r="H71">
            <v>1.2411945732608076</v>
          </cell>
          <cell r="I71">
            <v>0.15555555555555545</v>
          </cell>
        </row>
        <row r="72">
          <cell r="A72">
            <v>35795</v>
          </cell>
          <cell r="B72">
            <v>108.25</v>
          </cell>
          <cell r="C72">
            <v>75.25</v>
          </cell>
          <cell r="D72">
            <v>3.74</v>
          </cell>
          <cell r="E72">
            <v>28.943850267379677</v>
          </cell>
          <cell r="F72">
            <v>20.12032085561497</v>
          </cell>
          <cell r="G72">
            <v>1.3195211218776148</v>
          </cell>
          <cell r="H72">
            <v>1.2244018268060564</v>
          </cell>
          <cell r="I72">
            <v>0.19871794871794868</v>
          </cell>
        </row>
        <row r="73">
          <cell r="A73">
            <v>36160</v>
          </cell>
          <cell r="B73">
            <v>161.75</v>
          </cell>
          <cell r="C73">
            <v>101.38</v>
          </cell>
          <cell r="D73">
            <v>4.3</v>
          </cell>
          <cell r="E73">
            <v>37.616279069767444</v>
          </cell>
          <cell r="F73">
            <v>23.576744186046511</v>
          </cell>
          <cell r="G73">
            <v>1.3758396174526195</v>
          </cell>
          <cell r="H73">
            <v>1.1543249586933486</v>
          </cell>
          <cell r="I73">
            <v>0.14973262032085555</v>
          </cell>
        </row>
        <row r="74">
          <cell r="A74">
            <v>36525</v>
          </cell>
          <cell r="D74">
            <v>4.91</v>
          </cell>
          <cell r="E74">
            <v>30.689918533604889</v>
          </cell>
          <cell r="G74">
            <v>1.1855535014322911</v>
          </cell>
          <cell r="I74">
            <v>0.14186046511627914</v>
          </cell>
        </row>
        <row r="75">
          <cell r="A75">
            <v>36891</v>
          </cell>
          <cell r="D75">
            <v>5.55</v>
          </cell>
          <cell r="E75">
            <v>27.150900900900901</v>
          </cell>
          <cell r="G75">
            <v>1.0751061943720441</v>
          </cell>
          <cell r="I75">
            <v>0.13034623217922592</v>
          </cell>
        </row>
        <row r="76">
          <cell r="A76">
            <v>37256</v>
          </cell>
          <cell r="D76">
            <v>6.3</v>
          </cell>
          <cell r="E76">
            <v>23.918650793650794</v>
          </cell>
          <cell r="G76">
            <v>0.97550560535671871</v>
          </cell>
          <cell r="I76">
            <v>0.13513513513513509</v>
          </cell>
        </row>
        <row r="77">
          <cell r="A77">
            <v>37621</v>
          </cell>
          <cell r="D77">
            <v>7.05</v>
          </cell>
          <cell r="E77">
            <v>21.374113475177307</v>
          </cell>
          <cell r="I77">
            <v>0.11904761904761907</v>
          </cell>
        </row>
        <row r="80">
          <cell r="A80" t="str">
            <v>SGP</v>
          </cell>
        </row>
        <row r="81">
          <cell r="A81">
            <v>29586</v>
          </cell>
          <cell r="B81">
            <v>1.42578125</v>
          </cell>
          <cell r="C81">
            <v>0.91015625</v>
          </cell>
          <cell r="D81">
            <v>0.14000000000000001</v>
          </cell>
          <cell r="E81">
            <v>10.184151785714285</v>
          </cell>
          <cell r="F81">
            <v>6.5011160714285712</v>
          </cell>
        </row>
        <row r="82">
          <cell r="A82">
            <v>29951</v>
          </cell>
          <cell r="B82">
            <v>1.328125</v>
          </cell>
          <cell r="C82">
            <v>0.77734375</v>
          </cell>
          <cell r="D82">
            <v>0.10249999999999999</v>
          </cell>
          <cell r="E82">
            <v>12.957317073170733</v>
          </cell>
          <cell r="F82">
            <v>7.5838414634146343</v>
          </cell>
        </row>
        <row r="83">
          <cell r="A83">
            <v>30316</v>
          </cell>
          <cell r="B83">
            <v>1.3671875</v>
          </cell>
          <cell r="C83">
            <v>0.8203125</v>
          </cell>
          <cell r="D83">
            <v>0.105</v>
          </cell>
          <cell r="E83">
            <v>13.020833333333334</v>
          </cell>
          <cell r="F83">
            <v>7.8125</v>
          </cell>
          <cell r="G83">
            <v>1.1507714538759148</v>
          </cell>
          <cell r="H83">
            <v>0.96416715485256788</v>
          </cell>
          <cell r="I83">
            <v>2.4390243902439046E-2</v>
          </cell>
        </row>
        <row r="84">
          <cell r="A84">
            <v>30681</v>
          </cell>
          <cell r="B84">
            <v>1.50390625</v>
          </cell>
          <cell r="C84">
            <v>1.1484375</v>
          </cell>
          <cell r="D84">
            <v>0.1075</v>
          </cell>
          <cell r="E84">
            <v>13.989825581395349</v>
          </cell>
          <cell r="F84">
            <v>10.683139534883722</v>
          </cell>
          <cell r="G84">
            <v>1.1368505815637227</v>
          </cell>
          <cell r="H84">
            <v>1.0834498169323306</v>
          </cell>
          <cell r="I84">
            <v>2.3809523809523725E-2</v>
          </cell>
        </row>
        <row r="85">
          <cell r="A85">
            <v>31047</v>
          </cell>
          <cell r="B85">
            <v>1.25</v>
          </cell>
          <cell r="C85">
            <v>1.03125</v>
          </cell>
          <cell r="D85">
            <v>0.11</v>
          </cell>
          <cell r="E85">
            <v>11.363636363636363</v>
          </cell>
          <cell r="F85">
            <v>9.375</v>
          </cell>
          <cell r="G85">
            <v>1.1096233148929586</v>
          </cell>
          <cell r="H85">
            <v>1.0553375727235828</v>
          </cell>
          <cell r="I85">
            <v>2.3255813953488413E-2</v>
          </cell>
        </row>
        <row r="86">
          <cell r="A86">
            <v>31412</v>
          </cell>
          <cell r="B86">
            <v>2.078125</v>
          </cell>
          <cell r="C86">
            <v>1.1015625</v>
          </cell>
          <cell r="D86">
            <v>0.11749999999999999</v>
          </cell>
          <cell r="E86">
            <v>17.686170212765958</v>
          </cell>
          <cell r="F86">
            <v>9.375</v>
          </cell>
          <cell r="G86">
            <v>1.2187291142746468</v>
          </cell>
          <cell r="H86">
            <v>0.8368081011730204</v>
          </cell>
          <cell r="I86">
            <v>6.8181818181818121E-2</v>
          </cell>
        </row>
        <row r="87">
          <cell r="A87">
            <v>31777</v>
          </cell>
          <cell r="B87">
            <v>2.75</v>
          </cell>
          <cell r="C87">
            <v>1.75</v>
          </cell>
          <cell r="D87">
            <v>0.13500000000000001</v>
          </cell>
          <cell r="E87">
            <v>20.37037037037037</v>
          </cell>
          <cell r="F87">
            <v>12.962962962962962</v>
          </cell>
          <cell r="G87">
            <v>1.1612715077282005</v>
          </cell>
          <cell r="H87">
            <v>0.9224222502516275</v>
          </cell>
          <cell r="I87">
            <v>0.14893617021276606</v>
          </cell>
        </row>
        <row r="88">
          <cell r="A88">
            <v>32142</v>
          </cell>
          <cell r="B88">
            <v>3.453125</v>
          </cell>
          <cell r="C88">
            <v>1.953125</v>
          </cell>
          <cell r="D88">
            <v>0.17</v>
          </cell>
          <cell r="E88">
            <v>20.3125</v>
          </cell>
          <cell r="F88">
            <v>11.488970588235293</v>
          </cell>
          <cell r="G88">
            <v>1.0555237996258575</v>
          </cell>
          <cell r="H88">
            <v>0.89789650452892833</v>
          </cell>
          <cell r="I88">
            <v>0.2592592592592593</v>
          </cell>
        </row>
        <row r="89">
          <cell r="A89">
            <v>32508</v>
          </cell>
          <cell r="B89">
            <v>3.7109375</v>
          </cell>
          <cell r="C89">
            <v>2.828125</v>
          </cell>
          <cell r="D89">
            <v>0.2175</v>
          </cell>
          <cell r="E89">
            <v>17.061781609195403</v>
          </cell>
          <cell r="F89">
            <v>13.00287356321839</v>
          </cell>
          <cell r="G89">
            <v>1.4285317394711654</v>
          </cell>
          <cell r="H89">
            <v>1.2727949846533273</v>
          </cell>
          <cell r="I89">
            <v>0.27941176470588225</v>
          </cell>
        </row>
        <row r="90">
          <cell r="A90">
            <v>32873</v>
          </cell>
          <cell r="B90">
            <v>5.375</v>
          </cell>
          <cell r="C90">
            <v>3.4609375</v>
          </cell>
          <cell r="D90">
            <v>0.26250000000000001</v>
          </cell>
          <cell r="E90">
            <v>20.476190476190474</v>
          </cell>
          <cell r="F90">
            <v>13.184523809523808</v>
          </cell>
          <cell r="G90">
            <v>1.3015299505016014</v>
          </cell>
          <cell r="H90">
            <v>1.0952383114445881</v>
          </cell>
          <cell r="I90">
            <v>0.2068965517241379</v>
          </cell>
        </row>
        <row r="91">
          <cell r="A91">
            <v>33238</v>
          </cell>
          <cell r="B91">
            <v>6.34375</v>
          </cell>
          <cell r="C91">
            <v>4.6171875</v>
          </cell>
          <cell r="D91">
            <v>0.3125</v>
          </cell>
          <cell r="E91">
            <v>20.3</v>
          </cell>
          <cell r="F91">
            <v>14.775</v>
          </cell>
          <cell r="G91">
            <v>1.1741482585716223</v>
          </cell>
          <cell r="H91">
            <v>1.067144452717796</v>
          </cell>
          <cell r="I91">
            <v>0.19047619047619047</v>
          </cell>
        </row>
        <row r="92">
          <cell r="A92">
            <v>33603</v>
          </cell>
          <cell r="B92">
            <v>8.390625</v>
          </cell>
          <cell r="C92">
            <v>5.09375</v>
          </cell>
          <cell r="D92">
            <v>0.3775</v>
          </cell>
          <cell r="E92">
            <v>22.226821192052981</v>
          </cell>
          <cell r="F92">
            <v>13.493377483443709</v>
          </cell>
          <cell r="G92">
            <v>0.851044940988962</v>
          </cell>
          <cell r="H92">
            <v>0.69180146524959396</v>
          </cell>
          <cell r="I92">
            <v>0.20799999999999996</v>
          </cell>
        </row>
        <row r="93">
          <cell r="A93">
            <v>33969</v>
          </cell>
          <cell r="B93">
            <v>8.765625</v>
          </cell>
          <cell r="C93">
            <v>6.234375</v>
          </cell>
          <cell r="D93">
            <v>0.45</v>
          </cell>
          <cell r="E93">
            <v>19.479166666666668</v>
          </cell>
          <cell r="F93">
            <v>13.854166666666666</v>
          </cell>
          <cell r="G93">
            <v>0.84267877915760225</v>
          </cell>
          <cell r="H93">
            <v>0.67040821715251375</v>
          </cell>
          <cell r="I93">
            <v>0.19205298013245042</v>
          </cell>
        </row>
        <row r="94">
          <cell r="A94">
            <v>34334</v>
          </cell>
          <cell r="B94">
            <v>8.875</v>
          </cell>
          <cell r="C94">
            <v>6.46875</v>
          </cell>
          <cell r="D94">
            <v>0.53</v>
          </cell>
          <cell r="E94">
            <v>16.745283018867923</v>
          </cell>
          <cell r="F94">
            <v>12.205188679245282</v>
          </cell>
          <cell r="G94">
            <v>0.77799038614861793</v>
          </cell>
          <cell r="H94">
            <v>0.62242052977948203</v>
          </cell>
          <cell r="I94">
            <v>0.17777777777777781</v>
          </cell>
        </row>
        <row r="95">
          <cell r="A95">
            <v>34699</v>
          </cell>
          <cell r="B95">
            <v>9.484375</v>
          </cell>
          <cell r="C95">
            <v>6.8125</v>
          </cell>
          <cell r="D95">
            <v>0.60250000000000004</v>
          </cell>
          <cell r="E95">
            <v>15.741701244813276</v>
          </cell>
          <cell r="F95">
            <v>11.307053941908713</v>
          </cell>
          <cell r="G95">
            <v>0.99889276505253977</v>
          </cell>
          <cell r="H95">
            <v>0.79382336214015192</v>
          </cell>
          <cell r="I95">
            <v>0.1367924528301887</v>
          </cell>
        </row>
        <row r="96">
          <cell r="A96">
            <v>35064</v>
          </cell>
          <cell r="B96">
            <v>15.1875</v>
          </cell>
          <cell r="C96">
            <v>8.875</v>
          </cell>
          <cell r="D96">
            <v>0.71250000000000002</v>
          </cell>
          <cell r="E96">
            <v>21.315789473684209</v>
          </cell>
          <cell r="F96">
            <v>12.456140350877192</v>
          </cell>
          <cell r="G96">
            <v>1.1643813002080068</v>
          </cell>
          <cell r="H96">
            <v>0.92137075279516767</v>
          </cell>
          <cell r="I96">
            <v>0.18257261410788383</v>
          </cell>
        </row>
        <row r="97">
          <cell r="A97">
            <v>35430</v>
          </cell>
          <cell r="B97">
            <v>18.28125</v>
          </cell>
          <cell r="C97">
            <v>12.625</v>
          </cell>
          <cell r="D97">
            <v>0.81499999999999995</v>
          </cell>
          <cell r="E97">
            <v>22.430981595092025</v>
          </cell>
          <cell r="F97">
            <v>15.490797546012271</v>
          </cell>
          <cell r="G97">
            <v>1.2154324994130681</v>
          </cell>
          <cell r="H97">
            <v>1.0617439435527058</v>
          </cell>
          <cell r="I97">
            <v>0.1438596491228068</v>
          </cell>
        </row>
        <row r="98">
          <cell r="A98">
            <v>35795</v>
          </cell>
          <cell r="B98">
            <v>32</v>
          </cell>
          <cell r="C98">
            <v>15.8125</v>
          </cell>
          <cell r="D98">
            <v>0.97</v>
          </cell>
          <cell r="E98">
            <v>32.989690721649488</v>
          </cell>
          <cell r="F98">
            <v>16.301546391752577</v>
          </cell>
          <cell r="G98">
            <v>1.5039669328474365</v>
          </cell>
          <cell r="H98">
            <v>0.99201415946880389</v>
          </cell>
          <cell r="I98">
            <v>0.19018404907975461</v>
          </cell>
        </row>
        <row r="99">
          <cell r="A99">
            <v>36160</v>
          </cell>
          <cell r="B99">
            <v>57.75</v>
          </cell>
          <cell r="C99">
            <v>30.34</v>
          </cell>
          <cell r="D99">
            <v>1.18</v>
          </cell>
          <cell r="E99">
            <v>48.940677966101696</v>
          </cell>
          <cell r="F99">
            <v>25.711864406779661</v>
          </cell>
          <cell r="G99">
            <v>1.7900367956614451</v>
          </cell>
          <cell r="H99">
            <v>1.2588611296402163</v>
          </cell>
          <cell r="I99">
            <v>0.21649484536082464</v>
          </cell>
        </row>
        <row r="100">
          <cell r="A100">
            <v>36525</v>
          </cell>
          <cell r="D100">
            <v>1.37</v>
          </cell>
          <cell r="E100">
            <v>39.644160583941606</v>
          </cell>
          <cell r="G100">
            <v>1.5314564403346842</v>
          </cell>
          <cell r="I100">
            <v>0.16101694915254261</v>
          </cell>
        </row>
        <row r="101">
          <cell r="A101">
            <v>36891</v>
          </cell>
          <cell r="D101">
            <v>1.62</v>
          </cell>
          <cell r="E101">
            <v>33.526234567901234</v>
          </cell>
          <cell r="G101">
            <v>1.3275530926019761</v>
          </cell>
          <cell r="I101">
            <v>0.18248175182481741</v>
          </cell>
        </row>
        <row r="102">
          <cell r="A102">
            <v>37256</v>
          </cell>
          <cell r="D102">
            <v>1.88</v>
          </cell>
          <cell r="E102">
            <v>28.889627659574469</v>
          </cell>
          <cell r="G102">
            <v>1.1782434536844488</v>
          </cell>
          <cell r="I102">
            <v>0.16049382716049365</v>
          </cell>
        </row>
        <row r="103">
          <cell r="A103">
            <v>37621</v>
          </cell>
          <cell r="D103">
            <v>2.17</v>
          </cell>
          <cell r="E103">
            <v>25.028801843317972</v>
          </cell>
          <cell r="I103">
            <v>0.1542553191489362</v>
          </cell>
        </row>
        <row r="106">
          <cell r="A106" t="str">
            <v>AHP</v>
          </cell>
        </row>
        <row r="107">
          <cell r="A107">
            <v>29586</v>
          </cell>
          <cell r="B107">
            <v>3.984375</v>
          </cell>
          <cell r="C107">
            <v>2.671875</v>
          </cell>
          <cell r="D107">
            <v>0.35499999999999998</v>
          </cell>
          <cell r="E107">
            <v>11.223591549295776</v>
          </cell>
          <cell r="F107">
            <v>7.5264084507042259</v>
          </cell>
        </row>
        <row r="108">
          <cell r="A108">
            <v>29951</v>
          </cell>
          <cell r="B108">
            <v>4.65625</v>
          </cell>
          <cell r="C108">
            <v>3.515625</v>
          </cell>
          <cell r="D108">
            <v>0.4</v>
          </cell>
          <cell r="E108">
            <v>11.640625</v>
          </cell>
          <cell r="F108">
            <v>8.7890625</v>
          </cell>
        </row>
        <row r="109">
          <cell r="A109">
            <v>30316</v>
          </cell>
          <cell r="B109">
            <v>6</v>
          </cell>
          <cell r="C109">
            <v>4.15625</v>
          </cell>
          <cell r="D109">
            <v>0.45</v>
          </cell>
          <cell r="E109">
            <v>13.333333333333332</v>
          </cell>
          <cell r="F109">
            <v>9.2361111111111107</v>
          </cell>
          <cell r="G109">
            <v>1.1783899687689365</v>
          </cell>
          <cell r="H109">
            <v>1.1398598364034802</v>
          </cell>
          <cell r="I109">
            <v>0.125</v>
          </cell>
        </row>
        <row r="110">
          <cell r="A110">
            <v>30681</v>
          </cell>
          <cell r="B110">
            <v>6.78125</v>
          </cell>
          <cell r="C110">
            <v>5.21875</v>
          </cell>
          <cell r="D110">
            <v>0.5</v>
          </cell>
          <cell r="E110">
            <v>13.5625</v>
          </cell>
          <cell r="F110">
            <v>10.4375</v>
          </cell>
          <cell r="G110">
            <v>1.1021249637995945</v>
          </cell>
          <cell r="H110">
            <v>1.0585378415498046</v>
          </cell>
          <cell r="I110">
            <v>0.11111111111111116</v>
          </cell>
        </row>
        <row r="111">
          <cell r="A111">
            <v>31047</v>
          </cell>
          <cell r="B111">
            <v>6.96875</v>
          </cell>
          <cell r="C111">
            <v>5.84375</v>
          </cell>
          <cell r="D111">
            <v>0.53500000000000003</v>
          </cell>
          <cell r="E111">
            <v>13.025700934579438</v>
          </cell>
          <cell r="F111">
            <v>10.922897196261681</v>
          </cell>
          <cell r="G111">
            <v>1.2719186875852466</v>
          </cell>
          <cell r="H111">
            <v>1.2295833401826166</v>
          </cell>
          <cell r="I111">
            <v>7.0000000000000062E-2</v>
          </cell>
        </row>
        <row r="112">
          <cell r="A112">
            <v>31412</v>
          </cell>
          <cell r="B112">
            <v>8.359375</v>
          </cell>
          <cell r="C112">
            <v>6.265625</v>
          </cell>
          <cell r="D112">
            <v>0.59</v>
          </cell>
          <cell r="E112">
            <v>14.16843220338983</v>
          </cell>
          <cell r="F112">
            <v>10.619703389830509</v>
          </cell>
          <cell r="G112">
            <v>0.97632673564534189</v>
          </cell>
          <cell r="H112">
            <v>0.94790974172424058</v>
          </cell>
          <cell r="I112">
            <v>0.10280373831775691</v>
          </cell>
        </row>
        <row r="113">
          <cell r="A113">
            <v>31777</v>
          </cell>
          <cell r="B113">
            <v>11.859375</v>
          </cell>
          <cell r="C113">
            <v>7.65625</v>
          </cell>
          <cell r="D113">
            <v>0.63500000000000001</v>
          </cell>
          <cell r="E113">
            <v>18.676181102362204</v>
          </cell>
          <cell r="F113">
            <v>12.057086614173228</v>
          </cell>
          <cell r="G113">
            <v>1.0646893793787586</v>
          </cell>
          <cell r="H113">
            <v>0.85796164024388588</v>
          </cell>
          <cell r="I113">
            <v>7.6271186440677985E-2</v>
          </cell>
        </row>
        <row r="114">
          <cell r="A114">
            <v>32142</v>
          </cell>
          <cell r="B114">
            <v>12.09375</v>
          </cell>
          <cell r="C114">
            <v>7.75</v>
          </cell>
          <cell r="D114">
            <v>0.71499999999999997</v>
          </cell>
          <cell r="E114">
            <v>16.914335664335667</v>
          </cell>
          <cell r="F114">
            <v>10.83916083916084</v>
          </cell>
          <cell r="G114">
            <v>0.87894074331405458</v>
          </cell>
          <cell r="H114">
            <v>0.84711198055249515</v>
          </cell>
          <cell r="I114">
            <v>0.12598425196850394</v>
          </cell>
        </row>
        <row r="115">
          <cell r="A115">
            <v>32508</v>
          </cell>
          <cell r="B115">
            <v>10.71875</v>
          </cell>
          <cell r="C115">
            <v>8.796875</v>
          </cell>
          <cell r="D115">
            <v>0.8</v>
          </cell>
          <cell r="E115">
            <v>13.3984375</v>
          </cell>
          <cell r="F115">
            <v>10.99609375</v>
          </cell>
          <cell r="G115">
            <v>1.1218109378305012</v>
          </cell>
          <cell r="H115">
            <v>1.0763599990211434</v>
          </cell>
          <cell r="I115">
            <v>0.11888111888111896</v>
          </cell>
        </row>
        <row r="116">
          <cell r="A116">
            <v>32873</v>
          </cell>
          <cell r="B116">
            <v>13.671875</v>
          </cell>
          <cell r="C116">
            <v>9.96875</v>
          </cell>
          <cell r="D116">
            <v>0.88500000000000001</v>
          </cell>
          <cell r="E116">
            <v>15.448446327683616</v>
          </cell>
          <cell r="F116">
            <v>11.264124293785311</v>
          </cell>
          <cell r="G116">
            <v>0.98195099364681571</v>
          </cell>
          <cell r="H116">
            <v>0.93571073553038431</v>
          </cell>
          <cell r="I116">
            <v>0.10624999999999996</v>
          </cell>
        </row>
        <row r="117">
          <cell r="A117">
            <v>33238</v>
          </cell>
          <cell r="B117">
            <v>13.78125</v>
          </cell>
          <cell r="C117">
            <v>10.75</v>
          </cell>
          <cell r="D117">
            <v>0.92500000000000004</v>
          </cell>
          <cell r="E117">
            <v>14.898648648648647</v>
          </cell>
          <cell r="F117">
            <v>11.621621621621621</v>
          </cell>
          <cell r="G117">
            <v>0.86173509191533315</v>
          </cell>
          <cell r="H117">
            <v>0.83938741421987884</v>
          </cell>
          <cell r="I117">
            <v>4.5197740112994378E-2</v>
          </cell>
        </row>
        <row r="118">
          <cell r="A118">
            <v>33603</v>
          </cell>
          <cell r="B118">
            <v>21.5625</v>
          </cell>
          <cell r="C118">
            <v>11.625</v>
          </cell>
          <cell r="D118">
            <v>1.0900000000000001</v>
          </cell>
          <cell r="E118">
            <v>19.782110091743117</v>
          </cell>
          <cell r="F118">
            <v>10.665137614678898</v>
          </cell>
          <cell r="G118">
            <v>0.75743915741239931</v>
          </cell>
          <cell r="H118">
            <v>0.54679844523555166</v>
          </cell>
          <cell r="I118">
            <v>0.17837837837837833</v>
          </cell>
        </row>
        <row r="119">
          <cell r="A119">
            <v>33969</v>
          </cell>
          <cell r="B119">
            <v>21.0625</v>
          </cell>
          <cell r="C119">
            <v>15.5625</v>
          </cell>
          <cell r="D119">
            <v>1.165</v>
          </cell>
          <cell r="E119">
            <v>18.079399141630901</v>
          </cell>
          <cell r="F119">
            <v>13.358369098712446</v>
          </cell>
          <cell r="G119">
            <v>0.78212411533206561</v>
          </cell>
          <cell r="H119">
            <v>0.64641639060689637</v>
          </cell>
          <cell r="I119">
            <v>6.8807339449541205E-2</v>
          </cell>
        </row>
        <row r="120">
          <cell r="A120">
            <v>34334</v>
          </cell>
          <cell r="B120">
            <v>17.25</v>
          </cell>
          <cell r="C120">
            <v>13.875</v>
          </cell>
          <cell r="D120">
            <v>1.1850000000000001</v>
          </cell>
          <cell r="E120">
            <v>14.556962025316455</v>
          </cell>
          <cell r="F120">
            <v>11.708860759493671</v>
          </cell>
          <cell r="G120">
            <v>0.67632039986818704</v>
          </cell>
          <cell r="H120">
            <v>0.59710959892255333</v>
          </cell>
          <cell r="I120">
            <v>1.7167381974249052E-2</v>
          </cell>
        </row>
        <row r="121">
          <cell r="A121">
            <v>34699</v>
          </cell>
          <cell r="B121">
            <v>16.8125</v>
          </cell>
          <cell r="C121">
            <v>13.84375</v>
          </cell>
          <cell r="D121">
            <v>1.2450000000000001</v>
          </cell>
          <cell r="E121">
            <v>13.504016064257026</v>
          </cell>
          <cell r="F121">
            <v>11.119477911646586</v>
          </cell>
          <cell r="G121">
            <v>0.85690000946906042</v>
          </cell>
          <cell r="H121">
            <v>0.78065439383376667</v>
          </cell>
          <cell r="I121">
            <v>5.0632911392405111E-2</v>
          </cell>
        </row>
        <row r="122">
          <cell r="A122">
            <v>35064</v>
          </cell>
          <cell r="B122">
            <v>24.96875</v>
          </cell>
          <cell r="C122">
            <v>15.4375</v>
          </cell>
          <cell r="D122">
            <v>1.355</v>
          </cell>
          <cell r="E122">
            <v>18.427121771217713</v>
          </cell>
          <cell r="F122">
            <v>11.392988929889299</v>
          </cell>
          <cell r="G122">
            <v>1.0065869731707981</v>
          </cell>
          <cell r="H122">
            <v>0.84273029134421074</v>
          </cell>
          <cell r="I122">
            <v>8.8353413654618462E-2</v>
          </cell>
        </row>
        <row r="123">
          <cell r="A123">
            <v>35430</v>
          </cell>
          <cell r="B123">
            <v>33.25</v>
          </cell>
          <cell r="C123">
            <v>23.5</v>
          </cell>
          <cell r="D123">
            <v>1.46</v>
          </cell>
          <cell r="E123">
            <v>22.773972602739725</v>
          </cell>
          <cell r="F123">
            <v>16.095890410958905</v>
          </cell>
          <cell r="G123">
            <v>1.2340176164278611</v>
          </cell>
          <cell r="H123">
            <v>1.1032171913138857</v>
          </cell>
          <cell r="I123">
            <v>7.7490774907749138E-2</v>
          </cell>
        </row>
        <row r="124">
          <cell r="A124">
            <v>35795</v>
          </cell>
          <cell r="B124">
            <v>42.4375</v>
          </cell>
          <cell r="C124">
            <v>28.5</v>
          </cell>
          <cell r="D124">
            <v>1.65</v>
          </cell>
          <cell r="E124">
            <v>25.719696969696972</v>
          </cell>
          <cell r="F124">
            <v>17.272727272727273</v>
          </cell>
          <cell r="G124">
            <v>1.1725352047600701</v>
          </cell>
          <cell r="H124">
            <v>1.0511143921816777</v>
          </cell>
          <cell r="I124">
            <v>0.13013698630136994</v>
          </cell>
        </row>
        <row r="125">
          <cell r="A125">
            <v>36160</v>
          </cell>
          <cell r="B125">
            <v>58.75</v>
          </cell>
          <cell r="C125">
            <v>37.75</v>
          </cell>
          <cell r="D125">
            <v>1.78</v>
          </cell>
          <cell r="E125">
            <v>33.00561797752809</v>
          </cell>
          <cell r="F125">
            <v>21.207865168539325</v>
          </cell>
          <cell r="G125">
            <v>1.2072017205042043</v>
          </cell>
          <cell r="H125">
            <v>1.0383438820673458</v>
          </cell>
          <cell r="I125">
            <v>7.8787878787878851E-2</v>
          </cell>
        </row>
        <row r="126">
          <cell r="A126">
            <v>36525</v>
          </cell>
          <cell r="D126">
            <v>1.9</v>
          </cell>
          <cell r="E126">
            <v>30.723684210526319</v>
          </cell>
          <cell r="G126">
            <v>1.1868578716755225</v>
          </cell>
          <cell r="I126">
            <v>6.7415730337078594E-2</v>
          </cell>
        </row>
        <row r="127">
          <cell r="A127">
            <v>36891</v>
          </cell>
          <cell r="D127">
            <v>2.1800000000000002</v>
          </cell>
          <cell r="E127">
            <v>26.777522935779814</v>
          </cell>
          <cell r="G127">
            <v>1.0603213824570041</v>
          </cell>
          <cell r="I127">
            <v>0.14736842105263182</v>
          </cell>
        </row>
        <row r="128">
          <cell r="A128">
            <v>37256</v>
          </cell>
          <cell r="D128">
            <v>2.5499999999999998</v>
          </cell>
          <cell r="E128">
            <v>22.8921568627451</v>
          </cell>
          <cell r="G128">
            <v>0.93364076138613128</v>
          </cell>
          <cell r="I128">
            <v>0.16972477064220159</v>
          </cell>
        </row>
        <row r="129">
          <cell r="A129">
            <v>37621</v>
          </cell>
          <cell r="D129">
            <v>2.9</v>
          </cell>
          <cell r="E129">
            <v>20.129310344827587</v>
          </cell>
          <cell r="I129">
            <v>0.13725490196078427</v>
          </cell>
        </row>
        <row r="158">
          <cell r="A158" t="str">
            <v>JNJ</v>
          </cell>
        </row>
        <row r="159">
          <cell r="A159">
            <v>29586</v>
          </cell>
          <cell r="B159">
            <v>4.2239583333099997</v>
          </cell>
          <cell r="C159">
            <v>2.75</v>
          </cell>
          <cell r="D159">
            <v>0.27</v>
          </cell>
          <cell r="E159">
            <v>15.644290123370368</v>
          </cell>
          <cell r="F159">
            <v>10.185185185185185</v>
          </cell>
        </row>
        <row r="160">
          <cell r="A160">
            <v>29951</v>
          </cell>
          <cell r="B160">
            <v>4.921875</v>
          </cell>
          <cell r="C160">
            <v>3.53125</v>
          </cell>
          <cell r="D160">
            <v>0.31</v>
          </cell>
          <cell r="E160">
            <v>15.877016129032258</v>
          </cell>
          <cell r="F160">
            <v>11.391129032258064</v>
          </cell>
        </row>
        <row r="161">
          <cell r="A161">
            <v>30316</v>
          </cell>
          <cell r="B161">
            <v>6.40625</v>
          </cell>
          <cell r="C161">
            <v>4.0625</v>
          </cell>
          <cell r="D161">
            <v>0.35</v>
          </cell>
          <cell r="E161">
            <v>18.303571428571431</v>
          </cell>
          <cell r="F161">
            <v>11.607142857142858</v>
          </cell>
          <cell r="G161">
            <v>1.6176558723055716</v>
          </cell>
          <cell r="H161">
            <v>1.432476915780958</v>
          </cell>
          <cell r="I161">
            <v>0.12903225806451601</v>
          </cell>
        </row>
        <row r="162">
          <cell r="A162">
            <v>30681</v>
          </cell>
          <cell r="B162">
            <v>6.4375</v>
          </cell>
          <cell r="C162">
            <v>4.875</v>
          </cell>
          <cell r="D162">
            <v>0.36</v>
          </cell>
          <cell r="E162">
            <v>17.881944444444446</v>
          </cell>
          <cell r="F162">
            <v>13.541666666666668</v>
          </cell>
          <cell r="G162">
            <v>1.4531345528847701</v>
          </cell>
          <cell r="H162">
            <v>1.3733524890366728</v>
          </cell>
          <cell r="I162">
            <v>2.8571428571428692E-2</v>
          </cell>
        </row>
        <row r="163">
          <cell r="A163">
            <v>31047</v>
          </cell>
          <cell r="B163">
            <v>5.359375</v>
          </cell>
          <cell r="C163">
            <v>3.5</v>
          </cell>
          <cell r="D163">
            <v>0.34</v>
          </cell>
          <cell r="E163">
            <v>15.762867647058822</v>
          </cell>
          <cell r="F163">
            <v>10.294117647058822</v>
          </cell>
          <cell r="G163">
            <v>1.5391943996658577</v>
          </cell>
          <cell r="H163">
            <v>1.1588020406376593</v>
          </cell>
          <cell r="I163">
            <v>-5.5555555555555469E-2</v>
          </cell>
        </row>
        <row r="164">
          <cell r="A164">
            <v>31412</v>
          </cell>
          <cell r="B164">
            <v>6.90625</v>
          </cell>
          <cell r="C164">
            <v>4.390625</v>
          </cell>
          <cell r="D164">
            <v>0.42</v>
          </cell>
          <cell r="E164">
            <v>16.443452380952383</v>
          </cell>
          <cell r="F164">
            <v>10.453869047619047</v>
          </cell>
          <cell r="G164">
            <v>1.1330951763310739</v>
          </cell>
          <cell r="H164">
            <v>0.93310744614928065</v>
          </cell>
          <cell r="I164">
            <v>0.23529411764705865</v>
          </cell>
        </row>
        <row r="165">
          <cell r="A165">
            <v>31777</v>
          </cell>
          <cell r="B165">
            <v>9.28125</v>
          </cell>
          <cell r="C165">
            <v>5.71875</v>
          </cell>
          <cell r="D165">
            <v>0.23</v>
          </cell>
          <cell r="E165">
            <v>40.353260869565219</v>
          </cell>
          <cell r="F165">
            <v>24.864130434782609</v>
          </cell>
          <cell r="G165">
            <v>2.3004536117767889</v>
          </cell>
          <cell r="H165">
            <v>1.769288951278452</v>
          </cell>
          <cell r="I165">
            <v>-0.45238095238095233</v>
          </cell>
        </row>
        <row r="166">
          <cell r="A166">
            <v>32142</v>
          </cell>
          <cell r="B166">
            <v>13.171875</v>
          </cell>
          <cell r="C166">
            <v>6.875</v>
          </cell>
          <cell r="D166">
            <v>0.6</v>
          </cell>
          <cell r="E166">
            <v>21.953125</v>
          </cell>
          <cell r="F166">
            <v>11.458333333333334</v>
          </cell>
          <cell r="G166">
            <v>1.1407776449802536</v>
          </cell>
          <cell r="H166">
            <v>0.89550211385018463</v>
          </cell>
          <cell r="I166">
            <v>1.6086956521739126</v>
          </cell>
        </row>
        <row r="167">
          <cell r="A167">
            <v>32508</v>
          </cell>
          <cell r="B167">
            <v>11.015625</v>
          </cell>
          <cell r="C167">
            <v>8.65625</v>
          </cell>
          <cell r="D167">
            <v>0.72</v>
          </cell>
          <cell r="E167">
            <v>15.299479166666668</v>
          </cell>
          <cell r="F167">
            <v>12.022569444444445</v>
          </cell>
          <cell r="G167">
            <v>1.280979447959999</v>
          </cell>
          <cell r="H167">
            <v>1.1768372596363004</v>
          </cell>
          <cell r="I167">
            <v>0.19999999999999996</v>
          </cell>
        </row>
        <row r="168">
          <cell r="A168">
            <v>32873</v>
          </cell>
          <cell r="B168">
            <v>14.875</v>
          </cell>
          <cell r="C168">
            <v>10.375</v>
          </cell>
          <cell r="D168">
            <v>0.81</v>
          </cell>
          <cell r="E168">
            <v>18.364197530864196</v>
          </cell>
          <cell r="F168">
            <v>12.808641975308641</v>
          </cell>
          <cell r="G168">
            <v>1.1672851515588221</v>
          </cell>
          <cell r="H168">
            <v>1.0640138097973508</v>
          </cell>
          <cell r="I168">
            <v>0.12500000000000022</v>
          </cell>
        </row>
        <row r="169">
          <cell r="A169">
            <v>33238</v>
          </cell>
          <cell r="B169">
            <v>18.53125</v>
          </cell>
          <cell r="C169">
            <v>12.78125</v>
          </cell>
          <cell r="D169">
            <v>0.95</v>
          </cell>
          <cell r="E169">
            <v>19.506578947368421</v>
          </cell>
          <cell r="F169">
            <v>13.453947368421053</v>
          </cell>
          <cell r="G169">
            <v>1.1282569311203201</v>
          </cell>
          <cell r="H169">
            <v>0.97172963122624145</v>
          </cell>
          <cell r="I169">
            <v>0.17283950617283939</v>
          </cell>
        </row>
        <row r="170">
          <cell r="A170">
            <v>33603</v>
          </cell>
          <cell r="B170">
            <v>29.0625</v>
          </cell>
          <cell r="C170">
            <v>16.34375</v>
          </cell>
          <cell r="D170">
            <v>1.1000000000000001</v>
          </cell>
          <cell r="E170">
            <v>26.420454545454543</v>
          </cell>
          <cell r="F170">
            <v>14.857954545454545</v>
          </cell>
          <cell r="G170">
            <v>1.0116153805915009</v>
          </cell>
          <cell r="H170">
            <v>0.76176292687055469</v>
          </cell>
          <cell r="I170">
            <v>0.15789473684210531</v>
          </cell>
        </row>
        <row r="171">
          <cell r="A171">
            <v>33969</v>
          </cell>
          <cell r="B171">
            <v>29.34375</v>
          </cell>
          <cell r="C171">
            <v>21.5</v>
          </cell>
          <cell r="D171">
            <v>1.23</v>
          </cell>
          <cell r="E171">
            <v>23.85670731707317</v>
          </cell>
          <cell r="F171">
            <v>17.479674796747968</v>
          </cell>
          <cell r="G171">
            <v>1.0320534415403526</v>
          </cell>
          <cell r="H171">
            <v>0.84584788813667611</v>
          </cell>
          <cell r="I171">
            <v>0.11818181818181817</v>
          </cell>
        </row>
        <row r="172">
          <cell r="A172">
            <v>34334</v>
          </cell>
          <cell r="B172">
            <v>25.1875</v>
          </cell>
          <cell r="C172">
            <v>17.8125</v>
          </cell>
          <cell r="D172">
            <v>1.37</v>
          </cell>
          <cell r="E172">
            <v>18.385036496350363</v>
          </cell>
          <cell r="F172">
            <v>13.001824817518248</v>
          </cell>
          <cell r="G172">
            <v>0.85417377699950292</v>
          </cell>
          <cell r="H172">
            <v>0.66304609487775146</v>
          </cell>
          <cell r="I172">
            <v>0.11382113821138229</v>
          </cell>
        </row>
        <row r="173">
          <cell r="A173">
            <v>34699</v>
          </cell>
          <cell r="B173">
            <v>28.25</v>
          </cell>
          <cell r="C173">
            <v>18</v>
          </cell>
          <cell r="D173">
            <v>1.56</v>
          </cell>
          <cell r="E173">
            <v>18.108974358974358</v>
          </cell>
          <cell r="F173">
            <v>11.538461538461538</v>
          </cell>
          <cell r="G173">
            <v>1.1491085485859762</v>
          </cell>
          <cell r="H173">
            <v>0.81006957068077612</v>
          </cell>
          <cell r="I173">
            <v>0.13868613138686126</v>
          </cell>
        </row>
        <row r="174">
          <cell r="A174">
            <v>35064</v>
          </cell>
          <cell r="B174">
            <v>46.1875</v>
          </cell>
          <cell r="C174">
            <v>26.8125</v>
          </cell>
          <cell r="D174">
            <v>1.86</v>
          </cell>
          <cell r="E174">
            <v>24.831989247311828</v>
          </cell>
          <cell r="F174">
            <v>14.41532258064516</v>
          </cell>
          <cell r="G174">
            <v>1.3564547521091053</v>
          </cell>
          <cell r="H174">
            <v>1.0662898974945212</v>
          </cell>
          <cell r="I174">
            <v>0.19230769230769229</v>
          </cell>
        </row>
        <row r="175">
          <cell r="A175">
            <v>35430</v>
          </cell>
          <cell r="B175">
            <v>54</v>
          </cell>
          <cell r="C175">
            <v>41.56</v>
          </cell>
          <cell r="D175">
            <v>2.12</v>
          </cell>
          <cell r="E175">
            <v>25.471698113207545</v>
          </cell>
          <cell r="F175">
            <v>19.60377358490566</v>
          </cell>
          <cell r="G175">
            <v>1.380195047229005</v>
          </cell>
          <cell r="H175">
            <v>1.3436485637829672</v>
          </cell>
          <cell r="I175">
            <v>0.13978494623655924</v>
          </cell>
        </row>
        <row r="176">
          <cell r="A176">
            <v>35795</v>
          </cell>
          <cell r="B176">
            <v>66.5</v>
          </cell>
          <cell r="C176">
            <v>48</v>
          </cell>
          <cell r="D176">
            <v>2.41</v>
          </cell>
          <cell r="E176">
            <v>27.59336099585062</v>
          </cell>
          <cell r="F176">
            <v>19.91701244813278</v>
          </cell>
          <cell r="G176">
            <v>1.2579536696489093</v>
          </cell>
          <cell r="H176">
            <v>1.2120296987812313</v>
          </cell>
          <cell r="I176">
            <v>0.1367924528301887</v>
          </cell>
        </row>
        <row r="177">
          <cell r="A177">
            <v>36160</v>
          </cell>
          <cell r="B177">
            <v>89.75</v>
          </cell>
          <cell r="C177">
            <v>63.38</v>
          </cell>
          <cell r="D177">
            <v>2.67</v>
          </cell>
          <cell r="E177">
            <v>33.614232209737828</v>
          </cell>
          <cell r="F177">
            <v>23.737827715355806</v>
          </cell>
          <cell r="G177">
            <v>1.2294621777617287</v>
          </cell>
          <cell r="H177">
            <v>1.1622116599634154</v>
          </cell>
          <cell r="I177">
            <v>0.10788381742738573</v>
          </cell>
        </row>
        <row r="178">
          <cell r="A178">
            <v>36525</v>
          </cell>
          <cell r="D178">
            <v>2.98</v>
          </cell>
          <cell r="E178">
            <v>28.39765100671141</v>
          </cell>
          <cell r="G178">
            <v>1.0970030613341077</v>
          </cell>
          <cell r="I178">
            <v>0.11610486891385774</v>
          </cell>
        </row>
        <row r="179">
          <cell r="A179">
            <v>36891</v>
          </cell>
          <cell r="D179">
            <v>3.3540000000000001</v>
          </cell>
          <cell r="E179">
            <v>25.231067382230172</v>
          </cell>
          <cell r="G179">
            <v>0.99908570003855823</v>
          </cell>
          <cell r="I179">
            <v>0.12550335570469806</v>
          </cell>
        </row>
        <row r="180">
          <cell r="A180">
            <v>37256</v>
          </cell>
          <cell r="D180">
            <v>3.83</v>
          </cell>
          <cell r="E180">
            <v>22.095300261096604</v>
          </cell>
          <cell r="G180">
            <v>0.90114151683091759</v>
          </cell>
          <cell r="I180">
            <v>0.14192009540846739</v>
          </cell>
        </row>
        <row r="181">
          <cell r="A181">
            <v>37621</v>
          </cell>
        </row>
        <row r="184">
          <cell r="A184" t="str">
            <v>LLY</v>
          </cell>
        </row>
        <row r="185">
          <cell r="A185">
            <v>29586</v>
          </cell>
          <cell r="B185">
            <v>4.09375</v>
          </cell>
          <cell r="C185">
            <v>2.859375</v>
          </cell>
          <cell r="D185">
            <v>0.28499999999999998</v>
          </cell>
          <cell r="E185">
            <v>14.3640350877193</v>
          </cell>
          <cell r="F185">
            <v>10.032894736842106</v>
          </cell>
        </row>
        <row r="186">
          <cell r="A186">
            <v>29951</v>
          </cell>
          <cell r="B186">
            <v>4.296875</v>
          </cell>
          <cell r="C186">
            <v>2.828125</v>
          </cell>
          <cell r="D186">
            <v>0.31</v>
          </cell>
          <cell r="E186">
            <v>13.860887096774194</v>
          </cell>
          <cell r="F186">
            <v>9.122983870967742</v>
          </cell>
        </row>
        <row r="187">
          <cell r="A187">
            <v>30316</v>
          </cell>
          <cell r="B187">
            <v>4.078125</v>
          </cell>
          <cell r="C187">
            <v>2.8203125</v>
          </cell>
          <cell r="D187">
            <v>0.34</v>
          </cell>
          <cell r="E187">
            <v>11.994485294117647</v>
          </cell>
          <cell r="F187">
            <v>8.2950367647058822</v>
          </cell>
          <cell r="G187">
            <v>1.0600635863351073</v>
          </cell>
          <cell r="H187">
            <v>1.0237186555934619</v>
          </cell>
          <cell r="I187">
            <v>9.6774193548387233E-2</v>
          </cell>
        </row>
        <row r="188">
          <cell r="A188">
            <v>30681</v>
          </cell>
          <cell r="B188">
            <v>4.2734375</v>
          </cell>
          <cell r="C188">
            <v>3.53125</v>
          </cell>
          <cell r="D188">
            <v>0.38500000000000001</v>
          </cell>
          <cell r="E188">
            <v>11.099837662337663</v>
          </cell>
          <cell r="F188">
            <v>9.1720779220779214</v>
          </cell>
          <cell r="G188">
            <v>0.9020024465832458</v>
          </cell>
          <cell r="H188">
            <v>0.93020278478208196</v>
          </cell>
          <cell r="I188">
            <v>0.13235294117647056</v>
          </cell>
        </row>
        <row r="189">
          <cell r="A189">
            <v>31047</v>
          </cell>
          <cell r="B189">
            <v>4.2265625</v>
          </cell>
          <cell r="C189">
            <v>3.3125</v>
          </cell>
          <cell r="D189">
            <v>0.42</v>
          </cell>
          <cell r="E189">
            <v>10.063244047619047</v>
          </cell>
          <cell r="F189">
            <v>7.8869047619047619</v>
          </cell>
          <cell r="G189">
            <v>0.98264409924523766</v>
          </cell>
          <cell r="H189">
            <v>0.88782367229126802</v>
          </cell>
          <cell r="I189">
            <v>9.0909090909090828E-2</v>
          </cell>
        </row>
        <row r="190">
          <cell r="A190">
            <v>31412</v>
          </cell>
          <cell r="B190">
            <v>6.9921875</v>
          </cell>
          <cell r="C190">
            <v>4.0234375</v>
          </cell>
          <cell r="D190">
            <v>0.46</v>
          </cell>
          <cell r="E190">
            <v>15.200407608695652</v>
          </cell>
          <cell r="F190">
            <v>8.7466032608695645</v>
          </cell>
          <cell r="G190">
            <v>1.0474387093813955</v>
          </cell>
          <cell r="H190">
            <v>0.78071770308714761</v>
          </cell>
          <cell r="I190">
            <v>9.5238095238095344E-2</v>
          </cell>
        </row>
        <row r="191">
          <cell r="A191">
            <v>31777</v>
          </cell>
          <cell r="B191">
            <v>10.4375</v>
          </cell>
          <cell r="C191">
            <v>2.453125</v>
          </cell>
          <cell r="D191">
            <v>0.5</v>
          </cell>
          <cell r="E191">
            <v>20.875</v>
          </cell>
          <cell r="F191">
            <v>4.90625</v>
          </cell>
          <cell r="G191">
            <v>1.1900393700787402</v>
          </cell>
          <cell r="H191">
            <v>0.34912034989434371</v>
          </cell>
          <cell r="I191">
            <v>8.6956521739130377E-2</v>
          </cell>
        </row>
        <row r="192">
          <cell r="A192">
            <v>32142</v>
          </cell>
          <cell r="B192">
            <v>13.46875</v>
          </cell>
          <cell r="C192">
            <v>7.21875</v>
          </cell>
          <cell r="D192">
            <v>0.53500000000000003</v>
          </cell>
          <cell r="E192">
            <v>25.175233644859812</v>
          </cell>
          <cell r="F192">
            <v>13.492990654205606</v>
          </cell>
          <cell r="G192">
            <v>1.3082120996081799</v>
          </cell>
          <cell r="H192">
            <v>1.0545165078983481</v>
          </cell>
          <cell r="I192">
            <v>7.0000000000000062E-2</v>
          </cell>
        </row>
        <row r="193">
          <cell r="A193">
            <v>32508</v>
          </cell>
          <cell r="B193">
            <v>11.46875</v>
          </cell>
          <cell r="C193">
            <v>8.84375</v>
          </cell>
          <cell r="D193">
            <v>0.66500000000000004</v>
          </cell>
          <cell r="E193">
            <v>17.246240601503757</v>
          </cell>
          <cell r="F193">
            <v>13.298872180451127</v>
          </cell>
          <cell r="G193">
            <v>1.4439759369869358</v>
          </cell>
          <cell r="H193">
            <v>1.3017690074834698</v>
          </cell>
          <cell r="I193">
            <v>0.2429906542056075</v>
          </cell>
        </row>
        <row r="194">
          <cell r="A194">
            <v>32873</v>
          </cell>
          <cell r="B194">
            <v>17.125</v>
          </cell>
          <cell r="C194">
            <v>10.59375</v>
          </cell>
          <cell r="D194">
            <v>0.8</v>
          </cell>
          <cell r="E194">
            <v>21.40625</v>
          </cell>
          <cell r="F194">
            <v>13.2421875</v>
          </cell>
          <cell r="G194">
            <v>1.360647408282379</v>
          </cell>
          <cell r="H194">
            <v>1.1000284338563802</v>
          </cell>
          <cell r="I194">
            <v>0.20300751879699241</v>
          </cell>
        </row>
        <row r="195">
          <cell r="A195">
            <v>33238</v>
          </cell>
          <cell r="B195">
            <v>22.59375</v>
          </cell>
          <cell r="C195">
            <v>14.6875</v>
          </cell>
          <cell r="D195">
            <v>0.97499999999999998</v>
          </cell>
          <cell r="E195">
            <v>23.173076923076923</v>
          </cell>
          <cell r="F195">
            <v>15.064102564102564</v>
          </cell>
          <cell r="G195">
            <v>1.3403264982747298</v>
          </cell>
          <cell r="H195">
            <v>1.0880252782709969</v>
          </cell>
          <cell r="I195">
            <v>0.21875</v>
          </cell>
        </row>
        <row r="196">
          <cell r="A196">
            <v>33603</v>
          </cell>
          <cell r="B196">
            <v>21.28125</v>
          </cell>
          <cell r="C196">
            <v>16.875</v>
          </cell>
          <cell r="D196">
            <v>1.125</v>
          </cell>
          <cell r="E196">
            <v>18.916666666666668</v>
          </cell>
          <cell r="F196">
            <v>15</v>
          </cell>
          <cell r="G196">
            <v>0.72430210905719805</v>
          </cell>
          <cell r="H196">
            <v>0.76904555523451801</v>
          </cell>
          <cell r="I196">
            <v>0.15384615384615397</v>
          </cell>
        </row>
        <row r="197">
          <cell r="A197">
            <v>33969</v>
          </cell>
          <cell r="B197">
            <v>21.9375</v>
          </cell>
          <cell r="C197">
            <v>14.4375</v>
          </cell>
          <cell r="D197">
            <v>1.2250000000000001</v>
          </cell>
          <cell r="E197">
            <v>17.908163265306122</v>
          </cell>
          <cell r="F197">
            <v>11.785714285714285</v>
          </cell>
          <cell r="G197">
            <v>0.77471636315875159</v>
          </cell>
          <cell r="H197">
            <v>0.5703150461705595</v>
          </cell>
          <cell r="I197">
            <v>8.8888888888889017E-2</v>
          </cell>
        </row>
        <row r="198">
          <cell r="A198">
            <v>34334</v>
          </cell>
          <cell r="B198">
            <v>15.5</v>
          </cell>
          <cell r="C198">
            <v>10.90625</v>
          </cell>
          <cell r="D198">
            <v>1.1499999999999999</v>
          </cell>
          <cell r="E198">
            <v>13.478260869565219</v>
          </cell>
          <cell r="F198">
            <v>9.483695652173914</v>
          </cell>
          <cell r="G198">
            <v>0.62620365190063909</v>
          </cell>
          <cell r="H198">
            <v>0.48363421715316451</v>
          </cell>
          <cell r="I198">
            <v>-6.1224489795918546E-2</v>
          </cell>
        </row>
        <row r="199">
          <cell r="A199">
            <v>34699</v>
          </cell>
          <cell r="B199">
            <v>16.5625</v>
          </cell>
          <cell r="C199">
            <v>11.78125</v>
          </cell>
          <cell r="D199">
            <v>1.1100000000000001</v>
          </cell>
          <cell r="E199">
            <v>14.921171171171169</v>
          </cell>
          <cell r="F199">
            <v>10.613738738738737</v>
          </cell>
          <cell r="G199">
            <v>0.94682586698844484</v>
          </cell>
          <cell r="H199">
            <v>0.74514845456202772</v>
          </cell>
          <cell r="I199">
            <v>-3.4782608695651973E-2</v>
          </cell>
        </row>
        <row r="200">
          <cell r="A200">
            <v>35064</v>
          </cell>
          <cell r="B200">
            <v>28.5</v>
          </cell>
          <cell r="C200">
            <v>15.625</v>
          </cell>
          <cell r="D200">
            <v>1.1499999999999999</v>
          </cell>
          <cell r="E200">
            <v>24.782608695652176</v>
          </cell>
          <cell r="F200">
            <v>13.586956521739131</v>
          </cell>
          <cell r="G200">
            <v>1.3537573248795185</v>
          </cell>
          <cell r="H200">
            <v>1.0050163217491688</v>
          </cell>
          <cell r="I200">
            <v>3.603603603603589E-2</v>
          </cell>
        </row>
        <row r="201">
          <cell r="A201">
            <v>35430</v>
          </cell>
          <cell r="B201">
            <v>40.185000000000002</v>
          </cell>
          <cell r="C201">
            <v>24.6875</v>
          </cell>
          <cell r="D201">
            <v>1.33</v>
          </cell>
          <cell r="E201">
            <v>30.214285714285715</v>
          </cell>
          <cell r="F201">
            <v>18.56203007518797</v>
          </cell>
          <cell r="G201">
            <v>1.6371742203083104</v>
          </cell>
          <cell r="H201">
            <v>1.2722471489176088</v>
          </cell>
          <cell r="I201">
            <v>0.15652173913043499</v>
          </cell>
        </row>
        <row r="202">
          <cell r="A202">
            <v>35795</v>
          </cell>
          <cell r="B202">
            <v>70.25</v>
          </cell>
          <cell r="C202">
            <v>35.5</v>
          </cell>
          <cell r="D202">
            <v>1.57</v>
          </cell>
          <cell r="E202">
            <v>44.745222929936304</v>
          </cell>
          <cell r="F202">
            <v>22.611464968152866</v>
          </cell>
          <cell r="G202">
            <v>2.0398898630883049</v>
          </cell>
          <cell r="H202">
            <v>1.375997888524791</v>
          </cell>
          <cell r="I202">
            <v>0.18045112781954886</v>
          </cell>
        </row>
        <row r="203">
          <cell r="A203">
            <v>36160</v>
          </cell>
          <cell r="B203">
            <v>91.31</v>
          </cell>
          <cell r="C203">
            <v>57.69</v>
          </cell>
          <cell r="D203">
            <v>1.95</v>
          </cell>
          <cell r="E203">
            <v>46.825641025641026</v>
          </cell>
          <cell r="F203">
            <v>29.584615384615383</v>
          </cell>
          <cell r="G203">
            <v>1.7126779582904113</v>
          </cell>
          <cell r="H203">
            <v>1.4484722598812434</v>
          </cell>
          <cell r="I203">
            <v>0.2420382165605095</v>
          </cell>
        </row>
        <row r="204">
          <cell r="A204">
            <v>36525</v>
          </cell>
          <cell r="D204">
            <v>2.31</v>
          </cell>
          <cell r="E204">
            <v>39.04220779220779</v>
          </cell>
          <cell r="G204">
            <v>1.5082029657724907</v>
          </cell>
          <cell r="I204">
            <v>0.18461538461538463</v>
          </cell>
        </row>
        <row r="205">
          <cell r="A205">
            <v>36891</v>
          </cell>
          <cell r="D205">
            <v>2.71</v>
          </cell>
          <cell r="E205">
            <v>33.27952029520295</v>
          </cell>
          <cell r="G205">
            <v>1.3177838387644685</v>
          </cell>
          <cell r="I205">
            <v>0.17316017316017307</v>
          </cell>
        </row>
        <row r="206">
          <cell r="A206">
            <v>37256</v>
          </cell>
          <cell r="D206">
            <v>3.17</v>
          </cell>
          <cell r="E206">
            <v>28.45031545741325</v>
          </cell>
          <cell r="G206">
            <v>1.1603264098090631</v>
          </cell>
          <cell r="I206">
            <v>0.16974169741697409</v>
          </cell>
        </row>
        <row r="207">
          <cell r="A207">
            <v>37621</v>
          </cell>
        </row>
        <row r="210">
          <cell r="A210" t="str">
            <v>WLA</v>
          </cell>
        </row>
        <row r="211">
          <cell r="A211">
            <v>29586</v>
          </cell>
          <cell r="B211">
            <v>1.9375</v>
          </cell>
          <cell r="C211">
            <v>1.4166666666666667</v>
          </cell>
          <cell r="D211">
            <v>0.2</v>
          </cell>
          <cell r="E211">
            <v>9.6875</v>
          </cell>
          <cell r="F211">
            <v>7.083333333333333</v>
          </cell>
        </row>
        <row r="212">
          <cell r="A212">
            <v>29951</v>
          </cell>
          <cell r="B212">
            <v>2.0833333333333335</v>
          </cell>
          <cell r="C212">
            <v>1.4166666666666667</v>
          </cell>
          <cell r="D212">
            <v>0.01</v>
          </cell>
          <cell r="E212">
            <v>208.33333333333334</v>
          </cell>
          <cell r="F212">
            <v>141.66666666666666</v>
          </cell>
        </row>
        <row r="213">
          <cell r="A213">
            <v>30316</v>
          </cell>
          <cell r="B213">
            <v>2.5104166666666665</v>
          </cell>
          <cell r="C213">
            <v>1.6354166666666667</v>
          </cell>
          <cell r="D213">
            <v>0.17</v>
          </cell>
          <cell r="E213">
            <v>14.767156862745097</v>
          </cell>
          <cell r="F213">
            <v>9.6200980392156854</v>
          </cell>
          <cell r="G213">
            <v>1.3051102135722137</v>
          </cell>
          <cell r="H213">
            <v>1.1872489671517894</v>
          </cell>
        </row>
        <row r="214">
          <cell r="A214">
            <v>30681</v>
          </cell>
          <cell r="B214">
            <v>2.9166666666666665</v>
          </cell>
          <cell r="C214">
            <v>2.1458333333333335</v>
          </cell>
          <cell r="D214">
            <v>0.21</v>
          </cell>
          <cell r="E214">
            <v>13.888888888888889</v>
          </cell>
          <cell r="F214">
            <v>10.21825396825397</v>
          </cell>
          <cell r="G214">
            <v>1.1286481964153554</v>
          </cell>
          <cell r="H214">
            <v>1.0363026107749254</v>
          </cell>
          <cell r="I214">
            <v>0.23529411764705865</v>
          </cell>
        </row>
        <row r="215">
          <cell r="A215">
            <v>31047</v>
          </cell>
          <cell r="B215">
            <v>3.0625</v>
          </cell>
          <cell r="C215">
            <v>2.3958333333333335</v>
          </cell>
          <cell r="D215">
            <v>0.23333333333333331</v>
          </cell>
          <cell r="E215">
            <v>13.125000000000002</v>
          </cell>
          <cell r="F215">
            <v>10.267857142857144</v>
          </cell>
          <cell r="G215">
            <v>1.2816149287013674</v>
          </cell>
          <cell r="H215">
            <v>1.1558459129829717</v>
          </cell>
          <cell r="I215">
            <v>0.11111111111111094</v>
          </cell>
        </row>
        <row r="216">
          <cell r="A216">
            <v>31412</v>
          </cell>
          <cell r="B216">
            <v>4.114583333333333</v>
          </cell>
          <cell r="C216">
            <v>2.78125</v>
          </cell>
          <cell r="D216">
            <v>0.25333333333333335</v>
          </cell>
          <cell r="E216">
            <v>16.241776315789473</v>
          </cell>
          <cell r="F216">
            <v>10.97861842105263</v>
          </cell>
          <cell r="G216">
            <v>1.1191979623322525</v>
          </cell>
          <cell r="H216">
            <v>0.97994632900524747</v>
          </cell>
          <cell r="I216">
            <v>8.5714285714285854E-2</v>
          </cell>
        </row>
        <row r="217">
          <cell r="A217">
            <v>31777</v>
          </cell>
          <cell r="B217">
            <v>5.260416666666667</v>
          </cell>
          <cell r="C217">
            <v>3.75</v>
          </cell>
          <cell r="D217">
            <v>0.29666666666666669</v>
          </cell>
          <cell r="E217">
            <v>17.731741573033709</v>
          </cell>
          <cell r="F217">
            <v>12.640449438202246</v>
          </cell>
          <cell r="G217">
            <v>1.0108488896753074</v>
          </cell>
          <cell r="H217">
            <v>0.89947274001262234</v>
          </cell>
          <cell r="I217">
            <v>0.17105263157894735</v>
          </cell>
        </row>
        <row r="218">
          <cell r="A218">
            <v>32142</v>
          </cell>
          <cell r="B218">
            <v>7.291666666666667</v>
          </cell>
          <cell r="C218">
            <v>4.020833333333333</v>
          </cell>
          <cell r="D218">
            <v>0.34666666666666668</v>
          </cell>
          <cell r="E218">
            <v>21.033653846153847</v>
          </cell>
          <cell r="F218">
            <v>11.598557692307692</v>
          </cell>
          <cell r="G218">
            <v>1.0929980173640537</v>
          </cell>
          <cell r="H218">
            <v>0.9064610558028966</v>
          </cell>
          <cell r="I218">
            <v>0.1685393258426966</v>
          </cell>
        </row>
        <row r="219">
          <cell r="A219">
            <v>32508</v>
          </cell>
          <cell r="B219">
            <v>6.625</v>
          </cell>
          <cell r="C219">
            <v>4.989583333333333</v>
          </cell>
          <cell r="D219">
            <v>0.41666666666666669</v>
          </cell>
          <cell r="E219">
            <v>15.899999999999999</v>
          </cell>
          <cell r="F219">
            <v>11.975</v>
          </cell>
          <cell r="G219">
            <v>1.3312592540365222</v>
          </cell>
          <cell r="H219">
            <v>1.1721808927173063</v>
          </cell>
          <cell r="I219">
            <v>0.20192307692307687</v>
          </cell>
        </row>
        <row r="220">
          <cell r="A220">
            <v>32873</v>
          </cell>
          <cell r="B220">
            <v>9.8958333333333339</v>
          </cell>
          <cell r="C220">
            <v>6.208333333333333</v>
          </cell>
          <cell r="D220">
            <v>0.51</v>
          </cell>
          <cell r="E220">
            <v>19.403594771241831</v>
          </cell>
          <cell r="F220">
            <v>12.173202614379084</v>
          </cell>
          <cell r="G220">
            <v>1.2333524525244599</v>
          </cell>
          <cell r="H220">
            <v>1.01122786600868</v>
          </cell>
          <cell r="I220">
            <v>0.22399999999999998</v>
          </cell>
        </row>
        <row r="221">
          <cell r="A221">
            <v>33238</v>
          </cell>
          <cell r="B221">
            <v>11.729166666666666</v>
          </cell>
          <cell r="C221">
            <v>8.2708333333333339</v>
          </cell>
          <cell r="D221">
            <v>0.60333333333333339</v>
          </cell>
          <cell r="E221">
            <v>19.440607734806626</v>
          </cell>
          <cell r="F221">
            <v>13.708563535911601</v>
          </cell>
          <cell r="G221">
            <v>1.1244411683446902</v>
          </cell>
          <cell r="H221">
            <v>0.9901196299206444</v>
          </cell>
          <cell r="I221">
            <v>0.18300653594771243</v>
          </cell>
        </row>
        <row r="222">
          <cell r="A222">
            <v>33603</v>
          </cell>
          <cell r="B222">
            <v>13.708333333333334</v>
          </cell>
          <cell r="C222">
            <v>10.291666666666666</v>
          </cell>
          <cell r="D222">
            <v>0.69333333333333336</v>
          </cell>
          <cell r="E222">
            <v>19.771634615384617</v>
          </cell>
          <cell r="F222">
            <v>14.843749999999998</v>
          </cell>
          <cell r="G222">
            <v>0.75703806086861913</v>
          </cell>
          <cell r="H222">
            <v>0.76103466403415831</v>
          </cell>
          <cell r="I222">
            <v>0.149171270718232</v>
          </cell>
        </row>
        <row r="223">
          <cell r="A223">
            <v>33969</v>
          </cell>
          <cell r="B223">
            <v>13.208333333333334</v>
          </cell>
          <cell r="C223">
            <v>9.7291666666666661</v>
          </cell>
          <cell r="D223">
            <v>0.79666666666666675</v>
          </cell>
          <cell r="E223">
            <v>16.57949790794979</v>
          </cell>
          <cell r="F223">
            <v>12.212343096234308</v>
          </cell>
          <cell r="G223">
            <v>0.71723761571510491</v>
          </cell>
          <cell r="H223">
            <v>0.59095977112069187</v>
          </cell>
          <cell r="I223">
            <v>0.14903846153846168</v>
          </cell>
        </row>
        <row r="224">
          <cell r="A224">
            <v>34334</v>
          </cell>
          <cell r="B224">
            <v>12.729166666666666</v>
          </cell>
          <cell r="C224">
            <v>9.9583333333333339</v>
          </cell>
          <cell r="D224">
            <v>0.79666666666666675</v>
          </cell>
          <cell r="E224">
            <v>15.978033472803345</v>
          </cell>
          <cell r="F224">
            <v>12.5</v>
          </cell>
          <cell r="G224">
            <v>0.74234376435413674</v>
          </cell>
          <cell r="H224">
            <v>0.63745484209299608</v>
          </cell>
          <cell r="I224">
            <v>0</v>
          </cell>
        </row>
        <row r="225">
          <cell r="A225">
            <v>34699</v>
          </cell>
          <cell r="B225">
            <v>14.458333333333334</v>
          </cell>
          <cell r="C225">
            <v>9.2291666666666661</v>
          </cell>
          <cell r="D225">
            <v>0.86333333333333329</v>
          </cell>
          <cell r="E225">
            <v>16.74710424710425</v>
          </cell>
          <cell r="F225">
            <v>10.690154440154441</v>
          </cell>
          <cell r="G225">
            <v>1.0626908113584597</v>
          </cell>
          <cell r="H225">
            <v>0.75051329754674878</v>
          </cell>
          <cell r="I225">
            <v>8.3682008368200611E-2</v>
          </cell>
        </row>
        <row r="226">
          <cell r="A226">
            <v>35064</v>
          </cell>
          <cell r="B226">
            <v>16.333333333333332</v>
          </cell>
          <cell r="C226">
            <v>12.229166666666666</v>
          </cell>
          <cell r="D226">
            <v>0.91333333333333344</v>
          </cell>
          <cell r="E226">
            <v>17.883211678832112</v>
          </cell>
          <cell r="F226">
            <v>13.389598540145982</v>
          </cell>
          <cell r="G226">
            <v>0.97687572361327746</v>
          </cell>
          <cell r="H226">
            <v>0.99041790948434483</v>
          </cell>
          <cell r="I226">
            <v>5.7915057915058021E-2</v>
          </cell>
        </row>
        <row r="227">
          <cell r="A227">
            <v>35430</v>
          </cell>
          <cell r="B227">
            <v>26.666666666666668</v>
          </cell>
          <cell r="C227">
            <v>14.873333333333333</v>
          </cell>
          <cell r="D227">
            <v>0.95</v>
          </cell>
          <cell r="E227">
            <v>28.070175438596493</v>
          </cell>
          <cell r="F227">
            <v>15.656140350877193</v>
          </cell>
          <cell r="G227">
            <v>1.5209946719300798</v>
          </cell>
          <cell r="H227">
            <v>1.0730765893479857</v>
          </cell>
          <cell r="I227">
            <v>4.0145985401459638E-2</v>
          </cell>
        </row>
        <row r="228">
          <cell r="A228">
            <v>35795</v>
          </cell>
          <cell r="B228">
            <v>50.875</v>
          </cell>
          <cell r="C228">
            <v>23.166666666666668</v>
          </cell>
          <cell r="D228">
            <v>1.04</v>
          </cell>
          <cell r="E228">
            <v>48.918269230769226</v>
          </cell>
          <cell r="F228">
            <v>22.275641025641026</v>
          </cell>
          <cell r="G228">
            <v>2.2301348610984051</v>
          </cell>
          <cell r="H228">
            <v>1.3555616613071737</v>
          </cell>
          <cell r="I228">
            <v>9.473684210526323E-2</v>
          </cell>
        </row>
        <row r="229">
          <cell r="A229">
            <v>36160</v>
          </cell>
          <cell r="B229">
            <v>85.94</v>
          </cell>
          <cell r="C229">
            <v>39.380000000000003</v>
          </cell>
          <cell r="D229">
            <v>1.48</v>
          </cell>
          <cell r="E229">
            <v>58.067567567567565</v>
          </cell>
          <cell r="F229">
            <v>26.608108108108109</v>
          </cell>
          <cell r="G229">
            <v>2.1238586570561671</v>
          </cell>
          <cell r="H229">
            <v>1.3027415087693845</v>
          </cell>
          <cell r="I229">
            <v>0.42307692307692291</v>
          </cell>
        </row>
        <row r="230">
          <cell r="A230">
            <v>36525</v>
          </cell>
          <cell r="D230">
            <v>1.931</v>
          </cell>
          <cell r="E230">
            <v>35.700414293112374</v>
          </cell>
          <cell r="G230">
            <v>1.3791092707345565</v>
          </cell>
          <cell r="I230">
            <v>0.30472972972972978</v>
          </cell>
        </row>
        <row r="231">
          <cell r="A231">
            <v>36891</v>
          </cell>
          <cell r="D231">
            <v>2.36</v>
          </cell>
          <cell r="E231">
            <v>29.210805084745765</v>
          </cell>
          <cell r="G231">
            <v>1.1566731285945111</v>
          </cell>
          <cell r="I231">
            <v>0.22216468151216984</v>
          </cell>
        </row>
        <row r="232">
          <cell r="A232">
            <v>37256</v>
          </cell>
          <cell r="D232">
            <v>2.83</v>
          </cell>
          <cell r="E232">
            <v>24.359540636042404</v>
          </cell>
          <cell r="G232">
            <v>0.99348699219614789</v>
          </cell>
          <cell r="I232">
            <v>0.19915254237288149</v>
          </cell>
        </row>
        <row r="233">
          <cell r="A233">
            <v>37621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  <sheetName val="Inputs"/>
      <sheetName val="Op-BS"/>
      <sheetName val="IS"/>
      <sheetName val="BSCF"/>
      <sheetName val="Ratios"/>
      <sheetName val="Sens"/>
      <sheetName val="Matrix"/>
      <sheetName val="Contrib"/>
      <sheetName val="AcqIS"/>
      <sheetName val="AcqBSCF"/>
      <sheetName val="AcqRat"/>
      <sheetName val="AcqDCF1"/>
      <sheetName val="AcqDCF2"/>
      <sheetName val="DCF"/>
      <sheetName val="Financial Ratios"/>
      <sheetName val="DCF-Perp"/>
      <sheetName val="WACC"/>
      <sheetName val="data"/>
      <sheetName val="MASTER"/>
      <sheetName val="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Transplant"/>
      <sheetName val="AIDS without approval"/>
      <sheetName val="Scenario Builder"/>
      <sheetName val="Comps"/>
      <sheetName val="sta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Balance Sheet"/>
      <sheetName val="FRXQH&amp;Q"/>
      <sheetName val="stats"/>
      <sheetName val="Comps"/>
    </sheetNames>
    <sheetDataSet>
      <sheetData sheetId="0"/>
      <sheetData sheetId="1"/>
      <sheetData sheetId="2"/>
      <sheetData sheetId="3" refreshError="1"/>
      <sheetData sheetId="4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oForma"/>
      <sheetName val="Sheet1"/>
      <sheetName val="Sheet2"/>
      <sheetName val="Sheet3"/>
      <sheetName val="Sheet4"/>
      <sheetName val="Sheet5"/>
      <sheetName val="Sheet6"/>
      <sheetName val="EBITDA"/>
      <sheetName val="Book1"/>
      <sheetName val="Earnings Model"/>
      <sheetName val="Renovation Schedule (3)"/>
      <sheetName val="EV-EBITDAValuation "/>
      <sheetName val="FCF"/>
      <sheetName val="ADR Chart"/>
      <sheetName val="Pricing Power"/>
      <sheetName val="Chart Relative ADR"/>
      <sheetName val="Pricing Vs. Comp Set"/>
      <sheetName val="Expansion Yields"/>
      <sheetName val="Same Store RevPAR Growth"/>
      <sheetName val="Mgmt. Team"/>
      <sheetName val="Renovation Schecule (2)"/>
      <sheetName val="DCF Model"/>
      <sheetName val="RevPAR estimates"/>
      <sheetName val="Debt"/>
      <sheetName val="FCF Table"/>
      <sheetName val="IPO"/>
      <sheetName val="Biz Units"/>
      <sheetName val="Chart EBITDA Mix"/>
      <sheetName val="EBITDA MIX"/>
      <sheetName val="RevPAR Comps cut n paste"/>
      <sheetName val="RevPAR Comps"/>
      <sheetName val="Valuation  1-10-01"/>
      <sheetName val="Earnings Model   "/>
      <sheetName val="Debt @ 3Q00"/>
      <sheetName val="Valuation - old"/>
      <sheetName val="RevPAR By Qtr"/>
      <sheetName val="CIGA Analysis"/>
      <sheetName val="RevPAR 3Q00"/>
      <sheetName val="EBITDA Mix "/>
      <sheetName val="EBITDA Mix 9-00"/>
      <sheetName val="2Q00 Comparison"/>
      <sheetName val="bas buying hot 6-00 cash deal"/>
      <sheetName val="bas hlt cash stock merger"/>
      <sheetName val="Valuation"/>
      <sheetName val="Valuation (2)"/>
      <sheetName val="EBITDA Multiples"/>
      <sheetName val="EPS Multiples"/>
      <sheetName val="Balance Sheet"/>
      <sheetName val="FRXQH&amp;Q"/>
      <sheetName val="IGT MODEL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/>
      <sheetData sheetId="10"/>
      <sheetData sheetId="11"/>
      <sheetData sheetId="12"/>
      <sheetData sheetId="13" refreshError="1"/>
      <sheetData sheetId="14"/>
      <sheetData sheetId="15" refreshError="1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 refreshError="1"/>
      <sheetData sheetId="49" refreshError="1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"/>
      <sheetName val="Major v. River v. Equip."/>
      <sheetName val="LgCapEBITDA"/>
      <sheetName val="SmCapEBITDA"/>
      <sheetName val="SupplyEBITDA"/>
      <sheetName val="LgCapEPS"/>
      <sheetName val="SmCapEPS"/>
      <sheetName val="SupplyEPS"/>
      <sheetName val="LodgingEBITDA"/>
      <sheetName val="LodgingEPS"/>
      <sheetName val="LargerCap Gaming Stock Val 2001"/>
      <sheetName val="LargerCap Gaming Stock Val 2002"/>
      <sheetName val="Smaller Cap Gaming Stock Val"/>
      <sheetName val="Lodging Stock Val."/>
      <sheetName val="Universe Table"/>
      <sheetName val="Universe Table Gaming only"/>
      <sheetName val="Universe Table Lodging Only"/>
      <sheetName val="CruiseEBITDA"/>
      <sheetName val="CruiseEPS"/>
      <sheetName val="Industry (2)"/>
      <sheetName val="Industry"/>
      <sheetName val="Lodging Returns ppt"/>
      <sheetName val="pbos"/>
      <sheetName val="Major v. River"/>
      <sheetName val="Major v. Equipment"/>
      <sheetName val="EBITDA Growth"/>
      <sheetName val="LV REt"/>
      <sheetName val="River Ret"/>
      <sheetName val="Demographics"/>
      <sheetName val="Leisure"/>
      <sheetName val="States"/>
      <sheetName val="nongame"/>
      <sheetName val="nongame2"/>
      <sheetName val="Room Margin"/>
      <sheetName val="Hyp Casino"/>
      <sheetName val="lv gates"/>
      <sheetName val="potential"/>
      <sheetName val="LV Detail $1 Mil"/>
      <sheetName val="Room Mrgn 95"/>
      <sheetName val="ACcap2"/>
      <sheetName val="ACcap"/>
      <sheetName val="LVCap"/>
      <sheetName val="LVCap2"/>
      <sheetName val="LVrooms"/>
      <sheetName val="LV Investment"/>
      <sheetName val="disclosure"/>
      <sheetName val="disclosure inpres"/>
      <sheetName val="EBITDA Mix"/>
      <sheetName val="Free Cash Flow"/>
      <sheetName val="Tougher Comps in 01 "/>
      <sheetName val="Lodging Historical Returns"/>
      <sheetName val="Lodging Recent Price Trends"/>
      <sheetName val="Daily Closes"/>
      <sheetName val="Lodging PE Multiples"/>
      <sheetName val="Lodging EBITDA Multiples"/>
      <sheetName val="Lodging Stock Valuation"/>
      <sheetName val="Cash EPS, PE Multiples"/>
      <sheetName val="ABN EPS Est. V First Call"/>
      <sheetName val="THE LINK FOR ALL"/>
      <sheetName val="Worksheet Cash EPS, PEs"/>
      <sheetName val="ProForma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 refreshError="1">
        <row r="6">
          <cell r="G6" t="str">
            <v xml:space="preserve"> </v>
          </cell>
        </row>
        <row r="28">
          <cell r="G28">
            <v>175</v>
          </cell>
        </row>
        <row r="42">
          <cell r="B42" t="str">
            <v xml:space="preserve"> </v>
          </cell>
        </row>
      </sheetData>
      <sheetData sheetId="59"/>
      <sheetData sheetId="60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Comps"/>
      <sheetName val="Comps - Divisional"/>
      <sheetName val="Revenue"/>
      <sheetName val="Sales Productivity"/>
      <sheetName val="Division Model"/>
      <sheetName val="Guidance"/>
      <sheetName val="Balance Sheet"/>
      <sheetName val="Cash Flow"/>
      <sheetName val="PE Valuation"/>
      <sheetName val="PE Valuation - Report"/>
      <sheetName val="Monthly Sales Analysis"/>
      <sheetName val="THE LINK FOR AL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p&amp;l"/>
      <sheetName val="quarterly income"/>
      <sheetName val="Gross Margin"/>
      <sheetName val="Generic Exposure"/>
      <sheetName val="Annual Product Sales"/>
      <sheetName val="Qtr. Product Sales"/>
      <sheetName val="BSCF"/>
      <sheetName val="Catalysts"/>
      <sheetName val="Alliances"/>
      <sheetName val="__FDSCACHE__"/>
      <sheetName val="FCF Analysis"/>
      <sheetName val="Pipeline"/>
      <sheetName val="R&amp;D Efficiency"/>
      <sheetName val="Guidance"/>
      <sheetName val="Variance"/>
      <sheetName val="Incremental spend"/>
      <sheetName val="Price_volume"/>
      <sheetName val="Charts"/>
      <sheetName val="Charts for report"/>
      <sheetName val="handout tables"/>
    </sheetNames>
    <sheetDataSet>
      <sheetData sheetId="0" refreshError="1"/>
      <sheetData sheetId="1" refreshError="1">
        <row r="21">
          <cell r="Z21">
            <v>2149.3000000000002</v>
          </cell>
        </row>
        <row r="36">
          <cell r="AJ36">
            <v>2.8198952272136597</v>
          </cell>
          <cell r="AO36">
            <v>2.8719023478693129</v>
          </cell>
        </row>
      </sheetData>
      <sheetData sheetId="2" refreshError="1"/>
      <sheetData sheetId="3" refreshError="1"/>
      <sheetData sheetId="4" refreshError="1"/>
      <sheetData sheetId="5" refreshError="1">
        <row r="18">
          <cell r="U18">
            <v>3086.6</v>
          </cell>
          <cell r="Z18">
            <v>3688.8999999999996</v>
          </cell>
        </row>
        <row r="34">
          <cell r="P34">
            <v>2570.6999999999998</v>
          </cell>
          <cell r="U34">
            <v>1905.9</v>
          </cell>
          <cell r="Z34">
            <v>656.3</v>
          </cell>
        </row>
        <row r="173">
          <cell r="U173">
            <v>664.90000000000009</v>
          </cell>
          <cell r="Z173">
            <v>821.9</v>
          </cell>
        </row>
        <row r="287">
          <cell r="U287">
            <v>-9.5354523227383803E-2</v>
          </cell>
          <cell r="Z287">
            <v>-4.3243243243243135E-2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- Schering-Plough Corporati"/>
      <sheetName val="CoverSheet"/>
      <sheetName val="Annual p&amp;l"/>
      <sheetName val="quarterly income"/>
      <sheetName val="Qtr. Sales"/>
      <sheetName val="Links"/>
      <sheetName val="Variance Analysis"/>
      <sheetName val="Guidance"/>
      <sheetName val="Annual Sales"/>
      <sheetName val="duration 09"/>
      <sheetName val="Zetia Vytorin JV"/>
      <sheetName val="Balance Sheet Cash Flow"/>
      <sheetName val="Price Volume"/>
      <sheetName val="Margins"/>
      <sheetName val="duration 08"/>
      <sheetName val="Charts"/>
      <sheetName val="FX Impact"/>
      <sheetName val="P &amp; L Vytorin"/>
      <sheetName val="Catalysts"/>
      <sheetName val="DCF"/>
      <sheetName val="Pipeline"/>
      <sheetName val="Zetia Vytorin DCF"/>
      <sheetName val="Organon Products"/>
      <sheetName val="Segments"/>
      <sheetName val="USD EURO"/>
      <sheetName val="R&amp;D Efficiency"/>
      <sheetName val="reports --&gt;"/>
      <sheetName val="JV reported"/>
      <sheetName val="PriceVol_old"/>
      <sheetName val="Organon_old"/>
      <sheetName val="SGP-model"/>
      <sheetName val="duration 08_old"/>
      <sheetName val="duration 07"/>
      <sheetName val="GPS - Schering-Plough Corp_old"/>
      <sheetName val="Model Introduction"/>
      <sheetName val="Cholesterol Impact"/>
      <sheetName val="charts for report"/>
      <sheetName val="Handout Charts"/>
      <sheetName val="COGS Breakdow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Income Stmt"/>
      <sheetName val="BS,CF"/>
      <sheetName val="Revenue Summary"/>
      <sheetName val="MM Assumpts US"/>
      <sheetName val="MM Assumpts EU"/>
      <sheetName val="MDS Assumpts US"/>
      <sheetName val="MDS Assumpts EU"/>
      <sheetName val="NHL CLL Assumpts"/>
      <sheetName val="Pricing"/>
      <sheetName val="MDS NHL CLL Assumpts"/>
      <sheetName val="CELG_Client"/>
      <sheetName val="CoverSheet"/>
      <sheetName val="Summary"/>
      <sheetName val="MM Assumpts"/>
      <sheetName val="Quarterly"/>
      <sheetName val="Scenario Builder"/>
      <sheetName val="LRP Scenarios"/>
      <sheetName val="MM Assumpts Asia"/>
      <sheetName val="Cover Sheet"/>
      <sheetName val="Covg uni."/>
      <sheetName val="Pricing Update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 refreshError="1"/>
      <sheetData sheetId="11" refreshError="1"/>
      <sheetData sheetId="12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TAB"/>
      <sheetName val="MASTER"/>
      <sheetName val="Sales"/>
      <sheetName val="Scenario Builder"/>
      <sheetName val="LRP Scenarios"/>
      <sheetName val="Financial Statements"/>
      <sheetName val="DRIVERS"/>
    </sheetNames>
    <definedNames>
      <definedName name="Download_series"/>
      <definedName name="Update_This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- Pfizer Inc."/>
      <sheetName val="CoverSheet"/>
      <sheetName val="Annual p&amp;l"/>
      <sheetName val="quarterly income"/>
      <sheetName val="Variance"/>
      <sheetName val="Guidance"/>
      <sheetName val="FX"/>
      <sheetName val="Qtr. Product Sales"/>
      <sheetName val="Price and Volume"/>
      <sheetName val="Annual Product Sales"/>
      <sheetName val="Duration 08"/>
      <sheetName val="Links"/>
      <sheetName val="Lyrica Analysis"/>
      <sheetName val="COGS"/>
      <sheetName val="Balance Sheet Cash Flow"/>
      <sheetName val="Alliance Revenues"/>
      <sheetName val="Catalysts"/>
      <sheetName val="Lipitor P&amp;L"/>
      <sheetName val="Pipeline"/>
      <sheetName val="DCF Combined"/>
      <sheetName val="handout tables"/>
      <sheetName val="R&amp;D efficiency"/>
      <sheetName val="GPS - Pfizer Inc._old"/>
      <sheetName val="Model Introduction"/>
      <sheetName val="Lipitor Sheet"/>
      <sheetName val="report charts"/>
      <sheetName val="Sheet1"/>
      <sheetName val="Sheet2"/>
      <sheetName val="Sheet3"/>
      <sheetName val="PFE_model"/>
    </sheetNames>
    <sheetDataSet>
      <sheetData sheetId="0" refreshError="1"/>
      <sheetData sheetId="1" refreshError="1"/>
      <sheetData sheetId="2" refreshError="1"/>
      <sheetData sheetId="3" refreshError="1">
        <row r="37">
          <cell r="G37">
            <v>2.1204412625156959</v>
          </cell>
          <cell r="L37">
            <v>2.0090854810416947</v>
          </cell>
        </row>
      </sheetData>
      <sheetData sheetId="4" refreshError="1"/>
      <sheetData sheetId="5" refreshError="1"/>
      <sheetData sheetId="6" refreshError="1"/>
      <sheetData sheetId="7" refreshError="1">
        <row r="250">
          <cell r="B250">
            <v>6.7007382169222085E-2</v>
          </cell>
          <cell r="G250">
            <v>-0.10750399148483236</v>
          </cell>
          <cell r="L250">
            <v>-1.9081693500298202E-2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Pharma"/>
      <sheetName val="Sheet2"/>
      <sheetName val="Sheet3"/>
      <sheetName val="Woods Custom Sheet 3"/>
    </sheetNames>
    <sheetDataSet>
      <sheetData sheetId="0" refreshError="1"/>
      <sheetData sheetId="1" refreshError="1"/>
      <sheetData sheetId="2" refreshError="1">
        <row r="48">
          <cell r="R48">
            <v>0</v>
          </cell>
        </row>
      </sheetData>
      <sheetData sheetId="3" refreshError="1"/>
      <sheetData sheetId="4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p&amp;l"/>
      <sheetName val="quarterly income"/>
      <sheetName val="Annual Product Sales"/>
      <sheetName val="Qtr. Product Sales"/>
      <sheetName val="Generic Exposure"/>
      <sheetName val="Variance"/>
      <sheetName val="COGS"/>
      <sheetName val="BSCF"/>
      <sheetName val="Plavix Avapro"/>
      <sheetName val="Impact CV products"/>
      <sheetName val="Inventory&amp;Pricing"/>
      <sheetName val="Catalysts"/>
      <sheetName val="Alliances"/>
      <sheetName val="Erbitux"/>
      <sheetName val="Pipeline"/>
      <sheetName val="__FDSCACHE__"/>
      <sheetName val="FCF"/>
      <sheetName val="R&amp;D Efficiency"/>
      <sheetName val="Guidance"/>
      <sheetName val="Links"/>
      <sheetName val="Reports--&gt;"/>
      <sheetName val="handout tables"/>
      <sheetName val="Charts"/>
      <sheetName val="graphs for repor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 - Merck &amp; Co., Inc."/>
      <sheetName val="CoverSheet"/>
      <sheetName val="Annual p&amp;l"/>
      <sheetName val="Quarterly income"/>
      <sheetName val="Guidance"/>
      <sheetName val="Qtr. Product Sales"/>
      <sheetName val="Price Volume"/>
      <sheetName val="Annual Product Sales"/>
      <sheetName val="DCF Combined"/>
      <sheetName val="Links"/>
      <sheetName val="BSCF"/>
      <sheetName val="Equity Income"/>
      <sheetName val="Zetia Vytorin JV"/>
      <sheetName val="Astra JV "/>
      <sheetName val="COGS"/>
      <sheetName val="Catalysts"/>
      <sheetName val="Product P&amp;Ls"/>
      <sheetName val="Charts"/>
      <sheetName val="Pipeline"/>
      <sheetName val="Variance"/>
      <sheetName val="Duration 08"/>
      <sheetName val="duration 07"/>
      <sheetName val="R&amp;D Efficiency"/>
      <sheetName val="Table of Contents"/>
      <sheetName val="GPS - Merck &amp; Co., Inc. (old)"/>
      <sheetName val="Model Introduction"/>
      <sheetName val="Tab"/>
      <sheetName val="MRK-model"/>
      <sheetName val="Quarterly Income Combo"/>
      <sheetName val="Qtr. Sal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D"/>
      <sheetName val="Model "/>
      <sheetName val="New Openings "/>
      <sheetName val="Model - Most recent"/>
      <sheetName val="Earnings Model 4-26-00"/>
      <sheetName val="Property Portfolio"/>
      <sheetName val="RevPAR Results"/>
      <sheetName val="Revs Oper Y Mix"/>
      <sheetName val="Asia"/>
      <sheetName val="TimeShare"/>
      <sheetName val="CAGR Units"/>
      <sheetName val="Margins"/>
      <sheetName val="Luxury Segment"/>
      <sheetName val="RETURNS"/>
      <sheetName val="Multiples"/>
      <sheetName val="Multiples of Luxury Cos."/>
      <sheetName val="Inc Stmt"/>
    </sheetNames>
    <sheetDataSet>
      <sheetData sheetId="0"/>
      <sheetData sheetId="1"/>
      <sheetData sheetId="2"/>
      <sheetData sheetId="3"/>
      <sheetData sheetId="4" refreshError="1">
        <row r="26">
          <cell r="K26">
            <v>76.172138794520521</v>
          </cell>
          <cell r="P26">
            <v>113.41041616425697</v>
          </cell>
          <cell r="U26">
            <v>136.46835309812022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X Cover"/>
      <sheetName val="FRX Annual P&amp;L"/>
      <sheetName val="Guidance"/>
      <sheetName val="FRX Revs"/>
      <sheetName val="FRX P&amp;L"/>
      <sheetName val="Variance"/>
      <sheetName val="FRX Annual Revs"/>
      <sheetName val="FRX BS&amp;CF"/>
      <sheetName val="FRX Catalysts"/>
      <sheetName val="DCF"/>
      <sheetName val="P&amp;Ls - Lexapro and Namenda"/>
      <sheetName val="FRX Pipeline"/>
      <sheetName val="Links"/>
      <sheetName val="FRX Duration"/>
      <sheetName val="Earnings Delta Table"/>
      <sheetName val="GPS - Forest Laboratories, Inc"/>
      <sheetName val="Charts"/>
      <sheetName val="Pipeline and Cash DCF"/>
      <sheetName val="Lexapro DCF"/>
      <sheetName val="Namenda DCF"/>
      <sheetName val="Price_volume"/>
      <sheetName val="Data"/>
      <sheetName val="FRX Pipeline_old"/>
      <sheetName val="Pipeline"/>
      <sheetName val="Earnings Mode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ces"/>
    </sheetNames>
    <sheetDataSet>
      <sheetData sheetId="0" refreshError="1">
        <row r="5">
          <cell r="B5">
            <v>425.95</v>
          </cell>
        </row>
        <row r="6">
          <cell r="F6">
            <v>49.26</v>
          </cell>
          <cell r="G6">
            <v>53.78</v>
          </cell>
        </row>
        <row r="7">
          <cell r="B7">
            <v>1393.56</v>
          </cell>
          <cell r="F7">
            <v>17.77</v>
          </cell>
          <cell r="G7">
            <v>23.65</v>
          </cell>
        </row>
        <row r="9">
          <cell r="B9">
            <v>458.11</v>
          </cell>
        </row>
        <row r="12">
          <cell r="B12">
            <v>21</v>
          </cell>
        </row>
        <row r="13">
          <cell r="B13">
            <v>17.9375</v>
          </cell>
        </row>
        <row r="14">
          <cell r="B14">
            <v>47</v>
          </cell>
        </row>
        <row r="15">
          <cell r="B15">
            <v>15.0625</v>
          </cell>
        </row>
        <row r="16">
          <cell r="B16">
            <v>10.375</v>
          </cell>
        </row>
        <row r="17">
          <cell r="B17">
            <v>44.625</v>
          </cell>
        </row>
      </sheetData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"/>
      <sheetName val="stock data"/>
      <sheetName val="PEs"/>
      <sheetName val="Chart1"/>
      <sheetName val="Sheet2"/>
      <sheetName val="Sheet3"/>
      <sheetName val="Sheet4"/>
      <sheetName val="Sheet5"/>
      <sheetName val="Sheet6"/>
      <sheetName val="Sheet7"/>
      <sheetName val="Sheet8"/>
      <sheetName val="Prices"/>
    </sheetNames>
    <sheetDataSet>
      <sheetData sheetId="0"/>
      <sheetData sheetId="1" refreshError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inks"/>
      <sheetName val="Provigil.Nuvigil Model"/>
      <sheetName val="Provigil.Nuvigil NPV"/>
      <sheetName val="Pricing Data"/>
      <sheetName val="Rx Data"/>
      <sheetName val="Inpu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s"/>
      <sheetName val="Annual p&amp;l"/>
      <sheetName val="Quarterly income"/>
      <sheetName val="Qtr. Product Sales"/>
      <sheetName val="Annual Product Sales"/>
      <sheetName val="BSCF"/>
      <sheetName val="duration"/>
      <sheetName val="Variance"/>
      <sheetName val="duration 07"/>
      <sheetName val="Links"/>
      <sheetName val="Zetia Vytorin JV"/>
      <sheetName val="Astra JV"/>
      <sheetName val="Price Volume"/>
      <sheetName val="Other income"/>
      <sheetName val="Catalysts"/>
      <sheetName val="Pipeline"/>
      <sheetName val="COGS"/>
      <sheetName val="Vioxx"/>
      <sheetName val="Guidance"/>
      <sheetName val="FCF"/>
      <sheetName val="R&amp;D Efficiency"/>
      <sheetName val="__FDSCACHE__"/>
      <sheetName val="Share Buyback History"/>
      <sheetName val="reports--&gt;"/>
      <sheetName val="Vaccine Penetration"/>
      <sheetName val="Handout Tables"/>
      <sheetName val="Charts for Report"/>
      <sheetName val="Charts"/>
      <sheetName val="Table of Conten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TIVE SHEET"/>
      <sheetName val="price targets"/>
      <sheetName val="MASTER"/>
      <sheetName val="PHA_MRK correction"/>
      <sheetName val="Reuters"/>
      <sheetName val="PE Chart"/>
      <sheetName val="PHA correction"/>
      <sheetName val="old sheet"/>
      <sheetName val="Bridge"/>
      <sheetName val="new price targets"/>
      <sheetName val="VALUATIONS ACTIVE"/>
      <sheetName val="#REF"/>
      <sheetName val="inc_rpt"/>
      <sheetName val="DATA"/>
      <sheetName val="General"/>
      <sheetName val="Qtr. Product Sales"/>
      <sheetName val="Annual Product Sales"/>
    </sheetNames>
    <sheetDataSet>
      <sheetData sheetId="0" refreshError="1">
        <row r="2">
          <cell r="B2" t="str">
            <v>US</v>
          </cell>
          <cell r="D2" t="str">
            <v>Price</v>
          </cell>
          <cell r="E2" t="str">
            <v>Price</v>
          </cell>
          <cell r="G2" t="str">
            <v>Market</v>
          </cell>
          <cell r="J2" t="str">
            <v>Performance</v>
          </cell>
          <cell r="M2" t="str">
            <v>EPS</v>
          </cell>
          <cell r="Q2" t="str">
            <v>P/E</v>
          </cell>
          <cell r="U2" t="str">
            <v>First Call</v>
          </cell>
          <cell r="Y2" t="str">
            <v>EPS Change</v>
          </cell>
          <cell r="AC2" t="str">
            <v>Prem/Disc to Group</v>
          </cell>
        </row>
        <row r="3">
          <cell r="B3" t="str">
            <v>Stock</v>
          </cell>
          <cell r="C3" t="str">
            <v>Rating</v>
          </cell>
          <cell r="D3">
            <v>37461.590512962961</v>
          </cell>
          <cell r="E3" t="str">
            <v>target</v>
          </cell>
          <cell r="F3" t="str">
            <v>% D</v>
          </cell>
          <cell r="G3" t="str">
            <v>Cap. ($B)</v>
          </cell>
          <cell r="I3" t="str">
            <v>2000</v>
          </cell>
          <cell r="J3" t="str">
            <v>2001</v>
          </cell>
          <cell r="K3" t="str">
            <v>YTD</v>
          </cell>
          <cell r="M3" t="str">
            <v>01</v>
          </cell>
          <cell r="N3" t="str">
            <v>02</v>
          </cell>
          <cell r="O3" t="str">
            <v>03</v>
          </cell>
          <cell r="Q3" t="str">
            <v>01</v>
          </cell>
          <cell r="R3" t="str">
            <v>02</v>
          </cell>
          <cell r="S3" t="str">
            <v>03</v>
          </cell>
          <cell r="U3" t="str">
            <v>02</v>
          </cell>
          <cell r="V3" t="str">
            <v>03</v>
          </cell>
          <cell r="X3" t="str">
            <v>01/00</v>
          </cell>
          <cell r="Y3" t="str">
            <v>02/01</v>
          </cell>
          <cell r="Z3" t="str">
            <v>03/02</v>
          </cell>
          <cell r="AB3" t="str">
            <v>01</v>
          </cell>
          <cell r="AC3" t="str">
            <v>02</v>
          </cell>
          <cell r="AD3" t="str">
            <v>03</v>
          </cell>
        </row>
        <row r="4">
          <cell r="B4" t="str">
            <v>BMY</v>
          </cell>
          <cell r="C4" t="str">
            <v>Hold</v>
          </cell>
          <cell r="D4">
            <v>20.05</v>
          </cell>
          <cell r="E4">
            <v>20</v>
          </cell>
          <cell r="F4">
            <v>-2.4937655860349794E-3</v>
          </cell>
          <cell r="G4">
            <v>38.863791225100002</v>
          </cell>
          <cell r="I4">
            <v>0.15185387131952011</v>
          </cell>
          <cell r="J4">
            <v>-0.31022823330515636</v>
          </cell>
          <cell r="K4">
            <v>-0.60686274509803928</v>
          </cell>
          <cell r="M4">
            <v>2.41</v>
          </cell>
          <cell r="N4">
            <v>1.27</v>
          </cell>
          <cell r="O4">
            <v>1.48</v>
          </cell>
          <cell r="Q4">
            <v>8.3195020746887973</v>
          </cell>
          <cell r="R4">
            <v>15.78740157480315</v>
          </cell>
          <cell r="S4">
            <v>13.547297297297298</v>
          </cell>
          <cell r="U4">
            <v>1.38</v>
          </cell>
          <cell r="V4">
            <v>1.75</v>
          </cell>
          <cell r="X4">
            <v>0.1157407407407407</v>
          </cell>
          <cell r="Y4">
            <v>-0.47302904564315351</v>
          </cell>
          <cell r="Z4">
            <v>0.16535433070866135</v>
          </cell>
          <cell r="AB4">
            <v>-0.48254840297717316</v>
          </cell>
          <cell r="AC4">
            <v>-2.0314005854601191E-2</v>
          </cell>
          <cell r="AD4">
            <v>-6.9165507517593094E-2</v>
          </cell>
        </row>
        <row r="5">
          <cell r="B5" t="str">
            <v>LLY</v>
          </cell>
          <cell r="C5" t="str">
            <v>Hold</v>
          </cell>
          <cell r="D5">
            <v>48.06</v>
          </cell>
          <cell r="E5">
            <v>57</v>
          </cell>
          <cell r="F5">
            <v>0.18601747815230962</v>
          </cell>
          <cell r="G5">
            <v>54.030012911640007</v>
          </cell>
          <cell r="I5">
            <v>0.39943609022556381</v>
          </cell>
          <cell r="J5">
            <v>-0.15605104096709199</v>
          </cell>
          <cell r="K5">
            <v>-0.3880825057295646</v>
          </cell>
          <cell r="M5">
            <v>2.76</v>
          </cell>
          <cell r="N5">
            <v>2.6</v>
          </cell>
          <cell r="O5">
            <v>2.88</v>
          </cell>
          <cell r="Q5">
            <v>17.413043478260871</v>
          </cell>
          <cell r="R5">
            <v>18.484615384615385</v>
          </cell>
          <cell r="S5">
            <v>16.6875</v>
          </cell>
          <cell r="U5">
            <v>2.61</v>
          </cell>
          <cell r="V5">
            <v>2.99</v>
          </cell>
          <cell r="X5">
            <v>4.1509433962264142E-2</v>
          </cell>
          <cell r="Y5">
            <v>-5.7971014492753548E-2</v>
          </cell>
          <cell r="Z5">
            <v>0.10769230769230753</v>
          </cell>
          <cell r="AB5">
            <v>8.3046446285194753E-2</v>
          </cell>
          <cell r="AC5">
            <v>0.14706139029076137</v>
          </cell>
          <cell r="AD5">
            <v>0.14659774953038629</v>
          </cell>
        </row>
        <row r="6">
          <cell r="B6" t="str">
            <v>MRK</v>
          </cell>
          <cell r="C6" t="str">
            <v>Hold</v>
          </cell>
          <cell r="D6">
            <v>40.69</v>
          </cell>
          <cell r="E6">
            <v>50</v>
          </cell>
          <cell r="F6">
            <v>0.22880314573605309</v>
          </cell>
          <cell r="G6">
            <v>92.169848964829995</v>
          </cell>
          <cell r="I6">
            <v>0.39343652329215661</v>
          </cell>
          <cell r="J6">
            <v>-0.37196261682242993</v>
          </cell>
          <cell r="K6">
            <v>-0.30799319727891161</v>
          </cell>
          <cell r="M6">
            <v>3.14</v>
          </cell>
          <cell r="N6">
            <v>3.13</v>
          </cell>
          <cell r="O6">
            <v>3.42</v>
          </cell>
          <cell r="Q6">
            <v>12.958598726114648</v>
          </cell>
          <cell r="R6">
            <v>13</v>
          </cell>
          <cell r="S6">
            <v>11.897660818713449</v>
          </cell>
          <cell r="U6">
            <v>3.13</v>
          </cell>
          <cell r="V6">
            <v>3.43</v>
          </cell>
          <cell r="X6">
            <v>8.2758620689655338E-2</v>
          </cell>
          <cell r="Y6">
            <v>-3.1847133757962887E-3</v>
          </cell>
          <cell r="Z6">
            <v>9.2651757188498385E-2</v>
          </cell>
          <cell r="AB6">
            <v>-0.1940085421209754</v>
          </cell>
          <cell r="AC6">
            <v>-0.19328599684087111</v>
          </cell>
          <cell r="AD6">
            <v>-0.18251199284418318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Overall Comparison"/>
      <sheetName val="Lipitor (US and Int'l)"/>
      <sheetName val="Lipitor (US Only)"/>
      <sheetName val="Lipitor Sensitivity for Note"/>
      <sheetName val="Lipitor EPS and DivPO Models"/>
      <sheetName val="#RE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del Introduction"/>
      <sheetName val="BVF Earnings"/>
      <sheetName val="BVF Revenue"/>
      <sheetName val="BVF Balance Sheet"/>
      <sheetName val="BVF Cash flow"/>
      <sheetName val="BVF Model Introduction"/>
      <sheetName val="BVF Guidance"/>
      <sheetName val="Wellbutrin Mkt Model"/>
      <sheetName val="Wellbutrin XL"/>
      <sheetName val="Tramadol XL"/>
      <sheetName val="Earnings Snapshot"/>
      <sheetName val="BVF DCF"/>
      <sheetName val="Break-Up Value"/>
      <sheetName val="acq upside"/>
    </sheetNames>
    <sheetDataSet>
      <sheetData sheetId="0" refreshError="1"/>
      <sheetData sheetId="1" refreshError="1">
        <row r="1">
          <cell r="A1" t="str">
            <v>March 4, 2004</v>
          </cell>
        </row>
        <row r="2">
          <cell r="A2" t="str">
            <v xml:space="preserve">Year end Dec. </v>
          </cell>
          <cell r="C2">
            <v>37951</v>
          </cell>
          <cell r="P2" t="str">
            <v>Biovail Corporation Quarterly Sales and Earnings Model</v>
          </cell>
          <cell r="Q2" t="str">
            <v>Biovail Corporation Quarterly Sales and Earnings Model</v>
          </cell>
          <cell r="S2" t="str">
            <v>Biovail Corporation Quarterly Sales and Earnings Model</v>
          </cell>
          <cell r="AK2" t="str">
            <v xml:space="preserve">Corey Davis   </v>
          </cell>
        </row>
        <row r="3">
          <cell r="A3" t="str">
            <v>NYSE-BVF</v>
          </cell>
          <cell r="C3" t="str">
            <v xml:space="preserve">Year end Dec. </v>
          </cell>
          <cell r="AK3" t="str">
            <v xml:space="preserve">Deb Knobelman   </v>
          </cell>
        </row>
        <row r="4">
          <cell r="A4" t="str">
            <v>(in $M)</v>
          </cell>
          <cell r="C4" t="str">
            <v>NYSE-BVF</v>
          </cell>
          <cell r="AK4" t="str">
            <v xml:space="preserve">Denis Sirringhaus   </v>
          </cell>
        </row>
        <row r="5">
          <cell r="C5" t="str">
            <v>(in $M)</v>
          </cell>
          <cell r="AK5" t="str">
            <v xml:space="preserve">J.P. Morgan Securities Inc.  </v>
          </cell>
        </row>
        <row r="6">
          <cell r="D6" t="str">
            <v>REVENUES:</v>
          </cell>
          <cell r="J6" t="str">
            <v>EXPENSES:</v>
          </cell>
          <cell r="V6" t="str">
            <v>OTHER INCOME:</v>
          </cell>
          <cell r="Z6" t="str">
            <v>Loss</v>
          </cell>
          <cell r="AA6" t="str">
            <v>Acq'd</v>
          </cell>
          <cell r="AB6" t="str">
            <v>Write</v>
          </cell>
          <cell r="AC6" t="str">
            <v>Early</v>
          </cell>
          <cell r="AD6" t="str">
            <v>Adopt</v>
          </cell>
          <cell r="AE6" t="str">
            <v>Debt</v>
          </cell>
          <cell r="AF6" t="str">
            <v>Settle-</v>
          </cell>
          <cell r="AG6" t="str">
            <v>Reliant</v>
          </cell>
          <cell r="AH6" t="str">
            <v>Restruct</v>
          </cell>
          <cell r="AI6" t="str">
            <v>Incr. Returns</v>
          </cell>
          <cell r="AJ6" t="str">
            <v>Reduction</v>
          </cell>
          <cell r="AK6" t="str">
            <v>FD</v>
          </cell>
        </row>
        <row r="7">
          <cell r="D7" t="str">
            <v>REVENUES:</v>
          </cell>
          <cell r="E7" t="str">
            <v>R&amp;D</v>
          </cell>
          <cell r="F7" t="str">
            <v>Royalties</v>
          </cell>
          <cell r="G7" t="str">
            <v>TOTAL</v>
          </cell>
          <cell r="H7" t="str">
            <v>Product</v>
          </cell>
          <cell r="I7" t="str">
            <v>Sales</v>
          </cell>
          <cell r="J7" t="str">
            <v>EXPENSES:</v>
          </cell>
          <cell r="K7" t="str">
            <v>EXPENSES:</v>
          </cell>
          <cell r="L7" t="str">
            <v>D</v>
          </cell>
          <cell r="M7" t="str">
            <v>Acquired</v>
          </cell>
          <cell r="N7" t="str">
            <v>S, G,</v>
          </cell>
          <cell r="O7" t="str">
            <v>&amp; A</v>
          </cell>
          <cell r="P7" t="str">
            <v>EBITDA</v>
          </cell>
          <cell r="Q7" t="str">
            <v>Amort.</v>
          </cell>
          <cell r="R7" t="str">
            <v>recovery</v>
          </cell>
          <cell r="S7" t="str">
            <v>Total</v>
          </cell>
          <cell r="T7" t="str">
            <v>Optg.</v>
          </cell>
          <cell r="U7" t="str">
            <v>Inc.</v>
          </cell>
          <cell r="W7" t="str">
            <v>Int Inc</v>
          </cell>
          <cell r="X7" t="str">
            <v>Int Exp</v>
          </cell>
          <cell r="Y7" t="str">
            <v>Int Inc.</v>
          </cell>
          <cell r="Z7" t="str">
            <v xml:space="preserve">Gain on </v>
          </cell>
          <cell r="AA7" t="str">
            <v>Other</v>
          </cell>
          <cell r="AB7" t="str">
            <v>Down</v>
          </cell>
          <cell r="AC7" t="str">
            <v>Pretax</v>
          </cell>
          <cell r="AD7" t="str">
            <v>Income</v>
          </cell>
          <cell r="AE7" t="str">
            <v>Income</v>
          </cell>
          <cell r="AF7" t="str">
            <v>Tax</v>
          </cell>
          <cell r="AG7" t="str">
            <v>Net</v>
          </cell>
          <cell r="AH7" t="str">
            <v>Income</v>
          </cell>
          <cell r="AI7" t="str">
            <v>FD</v>
          </cell>
          <cell r="AJ7" t="str">
            <v>FD</v>
          </cell>
          <cell r="AK7" t="str">
            <v>Basic</v>
          </cell>
        </row>
        <row r="8">
          <cell r="D8" t="str">
            <v>Product</v>
          </cell>
          <cell r="E8" t="str">
            <v>R&amp;D</v>
          </cell>
          <cell r="F8" t="str">
            <v>Royalties</v>
          </cell>
          <cell r="G8" t="str">
            <v>TOTAL</v>
          </cell>
          <cell r="H8" t="str">
            <v>Product</v>
          </cell>
          <cell r="I8" t="str">
            <v>Sales</v>
          </cell>
          <cell r="J8" t="str">
            <v>COGS</v>
          </cell>
          <cell r="K8" t="str">
            <v>R &amp;</v>
          </cell>
          <cell r="L8" t="str">
            <v>D</v>
          </cell>
          <cell r="M8" t="str">
            <v>Acquired</v>
          </cell>
          <cell r="N8" t="str">
            <v>S, G,</v>
          </cell>
          <cell r="O8" t="str">
            <v>&amp; A</v>
          </cell>
          <cell r="P8" t="str">
            <v>EBITDA</v>
          </cell>
          <cell r="Q8" t="str">
            <v>Amort.</v>
          </cell>
          <cell r="R8" t="str">
            <v>supply</v>
          </cell>
          <cell r="S8" t="str">
            <v>Expenses</v>
          </cell>
          <cell r="T8" t="str">
            <v>Optg.</v>
          </cell>
          <cell r="U8" t="str">
            <v>% Rev</v>
          </cell>
          <cell r="V8" t="str">
            <v>Equity</v>
          </cell>
          <cell r="W8" t="str">
            <v>Int Inc</v>
          </cell>
          <cell r="X8" t="str">
            <v>Int Exp</v>
          </cell>
          <cell r="Y8" t="str">
            <v>(Exp) Net</v>
          </cell>
          <cell r="Z8" t="str">
            <v>For Exch.</v>
          </cell>
          <cell r="AA8" t="str">
            <v>Income</v>
          </cell>
          <cell r="AB8" t="str">
            <v>Pretax</v>
          </cell>
          <cell r="AC8" t="str">
            <v>Pretax</v>
          </cell>
          <cell r="AD8" t="str">
            <v>Income</v>
          </cell>
          <cell r="AE8" t="str">
            <v>Income</v>
          </cell>
          <cell r="AF8" t="str">
            <v>Tax</v>
          </cell>
          <cell r="AG8" t="str">
            <v>Net</v>
          </cell>
          <cell r="AH8" t="str">
            <v>Income</v>
          </cell>
          <cell r="AI8" t="str">
            <v xml:space="preserve"> </v>
          </cell>
          <cell r="AJ8" t="str">
            <v>Shares</v>
          </cell>
          <cell r="AK8" t="str">
            <v>Shares</v>
          </cell>
        </row>
        <row r="9">
          <cell r="C9" t="str">
            <v>FY 98</v>
          </cell>
          <cell r="D9" t="str">
            <v>Sales</v>
          </cell>
          <cell r="E9" t="str">
            <v>Fees</v>
          </cell>
          <cell r="F9" t="str">
            <v>&amp; Lic.</v>
          </cell>
          <cell r="G9" t="str">
            <v>REVENUE</v>
          </cell>
          <cell r="H9" t="str">
            <v>Gross</v>
          </cell>
          <cell r="I9" t="str">
            <v>Margin</v>
          </cell>
          <cell r="J9" t="str">
            <v xml:space="preserve"> </v>
          </cell>
          <cell r="K9" t="str">
            <v xml:space="preserve"> </v>
          </cell>
          <cell r="L9" t="str">
            <v>% of</v>
          </cell>
          <cell r="M9" t="str">
            <v>R&amp;D</v>
          </cell>
          <cell r="N9" t="str">
            <v xml:space="preserve"> </v>
          </cell>
          <cell r="O9" t="str">
            <v>% of</v>
          </cell>
          <cell r="P9" t="str">
            <v>% of</v>
          </cell>
          <cell r="R9" t="str">
            <v>supply</v>
          </cell>
          <cell r="S9">
            <v>66.353999999999999</v>
          </cell>
          <cell r="T9">
            <v>45.302999999999997</v>
          </cell>
          <cell r="U9" t="str">
            <v>% of</v>
          </cell>
          <cell r="V9" t="str">
            <v>Loss</v>
          </cell>
          <cell r="Y9" t="str">
            <v>(Exp) Net</v>
          </cell>
          <cell r="Z9" t="str">
            <v>LT invest,</v>
          </cell>
          <cell r="AA9" t="str">
            <v>Conversion</v>
          </cell>
          <cell r="AB9" t="str">
            <v xml:space="preserve"> </v>
          </cell>
          <cell r="AC9" t="str">
            <v xml:space="preserve"> </v>
          </cell>
          <cell r="AD9" t="str">
            <v>% of</v>
          </cell>
          <cell r="AE9" t="str">
            <v xml:space="preserve"> </v>
          </cell>
          <cell r="AF9" t="str">
            <v>Rate</v>
          </cell>
          <cell r="AG9" t="str">
            <v xml:space="preserve"> </v>
          </cell>
          <cell r="AH9" t="str">
            <v>% of</v>
          </cell>
          <cell r="AI9" t="str">
            <v>EPS</v>
          </cell>
          <cell r="AJ9" t="str">
            <v>Outst.</v>
          </cell>
          <cell r="AK9">
            <v>108.944</v>
          </cell>
        </row>
        <row r="10">
          <cell r="L10" t="str">
            <v>Rev.</v>
          </cell>
          <cell r="M10" t="str">
            <v>Rev.</v>
          </cell>
          <cell r="O10" t="str">
            <v>Rev.</v>
          </cell>
          <cell r="P10" t="str">
            <v>Rev.</v>
          </cell>
          <cell r="R10" t="str">
            <v xml:space="preserve"> agrmts</v>
          </cell>
          <cell r="U10" t="str">
            <v>Rev.</v>
          </cell>
          <cell r="Z10" t="str">
            <v>net</v>
          </cell>
          <cell r="AA10" t="str">
            <v>premium</v>
          </cell>
          <cell r="AB10" t="str">
            <v>swaps</v>
          </cell>
          <cell r="AC10" t="str">
            <v>Rev.</v>
          </cell>
          <cell r="AD10" t="str">
            <v>Rev.</v>
          </cell>
          <cell r="AG10" t="str">
            <v>Rev.</v>
          </cell>
          <cell r="AH10" t="str">
            <v>Rev.</v>
          </cell>
        </row>
        <row r="11">
          <cell r="C11" t="str">
            <v>FY 98</v>
          </cell>
          <cell r="D11">
            <v>69.153999999999996</v>
          </cell>
          <cell r="E11">
            <v>30.890999999999998</v>
          </cell>
          <cell r="F11">
            <v>11.612</v>
          </cell>
          <cell r="G11">
            <v>111.657</v>
          </cell>
          <cell r="H11">
            <v>40.560999999999993</v>
          </cell>
          <cell r="I11">
            <v>0.5865315093848511</v>
          </cell>
          <cell r="J11">
            <v>28.593</v>
          </cell>
          <cell r="K11">
            <v>17.489999999999998</v>
          </cell>
          <cell r="L11">
            <v>0.15664042558908084</v>
          </cell>
          <cell r="M11">
            <v>0.15664042558908084</v>
          </cell>
          <cell r="N11">
            <v>20.271000000000001</v>
          </cell>
          <cell r="O11">
            <v>0.18154705929767057</v>
          </cell>
          <cell r="P11">
            <v>0.18154705929767057</v>
          </cell>
          <cell r="S11">
            <v>66.353999999999999</v>
          </cell>
          <cell r="T11">
            <v>45.302999999999997</v>
          </cell>
          <cell r="U11">
            <v>0.40573363067250595</v>
          </cell>
          <cell r="Y11">
            <v>-1.702</v>
          </cell>
          <cell r="AB11">
            <v>43.600999999999999</v>
          </cell>
          <cell r="AC11">
            <v>43.600999999999999</v>
          </cell>
          <cell r="AD11">
            <v>0.39049052007487217</v>
          </cell>
          <cell r="AE11">
            <v>2.024</v>
          </cell>
          <cell r="AF11">
            <v>4.6420953647852113E-2</v>
          </cell>
          <cell r="AG11">
            <v>41.576999999999998</v>
          </cell>
          <cell r="AH11">
            <v>0.37236357774255086</v>
          </cell>
          <cell r="AI11">
            <v>0.38163643706858569</v>
          </cell>
          <cell r="AJ11">
            <v>108.944</v>
          </cell>
          <cell r="AK11">
            <v>100.8</v>
          </cell>
        </row>
        <row r="12">
          <cell r="C12" t="str">
            <v>2Q, 1999</v>
          </cell>
          <cell r="D12">
            <v>24.978999999999999</v>
          </cell>
          <cell r="E12">
            <v>7.8780000000000001</v>
          </cell>
          <cell r="F12">
            <v>2.5499999999999998</v>
          </cell>
          <cell r="G12">
            <v>35.406999999999996</v>
          </cell>
          <cell r="H12">
            <v>17.131</v>
          </cell>
          <cell r="I12">
            <v>0.68581608551182993</v>
          </cell>
          <cell r="J12">
            <v>7.8479999999999999</v>
          </cell>
          <cell r="K12">
            <v>6.4589999999999996</v>
          </cell>
          <cell r="L12">
            <v>0.18242155505973395</v>
          </cell>
          <cell r="N12">
            <v>6.798</v>
          </cell>
          <cell r="O12">
            <v>0.19199593300759737</v>
          </cell>
          <cell r="S12">
            <v>21.105</v>
          </cell>
          <cell r="T12">
            <v>14.301999999999996</v>
          </cell>
          <cell r="U12">
            <v>0.40393142598921111</v>
          </cell>
          <cell r="Y12">
            <v>-2.657</v>
          </cell>
          <cell r="AC12">
            <v>11.644999999999996</v>
          </cell>
          <cell r="AD12">
            <v>0.32888976756008692</v>
          </cell>
          <cell r="AE12">
            <v>0.77500000000000002</v>
          </cell>
          <cell r="AF12">
            <v>6.6552168312580526E-2</v>
          </cell>
          <cell r="AG12">
            <v>10.869999999999996</v>
          </cell>
          <cell r="AH12">
            <v>0.30700144039314253</v>
          </cell>
          <cell r="AI12">
            <v>0.10313092979127129</v>
          </cell>
          <cell r="AK12">
            <v>105.4</v>
          </cell>
        </row>
        <row r="13">
          <cell r="C13" t="str">
            <v>1Q, 1999</v>
          </cell>
          <cell r="D13">
            <v>12.561999999999999</v>
          </cell>
          <cell r="E13">
            <v>6.077</v>
          </cell>
          <cell r="F13">
            <v>8.952</v>
          </cell>
          <cell r="G13">
            <v>27.591000000000001</v>
          </cell>
          <cell r="H13">
            <v>7.5229999999999997</v>
          </cell>
          <cell r="I13">
            <v>0.59886960675051748</v>
          </cell>
          <cell r="J13">
            <v>5.0389999999999997</v>
          </cell>
          <cell r="K13">
            <v>5.3239999999999998</v>
          </cell>
          <cell r="L13">
            <v>0.19296147294407595</v>
          </cell>
          <cell r="M13">
            <v>0.19296147294407595</v>
          </cell>
          <cell r="N13">
            <v>6.468</v>
          </cell>
          <cell r="O13">
            <v>0.23442426878329889</v>
          </cell>
          <cell r="P13">
            <v>0.23442426878329889</v>
          </cell>
          <cell r="S13">
            <v>16.831</v>
          </cell>
          <cell r="T13">
            <v>10.760000000000002</v>
          </cell>
          <cell r="U13">
            <v>0.3899822405856983</v>
          </cell>
          <cell r="V13">
            <v>57.142000000000003</v>
          </cell>
          <cell r="Y13">
            <v>-2.7919999999999998</v>
          </cell>
          <cell r="AB13">
            <v>7.9680000000000017</v>
          </cell>
          <cell r="AC13">
            <v>7.9680000000000017</v>
          </cell>
          <cell r="AD13">
            <v>0.28878982276829407</v>
          </cell>
          <cell r="AE13">
            <v>0.53300000000000003</v>
          </cell>
          <cell r="AF13">
            <v>6.6892570281124483E-2</v>
          </cell>
          <cell r="AG13">
            <v>7.4350000000000014</v>
          </cell>
          <cell r="AH13">
            <v>0.26947192925229246</v>
          </cell>
          <cell r="AI13">
            <v>7.375992063492065E-2</v>
          </cell>
          <cell r="AJ13">
            <v>100.8</v>
          </cell>
          <cell r="AK13">
            <v>101.7</v>
          </cell>
        </row>
        <row r="14">
          <cell r="C14" t="str">
            <v>2Q, 1999</v>
          </cell>
          <cell r="D14">
            <v>24.978999999999999</v>
          </cell>
          <cell r="E14">
            <v>7.8780000000000001</v>
          </cell>
          <cell r="F14">
            <v>2.5499999999999998</v>
          </cell>
          <cell r="G14">
            <v>35.406999999999996</v>
          </cell>
          <cell r="H14">
            <v>17.131</v>
          </cell>
          <cell r="I14">
            <v>0.68581608551182993</v>
          </cell>
          <cell r="J14">
            <v>7.8479999999999999</v>
          </cell>
          <cell r="K14">
            <v>6.4589999999999996</v>
          </cell>
          <cell r="L14">
            <v>0.18242155505973395</v>
          </cell>
          <cell r="M14">
            <v>105.68899999999999</v>
          </cell>
          <cell r="N14">
            <v>6.798</v>
          </cell>
          <cell r="O14">
            <v>0.19199593300759737</v>
          </cell>
          <cell r="P14">
            <v>0.19199593300759737</v>
          </cell>
          <cell r="S14">
            <v>21.105</v>
          </cell>
          <cell r="T14">
            <v>14.301999999999996</v>
          </cell>
          <cell r="U14">
            <v>0.40393142598921111</v>
          </cell>
          <cell r="V14">
            <v>1.2569999999999999</v>
          </cell>
          <cell r="Y14">
            <v>-2.657</v>
          </cell>
          <cell r="Z14">
            <v>1.948</v>
          </cell>
          <cell r="AA14">
            <v>1.948</v>
          </cell>
          <cell r="AB14">
            <v>11.644999999999996</v>
          </cell>
          <cell r="AC14">
            <v>11.644999999999996</v>
          </cell>
          <cell r="AD14">
            <v>0.32888976756008692</v>
          </cell>
          <cell r="AE14">
            <v>0.77500000000000002</v>
          </cell>
          <cell r="AF14">
            <v>6.6552168312580526E-2</v>
          </cell>
          <cell r="AG14">
            <v>10.869999999999996</v>
          </cell>
          <cell r="AH14">
            <v>0.30700144039314253</v>
          </cell>
          <cell r="AI14">
            <v>0.10313092979127129</v>
          </cell>
          <cell r="AJ14">
            <v>105.4</v>
          </cell>
          <cell r="AK14">
            <v>122.444</v>
          </cell>
        </row>
        <row r="15">
          <cell r="C15" t="str">
            <v>3Q, 1999</v>
          </cell>
          <cell r="D15">
            <v>28.73</v>
          </cell>
          <cell r="E15">
            <v>11.254</v>
          </cell>
          <cell r="F15">
            <v>4.6369999999999996</v>
          </cell>
          <cell r="G15">
            <v>44.620999999999995</v>
          </cell>
          <cell r="H15">
            <v>19.783999999999999</v>
          </cell>
          <cell r="I15">
            <v>0.68861816916115559</v>
          </cell>
          <cell r="J15">
            <v>8.9459999999999997</v>
          </cell>
          <cell r="K15">
            <v>7.6989999999999998</v>
          </cell>
          <cell r="L15">
            <v>0.17254207660070373</v>
          </cell>
          <cell r="M15">
            <v>105.68899999999999</v>
          </cell>
          <cell r="N15">
            <v>8.0380000000000003</v>
          </cell>
          <cell r="O15">
            <v>0.18013939624840325</v>
          </cell>
          <cell r="P15">
            <v>0.18013939624840325</v>
          </cell>
          <cell r="S15">
            <v>24.683</v>
          </cell>
          <cell r="T15">
            <v>19.937999999999995</v>
          </cell>
          <cell r="U15">
            <v>0.44682996795230939</v>
          </cell>
          <cell r="V15">
            <v>57.142000000000003</v>
          </cell>
          <cell r="Y15">
            <v>-2.722</v>
          </cell>
          <cell r="Z15">
            <v>-9.1999999999999993</v>
          </cell>
          <cell r="AB15">
            <v>17.215999999999994</v>
          </cell>
          <cell r="AC15">
            <v>17.215999999999994</v>
          </cell>
          <cell r="AD15">
            <v>0.3858273010465923</v>
          </cell>
          <cell r="AE15">
            <v>1.0620000000000001</v>
          </cell>
          <cell r="AF15">
            <v>6.1686802973977717E-2</v>
          </cell>
          <cell r="AG15">
            <v>16.153999999999993</v>
          </cell>
          <cell r="AH15">
            <v>0.36202684834494958</v>
          </cell>
          <cell r="AI15">
            <v>0.15883972468043256</v>
          </cell>
          <cell r="AJ15">
            <v>101.7</v>
          </cell>
          <cell r="AK15">
            <v>108.17400000000001</v>
          </cell>
        </row>
        <row r="16">
          <cell r="C16" t="str">
            <v>4Q, 1999</v>
          </cell>
          <cell r="D16">
            <v>33.255000000000003</v>
          </cell>
          <cell r="E16">
            <v>23.023</v>
          </cell>
          <cell r="F16">
            <v>8.5670000000000002</v>
          </cell>
          <cell r="G16">
            <v>64.844999999999999</v>
          </cell>
          <cell r="H16">
            <v>20.010000000000005</v>
          </cell>
          <cell r="I16">
            <v>0.6017140279657196</v>
          </cell>
          <cell r="J16">
            <v>13.244999999999999</v>
          </cell>
          <cell r="K16">
            <v>13.648</v>
          </cell>
          <cell r="L16">
            <v>0.21047112344822269</v>
          </cell>
          <cell r="M16">
            <v>105.68899999999999</v>
          </cell>
          <cell r="N16">
            <v>17.422999999999998</v>
          </cell>
          <cell r="O16">
            <v>0.26868686868686864</v>
          </cell>
          <cell r="P16">
            <v>0.26868686868686864</v>
          </cell>
          <cell r="S16">
            <v>44.316000000000003</v>
          </cell>
          <cell r="T16">
            <v>20.528999999999996</v>
          </cell>
          <cell r="U16">
            <v>0.31658570437196387</v>
          </cell>
          <cell r="V16">
            <v>1.2569999999999999</v>
          </cell>
          <cell r="Y16">
            <v>-0.98099999999999998</v>
          </cell>
          <cell r="Z16">
            <v>1.948</v>
          </cell>
          <cell r="AB16">
            <v>21.495999999999995</v>
          </cell>
          <cell r="AC16">
            <v>21.495999999999995</v>
          </cell>
          <cell r="AD16">
            <v>0.33149818798673752</v>
          </cell>
          <cell r="AE16">
            <v>1.845</v>
          </cell>
          <cell r="AF16">
            <v>8.5829921845924848E-2</v>
          </cell>
          <cell r="AG16">
            <v>19.650999999999996</v>
          </cell>
          <cell r="AH16">
            <v>0.30304572441977018</v>
          </cell>
          <cell r="AI16">
            <v>0.16048969324752538</v>
          </cell>
          <cell r="AJ16">
            <v>122.444</v>
          </cell>
          <cell r="AK16">
            <v>116812</v>
          </cell>
        </row>
        <row r="17">
          <cell r="C17" t="str">
            <v>*1999</v>
          </cell>
          <cell r="D17">
            <v>99.52600000000001</v>
          </cell>
          <cell r="E17">
            <v>48.231999999999999</v>
          </cell>
          <cell r="F17">
            <v>24.706</v>
          </cell>
          <cell r="G17">
            <v>172.464</v>
          </cell>
          <cell r="H17">
            <v>64.448000000000008</v>
          </cell>
          <cell r="I17">
            <v>0.64754938408054175</v>
          </cell>
          <cell r="J17">
            <v>35.077999999999996</v>
          </cell>
          <cell r="K17">
            <v>33.129999999999995</v>
          </cell>
          <cell r="L17">
            <v>0.19209806104462379</v>
          </cell>
          <cell r="M17">
            <v>105.68899999999999</v>
          </cell>
          <cell r="N17">
            <v>11.936</v>
          </cell>
          <cell r="O17">
            <v>0.23504391319758969</v>
          </cell>
          <cell r="P17">
            <v>17.055</v>
          </cell>
          <cell r="Q17">
            <v>1.01</v>
          </cell>
          <cell r="S17">
            <v>106.935</v>
          </cell>
          <cell r="T17">
            <v>65.528999999999996</v>
          </cell>
          <cell r="U17">
            <v>0.37995755635958806</v>
          </cell>
          <cell r="V17">
            <v>58.399000000000001</v>
          </cell>
          <cell r="Y17">
            <v>-9.1519999999999992</v>
          </cell>
          <cell r="Z17">
            <v>1.948</v>
          </cell>
          <cell r="AB17">
            <v>58.324999999999996</v>
          </cell>
          <cell r="AC17">
            <v>58.324999999999996</v>
          </cell>
          <cell r="AD17">
            <v>0.33818652008535111</v>
          </cell>
          <cell r="AE17">
            <v>4.2149999999999999</v>
          </cell>
          <cell r="AF17">
            <v>7.2267466780968709E-2</v>
          </cell>
          <cell r="AG17">
            <v>54.11</v>
          </cell>
          <cell r="AH17">
            <v>0.3137466369793116</v>
          </cell>
          <cell r="AI17">
            <v>0.50021262040786141</v>
          </cell>
          <cell r="AJ17">
            <v>108.17400000000001</v>
          </cell>
          <cell r="AK17">
            <v>140.52199999999999</v>
          </cell>
        </row>
        <row r="18">
          <cell r="C18" t="str">
            <v>*2Q, 2000</v>
          </cell>
          <cell r="D18">
            <v>45.384</v>
          </cell>
          <cell r="E18">
            <v>16.645</v>
          </cell>
          <cell r="F18">
            <v>3.1349999999999998</v>
          </cell>
          <cell r="G18">
            <v>65.164000000000001</v>
          </cell>
          <cell r="H18">
            <v>31.846</v>
          </cell>
          <cell r="I18">
            <v>0.70170104001410183</v>
          </cell>
          <cell r="J18">
            <v>13.538</v>
          </cell>
          <cell r="K18">
            <v>13.942</v>
          </cell>
          <cell r="L18">
            <v>0.21395248910441347</v>
          </cell>
          <cell r="N18">
            <v>14.456</v>
          </cell>
          <cell r="O18">
            <v>0.22184027990915228</v>
          </cell>
          <cell r="P18">
            <v>24.245000000000001</v>
          </cell>
          <cell r="Q18">
            <v>1.0169999999999999</v>
          </cell>
          <cell r="S18">
            <v>41.936</v>
          </cell>
          <cell r="T18">
            <v>23.228000000000002</v>
          </cell>
          <cell r="U18">
            <v>0.35645448407095942</v>
          </cell>
          <cell r="Y18">
            <v>2.383</v>
          </cell>
          <cell r="Z18">
            <v>2.383</v>
          </cell>
          <cell r="AC18">
            <v>25.611000000000001</v>
          </cell>
          <cell r="AD18">
            <v>0.39302375544779328</v>
          </cell>
          <cell r="AE18">
            <v>1.444</v>
          </cell>
          <cell r="AF18">
            <v>5.6382023349342079E-2</v>
          </cell>
          <cell r="AG18">
            <v>24.167000000000002</v>
          </cell>
          <cell r="AH18">
            <v>0.3708642808912897</v>
          </cell>
          <cell r="AI18">
            <v>0.16886066043404743</v>
          </cell>
          <cell r="AK18">
            <v>143.11799999999999</v>
          </cell>
        </row>
        <row r="19">
          <cell r="C19" t="str">
            <v>*1Q, 2000</v>
          </cell>
          <cell r="D19">
            <v>35.853000000000002</v>
          </cell>
          <cell r="E19">
            <v>11.651</v>
          </cell>
          <cell r="F19">
            <v>3.278</v>
          </cell>
          <cell r="G19">
            <v>50.782000000000004</v>
          </cell>
          <cell r="H19">
            <v>24.818000000000001</v>
          </cell>
          <cell r="I19">
            <v>0.69221543524949103</v>
          </cell>
          <cell r="J19">
            <v>11.035</v>
          </cell>
          <cell r="K19">
            <v>11.766</v>
          </cell>
          <cell r="L19">
            <v>0.23169627033200738</v>
          </cell>
          <cell r="M19">
            <v>141.5</v>
          </cell>
          <cell r="N19">
            <v>11.936</v>
          </cell>
          <cell r="O19">
            <v>0.23504391319758969</v>
          </cell>
          <cell r="P19">
            <v>17.055</v>
          </cell>
          <cell r="Q19">
            <v>1.01</v>
          </cell>
          <cell r="R19">
            <v>1.01</v>
          </cell>
          <cell r="S19">
            <v>34.737000000000002</v>
          </cell>
          <cell r="T19">
            <v>16.045000000000002</v>
          </cell>
          <cell r="U19">
            <v>0.31595841046039935</v>
          </cell>
          <cell r="Y19">
            <v>-0.26600000000000001</v>
          </cell>
          <cell r="Z19">
            <v>3.1019999999999999</v>
          </cell>
          <cell r="AB19">
            <v>15.779000000000002</v>
          </cell>
          <cell r="AC19">
            <v>15.779000000000002</v>
          </cell>
          <cell r="AD19">
            <v>0.31072033397660592</v>
          </cell>
          <cell r="AE19">
            <v>0.81299999999999994</v>
          </cell>
          <cell r="AF19">
            <v>5.1524177704544004E-2</v>
          </cell>
          <cell r="AG19">
            <v>14.966000000000001</v>
          </cell>
          <cell r="AH19">
            <v>0.29471072427237999</v>
          </cell>
          <cell r="AI19">
            <v>0.10650289634363304</v>
          </cell>
          <cell r="AJ19">
            <v>140.52199999999999</v>
          </cell>
          <cell r="AK19">
            <v>146.37700000000001</v>
          </cell>
        </row>
        <row r="20">
          <cell r="C20" t="str">
            <v>*2Q, 2000</v>
          </cell>
          <cell r="D20">
            <v>45.384</v>
          </cell>
          <cell r="E20">
            <v>16.645</v>
          </cell>
          <cell r="F20">
            <v>3.1349999999999998</v>
          </cell>
          <cell r="G20">
            <v>65.164000000000001</v>
          </cell>
          <cell r="H20">
            <v>31.846</v>
          </cell>
          <cell r="I20">
            <v>0.70170104001410183</v>
          </cell>
          <cell r="J20">
            <v>13.538</v>
          </cell>
          <cell r="K20">
            <v>13.942</v>
          </cell>
          <cell r="L20">
            <v>0.21395248910441347</v>
          </cell>
          <cell r="M20">
            <v>66.924000000000007</v>
          </cell>
          <cell r="N20">
            <v>14.456</v>
          </cell>
          <cell r="O20">
            <v>0.22184027990915228</v>
          </cell>
          <cell r="P20">
            <v>24.245000000000001</v>
          </cell>
          <cell r="Q20">
            <v>1.0169999999999999</v>
          </cell>
          <cell r="R20">
            <v>1.0169999999999999</v>
          </cell>
          <cell r="S20">
            <v>41.936</v>
          </cell>
          <cell r="T20">
            <v>23.228000000000002</v>
          </cell>
          <cell r="U20">
            <v>0.35645448407095942</v>
          </cell>
          <cell r="Y20">
            <v>2.383</v>
          </cell>
          <cell r="Z20">
            <v>-2.2639999999999998</v>
          </cell>
          <cell r="AB20">
            <v>25.611000000000001</v>
          </cell>
          <cell r="AC20">
            <v>25.611000000000001</v>
          </cell>
          <cell r="AD20">
            <v>0.39302375544779328</v>
          </cell>
          <cell r="AE20">
            <v>1.444</v>
          </cell>
          <cell r="AF20">
            <v>5.6382023349342079E-2</v>
          </cell>
          <cell r="AG20">
            <v>24.167000000000002</v>
          </cell>
          <cell r="AH20">
            <v>0.3708642808912897</v>
          </cell>
          <cell r="AI20">
            <v>0.16886066043404743</v>
          </cell>
          <cell r="AJ20">
            <v>143.11799999999999</v>
          </cell>
          <cell r="AK20">
            <v>146.477</v>
          </cell>
        </row>
        <row r="21">
          <cell r="C21" t="str">
            <v>*3Q, 2000</v>
          </cell>
          <cell r="D21">
            <v>53.317999999999998</v>
          </cell>
          <cell r="E21">
            <v>34.433999999999997</v>
          </cell>
          <cell r="F21">
            <v>5.6630000000000003</v>
          </cell>
          <cell r="G21">
            <v>93.414999999999992</v>
          </cell>
          <cell r="H21">
            <v>36.531999999999996</v>
          </cell>
          <cell r="I21">
            <v>0.68517198694624704</v>
          </cell>
          <cell r="J21">
            <v>16.786000000000001</v>
          </cell>
          <cell r="K21">
            <v>22.391999999999999</v>
          </cell>
          <cell r="L21">
            <v>0.23970454423807741</v>
          </cell>
          <cell r="M21">
            <v>141.5</v>
          </cell>
          <cell r="N21">
            <v>13.162000000000001</v>
          </cell>
          <cell r="O21">
            <v>0.14089814269656908</v>
          </cell>
          <cell r="P21">
            <v>42.096999999999987</v>
          </cell>
          <cell r="Q21">
            <v>1.022</v>
          </cell>
          <cell r="R21">
            <v>1.022</v>
          </cell>
          <cell r="S21">
            <v>52.34</v>
          </cell>
          <cell r="T21">
            <v>41.074999999999989</v>
          </cell>
          <cell r="U21">
            <v>0.43970454423807731</v>
          </cell>
          <cell r="Y21">
            <v>3.1019999999999999</v>
          </cell>
          <cell r="Z21">
            <v>2.9549999999999996</v>
          </cell>
          <cell r="AA21">
            <v>208.4</v>
          </cell>
          <cell r="AB21">
            <v>44.176999999999985</v>
          </cell>
          <cell r="AC21">
            <v>44.176999999999985</v>
          </cell>
          <cell r="AD21">
            <v>0.47291120269763948</v>
          </cell>
          <cell r="AE21">
            <v>2.4780000000000002</v>
          </cell>
          <cell r="AF21">
            <v>5.6092536840437357E-2</v>
          </cell>
          <cell r="AG21">
            <v>41.698999999999984</v>
          </cell>
          <cell r="AH21">
            <v>0.44638441363806658</v>
          </cell>
          <cell r="AI21">
            <v>0.28487398976615164</v>
          </cell>
          <cell r="AJ21">
            <v>146.37700000000001</v>
          </cell>
          <cell r="AK21">
            <v>129700</v>
          </cell>
        </row>
        <row r="22">
          <cell r="C22" t="str">
            <v>*4Q, 2000</v>
          </cell>
          <cell r="D22">
            <v>90.441000000000003</v>
          </cell>
          <cell r="E22">
            <v>4.1040000000000001</v>
          </cell>
          <cell r="F22">
            <v>5.2640000000000002</v>
          </cell>
          <cell r="G22">
            <v>99.808999999999997</v>
          </cell>
          <cell r="H22">
            <v>63.794000000000004</v>
          </cell>
          <cell r="I22">
            <v>0.70536592916929275</v>
          </cell>
          <cell r="J22">
            <v>26.646999999999998</v>
          </cell>
          <cell r="K22">
            <v>4.2519999999999998</v>
          </cell>
          <cell r="L22">
            <v>4.2601368614052837E-2</v>
          </cell>
          <cell r="M22">
            <v>66.924000000000007</v>
          </cell>
          <cell r="N22">
            <v>13.661</v>
          </cell>
          <cell r="O22">
            <v>0.13687142442064343</v>
          </cell>
          <cell r="P22">
            <v>59.431999999999995</v>
          </cell>
          <cell r="Q22">
            <v>4.1829999999999998</v>
          </cell>
          <cell r="R22">
            <v>4.1829999999999998</v>
          </cell>
          <cell r="S22">
            <v>44.56</v>
          </cell>
          <cell r="T22">
            <v>55.248999999999995</v>
          </cell>
          <cell r="U22">
            <v>0.55354727529581493</v>
          </cell>
          <cell r="Y22">
            <v>-2.2639999999999998</v>
          </cell>
          <cell r="AB22">
            <v>52.984999999999992</v>
          </cell>
          <cell r="AC22">
            <v>52.984999999999992</v>
          </cell>
          <cell r="AD22">
            <v>0.5308639501447765</v>
          </cell>
          <cell r="AE22">
            <v>8.8079999999999998</v>
          </cell>
          <cell r="AF22">
            <v>0.16623572709257339</v>
          </cell>
          <cell r="AG22">
            <v>44.176999999999992</v>
          </cell>
          <cell r="AH22">
            <v>0.44261539540522393</v>
          </cell>
          <cell r="AI22">
            <v>0.30159683772879015</v>
          </cell>
          <cell r="AJ22">
            <v>146.477</v>
          </cell>
          <cell r="AK22">
            <v>129980</v>
          </cell>
        </row>
        <row r="23">
          <cell r="C23" t="str">
            <v>*2000</v>
          </cell>
          <cell r="D23">
            <v>224.99600000000001</v>
          </cell>
          <cell r="E23">
            <v>66.834000000000003</v>
          </cell>
          <cell r="F23">
            <v>17.34</v>
          </cell>
          <cell r="G23">
            <v>309.17</v>
          </cell>
          <cell r="H23">
            <v>157.01600000000002</v>
          </cell>
          <cell r="I23">
            <v>0.69786129531191676</v>
          </cell>
          <cell r="J23">
            <v>67.98</v>
          </cell>
          <cell r="K23">
            <v>51.709000000000003</v>
          </cell>
          <cell r="L23">
            <v>0.16725102694310573</v>
          </cell>
          <cell r="M23">
            <v>208.42400000000001</v>
          </cell>
          <cell r="N23">
            <v>23.475000000000001</v>
          </cell>
          <cell r="O23">
            <v>0.19689332114370067</v>
          </cell>
          <cell r="P23">
            <v>57.791000000000004</v>
          </cell>
          <cell r="Q23">
            <v>13.403</v>
          </cell>
          <cell r="R23">
            <v>7.2320000000000002</v>
          </cell>
          <cell r="S23">
            <v>171.54599999999999</v>
          </cell>
          <cell r="T23">
            <v>137.62400000000002</v>
          </cell>
          <cell r="U23">
            <v>0.4451402141216807</v>
          </cell>
          <cell r="Y23">
            <v>2.9549999999999996</v>
          </cell>
          <cell r="Z23">
            <v>-12.472</v>
          </cell>
          <cell r="AB23">
            <v>140.57900000000004</v>
          </cell>
          <cell r="AC23">
            <v>140.57900000000004</v>
          </cell>
          <cell r="AD23">
            <v>0.45469806255458173</v>
          </cell>
          <cell r="AE23">
            <v>16.591999999999999</v>
          </cell>
          <cell r="AF23">
            <v>0.11802616322494822</v>
          </cell>
          <cell r="AG23">
            <v>123.98700000000004</v>
          </cell>
          <cell r="AH23">
            <v>0.40103179480544693</v>
          </cell>
          <cell r="AI23">
            <v>0.8639486593455602</v>
          </cell>
          <cell r="AJ23">
            <v>143.512</v>
          </cell>
          <cell r="AK23">
            <v>148.084</v>
          </cell>
        </row>
        <row r="24">
          <cell r="C24" t="str">
            <v>2Q, 2001</v>
          </cell>
          <cell r="D24">
            <v>125.398</v>
          </cell>
          <cell r="E24">
            <v>1.9630000000000001</v>
          </cell>
          <cell r="F24">
            <v>6.1429999999999998</v>
          </cell>
          <cell r="G24">
            <v>133.50399999999999</v>
          </cell>
          <cell r="H24">
            <v>97.864000000000004</v>
          </cell>
          <cell r="I24">
            <v>0.78042712004976167</v>
          </cell>
          <cell r="J24">
            <v>27.533999999999999</v>
          </cell>
          <cell r="K24">
            <v>13.913</v>
          </cell>
          <cell r="L24">
            <v>0.10421410594439119</v>
          </cell>
          <cell r="N24">
            <v>20.971</v>
          </cell>
          <cell r="O24">
            <v>0.15708143576222436</v>
          </cell>
          <cell r="P24">
            <v>71.085999999999999</v>
          </cell>
          <cell r="Q24">
            <v>13.954000000000001</v>
          </cell>
          <cell r="S24">
            <v>76.371999999999986</v>
          </cell>
          <cell r="T24">
            <v>57.132000000000005</v>
          </cell>
          <cell r="U24">
            <v>0.42794223394055614</v>
          </cell>
          <cell r="Y24">
            <v>-9.7189999999999994</v>
          </cell>
          <cell r="Z24">
            <v>-9.7189999999999994</v>
          </cell>
          <cell r="AC24">
            <v>47.413000000000004</v>
          </cell>
          <cell r="AD24">
            <v>0.35514291706615536</v>
          </cell>
          <cell r="AE24">
            <v>3.31</v>
          </cell>
          <cell r="AF24">
            <v>6.9812076856558325E-2</v>
          </cell>
          <cell r="AG24">
            <v>44.103000000000002</v>
          </cell>
          <cell r="AH24">
            <v>0.33034965244487058</v>
          </cell>
          <cell r="AI24">
            <v>0.29812820668816292</v>
          </cell>
          <cell r="AK24">
            <v>147.93299999999999</v>
          </cell>
        </row>
        <row r="25">
          <cell r="C25" t="str">
            <v>1Q, 2001</v>
          </cell>
          <cell r="D25">
            <v>111.92700000000001</v>
          </cell>
          <cell r="E25">
            <v>1.5660000000000001</v>
          </cell>
          <cell r="F25">
            <v>5.734</v>
          </cell>
          <cell r="G25">
            <v>119.227</v>
          </cell>
          <cell r="H25">
            <v>85.373000000000005</v>
          </cell>
          <cell r="I25">
            <v>0.76275608208921886</v>
          </cell>
          <cell r="J25">
            <v>26.553999999999998</v>
          </cell>
          <cell r="K25">
            <v>11.407</v>
          </cell>
          <cell r="L25">
            <v>9.5674637456280867E-2</v>
          </cell>
          <cell r="M25">
            <v>9.5674637456280867E-2</v>
          </cell>
          <cell r="N25">
            <v>23.475000000000001</v>
          </cell>
          <cell r="O25">
            <v>0.19689332114370067</v>
          </cell>
          <cell r="P25">
            <v>57.791000000000004</v>
          </cell>
          <cell r="Q25">
            <v>13.403</v>
          </cell>
          <cell r="R25">
            <v>13.403</v>
          </cell>
          <cell r="S25">
            <v>74.838999999999999</v>
          </cell>
          <cell r="T25">
            <v>44.388000000000005</v>
          </cell>
          <cell r="U25">
            <v>0.37229822104053617</v>
          </cell>
          <cell r="X25">
            <v>-22.731000000000002</v>
          </cell>
          <cell r="Y25">
            <v>-12.472</v>
          </cell>
          <cell r="Z25">
            <v>-6.4649999999999999</v>
          </cell>
          <cell r="AA25">
            <v>-22.731000000000002</v>
          </cell>
          <cell r="AB25">
            <v>31.916000000000004</v>
          </cell>
          <cell r="AC25">
            <v>31.916000000000004</v>
          </cell>
          <cell r="AD25">
            <v>0.2676910431362024</v>
          </cell>
          <cell r="AE25">
            <v>2.75</v>
          </cell>
          <cell r="AF25">
            <v>8.6163679659105138E-2</v>
          </cell>
          <cell r="AG25">
            <v>29.166000000000004</v>
          </cell>
          <cell r="AH25">
            <v>0.24462579784780294</v>
          </cell>
          <cell r="AI25">
            <v>0.19695578185354259</v>
          </cell>
          <cell r="AJ25">
            <v>148.084</v>
          </cell>
          <cell r="AK25">
            <v>152.428</v>
          </cell>
        </row>
        <row r="26">
          <cell r="C26" t="str">
            <v>2Q, 2001</v>
          </cell>
          <cell r="D26">
            <v>125.398</v>
          </cell>
          <cell r="E26">
            <v>1.9630000000000001</v>
          </cell>
          <cell r="F26">
            <v>6.1429999999999998</v>
          </cell>
          <cell r="G26">
            <v>133.50399999999999</v>
          </cell>
          <cell r="H26">
            <v>97.864000000000004</v>
          </cell>
          <cell r="I26">
            <v>0.78042712004976167</v>
          </cell>
          <cell r="J26">
            <v>27.533999999999999</v>
          </cell>
          <cell r="K26">
            <v>13.913</v>
          </cell>
          <cell r="L26">
            <v>0.10421410594439119</v>
          </cell>
          <cell r="M26">
            <v>0.10421410594439119</v>
          </cell>
          <cell r="N26">
            <v>20.971</v>
          </cell>
          <cell r="O26">
            <v>0.15708143576222436</v>
          </cell>
          <cell r="P26">
            <v>71.085999999999999</v>
          </cell>
          <cell r="Q26">
            <v>13.954000000000001</v>
          </cell>
          <cell r="R26">
            <v>13.954000000000001</v>
          </cell>
          <cell r="S26">
            <v>76.371999999999986</v>
          </cell>
          <cell r="T26">
            <v>57.132000000000005</v>
          </cell>
          <cell r="U26">
            <v>0.42794223394055614</v>
          </cell>
          <cell r="Y26">
            <v>-9.7189999999999994</v>
          </cell>
          <cell r="Z26">
            <v>-4.8440000000000003</v>
          </cell>
          <cell r="AB26">
            <v>47.413000000000004</v>
          </cell>
          <cell r="AC26">
            <v>47.413000000000004</v>
          </cell>
          <cell r="AD26">
            <v>0.35514291706615536</v>
          </cell>
          <cell r="AE26">
            <v>3.31</v>
          </cell>
          <cell r="AF26">
            <v>6.9812076856558325E-2</v>
          </cell>
          <cell r="AG26">
            <v>44.103000000000002</v>
          </cell>
          <cell r="AH26">
            <v>0.33034965244487058</v>
          </cell>
          <cell r="AI26">
            <v>0.29812820668816292</v>
          </cell>
          <cell r="AJ26">
            <v>147.93299999999999</v>
          </cell>
          <cell r="AK26">
            <v>159.47800000000001</v>
          </cell>
        </row>
        <row r="27">
          <cell r="C27" t="str">
            <v>3Q, 2001</v>
          </cell>
          <cell r="D27">
            <v>137.14699999999999</v>
          </cell>
          <cell r="E27">
            <v>6.5880000000000001</v>
          </cell>
          <cell r="F27">
            <v>8.4550000000000001</v>
          </cell>
          <cell r="G27">
            <v>152.19</v>
          </cell>
          <cell r="H27">
            <v>100.52599999999998</v>
          </cell>
          <cell r="I27">
            <v>0.7329799412309419</v>
          </cell>
          <cell r="J27">
            <v>36.621000000000002</v>
          </cell>
          <cell r="K27">
            <v>12.018000000000001</v>
          </cell>
          <cell r="L27">
            <v>7.8967080622905583E-2</v>
          </cell>
          <cell r="M27">
            <v>7.8967080622905583E-2</v>
          </cell>
          <cell r="N27">
            <v>26.422000000000001</v>
          </cell>
          <cell r="O27">
            <v>0.173611932452855</v>
          </cell>
          <cell r="P27">
            <v>77.128999999999991</v>
          </cell>
          <cell r="Q27">
            <v>11.106999999999999</v>
          </cell>
          <cell r="R27">
            <v>11.106999999999999</v>
          </cell>
          <cell r="S27">
            <v>86.168000000000006</v>
          </cell>
          <cell r="T27">
            <v>66.021999999999991</v>
          </cell>
          <cell r="U27">
            <v>0.43381299691175501</v>
          </cell>
          <cell r="Y27">
            <v>-6.4649999999999999</v>
          </cell>
          <cell r="Z27">
            <v>-33.5</v>
          </cell>
          <cell r="AA27">
            <v>-22.731000000000002</v>
          </cell>
          <cell r="AB27">
            <v>59.556999999999988</v>
          </cell>
          <cell r="AC27">
            <v>59.556999999999988</v>
          </cell>
          <cell r="AD27">
            <v>0.39133320191865423</v>
          </cell>
          <cell r="AE27">
            <v>3.7250000000000001</v>
          </cell>
          <cell r="AF27">
            <v>6.2545124838390129E-2</v>
          </cell>
          <cell r="AG27">
            <v>55.831999999999987</v>
          </cell>
          <cell r="AH27">
            <v>0.3668572179512451</v>
          </cell>
          <cell r="AI27">
            <v>0.36628440968850862</v>
          </cell>
          <cell r="AJ27">
            <v>152.428</v>
          </cell>
          <cell r="AK27">
            <v>150.69</v>
          </cell>
        </row>
        <row r="28">
          <cell r="C28" t="str">
            <v>4Q, 2001</v>
          </cell>
          <cell r="D28">
            <v>162.666</v>
          </cell>
          <cell r="E28">
            <v>4.4790000000000001</v>
          </cell>
          <cell r="F28">
            <v>11.196999999999999</v>
          </cell>
          <cell r="G28">
            <v>178.34200000000001</v>
          </cell>
          <cell r="H28">
            <v>126.95399999999999</v>
          </cell>
          <cell r="I28">
            <v>0.78045811663162556</v>
          </cell>
          <cell r="J28">
            <v>35.712000000000003</v>
          </cell>
          <cell r="K28">
            <v>14.154</v>
          </cell>
          <cell r="L28">
            <v>7.9364367339157346E-2</v>
          </cell>
          <cell r="M28">
            <v>7.9364367339157346E-2</v>
          </cell>
          <cell r="N28">
            <v>32.424999999999997</v>
          </cell>
          <cell r="O28">
            <v>0.18181359410570699</v>
          </cell>
          <cell r="P28">
            <v>96.051000000000016</v>
          </cell>
          <cell r="Q28">
            <v>11.955</v>
          </cell>
          <cell r="R28">
            <v>11.955</v>
          </cell>
          <cell r="S28">
            <v>94.245999999999995</v>
          </cell>
          <cell r="T28">
            <v>84.096000000000018</v>
          </cell>
          <cell r="U28">
            <v>0.47154343901044066</v>
          </cell>
          <cell r="Y28">
            <v>-4.8440000000000003</v>
          </cell>
          <cell r="AB28">
            <v>79.252000000000024</v>
          </cell>
          <cell r="AC28">
            <v>79.252000000000024</v>
          </cell>
          <cell r="AD28">
            <v>0.44438214217626815</v>
          </cell>
          <cell r="AE28">
            <v>5.5</v>
          </cell>
          <cell r="AF28">
            <v>6.9398879523545121E-2</v>
          </cell>
          <cell r="AG28">
            <v>73.752000000000024</v>
          </cell>
          <cell r="AH28">
            <v>0.41354251942896242</v>
          </cell>
          <cell r="AI28">
            <v>0.46245877174281103</v>
          </cell>
          <cell r="AJ28">
            <v>159.47800000000001</v>
          </cell>
        </row>
        <row r="29">
          <cell r="C29" t="str">
            <v>*2001</v>
          </cell>
          <cell r="D29">
            <v>537.13799999999992</v>
          </cell>
          <cell r="E29">
            <v>14.596</v>
          </cell>
          <cell r="F29">
            <v>31.529</v>
          </cell>
          <cell r="G29">
            <v>583.26300000000003</v>
          </cell>
          <cell r="H29">
            <v>411.14299999999992</v>
          </cell>
          <cell r="I29">
            <v>0.7654327193384195</v>
          </cell>
          <cell r="J29">
            <v>125.995</v>
          </cell>
          <cell r="K29">
            <v>50.017000000000003</v>
          </cell>
          <cell r="L29">
            <v>8.5753768025744817E-2</v>
          </cell>
          <cell r="M29">
            <v>8.5753768025744817E-2</v>
          </cell>
          <cell r="N29">
            <v>110.1</v>
          </cell>
          <cell r="O29">
            <v>0.18876561688294988</v>
          </cell>
          <cell r="P29">
            <v>296.15100000000001</v>
          </cell>
          <cell r="Q29">
            <v>44.512999999999998</v>
          </cell>
          <cell r="R29">
            <v>44.512999999999998</v>
          </cell>
          <cell r="S29">
            <v>331.625</v>
          </cell>
          <cell r="T29">
            <v>251.63800000000003</v>
          </cell>
          <cell r="U29">
            <v>0.43143144687730922</v>
          </cell>
          <cell r="Y29">
            <v>-33.5</v>
          </cell>
          <cell r="Z29">
            <v>-0.17900000000000005</v>
          </cell>
          <cell r="AA29">
            <v>-22.731000000000002</v>
          </cell>
          <cell r="AB29">
            <v>218.13800000000003</v>
          </cell>
          <cell r="AC29">
            <v>218.13800000000003</v>
          </cell>
          <cell r="AD29">
            <v>0.37399595036887306</v>
          </cell>
          <cell r="AE29">
            <v>15.285</v>
          </cell>
          <cell r="AF29">
            <v>7.0070322456426651E-2</v>
          </cell>
          <cell r="AG29">
            <v>202.85300000000004</v>
          </cell>
          <cell r="AH29">
            <v>0.3477899335291284</v>
          </cell>
          <cell r="AI29">
            <v>1.3461609927666072</v>
          </cell>
          <cell r="AJ29">
            <v>150.69</v>
          </cell>
          <cell r="AK29">
            <v>166.49299999999999</v>
          </cell>
        </row>
        <row r="30">
          <cell r="C30" t="str">
            <v>2Q, 2002</v>
          </cell>
          <cell r="D30">
            <v>177.8</v>
          </cell>
          <cell r="E30">
            <v>3.673</v>
          </cell>
          <cell r="F30">
            <v>55.88</v>
          </cell>
          <cell r="G30">
            <v>185.1</v>
          </cell>
          <cell r="H30">
            <v>116.5</v>
          </cell>
          <cell r="I30">
            <v>0.65523059617547807</v>
          </cell>
          <cell r="J30">
            <v>41.3</v>
          </cell>
          <cell r="K30">
            <v>14.5</v>
          </cell>
          <cell r="L30">
            <v>7.833603457590492E-2</v>
          </cell>
          <cell r="N30">
            <v>39</v>
          </cell>
          <cell r="O30">
            <v>0.21069692058346839</v>
          </cell>
          <cell r="P30">
            <v>90.3</v>
          </cell>
          <cell r="Q30">
            <v>14.019</v>
          </cell>
          <cell r="S30">
            <v>108.819</v>
          </cell>
          <cell r="T30">
            <v>76.280999999999992</v>
          </cell>
          <cell r="U30">
            <v>0.41210696920583467</v>
          </cell>
          <cell r="V30">
            <v>1.0469999999999999</v>
          </cell>
          <cell r="W30">
            <v>1.0469999999999999</v>
          </cell>
          <cell r="X30">
            <v>10.17</v>
          </cell>
          <cell r="Y30">
            <v>-9.1229999999999993</v>
          </cell>
          <cell r="Z30">
            <v>0.3640000000000001</v>
          </cell>
          <cell r="AA30">
            <v>0</v>
          </cell>
          <cell r="AB30">
            <v>0</v>
          </cell>
          <cell r="AC30">
            <v>67.157999999999987</v>
          </cell>
          <cell r="AD30">
            <v>0.36282009724473252</v>
          </cell>
          <cell r="AE30">
            <v>4.7069999999999999</v>
          </cell>
          <cell r="AF30">
            <v>7.0088448137228643E-2</v>
          </cell>
          <cell r="AG30">
            <v>62.450999999999986</v>
          </cell>
          <cell r="AH30">
            <v>0.33739059967585083</v>
          </cell>
          <cell r="AI30">
            <v>0.38687795419487919</v>
          </cell>
          <cell r="AK30">
            <v>161.423</v>
          </cell>
        </row>
        <row r="31">
          <cell r="C31" t="str">
            <v>1Q, 2002</v>
          </cell>
          <cell r="D31">
            <v>129.85400000000001</v>
          </cell>
          <cell r="E31">
            <v>5.7130000000000001</v>
          </cell>
          <cell r="F31">
            <v>9.6859999999999999</v>
          </cell>
          <cell r="G31">
            <v>155.30000000000001</v>
          </cell>
          <cell r="H31">
            <v>94.138000000000005</v>
          </cell>
          <cell r="I31">
            <v>0.72495263911777841</v>
          </cell>
          <cell r="J31">
            <v>35.716000000000001</v>
          </cell>
          <cell r="K31">
            <v>10.468</v>
          </cell>
          <cell r="L31">
            <v>6.7405022537025114E-2</v>
          </cell>
          <cell r="M31">
            <v>6.7425428172080401E-2</v>
          </cell>
          <cell r="N31">
            <v>39.337000000000003</v>
          </cell>
          <cell r="O31">
            <v>0.25329684481648423</v>
          </cell>
          <cell r="P31">
            <v>69.779000000000011</v>
          </cell>
          <cell r="Q31">
            <v>12.509</v>
          </cell>
          <cell r="R31">
            <v>12.509</v>
          </cell>
          <cell r="S31">
            <v>98.03</v>
          </cell>
          <cell r="T31">
            <v>57.27000000000001</v>
          </cell>
          <cell r="U31">
            <v>0.36877012234385065</v>
          </cell>
          <cell r="V31">
            <v>0.29799999999999999</v>
          </cell>
          <cell r="W31">
            <v>0.29799999999999999</v>
          </cell>
          <cell r="X31">
            <v>10.956</v>
          </cell>
          <cell r="Y31">
            <v>-0.17900000000000005</v>
          </cell>
          <cell r="Z31">
            <v>3.5999999999999997E-2</v>
          </cell>
          <cell r="AA31">
            <v>0</v>
          </cell>
          <cell r="AB31">
            <v>57.044000000000011</v>
          </cell>
          <cell r="AC31">
            <v>57.091000000000008</v>
          </cell>
          <cell r="AD31">
            <v>0.3676175144880876</v>
          </cell>
          <cell r="AE31">
            <v>3.9929999999999999</v>
          </cell>
          <cell r="AF31">
            <v>6.9940971431574142E-2</v>
          </cell>
          <cell r="AG31">
            <v>53.098000000000006</v>
          </cell>
          <cell r="AH31">
            <v>0.34190598840952996</v>
          </cell>
          <cell r="AI31">
            <v>0.31892031496819689</v>
          </cell>
          <cell r="AJ31">
            <v>166.49299999999999</v>
          </cell>
          <cell r="AK31">
            <v>154.01599999999999</v>
          </cell>
        </row>
        <row r="32">
          <cell r="C32" t="str">
            <v>2Q, 2002</v>
          </cell>
          <cell r="D32">
            <v>177.8</v>
          </cell>
          <cell r="E32">
            <v>3.673</v>
          </cell>
          <cell r="F32">
            <v>55.88</v>
          </cell>
          <cell r="G32">
            <v>185.1</v>
          </cell>
          <cell r="H32">
            <v>116.5</v>
          </cell>
          <cell r="I32">
            <v>0.65523059617547807</v>
          </cell>
          <cell r="J32">
            <v>41.3</v>
          </cell>
          <cell r="K32">
            <v>14.5</v>
          </cell>
          <cell r="L32">
            <v>7.833603457590492E-2</v>
          </cell>
          <cell r="M32">
            <v>7.8069043001982377E-2</v>
          </cell>
          <cell r="N32">
            <v>39</v>
          </cell>
          <cell r="O32">
            <v>0.21069692058346839</v>
          </cell>
          <cell r="P32">
            <v>90.3</v>
          </cell>
          <cell r="Q32">
            <v>14.019</v>
          </cell>
          <cell r="R32">
            <v>14.019</v>
          </cell>
          <cell r="S32">
            <v>108.819</v>
          </cell>
          <cell r="T32">
            <v>76.280999999999992</v>
          </cell>
          <cell r="U32">
            <v>0.41210696920583467</v>
          </cell>
          <cell r="V32">
            <v>0.749</v>
          </cell>
          <cell r="W32">
            <v>1.0469999999999999</v>
          </cell>
          <cell r="X32">
            <v>10.17</v>
          </cell>
          <cell r="Y32">
            <v>-9.1229999999999993</v>
          </cell>
          <cell r="Z32">
            <v>-1.1000000000000001</v>
          </cell>
          <cell r="AA32">
            <v>167.745</v>
          </cell>
          <cell r="AB32">
            <v>67.263999999999996</v>
          </cell>
          <cell r="AC32">
            <v>67.157999999999987</v>
          </cell>
          <cell r="AD32">
            <v>0.36282009724473252</v>
          </cell>
          <cell r="AE32">
            <v>4.7069999999999999</v>
          </cell>
          <cell r="AF32">
            <v>7.0088448137228643E-2</v>
          </cell>
          <cell r="AG32">
            <v>62.450999999999986</v>
          </cell>
          <cell r="AH32">
            <v>0.33739059967585083</v>
          </cell>
          <cell r="AI32">
            <v>0.38687795419487919</v>
          </cell>
          <cell r="AJ32">
            <v>161.423</v>
          </cell>
          <cell r="AK32">
            <v>158.09899999999999</v>
          </cell>
        </row>
        <row r="33">
          <cell r="C33" t="str">
            <v>3Q, 2002</v>
          </cell>
          <cell r="D33">
            <v>174.50800000000001</v>
          </cell>
          <cell r="E33">
            <v>7.6529999999999996</v>
          </cell>
          <cell r="F33">
            <v>16.783000000000001</v>
          </cell>
          <cell r="G33">
            <v>208.9</v>
          </cell>
          <cell r="H33">
            <v>130.501</v>
          </cell>
          <cell r="I33">
            <v>0.7478224494006005</v>
          </cell>
          <cell r="J33">
            <v>44.006999999999998</v>
          </cell>
          <cell r="K33">
            <v>14.625999999999999</v>
          </cell>
          <cell r="L33">
            <v>7.0014360938247963E-2</v>
          </cell>
          <cell r="M33">
            <v>6.9999617122291136E-2</v>
          </cell>
          <cell r="N33">
            <v>44.921999999999997</v>
          </cell>
          <cell r="O33">
            <v>0.21504068932503589</v>
          </cell>
          <cell r="P33">
            <v>105.345</v>
          </cell>
          <cell r="Q33">
            <v>15.994</v>
          </cell>
          <cell r="R33">
            <v>15.994</v>
          </cell>
          <cell r="S33">
            <v>119.54900000000001</v>
          </cell>
          <cell r="T33">
            <v>89.350999999999999</v>
          </cell>
          <cell r="U33">
            <v>0.42772139779798946</v>
          </cell>
          <cell r="V33">
            <v>2.0939999999999999</v>
          </cell>
          <cell r="W33">
            <v>0.29799999999999999</v>
          </cell>
          <cell r="X33">
            <v>10.956</v>
          </cell>
          <cell r="Y33">
            <v>-10.657999999999999</v>
          </cell>
          <cell r="Z33">
            <v>-0.7</v>
          </cell>
          <cell r="AA33">
            <v>167.745</v>
          </cell>
          <cell r="AB33">
            <v>78.737000000000009</v>
          </cell>
          <cell r="AC33">
            <v>78.692999999999998</v>
          </cell>
          <cell r="AD33">
            <v>0.3767017711823839</v>
          </cell>
          <cell r="AE33">
            <v>5.7</v>
          </cell>
          <cell r="AF33">
            <v>7.2433380351492507E-2</v>
          </cell>
          <cell r="AG33">
            <v>72.992999999999995</v>
          </cell>
          <cell r="AH33">
            <v>0.34941598851124939</v>
          </cell>
          <cell r="AI33">
            <v>0.47393127986702682</v>
          </cell>
          <cell r="AJ33">
            <v>154.01599999999999</v>
          </cell>
          <cell r="AK33">
            <v>160.46299999999999</v>
          </cell>
        </row>
        <row r="34">
          <cell r="C34" t="str">
            <v>4Q, 2002</v>
          </cell>
          <cell r="D34">
            <v>183.83600000000001</v>
          </cell>
          <cell r="E34">
            <v>9.2569999999999997</v>
          </cell>
          <cell r="F34">
            <v>35.603999999999999</v>
          </cell>
          <cell r="G34">
            <v>238.7</v>
          </cell>
          <cell r="H34">
            <v>140.14400000000001</v>
          </cell>
          <cell r="I34">
            <v>0.76233164342131032</v>
          </cell>
          <cell r="J34">
            <v>43.692</v>
          </cell>
          <cell r="K34">
            <v>12.603</v>
          </cell>
          <cell r="L34">
            <v>5.2798491830749895E-2</v>
          </cell>
          <cell r="M34">
            <v>5.2799155414605128E-2</v>
          </cell>
          <cell r="N34">
            <v>42.457000000000001</v>
          </cell>
          <cell r="O34">
            <v>0.17786761625471303</v>
          </cell>
          <cell r="P34">
            <v>139.94799999999998</v>
          </cell>
          <cell r="Q34">
            <v>28.977</v>
          </cell>
          <cell r="R34">
            <v>28.977</v>
          </cell>
          <cell r="S34">
            <v>127.729</v>
          </cell>
          <cell r="T34">
            <v>110.97099999999999</v>
          </cell>
          <cell r="U34">
            <v>0.46489736070381227</v>
          </cell>
          <cell r="W34">
            <v>0.749</v>
          </cell>
          <cell r="X34">
            <v>9.2520000000000007</v>
          </cell>
          <cell r="Y34">
            <v>-8.5030000000000001</v>
          </cell>
          <cell r="AB34">
            <v>102.465</v>
          </cell>
          <cell r="AC34">
            <v>102.46799999999999</v>
          </cell>
          <cell r="AD34">
            <v>0.42927524088814412</v>
          </cell>
          <cell r="AE34">
            <v>7.1</v>
          </cell>
          <cell r="AF34">
            <v>6.9289924659405866E-2</v>
          </cell>
          <cell r="AG34">
            <v>95.367999999999995</v>
          </cell>
          <cell r="AH34">
            <v>0.39953079178885631</v>
          </cell>
          <cell r="AI34">
            <v>0.6032169716443494</v>
          </cell>
          <cell r="AJ34">
            <v>158.09899999999999</v>
          </cell>
        </row>
        <row r="35">
          <cell r="C35">
            <v>2002</v>
          </cell>
          <cell r="D35">
            <v>665.99800000000005</v>
          </cell>
          <cell r="E35">
            <v>26.295999999999999</v>
          </cell>
          <cell r="F35">
            <v>117.953</v>
          </cell>
          <cell r="G35">
            <v>810.24700000000007</v>
          </cell>
          <cell r="H35">
            <v>501.28300000000002</v>
          </cell>
          <cell r="I35">
            <v>0.75267943747578814</v>
          </cell>
          <cell r="J35">
            <v>164.715</v>
          </cell>
          <cell r="K35">
            <v>52.197000000000003</v>
          </cell>
          <cell r="L35">
            <v>6.4421096282985313E-2</v>
          </cell>
          <cell r="M35">
            <v>6.6178103486564513E-2</v>
          </cell>
          <cell r="N35">
            <v>165.71600000000001</v>
          </cell>
          <cell r="O35">
            <v>0.20452528673355161</v>
          </cell>
          <cell r="P35">
            <v>405.37199999999996</v>
          </cell>
          <cell r="Q35">
            <v>71.498999999999995</v>
          </cell>
          <cell r="R35">
            <v>-24.754999999999999</v>
          </cell>
          <cell r="S35">
            <v>454.12700000000001</v>
          </cell>
          <cell r="T35">
            <v>356.12000000000006</v>
          </cell>
          <cell r="U35">
            <v>0.43952029442873597</v>
          </cell>
          <cell r="V35">
            <v>3.0670000000000002</v>
          </cell>
          <cell r="W35">
            <v>2.0939999999999999</v>
          </cell>
          <cell r="X35">
            <v>30.378</v>
          </cell>
          <cell r="Y35">
            <v>-28.463000000000001</v>
          </cell>
          <cell r="Z35">
            <v>5.4</v>
          </cell>
          <cell r="AA35">
            <v>0</v>
          </cell>
          <cell r="AB35">
            <v>305.51</v>
          </cell>
          <cell r="AC35">
            <v>327.65700000000004</v>
          </cell>
          <cell r="AD35">
            <v>0.40439150036964039</v>
          </cell>
          <cell r="AE35">
            <v>21.5</v>
          </cell>
          <cell r="AF35">
            <v>6.5617398682158462E-2</v>
          </cell>
          <cell r="AG35">
            <v>306.15700000000004</v>
          </cell>
          <cell r="AH35">
            <v>0.37785638206620947</v>
          </cell>
          <cell r="AI35">
            <v>1.7829465206744524</v>
          </cell>
          <cell r="AJ35">
            <v>160.46299999999999</v>
          </cell>
          <cell r="AK35">
            <v>159.49299999999999</v>
          </cell>
        </row>
        <row r="36">
          <cell r="C36" t="str">
            <v>2Q, 2003</v>
          </cell>
          <cell r="D36">
            <v>157.732</v>
          </cell>
          <cell r="E36">
            <v>3.673</v>
          </cell>
          <cell r="F36">
            <v>55.88</v>
          </cell>
          <cell r="G36">
            <v>217.285</v>
          </cell>
          <cell r="H36">
            <v>146.4</v>
          </cell>
          <cell r="I36">
            <v>0.92815662008977251</v>
          </cell>
          <cell r="J36">
            <v>11.332000000000001</v>
          </cell>
          <cell r="K36">
            <v>21.812999999999999</v>
          </cell>
          <cell r="L36">
            <v>0.13829153247280196</v>
          </cell>
          <cell r="N36">
            <v>56.948999999999998</v>
          </cell>
          <cell r="O36">
            <v>0.26209356375267506</v>
          </cell>
          <cell r="P36">
            <v>142.64799999999997</v>
          </cell>
          <cell r="Q36">
            <v>45.886000000000003</v>
          </cell>
          <cell r="R36">
            <v>-9.3000000000000007</v>
          </cell>
          <cell r="S36">
            <v>126.68000000000002</v>
          </cell>
          <cell r="T36">
            <v>90.604999999999976</v>
          </cell>
          <cell r="U36">
            <v>0.41698690659732601</v>
          </cell>
          <cell r="V36">
            <v>1.635</v>
          </cell>
          <cell r="W36">
            <v>1.635</v>
          </cell>
          <cell r="X36">
            <v>9.5069999999999997</v>
          </cell>
          <cell r="Y36">
            <v>-7.8719999999999999</v>
          </cell>
          <cell r="Z36">
            <v>3.9</v>
          </cell>
          <cell r="AA36">
            <v>84.2</v>
          </cell>
          <cell r="AB36">
            <v>6.157</v>
          </cell>
          <cell r="AC36">
            <v>88.889999999999972</v>
          </cell>
          <cell r="AD36">
            <v>0.4090940469889775</v>
          </cell>
          <cell r="AE36">
            <v>5.7</v>
          </cell>
          <cell r="AF36">
            <v>6.4124198447519432E-2</v>
          </cell>
          <cell r="AG36">
            <v>83.189999999999969</v>
          </cell>
          <cell r="AH36">
            <v>0.38286121913615745</v>
          </cell>
          <cell r="AI36">
            <v>0.51855037773954649</v>
          </cell>
          <cell r="AK36">
            <v>160.428</v>
          </cell>
        </row>
        <row r="37">
          <cell r="C37" t="str">
            <v>1Q, 2003</v>
          </cell>
          <cell r="D37">
            <v>126.914</v>
          </cell>
          <cell r="E37">
            <v>2.6</v>
          </cell>
          <cell r="F37">
            <v>51.875999999999998</v>
          </cell>
          <cell r="G37">
            <v>191.4</v>
          </cell>
          <cell r="H37">
            <v>89.50200000000001</v>
          </cell>
          <cell r="I37">
            <v>0.70521770647840276</v>
          </cell>
          <cell r="J37">
            <v>37.411999999999999</v>
          </cell>
          <cell r="K37">
            <v>18.006</v>
          </cell>
          <cell r="L37">
            <v>0.1418756008005421</v>
          </cell>
          <cell r="M37">
            <v>8.1362038652334198E-2</v>
          </cell>
          <cell r="N37">
            <v>46.156999999999996</v>
          </cell>
          <cell r="O37">
            <v>0.24115464994775337</v>
          </cell>
          <cell r="P37">
            <v>114.58</v>
          </cell>
          <cell r="Q37">
            <v>40.521000000000001</v>
          </cell>
          <cell r="R37">
            <v>-24.754999999999999</v>
          </cell>
          <cell r="S37">
            <v>165.66300000000001</v>
          </cell>
          <cell r="T37">
            <v>49.65100000000001</v>
          </cell>
          <cell r="U37">
            <v>0.23059810323527502</v>
          </cell>
          <cell r="V37">
            <v>1.1910000000000001</v>
          </cell>
          <cell r="W37">
            <v>3.0670000000000002</v>
          </cell>
          <cell r="X37">
            <v>9.9819999999999993</v>
          </cell>
          <cell r="Y37">
            <v>-6.4079999999999995</v>
          </cell>
          <cell r="Z37">
            <v>-3.1</v>
          </cell>
          <cell r="AA37">
            <v>18.408999999999999</v>
          </cell>
          <cell r="AB37">
            <v>65.295804079374989</v>
          </cell>
          <cell r="AC37">
            <v>67.650999999999996</v>
          </cell>
          <cell r="AD37">
            <v>0.35345350052246599</v>
          </cell>
          <cell r="AE37">
            <v>4.6500000000000004</v>
          </cell>
          <cell r="AF37">
            <v>6.8735125866579955E-2</v>
          </cell>
          <cell r="AG37">
            <v>63.000999999999998</v>
          </cell>
          <cell r="AH37">
            <v>0.32915882967607102</v>
          </cell>
          <cell r="AI37">
            <v>0.39</v>
          </cell>
          <cell r="AJ37">
            <v>159.49299999999999</v>
          </cell>
          <cell r="AK37">
            <v>160.42599999999999</v>
          </cell>
        </row>
        <row r="38">
          <cell r="C38" t="str">
            <v>2Q, 2003</v>
          </cell>
          <cell r="D38">
            <v>157.732</v>
          </cell>
          <cell r="E38">
            <v>3.673</v>
          </cell>
          <cell r="F38">
            <v>55.88</v>
          </cell>
          <cell r="G38">
            <v>217.285</v>
          </cell>
          <cell r="H38">
            <v>146.4</v>
          </cell>
          <cell r="I38">
            <v>0.92815662008977251</v>
          </cell>
          <cell r="J38">
            <v>11.332000000000001</v>
          </cell>
          <cell r="K38">
            <v>21.812999999999999</v>
          </cell>
          <cell r="L38">
            <v>0.13829153247280196</v>
          </cell>
          <cell r="M38">
            <v>8.482766454085712E-2</v>
          </cell>
          <cell r="N38">
            <v>56.948999999999998</v>
          </cell>
          <cell r="O38">
            <v>0.26209356375267506</v>
          </cell>
          <cell r="P38">
            <v>142.64799999999997</v>
          </cell>
          <cell r="Q38">
            <v>45.886000000000003</v>
          </cell>
          <cell r="R38">
            <v>-9.3000000000000007</v>
          </cell>
          <cell r="S38">
            <v>169.35599999999999</v>
          </cell>
          <cell r="T38">
            <v>30.379000000000019</v>
          </cell>
          <cell r="U38">
            <v>0.15209652789946687</v>
          </cell>
          <cell r="V38">
            <v>1.272</v>
          </cell>
          <cell r="W38">
            <v>1.635</v>
          </cell>
          <cell r="X38">
            <v>9.5069999999999997</v>
          </cell>
          <cell r="Y38">
            <v>-7.8719999999999999</v>
          </cell>
          <cell r="Z38">
            <v>-4.4130000000000003</v>
          </cell>
          <cell r="AA38">
            <v>-1.6439999999999999</v>
          </cell>
          <cell r="AB38">
            <v>6.157</v>
          </cell>
          <cell r="AC38">
            <v>88.889999999999972</v>
          </cell>
          <cell r="AD38">
            <v>0.4090940469889775</v>
          </cell>
          <cell r="AE38">
            <v>5.7</v>
          </cell>
          <cell r="AF38">
            <v>6.4124198447519432E-2</v>
          </cell>
          <cell r="AG38">
            <v>83.189999999999969</v>
          </cell>
          <cell r="AH38">
            <v>0.38286121913615745</v>
          </cell>
          <cell r="AI38">
            <v>0.51855037773954649</v>
          </cell>
          <cell r="AJ38">
            <v>160.428</v>
          </cell>
          <cell r="AK38">
            <v>160.42599999999999</v>
          </cell>
        </row>
        <row r="39">
          <cell r="C39" t="str">
            <v>3Q, 2003</v>
          </cell>
          <cell r="D39">
            <v>179.98500000000001</v>
          </cell>
          <cell r="E39">
            <v>4.5419999999999998</v>
          </cell>
          <cell r="F39">
            <v>30.786999999999999</v>
          </cell>
          <cell r="G39">
            <v>215.31400000000002</v>
          </cell>
          <cell r="H39">
            <v>139.90600000000001</v>
          </cell>
          <cell r="I39">
            <v>0.77732033224990971</v>
          </cell>
          <cell r="J39">
            <v>40.079000000000001</v>
          </cell>
          <cell r="K39">
            <v>20.608000000000001</v>
          </cell>
          <cell r="L39">
            <v>0.11449843042475762</v>
          </cell>
          <cell r="M39">
            <v>7.7808714414561345E-2</v>
          </cell>
          <cell r="N39">
            <v>76.733000000000004</v>
          </cell>
          <cell r="O39">
            <v>0.35637719795275735</v>
          </cell>
          <cell r="P39">
            <v>77.89400000000002</v>
          </cell>
          <cell r="Q39">
            <v>28.242999999999999</v>
          </cell>
          <cell r="R39">
            <v>-34.055</v>
          </cell>
          <cell r="S39">
            <v>165.66300000000001</v>
          </cell>
          <cell r="T39">
            <v>49.65100000000001</v>
          </cell>
          <cell r="U39">
            <v>0.23059810323527502</v>
          </cell>
          <cell r="V39">
            <v>7.165</v>
          </cell>
          <cell r="W39">
            <v>3</v>
          </cell>
          <cell r="X39">
            <v>10</v>
          </cell>
          <cell r="Y39">
            <v>-7</v>
          </cell>
          <cell r="Z39">
            <v>-4.4130000000000003</v>
          </cell>
          <cell r="AA39">
            <v>-1.6439999999999999</v>
          </cell>
          <cell r="AB39">
            <v>115.19468164999998</v>
          </cell>
          <cell r="AC39">
            <v>110.774</v>
          </cell>
          <cell r="AD39">
            <v>0.37116186187393618</v>
          </cell>
          <cell r="AE39">
            <v>7.7541800000000007</v>
          </cell>
          <cell r="AF39">
            <v>7.0000000000000007E-2</v>
          </cell>
          <cell r="AG39">
            <v>103.01982</v>
          </cell>
          <cell r="AH39">
            <v>0.34518053154276063</v>
          </cell>
          <cell r="AI39">
            <v>0.64151459281985124</v>
          </cell>
          <cell r="AJ39">
            <v>160.58842799999999</v>
          </cell>
          <cell r="AK39">
            <v>160.19324999999998</v>
          </cell>
        </row>
        <row r="40">
          <cell r="C40" t="str">
            <v>4Q, 2003E</v>
          </cell>
          <cell r="D40">
            <v>229.7971</v>
          </cell>
          <cell r="E40">
            <v>4.5</v>
          </cell>
          <cell r="F40">
            <v>21.240000000000002</v>
          </cell>
          <cell r="G40">
            <v>255.53710000000001</v>
          </cell>
          <cell r="H40">
            <v>183.83768000000001</v>
          </cell>
          <cell r="I40">
            <v>0.8</v>
          </cell>
          <cell r="J40">
            <v>45.959420000000001</v>
          </cell>
          <cell r="K40">
            <v>35</v>
          </cell>
          <cell r="L40">
            <v>0.15230827543080397</v>
          </cell>
          <cell r="M40">
            <v>7.4131375551428957E-2</v>
          </cell>
          <cell r="N40">
            <v>93</v>
          </cell>
          <cell r="O40">
            <v>0.36393932622699404</v>
          </cell>
          <cell r="P40">
            <v>81.577680000000015</v>
          </cell>
          <cell r="Q40">
            <v>25</v>
          </cell>
          <cell r="R40">
            <v>15</v>
          </cell>
          <cell r="S40">
            <v>198.95941999999999</v>
          </cell>
          <cell r="T40">
            <v>56.577680000000015</v>
          </cell>
          <cell r="U40">
            <v>0.22140691116867184</v>
          </cell>
          <cell r="W40">
            <v>1</v>
          </cell>
          <cell r="X40">
            <v>10.54</v>
          </cell>
          <cell r="Y40">
            <v>-9.5399999999999991</v>
          </cell>
          <cell r="AB40">
            <v>133.77994239999995</v>
          </cell>
          <cell r="AC40">
            <v>47.037680000000016</v>
          </cell>
          <cell r="AD40">
            <v>0.1840737802847415</v>
          </cell>
          <cell r="AE40">
            <v>3.0574492000000011</v>
          </cell>
          <cell r="AF40">
            <v>6.5000000000000002E-2</v>
          </cell>
          <cell r="AG40">
            <v>43.980230800000015</v>
          </cell>
          <cell r="AH40">
            <v>0.1721089845662333</v>
          </cell>
          <cell r="AI40">
            <v>0.27414652737087514</v>
          </cell>
          <cell r="AJ40">
            <v>160.42599999999999</v>
          </cell>
        </row>
        <row r="41">
          <cell r="C41" t="str">
            <v>2003E</v>
          </cell>
          <cell r="D41">
            <v>694.42810000000009</v>
          </cell>
          <cell r="E41">
            <v>15.315</v>
          </cell>
          <cell r="F41">
            <v>159.78300000000002</v>
          </cell>
          <cell r="G41">
            <v>879.53610000000003</v>
          </cell>
          <cell r="H41">
            <v>559.64568000000008</v>
          </cell>
          <cell r="I41">
            <v>0.80590874706827098</v>
          </cell>
          <cell r="J41">
            <v>134.78242</v>
          </cell>
          <cell r="K41">
            <v>95.427000000000007</v>
          </cell>
          <cell r="L41">
            <v>0.13741811427273751</v>
          </cell>
          <cell r="M41">
            <v>7.9219742741890725E-2</v>
          </cell>
          <cell r="N41">
            <v>272.839</v>
          </cell>
          <cell r="O41">
            <v>0.31020784706847165</v>
          </cell>
          <cell r="P41">
            <v>416.69967999999994</v>
          </cell>
          <cell r="Q41">
            <v>139.65</v>
          </cell>
          <cell r="R41">
            <v>-34.055</v>
          </cell>
          <cell r="S41">
            <v>154.39249999999998</v>
          </cell>
          <cell r="T41">
            <v>22.58250000000001</v>
          </cell>
          <cell r="U41">
            <v>0.12760276875264875</v>
          </cell>
          <cell r="V41">
            <v>1.7</v>
          </cell>
          <cell r="W41">
            <v>12.702</v>
          </cell>
          <cell r="X41">
            <v>39.488999999999997</v>
          </cell>
          <cell r="Y41">
            <v>-26.786999999999999</v>
          </cell>
          <cell r="Z41">
            <v>66.275999999999996</v>
          </cell>
          <cell r="AA41">
            <v>-93.062999999999988</v>
          </cell>
          <cell r="AB41">
            <v>396.17708662937491</v>
          </cell>
          <cell r="AC41">
            <v>0.40496834687755923</v>
          </cell>
          <cell r="AD41">
            <v>32.036587621953117</v>
          </cell>
          <cell r="AE41">
            <v>8.0864312205726985E-2</v>
          </cell>
          <cell r="AF41">
            <v>364.14049900742179</v>
          </cell>
          <cell r="AG41">
            <v>0.37222086004221511</v>
          </cell>
          <cell r="AH41">
            <v>2.2974940492683333</v>
          </cell>
          <cell r="AI41">
            <v>158.49464294516324</v>
          </cell>
          <cell r="AJ41">
            <v>160.31461110699999</v>
          </cell>
          <cell r="AK41">
            <v>160.58642599999996</v>
          </cell>
        </row>
        <row r="42">
          <cell r="C42" t="str">
            <v>2Q, 2004E</v>
          </cell>
          <cell r="D42">
            <v>213.39499999999998</v>
          </cell>
          <cell r="E42">
            <v>3</v>
          </cell>
          <cell r="F42">
            <v>6</v>
          </cell>
          <cell r="G42">
            <v>222.39499999999998</v>
          </cell>
          <cell r="H42">
            <v>151.51044999999999</v>
          </cell>
          <cell r="I42">
            <v>0.71000000000000008</v>
          </cell>
          <cell r="J42">
            <v>61.88454999999999</v>
          </cell>
          <cell r="K42">
            <v>22</v>
          </cell>
          <cell r="L42">
            <v>9.8923087299624554E-2</v>
          </cell>
          <cell r="N42">
            <v>75</v>
          </cell>
          <cell r="O42">
            <v>0.33723779761235639</v>
          </cell>
          <cell r="P42">
            <v>63.510449999999992</v>
          </cell>
          <cell r="Q42">
            <v>16</v>
          </cell>
          <cell r="S42">
            <v>174.88454999999999</v>
          </cell>
          <cell r="T42">
            <v>47.510449999999992</v>
          </cell>
          <cell r="U42">
            <v>0.213630926954293</v>
          </cell>
          <cell r="V42">
            <v>2</v>
          </cell>
          <cell r="W42">
            <v>2</v>
          </cell>
          <cell r="X42">
            <v>10.5</v>
          </cell>
          <cell r="Y42">
            <v>-8.5</v>
          </cell>
          <cell r="Z42">
            <v>-13.698</v>
          </cell>
          <cell r="AC42">
            <v>39.010449999999992</v>
          </cell>
          <cell r="AD42">
            <v>0.17541064322489261</v>
          </cell>
          <cell r="AE42">
            <v>1.5604179999999996</v>
          </cell>
          <cell r="AF42">
            <v>0.04</v>
          </cell>
          <cell r="AG42">
            <v>37.450031999999993</v>
          </cell>
          <cell r="AH42">
            <v>0.16839421749589692</v>
          </cell>
          <cell r="AI42">
            <v>0.23297497996885108</v>
          </cell>
          <cell r="AK42">
            <v>160.74701242599994</v>
          </cell>
        </row>
        <row r="43">
          <cell r="C43" t="str">
            <v>1Q, 2004E</v>
          </cell>
          <cell r="D43">
            <v>186.30500000000001</v>
          </cell>
          <cell r="E43">
            <v>2.5999999999999996</v>
          </cell>
          <cell r="F43">
            <v>8</v>
          </cell>
          <cell r="G43">
            <v>196.905</v>
          </cell>
          <cell r="H43">
            <v>143.45484999999999</v>
          </cell>
          <cell r="I43">
            <v>0.76999999999999991</v>
          </cell>
          <cell r="J43">
            <v>42.850150000000006</v>
          </cell>
          <cell r="K43">
            <v>18</v>
          </cell>
          <cell r="L43">
            <v>9.1414641578426145E-2</v>
          </cell>
          <cell r="M43">
            <v>7.9074947812777574E-2</v>
          </cell>
          <cell r="N43">
            <v>64</v>
          </cell>
          <cell r="O43">
            <v>0.32502983672329294</v>
          </cell>
          <cell r="P43">
            <v>72.054849999999988</v>
          </cell>
          <cell r="Q43">
            <v>16</v>
          </cell>
          <cell r="R43">
            <v>78</v>
          </cell>
          <cell r="S43">
            <v>140.85015000000001</v>
          </cell>
          <cell r="T43">
            <v>56.054849999999988</v>
          </cell>
          <cell r="U43">
            <v>0.28467966786013554</v>
          </cell>
          <cell r="V43">
            <v>2.5</v>
          </cell>
          <cell r="W43">
            <v>20</v>
          </cell>
          <cell r="X43">
            <v>40</v>
          </cell>
          <cell r="Y43">
            <v>-20</v>
          </cell>
          <cell r="Z43">
            <v>-10.718999999999999</v>
          </cell>
          <cell r="AB43">
            <v>521.57163022422503</v>
          </cell>
          <cell r="AC43">
            <v>48.061849999999986</v>
          </cell>
          <cell r="AD43">
            <v>0.2440864884081155</v>
          </cell>
          <cell r="AE43">
            <v>2.883710999999999</v>
          </cell>
          <cell r="AF43">
            <v>0.06</v>
          </cell>
          <cell r="AG43">
            <v>45.178138999999987</v>
          </cell>
          <cell r="AH43">
            <v>0.22944129910362859</v>
          </cell>
          <cell r="AI43">
            <v>0.28133224037254556</v>
          </cell>
          <cell r="AJ43">
            <v>160.58642599999996</v>
          </cell>
          <cell r="AK43">
            <v>160.90775943842593</v>
          </cell>
        </row>
        <row r="44">
          <cell r="C44" t="str">
            <v>2Q, 2004E</v>
          </cell>
          <cell r="D44">
            <v>211.83500000000001</v>
          </cell>
          <cell r="E44">
            <v>3.7</v>
          </cell>
          <cell r="F44">
            <v>9.5</v>
          </cell>
          <cell r="G44">
            <v>225.035</v>
          </cell>
          <cell r="H44">
            <v>165.2313</v>
          </cell>
          <cell r="I44">
            <v>0.78</v>
          </cell>
          <cell r="J44">
            <v>46.603700000000003</v>
          </cell>
          <cell r="K44">
            <v>22</v>
          </cell>
          <cell r="L44">
            <v>9.7762570266847384E-2</v>
          </cell>
          <cell r="M44">
            <v>7.8552657120870228E-2</v>
          </cell>
          <cell r="N44">
            <v>67</v>
          </cell>
          <cell r="O44">
            <v>0.29773146399448974</v>
          </cell>
          <cell r="P44">
            <v>89.431299999999993</v>
          </cell>
          <cell r="Q44">
            <v>16</v>
          </cell>
          <cell r="R44">
            <v>78</v>
          </cell>
          <cell r="S44">
            <v>151.6037</v>
          </cell>
          <cell r="T44">
            <v>73.431299999999993</v>
          </cell>
          <cell r="U44">
            <v>0.32631057391072499</v>
          </cell>
          <cell r="V44">
            <v>3</v>
          </cell>
          <cell r="W44">
            <v>35</v>
          </cell>
          <cell r="X44">
            <v>40</v>
          </cell>
          <cell r="Y44">
            <v>-5</v>
          </cell>
          <cell r="Z44">
            <v>-12.818000000000001</v>
          </cell>
          <cell r="AB44">
            <v>669.34301221396856</v>
          </cell>
          <cell r="AC44">
            <v>65.431299999999993</v>
          </cell>
          <cell r="AD44">
            <v>0.29076054835914411</v>
          </cell>
          <cell r="AE44">
            <v>3.9258779999999995</v>
          </cell>
          <cell r="AF44">
            <v>0.06</v>
          </cell>
          <cell r="AG44">
            <v>61.505421999999996</v>
          </cell>
          <cell r="AH44">
            <v>0.27331491545759545</v>
          </cell>
          <cell r="AI44">
            <v>0.3826224890388808</v>
          </cell>
          <cell r="AJ44">
            <v>160.74701242599994</v>
          </cell>
          <cell r="AK44">
            <v>161.06866719786433</v>
          </cell>
        </row>
        <row r="45">
          <cell r="C45" t="str">
            <v>3Q, 2004E</v>
          </cell>
          <cell r="D45">
            <v>246.75149999999999</v>
          </cell>
          <cell r="E45">
            <v>4.5419999999999998</v>
          </cell>
          <cell r="F45">
            <v>9</v>
          </cell>
          <cell r="G45">
            <v>260.29349999999999</v>
          </cell>
          <cell r="H45">
            <v>199.86871500000001</v>
          </cell>
          <cell r="I45">
            <v>0.81</v>
          </cell>
          <cell r="J45">
            <v>46.882784999999998</v>
          </cell>
          <cell r="K45">
            <v>24</v>
          </cell>
          <cell r="L45">
            <v>9.2203608618732322E-2</v>
          </cell>
          <cell r="M45">
            <v>8.1453359921494065E-2</v>
          </cell>
          <cell r="N45">
            <v>68</v>
          </cell>
          <cell r="O45">
            <v>0.2612435577530749</v>
          </cell>
          <cell r="P45">
            <v>121.41071499999998</v>
          </cell>
          <cell r="Q45">
            <v>16</v>
          </cell>
          <cell r="R45">
            <v>78</v>
          </cell>
          <cell r="S45">
            <v>154.88278500000001</v>
          </cell>
          <cell r="T45">
            <v>105.41071499999998</v>
          </cell>
          <cell r="U45">
            <v>0.40496867958669724</v>
          </cell>
          <cell r="V45">
            <v>9.1999999999999993</v>
          </cell>
          <cell r="W45">
            <v>3</v>
          </cell>
          <cell r="X45">
            <v>10.5</v>
          </cell>
          <cell r="Y45">
            <v>-5</v>
          </cell>
          <cell r="Z45">
            <v>-45.555999999999997</v>
          </cell>
          <cell r="AB45">
            <v>807.44307752249676</v>
          </cell>
          <cell r="AC45">
            <v>97.910714999999982</v>
          </cell>
          <cell r="AD45">
            <v>0.37615505189334342</v>
          </cell>
          <cell r="AE45">
            <v>5.8746428999999987</v>
          </cell>
          <cell r="AF45">
            <v>0.06</v>
          </cell>
          <cell r="AG45">
            <v>92.036072099999984</v>
          </cell>
          <cell r="AH45">
            <v>0.3535857487797428</v>
          </cell>
          <cell r="AI45">
            <v>0.57198032227413587</v>
          </cell>
          <cell r="AJ45">
            <v>160.90775943842593</v>
          </cell>
          <cell r="AK45">
            <v>160.82746626557255</v>
          </cell>
        </row>
        <row r="46">
          <cell r="C46" t="str">
            <v>4Q, 2004E</v>
          </cell>
          <cell r="D46">
            <v>278.597825</v>
          </cell>
          <cell r="E46">
            <v>4.5</v>
          </cell>
          <cell r="F46">
            <v>12</v>
          </cell>
          <cell r="G46">
            <v>295.097825</v>
          </cell>
          <cell r="H46">
            <v>228.45021650000001</v>
          </cell>
          <cell r="I46">
            <v>0.82000000000000006</v>
          </cell>
          <cell r="J46">
            <v>50.147608499999997</v>
          </cell>
          <cell r="K46">
            <v>22</v>
          </cell>
          <cell r="L46">
            <v>7.4551549134596301E-2</v>
          </cell>
          <cell r="M46">
            <v>7.4530548766875093E-2</v>
          </cell>
          <cell r="N46">
            <v>70</v>
          </cell>
          <cell r="O46">
            <v>0.23720947451917004</v>
          </cell>
          <cell r="P46">
            <v>152.95021650000001</v>
          </cell>
          <cell r="Q46">
            <v>16</v>
          </cell>
          <cell r="R46">
            <v>78</v>
          </cell>
          <cell r="S46">
            <v>158.14760849999999</v>
          </cell>
          <cell r="T46">
            <v>136.95021650000001</v>
          </cell>
          <cell r="U46">
            <v>0.4640841270178796</v>
          </cell>
          <cell r="W46">
            <v>3.5</v>
          </cell>
          <cell r="X46">
            <v>10.5</v>
          </cell>
          <cell r="Y46">
            <v>-5</v>
          </cell>
          <cell r="AB46">
            <v>1025.5117582258711</v>
          </cell>
          <cell r="AC46">
            <v>129.95021650000001</v>
          </cell>
          <cell r="AD46">
            <v>0.4403631795659626</v>
          </cell>
          <cell r="AE46">
            <v>7.7970129900000007</v>
          </cell>
          <cell r="AF46">
            <v>0.06</v>
          </cell>
          <cell r="AG46">
            <v>122.15320351000001</v>
          </cell>
          <cell r="AH46">
            <v>0.41394138879200487</v>
          </cell>
          <cell r="AI46">
            <v>0.75839209223691695</v>
          </cell>
          <cell r="AJ46">
            <v>161.06866719786433</v>
          </cell>
        </row>
        <row r="47">
          <cell r="C47" t="str">
            <v>2004E</v>
          </cell>
          <cell r="D47">
            <v>923.48932500000001</v>
          </cell>
          <cell r="E47">
            <v>15.341999999999999</v>
          </cell>
          <cell r="F47">
            <v>38.5</v>
          </cell>
          <cell r="G47">
            <v>977.33132499999999</v>
          </cell>
          <cell r="H47">
            <v>737.00508149999996</v>
          </cell>
          <cell r="I47">
            <v>0.79806562084515698</v>
          </cell>
          <cell r="J47">
            <v>186.48424349999999</v>
          </cell>
          <cell r="K47">
            <v>86</v>
          </cell>
          <cell r="L47">
            <v>8.7994723795433452E-2</v>
          </cell>
          <cell r="M47">
            <v>7.4001299486709679E-2</v>
          </cell>
          <cell r="N47">
            <v>269</v>
          </cell>
          <cell r="O47">
            <v>0.27523931047641392</v>
          </cell>
          <cell r="P47">
            <v>435.84708149999994</v>
          </cell>
          <cell r="Q47">
            <v>64</v>
          </cell>
          <cell r="R47">
            <v>78</v>
          </cell>
          <cell r="S47">
            <v>605.48424350000005</v>
          </cell>
          <cell r="T47">
            <v>371.84708149999994</v>
          </cell>
          <cell r="U47">
            <v>0.38047187477593636</v>
          </cell>
          <cell r="V47">
            <v>12</v>
          </cell>
          <cell r="W47">
            <v>11</v>
          </cell>
          <cell r="X47">
            <v>42</v>
          </cell>
          <cell r="Y47">
            <v>-5</v>
          </cell>
          <cell r="Z47">
            <v>-8.25</v>
          </cell>
          <cell r="AB47">
            <v>1063.3987970782514</v>
          </cell>
          <cell r="AC47">
            <v>341.35408150000001</v>
          </cell>
          <cell r="AD47">
            <v>0.34927160602367885</v>
          </cell>
          <cell r="AE47">
            <v>20.481244889999999</v>
          </cell>
          <cell r="AF47">
            <v>0.06</v>
          </cell>
          <cell r="AG47">
            <v>320.87283660999998</v>
          </cell>
          <cell r="AH47">
            <v>0.32831530966225808</v>
          </cell>
          <cell r="AI47">
            <v>1.9951370500368784</v>
          </cell>
          <cell r="AJ47">
            <v>160.82746626557255</v>
          </cell>
          <cell r="AK47">
            <v>162.43574092822828</v>
          </cell>
        </row>
        <row r="48">
          <cell r="C48" t="str">
            <v>2006E</v>
          </cell>
          <cell r="D48">
            <v>1071.5120943750001</v>
          </cell>
          <cell r="E48">
            <v>12</v>
          </cell>
          <cell r="F48">
            <v>28.64</v>
          </cell>
          <cell r="G48">
            <v>1112.1520943750002</v>
          </cell>
          <cell r="H48">
            <v>857.2096755</v>
          </cell>
          <cell r="I48">
            <v>0.79999999999999993</v>
          </cell>
          <cell r="J48">
            <v>214.30241887500003</v>
          </cell>
          <cell r="K48">
            <v>113.73499999999999</v>
          </cell>
          <cell r="L48">
            <v>0.1022656888165247</v>
          </cell>
          <cell r="N48">
            <v>427.79999999999995</v>
          </cell>
          <cell r="O48">
            <v>0.38465961819764605</v>
          </cell>
          <cell r="P48">
            <v>356.31467550000013</v>
          </cell>
          <cell r="Q48">
            <v>64</v>
          </cell>
          <cell r="S48">
            <v>819.83741887500003</v>
          </cell>
          <cell r="T48">
            <v>292.31467550000013</v>
          </cell>
          <cell r="U48">
            <v>0.26283695996119416</v>
          </cell>
          <cell r="V48">
            <v>15</v>
          </cell>
          <cell r="W48">
            <v>15</v>
          </cell>
          <cell r="X48">
            <v>40</v>
          </cell>
          <cell r="Y48">
            <v>-25</v>
          </cell>
          <cell r="Z48">
            <v>-8.25</v>
          </cell>
          <cell r="AC48">
            <v>267.31467550000013</v>
          </cell>
          <cell r="AD48">
            <v>0.24035802014132235</v>
          </cell>
          <cell r="AE48">
            <v>16.038880530000007</v>
          </cell>
          <cell r="AF48">
            <v>0.06</v>
          </cell>
          <cell r="AG48">
            <v>251.27579497000013</v>
          </cell>
          <cell r="AH48">
            <v>0.22593653893284302</v>
          </cell>
          <cell r="AI48">
            <v>1.5316082186728073</v>
          </cell>
          <cell r="AK48">
            <v>164.06009833751057</v>
          </cell>
        </row>
        <row r="49">
          <cell r="C49" t="str">
            <v>2005E</v>
          </cell>
          <cell r="D49">
            <v>1055.5066425</v>
          </cell>
          <cell r="E49">
            <v>15.341999999999999</v>
          </cell>
          <cell r="F49">
            <v>30.959999999999997</v>
          </cell>
          <cell r="G49">
            <v>1101.8086425000001</v>
          </cell>
          <cell r="H49">
            <v>854.96038042500004</v>
          </cell>
          <cell r="I49">
            <v>0.81</v>
          </cell>
          <cell r="J49">
            <v>200.54626207500002</v>
          </cell>
          <cell r="K49">
            <v>98.899999999999991</v>
          </cell>
          <cell r="L49">
            <v>8.9761503209483118E-2</v>
          </cell>
          <cell r="N49">
            <v>309.08100000000002</v>
          </cell>
          <cell r="O49">
            <v>0.28052148810404703</v>
          </cell>
          <cell r="P49">
            <v>493.28138042500007</v>
          </cell>
          <cell r="Q49">
            <v>64</v>
          </cell>
          <cell r="S49">
            <v>672.52726207500007</v>
          </cell>
          <cell r="T49">
            <v>429.28138042500007</v>
          </cell>
          <cell r="U49">
            <v>0.38961518712628906</v>
          </cell>
          <cell r="V49">
            <v>0.75</v>
          </cell>
          <cell r="W49">
            <v>35</v>
          </cell>
          <cell r="X49">
            <v>40</v>
          </cell>
          <cell r="Y49">
            <v>-5</v>
          </cell>
          <cell r="Z49">
            <v>-8.25</v>
          </cell>
          <cell r="AC49">
            <v>424.28138042500007</v>
          </cell>
          <cell r="AD49">
            <v>0.38507719404188645</v>
          </cell>
          <cell r="AE49">
            <v>25.456882825500003</v>
          </cell>
          <cell r="AF49">
            <v>0.06</v>
          </cell>
          <cell r="AG49">
            <v>398.82449759950009</v>
          </cell>
          <cell r="AH49">
            <v>0.36197256239937331</v>
          </cell>
          <cell r="AI49">
            <v>2.4552755158467212</v>
          </cell>
          <cell r="AJ49">
            <v>162.43574092822828</v>
          </cell>
        </row>
        <row r="50">
          <cell r="C50" t="str">
            <v>% Change</v>
          </cell>
          <cell r="D50">
            <v>0.43919368366255052</v>
          </cell>
          <cell r="E50">
            <v>0.5613609141821243</v>
          </cell>
          <cell r="F50">
            <v>0.5613609141821243</v>
          </cell>
          <cell r="G50">
            <v>1.1276265931794693</v>
          </cell>
          <cell r="H50">
            <v>0.54458744189795527</v>
          </cell>
          <cell r="I50">
            <v>0.8</v>
          </cell>
          <cell r="J50">
            <v>0.2268037631588149</v>
          </cell>
          <cell r="K50">
            <v>0.2268037631588149</v>
          </cell>
          <cell r="L50">
            <v>0.89422527158376197</v>
          </cell>
          <cell r="N50">
            <v>0.91046322332396046</v>
          </cell>
          <cell r="O50">
            <v>0.91046322332396046</v>
          </cell>
          <cell r="P50">
            <v>124.9</v>
          </cell>
          <cell r="Q50">
            <v>15</v>
          </cell>
          <cell r="S50">
            <v>0.61158332579799257</v>
          </cell>
          <cell r="T50">
            <v>121.17499999999998</v>
          </cell>
          <cell r="U50">
            <v>0.41530288749892896</v>
          </cell>
          <cell r="V50">
            <v>0.75</v>
          </cell>
          <cell r="W50">
            <v>-9</v>
          </cell>
          <cell r="X50">
            <v>0</v>
          </cell>
          <cell r="Y50">
            <v>0</v>
          </cell>
          <cell r="Z50">
            <v>-8.25</v>
          </cell>
          <cell r="AB50">
            <v>0.33769867663585695</v>
          </cell>
          <cell r="AC50">
            <v>0.33769867663585695</v>
          </cell>
          <cell r="AD50">
            <v>1.0825098814229248</v>
          </cell>
          <cell r="AE50">
            <v>1.0825098814229248</v>
          </cell>
          <cell r="AF50">
            <v>0.30144070038723347</v>
          </cell>
          <cell r="AG50">
            <v>0.30144070038723347</v>
          </cell>
          <cell r="AH50">
            <v>0.31070456544998559</v>
          </cell>
          <cell r="AI50">
            <v>-7.0678513731825543E-3</v>
          </cell>
          <cell r="AJ50">
            <v>-7.0678513731825543E-3</v>
          </cell>
        </row>
        <row r="51">
          <cell r="C51" t="str">
            <v xml:space="preserve"> 2006E</v>
          </cell>
          <cell r="D51">
            <v>1213.8326388749999</v>
          </cell>
          <cell r="E51">
            <v>16.109099999999998</v>
          </cell>
          <cell r="F51">
            <v>30.340799999999998</v>
          </cell>
          <cell r="G51" t="e">
            <v>#REF!</v>
          </cell>
          <cell r="H51">
            <v>995.34276387749992</v>
          </cell>
          <cell r="I51">
            <v>0.82</v>
          </cell>
          <cell r="J51">
            <v>0.2268037631588149</v>
          </cell>
          <cell r="K51">
            <v>0.89422527158376197</v>
          </cell>
          <cell r="L51" t="e">
            <v>#REF!</v>
          </cell>
          <cell r="N51">
            <v>355.44315</v>
          </cell>
          <cell r="O51" t="e">
            <v>#REF!</v>
          </cell>
          <cell r="P51" t="e">
            <v>#REF!</v>
          </cell>
          <cell r="Q51">
            <v>64</v>
          </cell>
          <cell r="S51">
            <v>682.72302499749992</v>
          </cell>
          <cell r="T51" t="e">
            <v>#REF!</v>
          </cell>
          <cell r="U51" t="e">
            <v>#REF!</v>
          </cell>
          <cell r="V51">
            <v>3</v>
          </cell>
          <cell r="W51">
            <v>-40</v>
          </cell>
          <cell r="X51">
            <v>0</v>
          </cell>
          <cell r="Y51">
            <v>-5</v>
          </cell>
          <cell r="Z51">
            <v>-37</v>
          </cell>
          <cell r="AC51" t="e">
            <v>#REF!</v>
          </cell>
          <cell r="AD51" t="e">
            <v>#REF!</v>
          </cell>
          <cell r="AE51">
            <v>1.0825098814229248</v>
          </cell>
          <cell r="AF51" t="e">
            <v>#REF!</v>
          </cell>
          <cell r="AG51">
            <v>0.30028621593669569</v>
          </cell>
          <cell r="AH51" t="e">
            <v>#REF!</v>
          </cell>
          <cell r="AI51">
            <v>0.30954186319270227</v>
          </cell>
          <cell r="AJ51">
            <v>164.06009833751057</v>
          </cell>
          <cell r="AK51">
            <v>-7.0678513731825543E-3</v>
          </cell>
        </row>
        <row r="52">
          <cell r="C52" t="str">
            <v>1Q,00/99</v>
          </cell>
          <cell r="D52">
            <v>1.854083744626652</v>
          </cell>
          <cell r="E52">
            <v>0.91722889583676159</v>
          </cell>
          <cell r="F52">
            <v>0.91722889583676159</v>
          </cell>
          <cell r="G52">
            <v>-0.6338248436103664</v>
          </cell>
          <cell r="H52">
            <v>0.84052770831068102</v>
          </cell>
          <cell r="J52">
            <v>1.1899186346497324</v>
          </cell>
          <cell r="K52">
            <v>1.1899186346497324</v>
          </cell>
          <cell r="L52">
            <v>1.2099924868519909</v>
          </cell>
          <cell r="N52">
            <v>0.84539270253555965</v>
          </cell>
          <cell r="O52">
            <v>0.84539270253555965</v>
          </cell>
          <cell r="S52">
            <v>1.0638702394391304</v>
          </cell>
          <cell r="AB52">
            <v>0.98029618473895552</v>
          </cell>
          <cell r="AC52">
            <v>0.98029618473895552</v>
          </cell>
          <cell r="AD52">
            <v>0.5253283302063787</v>
          </cell>
          <cell r="AE52">
            <v>0.5253283302063787</v>
          </cell>
          <cell r="AF52">
            <v>1.0129119031607261</v>
          </cell>
          <cell r="AG52">
            <v>1.0129119031607261</v>
          </cell>
          <cell r="AH52">
            <v>0.4439128381221531</v>
          </cell>
          <cell r="AI52">
            <v>0.39406746031746032</v>
          </cell>
          <cell r="AJ52">
            <v>0.39406746031746032</v>
          </cell>
        </row>
        <row r="53">
          <cell r="C53" t="str">
            <v>% Change</v>
          </cell>
          <cell r="D53">
            <v>1.854083744626652</v>
          </cell>
          <cell r="E53">
            <v>0.91722889583676159</v>
          </cell>
          <cell r="F53">
            <v>-0.6338248436103664</v>
          </cell>
          <cell r="G53">
            <v>0.84052770831068102</v>
          </cell>
          <cell r="H53">
            <v>0.8404270342022766</v>
          </cell>
          <cell r="I53">
            <v>0.79</v>
          </cell>
          <cell r="J53">
            <v>1.1899186346497324</v>
          </cell>
          <cell r="K53">
            <v>1.2099924868519909</v>
          </cell>
          <cell r="L53">
            <v>1.1585384734479023</v>
          </cell>
          <cell r="N53">
            <v>0.84539270253555965</v>
          </cell>
          <cell r="O53">
            <v>1.1265077964107091</v>
          </cell>
          <cell r="P53">
            <v>313.78954499999998</v>
          </cell>
          <cell r="Q53">
            <v>60</v>
          </cell>
          <cell r="S53">
            <v>1.0638702394391304</v>
          </cell>
          <cell r="T53">
            <v>298.889545</v>
          </cell>
          <cell r="U53">
            <v>0.31102399047644319</v>
          </cell>
          <cell r="V53">
            <v>3.4499999999999997</v>
          </cell>
          <cell r="W53">
            <v>-40</v>
          </cell>
          <cell r="X53">
            <v>0</v>
          </cell>
          <cell r="Y53">
            <v>0</v>
          </cell>
          <cell r="Z53">
            <v>-36.549999999999997</v>
          </cell>
          <cell r="AB53">
            <v>1.1993130098754841</v>
          </cell>
          <cell r="AC53">
            <v>0.98029618473895552</v>
          </cell>
          <cell r="AD53">
            <v>0.86322580645161273</v>
          </cell>
          <cell r="AE53">
            <v>0.5253283302063787</v>
          </cell>
          <cell r="AF53">
            <v>1.2232750689972409</v>
          </cell>
          <cell r="AG53">
            <v>1.0129119031607261</v>
          </cell>
          <cell r="AH53">
            <v>0.63734255839453624</v>
          </cell>
          <cell r="AI53">
            <v>0.4439128381221531</v>
          </cell>
          <cell r="AJ53">
            <v>0.35785578747628066</v>
          </cell>
          <cell r="AK53">
            <v>0.39406746031746032</v>
          </cell>
        </row>
        <row r="54">
          <cell r="C54" t="str">
            <v>FY 99/98</v>
          </cell>
          <cell r="D54">
            <v>0.43919368366255052</v>
          </cell>
          <cell r="E54">
            <v>0.5613609141821243</v>
          </cell>
          <cell r="F54">
            <v>1.1276265931794693</v>
          </cell>
          <cell r="G54">
            <v>0.54458744189795527</v>
          </cell>
          <cell r="H54">
            <v>1.0935209878756638</v>
          </cell>
          <cell r="J54">
            <v>0.2268037631588149</v>
          </cell>
          <cell r="K54">
            <v>0.89422527158376197</v>
          </cell>
          <cell r="L54">
            <v>1.9084296661904143</v>
          </cell>
          <cell r="N54">
            <v>0.91046322332396046</v>
          </cell>
          <cell r="O54">
            <v>0.63747200796217962</v>
          </cell>
          <cell r="S54">
            <v>0.61158332579799257</v>
          </cell>
          <cell r="AB54">
            <v>1.5660432156133828</v>
          </cell>
          <cell r="AC54">
            <v>0.33769867663585695</v>
          </cell>
          <cell r="AD54">
            <v>1.3333333333333335</v>
          </cell>
          <cell r="AE54">
            <v>1.0825098814229248</v>
          </cell>
          <cell r="AF54">
            <v>1.5813420824563575</v>
          </cell>
          <cell r="AG54">
            <v>0.30144070038723347</v>
          </cell>
          <cell r="AH54">
            <v>0.79346816634998363</v>
          </cell>
          <cell r="AI54">
            <v>0.31070456544998559</v>
          </cell>
          <cell r="AJ54">
            <v>-7.0678513731825543E-3</v>
          </cell>
          <cell r="AK54">
            <v>0.35785578747628066</v>
          </cell>
        </row>
        <row r="55">
          <cell r="C55" t="str">
            <v>3Q,00/99</v>
          </cell>
          <cell r="D55">
            <v>0.85583014270797064</v>
          </cell>
          <cell r="E55">
            <v>2.059712102363604</v>
          </cell>
          <cell r="F55">
            <v>0.2212637481130042</v>
          </cell>
          <cell r="G55">
            <v>1.0935209878756638</v>
          </cell>
          <cell r="H55">
            <v>0.53919346133086599</v>
          </cell>
          <cell r="J55">
            <v>0.87636932707355264</v>
          </cell>
          <cell r="K55">
            <v>1.9084296661904143</v>
          </cell>
          <cell r="L55">
            <v>-0.6884525205158265</v>
          </cell>
          <cell r="N55">
            <v>0.63747200796217962</v>
          </cell>
          <cell r="O55">
            <v>-0.21592148309705561</v>
          </cell>
          <cell r="S55">
            <v>1.1204877851152615</v>
          </cell>
          <cell r="AB55">
            <v>1.4648771864532937</v>
          </cell>
          <cell r="AC55">
            <v>1.5660432156133828</v>
          </cell>
          <cell r="AD55">
            <v>3.7739837398373988</v>
          </cell>
          <cell r="AE55">
            <v>1.3333333333333335</v>
          </cell>
          <cell r="AF55">
            <v>1.2480789781690498</v>
          </cell>
          <cell r="AG55">
            <v>1.5813420824563575</v>
          </cell>
          <cell r="AH55">
            <v>0.87922870077166482</v>
          </cell>
          <cell r="AI55">
            <v>0.79346816634998363</v>
          </cell>
          <cell r="AJ55">
            <v>0.19627748195093275</v>
          </cell>
          <cell r="AK55">
            <v>0.43930186823992146</v>
          </cell>
        </row>
        <row r="56">
          <cell r="C56" t="str">
            <v>1Q,00/99</v>
          </cell>
          <cell r="D56">
            <v>1.854083744626652</v>
          </cell>
          <cell r="E56">
            <v>0.91722889583676159</v>
          </cell>
          <cell r="F56">
            <v>-0.6338248436103664</v>
          </cell>
          <cell r="G56">
            <v>0.84052770831068102</v>
          </cell>
          <cell r="H56">
            <v>0.79266397625011598</v>
          </cell>
          <cell r="J56">
            <v>1.1899186346497324</v>
          </cell>
          <cell r="K56">
            <v>1.2099924868519909</v>
          </cell>
          <cell r="L56">
            <v>0.56079082402656244</v>
          </cell>
          <cell r="N56">
            <v>0.84539270253555965</v>
          </cell>
          <cell r="O56">
            <v>0.33903994629070144</v>
          </cell>
          <cell r="S56">
            <v>1.0638702394391304</v>
          </cell>
          <cell r="AB56">
            <v>1.4102700385769404</v>
          </cell>
          <cell r="AC56">
            <v>0.98029618473895552</v>
          </cell>
          <cell r="AD56">
            <v>2.9364175563463819</v>
          </cell>
          <cell r="AE56">
            <v>0.5253283302063787</v>
          </cell>
          <cell r="AF56">
            <v>1.2913879135095185</v>
          </cell>
          <cell r="AG56">
            <v>1.0129119031607261</v>
          </cell>
          <cell r="AH56">
            <v>0.72716285854826523</v>
          </cell>
          <cell r="AI56">
            <v>0.4439128381221531</v>
          </cell>
          <cell r="AJ56">
            <v>0.39406746031746032</v>
          </cell>
          <cell r="AK56">
            <v>0.19627748195093275</v>
          </cell>
        </row>
        <row r="57">
          <cell r="C57" t="str">
            <v>2Q,00/99</v>
          </cell>
          <cell r="D57">
            <v>0.8168861843948918</v>
          </cell>
          <cell r="E57">
            <v>1.1128458999746127</v>
          </cell>
          <cell r="F57">
            <v>0.22941176470588243</v>
          </cell>
          <cell r="G57">
            <v>0.8404270342022766</v>
          </cell>
          <cell r="J57">
            <v>0.72502548419979629</v>
          </cell>
          <cell r="K57">
            <v>1.1585384734479023</v>
          </cell>
          <cell r="N57">
            <v>1.1265077964107091</v>
          </cell>
          <cell r="S57">
            <v>0.9870172944799811</v>
          </cell>
          <cell r="AC57">
            <v>1.1993130098754841</v>
          </cell>
          <cell r="AE57">
            <v>0.86322580645161273</v>
          </cell>
          <cell r="AG57">
            <v>1.2232750689972409</v>
          </cell>
          <cell r="AI57">
            <v>0.63734255839453624</v>
          </cell>
          <cell r="AJ57">
            <v>0.35785578747628066</v>
          </cell>
          <cell r="AK57">
            <v>0.32667739013071517</v>
          </cell>
        </row>
        <row r="58">
          <cell r="C58" t="str">
            <v>3Q,00/99</v>
          </cell>
          <cell r="D58">
            <v>0.85583014270797064</v>
          </cell>
          <cell r="E58">
            <v>2.059712102363604</v>
          </cell>
          <cell r="F58">
            <v>0.2212637481130042</v>
          </cell>
          <cell r="G58">
            <v>1.0935209878756638</v>
          </cell>
          <cell r="H58">
            <v>1.3478200937340001</v>
          </cell>
          <cell r="I58">
            <v>2.4399629301313563</v>
          </cell>
          <cell r="J58">
            <v>0.87636932707355264</v>
          </cell>
          <cell r="K58">
            <v>1.9084296661904143</v>
          </cell>
          <cell r="L58">
            <v>-3.0511643719190906E-2</v>
          </cell>
          <cell r="N58">
            <v>0.63747200796217962</v>
          </cell>
          <cell r="O58">
            <v>0.96673927613941024</v>
          </cell>
          <cell r="P58">
            <v>2.3885077689827034</v>
          </cell>
          <cell r="Q58">
            <v>2.3885077689827034</v>
          </cell>
          <cell r="R58">
            <v>12.27029702970297</v>
          </cell>
          <cell r="S58">
            <v>1.1204877851152615</v>
          </cell>
          <cell r="T58">
            <v>1.7664693050794642</v>
          </cell>
          <cell r="AB58">
            <v>1.0226883832942519</v>
          </cell>
          <cell r="AC58">
            <v>1.5660432156133828</v>
          </cell>
          <cell r="AD58">
            <v>2.3825338253382538</v>
          </cell>
          <cell r="AE58">
            <v>1.3333333333333335</v>
          </cell>
          <cell r="AF58">
            <v>0.94881731925698265</v>
          </cell>
          <cell r="AG58">
            <v>1.5813420824563575</v>
          </cell>
          <cell r="AH58">
            <v>0.84929977132323331</v>
          </cell>
          <cell r="AI58">
            <v>0.79346816634998363</v>
          </cell>
          <cell r="AJ58">
            <v>0.43930186823992146</v>
          </cell>
        </row>
        <row r="59">
          <cell r="C59" t="str">
            <v>4Q,00/99</v>
          </cell>
          <cell r="D59">
            <v>1.7196211096075777</v>
          </cell>
          <cell r="E59">
            <v>-0.821743473917387</v>
          </cell>
          <cell r="F59">
            <v>-0.38554920042021712</v>
          </cell>
          <cell r="G59">
            <v>0.53919346133086599</v>
          </cell>
          <cell r="H59">
            <v>2.4399629301313563</v>
          </cell>
          <cell r="I59">
            <v>2.0730390001884067</v>
          </cell>
          <cell r="J59">
            <v>1.0118535296338242</v>
          </cell>
          <cell r="K59">
            <v>-0.6884525205158265</v>
          </cell>
          <cell r="L59">
            <v>-2.080045904461314E-3</v>
          </cell>
          <cell r="N59">
            <v>-0.21592148309705561</v>
          </cell>
          <cell r="O59">
            <v>0.45067791920309919</v>
          </cell>
          <cell r="P59">
            <v>2.3885077689827034</v>
          </cell>
          <cell r="Q59">
            <v>12.27029702970297</v>
          </cell>
          <cell r="R59">
            <v>12.720747295968536</v>
          </cell>
          <cell r="S59">
            <v>5.5059120859284327E-3</v>
          </cell>
          <cell r="T59">
            <v>1.7664693050794642</v>
          </cell>
          <cell r="AB59">
            <v>0.85127484284096688</v>
          </cell>
          <cell r="AC59">
            <v>1.4648771864532937</v>
          </cell>
          <cell r="AD59">
            <v>1.2922437673130194</v>
          </cell>
          <cell r="AE59">
            <v>3.7739837398373988</v>
          </cell>
          <cell r="AF59">
            <v>0.82492655273720361</v>
          </cell>
          <cell r="AG59">
            <v>1.2480789781690498</v>
          </cell>
          <cell r="AH59">
            <v>0.76552789691713907</v>
          </cell>
          <cell r="AI59">
            <v>0.87922870077166482</v>
          </cell>
          <cell r="AJ59">
            <v>0.19627748195093275</v>
          </cell>
          <cell r="AK59">
            <v>5.3813637722207375E-2</v>
          </cell>
        </row>
        <row r="60">
          <cell r="C60" t="str">
            <v>FY 00/99</v>
          </cell>
          <cell r="D60">
            <v>1.2606756023551635</v>
          </cell>
          <cell r="E60">
            <v>0.3856775584674077</v>
          </cell>
          <cell r="F60">
            <v>-0.29814619930381281</v>
          </cell>
          <cell r="G60">
            <v>0.79266397625011598</v>
          </cell>
          <cell r="H60">
            <v>2.0730390001884067</v>
          </cell>
          <cell r="I60">
            <v>1.7517245154932661</v>
          </cell>
          <cell r="J60">
            <v>0.93796681680825622</v>
          </cell>
          <cell r="K60">
            <v>0.56079082402656244</v>
          </cell>
          <cell r="L60">
            <v>-0.46329046087888526</v>
          </cell>
          <cell r="N60">
            <v>0.33903994629070144</v>
          </cell>
          <cell r="O60">
            <v>1.0074456769487918</v>
          </cell>
          <cell r="P60">
            <v>1.9319859764899978</v>
          </cell>
          <cell r="Q60">
            <v>12.720747295968536</v>
          </cell>
          <cell r="R60">
            <v>9.8679060665362019</v>
          </cell>
          <cell r="S60">
            <v>0.60420816383784537</v>
          </cell>
          <cell r="T60">
            <v>1.4596177027725159</v>
          </cell>
          <cell r="AB60">
            <v>0.34814496231070491</v>
          </cell>
          <cell r="AC60">
            <v>1.4102700385769404</v>
          </cell>
          <cell r="AD60">
            <v>0.50322841000807084</v>
          </cell>
          <cell r="AE60">
            <v>2.9364175563463819</v>
          </cell>
          <cell r="AF60">
            <v>0.33892899110290431</v>
          </cell>
          <cell r="AG60">
            <v>1.2913879135095185</v>
          </cell>
          <cell r="AH60">
            <v>0.28577694997421643</v>
          </cell>
          <cell r="AI60">
            <v>0.72716285854826523</v>
          </cell>
          <cell r="AJ60">
            <v>0.32667739013071517</v>
          </cell>
          <cell r="AK60">
            <v>3.3643566846937478E-2</v>
          </cell>
        </row>
        <row r="61">
          <cell r="C61" t="str">
            <v>3Q, 01/00</v>
          </cell>
          <cell r="D61">
            <v>1.5722457706590642</v>
          </cell>
          <cell r="E61">
            <v>-0.80867746994249867</v>
          </cell>
          <cell r="F61">
            <v>0.49302489846371178</v>
          </cell>
          <cell r="G61">
            <v>0.6291816089493123</v>
          </cell>
          <cell r="H61">
            <v>1.7517245154932661</v>
          </cell>
          <cell r="I61">
            <v>0.99006176129416534</v>
          </cell>
          <cell r="J61">
            <v>1.1816394614559753</v>
          </cell>
          <cell r="K61">
            <v>-0.46329046087888526</v>
          </cell>
          <cell r="L61">
            <v>2.3287864534336786</v>
          </cell>
          <cell r="N61">
            <v>1.0074456769487918</v>
          </cell>
          <cell r="O61">
            <v>1.3735451284679012</v>
          </cell>
          <cell r="P61">
            <v>0.83217331401287531</v>
          </cell>
          <cell r="Q61">
            <v>9.8679060665362019</v>
          </cell>
          <cell r="R61">
            <v>1.8579966531197707</v>
          </cell>
          <cell r="S61">
            <v>0.64631257164692402</v>
          </cell>
          <cell r="T61">
            <v>0.60735240413877079</v>
          </cell>
          <cell r="AB61">
            <v>0.49574407851278735</v>
          </cell>
          <cell r="AC61">
            <v>0.34814496231070491</v>
          </cell>
          <cell r="AD61">
            <v>-0.37556766575840139</v>
          </cell>
          <cell r="AE61">
            <v>0.50322841000807084</v>
          </cell>
          <cell r="AF61">
            <v>0.66946601172555931</v>
          </cell>
          <cell r="AG61">
            <v>0.33892899110290431</v>
          </cell>
          <cell r="AH61">
            <v>0.53336744252827795</v>
          </cell>
          <cell r="AI61">
            <v>0.28577694997421643</v>
          </cell>
          <cell r="AJ61">
            <v>8.875796200086028E-2</v>
          </cell>
          <cell r="AK61">
            <v>4.1338461643564139E-2</v>
          </cell>
        </row>
        <row r="62">
          <cell r="C62" t="str">
            <v>1Q, 01/00</v>
          </cell>
          <cell r="D62">
            <v>2.1218308091373106</v>
          </cell>
          <cell r="E62">
            <v>-0.86559093640030893</v>
          </cell>
          <cell r="F62">
            <v>0.74923733984136676</v>
          </cell>
          <cell r="G62">
            <v>1.3478200937340001</v>
          </cell>
          <cell r="H62">
            <v>2.4399629301313563</v>
          </cell>
          <cell r="I62">
            <v>1.6184783716309159</v>
          </cell>
          <cell r="J62">
            <v>1.4063434526506566</v>
          </cell>
          <cell r="K62">
            <v>-3.0511643719190906E-2</v>
          </cell>
          <cell r="L62">
            <v>-3.2721576514726625E-2</v>
          </cell>
          <cell r="N62">
            <v>0.96673927613941024</v>
          </cell>
          <cell r="O62">
            <v>1.1231463447557708</v>
          </cell>
          <cell r="P62">
            <v>2.3885077689827034</v>
          </cell>
          <cell r="Q62">
            <v>12.27029702970297</v>
          </cell>
          <cell r="R62">
            <v>5.155005530973451</v>
          </cell>
          <cell r="S62">
            <v>1.1544462676684804</v>
          </cell>
          <cell r="T62">
            <v>1.7664693050794642</v>
          </cell>
          <cell r="AB62">
            <v>0.55171113750986978</v>
          </cell>
          <cell r="AC62">
            <v>1.0226883832942519</v>
          </cell>
          <cell r="AD62">
            <v>-7.8772902603664319E-2</v>
          </cell>
          <cell r="AE62">
            <v>2.3825338253382538</v>
          </cell>
          <cell r="AF62">
            <v>0.63608281513384446</v>
          </cell>
          <cell r="AG62">
            <v>0.94881731925698265</v>
          </cell>
          <cell r="AH62">
            <v>0.55814929302202065</v>
          </cell>
          <cell r="AI62">
            <v>0.84929977132323331</v>
          </cell>
          <cell r="AJ62">
            <v>5.3813637722207375E-2</v>
          </cell>
          <cell r="AK62">
            <v>8.875796200086028E-2</v>
          </cell>
        </row>
        <row r="63">
          <cell r="C63" t="str">
            <v>2Q, 01/00</v>
          </cell>
          <cell r="D63">
            <v>1.7630442446677241</v>
          </cell>
          <cell r="E63">
            <v>-0.8820666866927005</v>
          </cell>
          <cell r="F63">
            <v>0.95948963317384384</v>
          </cell>
          <cell r="G63">
            <v>1.0487385673071019</v>
          </cell>
          <cell r="H63">
            <v>2.0730390001884067</v>
          </cell>
          <cell r="J63">
            <v>1.0338306987738215</v>
          </cell>
          <cell r="K63">
            <v>-2.080045904461314E-3</v>
          </cell>
          <cell r="N63">
            <v>0.45067791920309919</v>
          </cell>
          <cell r="P63">
            <v>1.9319859764899978</v>
          </cell>
          <cell r="Q63">
            <v>12.720747295968536</v>
          </cell>
          <cell r="S63">
            <v>0.82115604731018665</v>
          </cell>
          <cell r="T63">
            <v>1.4596177027725159</v>
          </cell>
          <cell r="AC63">
            <v>0.85127484284096688</v>
          </cell>
          <cell r="AE63">
            <v>1.2922437673130194</v>
          </cell>
          <cell r="AG63">
            <v>0.82492655273720361</v>
          </cell>
          <cell r="AI63">
            <v>0.76552789691713907</v>
          </cell>
          <cell r="AJ63">
            <v>3.3643566846937478E-2</v>
          </cell>
          <cell r="AK63">
            <v>5.0016723340208458E-2</v>
          </cell>
        </row>
        <row r="64">
          <cell r="C64" t="str">
            <v>3Q, 01/00</v>
          </cell>
          <cell r="D64">
            <v>1.5722457706590642</v>
          </cell>
          <cell r="E64">
            <v>-0.80867746994249867</v>
          </cell>
          <cell r="F64">
            <v>0.49302489846371178</v>
          </cell>
          <cell r="G64">
            <v>0.6291816089493123</v>
          </cell>
          <cell r="H64">
            <v>1.7517245154932661</v>
          </cell>
          <cell r="I64">
            <v>0.10266711958113217</v>
          </cell>
          <cell r="J64">
            <v>1.1816394614559753</v>
          </cell>
          <cell r="K64">
            <v>-0.46329046087888526</v>
          </cell>
          <cell r="L64">
            <v>-8.2317874989041862E-2</v>
          </cell>
          <cell r="N64">
            <v>1.0074456769487918</v>
          </cell>
          <cell r="O64">
            <v>0.67569755058572945</v>
          </cell>
          <cell r="P64">
            <v>0.83217331401287531</v>
          </cell>
          <cell r="Q64">
            <v>9.8679060665362019</v>
          </cell>
          <cell r="R64">
            <v>-6.6701484742221928E-2</v>
          </cell>
          <cell r="S64">
            <v>0.64631257164692402</v>
          </cell>
          <cell r="T64">
            <v>0.60735240413877079</v>
          </cell>
          <cell r="AB64">
            <v>0.78731670635417994</v>
          </cell>
          <cell r="AC64">
            <v>0.34814496231070491</v>
          </cell>
          <cell r="AD64">
            <v>0.45199999999999996</v>
          </cell>
          <cell r="AE64">
            <v>0.50322841000807084</v>
          </cell>
          <cell r="AF64">
            <v>0.81893300418295278</v>
          </cell>
          <cell r="AG64">
            <v>0.33892899110290431</v>
          </cell>
          <cell r="AH64">
            <v>0.6178150131923168</v>
          </cell>
          <cell r="AI64">
            <v>0.28577694997421643</v>
          </cell>
          <cell r="AJ64">
            <v>4.1338461643564139E-2</v>
          </cell>
        </row>
        <row r="65">
          <cell r="C65" t="str">
            <v>4Q, 01/00</v>
          </cell>
          <cell r="D65">
            <v>0.7985869240720469</v>
          </cell>
          <cell r="E65">
            <v>9.1374269005847886E-2</v>
          </cell>
          <cell r="F65">
            <v>1.1270896656534952</v>
          </cell>
          <cell r="G65">
            <v>0.78683285074492293</v>
          </cell>
          <cell r="H65">
            <v>0.99006176129416534</v>
          </cell>
          <cell r="I65">
            <v>0.19039687729910915</v>
          </cell>
          <cell r="J65">
            <v>0.34018838893684111</v>
          </cell>
          <cell r="K65">
            <v>2.3287864534336786</v>
          </cell>
          <cell r="L65">
            <v>3.8812621289441518E-2</v>
          </cell>
          <cell r="N65">
            <v>1.3735451284679012</v>
          </cell>
          <cell r="O65">
            <v>0.85880501645128993</v>
          </cell>
          <cell r="P65">
            <v>0.6161495490644775</v>
          </cell>
          <cell r="Q65">
            <v>1.8579966531197707</v>
          </cell>
          <cell r="R65">
            <v>4.6581625340402777E-3</v>
          </cell>
          <cell r="S65">
            <v>1.1150359066427287</v>
          </cell>
          <cell r="T65">
            <v>0.52212709732302898</v>
          </cell>
          <cell r="AB65">
            <v>0.418682639782338</v>
          </cell>
          <cell r="AC65">
            <v>0.49574407851278735</v>
          </cell>
          <cell r="AD65">
            <v>0.4220543806646524</v>
          </cell>
          <cell r="AE65">
            <v>-0.37556766575840139</v>
          </cell>
          <cell r="AF65">
            <v>0.41842958528898255</v>
          </cell>
          <cell r="AG65">
            <v>0.66946601172555931</v>
          </cell>
          <cell r="AH65">
            <v>0.2998924802571814</v>
          </cell>
          <cell r="AI65">
            <v>0.53336744252827795</v>
          </cell>
          <cell r="AJ65">
            <v>8.875796200086028E-2</v>
          </cell>
          <cell r="AK65">
            <v>0.1243145782123658</v>
          </cell>
        </row>
        <row r="66">
          <cell r="C66" t="str">
            <v>FY 01/00</v>
          </cell>
          <cell r="D66">
            <v>1.3873224412878447</v>
          </cell>
          <cell r="E66">
            <v>-0.78160816350959095</v>
          </cell>
          <cell r="F66">
            <v>0.81828143021914657</v>
          </cell>
          <cell r="G66">
            <v>0.88654461946501928</v>
          </cell>
          <cell r="H66">
            <v>1.6184783716309159</v>
          </cell>
          <cell r="I66">
            <v>0.29818156496826709</v>
          </cell>
          <cell r="J66">
            <v>0.8534127684613122</v>
          </cell>
          <cell r="K66">
            <v>-3.2721576514726625E-2</v>
          </cell>
          <cell r="L66">
            <v>0.2170078216009319</v>
          </cell>
          <cell r="N66">
            <v>1.1231463447557708</v>
          </cell>
          <cell r="O66">
            <v>0.70017409734312297</v>
          </cell>
          <cell r="P66">
            <v>1.0444510410338541</v>
          </cell>
          <cell r="Q66">
            <v>5.155005530973451</v>
          </cell>
          <cell r="R66">
            <v>0.43999279733501395</v>
          </cell>
          <cell r="S66">
            <v>0.93315495552213412</v>
          </cell>
          <cell r="T66">
            <v>0.82844561995000876</v>
          </cell>
          <cell r="AB66">
            <v>0.32204442802693256</v>
          </cell>
          <cell r="AC66">
            <v>0.55171113750986978</v>
          </cell>
          <cell r="AD66">
            <v>0.53020134228187921</v>
          </cell>
          <cell r="AE66">
            <v>-7.8772902603664319E-2</v>
          </cell>
          <cell r="AF66">
            <v>0.30815661269522887</v>
          </cell>
          <cell r="AG66">
            <v>0.63608281513384446</v>
          </cell>
          <cell r="AH66">
            <v>0.29466871078270018</v>
          </cell>
          <cell r="AI66">
            <v>0.55814929302202065</v>
          </cell>
          <cell r="AJ66">
            <v>5.0016723340208458E-2</v>
          </cell>
          <cell r="AK66">
            <v>9.1189930576680123E-2</v>
          </cell>
        </row>
        <row r="67">
          <cell r="C67" t="str">
            <v>3Q, 02/01</v>
          </cell>
          <cell r="D67">
            <v>0.27241572910818324</v>
          </cell>
          <cell r="E67">
            <v>0.16165755919854274</v>
          </cell>
          <cell r="F67">
            <v>0.98497930218805463</v>
          </cell>
          <cell r="G67">
            <v>0.37262632236020776</v>
          </cell>
          <cell r="H67">
            <v>0.29818156496826709</v>
          </cell>
          <cell r="I67">
            <v>0.10389589930210952</v>
          </cell>
          <cell r="J67">
            <v>0.20168755632014412</v>
          </cell>
          <cell r="K67">
            <v>0.2170078216009319</v>
          </cell>
          <cell r="L67">
            <v>-0.10958033064857997</v>
          </cell>
          <cell r="N67">
            <v>0.70017409734312297</v>
          </cell>
          <cell r="O67">
            <v>0.30939090208172715</v>
          </cell>
          <cell r="P67">
            <v>0.36582867663265461</v>
          </cell>
          <cell r="Q67">
            <v>0.43999279733501395</v>
          </cell>
          <cell r="R67">
            <v>1.4238393977415309</v>
          </cell>
          <cell r="S67">
            <v>0.3873943923498282</v>
          </cell>
          <cell r="T67">
            <v>0.3533519129986975</v>
          </cell>
          <cell r="AB67">
            <v>0.29290112552364578</v>
          </cell>
          <cell r="AC67">
            <v>0.32130563997515016</v>
          </cell>
          <cell r="AD67">
            <v>0.29090909090909078</v>
          </cell>
          <cell r="AE67">
            <v>0.53020134228187921</v>
          </cell>
          <cell r="AF67">
            <v>0.29304968000867748</v>
          </cell>
          <cell r="AG67">
            <v>0.30736853417395071</v>
          </cell>
          <cell r="AH67">
            <v>0.30432815431105742</v>
          </cell>
          <cell r="AI67">
            <v>0.29388875783728285</v>
          </cell>
          <cell r="AJ67">
            <v>-8.6469607093142553E-3</v>
          </cell>
          <cell r="AK67">
            <v>1.0418033432177731E-2</v>
          </cell>
        </row>
        <row r="68">
          <cell r="C68" t="str">
            <v>1Q, 02/01</v>
          </cell>
          <cell r="D68">
            <v>0.16016689449373267</v>
          </cell>
          <cell r="E68">
            <v>2.6481481481481479</v>
          </cell>
          <cell r="F68">
            <v>0.68922218346703867</v>
          </cell>
          <cell r="G68">
            <v>0.30255730665033931</v>
          </cell>
          <cell r="H68">
            <v>0.10266711958113217</v>
          </cell>
          <cell r="I68">
            <v>0.17059028124034747</v>
          </cell>
          <cell r="J68">
            <v>0.34503276342547284</v>
          </cell>
          <cell r="K68">
            <v>-8.2317874989041862E-2</v>
          </cell>
          <cell r="L68">
            <v>4.2645500529819858E-2</v>
          </cell>
          <cell r="N68">
            <v>0.67569755058572945</v>
          </cell>
          <cell r="O68">
            <v>0.50496821071752973</v>
          </cell>
          <cell r="P68">
            <v>0.20743714419200221</v>
          </cell>
          <cell r="Q68">
            <v>-6.6701484742221928E-2</v>
          </cell>
          <cell r="R68">
            <v>0.60624985959157995</v>
          </cell>
          <cell r="S68">
            <v>0.30987853926428732</v>
          </cell>
          <cell r="T68">
            <v>0.2902135712354692</v>
          </cell>
          <cell r="AB68">
            <v>0.40053544086770732</v>
          </cell>
          <cell r="AC68">
            <v>0.78878932197017182</v>
          </cell>
          <cell r="AD68">
            <v>0.40660778541053322</v>
          </cell>
          <cell r="AE68">
            <v>0.45199999999999996</v>
          </cell>
          <cell r="AF68">
            <v>0.40007788891463236</v>
          </cell>
          <cell r="AG68">
            <v>0.8205444695878763</v>
          </cell>
          <cell r="AH68">
            <v>0.32494375122404806</v>
          </cell>
          <cell r="AI68">
            <v>0.61924830013544763</v>
          </cell>
          <cell r="AJ68">
            <v>0.1243145782123658</v>
          </cell>
          <cell r="AK68">
            <v>-8.6469607093142553E-3</v>
          </cell>
        </row>
        <row r="69">
          <cell r="C69" t="str">
            <v>2Q, 02/01</v>
          </cell>
          <cell r="D69">
            <v>0.41788545271854427</v>
          </cell>
          <cell r="E69">
            <v>0.87111563932755987</v>
          </cell>
          <cell r="F69">
            <v>8.0965326387758427</v>
          </cell>
          <cell r="G69">
            <v>0.38647531160115056</v>
          </cell>
          <cell r="H69">
            <v>0.1904275320853428</v>
          </cell>
          <cell r="J69">
            <v>0.49996368126679736</v>
          </cell>
          <cell r="K69">
            <v>4.2190756846115063E-2</v>
          </cell>
          <cell r="N69">
            <v>0.85971102951695189</v>
          </cell>
          <cell r="P69">
            <v>0.2702923219761979</v>
          </cell>
          <cell r="Q69">
            <v>4.6581625340402777E-3</v>
          </cell>
          <cell r="S69">
            <v>0.4248546587754678</v>
          </cell>
          <cell r="T69">
            <v>0.33517118252467948</v>
          </cell>
          <cell r="AC69">
            <v>0.41644696602197673</v>
          </cell>
          <cell r="AE69">
            <v>0.4220543806646524</v>
          </cell>
          <cell r="AG69">
            <v>0.41602612067206279</v>
          </cell>
          <cell r="AI69">
            <v>0.29768987138995207</v>
          </cell>
          <cell r="AJ69">
            <v>9.1189930576680123E-2</v>
          </cell>
          <cell r="AK69">
            <v>6.4855000331806911E-2</v>
          </cell>
        </row>
        <row r="70">
          <cell r="C70" t="str">
            <v>3Q, 02/01</v>
          </cell>
          <cell r="D70">
            <v>0.27241572910818324</v>
          </cell>
          <cell r="E70">
            <v>0.16165755919854274</v>
          </cell>
          <cell r="F70">
            <v>0.98497930218805463</v>
          </cell>
          <cell r="G70">
            <v>0.37262632236020776</v>
          </cell>
          <cell r="H70">
            <v>0.29818156496826709</v>
          </cell>
          <cell r="I70">
            <v>0.28965777984846697</v>
          </cell>
          <cell r="J70">
            <v>0.20168755632014412</v>
          </cell>
          <cell r="K70">
            <v>0.2170078216009319</v>
          </cell>
          <cell r="L70">
            <v>0.62399694306457776</v>
          </cell>
          <cell r="N70">
            <v>0.70017409734312297</v>
          </cell>
          <cell r="O70">
            <v>0.32191066934438295</v>
          </cell>
          <cell r="P70">
            <v>0.36582867663265461</v>
          </cell>
          <cell r="Q70">
            <v>0.43999279733501395</v>
          </cell>
          <cell r="R70">
            <v>1.3183308018226878</v>
          </cell>
          <cell r="S70">
            <v>0.3873943923498282</v>
          </cell>
          <cell r="T70">
            <v>0.3533519129986975</v>
          </cell>
          <cell r="AB70">
            <v>0.14465682770098476</v>
          </cell>
          <cell r="AC70">
            <v>0.32130563997515016</v>
          </cell>
          <cell r="AD70">
            <v>0.22644260104010105</v>
          </cell>
          <cell r="AE70">
            <v>0.53020134228187921</v>
          </cell>
          <cell r="AF70">
            <v>0.1385010418921766</v>
          </cell>
          <cell r="AG70">
            <v>0.30736853417395071</v>
          </cell>
          <cell r="AH70">
            <v>0.19775008619205248</v>
          </cell>
          <cell r="AI70">
            <v>0.29388875783728285</v>
          </cell>
          <cell r="AJ70">
            <v>1.0418033432177731E-2</v>
          </cell>
        </row>
        <row r="71">
          <cell r="C71" t="str">
            <v>4Q, 02/01</v>
          </cell>
          <cell r="D71">
            <v>0.13014397599990168</v>
          </cell>
          <cell r="E71">
            <v>1.0667559723152489</v>
          </cell>
          <cell r="F71">
            <v>2.1797802982941863</v>
          </cell>
          <cell r="G71">
            <v>0.33843962723306897</v>
          </cell>
          <cell r="H71">
            <v>0.10389589930210952</v>
          </cell>
          <cell r="I71">
            <v>0.16686831849747175</v>
          </cell>
          <cell r="J71">
            <v>0.22345430107526876</v>
          </cell>
          <cell r="K71">
            <v>-0.10958033064857997</v>
          </cell>
          <cell r="L71">
            <v>0.38379575174704228</v>
          </cell>
          <cell r="N71">
            <v>0.30939090208172715</v>
          </cell>
          <cell r="O71">
            <v>0.51355788717580353</v>
          </cell>
          <cell r="P71">
            <v>0.45701762605282559</v>
          </cell>
          <cell r="Q71">
            <v>1.4238393977415309</v>
          </cell>
          <cell r="R71">
            <v>0.85462586489763881</v>
          </cell>
          <cell r="S71">
            <v>0.35527237230227282</v>
          </cell>
          <cell r="T71">
            <v>0.3195752473363771</v>
          </cell>
          <cell r="AB71">
            <v>0.21768938064938115</v>
          </cell>
          <cell r="AC71">
            <v>0.29293897945793113</v>
          </cell>
          <cell r="AD71">
            <v>0.39208257488846332</v>
          </cell>
          <cell r="AE71">
            <v>0.29090909090909078</v>
          </cell>
          <cell r="AF71">
            <v>0.20456744760778123</v>
          </cell>
          <cell r="AG71">
            <v>0.29309035687167762</v>
          </cell>
          <cell r="AH71">
            <v>0.22743713667300436</v>
          </cell>
          <cell r="AI71">
            <v>0.30436918597322826</v>
          </cell>
          <cell r="AJ71">
            <v>-8.6469607093142553E-3</v>
          </cell>
          <cell r="AK71">
            <v>-4.2043809649654929E-2</v>
          </cell>
        </row>
        <row r="72">
          <cell r="C72" t="str">
            <v>FY 02/01</v>
          </cell>
          <cell r="D72">
            <v>0.23990110548872012</v>
          </cell>
          <cell r="E72">
            <v>0.80158947656892288</v>
          </cell>
          <cell r="F72">
            <v>2.741095499381522</v>
          </cell>
          <cell r="G72">
            <v>0.38916235043196634</v>
          </cell>
          <cell r="H72">
            <v>0.21924245335564541</v>
          </cell>
          <cell r="I72">
            <v>0.12600425782177926</v>
          </cell>
          <cell r="J72">
            <v>0.30731378229294815</v>
          </cell>
          <cell r="K72">
            <v>4.3585181038446885E-2</v>
          </cell>
          <cell r="L72">
            <v>0.36742786817995365</v>
          </cell>
          <cell r="N72">
            <v>0.50514078110808369</v>
          </cell>
          <cell r="O72">
            <v>0.22434441921552928</v>
          </cell>
          <cell r="P72">
            <v>0.3688017261464589</v>
          </cell>
          <cell r="Q72">
            <v>0.60624985959157995</v>
          </cell>
          <cell r="R72">
            <v>6.2898586970113746E-2</v>
          </cell>
          <cell r="S72">
            <v>0.36939917075009432</v>
          </cell>
          <cell r="T72">
            <v>0.41520756006644466</v>
          </cell>
          <cell r="AB72">
            <v>0.46303112450309203</v>
          </cell>
          <cell r="AC72">
            <v>0.50206291430195549</v>
          </cell>
          <cell r="AD72">
            <v>0.61676746175438546</v>
          </cell>
          <cell r="AE72">
            <v>0.40660778541053322</v>
          </cell>
          <cell r="AF72">
            <v>0.45103313550666058</v>
          </cell>
          <cell r="AG72">
            <v>0.50925547071031718</v>
          </cell>
          <cell r="AH72">
            <v>0.40932713744198268</v>
          </cell>
          <cell r="AI72">
            <v>0.32446752673331525</v>
          </cell>
          <cell r="AJ72">
            <v>6.4855000331806911E-2</v>
          </cell>
          <cell r="AK72">
            <v>-6.163929551550873E-3</v>
          </cell>
        </row>
        <row r="73">
          <cell r="C73" t="str">
            <v>3Q, 03/02</v>
          </cell>
          <cell r="D73">
            <v>3.1385380612923175E-2</v>
          </cell>
          <cell r="E73">
            <v>-0.40650725205801641</v>
          </cell>
          <cell r="F73">
            <v>0.83441577787046395</v>
          </cell>
          <cell r="G73">
            <v>3.0703685974150297E-2</v>
          </cell>
          <cell r="H73">
            <v>7.2068413268863818E-2</v>
          </cell>
          <cell r="I73">
            <v>0.10950124443429599</v>
          </cell>
          <cell r="J73">
            <v>-8.9258527052514358E-2</v>
          </cell>
          <cell r="K73">
            <v>0.4089976753726241</v>
          </cell>
          <cell r="L73">
            <v>0.62659684202174093</v>
          </cell>
          <cell r="N73">
            <v>0.70813855126664005</v>
          </cell>
          <cell r="O73">
            <v>0.31898155781143278</v>
          </cell>
          <cell r="P73">
            <v>-0.26058189757463557</v>
          </cell>
          <cell r="Q73">
            <v>0.76584969363511313</v>
          </cell>
          <cell r="R73">
            <v>-0.48234806915829798</v>
          </cell>
          <cell r="S73">
            <v>0.38573304670051622</v>
          </cell>
          <cell r="T73">
            <v>-0.44431511678660551</v>
          </cell>
          <cell r="AB73">
            <v>0.30561598985019223</v>
          </cell>
          <cell r="AC73">
            <v>-0.48785787808318382</v>
          </cell>
          <cell r="AD73">
            <v>0.6015908597183095</v>
          </cell>
          <cell r="AE73">
            <v>-0.48245614035087714</v>
          </cell>
          <cell r="AF73">
            <v>0.28358042569076636</v>
          </cell>
          <cell r="AG73">
            <v>-0.52666694066554331</v>
          </cell>
          <cell r="AH73">
            <v>0.27845891416550583</v>
          </cell>
          <cell r="AI73">
            <v>-0.54557949168803255</v>
          </cell>
          <cell r="AJ73">
            <v>1.6761753255871259E-2</v>
          </cell>
          <cell r="AK73">
            <v>4.1619052565967207E-2</v>
          </cell>
        </row>
        <row r="74">
          <cell r="C74" t="str">
            <v>1Q, 03/02</v>
          </cell>
          <cell r="D74">
            <v>-2.2640811988849152E-2</v>
          </cell>
          <cell r="E74">
            <v>-0.54489760196044101</v>
          </cell>
          <cell r="F74">
            <v>4.3557712161883124</v>
          </cell>
          <cell r="G74">
            <v>0.23245331616226661</v>
          </cell>
          <cell r="H74">
            <v>-4.9246850368607764E-2</v>
          </cell>
          <cell r="I74">
            <v>0.16310066204574225</v>
          </cell>
          <cell r="J74">
            <v>4.7485720685407129E-2</v>
          </cell>
          <cell r="K74">
            <v>0.72009935040122275</v>
          </cell>
          <cell r="L74">
            <v>0.48609779482262705</v>
          </cell>
          <cell r="N74">
            <v>0.17337366855632075</v>
          </cell>
          <cell r="O74">
            <v>0.33979492688461477</v>
          </cell>
          <cell r="P74">
            <v>0.64204130182433072</v>
          </cell>
          <cell r="Q74">
            <v>2.2393476696778318</v>
          </cell>
          <cell r="R74">
            <v>0.21680023496832135</v>
          </cell>
          <cell r="S74">
            <v>0.19699071712741012</v>
          </cell>
          <cell r="T74">
            <v>0.29315522961410823</v>
          </cell>
          <cell r="AB74">
            <v>0.29677289329113599</v>
          </cell>
          <cell r="AC74">
            <v>0.18496785833143559</v>
          </cell>
          <cell r="AD74">
            <v>0.49007384288154032</v>
          </cell>
          <cell r="AE74">
            <v>0.16453794139744571</v>
          </cell>
          <cell r="AF74">
            <v>0.28213970989550297</v>
          </cell>
          <cell r="AG74">
            <v>0.18650419978153576</v>
          </cell>
          <cell r="AH74">
            <v>0.28813076243355407</v>
          </cell>
          <cell r="AI74">
            <v>0.22287600286263132</v>
          </cell>
          <cell r="AJ74">
            <v>-4.2043809649654929E-2</v>
          </cell>
          <cell r="AK74">
            <v>1.4718625671256591E-2</v>
          </cell>
        </row>
        <row r="75">
          <cell r="C75" t="str">
            <v>2Q, 03/02</v>
          </cell>
          <cell r="D75">
            <v>-0.11286839145106864</v>
          </cell>
          <cell r="E75">
            <v>0</v>
          </cell>
          <cell r="F75">
            <v>0</v>
          </cell>
          <cell r="G75">
            <v>0.17387898433279303</v>
          </cell>
          <cell r="H75">
            <v>0.25665236051502149</v>
          </cell>
          <cell r="J75">
            <v>-0.7256174334140435</v>
          </cell>
          <cell r="K75">
            <v>0.5043448275862068</v>
          </cell>
          <cell r="N75">
            <v>0.46023076923076922</v>
          </cell>
          <cell r="P75">
            <v>0.57971207087486132</v>
          </cell>
          <cell r="Q75">
            <v>2.2731293244881949</v>
          </cell>
          <cell r="S75">
            <v>0.16413493967046211</v>
          </cell>
          <cell r="T75">
            <v>0.18777939460678272</v>
          </cell>
          <cell r="AC75">
            <v>0.32359510408290881</v>
          </cell>
          <cell r="AE75">
            <v>0.2109623964308478</v>
          </cell>
          <cell r="AG75">
            <v>0.33208435413364068</v>
          </cell>
          <cell r="AI75">
            <v>0.34034615339787733</v>
          </cell>
          <cell r="AJ75">
            <v>-6.163929551550873E-3</v>
          </cell>
          <cell r="AK75">
            <v>-1.6810728953092768E-3</v>
          </cell>
        </row>
        <row r="76">
          <cell r="C76" t="str">
            <v>3Q, 03/02</v>
          </cell>
          <cell r="D76">
            <v>3.1385380612923175E-2</v>
          </cell>
          <cell r="E76">
            <v>-0.40650725205801641</v>
          </cell>
          <cell r="F76">
            <v>0.83441577787046395</v>
          </cell>
          <cell r="G76">
            <v>3.0703685974150297E-2</v>
          </cell>
          <cell r="H76">
            <v>7.2068413268863818E-2</v>
          </cell>
          <cell r="I76">
            <v>0.17623898146472139</v>
          </cell>
          <cell r="J76">
            <v>-8.9258527052514358E-2</v>
          </cell>
          <cell r="K76">
            <v>0.4089976753726241</v>
          </cell>
          <cell r="L76">
            <v>0.17999999999999994</v>
          </cell>
          <cell r="N76">
            <v>0.70813855126664005</v>
          </cell>
          <cell r="O76">
            <v>0.17500000000000004</v>
          </cell>
          <cell r="P76">
            <v>-0.26058189757463557</v>
          </cell>
          <cell r="Q76">
            <v>0.76584969363511313</v>
          </cell>
          <cell r="R76">
            <v>-0.10344827586206895</v>
          </cell>
          <cell r="S76">
            <v>0.38573304670051622</v>
          </cell>
          <cell r="T76">
            <v>-0.44431511678660551</v>
          </cell>
          <cell r="AB76">
            <v>0.31651134764428512</v>
          </cell>
          <cell r="AC76">
            <v>-0.48785787808318382</v>
          </cell>
          <cell r="AD76">
            <v>0.38384240831815286</v>
          </cell>
          <cell r="AE76">
            <v>-0.48245614035087714</v>
          </cell>
          <cell r="AF76">
            <v>0.31058765217279216</v>
          </cell>
          <cell r="AG76">
            <v>-0.52666694066554331</v>
          </cell>
          <cell r="AH76">
            <v>0.29761153680474495</v>
          </cell>
          <cell r="AI76">
            <v>-0.54557949168803255</v>
          </cell>
          <cell r="AJ76">
            <v>4.1619052565967207E-2</v>
          </cell>
        </row>
        <row r="77">
          <cell r="C77" t="str">
            <v>4Q, 03E/02</v>
          </cell>
          <cell r="D77">
            <v>0.25001142322504832</v>
          </cell>
          <cell r="E77">
            <v>-0.51388138705844222</v>
          </cell>
          <cell r="F77">
            <v>-0.40343781597573303</v>
          </cell>
          <cell r="G77">
            <v>7.0536656891495797E-2</v>
          </cell>
          <cell r="H77">
            <v>0.31177702934124896</v>
          </cell>
          <cell r="I77">
            <v>0.17247444803201595</v>
          </cell>
          <cell r="J77">
            <v>5.1895541517898103E-2</v>
          </cell>
          <cell r="K77">
            <v>1.7771165595493139</v>
          </cell>
          <cell r="L77">
            <v>0.17999999999999994</v>
          </cell>
          <cell r="N77">
            <v>1.1904515156511293</v>
          </cell>
          <cell r="O77">
            <v>0.14500000000000002</v>
          </cell>
          <cell r="P77">
            <v>-0.41708577471632302</v>
          </cell>
          <cell r="Q77">
            <v>-0.13724678193049666</v>
          </cell>
          <cell r="R77">
            <v>0</v>
          </cell>
          <cell r="S77">
            <v>0.55766834469854132</v>
          </cell>
          <cell r="T77">
            <v>-0.49015796919915999</v>
          </cell>
          <cell r="AB77">
            <v>0.28331943960643757</v>
          </cell>
          <cell r="AC77">
            <v>-0.54095249248545874</v>
          </cell>
          <cell r="AD77">
            <v>0.28331943960643757</v>
          </cell>
          <cell r="AE77">
            <v>-0.56937335211267581</v>
          </cell>
          <cell r="AF77">
            <v>0.28331943960643757</v>
          </cell>
          <cell r="AG77">
            <v>-0.53883660347286289</v>
          </cell>
          <cell r="AH77">
            <v>0.27061330654102722</v>
          </cell>
          <cell r="AI77">
            <v>-0.54552583853275749</v>
          </cell>
          <cell r="AJ77">
            <v>1.4718625671256591E-2</v>
          </cell>
          <cell r="AK77">
            <v>6.8556362975176199E-3</v>
          </cell>
        </row>
        <row r="78">
          <cell r="C78" t="str">
            <v>FY 03E/02</v>
          </cell>
          <cell r="D78">
            <v>4.2687966029927971E-2</v>
          </cell>
          <cell r="E78">
            <v>-0.41759202920596294</v>
          </cell>
          <cell r="F78">
            <v>0.35463277746220956</v>
          </cell>
          <cell r="G78">
            <v>8.55160216575932E-2</v>
          </cell>
          <cell r="H78">
            <v>0.11642660932048376</v>
          </cell>
          <cell r="I78">
            <v>0.19367088607594929</v>
          </cell>
          <cell r="J78">
            <v>-0.18172346173693954</v>
          </cell>
          <cell r="K78">
            <v>0.8282085177309042</v>
          </cell>
          <cell r="L78">
            <v>0.10000000000000009</v>
          </cell>
          <cell r="N78">
            <v>0.64642520939438541</v>
          </cell>
          <cell r="O78">
            <v>0.14999999999999991</v>
          </cell>
          <cell r="P78">
            <v>2.7943913245118024E-2</v>
          </cell>
          <cell r="Q78">
            <v>0.95317417026811579</v>
          </cell>
          <cell r="S78">
            <v>0.34024935755856833</v>
          </cell>
          <cell r="T78">
            <v>-0.23932191396158597</v>
          </cell>
          <cell r="AB78">
            <v>0.20632181525543714</v>
          </cell>
          <cell r="AC78">
            <v>-0.25568298556112035</v>
          </cell>
          <cell r="AD78">
            <v>0.27728192203516833</v>
          </cell>
          <cell r="AE78">
            <v>-0.23918840930232554</v>
          </cell>
          <cell r="AF78">
            <v>0.19972989276770248</v>
          </cell>
          <cell r="AG78">
            <v>-0.26599349092132474</v>
          </cell>
          <cell r="AH78">
            <v>0.18785137897792348</v>
          </cell>
          <cell r="AI78">
            <v>-0.2132050284595175</v>
          </cell>
          <cell r="AJ78">
            <v>-1.6810728953092768E-3</v>
          </cell>
          <cell r="AK78">
            <v>1.9885084025228483E-3</v>
          </cell>
        </row>
        <row r="79">
          <cell r="C79" t="str">
            <v>3Q, 04E/03</v>
          </cell>
          <cell r="D79">
            <v>0.23927827318943229</v>
          </cell>
          <cell r="E79">
            <v>-0.33949801849405548</v>
          </cell>
          <cell r="F79">
            <v>-0.80511254750381656</v>
          </cell>
          <cell r="G79">
            <v>7.7735307504388951E-2</v>
          </cell>
          <cell r="H79">
            <v>0.24355045530570507</v>
          </cell>
          <cell r="I79">
            <v>0.14999999999999969</v>
          </cell>
          <cell r="J79">
            <v>0.22436512887048088</v>
          </cell>
          <cell r="K79">
            <v>0.1645962732919255</v>
          </cell>
          <cell r="L79">
            <v>0.10000000000000009</v>
          </cell>
          <cell r="N79">
            <v>4.257620580454291E-2</v>
          </cell>
          <cell r="O79">
            <v>0.10000000000000009</v>
          </cell>
          <cell r="P79">
            <v>1.3944206228977851E-2</v>
          </cell>
          <cell r="Q79">
            <v>-0.43348794391530643</v>
          </cell>
          <cell r="S79">
            <v>2.0573875880552484E-2</v>
          </cell>
          <cell r="T79">
            <v>0.26845723147570033</v>
          </cell>
          <cell r="AB79">
            <v>0.27007313180822767</v>
          </cell>
          <cell r="AC79">
            <v>0.36420450597985199</v>
          </cell>
          <cell r="AD79">
            <v>0.2700731318082279</v>
          </cell>
          <cell r="AE79">
            <v>-0.25450616949152527</v>
          </cell>
          <cell r="AF79">
            <v>0.27007313180822767</v>
          </cell>
          <cell r="AG79">
            <v>0.5276689782923305</v>
          </cell>
          <cell r="AH79">
            <v>0.25749815030517587</v>
          </cell>
          <cell r="AI79">
            <v>0.52309512211751685</v>
          </cell>
          <cell r="AJ79">
            <v>2.0100000000000007E-2</v>
          </cell>
          <cell r="AK79">
            <v>3.0030009999997276E-3</v>
          </cell>
        </row>
        <row r="80">
          <cell r="C80" t="str">
            <v>1Q, 04/03</v>
          </cell>
          <cell r="D80">
            <v>0.4679625573222812</v>
          </cell>
          <cell r="E80">
            <v>0</v>
          </cell>
          <cell r="F80">
            <v>-0.84578610532809007</v>
          </cell>
          <cell r="G80">
            <v>2.8761755485893437E-2</v>
          </cell>
          <cell r="H80">
            <v>0.60281166901298278</v>
          </cell>
          <cell r="I80">
            <v>0.14999999999999991</v>
          </cell>
          <cell r="J80">
            <v>0.14535844114187979</v>
          </cell>
          <cell r="K80">
            <v>-3.3322225924692361E-4</v>
          </cell>
          <cell r="L80">
            <v>6.0000000000000053E-2</v>
          </cell>
          <cell r="N80">
            <v>0.3865719175856317</v>
          </cell>
          <cell r="O80">
            <v>0.10000000000000009</v>
          </cell>
          <cell r="P80">
            <v>-0.37113937860010482</v>
          </cell>
          <cell r="Q80">
            <v>-0.60514301226524525</v>
          </cell>
          <cell r="S80">
            <v>0.20034898287895975</v>
          </cell>
          <cell r="T80">
            <v>-0.24310549696863326</v>
          </cell>
          <cell r="AB80">
            <v>3.6944519210510673E-2</v>
          </cell>
          <cell r="AC80">
            <v>-0.28956186900415382</v>
          </cell>
          <cell r="AD80">
            <v>3.6944519210510673E-2</v>
          </cell>
          <cell r="AE80">
            <v>-0.37984709677419382</v>
          </cell>
          <cell r="AF80">
            <v>3.6944519210510673E-2</v>
          </cell>
          <cell r="AG80">
            <v>-0.28289806511007776</v>
          </cell>
          <cell r="AH80">
            <v>2.6677741792584753E-2</v>
          </cell>
          <cell r="AI80">
            <v>-0.27863528109603708</v>
          </cell>
          <cell r="AJ80">
            <v>6.8556362975176199E-3</v>
          </cell>
          <cell r="AK80">
            <v>4.0060040009994857E-3</v>
          </cell>
        </row>
        <row r="81">
          <cell r="C81" t="str">
            <v>2Q, 04/03</v>
          </cell>
          <cell r="D81">
            <v>0.34300585803768424</v>
          </cell>
          <cell r="E81">
            <v>7.3509392866866197E-3</v>
          </cell>
          <cell r="F81">
            <v>-0.82999284180386546</v>
          </cell>
          <cell r="G81">
            <v>3.5667441378834264E-2</v>
          </cell>
          <cell r="H81">
            <v>0.12862909836065572</v>
          </cell>
          <cell r="J81">
            <v>3.1125750088245674</v>
          </cell>
          <cell r="K81">
            <v>8.5728693898134978E-3</v>
          </cell>
          <cell r="N81">
            <v>0.17649124655393433</v>
          </cell>
          <cell r="P81">
            <v>-0.37306306432617342</v>
          </cell>
          <cell r="Q81">
            <v>-0.65130976768513271</v>
          </cell>
          <cell r="S81">
            <v>0.19674534259551613</v>
          </cell>
          <cell r="T81">
            <v>-0.18954472711219017</v>
          </cell>
          <cell r="AC81">
            <v>-0.26390707616154785</v>
          </cell>
          <cell r="AE81">
            <v>-0.31124947368421063</v>
          </cell>
          <cell r="AG81">
            <v>-0.26066327683615798</v>
          </cell>
          <cell r="AI81">
            <v>-0.26213053646436357</v>
          </cell>
          <cell r="AJ81">
            <v>1.9885084025228483E-3</v>
          </cell>
          <cell r="AK81">
            <v>3.9590698457805384E-3</v>
          </cell>
        </row>
        <row r="82">
          <cell r="C82" t="str">
            <v>3Q, 04/03</v>
          </cell>
          <cell r="D82">
            <v>0.37095591299274933</v>
          </cell>
          <cell r="E82">
            <v>0</v>
          </cell>
          <cell r="F82" t="str">
            <v>3Year CAGR('02-'05):</v>
          </cell>
          <cell r="G82" t="str">
            <v>3Year CAGR('02-'05):</v>
          </cell>
          <cell r="H82">
            <v>0.20352453202238374</v>
          </cell>
          <cell r="J82">
            <v>0.16975935028319067</v>
          </cell>
          <cell r="K82">
            <v>0.1645962732919255</v>
          </cell>
          <cell r="N82">
            <v>-0.11381022506613847</v>
          </cell>
          <cell r="P82">
            <v>0.55866581508203383</v>
          </cell>
          <cell r="Q82">
            <v>-0.43348794391530643</v>
          </cell>
          <cell r="S82">
            <v>-6.5073160572970412E-2</v>
          </cell>
          <cell r="T82">
            <v>1.1230330708344236</v>
          </cell>
          <cell r="AC82">
            <v>1.4294257108828332</v>
          </cell>
          <cell r="AE82">
            <v>0.9914043728813553</v>
          </cell>
          <cell r="AG82">
            <v>1.6638515803183789</v>
          </cell>
          <cell r="AH82">
            <v>0.28540312007667112</v>
          </cell>
          <cell r="AI82">
            <v>1.6558759820882929</v>
          </cell>
          <cell r="AJ82">
            <v>3.0030009999997276E-3</v>
          </cell>
        </row>
        <row r="83">
          <cell r="C83" t="str">
            <v>4Q, 04/03</v>
          </cell>
          <cell r="D83">
            <v>0.21236440755779773</v>
          </cell>
          <cell r="E83">
            <v>0</v>
          </cell>
          <cell r="F83">
            <v>-0.43502824858757072</v>
          </cell>
          <cell r="G83">
            <v>0.15481401722098265</v>
          </cell>
          <cell r="H83">
            <v>0.24267351774674273</v>
          </cell>
          <cell r="J83">
            <v>9.1127966802017957E-2</v>
          </cell>
          <cell r="K83">
            <v>-0.37142857142857144</v>
          </cell>
          <cell r="N83">
            <v>-0.24731182795698925</v>
          </cell>
          <cell r="O83" t="str">
            <v>*Proforma restatement.  Quarters may not add.</v>
          </cell>
          <cell r="P83" t="str">
            <v>*Proforma restatement.  Quarters may not add.</v>
          </cell>
          <cell r="Q83">
            <v>-0.36</v>
          </cell>
          <cell r="S83">
            <v>-0.20512630917400143</v>
          </cell>
          <cell r="T83">
            <v>1.4205696751793284</v>
          </cell>
          <cell r="AC83">
            <v>1.7626833742650567</v>
          </cell>
          <cell r="AE83">
            <v>1.5501692685523598</v>
          </cell>
          <cell r="AG83">
            <v>1.7774570821488269</v>
          </cell>
          <cell r="AI83">
            <v>1.7663749729389688</v>
          </cell>
          <cell r="AJ83">
            <v>4.0060040009994857E-3</v>
          </cell>
          <cell r="AK83">
            <v>1.0000000000000009E-2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come Statement"/>
      <sheetName val="Balance Sheet"/>
      <sheetName val="FAC"/>
      <sheetName val="drug info"/>
    </sheetNames>
    <sheetDataSet>
      <sheetData sheetId="0" refreshError="1">
        <row r="1">
          <cell r="A1" t="str">
            <v>ANNTAYLOR STORES CORPORATION</v>
          </cell>
          <cell r="B1">
            <v>1997</v>
          </cell>
          <cell r="C1" t="str">
            <v>1998</v>
          </cell>
          <cell r="D1" t="str">
            <v>1999</v>
          </cell>
          <cell r="E1" t="str">
            <v>2000</v>
          </cell>
          <cell r="F1" t="str">
            <v>2001</v>
          </cell>
          <cell r="G1" t="str">
            <v>2002E</v>
          </cell>
          <cell r="H1" t="str">
            <v>2003E</v>
          </cell>
        </row>
        <row r="2">
          <cell r="A2" t="str">
            <v>ANNUAL RESULTS ($ in '000s)</v>
          </cell>
          <cell r="B2" t="str">
            <v>Yr. End</v>
          </cell>
          <cell r="C2" t="str">
            <v>Yr. End</v>
          </cell>
          <cell r="D2" t="str">
            <v>Yr. End</v>
          </cell>
          <cell r="E2" t="str">
            <v>Yr. End</v>
          </cell>
          <cell r="F2" t="str">
            <v>Yr. End</v>
          </cell>
          <cell r="G2" t="str">
            <v>Yr. End</v>
          </cell>
          <cell r="H2" t="str">
            <v>Yr. End</v>
          </cell>
        </row>
        <row r="3">
          <cell r="A3">
            <v>37573</v>
          </cell>
          <cell r="B3" t="str">
            <v>1/31/98</v>
          </cell>
          <cell r="C3" t="str">
            <v>1/30/99</v>
          </cell>
          <cell r="D3" t="str">
            <v>1/30/00</v>
          </cell>
          <cell r="E3" t="str">
            <v>1/30/01</v>
          </cell>
          <cell r="F3" t="str">
            <v>1/30/02</v>
          </cell>
          <cell r="G3" t="str">
            <v>1/30/03</v>
          </cell>
          <cell r="H3" t="str">
            <v>1/30/04</v>
          </cell>
        </row>
        <row r="4">
          <cell r="A4" t="str">
            <v xml:space="preserve">Net Sales </v>
          </cell>
          <cell r="B4">
            <v>781028</v>
          </cell>
          <cell r="C4">
            <v>911939</v>
          </cell>
          <cell r="D4">
            <v>1084519</v>
          </cell>
          <cell r="E4">
            <v>1232776</v>
          </cell>
          <cell r="F4">
            <v>1299572</v>
          </cell>
          <cell r="G4">
            <v>1419241.0581456709</v>
          </cell>
          <cell r="H4">
            <v>1585210.1721740873</v>
          </cell>
        </row>
        <row r="5">
          <cell r="A5" t="str">
            <v>Cost of Sales</v>
          </cell>
          <cell r="B5">
            <v>411756</v>
          </cell>
          <cell r="C5">
            <v>455724</v>
          </cell>
          <cell r="D5">
            <v>536014</v>
          </cell>
          <cell r="E5">
            <v>622036</v>
          </cell>
          <cell r="F5">
            <v>647707</v>
          </cell>
          <cell r="G5">
            <v>661359.98130541819</v>
          </cell>
          <cell r="H5">
            <v>738707.94023312465</v>
          </cell>
        </row>
        <row r="6">
          <cell r="A6" t="str">
            <v>Gross Profit</v>
          </cell>
          <cell r="B6">
            <v>369272</v>
          </cell>
          <cell r="C6">
            <v>456215</v>
          </cell>
          <cell r="D6">
            <v>548505</v>
          </cell>
          <cell r="E6">
            <v>610740</v>
          </cell>
          <cell r="F6">
            <v>651865</v>
          </cell>
          <cell r="G6">
            <v>757881.07684025273</v>
          </cell>
          <cell r="H6">
            <v>846502.23194096261</v>
          </cell>
        </row>
        <row r="7">
          <cell r="A7" t="str">
            <v>Sell, Gen., &amp; Adm. Exp.</v>
          </cell>
          <cell r="B7">
            <v>308232</v>
          </cell>
          <cell r="C7">
            <v>349955</v>
          </cell>
          <cell r="D7">
            <v>413058</v>
          </cell>
          <cell r="E7">
            <v>490826</v>
          </cell>
          <cell r="F7">
            <v>563684</v>
          </cell>
          <cell r="G7">
            <v>624712.35306078417</v>
          </cell>
          <cell r="H7">
            <v>694322.05541225022</v>
          </cell>
        </row>
        <row r="8">
          <cell r="A8" t="str">
            <v>Studio shoe stores closing expense</v>
          </cell>
          <cell r="B8" t="str">
            <v>--</v>
          </cell>
          <cell r="C8" t="str">
            <v>--</v>
          </cell>
          <cell r="D8" t="str">
            <v>--</v>
          </cell>
          <cell r="E8" t="str">
            <v>--</v>
          </cell>
          <cell r="F8">
            <v>0</v>
          </cell>
          <cell r="G8">
            <v>0</v>
          </cell>
        </row>
        <row r="9">
          <cell r="A9" t="str">
            <v>Employment contract sep. expense</v>
          </cell>
          <cell r="B9" t="str">
            <v>--</v>
          </cell>
          <cell r="C9" t="str">
            <v>--</v>
          </cell>
          <cell r="D9" t="str">
            <v>--</v>
          </cell>
          <cell r="E9" t="str">
            <v>--</v>
          </cell>
          <cell r="F9">
            <v>0</v>
          </cell>
          <cell r="G9">
            <v>0</v>
          </cell>
        </row>
        <row r="10">
          <cell r="A10" t="str">
            <v>Retirement of Assets</v>
          </cell>
          <cell r="B10">
            <v>0</v>
          </cell>
          <cell r="C10">
            <v>3633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</row>
        <row r="11">
          <cell r="A11" t="str">
            <v>Goodwill Amortization</v>
          </cell>
          <cell r="B11">
            <v>11040</v>
          </cell>
          <cell r="C11">
            <v>11040</v>
          </cell>
          <cell r="D11">
            <v>11040</v>
          </cell>
          <cell r="E11">
            <v>11040</v>
          </cell>
          <cell r="F11">
            <v>0</v>
          </cell>
          <cell r="G11">
            <v>0</v>
          </cell>
          <cell r="H11">
            <v>0</v>
          </cell>
        </row>
        <row r="12">
          <cell r="A12" t="str">
            <v>Operating Income</v>
          </cell>
          <cell r="B12">
            <v>50000</v>
          </cell>
          <cell r="C12">
            <v>91587</v>
          </cell>
          <cell r="D12">
            <v>124407</v>
          </cell>
          <cell r="E12">
            <v>108874</v>
          </cell>
          <cell r="F12">
            <v>88181</v>
          </cell>
          <cell r="G12">
            <v>133168.72377946859</v>
          </cell>
          <cell r="H12">
            <v>152180.17652871239</v>
          </cell>
        </row>
        <row r="13">
          <cell r="A13" t="str">
            <v>Net Interest Expense (gain)</v>
          </cell>
          <cell r="B13">
            <v>19989</v>
          </cell>
          <cell r="C13">
            <v>18117</v>
          </cell>
          <cell r="D13">
            <v>7436</v>
          </cell>
          <cell r="E13">
            <v>4842</v>
          </cell>
          <cell r="F13">
            <v>5479</v>
          </cell>
          <cell r="G13">
            <v>3786</v>
          </cell>
          <cell r="H13">
            <v>4500</v>
          </cell>
        </row>
        <row r="14">
          <cell r="A14" t="str">
            <v>Other Expenses</v>
          </cell>
          <cell r="B14">
            <v>548</v>
          </cell>
          <cell r="C14">
            <v>567</v>
          </cell>
          <cell r="D14">
            <v>1257</v>
          </cell>
          <cell r="E14">
            <v>-13</v>
          </cell>
          <cell r="F14">
            <v>0</v>
          </cell>
          <cell r="G14">
            <v>0</v>
          </cell>
          <cell r="H14">
            <v>0</v>
          </cell>
        </row>
        <row r="15">
          <cell r="A15" t="str">
            <v>Pretax Income</v>
          </cell>
          <cell r="B15">
            <v>29463</v>
          </cell>
          <cell r="C15">
            <v>72903</v>
          </cell>
          <cell r="D15">
            <v>115714</v>
          </cell>
          <cell r="E15">
            <v>104045</v>
          </cell>
          <cell r="F15">
            <v>82702</v>
          </cell>
          <cell r="G15">
            <v>129382.72377946859</v>
          </cell>
          <cell r="H15">
            <v>147680.17652871239</v>
          </cell>
        </row>
        <row r="16">
          <cell r="A16" t="str">
            <v>Income Taxes</v>
          </cell>
          <cell r="B16">
            <v>17466</v>
          </cell>
          <cell r="C16">
            <v>33579</v>
          </cell>
          <cell r="D16">
            <v>50221</v>
          </cell>
          <cell r="E16">
            <v>45099</v>
          </cell>
          <cell r="F16">
            <v>33367.380000000005</v>
          </cell>
          <cell r="G16">
            <v>50459.622273992754</v>
          </cell>
          <cell r="H16">
            <v>57595.268846197832</v>
          </cell>
        </row>
        <row r="17">
          <cell r="A17" t="str">
            <v>Net Income before dilution &amp; extra. loss</v>
          </cell>
          <cell r="B17">
            <v>11997</v>
          </cell>
          <cell r="C17">
            <v>39324</v>
          </cell>
          <cell r="D17">
            <v>65493</v>
          </cell>
          <cell r="E17">
            <v>58946</v>
          </cell>
          <cell r="F17">
            <v>49334.619999999995</v>
          </cell>
          <cell r="G17">
            <v>78923.101505475846</v>
          </cell>
          <cell r="H17">
            <v>90084.907682514546</v>
          </cell>
        </row>
        <row r="18">
          <cell r="A18" t="str">
            <v>Interest Effect of Convert Debt</v>
          </cell>
          <cell r="B18">
            <v>0</v>
          </cell>
          <cell r="C18">
            <v>1325</v>
          </cell>
          <cell r="D18">
            <v>2791</v>
          </cell>
          <cell r="E18">
            <v>2085</v>
          </cell>
          <cell r="F18">
            <v>2813</v>
          </cell>
          <cell r="G18">
            <v>2927</v>
          </cell>
          <cell r="H18">
            <v>3727</v>
          </cell>
        </row>
        <row r="19">
          <cell r="A19" t="str">
            <v>Net income including convert debt effect</v>
          </cell>
          <cell r="B19">
            <v>11824</v>
          </cell>
          <cell r="C19">
            <v>40649</v>
          </cell>
          <cell r="D19">
            <v>68284</v>
          </cell>
          <cell r="E19">
            <v>61031</v>
          </cell>
          <cell r="F19">
            <v>52147.619999999995</v>
          </cell>
          <cell r="G19">
            <v>81850.101505475846</v>
          </cell>
          <cell r="H19">
            <v>93811.907682514546</v>
          </cell>
        </row>
        <row r="20">
          <cell r="A20" t="str">
            <v>Extraordinary Loss (net of income taxes)</v>
          </cell>
          <cell r="B20">
            <v>173</v>
          </cell>
          <cell r="C20">
            <v>0</v>
          </cell>
          <cell r="D20">
            <v>962</v>
          </cell>
          <cell r="E20">
            <v>6488</v>
          </cell>
          <cell r="F20">
            <v>10370</v>
          </cell>
          <cell r="G20">
            <v>0</v>
          </cell>
          <cell r="H20">
            <v>0</v>
          </cell>
        </row>
        <row r="21">
          <cell r="A21" t="str">
            <v>Net income after extraordinary loss</v>
          </cell>
          <cell r="B21">
            <v>11651</v>
          </cell>
          <cell r="C21">
            <v>40649</v>
          </cell>
          <cell r="D21">
            <v>67322</v>
          </cell>
          <cell r="E21">
            <v>54543</v>
          </cell>
          <cell r="F21">
            <v>41777.619999999995</v>
          </cell>
          <cell r="G21">
            <v>81850.101505475846</v>
          </cell>
          <cell r="H21">
            <v>93811.907682514546</v>
          </cell>
        </row>
        <row r="22">
          <cell r="A22" t="str">
            <v>Operating EPS</v>
          </cell>
          <cell r="B22">
            <v>0.311291013116413</v>
          </cell>
          <cell r="C22">
            <v>0.87400288116278568</v>
          </cell>
          <cell r="D22">
            <v>1.3858159051011194</v>
          </cell>
          <cell r="E22">
            <v>1.314687279909647</v>
          </cell>
          <cell r="F22">
            <v>1.1199980949071715</v>
          </cell>
          <cell r="G22">
            <v>1.6940140737619762</v>
          </cell>
          <cell r="H22">
            <v>1.942275521377113</v>
          </cell>
        </row>
        <row r="23">
          <cell r="A23" t="str">
            <v>EPS After Extraordinary Item</v>
          </cell>
          <cell r="B23">
            <v>0.30680211211873532</v>
          </cell>
          <cell r="C23">
            <v>0.87400288116278568</v>
          </cell>
          <cell r="D23">
            <v>1.3858159051011194</v>
          </cell>
          <cell r="E23">
            <v>1.16375993397607</v>
          </cell>
          <cell r="F23">
            <v>0.8932157770891308</v>
          </cell>
          <cell r="G23">
            <v>1.6940140737619762</v>
          </cell>
          <cell r="H23">
            <v>1.942275521377113</v>
          </cell>
        </row>
        <row r="24">
          <cell r="A24" t="str">
            <v>Avg. Shares Outs. (millions)</v>
          </cell>
          <cell r="B24">
            <v>38.539500000000004</v>
          </cell>
          <cell r="C24">
            <v>46.509</v>
          </cell>
          <cell r="D24">
            <v>49.273499999999999</v>
          </cell>
          <cell r="E24">
            <v>46.831499999999998</v>
          </cell>
          <cell r="F24">
            <v>43.660499999999999</v>
          </cell>
          <cell r="G24">
            <v>48.317250000000001</v>
          </cell>
          <cell r="H24">
            <v>48.3</v>
          </cell>
        </row>
        <row r="25">
          <cell r="A25" t="str">
            <v>RATIO ANALYSIS</v>
          </cell>
          <cell r="B25">
            <v>1997</v>
          </cell>
          <cell r="C25" t="str">
            <v>1998</v>
          </cell>
          <cell r="D25" t="str">
            <v>1999</v>
          </cell>
          <cell r="E25">
            <v>2000</v>
          </cell>
          <cell r="F25" t="str">
            <v>2001</v>
          </cell>
          <cell r="G25" t="str">
            <v>2002E</v>
          </cell>
          <cell r="H25" t="str">
            <v>2003E</v>
          </cell>
        </row>
        <row r="26">
          <cell r="A26" t="str">
            <v>Cost of Goods</v>
          </cell>
          <cell r="B26">
            <v>0.5271974884383146</v>
          </cell>
          <cell r="C26">
            <v>0.49973079339736537</v>
          </cell>
          <cell r="D26">
            <v>0.49424122583375674</v>
          </cell>
          <cell r="E26">
            <v>0.50458152981563564</v>
          </cell>
          <cell r="F26">
            <v>0.49840024254139054</v>
          </cell>
          <cell r="G26">
            <v>0.46599552451612924</v>
          </cell>
          <cell r="H26">
            <v>0.46599999999999997</v>
          </cell>
        </row>
        <row r="27">
          <cell r="A27" t="str">
            <v>Sell, Gen. &amp; Adm.</v>
          </cell>
          <cell r="B27">
            <v>0.39464910348924748</v>
          </cell>
          <cell r="C27">
            <v>0.38374825509162347</v>
          </cell>
          <cell r="D27">
            <v>0.38086746290290902</v>
          </cell>
          <cell r="E27">
            <v>0.39814694640388848</v>
          </cell>
          <cell r="F27">
            <v>0.43374587941260662</v>
          </cell>
          <cell r="G27">
            <v>0.44017353463337</v>
          </cell>
          <cell r="H27">
            <v>0.438</v>
          </cell>
        </row>
        <row r="28">
          <cell r="A28" t="str">
            <v>Interest Exp., Net</v>
          </cell>
          <cell r="B28">
            <v>2.5593192561598303E-2</v>
          </cell>
          <cell r="C28">
            <v>1.986646036631836E-2</v>
          </cell>
          <cell r="D28">
            <v>6.8564958290265087E-3</v>
          </cell>
          <cell r="E28">
            <v>3.9277208511521965E-3</v>
          </cell>
          <cell r="F28">
            <v>4.2160034226653084E-3</v>
          </cell>
          <cell r="G28">
            <v>2.6676229371116497E-3</v>
          </cell>
          <cell r="H28">
            <v>2.8387403001763046E-3</v>
          </cell>
        </row>
        <row r="29">
          <cell r="A29" t="str">
            <v>Gross Margin</v>
          </cell>
          <cell r="B29">
            <v>0.47280251156168535</v>
          </cell>
          <cell r="C29">
            <v>0.50026920660263463</v>
          </cell>
          <cell r="D29">
            <v>0.50575877416624326</v>
          </cell>
          <cell r="E29">
            <v>0.49541847018436441</v>
          </cell>
          <cell r="F29">
            <v>0.50159975745860941</v>
          </cell>
          <cell r="G29">
            <v>0.53400447548387076</v>
          </cell>
          <cell r="H29">
            <v>0.53400000000000003</v>
          </cell>
        </row>
        <row r="30">
          <cell r="A30" t="str">
            <v>Operating Margin</v>
          </cell>
          <cell r="B30">
            <v>6.4018191409270855E-2</v>
          </cell>
          <cell r="C30">
            <v>0.10043105953358722</v>
          </cell>
          <cell r="D30">
            <v>0.11471168324390812</v>
          </cell>
          <cell r="E30">
            <v>8.8316125557278857E-2</v>
          </cell>
          <cell r="F30">
            <v>6.7853878046002833E-2</v>
          </cell>
          <cell r="G30">
            <v>9.3830940850500782E-2</v>
          </cell>
          <cell r="H30">
            <v>9.6000000000000002E-2</v>
          </cell>
        </row>
        <row r="31">
          <cell r="A31" t="str">
            <v>Pretax Margin</v>
          </cell>
          <cell r="B31">
            <v>3.7723359469826946E-2</v>
          </cell>
          <cell r="C31">
            <v>7.994284705446307E-2</v>
          </cell>
          <cell r="D31">
            <v>0.10669614824636543</v>
          </cell>
          <cell r="E31">
            <v>8.4398950012005425E-2</v>
          </cell>
          <cell r="F31">
            <v>6.3637874623337531E-2</v>
          </cell>
          <cell r="G31">
            <v>9.1163317913389136E-2</v>
          </cell>
          <cell r="H31">
            <v>9.3161259699823695E-2</v>
          </cell>
        </row>
        <row r="32">
          <cell r="A32" t="str">
            <v>Tax Rate</v>
          </cell>
          <cell r="B32">
            <v>0.59281132267589853</v>
          </cell>
          <cell r="C32">
            <v>0.46059832928686062</v>
          </cell>
          <cell r="D32">
            <v>0.43400971360423113</v>
          </cell>
          <cell r="E32">
            <v>0.43345667739920229</v>
          </cell>
          <cell r="F32">
            <v>0.40346521244951761</v>
          </cell>
          <cell r="G32">
            <v>0.39000278244258185</v>
          </cell>
          <cell r="H32">
            <v>0.39</v>
          </cell>
        </row>
        <row r="33">
          <cell r="A33" t="str">
            <v>Net Margin</v>
          </cell>
          <cell r="B33">
            <v>1.5139021904464372E-2</v>
          </cell>
          <cell r="C33">
            <v>4.4574253321768231E-2</v>
          </cell>
          <cell r="D33">
            <v>6.296247460855918E-2</v>
          </cell>
          <cell r="E33">
            <v>4.9506966391298986E-2</v>
          </cell>
          <cell r="F33">
            <v>4.0126764811799574E-2</v>
          </cell>
          <cell r="G33">
            <v>5.7671740142874836E-2</v>
          </cell>
          <cell r="H33">
            <v>5.9179476216616247E-2</v>
          </cell>
        </row>
        <row r="34">
          <cell r="A34" t="str">
            <v>Y-T-Y % CHANGE</v>
          </cell>
          <cell r="B34">
            <v>1997</v>
          </cell>
          <cell r="C34" t="str">
            <v>1998</v>
          </cell>
          <cell r="D34" t="str">
            <v>1999</v>
          </cell>
          <cell r="E34" t="str">
            <v>2000</v>
          </cell>
          <cell r="F34" t="str">
            <v>2001</v>
          </cell>
          <cell r="G34" t="str">
            <v>2002E</v>
          </cell>
          <cell r="H34" t="str">
            <v>2003E</v>
          </cell>
        </row>
        <row r="35">
          <cell r="A35" t="str">
            <v xml:space="preserve">Net Sales </v>
          </cell>
          <cell r="B35" t="str">
            <v>--</v>
          </cell>
          <cell r="C35">
            <v>0.16761370911158124</v>
          </cell>
          <cell r="D35">
            <v>0.18924511398240451</v>
          </cell>
          <cell r="E35">
            <v>0.1367029992097879</v>
          </cell>
          <cell r="F35">
            <v>5.4183403959843446E-2</v>
          </cell>
          <cell r="G35">
            <v>9.208343835175814E-2</v>
          </cell>
          <cell r="H35">
            <v>0.11694215938571118</v>
          </cell>
        </row>
        <row r="36">
          <cell r="A36" t="str">
            <v>Cost of Sales</v>
          </cell>
          <cell r="B36" t="str">
            <v>--</v>
          </cell>
          <cell r="C36">
            <v>0.10678168624136619</v>
          </cell>
          <cell r="D36">
            <v>0.17618119739140359</v>
          </cell>
          <cell r="E36">
            <v>0.16048461420783777</v>
          </cell>
          <cell r="F36">
            <v>4.1269315602312506E-2</v>
          </cell>
          <cell r="G36">
            <v>2.1078946661713172E-2</v>
          </cell>
          <cell r="H36">
            <v>0.1169528866488625</v>
          </cell>
        </row>
        <row r="37">
          <cell r="A37" t="str">
            <v>Gross Profit</v>
          </cell>
          <cell r="B37" t="str">
            <v>--</v>
          </cell>
          <cell r="C37">
            <v>0.23544433371606832</v>
          </cell>
          <cell r="D37">
            <v>0.20229497057308499</v>
          </cell>
          <cell r="E37">
            <v>0.11346295840511944</v>
          </cell>
          <cell r="F37">
            <v>6.7336346071978248E-2</v>
          </cell>
          <cell r="G37">
            <v>0.16263501927585122</v>
          </cell>
          <cell r="H37">
            <v>0.11693279830944969</v>
          </cell>
        </row>
        <row r="38">
          <cell r="A38" t="str">
            <v>Sell, Gen., &amp; Admin. Exp.</v>
          </cell>
          <cell r="B38" t="str">
            <v>--</v>
          </cell>
          <cell r="C38">
            <v>0.13536232448285701</v>
          </cell>
          <cell r="D38">
            <v>0.18031746938892135</v>
          </cell>
          <cell r="E38">
            <v>0.18827380174212816</v>
          </cell>
          <cell r="F38">
            <v>0.14843956921597479</v>
          </cell>
          <cell r="G38">
            <v>0.10826695996477498</v>
          </cell>
          <cell r="H38">
            <v>0.11142680628998725</v>
          </cell>
        </row>
        <row r="39">
          <cell r="A39" t="str">
            <v>Operating Profit</v>
          </cell>
          <cell r="B39" t="str">
            <v>--</v>
          </cell>
          <cell r="C39">
            <v>0.83173999999999992</v>
          </cell>
          <cell r="D39">
            <v>0.3583478004520293</v>
          </cell>
          <cell r="E39">
            <v>-0.12485631837436795</v>
          </cell>
          <cell r="F39">
            <v>-0.19006374340981314</v>
          </cell>
          <cell r="G39">
            <v>0.51017479705910107</v>
          </cell>
          <cell r="H39">
            <v>0.14276214571769374</v>
          </cell>
        </row>
        <row r="40">
          <cell r="A40" t="str">
            <v>Interest, Net</v>
          </cell>
          <cell r="B40" t="str">
            <v>--</v>
          </cell>
          <cell r="C40">
            <v>-9.3651508329581246E-2</v>
          </cell>
          <cell r="D40">
            <v>-0.58955676988463868</v>
          </cell>
          <cell r="E40">
            <v>-0.34884346422807966</v>
          </cell>
          <cell r="F40">
            <v>0.13155720776538615</v>
          </cell>
          <cell r="G40">
            <v>-0.30899799233436753</v>
          </cell>
          <cell r="H40">
            <v>0.18858954041204434</v>
          </cell>
        </row>
        <row r="41">
          <cell r="A41" t="str">
            <v>Pretax Income</v>
          </cell>
          <cell r="B41" t="str">
            <v>--</v>
          </cell>
          <cell r="C41">
            <v>1.4743916098157008</v>
          </cell>
          <cell r="D41">
            <v>0.58723234983471184</v>
          </cell>
          <cell r="E41">
            <v>-0.10084345887273793</v>
          </cell>
          <cell r="F41">
            <v>-0.20513239463693589</v>
          </cell>
          <cell r="G41">
            <v>0.5644449200680588</v>
          </cell>
          <cell r="H41">
            <v>0.14142114352478452</v>
          </cell>
        </row>
        <row r="42">
          <cell r="A42" t="str">
            <v>Income Taxes</v>
          </cell>
          <cell r="B42" t="str">
            <v>--</v>
          </cell>
          <cell r="C42">
            <v>0.92253521126760574</v>
          </cell>
          <cell r="D42">
            <v>0.49560737365615415</v>
          </cell>
          <cell r="E42">
            <v>-0.1019892077019573</v>
          </cell>
          <cell r="F42">
            <v>-0.26013037983103826</v>
          </cell>
          <cell r="G42">
            <v>0.51224406213471796</v>
          </cell>
          <cell r="H42">
            <v>0.14141300015007929</v>
          </cell>
        </row>
        <row r="43">
          <cell r="A43" t="str">
            <v>Net Income</v>
          </cell>
          <cell r="B43" t="str">
            <v>--</v>
          </cell>
          <cell r="C43">
            <v>2.437838294993234</v>
          </cell>
          <cell r="D43">
            <v>0.67984452262048256</v>
          </cell>
          <cell r="E43">
            <v>-0.10621814773592642</v>
          </cell>
          <cell r="F43">
            <v>-0.14555520964755619</v>
          </cell>
          <cell r="G43">
            <v>0.5695846043496493</v>
          </cell>
          <cell r="H43">
            <v>0.146142838640688</v>
          </cell>
        </row>
        <row r="44">
          <cell r="A44" t="str">
            <v>EPS (Operating)</v>
          </cell>
          <cell r="B44" t="str">
            <v>--</v>
          </cell>
          <cell r="C44">
            <v>1.8076714210696991</v>
          </cell>
          <cell r="D44">
            <v>0.58559649512529122</v>
          </cell>
          <cell r="E44">
            <v>-5.1326171773358631E-2</v>
          </cell>
          <cell r="F44">
            <v>-0.14808782892906336</v>
          </cell>
          <cell r="G44">
            <v>0.51251513861046405</v>
          </cell>
          <cell r="H44">
            <v>0.14655217536877418</v>
          </cell>
        </row>
        <row r="45">
          <cell r="A45" t="str">
            <v>Fully Diluted Shares Outstanding</v>
          </cell>
          <cell r="B45" t="str">
            <v>--</v>
          </cell>
          <cell r="C45">
            <v>0.20678784104619918</v>
          </cell>
          <cell r="D45">
            <v>5.9440108366122679E-2</v>
          </cell>
          <cell r="E45">
            <v>-4.9560108374684164E-2</v>
          </cell>
          <cell r="F45">
            <v>-6.77108356554883E-2</v>
          </cell>
          <cell r="G45">
            <v>0.10665819218744632</v>
          </cell>
          <cell r="H45">
            <v>-3.5701535166021703E-4</v>
          </cell>
        </row>
      </sheetData>
      <sheetData sheetId="1" refreshError="1"/>
      <sheetData sheetId="2" refreshError="1"/>
      <sheetData sheetId="3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ver"/>
      <sheetName val="Disclaimer"/>
      <sheetName val="Table "/>
      <sheetName val="Results"/>
      <sheetName val="Stats"/>
      <sheetName val="MHRS Q3"/>
      <sheetName val="RITZ Q3"/>
      <sheetName val="REN Q3"/>
      <sheetName val="Int'l MHRS Q3"/>
      <sheetName val="Int'l CY &amp; Ren Q3"/>
      <sheetName val="CY Q3"/>
      <sheetName val="FFI Q3"/>
      <sheetName val="SHS Q3"/>
      <sheetName val="RI Q3"/>
      <sheetName val="TPS Q3"/>
      <sheetName val="CL &amp; Other Q3"/>
      <sheetName val="MVCI Q3"/>
      <sheetName val="SLS Q3"/>
      <sheetName val="MDS Q3"/>
      <sheetName val="Int Exp &amp; Inc"/>
      <sheetName val="CorpExp Q3"/>
      <sheetName val="YTD Results"/>
      <sheetName val="YTD Stats"/>
      <sheetName val="MHRS YTD"/>
      <sheetName val="RITZ YTD"/>
      <sheetName val="REN YTD"/>
      <sheetName val="Int'l MHRS YTD"/>
      <sheetName val="Int'l CY &amp; Ren YTD"/>
      <sheetName val="CY YTD"/>
      <sheetName val="FFI YTD"/>
      <sheetName val="SHS YTD"/>
      <sheetName val="RI YTD"/>
      <sheetName val="TPS YTD"/>
      <sheetName val="CL &amp; Other Q3 YTD"/>
      <sheetName val="MVCI YTD"/>
      <sheetName val="SLS YTD"/>
      <sheetName val="MDS YTD"/>
      <sheetName val="Int Exp YTD"/>
      <sheetName val="CorpExp YTD"/>
    </sheetNames>
    <sheetDataSet>
      <sheetData sheetId="0" refreshError="1">
        <row r="1">
          <cell r="J1" t="str">
            <v>THIRD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arningsModel"/>
      <sheetName val="1Q04"/>
      <sheetName val="Valuation"/>
      <sheetName val="Estimate Summary"/>
      <sheetName val="ROIC"/>
      <sheetName val="NPV Thunder Valley"/>
      <sheetName val="Thunder Valley"/>
      <sheetName val="Gun Lake NPV Conservative case"/>
      <sheetName val="Chico NPV"/>
      <sheetName val="Mono Prop Math"/>
      <sheetName val="Mono NPV"/>
      <sheetName val="Gun Lake Math"/>
      <sheetName val="Charts"/>
      <sheetName val="Gun Lake NPV Optimistic Case"/>
      <sheetName val="DCF Model"/>
      <sheetName val="Props"/>
      <sheetName val="4Q03"/>
      <sheetName val="3Q03"/>
      <sheetName val="2Q03"/>
      <sheetName val="1Q03"/>
      <sheetName val="Mono"/>
      <sheetName val="3Q03 Comp"/>
      <sheetName val="2Q03 Comp"/>
      <sheetName val="1Q03 Comp"/>
      <sheetName val="Earnings Model"/>
      <sheetName val="Cover"/>
      <sheetName val="quarterly income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orecasts"/>
      <sheetName val="Annual p&amp;l"/>
      <sheetName val="Quarterly income"/>
      <sheetName val="Qtr. Product Sales"/>
      <sheetName val="Annual Product Sales"/>
      <sheetName val="BSCF"/>
      <sheetName val="duration"/>
      <sheetName val="Variance"/>
      <sheetName val="duration 07"/>
      <sheetName val="Links"/>
      <sheetName val="Zetia Vytorin JV"/>
      <sheetName val="Astra JV"/>
      <sheetName val="Price Volume"/>
      <sheetName val="Other income"/>
      <sheetName val="Catalysts"/>
      <sheetName val="Pipeline"/>
      <sheetName val="COGS"/>
      <sheetName val="Vioxx"/>
      <sheetName val="Guidance"/>
      <sheetName val="FCF"/>
      <sheetName val="R&amp;D Efficiency"/>
      <sheetName val="__FDSCACHE__"/>
      <sheetName val="Share Buyback History"/>
      <sheetName val="reports--&gt;"/>
      <sheetName val="Vaccine Penetration"/>
      <sheetName val="Handout Tables"/>
      <sheetName val="Charts for Report"/>
      <sheetName val="Charts"/>
      <sheetName val="Table of Contents"/>
      <sheetName val="EarningsModel"/>
    </sheetNames>
    <sheetDataSet>
      <sheetData sheetId="0" refreshError="1"/>
      <sheetData sheetId="1" refreshError="1"/>
      <sheetData sheetId="2" refreshError="1"/>
      <sheetData sheetId="3" refreshError="1">
        <row r="14">
          <cell r="U14">
            <v>5238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loomberg Data"/>
      <sheetName val="YOY FX"/>
      <sheetName val="10-K Geographic Info"/>
      <sheetName val="Zoetis - livestock"/>
      <sheetName val="Zoetis - companion"/>
      <sheetName val="Sheet1"/>
    </sheetNames>
    <sheetDataSet>
      <sheetData sheetId="0">
        <row r="2452">
          <cell r="Q2452">
            <v>0.45419999999999999</v>
          </cell>
        </row>
      </sheetData>
      <sheetData sheetId="1">
        <row r="28">
          <cell r="D28">
            <v>1.3703984375</v>
          </cell>
          <cell r="G28">
            <v>1.6548953125000005</v>
          </cell>
          <cell r="J28">
            <v>9.7260156250000025E-3</v>
          </cell>
          <cell r="M28">
            <v>0.9068921875</v>
          </cell>
          <cell r="P28">
            <v>0.16392578124999999</v>
          </cell>
          <cell r="S28">
            <v>7.5579375000000018E-2</v>
          </cell>
          <cell r="V28">
            <v>0.89676718750000017</v>
          </cell>
        </row>
        <row r="29">
          <cell r="D29">
            <v>1.3716461538461537</v>
          </cell>
          <cell r="G29">
            <v>1.6833799999999999</v>
          </cell>
          <cell r="J29">
            <v>9.7910153846153865E-3</v>
          </cell>
          <cell r="M29">
            <v>0.91722307692307714</v>
          </cell>
          <cell r="P29">
            <v>0.1604693846153846</v>
          </cell>
          <cell r="S29">
            <v>7.6964153846153821E-2</v>
          </cell>
          <cell r="V29">
            <v>0.93308615384615379</v>
          </cell>
        </row>
        <row r="30">
          <cell r="D30">
            <v>1.3252287878787878</v>
          </cell>
          <cell r="G30">
            <v>1.6698621212121216</v>
          </cell>
          <cell r="J30">
            <v>9.6196666666666653E-3</v>
          </cell>
          <cell r="M30">
            <v>0.91874242424242447</v>
          </cell>
          <cell r="P30">
            <v>0.16220303030303032</v>
          </cell>
          <cell r="S30">
            <v>7.6218484848484855E-2</v>
          </cell>
          <cell r="V30">
            <v>0.92502272727272705</v>
          </cell>
        </row>
        <row r="31">
          <cell r="D31">
            <v>1.2490507462686564</v>
          </cell>
          <cell r="G31">
            <v>1.5834477611940301</v>
          </cell>
          <cell r="J31">
            <v>9.1789083969465602E-3</v>
          </cell>
          <cell r="M31">
            <v>0.88010303030303028</v>
          </cell>
          <cell r="P31">
            <v>0.16264787878787876</v>
          </cell>
          <cell r="S31">
            <v>7.2030606060606073E-2</v>
          </cell>
          <cell r="V31">
            <v>0.85467878787878782</v>
          </cell>
        </row>
        <row r="32">
          <cell r="D32">
            <v>1.1268124999999998</v>
          </cell>
          <cell r="G32">
            <v>1.5148874999999999</v>
          </cell>
          <cell r="J32">
            <v>8.3919375000000001E-3</v>
          </cell>
          <cell r="M32">
            <v>0.80674687499999986</v>
          </cell>
          <cell r="P32">
            <v>0.16035671874999999</v>
          </cell>
          <cell r="S32">
            <v>6.6899375000000011E-2</v>
          </cell>
          <cell r="V32">
            <v>0.78656249999999994</v>
          </cell>
        </row>
        <row r="33">
          <cell r="D33">
            <v>1.1068600000000002</v>
          </cell>
          <cell r="G33">
            <v>1.5332723076923076</v>
          </cell>
          <cell r="J33">
            <v>8.2425230769230771E-3</v>
          </cell>
          <cell r="M33">
            <v>0.81361538461538452</v>
          </cell>
          <cell r="P33">
            <v>0.16123369230769236</v>
          </cell>
          <cell r="S33">
            <v>6.5268307692307681E-2</v>
          </cell>
          <cell r="V33">
            <v>0.77799230769230765</v>
          </cell>
        </row>
        <row r="34">
          <cell r="D34">
            <v>1.1124636363636364</v>
          </cell>
          <cell r="G34">
            <v>1.5489969696969699</v>
          </cell>
          <cell r="J34">
            <v>8.1879545454545434E-3</v>
          </cell>
          <cell r="M34">
            <v>0.76449696969696956</v>
          </cell>
          <cell r="P34">
            <v>0.1586698484848485</v>
          </cell>
          <cell r="S34">
            <v>6.0861363636363644E-2</v>
          </cell>
          <cell r="V34">
            <v>0.72545606060606072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Revenues"/>
      <sheetName val="Inc Stmt"/>
      <sheetName val="Scenario Builder"/>
      <sheetName val="LRP Scenarios"/>
      <sheetName val="DATA"/>
      <sheetName val="Income Stmt"/>
      <sheetName val="IS"/>
      <sheetName val="&lt;EuroCF&gt;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Sheet2"/>
      <sheetName val="Sheet3"/>
      <sheetName val="No Value"/>
      <sheetName val="#REF"/>
      <sheetName val="PFE"/>
      <sheetName val="PHA"/>
      <sheetName val="TEMPLATE"/>
      <sheetName val="__FDSCACHE__"/>
      <sheetName val="AGN-model"/>
      <sheetName val="EXT 1999 All Goals"/>
      <sheetName val="Inputs"/>
      <sheetName val="Zetia JV"/>
      <sheetName val="REPORTER"/>
      <sheetName val="quarterly income"/>
      <sheetName val="Qtr. Product Sales"/>
      <sheetName val="BSCF"/>
      <sheetName val="Quarterly Product Sales"/>
      <sheetName val="Annual Product Sales"/>
      <sheetName val="QTRTEMP"/>
      <sheetName val="Forecast"/>
      <sheetName val="WACC"/>
      <sheetName val="Perform Analysis"/>
      <sheetName val="PF IS"/>
      <sheetName val="Salesforce Size"/>
      <sheetName val="Price Graphs"/>
      <sheetName val="ROIIC Template"/>
      <sheetName val="Zetia Vytorin JV"/>
      <sheetName val="CFROI Results"/>
      <sheetName val="tab"/>
      <sheetName val="Summary Page_VDF"/>
      <sheetName val="Charts_VDF"/>
      <sheetName val="Forecasts_VDF"/>
      <sheetName val="Income Statement_VDF"/>
      <sheetName val="WACC_VDF"/>
      <sheetName val="Invested capital_VDF"/>
      <sheetName val="NOPAT_VDF"/>
      <sheetName val="DCF_VDF"/>
      <sheetName val="PV of Op Leases_VDF"/>
      <sheetName val="Intro"/>
      <sheetName val="Qtr. Sales"/>
      <sheetName val="Sales forecast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vested capital_VDF"/>
      <sheetName val="NOPAT_VDF"/>
    </sheetNames>
    <sheetDataSet>
      <sheetData sheetId="0" refreshError="1">
        <row r="13">
          <cell r="T13">
            <v>0</v>
          </cell>
        </row>
        <row r="28">
          <cell r="T28">
            <v>837.7509249206081</v>
          </cell>
        </row>
        <row r="29">
          <cell r="T29">
            <v>817.72377756204344</v>
          </cell>
        </row>
        <row r="30">
          <cell r="T30">
            <v>837.7509249206081</v>
          </cell>
        </row>
        <row r="31">
          <cell r="T31">
            <v>817.72377756204344</v>
          </cell>
        </row>
        <row r="32">
          <cell r="T32">
            <v>0</v>
          </cell>
        </row>
        <row r="79">
          <cell r="T79">
            <v>0</v>
          </cell>
        </row>
      </sheetData>
      <sheetData sheetId="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PS7 - Pfizer Inc."/>
      <sheetName val="GPSVAL7-150448-1493"/>
      <sheetName val="GPS - Pfizer Inc."/>
      <sheetName val="GPSVAL7-150448-171"/>
      <sheetName val="GPSVAL-PFE-GPS6NR"/>
      <sheetName val="CoverSheet"/>
      <sheetName val="Annual p&amp;l"/>
      <sheetName val="quarterly income"/>
      <sheetName val="Variance"/>
      <sheetName val="Guidance"/>
      <sheetName val="Qtr. Product Sales"/>
      <sheetName val="Annual Product Sales"/>
      <sheetName val="Price Volume"/>
      <sheetName val="HSP Accretion"/>
      <sheetName val="new bscf"/>
      <sheetName val="DCF new"/>
      <sheetName val="new AGN Accretion"/>
      <sheetName val="SHPG Accretion"/>
      <sheetName val="BMY Accretion"/>
      <sheetName val="AZN Accretion"/>
      <sheetName val="old ACT Accretion"/>
      <sheetName val="MYL Accretion"/>
      <sheetName val="Accretion Charts"/>
      <sheetName val="DCF wo pipeline2"/>
      <sheetName val="DCF wopipeline"/>
      <sheetName val="DCF winddown"/>
      <sheetName val="Divisional P&amp;L -NEW"/>
      <sheetName val="Celebrex NPV"/>
      <sheetName val="Alliance Revenues"/>
      <sheetName val="BD Charts"/>
      <sheetName val="SOTP - 3 segments"/>
      <sheetName val="Balance Sheet Cash Flow"/>
      <sheetName val="Links"/>
      <sheetName val="CDK 46"/>
      <sheetName val="PFE Pipeline"/>
      <sheetName val="Biz Units"/>
      <sheetName val="Crizotinib"/>
      <sheetName val="Intl Breakdown_new"/>
      <sheetName val="PFE Catalysts"/>
      <sheetName val="handout tables"/>
      <sheetName val="Sales breakdown"/>
      <sheetName val="OLD ---&gt;"/>
      <sheetName val="AGN Accretion"/>
      <sheetName val="Divisional P&amp;L_old"/>
      <sheetName val="Charts"/>
      <sheetName val="Lipitor P&amp;L"/>
      <sheetName val="SOTP_old1"/>
      <sheetName val="SOTP"/>
      <sheetName val="SOTP_new"/>
      <sheetName val="R&amp;D efficiency"/>
      <sheetName val="SOTP_old"/>
      <sheetName val="DCF"/>
      <sheetName val="Price Volume_old6"/>
      <sheetName val="ACT Accretion"/>
      <sheetName val="Sheet1"/>
      <sheetName val="GPSVAL7-150448-1428"/>
      <sheetName val="SHP Accretion"/>
      <sheetName val="GPSVAL7-150448-1271"/>
      <sheetName val="Divisional P&amp;L"/>
      <sheetName val="GEP P&amp;L wHSP"/>
      <sheetName val="GPSVAL7-150448-1774"/>
      <sheetName val="20% AGN Accretion"/>
      <sheetName val="40% AGN Accretion"/>
      <sheetName val="Divisional P&amp;L- 3BUs"/>
      <sheetName val="Divisional P&amp;L- 2BUs"/>
      <sheetName val="AGN Accretion Charts"/>
    </sheetNames>
    <sheetDataSet>
      <sheetData sheetId="0"/>
      <sheetData sheetId="1"/>
      <sheetData sheetId="2"/>
      <sheetData sheetId="3"/>
      <sheetData sheetId="4"/>
      <sheetData sheetId="5"/>
      <sheetData sheetId="6">
        <row r="13">
          <cell r="P13" t="str">
            <v>FY 2013</v>
          </cell>
        </row>
      </sheetData>
      <sheetData sheetId="7">
        <row r="16">
          <cell r="L16">
            <v>51241</v>
          </cell>
          <cell r="Q16">
            <v>49284</v>
          </cell>
          <cell r="V16">
            <v>48189</v>
          </cell>
        </row>
        <row r="37">
          <cell r="L37">
            <v>2.0090854810416947</v>
          </cell>
        </row>
      </sheetData>
      <sheetData sheetId="8">
        <row r="216">
          <cell r="J216">
            <v>-1772.5352700000003</v>
          </cell>
        </row>
      </sheetData>
      <sheetData sheetId="9"/>
      <sheetData sheetId="10">
        <row r="19">
          <cell r="L19">
            <v>12187</v>
          </cell>
        </row>
      </sheetData>
      <sheetData sheetId="11">
        <row r="120">
          <cell r="L120" t="str">
            <v>Ends</v>
          </cell>
        </row>
      </sheetData>
      <sheetData sheetId="12"/>
      <sheetData sheetId="13"/>
      <sheetData sheetId="14">
        <row r="47">
          <cell r="R47">
            <v>36527.206661500568</v>
          </cell>
        </row>
      </sheetData>
      <sheetData sheetId="15">
        <row r="79">
          <cell r="C79">
            <v>70764.05951937272</v>
          </cell>
        </row>
      </sheetData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20">
          <cell r="G20">
            <v>4856</v>
          </cell>
        </row>
      </sheetData>
      <sheetData sheetId="26"/>
      <sheetData sheetId="27"/>
      <sheetData sheetId="28">
        <row r="25">
          <cell r="BA25">
            <v>83.749301999999986</v>
          </cell>
        </row>
      </sheetData>
      <sheetData sheetId="29"/>
      <sheetData sheetId="30">
        <row r="14">
          <cell r="B14" t="str">
            <v>Celebrex</v>
          </cell>
        </row>
      </sheetData>
      <sheetData sheetId="31">
        <row r="16">
          <cell r="J16">
            <v>10733</v>
          </cell>
        </row>
        <row r="20">
          <cell r="G20">
            <v>4856</v>
          </cell>
        </row>
      </sheetData>
      <sheetData sheetId="32">
        <row r="25">
          <cell r="I25">
            <v>2.0201258756178215</v>
          </cell>
        </row>
      </sheetData>
      <sheetData sheetId="33">
        <row r="14">
          <cell r="B14" t="str">
            <v>Celebrex</v>
          </cell>
        </row>
      </sheetData>
      <sheetData sheetId="34">
        <row r="20">
          <cell r="G20">
            <v>4856</v>
          </cell>
        </row>
      </sheetData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/>
      <sheetData sheetId="61"/>
      <sheetData sheetId="62"/>
      <sheetData sheetId="63">
        <row r="4">
          <cell r="BA4" t="str">
            <v>2013A</v>
          </cell>
        </row>
      </sheetData>
      <sheetData sheetId="64"/>
      <sheetData sheetId="6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ual p&amp;l"/>
      <sheetName val="quarterly income"/>
      <sheetName val="Qtr. Product Sales"/>
      <sheetName val="Annual Product Sales"/>
      <sheetName val="Alliances"/>
      <sheetName val="BSCF"/>
      <sheetName val="DCF Combined"/>
      <sheetName val="Catalysts"/>
      <sheetName val="Pipeline"/>
      <sheetName val="Gross Margin"/>
      <sheetName val="Variance"/>
      <sheetName val="Links"/>
      <sheetName val="Generic Exposure 2007"/>
      <sheetName val="Price_volume"/>
      <sheetName val="__FDSCACHE__"/>
      <sheetName val="R&amp;D Efficiency"/>
      <sheetName val="Guidance"/>
      <sheetName val="Incremental spend"/>
      <sheetName val="handout tables"/>
      <sheetName val="Charts for report"/>
      <sheetName val="Charts"/>
      <sheetName val="Generic Exposure"/>
      <sheetName val="FCF Analysis"/>
      <sheetName val="DCF Existing"/>
      <sheetName val="DCF Pipeline"/>
      <sheetName val="Generic Exposure (2)"/>
      <sheetName val="LLY-model"/>
      <sheetName val="To Do"/>
      <sheetName val="ROIIC Template"/>
      <sheetName val="OLD --&gt;"/>
      <sheetName val="TRx"/>
      <sheetName val="DCF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wallstreetoasis.com/best-resume-review-service-finance-pros-help-your-cv" TargetMode="External"/><Relationship Id="rId3" Type="http://schemas.openxmlformats.org/officeDocument/2006/relationships/hyperlink" Target="https://www.wallstreetoasis.com/industry-reports-wall-street-oasis" TargetMode="External"/><Relationship Id="rId7" Type="http://schemas.openxmlformats.org/officeDocument/2006/relationships/hyperlink" Target="https://www.wallstreetoasis.com/wall-street-mentors-finance-mock-interviews" TargetMode="External"/><Relationship Id="rId12" Type="http://schemas.openxmlformats.org/officeDocument/2006/relationships/drawing" Target="../drawings/drawing1.xml"/><Relationship Id="rId2" Type="http://schemas.openxmlformats.org/officeDocument/2006/relationships/hyperlink" Target="https://www.wallstreetoasis.com/top-frequently-asked-questions" TargetMode="External"/><Relationship Id="rId1" Type="http://schemas.openxmlformats.org/officeDocument/2006/relationships/hyperlink" Target="https://www.wallstreetoasis.com/user/register" TargetMode="External"/><Relationship Id="rId6" Type="http://schemas.openxmlformats.org/officeDocument/2006/relationships/hyperlink" Target="https://www.wallstreetoasis.com/gmat-pill-promo-code-333-off-gmat-prep-discount" TargetMode="External"/><Relationship Id="rId11" Type="http://schemas.openxmlformats.org/officeDocument/2006/relationships/hyperlink" Target="https://www.wallstreetoasis.com/wso-elite-modeling-package-overview" TargetMode="External"/><Relationship Id="rId5" Type="http://schemas.openxmlformats.org/officeDocument/2006/relationships/hyperlink" Target="https://www.wallstreetoasis.com/the-talent-oasis" TargetMode="External"/><Relationship Id="rId10" Type="http://schemas.openxmlformats.org/officeDocument/2006/relationships/hyperlink" Target="https://www.wallstreetoasis.com/courses" TargetMode="External"/><Relationship Id="rId4" Type="http://schemas.openxmlformats.org/officeDocument/2006/relationships/hyperlink" Target="https://www.wallstreetoasis.com/all-wso-templates" TargetMode="External"/><Relationship Id="rId9" Type="http://schemas.openxmlformats.org/officeDocument/2006/relationships/hyperlink" Target="https://www.wallstreetoasis.com/finance-interview-courses-wall-street-oasis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2:CF173"/>
  <sheetViews>
    <sheetView showGridLines="0" workbookViewId="0">
      <pane xSplit="2" ySplit="8" topLeftCell="AU147" activePane="bottomRight" state="frozen"/>
      <selection activeCell="L4" sqref="L4"/>
      <selection pane="topRight" activeCell="L4" sqref="L4"/>
      <selection pane="bottomLeft" activeCell="L4" sqref="L4"/>
      <selection pane="bottomRight" activeCell="B4" sqref="B4:B5"/>
    </sheetView>
  </sheetViews>
  <sheetFormatPr baseColWidth="10" defaultColWidth="9.1640625" defaultRowHeight="12" outlineLevelRow="2" outlineLevelCol="1"/>
  <cols>
    <col min="1" max="1" width="2" style="208" customWidth="1"/>
    <col min="2" max="2" width="35.5" style="217" customWidth="1"/>
    <col min="3" max="3" width="9.5" style="218" hidden="1" customWidth="1" outlineLevel="1"/>
    <col min="4" max="6" width="9.1640625" style="218" hidden="1" customWidth="1" outlineLevel="1"/>
    <col min="7" max="7" width="0" style="218" hidden="1" customWidth="1" collapsed="1"/>
    <col min="8" max="11" width="9.1640625" style="218" hidden="1" customWidth="1" outlineLevel="1"/>
    <col min="12" max="12" width="0" style="218" hidden="1" customWidth="1" collapsed="1"/>
    <col min="13" max="16" width="9.1640625" style="218" hidden="1" customWidth="1" outlineLevel="1"/>
    <col min="17" max="17" width="0" style="218" hidden="1" customWidth="1" collapsed="1"/>
    <col min="18" max="21" width="9.1640625" style="218" hidden="1" customWidth="1" outlineLevel="1"/>
    <col min="22" max="22" width="10.83203125" style="218" hidden="1" customWidth="1" collapsed="1"/>
    <col min="23" max="26" width="9.1640625" style="218" hidden="1" customWidth="1" outlineLevel="1"/>
    <col min="27" max="27" width="11.1640625" style="218" hidden="1" customWidth="1" collapsed="1"/>
    <col min="28" max="31" width="9.1640625" style="218" hidden="1" customWidth="1" outlineLevel="1"/>
    <col min="32" max="32" width="11.1640625" style="218" hidden="1" customWidth="1" collapsed="1"/>
    <col min="33" max="36" width="9.1640625" style="218" hidden="1" customWidth="1" outlineLevel="1"/>
    <col min="37" max="37" width="11.1640625" style="218" hidden="1" customWidth="1" collapsed="1"/>
    <col min="38" max="41" width="9.1640625" style="218" hidden="1" customWidth="1" outlineLevel="1"/>
    <col min="42" max="42" width="11.33203125" style="218" hidden="1" customWidth="1" collapsed="1"/>
    <col min="43" max="46" width="9.1640625" style="218" hidden="1" customWidth="1" outlineLevel="1"/>
    <col min="47" max="47" width="11.1640625" style="218" bestFit="1" customWidth="1" collapsed="1"/>
    <col min="48" max="51" width="9.1640625" style="218" hidden="1" customWidth="1" outlineLevel="1"/>
    <col min="52" max="52" width="10.83203125" style="218" bestFit="1" customWidth="1" collapsed="1"/>
    <col min="53" max="56" width="9.1640625" style="218" hidden="1" customWidth="1" outlineLevel="1"/>
    <col min="57" max="57" width="9.1640625" style="218" collapsed="1"/>
    <col min="58" max="61" width="9.1640625" style="218" hidden="1" customWidth="1" outlineLevel="1"/>
    <col min="62" max="62" width="9.1640625" style="218" collapsed="1"/>
    <col min="63" max="66" width="9.1640625" style="218" hidden="1" customWidth="1" outlineLevel="1"/>
    <col min="67" max="67" width="9.1640625" style="218" collapsed="1"/>
    <col min="68" max="71" width="9.1640625" style="218" hidden="1" customWidth="1" outlineLevel="1"/>
    <col min="72" max="72" width="9.1640625" style="218" collapsed="1"/>
    <col min="73" max="76" width="9.1640625" style="218" hidden="1" customWidth="1" outlineLevel="1"/>
    <col min="77" max="77" width="9.1640625" style="218" collapsed="1"/>
    <col min="78" max="81" width="9.1640625" style="218" hidden="1" customWidth="1" outlineLevel="1"/>
    <col min="82" max="82" width="9.1640625" style="218" collapsed="1"/>
    <col min="83" max="83" width="1" style="208" customWidth="1"/>
    <col min="84" max="84" width="37.33203125" style="217" hidden="1" customWidth="1"/>
    <col min="85" max="16384" width="9.1640625" style="218"/>
  </cols>
  <sheetData>
    <row r="2" spans="1:84" s="197" customFormat="1">
      <c r="A2" s="2"/>
      <c r="B2" s="192" t="s">
        <v>1</v>
      </c>
      <c r="C2" s="193"/>
      <c r="D2" s="193"/>
      <c r="E2" s="193"/>
      <c r="F2" s="194"/>
      <c r="G2" s="195"/>
      <c r="H2" s="194"/>
      <c r="I2" s="193"/>
      <c r="J2" s="193"/>
      <c r="K2" s="194"/>
      <c r="L2" s="195"/>
      <c r="M2" s="194"/>
      <c r="N2" s="193"/>
      <c r="O2" s="193"/>
      <c r="P2" s="194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6"/>
      <c r="AS2" s="195"/>
      <c r="AT2" s="195"/>
      <c r="AU2" s="195"/>
      <c r="AV2" s="195"/>
      <c r="AW2" s="195"/>
      <c r="AX2" s="195"/>
      <c r="CE2" s="2"/>
      <c r="CF2" s="198"/>
    </row>
    <row r="3" spans="1:84" s="197" customFormat="1">
      <c r="A3" s="2"/>
      <c r="B3" s="192" t="s">
        <v>121</v>
      </c>
      <c r="C3" s="193"/>
      <c r="D3" s="193"/>
      <c r="E3" s="193"/>
      <c r="F3" s="194"/>
      <c r="G3" s="195"/>
      <c r="H3" s="194"/>
      <c r="I3" s="193"/>
      <c r="J3" s="193"/>
      <c r="K3" s="194"/>
      <c r="L3" s="195"/>
      <c r="M3" s="194"/>
      <c r="N3" s="193"/>
      <c r="O3" s="193"/>
      <c r="P3" s="194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9"/>
      <c r="AJ3" s="195"/>
      <c r="AK3" s="195"/>
      <c r="AL3" s="195"/>
      <c r="AM3" s="195"/>
      <c r="AN3" s="195"/>
      <c r="AO3" s="195"/>
      <c r="AP3" s="195"/>
      <c r="AQ3" s="195"/>
      <c r="AR3" s="196"/>
      <c r="AS3" s="195"/>
      <c r="AT3" s="195"/>
      <c r="AU3" s="195"/>
      <c r="AV3" s="195"/>
      <c r="AW3" s="195"/>
      <c r="AX3" s="195"/>
      <c r="BE3" s="200"/>
      <c r="BO3" s="201"/>
      <c r="BY3" s="201"/>
      <c r="CE3" s="2"/>
      <c r="CF3" s="198"/>
    </row>
    <row r="4" spans="1:84" s="197" customFormat="1">
      <c r="A4" s="2"/>
      <c r="B4" s="198"/>
      <c r="C4" s="193"/>
      <c r="D4" s="193"/>
      <c r="E4" s="193"/>
      <c r="F4" s="194"/>
      <c r="G4" s="202"/>
      <c r="H4" s="194"/>
      <c r="I4" s="193"/>
      <c r="J4" s="193"/>
      <c r="K4" s="194"/>
      <c r="L4" s="203"/>
      <c r="M4" s="194"/>
      <c r="N4" s="193"/>
      <c r="O4" s="193"/>
      <c r="P4" s="194"/>
      <c r="Q4" s="203"/>
      <c r="R4" s="203"/>
      <c r="S4" s="203"/>
      <c r="T4" s="203"/>
      <c r="U4" s="203"/>
      <c r="V4" s="203"/>
      <c r="W4" s="203"/>
      <c r="Y4" s="203"/>
      <c r="Z4" s="203"/>
      <c r="AA4" s="203"/>
      <c r="AB4" s="203"/>
      <c r="AC4" s="203"/>
      <c r="AD4" s="203"/>
      <c r="AE4" s="203"/>
      <c r="AF4" s="203"/>
      <c r="AG4" s="204"/>
      <c r="AH4" s="204"/>
      <c r="AI4" s="204"/>
      <c r="AJ4" s="204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5"/>
      <c r="AY4" s="203"/>
      <c r="AZ4" s="203"/>
      <c r="BA4" s="203"/>
      <c r="BB4" s="203"/>
      <c r="BC4" s="203"/>
      <c r="BD4" s="203"/>
      <c r="BE4" s="204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"/>
      <c r="CF4" s="198"/>
    </row>
    <row r="5" spans="1:84" s="197" customFormat="1">
      <c r="A5" s="2"/>
      <c r="B5" s="198"/>
      <c r="C5" s="193"/>
      <c r="D5" s="193"/>
      <c r="E5" s="193"/>
      <c r="F5" s="193"/>
      <c r="G5" s="203"/>
      <c r="H5" s="193"/>
      <c r="I5" s="193"/>
      <c r="J5" s="193"/>
      <c r="K5" s="193"/>
      <c r="L5" s="203"/>
      <c r="M5" s="193"/>
      <c r="N5" s="193"/>
      <c r="O5" s="193"/>
      <c r="P5" s="193"/>
      <c r="Q5" s="203" t="s">
        <v>39</v>
      </c>
      <c r="R5" s="203"/>
      <c r="S5" s="203"/>
      <c r="T5" s="203"/>
      <c r="U5" s="203"/>
      <c r="V5" s="203" t="s">
        <v>39</v>
      </c>
      <c r="W5" s="203"/>
      <c r="X5" s="203"/>
      <c r="Y5" s="203"/>
      <c r="Z5" s="203"/>
      <c r="AA5" s="203" t="s">
        <v>39</v>
      </c>
      <c r="AB5" s="203"/>
      <c r="AC5" s="203"/>
      <c r="AD5" s="203"/>
      <c r="AE5" s="203"/>
      <c r="AF5" s="203" t="s">
        <v>39</v>
      </c>
      <c r="AG5" s="203" t="s">
        <v>39</v>
      </c>
      <c r="AH5" s="203" t="s">
        <v>39</v>
      </c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5"/>
      <c r="AT5" s="203"/>
      <c r="AU5" s="206"/>
      <c r="AV5" s="203"/>
      <c r="AW5" s="203"/>
      <c r="AX5" s="203"/>
      <c r="AY5" s="203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"/>
      <c r="CF5" s="198"/>
    </row>
    <row r="6" spans="1:84">
      <c r="B6" s="209"/>
      <c r="C6" s="210"/>
      <c r="D6" s="210"/>
      <c r="E6" s="210"/>
      <c r="F6" s="211"/>
      <c r="G6" s="212"/>
      <c r="H6" s="210"/>
      <c r="I6" s="210"/>
      <c r="J6" s="210"/>
      <c r="K6" s="211"/>
      <c r="L6" s="212"/>
      <c r="M6" s="210"/>
      <c r="N6" s="210"/>
      <c r="O6" s="210"/>
      <c r="P6" s="211"/>
      <c r="Q6" s="212"/>
      <c r="R6" s="213"/>
      <c r="S6" s="210"/>
      <c r="T6" s="210"/>
      <c r="U6" s="211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5"/>
      <c r="BA6" s="215"/>
      <c r="BB6" s="216"/>
      <c r="BC6" s="215"/>
      <c r="BD6" s="215"/>
      <c r="BE6" s="215"/>
      <c r="BF6" s="215"/>
      <c r="BG6" s="215"/>
      <c r="BH6" s="215"/>
      <c r="BI6" s="215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</row>
    <row r="7" spans="1:84">
      <c r="B7" s="22" t="s">
        <v>5</v>
      </c>
      <c r="C7" s="23">
        <v>38412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19">
        <v>2014</v>
      </c>
      <c r="BA7" s="23">
        <v>42064</v>
      </c>
      <c r="BB7" s="23">
        <v>42156</v>
      </c>
      <c r="BC7" s="23">
        <v>42248</v>
      </c>
      <c r="BD7" s="23">
        <v>42339</v>
      </c>
      <c r="BE7" s="219">
        <v>2015</v>
      </c>
      <c r="BF7" s="23">
        <v>42430</v>
      </c>
      <c r="BG7" s="23">
        <v>42522</v>
      </c>
      <c r="BH7" s="23">
        <v>42614</v>
      </c>
      <c r="BI7" s="23">
        <v>42705</v>
      </c>
      <c r="BJ7" s="219">
        <v>2016</v>
      </c>
      <c r="BK7" s="219">
        <v>42066</v>
      </c>
      <c r="BL7" s="219">
        <v>42158</v>
      </c>
      <c r="BM7" s="219">
        <v>42250</v>
      </c>
      <c r="BN7" s="219">
        <v>42341</v>
      </c>
      <c r="BO7" s="219">
        <v>2017</v>
      </c>
      <c r="BP7" s="219">
        <v>42067</v>
      </c>
      <c r="BQ7" s="219">
        <v>42159</v>
      </c>
      <c r="BR7" s="219">
        <v>42251</v>
      </c>
      <c r="BS7" s="219">
        <v>42342</v>
      </c>
      <c r="BT7" s="219">
        <v>2018</v>
      </c>
      <c r="BU7" s="219">
        <v>42068</v>
      </c>
      <c r="BV7" s="219">
        <v>42160</v>
      </c>
      <c r="BW7" s="219">
        <v>42252</v>
      </c>
      <c r="BX7" s="219">
        <v>42343</v>
      </c>
      <c r="BY7" s="219">
        <v>2019</v>
      </c>
      <c r="BZ7" s="219">
        <v>42069</v>
      </c>
      <c r="CA7" s="219">
        <v>42161</v>
      </c>
      <c r="CB7" s="219">
        <v>42253</v>
      </c>
      <c r="CC7" s="219">
        <v>42344</v>
      </c>
      <c r="CD7" s="219">
        <v>2020</v>
      </c>
      <c r="CF7" s="27"/>
    </row>
    <row r="8" spans="1:84">
      <c r="B8" s="220" t="s">
        <v>6</v>
      </c>
      <c r="C8" s="221" t="s">
        <v>7</v>
      </c>
      <c r="D8" s="221" t="s">
        <v>8</v>
      </c>
      <c r="E8" s="221" t="s">
        <v>9</v>
      </c>
      <c r="F8" s="221" t="s">
        <v>10</v>
      </c>
      <c r="G8" s="222" t="s">
        <v>11</v>
      </c>
      <c r="H8" s="221" t="s">
        <v>7</v>
      </c>
      <c r="I8" s="221" t="s">
        <v>8</v>
      </c>
      <c r="J8" s="221" t="s">
        <v>9</v>
      </c>
      <c r="K8" s="221" t="s">
        <v>10</v>
      </c>
      <c r="L8" s="222" t="s">
        <v>12</v>
      </c>
      <c r="M8" s="221" t="s">
        <v>7</v>
      </c>
      <c r="N8" s="221" t="s">
        <v>8</v>
      </c>
      <c r="O8" s="221" t="s">
        <v>9</v>
      </c>
      <c r="P8" s="221" t="s">
        <v>10</v>
      </c>
      <c r="Q8" s="222" t="s">
        <v>13</v>
      </c>
      <c r="R8" s="221" t="s">
        <v>7</v>
      </c>
      <c r="S8" s="221" t="s">
        <v>8</v>
      </c>
      <c r="T8" s="221" t="s">
        <v>9</v>
      </c>
      <c r="U8" s="221" t="s">
        <v>10</v>
      </c>
      <c r="V8" s="222" t="s">
        <v>14</v>
      </c>
      <c r="W8" s="221" t="s">
        <v>7</v>
      </c>
      <c r="X8" s="221" t="s">
        <v>8</v>
      </c>
      <c r="Y8" s="221" t="s">
        <v>9</v>
      </c>
      <c r="Z8" s="221" t="s">
        <v>10</v>
      </c>
      <c r="AA8" s="222" t="s">
        <v>122</v>
      </c>
      <c r="AB8" s="221" t="s">
        <v>7</v>
      </c>
      <c r="AC8" s="221" t="s">
        <v>8</v>
      </c>
      <c r="AD8" s="221" t="s">
        <v>9</v>
      </c>
      <c r="AE8" s="221" t="s">
        <v>10</v>
      </c>
      <c r="AF8" s="222" t="s">
        <v>16</v>
      </c>
      <c r="AG8" s="221" t="s">
        <v>7</v>
      </c>
      <c r="AH8" s="221" t="s">
        <v>8</v>
      </c>
      <c r="AI8" s="221" t="s">
        <v>9</v>
      </c>
      <c r="AJ8" s="221" t="s">
        <v>10</v>
      </c>
      <c r="AK8" s="222" t="s">
        <v>17</v>
      </c>
      <c r="AL8" s="221" t="s">
        <v>7</v>
      </c>
      <c r="AM8" s="221" t="s">
        <v>8</v>
      </c>
      <c r="AN8" s="221" t="s">
        <v>9</v>
      </c>
      <c r="AO8" s="221" t="s">
        <v>10</v>
      </c>
      <c r="AP8" s="222" t="s">
        <v>18</v>
      </c>
      <c r="AQ8" s="221" t="s">
        <v>7</v>
      </c>
      <c r="AR8" s="221" t="s">
        <v>8</v>
      </c>
      <c r="AS8" s="221" t="s">
        <v>9</v>
      </c>
      <c r="AT8" s="221" t="s">
        <v>10</v>
      </c>
      <c r="AU8" s="222" t="s">
        <v>19</v>
      </c>
      <c r="AV8" s="221" t="s">
        <v>7</v>
      </c>
      <c r="AW8" s="221" t="s">
        <v>8</v>
      </c>
      <c r="AX8" s="221" t="s">
        <v>9</v>
      </c>
      <c r="AY8" s="221" t="s">
        <v>10</v>
      </c>
      <c r="AZ8" s="223" t="s">
        <v>20</v>
      </c>
      <c r="BA8" s="221" t="s">
        <v>7</v>
      </c>
      <c r="BB8" s="221" t="s">
        <v>8</v>
      </c>
      <c r="BC8" s="221" t="s">
        <v>9</v>
      </c>
      <c r="BD8" s="221" t="s">
        <v>10</v>
      </c>
      <c r="BE8" s="223" t="s">
        <v>21</v>
      </c>
      <c r="BF8" s="221" t="s">
        <v>22</v>
      </c>
      <c r="BG8" s="221" t="s">
        <v>23</v>
      </c>
      <c r="BH8" s="221" t="s">
        <v>24</v>
      </c>
      <c r="BI8" s="221" t="s">
        <v>25</v>
      </c>
      <c r="BJ8" s="223" t="s">
        <v>26</v>
      </c>
      <c r="BK8" s="221" t="s">
        <v>22</v>
      </c>
      <c r="BL8" s="221" t="s">
        <v>23</v>
      </c>
      <c r="BM8" s="221" t="s">
        <v>24</v>
      </c>
      <c r="BN8" s="221" t="s">
        <v>25</v>
      </c>
      <c r="BO8" s="223" t="s">
        <v>27</v>
      </c>
      <c r="BP8" s="221" t="s">
        <v>22</v>
      </c>
      <c r="BQ8" s="221" t="s">
        <v>23</v>
      </c>
      <c r="BR8" s="221" t="s">
        <v>24</v>
      </c>
      <c r="BS8" s="221" t="s">
        <v>25</v>
      </c>
      <c r="BT8" s="223" t="s">
        <v>28</v>
      </c>
      <c r="BU8" s="221" t="s">
        <v>22</v>
      </c>
      <c r="BV8" s="221" t="s">
        <v>23</v>
      </c>
      <c r="BW8" s="221" t="s">
        <v>24</v>
      </c>
      <c r="BX8" s="221" t="s">
        <v>25</v>
      </c>
      <c r="BY8" s="223" t="s">
        <v>29</v>
      </c>
      <c r="BZ8" s="221" t="s">
        <v>22</v>
      </c>
      <c r="CA8" s="221" t="s">
        <v>23</v>
      </c>
      <c r="CB8" s="221" t="s">
        <v>24</v>
      </c>
      <c r="CC8" s="221" t="s">
        <v>25</v>
      </c>
      <c r="CD8" s="223" t="s">
        <v>30</v>
      </c>
      <c r="CF8" s="27" t="s">
        <v>31</v>
      </c>
    </row>
    <row r="9" spans="1:84">
      <c r="B9" s="225" t="s">
        <v>123</v>
      </c>
      <c r="C9" s="226"/>
      <c r="D9" s="226"/>
      <c r="E9" s="226"/>
      <c r="F9" s="226"/>
      <c r="G9" s="227"/>
      <c r="H9" s="226"/>
      <c r="I9" s="226"/>
      <c r="J9" s="226"/>
      <c r="K9" s="226"/>
      <c r="L9" s="227"/>
      <c r="M9" s="226"/>
      <c r="N9" s="226"/>
      <c r="O9" s="226"/>
      <c r="P9" s="226"/>
      <c r="Q9" s="227"/>
      <c r="R9" s="226"/>
      <c r="S9" s="226"/>
      <c r="T9" s="226"/>
      <c r="U9" s="226"/>
      <c r="V9" s="227"/>
      <c r="W9" s="226"/>
      <c r="X9" s="226"/>
      <c r="Y9" s="226"/>
      <c r="Z9" s="226"/>
      <c r="AA9" s="227"/>
      <c r="AB9" s="226"/>
      <c r="AC9" s="226"/>
      <c r="AD9" s="226"/>
      <c r="AE9" s="226"/>
      <c r="AF9" s="227"/>
      <c r="AG9" s="226"/>
      <c r="AH9" s="226"/>
      <c r="AI9" s="226"/>
      <c r="AJ9" s="226"/>
      <c r="AK9" s="227"/>
      <c r="AL9" s="226"/>
      <c r="AM9" s="226"/>
      <c r="AN9" s="226"/>
      <c r="AO9" s="226"/>
      <c r="AP9" s="227"/>
      <c r="AQ9" s="226"/>
      <c r="AR9" s="226"/>
      <c r="AS9" s="226"/>
      <c r="AT9" s="226"/>
      <c r="AU9" s="227"/>
      <c r="AV9" s="226"/>
      <c r="AW9" s="226"/>
      <c r="AX9" s="226"/>
      <c r="AY9" s="226"/>
      <c r="AZ9" s="227"/>
      <c r="BA9" s="226"/>
      <c r="BB9" s="226"/>
      <c r="BC9" s="226"/>
      <c r="BD9" s="226"/>
      <c r="BE9" s="227"/>
      <c r="BF9" s="228"/>
      <c r="BG9" s="228"/>
      <c r="BH9" s="228"/>
      <c r="BI9" s="228"/>
      <c r="BJ9" s="227"/>
      <c r="BK9" s="228"/>
      <c r="BL9" s="228"/>
      <c r="BM9" s="228"/>
      <c r="BN9" s="228"/>
      <c r="BO9" s="227"/>
      <c r="BP9" s="228"/>
      <c r="BQ9" s="228"/>
      <c r="BR9" s="228"/>
      <c r="BS9" s="228"/>
      <c r="BT9" s="227"/>
      <c r="BU9" s="228"/>
      <c r="BV9" s="228"/>
      <c r="BW9" s="228"/>
      <c r="BX9" s="228"/>
      <c r="BY9" s="227"/>
      <c r="BZ9" s="228"/>
      <c r="CA9" s="228"/>
      <c r="CB9" s="228"/>
      <c r="CC9" s="228"/>
      <c r="CD9" s="227"/>
      <c r="CF9" s="229"/>
    </row>
    <row r="10" spans="1:84" s="198" customFormat="1" outlineLevel="1">
      <c r="A10" s="12"/>
      <c r="B10" s="230" t="s">
        <v>124</v>
      </c>
      <c r="C10" s="231"/>
      <c r="D10" s="231"/>
      <c r="E10" s="231"/>
      <c r="F10" s="231"/>
      <c r="G10" s="232"/>
      <c r="H10" s="231"/>
      <c r="I10" s="231"/>
      <c r="J10" s="231"/>
      <c r="K10" s="231"/>
      <c r="L10" s="232"/>
      <c r="M10" s="231"/>
      <c r="N10" s="231"/>
      <c r="O10" s="231"/>
      <c r="P10" s="231"/>
      <c r="Q10" s="232"/>
      <c r="R10" s="231"/>
      <c r="S10" s="231"/>
      <c r="T10" s="231"/>
      <c r="U10" s="231"/>
      <c r="V10" s="233"/>
      <c r="W10" s="234"/>
      <c r="X10" s="234"/>
      <c r="Y10" s="234"/>
      <c r="Z10" s="234"/>
      <c r="AA10" s="233"/>
      <c r="AB10" s="234"/>
      <c r="AC10" s="234"/>
      <c r="AD10" s="234"/>
      <c r="AE10" s="234"/>
      <c r="AF10" s="233"/>
      <c r="AG10" s="234"/>
      <c r="AH10" s="234"/>
      <c r="AI10" s="234"/>
      <c r="AJ10" s="234"/>
      <c r="AK10" s="233"/>
      <c r="AL10" s="234"/>
      <c r="AM10" s="234"/>
      <c r="AN10" s="234"/>
      <c r="AO10" s="234"/>
      <c r="AP10" s="233"/>
      <c r="AQ10" s="231"/>
      <c r="AR10" s="231"/>
      <c r="AS10" s="231"/>
      <c r="AT10" s="231"/>
      <c r="AU10" s="235"/>
      <c r="AV10" s="236"/>
      <c r="AW10" s="236"/>
      <c r="AX10" s="236"/>
      <c r="AY10" s="236"/>
      <c r="AZ10" s="235"/>
      <c r="BA10" s="236"/>
      <c r="BB10" s="236"/>
      <c r="BC10" s="236"/>
      <c r="BD10" s="236"/>
      <c r="BE10" s="235"/>
      <c r="BF10" s="237"/>
      <c r="BG10" s="237"/>
      <c r="BH10" s="237"/>
      <c r="BI10" s="237"/>
      <c r="BJ10" s="235"/>
      <c r="BK10" s="237"/>
      <c r="BL10" s="237"/>
      <c r="BM10" s="237"/>
      <c r="BN10" s="237"/>
      <c r="BO10" s="235"/>
      <c r="BP10" s="237"/>
      <c r="BQ10" s="237"/>
      <c r="BR10" s="237"/>
      <c r="BS10" s="237"/>
      <c r="BT10" s="235"/>
      <c r="BU10" s="237"/>
      <c r="BV10" s="237"/>
      <c r="BW10" s="237"/>
      <c r="BX10" s="237"/>
      <c r="BY10" s="235"/>
      <c r="BZ10" s="237"/>
      <c r="CA10" s="237"/>
      <c r="CB10" s="237"/>
      <c r="CC10" s="237"/>
      <c r="CD10" s="235"/>
      <c r="CE10" s="12"/>
      <c r="CF10" s="229"/>
    </row>
    <row r="11" spans="1:84" s="243" customFormat="1" outlineLevel="1">
      <c r="A11" s="157"/>
      <c r="B11" s="238" t="s">
        <v>125</v>
      </c>
      <c r="C11" s="236"/>
      <c r="D11" s="236"/>
      <c r="E11" s="236"/>
      <c r="F11" s="236"/>
      <c r="G11" s="235"/>
      <c r="H11" s="236"/>
      <c r="I11" s="236"/>
      <c r="J11" s="236"/>
      <c r="K11" s="236"/>
      <c r="L11" s="235"/>
      <c r="M11" s="236"/>
      <c r="N11" s="236"/>
      <c r="O11" s="236"/>
      <c r="P11" s="236"/>
      <c r="Q11" s="235"/>
      <c r="R11" s="236"/>
      <c r="S11" s="236"/>
      <c r="T11" s="236"/>
      <c r="U11" s="236"/>
      <c r="V11" s="235"/>
      <c r="W11" s="236"/>
      <c r="X11" s="236"/>
      <c r="Y11" s="236"/>
      <c r="Z11" s="236"/>
      <c r="AA11" s="235"/>
      <c r="AB11" s="236"/>
      <c r="AC11" s="236"/>
      <c r="AD11" s="236"/>
      <c r="AE11" s="236"/>
      <c r="AF11" s="235"/>
      <c r="AG11" s="236"/>
      <c r="AH11" s="236"/>
      <c r="AI11" s="236"/>
      <c r="AJ11" s="236"/>
      <c r="AK11" s="235"/>
      <c r="AL11" s="236"/>
      <c r="AM11" s="236"/>
      <c r="AN11" s="236"/>
      <c r="AO11" s="236">
        <v>18</v>
      </c>
      <c r="AP11" s="235">
        <f>SUM(AL11:AO11)</f>
        <v>18</v>
      </c>
      <c r="AQ11" s="239">
        <v>60</v>
      </c>
      <c r="AR11" s="239">
        <v>55</v>
      </c>
      <c r="AS11" s="239">
        <v>50</v>
      </c>
      <c r="AT11" s="239">
        <v>50</v>
      </c>
      <c r="AU11" s="235">
        <f>SUM(AQ11:AT11)</f>
        <v>215</v>
      </c>
      <c r="AV11" s="239">
        <v>51</v>
      </c>
      <c r="AW11" s="239">
        <v>43</v>
      </c>
      <c r="AX11" s="239">
        <v>53</v>
      </c>
      <c r="AY11" s="239">
        <v>61</v>
      </c>
      <c r="AZ11" s="235">
        <f>SUM(AV11:AY11)</f>
        <v>208</v>
      </c>
      <c r="BA11" s="239">
        <v>57</v>
      </c>
      <c r="BB11" s="239">
        <v>65</v>
      </c>
      <c r="BC11" s="239">
        <v>66</v>
      </c>
      <c r="BD11" s="239">
        <v>26</v>
      </c>
      <c r="BE11" s="235">
        <f>SUM(BA11:BD11)</f>
        <v>214</v>
      </c>
      <c r="BF11" s="240">
        <v>20</v>
      </c>
      <c r="BG11" s="240">
        <v>48</v>
      </c>
      <c r="BH11" s="240">
        <v>48</v>
      </c>
      <c r="BI11" s="240">
        <v>50</v>
      </c>
      <c r="BJ11" s="235">
        <f>SUM(BF11:BI11)</f>
        <v>166</v>
      </c>
      <c r="BK11" s="241"/>
      <c r="BL11" s="241"/>
      <c r="BM11" s="241"/>
      <c r="BN11" s="241"/>
      <c r="BO11" s="235">
        <f>BJ11*(1+BO12)</f>
        <v>175.96</v>
      </c>
      <c r="BP11" s="241"/>
      <c r="BQ11" s="241"/>
      <c r="BR11" s="241"/>
      <c r="BS11" s="241"/>
      <c r="BT11" s="235">
        <f>BO11*(1+BT12)</f>
        <v>87.98</v>
      </c>
      <c r="BU11" s="241"/>
      <c r="BV11" s="241"/>
      <c r="BW11" s="241"/>
      <c r="BX11" s="241"/>
      <c r="BY11" s="235">
        <f>BT11*(1+BY12)</f>
        <v>43.99</v>
      </c>
      <c r="BZ11" s="241"/>
      <c r="CA11" s="241"/>
      <c r="CB11" s="241"/>
      <c r="CC11" s="241"/>
      <c r="CD11" s="235">
        <f>BY11*(1+CD12)</f>
        <v>21.995000000000001</v>
      </c>
      <c r="CE11" s="28"/>
      <c r="CF11" s="242"/>
    </row>
    <row r="12" spans="1:84" s="243" customFormat="1" outlineLevel="1">
      <c r="A12" s="157"/>
      <c r="B12" s="245" t="s">
        <v>126</v>
      </c>
      <c r="C12" s="236"/>
      <c r="D12" s="236"/>
      <c r="E12" s="236"/>
      <c r="F12" s="236"/>
      <c r="G12" s="235"/>
      <c r="H12" s="236"/>
      <c r="I12" s="236"/>
      <c r="J12" s="236"/>
      <c r="K12" s="236"/>
      <c r="L12" s="235"/>
      <c r="M12" s="236"/>
      <c r="N12" s="236"/>
      <c r="O12" s="236"/>
      <c r="P12" s="236"/>
      <c r="Q12" s="235"/>
      <c r="R12" s="236"/>
      <c r="S12" s="236"/>
      <c r="T12" s="236"/>
      <c r="U12" s="236"/>
      <c r="V12" s="235"/>
      <c r="W12" s="236"/>
      <c r="X12" s="236"/>
      <c r="Y12" s="236"/>
      <c r="Z12" s="236"/>
      <c r="AA12" s="235"/>
      <c r="AB12" s="236"/>
      <c r="AC12" s="236"/>
      <c r="AD12" s="236"/>
      <c r="AE12" s="236"/>
      <c r="AF12" s="235"/>
      <c r="AG12" s="236"/>
      <c r="AH12" s="236"/>
      <c r="AI12" s="236"/>
      <c r="AJ12" s="236"/>
      <c r="AK12" s="235"/>
      <c r="AL12" s="236"/>
      <c r="AM12" s="236"/>
      <c r="AN12" s="236"/>
      <c r="AO12" s="236"/>
      <c r="AP12" s="235"/>
      <c r="AQ12" s="236"/>
      <c r="AR12" s="236"/>
      <c r="AS12" s="236"/>
      <c r="AT12" s="236"/>
      <c r="AU12" s="246">
        <f t="shared" ref="AU12" si="0">AU11/AP11-1</f>
        <v>10.944444444444445</v>
      </c>
      <c r="AV12" s="247">
        <f>AV11/AQ11-1</f>
        <v>-0.15000000000000002</v>
      </c>
      <c r="AW12" s="247">
        <f>AW11/AR11-1</f>
        <v>-0.21818181818181814</v>
      </c>
      <c r="AX12" s="247">
        <f>AX11/AS11-1</f>
        <v>6.0000000000000053E-2</v>
      </c>
      <c r="AY12" s="247">
        <f>AY11/AT11-1</f>
        <v>0.21999999999999997</v>
      </c>
      <c r="AZ12" s="246">
        <f t="shared" ref="AZ12:BJ14" si="1">AZ11/AU11-1</f>
        <v>-3.2558139534883734E-2</v>
      </c>
      <c r="BA12" s="247">
        <f t="shared" si="1"/>
        <v>0.11764705882352944</v>
      </c>
      <c r="BB12" s="247">
        <f t="shared" si="1"/>
        <v>0.51162790697674421</v>
      </c>
      <c r="BC12" s="247">
        <f t="shared" si="1"/>
        <v>0.24528301886792447</v>
      </c>
      <c r="BD12" s="247">
        <f t="shared" si="1"/>
        <v>-0.57377049180327866</v>
      </c>
      <c r="BE12" s="246">
        <f t="shared" si="1"/>
        <v>2.8846153846153744E-2</v>
      </c>
      <c r="BF12" s="247">
        <f t="shared" si="1"/>
        <v>-0.64912280701754388</v>
      </c>
      <c r="BG12" s="247">
        <f t="shared" si="1"/>
        <v>-0.2615384615384615</v>
      </c>
      <c r="BH12" s="247">
        <f t="shared" si="1"/>
        <v>-0.27272727272727271</v>
      </c>
      <c r="BI12" s="247">
        <f t="shared" si="1"/>
        <v>0.92307692307692313</v>
      </c>
      <c r="BJ12" s="246">
        <f t="shared" si="1"/>
        <v>-0.22429906542056077</v>
      </c>
      <c r="BK12" s="237"/>
      <c r="BL12" s="237"/>
      <c r="BM12" s="237"/>
      <c r="BN12" s="237"/>
      <c r="BO12" s="248">
        <v>0.06</v>
      </c>
      <c r="BP12" s="237"/>
      <c r="BQ12" s="237"/>
      <c r="BR12" s="237"/>
      <c r="BS12" s="237"/>
      <c r="BT12" s="248">
        <v>-0.5</v>
      </c>
      <c r="BU12" s="237"/>
      <c r="BV12" s="237"/>
      <c r="BW12" s="237"/>
      <c r="BX12" s="237"/>
      <c r="BY12" s="248">
        <v>-0.5</v>
      </c>
      <c r="BZ12" s="237"/>
      <c r="CA12" s="237"/>
      <c r="CB12" s="237"/>
      <c r="CC12" s="237"/>
      <c r="CD12" s="248">
        <v>-0.5</v>
      </c>
      <c r="CE12" s="28"/>
      <c r="CF12" s="242"/>
    </row>
    <row r="13" spans="1:84" outlineLevel="1">
      <c r="B13" s="238" t="s">
        <v>127</v>
      </c>
      <c r="C13" s="249"/>
      <c r="D13" s="249"/>
      <c r="E13" s="249"/>
      <c r="F13" s="249"/>
      <c r="G13" s="249"/>
      <c r="H13" s="249"/>
      <c r="I13" s="249"/>
      <c r="J13" s="249"/>
      <c r="K13" s="249"/>
      <c r="L13" s="249"/>
      <c r="M13" s="249"/>
      <c r="N13" s="249"/>
      <c r="O13" s="249"/>
      <c r="P13" s="249"/>
      <c r="Q13" s="249"/>
      <c r="R13" s="249"/>
      <c r="S13" s="249"/>
      <c r="T13" s="249"/>
      <c r="U13" s="249"/>
      <c r="V13" s="249"/>
      <c r="W13" s="249"/>
      <c r="X13" s="249"/>
      <c r="Y13" s="249"/>
      <c r="Z13" s="249"/>
      <c r="AA13" s="249"/>
      <c r="AB13" s="249"/>
      <c r="AC13" s="249"/>
      <c r="AD13" s="249"/>
      <c r="AE13" s="249"/>
      <c r="AF13" s="235"/>
      <c r="AG13" s="249"/>
      <c r="AH13" s="249"/>
      <c r="AI13" s="249"/>
      <c r="AJ13" s="249"/>
      <c r="AK13" s="235"/>
      <c r="AL13" s="249"/>
      <c r="AM13" s="249"/>
      <c r="AN13" s="249"/>
      <c r="AO13" s="249"/>
      <c r="AP13" s="235"/>
      <c r="AQ13" s="249"/>
      <c r="AR13" s="249"/>
      <c r="AS13" s="249"/>
      <c r="AT13" s="249"/>
      <c r="AU13" s="235"/>
      <c r="AV13" s="239">
        <v>26</v>
      </c>
      <c r="AW13" s="239">
        <v>25</v>
      </c>
      <c r="AX13" s="239">
        <v>22</v>
      </c>
      <c r="AY13" s="239">
        <v>31</v>
      </c>
      <c r="AZ13" s="235">
        <f>SUM(AV13:AY13)</f>
        <v>104</v>
      </c>
      <c r="BA13" s="239">
        <v>26</v>
      </c>
      <c r="BB13" s="239">
        <v>31</v>
      </c>
      <c r="BC13" s="239">
        <v>32</v>
      </c>
      <c r="BD13" s="239">
        <v>25</v>
      </c>
      <c r="BE13" s="235">
        <f>SUM(BA13:BD13)</f>
        <v>114</v>
      </c>
      <c r="BF13" s="240">
        <v>25</v>
      </c>
      <c r="BG13" s="240">
        <v>27</v>
      </c>
      <c r="BH13" s="240">
        <v>28</v>
      </c>
      <c r="BI13" s="240">
        <v>25</v>
      </c>
      <c r="BJ13" s="235">
        <f>SUM(BF13:BI13)</f>
        <v>105</v>
      </c>
      <c r="BK13" s="241"/>
      <c r="BL13" s="241"/>
      <c r="BM13" s="241"/>
      <c r="BN13" s="241"/>
      <c r="BO13" s="235">
        <f>BJ13*(1+BO14)</f>
        <v>10.499999999999998</v>
      </c>
      <c r="BP13" s="241"/>
      <c r="BQ13" s="241"/>
      <c r="BR13" s="241"/>
      <c r="BS13" s="241"/>
      <c r="BT13" s="235">
        <f>BO13*(1+BT14)</f>
        <v>2.6249999999999996</v>
      </c>
      <c r="BU13" s="241"/>
      <c r="BV13" s="241"/>
      <c r="BW13" s="241"/>
      <c r="BX13" s="241"/>
      <c r="BY13" s="235">
        <f>BT13*(1+BY14)</f>
        <v>1.9687499999999996</v>
      </c>
      <c r="BZ13" s="241"/>
      <c r="CA13" s="241"/>
      <c r="CB13" s="241"/>
      <c r="CC13" s="241"/>
      <c r="CD13" s="235">
        <f>BY13*(1+CD14)</f>
        <v>1.4765624999999996</v>
      </c>
      <c r="CF13" s="250"/>
    </row>
    <row r="14" spans="1:84" outlineLevel="1">
      <c r="B14" s="245" t="s">
        <v>126</v>
      </c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35"/>
      <c r="AG14" s="249"/>
      <c r="AH14" s="249"/>
      <c r="AI14" s="249"/>
      <c r="AJ14" s="249"/>
      <c r="AK14" s="235"/>
      <c r="AL14" s="249"/>
      <c r="AM14" s="249"/>
      <c r="AN14" s="249"/>
      <c r="AO14" s="249"/>
      <c r="AP14" s="235"/>
      <c r="AQ14" s="249"/>
      <c r="AR14" s="249"/>
      <c r="AS14" s="249"/>
      <c r="AT14" s="249"/>
      <c r="AU14" s="235"/>
      <c r="AV14" s="249"/>
      <c r="AW14" s="249"/>
      <c r="AX14" s="249"/>
      <c r="AY14" s="249"/>
      <c r="AZ14" s="246"/>
      <c r="BA14" s="247">
        <f t="shared" si="1"/>
        <v>0</v>
      </c>
      <c r="BB14" s="247">
        <f t="shared" si="1"/>
        <v>0.24</v>
      </c>
      <c r="BC14" s="247">
        <f t="shared" si="1"/>
        <v>0.45454545454545459</v>
      </c>
      <c r="BD14" s="247">
        <f t="shared" si="1"/>
        <v>-0.19354838709677424</v>
      </c>
      <c r="BE14" s="251">
        <f t="shared" si="1"/>
        <v>9.6153846153846256E-2</v>
      </c>
      <c r="BF14" s="247">
        <f t="shared" si="1"/>
        <v>-3.8461538461538436E-2</v>
      </c>
      <c r="BG14" s="247">
        <f t="shared" si="1"/>
        <v>-0.12903225806451613</v>
      </c>
      <c r="BH14" s="247">
        <f t="shared" si="1"/>
        <v>-0.125</v>
      </c>
      <c r="BI14" s="247">
        <f t="shared" si="1"/>
        <v>0</v>
      </c>
      <c r="BJ14" s="246">
        <f t="shared" si="1"/>
        <v>-7.8947368421052655E-2</v>
      </c>
      <c r="BK14" s="237"/>
      <c r="BL14" s="237"/>
      <c r="BM14" s="237"/>
      <c r="BN14" s="237"/>
      <c r="BO14" s="248">
        <v>-0.9</v>
      </c>
      <c r="BP14" s="237"/>
      <c r="BQ14" s="237"/>
      <c r="BR14" s="237"/>
      <c r="BS14" s="237"/>
      <c r="BT14" s="248">
        <v>-0.75</v>
      </c>
      <c r="BU14" s="237"/>
      <c r="BV14" s="237"/>
      <c r="BW14" s="237"/>
      <c r="BX14" s="237"/>
      <c r="BY14" s="248">
        <v>-0.25</v>
      </c>
      <c r="BZ14" s="237"/>
      <c r="CA14" s="237"/>
      <c r="CB14" s="237"/>
      <c r="CC14" s="237"/>
      <c r="CD14" s="248">
        <v>-0.25</v>
      </c>
      <c r="CF14" s="250"/>
    </row>
    <row r="15" spans="1:84" s="252" customFormat="1" outlineLevel="1">
      <c r="B15" s="238" t="s">
        <v>128</v>
      </c>
      <c r="C15" s="253"/>
      <c r="D15" s="254"/>
      <c r="E15" s="254"/>
      <c r="F15" s="254"/>
      <c r="G15" s="255"/>
      <c r="H15" s="254"/>
      <c r="I15" s="254"/>
      <c r="J15" s="254"/>
      <c r="K15" s="254"/>
      <c r="L15" s="255"/>
      <c r="M15" s="254"/>
      <c r="N15" s="254"/>
      <c r="O15" s="254"/>
      <c r="P15" s="254"/>
      <c r="Q15" s="255"/>
      <c r="R15" s="254"/>
      <c r="S15" s="254"/>
      <c r="T15" s="254"/>
      <c r="U15" s="254"/>
      <c r="V15" s="255"/>
      <c r="W15" s="256"/>
      <c r="X15" s="257"/>
      <c r="Y15" s="257"/>
      <c r="Z15" s="257"/>
      <c r="AA15" s="258"/>
      <c r="AB15" s="256"/>
      <c r="AC15" s="256"/>
      <c r="AD15" s="256"/>
      <c r="AE15" s="256"/>
      <c r="AF15" s="235"/>
      <c r="AG15" s="256"/>
      <c r="AH15" s="256"/>
      <c r="AI15" s="256"/>
      <c r="AJ15" s="256"/>
      <c r="AK15" s="235"/>
      <c r="AL15" s="257"/>
      <c r="AM15" s="257"/>
      <c r="AN15" s="257"/>
      <c r="AO15" s="257"/>
      <c r="AP15" s="235"/>
      <c r="AQ15" s="257"/>
      <c r="AR15" s="257"/>
      <c r="AS15" s="259"/>
      <c r="AT15" s="259">
        <v>0</v>
      </c>
      <c r="AU15" s="235">
        <f>SUM(AQ15:AT15)</f>
        <v>0</v>
      </c>
      <c r="AV15" s="236">
        <v>0</v>
      </c>
      <c r="AW15" s="239">
        <v>3</v>
      </c>
      <c r="AX15" s="239">
        <v>12</v>
      </c>
      <c r="AY15" s="239">
        <v>54</v>
      </c>
      <c r="AZ15" s="235">
        <f>SUM(AV15:AY15)</f>
        <v>69</v>
      </c>
      <c r="BA15" s="239">
        <v>62</v>
      </c>
      <c r="BB15" s="239">
        <v>102</v>
      </c>
      <c r="BC15" s="239">
        <v>106</v>
      </c>
      <c r="BD15" s="239">
        <v>68</v>
      </c>
      <c r="BE15" s="235">
        <f>SUM(BA15:BD15)</f>
        <v>338</v>
      </c>
      <c r="BF15" s="240">
        <v>55</v>
      </c>
      <c r="BG15" s="240">
        <v>85</v>
      </c>
      <c r="BH15" s="240">
        <v>105</v>
      </c>
      <c r="BI15" s="240">
        <v>120</v>
      </c>
      <c r="BJ15" s="235">
        <f>SUM(BF15:BI15)</f>
        <v>365</v>
      </c>
      <c r="BK15" s="241"/>
      <c r="BL15" s="241"/>
      <c r="BM15" s="241"/>
      <c r="BN15" s="241"/>
      <c r="BO15" s="260">
        <v>450</v>
      </c>
      <c r="BP15" s="241"/>
      <c r="BQ15" s="241"/>
      <c r="BR15" s="241"/>
      <c r="BS15" s="241"/>
      <c r="BT15" s="260">
        <v>500</v>
      </c>
      <c r="BU15" s="241"/>
      <c r="BV15" s="241"/>
      <c r="BW15" s="241"/>
      <c r="BX15" s="241"/>
      <c r="BY15" s="260">
        <v>550</v>
      </c>
      <c r="BZ15" s="241"/>
      <c r="CA15" s="241"/>
      <c r="CB15" s="241"/>
      <c r="CC15" s="241"/>
      <c r="CD15" s="260">
        <v>600</v>
      </c>
      <c r="CF15" s="242"/>
    </row>
    <row r="16" spans="1:84" s="252" customFormat="1" outlineLevel="1">
      <c r="B16" s="245" t="s">
        <v>126</v>
      </c>
      <c r="C16" s="253"/>
      <c r="D16" s="254"/>
      <c r="E16" s="254"/>
      <c r="F16" s="254"/>
      <c r="G16" s="255"/>
      <c r="H16" s="254"/>
      <c r="I16" s="254"/>
      <c r="J16" s="254"/>
      <c r="K16" s="254"/>
      <c r="L16" s="255"/>
      <c r="M16" s="254"/>
      <c r="N16" s="254"/>
      <c r="O16" s="254"/>
      <c r="P16" s="254"/>
      <c r="Q16" s="255"/>
      <c r="R16" s="254"/>
      <c r="S16" s="254"/>
      <c r="T16" s="254"/>
      <c r="U16" s="254"/>
      <c r="V16" s="255"/>
      <c r="W16" s="256"/>
      <c r="X16" s="257"/>
      <c r="Y16" s="257"/>
      <c r="Z16" s="257"/>
      <c r="AA16" s="258"/>
      <c r="AB16" s="256"/>
      <c r="AC16" s="256"/>
      <c r="AD16" s="256"/>
      <c r="AE16" s="256"/>
      <c r="AF16" s="258"/>
      <c r="AG16" s="256"/>
      <c r="AH16" s="256"/>
      <c r="AI16" s="256"/>
      <c r="AJ16" s="256"/>
      <c r="AK16" s="235"/>
      <c r="AL16" s="257"/>
      <c r="AM16" s="257"/>
      <c r="AN16" s="257"/>
      <c r="AO16" s="257"/>
      <c r="AP16" s="235"/>
      <c r="AQ16" s="257"/>
      <c r="AR16" s="257"/>
      <c r="AS16" s="257"/>
      <c r="AT16" s="257"/>
      <c r="AU16" s="258"/>
      <c r="AV16" s="257"/>
      <c r="AW16" s="257"/>
      <c r="AX16" s="257"/>
      <c r="AY16" s="257"/>
      <c r="AZ16" s="246"/>
      <c r="BA16" s="257"/>
      <c r="BB16" s="257" t="s">
        <v>39</v>
      </c>
      <c r="BC16" s="247">
        <f>BC15/AX15-1</f>
        <v>7.8333333333333339</v>
      </c>
      <c r="BD16" s="247">
        <f>BD15/AY15-1</f>
        <v>0.2592592592592593</v>
      </c>
      <c r="BE16" s="246">
        <f>BE15/AZ15-1</f>
        <v>3.8985507246376816</v>
      </c>
      <c r="BF16" s="247">
        <f t="shared" ref="BF16:BI16" si="2">BF15/BA15-1</f>
        <v>-0.11290322580645162</v>
      </c>
      <c r="BG16" s="247">
        <f t="shared" si="2"/>
        <v>-0.16666666666666663</v>
      </c>
      <c r="BH16" s="247">
        <f t="shared" si="2"/>
        <v>-9.4339622641509413E-3</v>
      </c>
      <c r="BI16" s="247">
        <f t="shared" si="2"/>
        <v>0.76470588235294112</v>
      </c>
      <c r="BJ16" s="246">
        <f>BJ15/BE15-1</f>
        <v>7.9881656804733803E-2</v>
      </c>
      <c r="BK16" s="237"/>
      <c r="BL16" s="237"/>
      <c r="BM16" s="237"/>
      <c r="BN16" s="237"/>
      <c r="BO16" s="246">
        <f>BO15/BJ15-1</f>
        <v>0.23287671232876717</v>
      </c>
      <c r="BP16" s="237"/>
      <c r="BQ16" s="237"/>
      <c r="BR16" s="237"/>
      <c r="BS16" s="237"/>
      <c r="BT16" s="246">
        <f>BT15/BO15-1</f>
        <v>0.11111111111111116</v>
      </c>
      <c r="BU16" s="237"/>
      <c r="BV16" s="237"/>
      <c r="BW16" s="237"/>
      <c r="BX16" s="237"/>
      <c r="BY16" s="246">
        <f>BY15/BT15-1</f>
        <v>0.10000000000000009</v>
      </c>
      <c r="BZ16" s="237"/>
      <c r="CA16" s="237"/>
      <c r="CB16" s="237"/>
      <c r="CC16" s="237"/>
      <c r="CD16" s="246">
        <f>CD15/BY15-1</f>
        <v>9.0909090909090828E-2</v>
      </c>
      <c r="CF16" s="242"/>
    </row>
    <row r="17" spans="1:84" s="252" customFormat="1" outlineLevel="1">
      <c r="B17" s="238" t="s">
        <v>129</v>
      </c>
      <c r="C17" s="253"/>
      <c r="D17" s="254"/>
      <c r="E17" s="254"/>
      <c r="F17" s="254"/>
      <c r="G17" s="255"/>
      <c r="H17" s="254"/>
      <c r="I17" s="254"/>
      <c r="J17" s="254"/>
      <c r="K17" s="254"/>
      <c r="L17" s="255"/>
      <c r="M17" s="254"/>
      <c r="N17" s="254"/>
      <c r="O17" s="254"/>
      <c r="P17" s="254"/>
      <c r="Q17" s="255"/>
      <c r="R17" s="254"/>
      <c r="S17" s="254"/>
      <c r="T17" s="254"/>
      <c r="U17" s="254"/>
      <c r="V17" s="255"/>
      <c r="W17" s="256"/>
      <c r="X17" s="257"/>
      <c r="Y17" s="257"/>
      <c r="Z17" s="257"/>
      <c r="AA17" s="258"/>
      <c r="AB17" s="256"/>
      <c r="AC17" s="256"/>
      <c r="AD17" s="256"/>
      <c r="AE17" s="256"/>
      <c r="AF17" s="258"/>
      <c r="AG17" s="256"/>
      <c r="AH17" s="256"/>
      <c r="AI17" s="256"/>
      <c r="AJ17" s="256"/>
      <c r="AK17" s="258"/>
      <c r="AL17" s="257"/>
      <c r="AM17" s="257"/>
      <c r="AN17" s="257"/>
      <c r="AO17" s="257"/>
      <c r="AP17" s="258"/>
      <c r="AQ17" s="257"/>
      <c r="AR17" s="257"/>
      <c r="AS17" s="259"/>
      <c r="AT17" s="259"/>
      <c r="AU17" s="235"/>
      <c r="AV17" s="240">
        <v>0</v>
      </c>
      <c r="AW17" s="239">
        <v>2</v>
      </c>
      <c r="AX17" s="239">
        <v>3</v>
      </c>
      <c r="AY17" s="239">
        <v>5</v>
      </c>
      <c r="AZ17" s="235">
        <f>SUM(AV17:AY17)</f>
        <v>10</v>
      </c>
      <c r="BA17" s="239">
        <v>5</v>
      </c>
      <c r="BB17" s="240">
        <v>6</v>
      </c>
      <c r="BC17" s="240">
        <v>8</v>
      </c>
      <c r="BD17" s="240">
        <v>4</v>
      </c>
      <c r="BE17" s="235">
        <f>SUM(BA17:BD17)</f>
        <v>23</v>
      </c>
      <c r="BF17" s="240">
        <v>5</v>
      </c>
      <c r="BG17" s="240">
        <v>8</v>
      </c>
      <c r="BH17" s="240">
        <v>9</v>
      </c>
      <c r="BI17" s="240">
        <v>10</v>
      </c>
      <c r="BJ17" s="235">
        <f>SUM(BF17:BI17)</f>
        <v>32</v>
      </c>
      <c r="BK17" s="241"/>
      <c r="BL17" s="241"/>
      <c r="BM17" s="241"/>
      <c r="BN17" s="241"/>
      <c r="BO17" s="260">
        <v>40</v>
      </c>
      <c r="BP17" s="241"/>
      <c r="BQ17" s="241"/>
      <c r="BR17" s="241"/>
      <c r="BS17" s="241"/>
      <c r="BT17" s="260">
        <v>45</v>
      </c>
      <c r="BU17" s="241"/>
      <c r="BV17" s="241"/>
      <c r="BW17" s="241"/>
      <c r="BX17" s="241"/>
      <c r="BY17" s="260">
        <v>50</v>
      </c>
      <c r="BZ17" s="241"/>
      <c r="CA17" s="241"/>
      <c r="CB17" s="241"/>
      <c r="CC17" s="241"/>
      <c r="CD17" s="260">
        <v>55</v>
      </c>
      <c r="CF17" s="242"/>
    </row>
    <row r="18" spans="1:84" s="252" customFormat="1" outlineLevel="1">
      <c r="B18" s="245" t="s">
        <v>126</v>
      </c>
      <c r="C18" s="253"/>
      <c r="D18" s="254"/>
      <c r="E18" s="254"/>
      <c r="F18" s="254"/>
      <c r="G18" s="255"/>
      <c r="H18" s="254"/>
      <c r="I18" s="254"/>
      <c r="J18" s="254"/>
      <c r="K18" s="254"/>
      <c r="L18" s="255"/>
      <c r="M18" s="254"/>
      <c r="N18" s="254"/>
      <c r="O18" s="254"/>
      <c r="P18" s="254"/>
      <c r="Q18" s="255"/>
      <c r="R18" s="254"/>
      <c r="S18" s="254"/>
      <c r="T18" s="254"/>
      <c r="U18" s="254"/>
      <c r="V18" s="255"/>
      <c r="W18" s="256"/>
      <c r="X18" s="257"/>
      <c r="Y18" s="257"/>
      <c r="Z18" s="257"/>
      <c r="AA18" s="258"/>
      <c r="AB18" s="256"/>
      <c r="AC18" s="256"/>
      <c r="AD18" s="256"/>
      <c r="AE18" s="256"/>
      <c r="AF18" s="258"/>
      <c r="AG18" s="256"/>
      <c r="AH18" s="256"/>
      <c r="AI18" s="256"/>
      <c r="AJ18" s="256"/>
      <c r="AK18" s="258"/>
      <c r="AL18" s="257"/>
      <c r="AM18" s="257"/>
      <c r="AN18" s="257"/>
      <c r="AO18" s="257"/>
      <c r="AP18" s="258"/>
      <c r="AQ18" s="257"/>
      <c r="AR18" s="257"/>
      <c r="AS18" s="257"/>
      <c r="AT18" s="257"/>
      <c r="AU18" s="258"/>
      <c r="AV18" s="257"/>
      <c r="AW18" s="257"/>
      <c r="AX18" s="257"/>
      <c r="AY18" s="257"/>
      <c r="AZ18" s="258"/>
      <c r="BA18" s="257"/>
      <c r="BB18" s="247">
        <f>BB17/AW17-1</f>
        <v>2</v>
      </c>
      <c r="BC18" s="247">
        <f>BC17/AX17-1</f>
        <v>1.6666666666666665</v>
      </c>
      <c r="BD18" s="247">
        <f>BD17/AY17-1</f>
        <v>-0.19999999999999996</v>
      </c>
      <c r="BE18" s="246">
        <f>BE17/AZ17-1</f>
        <v>1.2999999999999998</v>
      </c>
      <c r="BF18" s="247">
        <f t="shared" ref="BF18:BI18" si="3">BF17/BA17-1</f>
        <v>0</v>
      </c>
      <c r="BG18" s="247">
        <f t="shared" si="3"/>
        <v>0.33333333333333326</v>
      </c>
      <c r="BH18" s="247">
        <f t="shared" si="3"/>
        <v>0.125</v>
      </c>
      <c r="BI18" s="247">
        <f t="shared" si="3"/>
        <v>1.5</v>
      </c>
      <c r="BJ18" s="246">
        <f>BJ17/BE17-1</f>
        <v>0.39130434782608692</v>
      </c>
      <c r="BK18" s="241"/>
      <c r="BL18" s="241"/>
      <c r="BM18" s="241"/>
      <c r="BN18" s="241"/>
      <c r="BO18" s="246">
        <f>BO17/BJ17-1</f>
        <v>0.25</v>
      </c>
      <c r="BP18" s="241"/>
      <c r="BQ18" s="241"/>
      <c r="BR18" s="241"/>
      <c r="BS18" s="241"/>
      <c r="BT18" s="246">
        <f>BT17/BO17-1</f>
        <v>0.125</v>
      </c>
      <c r="BU18" s="241"/>
      <c r="BV18" s="241"/>
      <c r="BW18" s="241"/>
      <c r="BX18" s="241"/>
      <c r="BY18" s="246">
        <f>BY17/BT17-1</f>
        <v>0.11111111111111116</v>
      </c>
      <c r="BZ18" s="241"/>
      <c r="CA18" s="241"/>
      <c r="CB18" s="241"/>
      <c r="CC18" s="241"/>
      <c r="CD18" s="246">
        <f>CD17/BY17-1</f>
        <v>0.10000000000000009</v>
      </c>
      <c r="CF18" s="242"/>
    </row>
    <row r="19" spans="1:84" s="252" customFormat="1" outlineLevel="1">
      <c r="B19" s="238" t="s">
        <v>130</v>
      </c>
      <c r="C19" s="253"/>
      <c r="D19" s="254"/>
      <c r="E19" s="254"/>
      <c r="F19" s="254"/>
      <c r="G19" s="255"/>
      <c r="H19" s="254"/>
      <c r="I19" s="254"/>
      <c r="J19" s="254"/>
      <c r="K19" s="254"/>
      <c r="L19" s="255"/>
      <c r="M19" s="254"/>
      <c r="N19" s="254"/>
      <c r="O19" s="254"/>
      <c r="P19" s="254"/>
      <c r="Q19" s="255"/>
      <c r="R19" s="254"/>
      <c r="S19" s="254"/>
      <c r="T19" s="254"/>
      <c r="U19" s="254"/>
      <c r="V19" s="255"/>
      <c r="W19" s="256"/>
      <c r="X19" s="257"/>
      <c r="Y19" s="257"/>
      <c r="Z19" s="257"/>
      <c r="AA19" s="258"/>
      <c r="AB19" s="256"/>
      <c r="AC19" s="256"/>
      <c r="AD19" s="256"/>
      <c r="AE19" s="256"/>
      <c r="AF19" s="258"/>
      <c r="AG19" s="256"/>
      <c r="AH19" s="256"/>
      <c r="AI19" s="256"/>
      <c r="AJ19" s="256"/>
      <c r="AK19" s="258"/>
      <c r="AL19" s="257"/>
      <c r="AM19" s="257"/>
      <c r="AN19" s="257"/>
      <c r="AO19" s="257"/>
      <c r="AP19" s="258"/>
      <c r="AQ19" s="257"/>
      <c r="AR19" s="257"/>
      <c r="AS19" s="257"/>
      <c r="AT19" s="257"/>
      <c r="AU19" s="258"/>
      <c r="AV19" s="257"/>
      <c r="AW19" s="257"/>
      <c r="AX19" s="257"/>
      <c r="AY19" s="257"/>
      <c r="AZ19" s="258"/>
      <c r="BA19" s="240">
        <v>3</v>
      </c>
      <c r="BB19" s="240">
        <v>10</v>
      </c>
      <c r="BC19" s="240">
        <v>20</v>
      </c>
      <c r="BD19" s="240">
        <v>10</v>
      </c>
      <c r="BE19" s="235">
        <f>SUM(BA19:BD19)</f>
        <v>43</v>
      </c>
      <c r="BF19" s="240">
        <v>10</v>
      </c>
      <c r="BG19" s="240">
        <v>15</v>
      </c>
      <c r="BH19" s="240">
        <v>20</v>
      </c>
      <c r="BI19" s="240">
        <v>22</v>
      </c>
      <c r="BJ19" s="235">
        <f>SUM(BF19:BI19)</f>
        <v>67</v>
      </c>
      <c r="BK19" s="241"/>
      <c r="BL19" s="241"/>
      <c r="BM19" s="241"/>
      <c r="BN19" s="241"/>
      <c r="BO19" s="260">
        <v>100</v>
      </c>
      <c r="BP19" s="241"/>
      <c r="BQ19" s="241"/>
      <c r="BR19" s="241"/>
      <c r="BS19" s="241"/>
      <c r="BT19" s="260">
        <v>135</v>
      </c>
      <c r="BU19" s="241"/>
      <c r="BV19" s="241"/>
      <c r="BW19" s="241"/>
      <c r="BX19" s="241"/>
      <c r="BY19" s="260">
        <v>160</v>
      </c>
      <c r="BZ19" s="241"/>
      <c r="CA19" s="241"/>
      <c r="CB19" s="241"/>
      <c r="CC19" s="241"/>
      <c r="CD19" s="260">
        <v>175</v>
      </c>
      <c r="CF19" s="242"/>
    </row>
    <row r="20" spans="1:84" s="252" customFormat="1" outlineLevel="1">
      <c r="B20" s="245" t="s">
        <v>126</v>
      </c>
      <c r="C20" s="253"/>
      <c r="D20" s="254"/>
      <c r="E20" s="254"/>
      <c r="F20" s="254"/>
      <c r="G20" s="255"/>
      <c r="H20" s="254"/>
      <c r="I20" s="254"/>
      <c r="J20" s="254"/>
      <c r="K20" s="254"/>
      <c r="L20" s="255"/>
      <c r="M20" s="254"/>
      <c r="N20" s="254"/>
      <c r="O20" s="254"/>
      <c r="P20" s="254"/>
      <c r="Q20" s="255"/>
      <c r="R20" s="254"/>
      <c r="S20" s="254"/>
      <c r="T20" s="254"/>
      <c r="U20" s="254"/>
      <c r="V20" s="255"/>
      <c r="W20" s="256"/>
      <c r="X20" s="257"/>
      <c r="Y20" s="257"/>
      <c r="Z20" s="257"/>
      <c r="AA20" s="258"/>
      <c r="AB20" s="256"/>
      <c r="AC20" s="256"/>
      <c r="AD20" s="256"/>
      <c r="AE20" s="256"/>
      <c r="AF20" s="258"/>
      <c r="AG20" s="256"/>
      <c r="AH20" s="256"/>
      <c r="AI20" s="256"/>
      <c r="AJ20" s="256"/>
      <c r="AK20" s="258"/>
      <c r="AL20" s="257"/>
      <c r="AM20" s="257"/>
      <c r="AN20" s="257"/>
      <c r="AO20" s="257"/>
      <c r="AP20" s="258"/>
      <c r="AQ20" s="257"/>
      <c r="AR20" s="257"/>
      <c r="AS20" s="257"/>
      <c r="AT20" s="257"/>
      <c r="AU20" s="258"/>
      <c r="AV20" s="257"/>
      <c r="AW20" s="257"/>
      <c r="AX20" s="257"/>
      <c r="AY20" s="257"/>
      <c r="AZ20" s="258"/>
      <c r="BA20" s="257"/>
      <c r="BB20" s="247"/>
      <c r="BC20" s="247"/>
      <c r="BD20" s="247"/>
      <c r="BE20" s="246"/>
      <c r="BF20" s="247"/>
      <c r="BG20" s="247"/>
      <c r="BH20" s="247"/>
      <c r="BI20" s="247"/>
      <c r="BJ20" s="246"/>
      <c r="BK20" s="241"/>
      <c r="BL20" s="241"/>
      <c r="BM20" s="241"/>
      <c r="BN20" s="241"/>
      <c r="BO20" s="246">
        <f>BO19/BJ19-1</f>
        <v>0.49253731343283591</v>
      </c>
      <c r="BP20" s="241"/>
      <c r="BQ20" s="241"/>
      <c r="BR20" s="241"/>
      <c r="BS20" s="241"/>
      <c r="BT20" s="246">
        <f>BT19/BO19-1</f>
        <v>0.35000000000000009</v>
      </c>
      <c r="BU20" s="241"/>
      <c r="BV20" s="241"/>
      <c r="BW20" s="241"/>
      <c r="BX20" s="241"/>
      <c r="BY20" s="246">
        <f>BY19/BT19-1</f>
        <v>0.18518518518518512</v>
      </c>
      <c r="BZ20" s="241"/>
      <c r="CA20" s="241"/>
      <c r="CB20" s="241"/>
      <c r="CC20" s="241"/>
      <c r="CD20" s="246">
        <f>CD19/BY19-1</f>
        <v>9.375E-2</v>
      </c>
      <c r="CF20" s="242"/>
    </row>
    <row r="21" spans="1:84" s="252" customFormat="1" outlineLevel="1">
      <c r="B21" s="238" t="s">
        <v>131</v>
      </c>
      <c r="C21" s="253"/>
      <c r="D21" s="254"/>
      <c r="E21" s="254"/>
      <c r="F21" s="254"/>
      <c r="G21" s="255"/>
      <c r="H21" s="254"/>
      <c r="I21" s="254"/>
      <c r="J21" s="254"/>
      <c r="K21" s="254"/>
      <c r="L21" s="255"/>
      <c r="M21" s="254"/>
      <c r="N21" s="254"/>
      <c r="O21" s="254"/>
      <c r="P21" s="254"/>
      <c r="Q21" s="255"/>
      <c r="R21" s="254"/>
      <c r="S21" s="254"/>
      <c r="T21" s="254"/>
      <c r="U21" s="254"/>
      <c r="V21" s="255"/>
      <c r="W21" s="256"/>
      <c r="X21" s="257"/>
      <c r="Y21" s="257"/>
      <c r="Z21" s="257"/>
      <c r="AA21" s="258"/>
      <c r="AB21" s="256"/>
      <c r="AC21" s="256"/>
      <c r="AD21" s="256"/>
      <c r="AE21" s="256"/>
      <c r="AF21" s="258"/>
      <c r="AG21" s="256"/>
      <c r="AH21" s="256"/>
      <c r="AI21" s="256"/>
      <c r="AJ21" s="256"/>
      <c r="AK21" s="258"/>
      <c r="AL21" s="257"/>
      <c r="AM21" s="257"/>
      <c r="AN21" s="257"/>
      <c r="AO21" s="257"/>
      <c r="AP21" s="258"/>
      <c r="AQ21" s="257"/>
      <c r="AR21" s="257"/>
      <c r="AS21" s="259"/>
      <c r="AT21" s="259"/>
      <c r="AU21" s="235"/>
      <c r="AV21" s="240"/>
      <c r="AW21" s="240"/>
      <c r="AX21" s="240"/>
      <c r="AY21" s="240"/>
      <c r="AZ21" s="235"/>
      <c r="BA21" s="240">
        <v>0</v>
      </c>
      <c r="BB21" s="240">
        <v>0</v>
      </c>
      <c r="BC21" s="240">
        <v>0</v>
      </c>
      <c r="BD21" s="240">
        <v>0</v>
      </c>
      <c r="BE21" s="235">
        <f>SUM(BA21:BD21)</f>
        <v>0</v>
      </c>
      <c r="BF21" s="240">
        <v>0</v>
      </c>
      <c r="BG21" s="240">
        <v>0</v>
      </c>
      <c r="BH21" s="240">
        <v>0</v>
      </c>
      <c r="BI21" s="240">
        <v>0</v>
      </c>
      <c r="BJ21" s="235">
        <f>SUM(BF21:BI21)</f>
        <v>0</v>
      </c>
      <c r="BK21" s="241"/>
      <c r="BL21" s="241"/>
      <c r="BM21" s="241"/>
      <c r="BN21" s="241"/>
      <c r="BO21" s="260">
        <v>50</v>
      </c>
      <c r="BP21" s="241"/>
      <c r="BQ21" s="241"/>
      <c r="BR21" s="241"/>
      <c r="BS21" s="241"/>
      <c r="BT21" s="260">
        <v>100</v>
      </c>
      <c r="BU21" s="241"/>
      <c r="BV21" s="241"/>
      <c r="BW21" s="241"/>
      <c r="BX21" s="241"/>
      <c r="BY21" s="260">
        <v>150</v>
      </c>
      <c r="BZ21" s="241"/>
      <c r="CA21" s="241"/>
      <c r="CB21" s="241"/>
      <c r="CC21" s="241"/>
      <c r="CD21" s="260">
        <v>200</v>
      </c>
      <c r="CF21" s="242"/>
    </row>
    <row r="22" spans="1:84" s="252" customFormat="1" outlineLevel="1">
      <c r="B22" s="245" t="s">
        <v>126</v>
      </c>
      <c r="C22" s="253"/>
      <c r="D22" s="254"/>
      <c r="E22" s="254"/>
      <c r="F22" s="254"/>
      <c r="G22" s="255"/>
      <c r="H22" s="254"/>
      <c r="I22" s="254"/>
      <c r="J22" s="254"/>
      <c r="K22" s="254"/>
      <c r="L22" s="255"/>
      <c r="M22" s="254"/>
      <c r="N22" s="254"/>
      <c r="O22" s="254"/>
      <c r="P22" s="254"/>
      <c r="Q22" s="255"/>
      <c r="R22" s="254"/>
      <c r="S22" s="254"/>
      <c r="T22" s="254"/>
      <c r="U22" s="254"/>
      <c r="V22" s="255"/>
      <c r="W22" s="256"/>
      <c r="X22" s="257"/>
      <c r="Y22" s="257"/>
      <c r="Z22" s="257"/>
      <c r="AA22" s="258"/>
      <c r="AB22" s="256"/>
      <c r="AC22" s="256"/>
      <c r="AD22" s="256"/>
      <c r="AE22" s="256"/>
      <c r="AF22" s="258"/>
      <c r="AG22" s="256"/>
      <c r="AH22" s="256"/>
      <c r="AI22" s="256"/>
      <c r="AJ22" s="256"/>
      <c r="AK22" s="258"/>
      <c r="AL22" s="257"/>
      <c r="AM22" s="257"/>
      <c r="AN22" s="257"/>
      <c r="AO22" s="257"/>
      <c r="AP22" s="258"/>
      <c r="AQ22" s="257"/>
      <c r="AR22" s="257"/>
      <c r="AS22" s="257"/>
      <c r="AT22" s="257"/>
      <c r="AU22" s="258"/>
      <c r="AV22" s="257"/>
      <c r="AW22" s="257"/>
      <c r="AX22" s="257"/>
      <c r="AY22" s="257"/>
      <c r="AZ22" s="258"/>
      <c r="BA22" s="257"/>
      <c r="BB22" s="247"/>
      <c r="BC22" s="247"/>
      <c r="BD22" s="247"/>
      <c r="BE22" s="246"/>
      <c r="BF22" s="247"/>
      <c r="BG22" s="247"/>
      <c r="BH22" s="247"/>
      <c r="BI22" s="247"/>
      <c r="BJ22" s="246"/>
      <c r="BK22" s="241"/>
      <c r="BL22" s="241"/>
      <c r="BM22" s="241"/>
      <c r="BN22" s="241"/>
      <c r="BO22" s="246"/>
      <c r="BP22" s="241"/>
      <c r="BQ22" s="241"/>
      <c r="BR22" s="241"/>
      <c r="BS22" s="241"/>
      <c r="BT22" s="246">
        <f>BT21/BO21-1</f>
        <v>1</v>
      </c>
      <c r="BU22" s="241"/>
      <c r="BV22" s="241"/>
      <c r="BW22" s="241"/>
      <c r="BX22" s="241"/>
      <c r="BY22" s="246">
        <f>BY21/BT21-1</f>
        <v>0.5</v>
      </c>
      <c r="BZ22" s="241"/>
      <c r="CA22" s="241"/>
      <c r="CB22" s="241"/>
      <c r="CC22" s="241"/>
      <c r="CD22" s="246">
        <f>CD21/BY21-1</f>
        <v>0.33333333333333326</v>
      </c>
      <c r="CF22" s="242"/>
    </row>
    <row r="23" spans="1:84" s="252" customFormat="1" outlineLevel="1">
      <c r="B23" s="238" t="s">
        <v>132</v>
      </c>
      <c r="C23" s="253"/>
      <c r="D23" s="254"/>
      <c r="E23" s="254"/>
      <c r="F23" s="254"/>
      <c r="G23" s="255"/>
      <c r="H23" s="254"/>
      <c r="I23" s="254"/>
      <c r="J23" s="254"/>
      <c r="K23" s="254"/>
      <c r="L23" s="255"/>
      <c r="M23" s="254"/>
      <c r="N23" s="254"/>
      <c r="O23" s="254"/>
      <c r="P23" s="254"/>
      <c r="Q23" s="255"/>
      <c r="R23" s="254"/>
      <c r="S23" s="254"/>
      <c r="T23" s="254"/>
      <c r="U23" s="254"/>
      <c r="V23" s="255"/>
      <c r="W23" s="256"/>
      <c r="X23" s="257"/>
      <c r="Y23" s="257"/>
      <c r="Z23" s="257"/>
      <c r="AA23" s="258"/>
      <c r="AB23" s="256"/>
      <c r="AC23" s="256"/>
      <c r="AD23" s="256"/>
      <c r="AE23" s="256"/>
      <c r="AF23" s="258"/>
      <c r="AG23" s="256"/>
      <c r="AH23" s="256"/>
      <c r="AI23" s="256"/>
      <c r="AJ23" s="256"/>
      <c r="AK23" s="258"/>
      <c r="AL23" s="257"/>
      <c r="AM23" s="257"/>
      <c r="AN23" s="257"/>
      <c r="AO23" s="257"/>
      <c r="AP23" s="258"/>
      <c r="AQ23" s="257"/>
      <c r="AR23" s="257"/>
      <c r="AS23" s="259"/>
      <c r="AT23" s="259"/>
      <c r="AU23" s="235"/>
      <c r="AV23" s="240"/>
      <c r="AW23" s="240"/>
      <c r="AX23" s="240"/>
      <c r="AY23" s="240"/>
      <c r="AZ23" s="235"/>
      <c r="BA23" s="240">
        <v>0</v>
      </c>
      <c r="BB23" s="240">
        <v>0</v>
      </c>
      <c r="BC23" s="240">
        <v>0</v>
      </c>
      <c r="BD23" s="240">
        <v>0</v>
      </c>
      <c r="BE23" s="235">
        <f>SUM(BA23:BD23)</f>
        <v>0</v>
      </c>
      <c r="BF23" s="240">
        <v>0</v>
      </c>
      <c r="BG23" s="240">
        <v>0</v>
      </c>
      <c r="BH23" s="240">
        <v>0</v>
      </c>
      <c r="BI23" s="240">
        <v>0</v>
      </c>
      <c r="BJ23" s="235">
        <f>SUM(BF23:BI23)</f>
        <v>0</v>
      </c>
      <c r="BK23" s="241"/>
      <c r="BL23" s="241"/>
      <c r="BM23" s="241"/>
      <c r="BN23" s="241"/>
      <c r="BO23" s="260">
        <v>0</v>
      </c>
      <c r="BP23" s="241"/>
      <c r="BQ23" s="241"/>
      <c r="BR23" s="241"/>
      <c r="BS23" s="241"/>
      <c r="BT23" s="260">
        <v>0</v>
      </c>
      <c r="BU23" s="241"/>
      <c r="BV23" s="241"/>
      <c r="BW23" s="241"/>
      <c r="BX23" s="241"/>
      <c r="BY23" s="260">
        <v>0</v>
      </c>
      <c r="BZ23" s="241"/>
      <c r="CA23" s="241"/>
      <c r="CB23" s="241"/>
      <c r="CC23" s="241"/>
      <c r="CD23" s="260">
        <v>0</v>
      </c>
      <c r="CE23" s="252">
        <v>0</v>
      </c>
      <c r="CF23" s="242" t="s">
        <v>133</v>
      </c>
    </row>
    <row r="24" spans="1:84" s="252" customFormat="1" outlineLevel="1">
      <c r="B24" s="245" t="s">
        <v>126</v>
      </c>
      <c r="C24" s="253"/>
      <c r="D24" s="254"/>
      <c r="E24" s="254"/>
      <c r="F24" s="254"/>
      <c r="G24" s="255"/>
      <c r="H24" s="254"/>
      <c r="I24" s="254"/>
      <c r="J24" s="254"/>
      <c r="K24" s="254"/>
      <c r="L24" s="255"/>
      <c r="M24" s="254"/>
      <c r="N24" s="254"/>
      <c r="O24" s="254"/>
      <c r="P24" s="254"/>
      <c r="Q24" s="255"/>
      <c r="R24" s="254"/>
      <c r="S24" s="254"/>
      <c r="T24" s="254"/>
      <c r="U24" s="254"/>
      <c r="V24" s="255"/>
      <c r="W24" s="256"/>
      <c r="X24" s="257"/>
      <c r="Y24" s="257"/>
      <c r="Z24" s="257"/>
      <c r="AA24" s="258"/>
      <c r="AB24" s="256"/>
      <c r="AC24" s="256"/>
      <c r="AD24" s="256"/>
      <c r="AE24" s="256"/>
      <c r="AF24" s="258"/>
      <c r="AG24" s="256"/>
      <c r="AH24" s="256"/>
      <c r="AI24" s="256"/>
      <c r="AJ24" s="256"/>
      <c r="AK24" s="258"/>
      <c r="AL24" s="257"/>
      <c r="AM24" s="257"/>
      <c r="AN24" s="257"/>
      <c r="AO24" s="257"/>
      <c r="AP24" s="258"/>
      <c r="AQ24" s="257"/>
      <c r="AR24" s="257"/>
      <c r="AS24" s="257"/>
      <c r="AT24" s="257"/>
      <c r="AU24" s="258"/>
      <c r="AV24" s="257"/>
      <c r="AW24" s="257"/>
      <c r="AX24" s="257"/>
      <c r="AY24" s="257"/>
      <c r="AZ24" s="258"/>
      <c r="BA24" s="257"/>
      <c r="BB24" s="247"/>
      <c r="BC24" s="247"/>
      <c r="BD24" s="247"/>
      <c r="BE24" s="246"/>
      <c r="BF24" s="247"/>
      <c r="BG24" s="247"/>
      <c r="BH24" s="247"/>
      <c r="BI24" s="247"/>
      <c r="BJ24" s="246"/>
      <c r="BK24" s="241"/>
      <c r="BL24" s="241"/>
      <c r="BM24" s="241"/>
      <c r="BN24" s="241"/>
      <c r="BO24" s="246"/>
      <c r="BP24" s="241"/>
      <c r="BQ24" s="241"/>
      <c r="BR24" s="241"/>
      <c r="BS24" s="241"/>
      <c r="BT24" s="246"/>
      <c r="BU24" s="241"/>
      <c r="BV24" s="241"/>
      <c r="BW24" s="241"/>
      <c r="BX24" s="241"/>
      <c r="BY24" s="246"/>
      <c r="BZ24" s="241"/>
      <c r="CA24" s="241"/>
      <c r="CB24" s="241"/>
      <c r="CC24" s="241"/>
      <c r="CD24" s="246"/>
      <c r="CF24" s="242"/>
    </row>
    <row r="25" spans="1:84" s="198" customFormat="1" outlineLevel="1">
      <c r="A25" s="12"/>
      <c r="B25" s="238" t="s">
        <v>134</v>
      </c>
      <c r="C25" s="231"/>
      <c r="D25" s="231"/>
      <c r="E25" s="231"/>
      <c r="F25" s="231"/>
      <c r="G25" s="232"/>
      <c r="H25" s="231"/>
      <c r="I25" s="231"/>
      <c r="J25" s="231"/>
      <c r="K25" s="231"/>
      <c r="L25" s="232"/>
      <c r="M25" s="231"/>
      <c r="N25" s="231"/>
      <c r="O25" s="231"/>
      <c r="P25" s="231"/>
      <c r="Q25" s="232"/>
      <c r="R25" s="231"/>
      <c r="S25" s="231"/>
      <c r="T25" s="231"/>
      <c r="U25" s="231"/>
      <c r="V25" s="233"/>
      <c r="W25" s="234"/>
      <c r="X25" s="234"/>
      <c r="Y25" s="234"/>
      <c r="Z25" s="234"/>
      <c r="AA25" s="233"/>
      <c r="AB25" s="234"/>
      <c r="AC25" s="234"/>
      <c r="AD25" s="234"/>
      <c r="AE25" s="234"/>
      <c r="AF25" s="233"/>
      <c r="AG25" s="234"/>
      <c r="AH25" s="234"/>
      <c r="AI25" s="234"/>
      <c r="AJ25" s="234"/>
      <c r="AK25" s="233"/>
      <c r="AL25" s="234"/>
      <c r="AM25" s="234"/>
      <c r="AN25" s="234"/>
      <c r="AO25" s="234"/>
      <c r="AP25" s="233"/>
      <c r="AQ25" s="231"/>
      <c r="AR25" s="231"/>
      <c r="AS25" s="236">
        <f>AS27-SUM(AS11,AS15,AS17,AS19,AS21,AS13)</f>
        <v>155.5</v>
      </c>
      <c r="AT25" s="236">
        <f>AT27-SUM(AT11,AT15,AT17,AT19,AT21,AT13)</f>
        <v>199.2</v>
      </c>
      <c r="AU25" s="235"/>
      <c r="AV25" s="236">
        <f t="shared" ref="AV25:BD25" si="4">AV27-SUM(AV11,AV15,AV17,AV19,AV21,AV13)</f>
        <v>227.2</v>
      </c>
      <c r="AW25" s="236">
        <f t="shared" si="4"/>
        <v>225.3</v>
      </c>
      <c r="AX25" s="236">
        <f t="shared" si="4"/>
        <v>182.8</v>
      </c>
      <c r="AY25" s="236">
        <f t="shared" si="4"/>
        <v>273.7</v>
      </c>
      <c r="AZ25" s="235">
        <f t="shared" si="4"/>
        <v>909</v>
      </c>
      <c r="BA25" s="236">
        <f t="shared" si="4"/>
        <v>266.3</v>
      </c>
      <c r="BB25" s="236">
        <f t="shared" si="4"/>
        <v>247.8</v>
      </c>
      <c r="BC25" s="236">
        <f t="shared" si="4"/>
        <v>233.5</v>
      </c>
      <c r="BD25" s="236">
        <f t="shared" si="4"/>
        <v>186.60000000000002</v>
      </c>
      <c r="BE25" s="235">
        <f>SUM(BA25:BD25)</f>
        <v>934.2</v>
      </c>
      <c r="BF25" s="236">
        <f t="shared" ref="BF25:BI25" si="5">BA25*(1+BF26)</f>
        <v>173.09500000000003</v>
      </c>
      <c r="BG25" s="236">
        <f t="shared" si="5"/>
        <v>198.24</v>
      </c>
      <c r="BH25" s="236">
        <f t="shared" si="5"/>
        <v>210.15</v>
      </c>
      <c r="BI25" s="236">
        <f t="shared" si="5"/>
        <v>205.26000000000005</v>
      </c>
      <c r="BJ25" s="235">
        <f>SUM(BF25:BI25)</f>
        <v>786.74500000000012</v>
      </c>
      <c r="BK25" s="241"/>
      <c r="BL25" s="241"/>
      <c r="BM25" s="241"/>
      <c r="BN25" s="241"/>
      <c r="BO25" s="235">
        <f>BJ25*(1+BO26)</f>
        <v>771.01010000000008</v>
      </c>
      <c r="BP25" s="241"/>
      <c r="BQ25" s="241"/>
      <c r="BR25" s="241"/>
      <c r="BS25" s="241"/>
      <c r="BT25" s="235">
        <f>BO25*(1+BT26)</f>
        <v>786.4303020000001</v>
      </c>
      <c r="BU25" s="241"/>
      <c r="BV25" s="241"/>
      <c r="BW25" s="241"/>
      <c r="BX25" s="241"/>
      <c r="BY25" s="235">
        <f>BT25*(1+BY26)</f>
        <v>802.15890804000014</v>
      </c>
      <c r="BZ25" s="241"/>
      <c r="CA25" s="241"/>
      <c r="CB25" s="241"/>
      <c r="CC25" s="241"/>
      <c r="CD25" s="235">
        <f>BY25*(1+CD26)</f>
        <v>818.20208620080018</v>
      </c>
      <c r="CE25" s="12"/>
      <c r="CF25" s="229"/>
    </row>
    <row r="26" spans="1:84" s="198" customFormat="1" ht="15" outlineLevel="1">
      <c r="A26" s="12"/>
      <c r="B26" s="262" t="s">
        <v>126</v>
      </c>
      <c r="C26" s="263"/>
      <c r="D26" s="263"/>
      <c r="E26" s="263"/>
      <c r="F26" s="263"/>
      <c r="G26" s="264"/>
      <c r="H26" s="263"/>
      <c r="I26" s="263"/>
      <c r="J26" s="263"/>
      <c r="K26" s="263"/>
      <c r="L26" s="264"/>
      <c r="M26" s="263"/>
      <c r="N26" s="263"/>
      <c r="O26" s="263"/>
      <c r="P26" s="263"/>
      <c r="Q26" s="264"/>
      <c r="R26" s="263"/>
      <c r="S26" s="263"/>
      <c r="T26" s="263"/>
      <c r="U26" s="263"/>
      <c r="V26" s="265"/>
      <c r="W26" s="266"/>
      <c r="X26" s="266"/>
      <c r="Y26" s="266"/>
      <c r="Z26" s="266"/>
      <c r="AA26" s="265"/>
      <c r="AB26" s="266"/>
      <c r="AC26" s="266"/>
      <c r="AD26" s="266"/>
      <c r="AE26" s="266"/>
      <c r="AF26" s="265"/>
      <c r="AG26" s="266"/>
      <c r="AH26" s="266"/>
      <c r="AI26" s="266"/>
      <c r="AJ26" s="266"/>
      <c r="AK26" s="265"/>
      <c r="AL26" s="266"/>
      <c r="AM26" s="266"/>
      <c r="AN26" s="266"/>
      <c r="AO26" s="266"/>
      <c r="AP26" s="233"/>
      <c r="AQ26" s="231"/>
      <c r="AR26" s="231"/>
      <c r="AS26" s="231"/>
      <c r="AT26" s="231"/>
      <c r="AU26" s="235"/>
      <c r="AV26" s="236"/>
      <c r="AW26" s="236"/>
      <c r="AX26" s="247">
        <f>AX25/AS25-1</f>
        <v>0.17556270096463034</v>
      </c>
      <c r="AY26" s="247">
        <f>AY25/AT25-1</f>
        <v>0.37399598393574296</v>
      </c>
      <c r="AZ26" s="251"/>
      <c r="BA26" s="247">
        <f>BA25/AV25-1</f>
        <v>0.17209507042253525</v>
      </c>
      <c r="BB26" s="247">
        <f>BB25/AW25-1</f>
        <v>9.9866844207723071E-2</v>
      </c>
      <c r="BC26" s="247">
        <f>BC25/AX25-1</f>
        <v>0.27735229759299784</v>
      </c>
      <c r="BD26" s="247">
        <f>BD25/AY25-1</f>
        <v>-0.31823164048227981</v>
      </c>
      <c r="BE26" s="246">
        <f>BE25/AZ25-1</f>
        <v>2.7722772277227747E-2</v>
      </c>
      <c r="BF26" s="267">
        <v>-0.35</v>
      </c>
      <c r="BG26" s="267">
        <v>-0.2</v>
      </c>
      <c r="BH26" s="267">
        <v>-0.1</v>
      </c>
      <c r="BI26" s="267">
        <v>0.1</v>
      </c>
      <c r="BJ26" s="246">
        <f>BJ25/BE25-1</f>
        <v>-0.15784093341896799</v>
      </c>
      <c r="BK26" s="237"/>
      <c r="BL26" s="237"/>
      <c r="BM26" s="237"/>
      <c r="BN26" s="237"/>
      <c r="BO26" s="248">
        <v>-0.02</v>
      </c>
      <c r="BP26" s="237"/>
      <c r="BQ26" s="237"/>
      <c r="BR26" s="237"/>
      <c r="BS26" s="237"/>
      <c r="BT26" s="248">
        <v>0.02</v>
      </c>
      <c r="BU26" s="237"/>
      <c r="BV26" s="237"/>
      <c r="BW26" s="237"/>
      <c r="BX26" s="237"/>
      <c r="BY26" s="248">
        <v>0.02</v>
      </c>
      <c r="BZ26" s="237"/>
      <c r="CA26" s="237"/>
      <c r="CB26" s="237"/>
      <c r="CC26" s="237"/>
      <c r="CD26" s="248">
        <v>0.02</v>
      </c>
      <c r="CE26" s="12"/>
      <c r="CF26" s="229"/>
    </row>
    <row r="27" spans="1:84" s="198" customFormat="1">
      <c r="A27" s="12"/>
      <c r="B27" s="268" t="s">
        <v>135</v>
      </c>
      <c r="C27" s="269"/>
      <c r="D27" s="269"/>
      <c r="E27" s="269"/>
      <c r="F27" s="269"/>
      <c r="G27" s="270"/>
      <c r="H27" s="269"/>
      <c r="I27" s="269"/>
      <c r="J27" s="269"/>
      <c r="K27" s="269"/>
      <c r="L27" s="270"/>
      <c r="M27" s="269"/>
      <c r="N27" s="269"/>
      <c r="O27" s="269"/>
      <c r="P27" s="269"/>
      <c r="Q27" s="270"/>
      <c r="R27" s="269"/>
      <c r="S27" s="269"/>
      <c r="T27" s="269"/>
      <c r="U27" s="269"/>
      <c r="V27" s="271"/>
      <c r="W27" s="272"/>
      <c r="X27" s="272"/>
      <c r="Y27" s="272"/>
      <c r="Z27" s="272"/>
      <c r="AA27" s="271"/>
      <c r="AB27" s="272"/>
      <c r="AC27" s="272"/>
      <c r="AD27" s="272"/>
      <c r="AE27" s="272"/>
      <c r="AF27" s="271"/>
      <c r="AG27" s="272"/>
      <c r="AH27" s="272"/>
      <c r="AI27" s="272"/>
      <c r="AJ27" s="272"/>
      <c r="AK27" s="271"/>
      <c r="AL27" s="272"/>
      <c r="AM27" s="272"/>
      <c r="AN27" s="272"/>
      <c r="AO27" s="272"/>
      <c r="AP27" s="273"/>
      <c r="AQ27" s="274"/>
      <c r="AR27" s="269"/>
      <c r="AS27" s="275">
        <v>205.5</v>
      </c>
      <c r="AT27" s="275">
        <v>249.2</v>
      </c>
      <c r="AU27" s="276"/>
      <c r="AV27" s="275">
        <v>304.2</v>
      </c>
      <c r="AW27" s="275">
        <v>298.3</v>
      </c>
      <c r="AX27" s="275">
        <v>272.8</v>
      </c>
      <c r="AY27" s="275">
        <v>424.7</v>
      </c>
      <c r="AZ27" s="277">
        <f>SUM(AV27:AY27)</f>
        <v>1300</v>
      </c>
      <c r="BA27" s="275">
        <v>419.3</v>
      </c>
      <c r="BB27" s="275">
        <v>461.8</v>
      </c>
      <c r="BC27" s="275">
        <v>465.5</v>
      </c>
      <c r="BD27" s="275">
        <v>319.60000000000002</v>
      </c>
      <c r="BE27" s="277">
        <f>SUM(BA27:BD27)</f>
        <v>1666.1999999999998</v>
      </c>
      <c r="BF27" s="275">
        <f t="shared" ref="BF27:BI27" si="6">SUM(BF11,BF13,BF15,BF17,BF19,BF21,BF25,BF23)</f>
        <v>288.09500000000003</v>
      </c>
      <c r="BG27" s="275">
        <f t="shared" si="6"/>
        <v>381.24</v>
      </c>
      <c r="BH27" s="275">
        <f t="shared" si="6"/>
        <v>420.15</v>
      </c>
      <c r="BI27" s="275">
        <f t="shared" si="6"/>
        <v>432.26000000000005</v>
      </c>
      <c r="BJ27" s="277">
        <f>SUM(BJ11,BJ13,BJ15,BJ17,BJ19,BJ21,BJ25,BJ23)</f>
        <v>1521.7450000000001</v>
      </c>
      <c r="BK27" s="191"/>
      <c r="BL27" s="191"/>
      <c r="BM27" s="191"/>
      <c r="BN27" s="191"/>
      <c r="BO27" s="277">
        <f>SUM(BO11,BO13,BO15,BO17,BO19,BO21,BO25,BO23)</f>
        <v>1597.4701</v>
      </c>
      <c r="BP27" s="191"/>
      <c r="BQ27" s="191"/>
      <c r="BR27" s="191"/>
      <c r="BS27" s="191"/>
      <c r="BT27" s="277">
        <f>SUM(BT11,BT13,BT15,BT17,BT19,BT21,BT25,BT23)</f>
        <v>1657.0353020000002</v>
      </c>
      <c r="BU27" s="191"/>
      <c r="BV27" s="191"/>
      <c r="BW27" s="191"/>
      <c r="BX27" s="191"/>
      <c r="BY27" s="277">
        <f>SUM(BY11,BY13,BY15,BY17,BY19,BY21,BY25,BY23)</f>
        <v>1758.1176580400002</v>
      </c>
      <c r="BZ27" s="191"/>
      <c r="CA27" s="191"/>
      <c r="CB27" s="191"/>
      <c r="CC27" s="191"/>
      <c r="CD27" s="277">
        <f>SUM(CD11,CD13,CD15,CD17,CD19,CD21,CD25,CD23)</f>
        <v>1871.6736487008002</v>
      </c>
      <c r="CE27" s="12"/>
      <c r="CF27" s="278">
        <f>BJ27/$BJ$142</f>
        <v>0.13875987519001753</v>
      </c>
    </row>
    <row r="28" spans="1:84" s="198" customFormat="1">
      <c r="A28" s="12"/>
      <c r="B28" s="279" t="s">
        <v>126</v>
      </c>
      <c r="C28" s="269"/>
      <c r="D28" s="269"/>
      <c r="E28" s="269"/>
      <c r="F28" s="269"/>
      <c r="G28" s="270"/>
      <c r="H28" s="269"/>
      <c r="I28" s="269"/>
      <c r="J28" s="269"/>
      <c r="K28" s="269"/>
      <c r="L28" s="270"/>
      <c r="M28" s="269"/>
      <c r="N28" s="269"/>
      <c r="O28" s="269"/>
      <c r="P28" s="269"/>
      <c r="Q28" s="270"/>
      <c r="R28" s="269"/>
      <c r="S28" s="269"/>
      <c r="T28" s="269"/>
      <c r="U28" s="269"/>
      <c r="V28" s="271"/>
      <c r="W28" s="272"/>
      <c r="X28" s="272"/>
      <c r="Y28" s="272"/>
      <c r="Z28" s="272"/>
      <c r="AA28" s="271"/>
      <c r="AB28" s="272"/>
      <c r="AC28" s="272"/>
      <c r="AD28" s="272"/>
      <c r="AE28" s="272"/>
      <c r="AF28" s="271"/>
      <c r="AG28" s="272"/>
      <c r="AH28" s="272"/>
      <c r="AI28" s="272"/>
      <c r="AJ28" s="272"/>
      <c r="AK28" s="271"/>
      <c r="AL28" s="272"/>
      <c r="AM28" s="272"/>
      <c r="AN28" s="272"/>
      <c r="AO28" s="272"/>
      <c r="AP28" s="273"/>
      <c r="AQ28" s="274"/>
      <c r="AR28" s="269"/>
      <c r="AS28" s="280"/>
      <c r="AT28" s="280"/>
      <c r="AU28" s="276"/>
      <c r="AV28" s="280"/>
      <c r="AW28" s="280"/>
      <c r="AX28" s="281">
        <f t="shared" ref="AX28:AY28" si="7">AX27/AS27-1</f>
        <v>0.32749391727493915</v>
      </c>
      <c r="AY28" s="281">
        <f t="shared" si="7"/>
        <v>0.70425361155698241</v>
      </c>
      <c r="AZ28" s="276"/>
      <c r="BA28" s="281">
        <f>BA27/AV27-1</f>
        <v>0.37836949375410933</v>
      </c>
      <c r="BB28" s="281">
        <f>BB27/AW27-1</f>
        <v>0.5481059336238685</v>
      </c>
      <c r="BC28" s="281">
        <f t="shared" ref="BC28:BD28" si="8">BC27/AX27-1</f>
        <v>0.70637829912023453</v>
      </c>
      <c r="BD28" s="281">
        <f t="shared" si="8"/>
        <v>-0.24746880150694606</v>
      </c>
      <c r="BE28" s="282">
        <f>BE27/AZ27-1</f>
        <v>0.28169230769230746</v>
      </c>
      <c r="BF28" s="281">
        <f t="shared" ref="BF28:BI28" si="9">BF27/BA27-1</f>
        <v>-0.31291438111137604</v>
      </c>
      <c r="BG28" s="281">
        <f t="shared" si="9"/>
        <v>-0.17444781290601996</v>
      </c>
      <c r="BH28" s="281">
        <f t="shared" si="9"/>
        <v>-9.7422126745435045E-2</v>
      </c>
      <c r="BI28" s="281">
        <f t="shared" si="9"/>
        <v>0.35250312891113889</v>
      </c>
      <c r="BJ28" s="282">
        <f>BJ27/BE27-1</f>
        <v>-8.6697275237066163E-2</v>
      </c>
      <c r="BK28" s="191"/>
      <c r="BL28" s="191"/>
      <c r="BM28" s="191"/>
      <c r="BN28" s="191"/>
      <c r="BO28" s="282">
        <f>BO27/BJ27-1</f>
        <v>4.9762016632221462E-2</v>
      </c>
      <c r="BP28" s="191"/>
      <c r="BQ28" s="191"/>
      <c r="BR28" s="191"/>
      <c r="BS28" s="191"/>
      <c r="BT28" s="282">
        <f>BT27/BO27-1</f>
        <v>3.7287209319285752E-2</v>
      </c>
      <c r="BU28" s="191"/>
      <c r="BV28" s="191"/>
      <c r="BW28" s="191"/>
      <c r="BX28" s="191"/>
      <c r="BY28" s="282">
        <f>BY27/BT27-1</f>
        <v>6.1001932739752851E-2</v>
      </c>
      <c r="BZ28" s="191"/>
      <c r="CA28" s="191"/>
      <c r="CB28" s="191"/>
      <c r="CC28" s="191"/>
      <c r="CD28" s="282">
        <f>CD27/BY27-1</f>
        <v>6.4589528545771824E-2</v>
      </c>
      <c r="CE28" s="12"/>
      <c r="CF28" s="229"/>
    </row>
    <row r="29" spans="1:84" s="198" customFormat="1">
      <c r="A29" s="12"/>
      <c r="B29" s="268"/>
      <c r="C29" s="269"/>
      <c r="D29" s="269"/>
      <c r="E29" s="269"/>
      <c r="F29" s="269"/>
      <c r="G29" s="270"/>
      <c r="H29" s="269"/>
      <c r="I29" s="269"/>
      <c r="J29" s="269"/>
      <c r="K29" s="269"/>
      <c r="L29" s="270"/>
      <c r="M29" s="269"/>
      <c r="N29" s="269"/>
      <c r="O29" s="269"/>
      <c r="P29" s="269"/>
      <c r="Q29" s="270"/>
      <c r="R29" s="269"/>
      <c r="S29" s="269"/>
      <c r="T29" s="269"/>
      <c r="U29" s="269"/>
      <c r="V29" s="271"/>
      <c r="W29" s="272"/>
      <c r="X29" s="272"/>
      <c r="Y29" s="272"/>
      <c r="Z29" s="272"/>
      <c r="AA29" s="271"/>
      <c r="AB29" s="272"/>
      <c r="AC29" s="272"/>
      <c r="AD29" s="272"/>
      <c r="AE29" s="272"/>
      <c r="AF29" s="271"/>
      <c r="AG29" s="272"/>
      <c r="AH29" s="272"/>
      <c r="AI29" s="272"/>
      <c r="AJ29" s="272"/>
      <c r="AK29" s="271"/>
      <c r="AL29" s="272"/>
      <c r="AM29" s="272"/>
      <c r="AN29" s="272"/>
      <c r="AO29" s="272"/>
      <c r="AP29" s="273"/>
      <c r="AQ29" s="274"/>
      <c r="AR29" s="269"/>
      <c r="AS29" s="280"/>
      <c r="AT29" s="280"/>
      <c r="AU29" s="276"/>
      <c r="AV29" s="280"/>
      <c r="AW29" s="280"/>
      <c r="AX29" s="280"/>
      <c r="AY29" s="280"/>
      <c r="AZ29" s="276"/>
      <c r="BA29" s="280"/>
      <c r="BB29" s="280"/>
      <c r="BC29" s="280"/>
      <c r="BD29" s="280"/>
      <c r="BE29" s="276"/>
      <c r="BF29" s="191"/>
      <c r="BG29" s="191"/>
      <c r="BH29" s="191"/>
      <c r="BI29" s="28"/>
      <c r="BJ29" s="276"/>
      <c r="BK29" s="191"/>
      <c r="BL29" s="191"/>
      <c r="BM29" s="191"/>
      <c r="BN29" s="191"/>
      <c r="BO29" s="276"/>
      <c r="BP29" s="191"/>
      <c r="BQ29" s="191"/>
      <c r="BR29" s="191"/>
      <c r="BS29" s="191"/>
      <c r="BT29" s="276"/>
      <c r="BU29" s="191"/>
      <c r="BV29" s="191"/>
      <c r="BW29" s="191"/>
      <c r="BX29" s="191"/>
      <c r="BY29" s="276"/>
      <c r="BZ29" s="191"/>
      <c r="CA29" s="191"/>
      <c r="CB29" s="191"/>
      <c r="CC29" s="191"/>
      <c r="CD29" s="276"/>
      <c r="CE29" s="12"/>
      <c r="CF29" s="229"/>
    </row>
    <row r="30" spans="1:84" s="198" customFormat="1" outlineLevel="1">
      <c r="A30" s="12"/>
      <c r="B30" s="230" t="s">
        <v>136</v>
      </c>
      <c r="C30" s="231"/>
      <c r="D30" s="231"/>
      <c r="E30" s="231"/>
      <c r="F30" s="231"/>
      <c r="G30" s="232"/>
      <c r="H30" s="231"/>
      <c r="I30" s="231"/>
      <c r="J30" s="231"/>
      <c r="K30" s="231"/>
      <c r="L30" s="232"/>
      <c r="M30" s="231"/>
      <c r="N30" s="231"/>
      <c r="O30" s="231"/>
      <c r="P30" s="231"/>
      <c r="Q30" s="232"/>
      <c r="R30" s="231"/>
      <c r="S30" s="231"/>
      <c r="T30" s="231"/>
      <c r="U30" s="231"/>
      <c r="V30" s="233"/>
      <c r="W30" s="234"/>
      <c r="X30" s="234"/>
      <c r="Y30" s="234"/>
      <c r="Z30" s="234"/>
      <c r="AA30" s="233"/>
      <c r="AB30" s="234"/>
      <c r="AC30" s="234"/>
      <c r="AD30" s="234"/>
      <c r="AE30" s="234"/>
      <c r="AF30" s="233"/>
      <c r="AG30" s="234"/>
      <c r="AH30" s="234"/>
      <c r="AI30" s="234"/>
      <c r="AJ30" s="234"/>
      <c r="AK30" s="233"/>
      <c r="AL30" s="234"/>
      <c r="AM30" s="234"/>
      <c r="AN30" s="234"/>
      <c r="AO30" s="234"/>
      <c r="AP30" s="233"/>
      <c r="AQ30" s="283"/>
      <c r="AR30" s="231"/>
      <c r="AS30" s="236"/>
      <c r="AT30" s="236"/>
      <c r="AU30" s="235"/>
      <c r="AV30" s="236"/>
      <c r="AW30" s="236"/>
      <c r="AX30" s="236"/>
      <c r="AY30" s="236"/>
      <c r="AZ30" s="235"/>
      <c r="BA30" s="236"/>
      <c r="BB30" s="236"/>
      <c r="BC30" s="236"/>
      <c r="BD30" s="236"/>
      <c r="BE30" s="235"/>
      <c r="BF30" s="237"/>
      <c r="BG30" s="237"/>
      <c r="BH30" s="237"/>
      <c r="BI30" s="237"/>
      <c r="BJ30" s="235"/>
      <c r="BK30" s="237"/>
      <c r="BL30" s="237"/>
      <c r="BM30" s="237"/>
      <c r="BN30" s="237"/>
      <c r="BO30" s="235"/>
      <c r="BP30" s="237"/>
      <c r="BQ30" s="237"/>
      <c r="BR30" s="237"/>
      <c r="BS30" s="237"/>
      <c r="BT30" s="235"/>
      <c r="BU30" s="237"/>
      <c r="BV30" s="237"/>
      <c r="BW30" s="237"/>
      <c r="BX30" s="237"/>
      <c r="BY30" s="235"/>
      <c r="BZ30" s="237"/>
      <c r="CA30" s="237"/>
      <c r="CB30" s="237"/>
      <c r="CC30" s="237"/>
      <c r="CD30" s="235"/>
      <c r="CE30" s="12"/>
      <c r="CF30" s="229"/>
    </row>
    <row r="31" spans="1:84" s="198" customFormat="1" outlineLevel="2">
      <c r="A31" s="12"/>
      <c r="B31" s="238" t="s">
        <v>137</v>
      </c>
      <c r="C31" s="231"/>
      <c r="D31" s="231"/>
      <c r="E31" s="231"/>
      <c r="F31" s="231"/>
      <c r="G31" s="232"/>
      <c r="H31" s="231"/>
      <c r="I31" s="231"/>
      <c r="J31" s="231"/>
      <c r="K31" s="231"/>
      <c r="L31" s="232"/>
      <c r="M31" s="231"/>
      <c r="N31" s="231"/>
      <c r="O31" s="231"/>
      <c r="P31" s="231"/>
      <c r="Q31" s="232"/>
      <c r="R31" s="231"/>
      <c r="S31" s="231"/>
      <c r="T31" s="231"/>
      <c r="U31" s="231"/>
      <c r="V31" s="233"/>
      <c r="W31" s="234"/>
      <c r="X31" s="234"/>
      <c r="Y31" s="234"/>
      <c r="Z31" s="234"/>
      <c r="AA31" s="233"/>
      <c r="AB31" s="234"/>
      <c r="AC31" s="234"/>
      <c r="AD31" s="234"/>
      <c r="AE31" s="234"/>
      <c r="AF31" s="233"/>
      <c r="AG31" s="234"/>
      <c r="AH31" s="234"/>
      <c r="AI31" s="234"/>
      <c r="AJ31" s="234"/>
      <c r="AK31" s="233"/>
      <c r="AL31" s="234"/>
      <c r="AM31" s="234"/>
      <c r="AN31" s="234"/>
      <c r="AO31" s="234"/>
      <c r="AP31" s="233"/>
      <c r="AQ31" s="283"/>
      <c r="AR31" s="231"/>
      <c r="AS31" s="236"/>
      <c r="AT31" s="236"/>
      <c r="AU31" s="235"/>
      <c r="AV31" s="236">
        <v>60</v>
      </c>
      <c r="AW31" s="236">
        <v>66</v>
      </c>
      <c r="AX31" s="236">
        <v>62</v>
      </c>
      <c r="AY31" s="236">
        <v>62</v>
      </c>
      <c r="AZ31" s="235">
        <f>SUM(AV31:AY31)</f>
        <v>250</v>
      </c>
      <c r="BA31" s="236">
        <v>60</v>
      </c>
      <c r="BB31" s="236">
        <v>59</v>
      </c>
      <c r="BC31" s="239">
        <v>57</v>
      </c>
      <c r="BD31" s="239">
        <v>61</v>
      </c>
      <c r="BE31" s="235">
        <f>SUM(BA31:BD31)</f>
        <v>237</v>
      </c>
      <c r="BF31" s="240">
        <v>57</v>
      </c>
      <c r="BG31" s="240">
        <v>57</v>
      </c>
      <c r="BH31" s="240">
        <v>57</v>
      </c>
      <c r="BI31" s="240">
        <v>57</v>
      </c>
      <c r="BJ31" s="235">
        <f>SUM(BF31:BI31)</f>
        <v>228</v>
      </c>
      <c r="BK31" s="241"/>
      <c r="BL31" s="241"/>
      <c r="BM31" s="241"/>
      <c r="BN31" s="241"/>
      <c r="BO31" s="235">
        <f>BJ31*(1+BO32)</f>
        <v>218.88</v>
      </c>
      <c r="BP31" s="241"/>
      <c r="BQ31" s="241"/>
      <c r="BR31" s="241"/>
      <c r="BS31" s="241"/>
      <c r="BT31" s="235">
        <f>BO31*(1+BT32)</f>
        <v>210.12479999999999</v>
      </c>
      <c r="BU31" s="241"/>
      <c r="BV31" s="241"/>
      <c r="BW31" s="241"/>
      <c r="BX31" s="241"/>
      <c r="BY31" s="235">
        <f>BT31*(1+BY32)</f>
        <v>201.71980799999997</v>
      </c>
      <c r="BZ31" s="241"/>
      <c r="CA31" s="241"/>
      <c r="CB31" s="241"/>
      <c r="CC31" s="241"/>
      <c r="CD31" s="235">
        <f>BY31*(1+CD32)</f>
        <v>193.65101567999997</v>
      </c>
      <c r="CE31" s="12"/>
      <c r="CF31" s="229"/>
    </row>
    <row r="32" spans="1:84" s="198" customFormat="1" outlineLevel="2">
      <c r="A32" s="12"/>
      <c r="B32" s="245" t="s">
        <v>126</v>
      </c>
      <c r="C32" s="231"/>
      <c r="D32" s="231"/>
      <c r="E32" s="231"/>
      <c r="F32" s="231"/>
      <c r="G32" s="232"/>
      <c r="H32" s="231"/>
      <c r="I32" s="231"/>
      <c r="J32" s="231"/>
      <c r="K32" s="231"/>
      <c r="L32" s="232"/>
      <c r="M32" s="231"/>
      <c r="N32" s="231"/>
      <c r="O32" s="231"/>
      <c r="P32" s="231"/>
      <c r="Q32" s="232"/>
      <c r="R32" s="231"/>
      <c r="S32" s="231"/>
      <c r="T32" s="231"/>
      <c r="U32" s="231"/>
      <c r="V32" s="233"/>
      <c r="W32" s="234"/>
      <c r="X32" s="234"/>
      <c r="Y32" s="234"/>
      <c r="Z32" s="234"/>
      <c r="AA32" s="233"/>
      <c r="AB32" s="234"/>
      <c r="AC32" s="234"/>
      <c r="AD32" s="234"/>
      <c r="AE32" s="234"/>
      <c r="AF32" s="233"/>
      <c r="AG32" s="234"/>
      <c r="AH32" s="234"/>
      <c r="AI32" s="234"/>
      <c r="AJ32" s="234"/>
      <c r="AK32" s="233"/>
      <c r="AL32" s="234"/>
      <c r="AM32" s="234"/>
      <c r="AN32" s="234"/>
      <c r="AO32" s="234"/>
      <c r="AP32" s="233"/>
      <c r="AQ32" s="283"/>
      <c r="AR32" s="231"/>
      <c r="AS32" s="236"/>
      <c r="AT32" s="236"/>
      <c r="AU32" s="235"/>
      <c r="AV32" s="236"/>
      <c r="AW32" s="236"/>
      <c r="AX32" s="236"/>
      <c r="AY32" s="236"/>
      <c r="AZ32" s="235"/>
      <c r="BA32" s="284">
        <f>BA31/AV31-1</f>
        <v>0</v>
      </c>
      <c r="BB32" s="284">
        <f>BB31/AW31-1</f>
        <v>-0.10606060606060608</v>
      </c>
      <c r="BC32" s="247">
        <f t="shared" ref="BC32:BJ36" si="10">BC31/AX31-1</f>
        <v>-8.064516129032262E-2</v>
      </c>
      <c r="BD32" s="247">
        <f t="shared" si="10"/>
        <v>-1.6129032258064502E-2</v>
      </c>
      <c r="BE32" s="246">
        <f t="shared" si="10"/>
        <v>-5.2000000000000046E-2</v>
      </c>
      <c r="BF32" s="247">
        <f t="shared" si="10"/>
        <v>-5.0000000000000044E-2</v>
      </c>
      <c r="BG32" s="247">
        <f t="shared" si="10"/>
        <v>-3.3898305084745783E-2</v>
      </c>
      <c r="BH32" s="247">
        <f t="shared" si="10"/>
        <v>0</v>
      </c>
      <c r="BI32" s="247">
        <f t="shared" si="10"/>
        <v>-6.557377049180324E-2</v>
      </c>
      <c r="BJ32" s="246">
        <f t="shared" si="10"/>
        <v>-3.7974683544303778E-2</v>
      </c>
      <c r="BK32" s="237"/>
      <c r="BL32" s="237"/>
      <c r="BM32" s="237"/>
      <c r="BN32" s="237"/>
      <c r="BO32" s="248">
        <v>-0.04</v>
      </c>
      <c r="BP32" s="237"/>
      <c r="BQ32" s="237"/>
      <c r="BR32" s="237"/>
      <c r="BS32" s="237"/>
      <c r="BT32" s="248">
        <v>-0.04</v>
      </c>
      <c r="BU32" s="237"/>
      <c r="BV32" s="237"/>
      <c r="BW32" s="237"/>
      <c r="BX32" s="237"/>
      <c r="BY32" s="248">
        <v>-0.04</v>
      </c>
      <c r="BZ32" s="237"/>
      <c r="CA32" s="237"/>
      <c r="CB32" s="237"/>
      <c r="CC32" s="237"/>
      <c r="CD32" s="248">
        <v>-0.04</v>
      </c>
      <c r="CE32" s="12"/>
      <c r="CF32" s="229"/>
    </row>
    <row r="33" spans="1:84" s="198" customFormat="1" outlineLevel="2">
      <c r="A33" s="12"/>
      <c r="B33" s="238" t="s">
        <v>138</v>
      </c>
      <c r="C33" s="231"/>
      <c r="D33" s="231"/>
      <c r="E33" s="231"/>
      <c r="F33" s="231"/>
      <c r="G33" s="232"/>
      <c r="H33" s="231"/>
      <c r="I33" s="231"/>
      <c r="J33" s="231"/>
      <c r="K33" s="231"/>
      <c r="L33" s="232"/>
      <c r="M33" s="231"/>
      <c r="N33" s="231"/>
      <c r="O33" s="231"/>
      <c r="P33" s="231"/>
      <c r="Q33" s="232"/>
      <c r="R33" s="231"/>
      <c r="S33" s="231"/>
      <c r="T33" s="231"/>
      <c r="U33" s="231"/>
      <c r="V33" s="233"/>
      <c r="W33" s="234"/>
      <c r="X33" s="234"/>
      <c r="Y33" s="234"/>
      <c r="Z33" s="234"/>
      <c r="AA33" s="233"/>
      <c r="AB33" s="234"/>
      <c r="AC33" s="234"/>
      <c r="AD33" s="234"/>
      <c r="AE33" s="234"/>
      <c r="AF33" s="233"/>
      <c r="AG33" s="234"/>
      <c r="AH33" s="234"/>
      <c r="AI33" s="234"/>
      <c r="AJ33" s="234"/>
      <c r="AK33" s="233"/>
      <c r="AL33" s="234"/>
      <c r="AM33" s="234"/>
      <c r="AN33" s="234"/>
      <c r="AO33" s="234"/>
      <c r="AP33" s="233"/>
      <c r="AQ33" s="283"/>
      <c r="AR33" s="231"/>
      <c r="AS33" s="236"/>
      <c r="AT33" s="236"/>
      <c r="AU33" s="235"/>
      <c r="AV33" s="236">
        <v>55</v>
      </c>
      <c r="AW33" s="236">
        <v>49</v>
      </c>
      <c r="AX33" s="236">
        <v>41</v>
      </c>
      <c r="AY33" s="236">
        <v>46</v>
      </c>
      <c r="AZ33" s="235">
        <f>SUM(AV33:AY33)</f>
        <v>191</v>
      </c>
      <c r="BA33" s="236">
        <v>42</v>
      </c>
      <c r="BB33" s="236">
        <v>46</v>
      </c>
      <c r="BC33" s="239">
        <v>54</v>
      </c>
      <c r="BD33" s="239">
        <v>54</v>
      </c>
      <c r="BE33" s="235">
        <f>SUM(BA33:BD33)</f>
        <v>196</v>
      </c>
      <c r="BF33" s="240">
        <v>45</v>
      </c>
      <c r="BG33" s="240">
        <v>50</v>
      </c>
      <c r="BH33" s="240">
        <v>55</v>
      </c>
      <c r="BI33" s="240">
        <v>55</v>
      </c>
      <c r="BJ33" s="235">
        <f>SUM(BF33:BI33)</f>
        <v>205</v>
      </c>
      <c r="BK33" s="241"/>
      <c r="BL33" s="241"/>
      <c r="BM33" s="241"/>
      <c r="BN33" s="241"/>
      <c r="BO33" s="235">
        <f>BJ33*(1+BO34)</f>
        <v>211.15</v>
      </c>
      <c r="BP33" s="241"/>
      <c r="BQ33" s="241"/>
      <c r="BR33" s="241"/>
      <c r="BS33" s="241"/>
      <c r="BT33" s="235">
        <f>BO33*(1+BT34)</f>
        <v>211.15</v>
      </c>
      <c r="BU33" s="241"/>
      <c r="BV33" s="241"/>
      <c r="BW33" s="241"/>
      <c r="BX33" s="241"/>
      <c r="BY33" s="235">
        <f>BT33*(1+BY34)</f>
        <v>211.15</v>
      </c>
      <c r="BZ33" s="241"/>
      <c r="CA33" s="241"/>
      <c r="CB33" s="241"/>
      <c r="CC33" s="241"/>
      <c r="CD33" s="235">
        <f>BY33*(1+CD34)</f>
        <v>211.15</v>
      </c>
      <c r="CE33" s="12"/>
      <c r="CF33" s="229"/>
    </row>
    <row r="34" spans="1:84" s="198" customFormat="1" outlineLevel="2">
      <c r="A34" s="12"/>
      <c r="B34" s="245" t="s">
        <v>126</v>
      </c>
      <c r="C34" s="231"/>
      <c r="D34" s="231"/>
      <c r="E34" s="231"/>
      <c r="F34" s="231"/>
      <c r="G34" s="232"/>
      <c r="H34" s="231"/>
      <c r="I34" s="231"/>
      <c r="J34" s="231"/>
      <c r="K34" s="231"/>
      <c r="L34" s="232"/>
      <c r="M34" s="231"/>
      <c r="N34" s="231"/>
      <c r="O34" s="231"/>
      <c r="P34" s="231"/>
      <c r="Q34" s="232"/>
      <c r="R34" s="231"/>
      <c r="S34" s="231"/>
      <c r="T34" s="231"/>
      <c r="U34" s="231"/>
      <c r="V34" s="233"/>
      <c r="W34" s="234"/>
      <c r="X34" s="234"/>
      <c r="Y34" s="234"/>
      <c r="Z34" s="234"/>
      <c r="AA34" s="233"/>
      <c r="AB34" s="234"/>
      <c r="AC34" s="234"/>
      <c r="AD34" s="234"/>
      <c r="AE34" s="234"/>
      <c r="AF34" s="233"/>
      <c r="AG34" s="234"/>
      <c r="AH34" s="234"/>
      <c r="AI34" s="234"/>
      <c r="AJ34" s="234"/>
      <c r="AK34" s="233"/>
      <c r="AL34" s="234"/>
      <c r="AM34" s="234"/>
      <c r="AN34" s="234"/>
      <c r="AO34" s="234"/>
      <c r="AP34" s="233"/>
      <c r="AQ34" s="283"/>
      <c r="AR34" s="231"/>
      <c r="AS34" s="236"/>
      <c r="AT34" s="236"/>
      <c r="AU34" s="235"/>
      <c r="AV34" s="236"/>
      <c r="AW34" s="236"/>
      <c r="AX34" s="236"/>
      <c r="AY34" s="236"/>
      <c r="AZ34" s="235"/>
      <c r="BA34" s="284">
        <f>BA33/AV33-1</f>
        <v>-0.23636363636363633</v>
      </c>
      <c r="BB34" s="284">
        <f>BB33/AW33-1</f>
        <v>-6.1224489795918324E-2</v>
      </c>
      <c r="BC34" s="247">
        <f t="shared" ref="BC34:BI34" si="11">BC33/AX33-1</f>
        <v>0.31707317073170738</v>
      </c>
      <c r="BD34" s="247">
        <f t="shared" si="11"/>
        <v>0.17391304347826098</v>
      </c>
      <c r="BE34" s="246">
        <f t="shared" si="11"/>
        <v>2.6178010471204161E-2</v>
      </c>
      <c r="BF34" s="247">
        <f t="shared" si="11"/>
        <v>7.1428571428571397E-2</v>
      </c>
      <c r="BG34" s="247">
        <f t="shared" si="11"/>
        <v>8.6956521739130377E-2</v>
      </c>
      <c r="BH34" s="247">
        <f t="shared" si="11"/>
        <v>1.8518518518518601E-2</v>
      </c>
      <c r="BI34" s="247">
        <f t="shared" si="11"/>
        <v>1.8518518518518601E-2</v>
      </c>
      <c r="BJ34" s="246">
        <f t="shared" si="10"/>
        <v>4.5918367346938771E-2</v>
      </c>
      <c r="BK34" s="237"/>
      <c r="BL34" s="237"/>
      <c r="BM34" s="237"/>
      <c r="BN34" s="237"/>
      <c r="BO34" s="248">
        <v>0.03</v>
      </c>
      <c r="BP34" s="237"/>
      <c r="BQ34" s="237"/>
      <c r="BR34" s="237"/>
      <c r="BS34" s="237"/>
      <c r="BT34" s="248">
        <v>0</v>
      </c>
      <c r="BU34" s="237"/>
      <c r="BV34" s="237"/>
      <c r="BW34" s="237"/>
      <c r="BX34" s="237"/>
      <c r="BY34" s="248">
        <v>0</v>
      </c>
      <c r="BZ34" s="237"/>
      <c r="CA34" s="237"/>
      <c r="CB34" s="237"/>
      <c r="CC34" s="237"/>
      <c r="CD34" s="248">
        <v>0</v>
      </c>
      <c r="CE34" s="12"/>
      <c r="CF34" s="229"/>
    </row>
    <row r="35" spans="1:84" s="198" customFormat="1" outlineLevel="2">
      <c r="A35" s="12"/>
      <c r="B35" s="238" t="s">
        <v>139</v>
      </c>
      <c r="C35" s="231"/>
      <c r="D35" s="231"/>
      <c r="E35" s="231"/>
      <c r="F35" s="231"/>
      <c r="G35" s="232"/>
      <c r="H35" s="231"/>
      <c r="I35" s="231"/>
      <c r="J35" s="231"/>
      <c r="K35" s="231"/>
      <c r="L35" s="232"/>
      <c r="M35" s="231"/>
      <c r="N35" s="231"/>
      <c r="O35" s="231"/>
      <c r="P35" s="231"/>
      <c r="Q35" s="232"/>
      <c r="R35" s="231"/>
      <c r="S35" s="231"/>
      <c r="T35" s="231"/>
      <c r="U35" s="231"/>
      <c r="V35" s="233"/>
      <c r="W35" s="234"/>
      <c r="X35" s="234"/>
      <c r="Y35" s="234"/>
      <c r="Z35" s="234"/>
      <c r="AA35" s="233"/>
      <c r="AB35" s="234"/>
      <c r="AC35" s="234"/>
      <c r="AD35" s="234"/>
      <c r="AE35" s="234"/>
      <c r="AF35" s="233"/>
      <c r="AG35" s="234"/>
      <c r="AH35" s="234"/>
      <c r="AI35" s="234"/>
      <c r="AJ35" s="234"/>
      <c r="AK35" s="233"/>
      <c r="AL35" s="234"/>
      <c r="AM35" s="234"/>
      <c r="AN35" s="234"/>
      <c r="AO35" s="234"/>
      <c r="AP35" s="233"/>
      <c r="AQ35" s="283"/>
      <c r="AR35" s="231"/>
      <c r="AS35" s="236"/>
      <c r="AT35" s="236"/>
      <c r="AU35" s="235"/>
      <c r="AV35" s="236">
        <v>22</v>
      </c>
      <c r="AW35" s="236">
        <v>26</v>
      </c>
      <c r="AX35" s="236">
        <v>20</v>
      </c>
      <c r="AY35" s="236">
        <v>27</v>
      </c>
      <c r="AZ35" s="235">
        <f>SUM(AV35:AY35)</f>
        <v>95</v>
      </c>
      <c r="BA35" s="236">
        <v>30</v>
      </c>
      <c r="BB35" s="236">
        <v>30</v>
      </c>
      <c r="BC35" s="239">
        <v>26</v>
      </c>
      <c r="BD35" s="239">
        <v>39</v>
      </c>
      <c r="BE35" s="235">
        <f>SUM(BA35:BD35)</f>
        <v>125</v>
      </c>
      <c r="BF35" s="240">
        <v>34</v>
      </c>
      <c r="BG35" s="240">
        <v>34</v>
      </c>
      <c r="BH35" s="240">
        <v>30</v>
      </c>
      <c r="BI35" s="240">
        <v>40</v>
      </c>
      <c r="BJ35" s="235">
        <f>SUM(BF35:BI35)</f>
        <v>138</v>
      </c>
      <c r="BK35" s="241"/>
      <c r="BL35" s="241"/>
      <c r="BM35" s="241"/>
      <c r="BN35" s="241"/>
      <c r="BO35" s="235">
        <f>BJ35*(1+BO36)</f>
        <v>146.28</v>
      </c>
      <c r="BP35" s="241"/>
      <c r="BQ35" s="241"/>
      <c r="BR35" s="241"/>
      <c r="BS35" s="241"/>
      <c r="BT35" s="235">
        <f>BO35*(1+BT36)</f>
        <v>153.59399999999999</v>
      </c>
      <c r="BU35" s="241"/>
      <c r="BV35" s="241"/>
      <c r="BW35" s="241"/>
      <c r="BX35" s="241"/>
      <c r="BY35" s="235">
        <f>BT35*(1+BY36)</f>
        <v>159.73776000000001</v>
      </c>
      <c r="BZ35" s="241"/>
      <c r="CA35" s="241"/>
      <c r="CB35" s="241"/>
      <c r="CC35" s="241"/>
      <c r="CD35" s="235">
        <f>BY35*(1+CD36)</f>
        <v>164.5298928</v>
      </c>
      <c r="CE35" s="12"/>
      <c r="CF35" s="229"/>
    </row>
    <row r="36" spans="1:84" s="198" customFormat="1" outlineLevel="2">
      <c r="A36" s="12"/>
      <c r="B36" s="245" t="s">
        <v>126</v>
      </c>
      <c r="C36" s="231"/>
      <c r="D36" s="231"/>
      <c r="E36" s="231"/>
      <c r="F36" s="231"/>
      <c r="G36" s="232"/>
      <c r="H36" s="231"/>
      <c r="I36" s="231"/>
      <c r="J36" s="231"/>
      <c r="K36" s="231"/>
      <c r="L36" s="232"/>
      <c r="M36" s="231"/>
      <c r="N36" s="231"/>
      <c r="O36" s="231"/>
      <c r="P36" s="231"/>
      <c r="Q36" s="232"/>
      <c r="R36" s="231"/>
      <c r="S36" s="231"/>
      <c r="T36" s="231"/>
      <c r="U36" s="231"/>
      <c r="V36" s="233"/>
      <c r="W36" s="234"/>
      <c r="X36" s="234"/>
      <c r="Y36" s="234"/>
      <c r="Z36" s="234"/>
      <c r="AA36" s="233"/>
      <c r="AB36" s="234"/>
      <c r="AC36" s="234"/>
      <c r="AD36" s="234"/>
      <c r="AE36" s="234"/>
      <c r="AF36" s="233"/>
      <c r="AG36" s="234"/>
      <c r="AH36" s="234"/>
      <c r="AI36" s="234"/>
      <c r="AJ36" s="234"/>
      <c r="AK36" s="233"/>
      <c r="AL36" s="234"/>
      <c r="AM36" s="234"/>
      <c r="AN36" s="234"/>
      <c r="AO36" s="234"/>
      <c r="AP36" s="233"/>
      <c r="AQ36" s="283"/>
      <c r="AR36" s="231"/>
      <c r="AS36" s="236"/>
      <c r="AT36" s="236"/>
      <c r="AU36" s="235"/>
      <c r="AV36" s="236"/>
      <c r="AW36" s="236"/>
      <c r="AX36" s="236"/>
      <c r="AY36" s="236"/>
      <c r="AZ36" s="235"/>
      <c r="BA36" s="284">
        <f>BA35/AV35-1</f>
        <v>0.36363636363636354</v>
      </c>
      <c r="BB36" s="284">
        <f>BB35/AW35-1</f>
        <v>0.15384615384615374</v>
      </c>
      <c r="BC36" s="247">
        <f>BC35/AX35-1</f>
        <v>0.30000000000000004</v>
      </c>
      <c r="BD36" s="247">
        <f>BD35/AY35-1</f>
        <v>0.44444444444444442</v>
      </c>
      <c r="BE36" s="246">
        <f t="shared" ref="BE36:BI36" si="12">BE35/AZ35-1</f>
        <v>0.31578947368421062</v>
      </c>
      <c r="BF36" s="247">
        <f t="shared" si="12"/>
        <v>0.1333333333333333</v>
      </c>
      <c r="BG36" s="247">
        <f t="shared" si="12"/>
        <v>0.1333333333333333</v>
      </c>
      <c r="BH36" s="247">
        <f t="shared" si="12"/>
        <v>0.15384615384615374</v>
      </c>
      <c r="BI36" s="247">
        <f t="shared" si="12"/>
        <v>2.564102564102555E-2</v>
      </c>
      <c r="BJ36" s="246">
        <f t="shared" si="10"/>
        <v>0.10400000000000009</v>
      </c>
      <c r="BK36" s="237"/>
      <c r="BL36" s="237"/>
      <c r="BM36" s="237"/>
      <c r="BN36" s="237"/>
      <c r="BO36" s="248">
        <v>0.06</v>
      </c>
      <c r="BP36" s="237"/>
      <c r="BQ36" s="237"/>
      <c r="BR36" s="237"/>
      <c r="BS36" s="237"/>
      <c r="BT36" s="248">
        <v>0.05</v>
      </c>
      <c r="BU36" s="237"/>
      <c r="BV36" s="237"/>
      <c r="BW36" s="237"/>
      <c r="BX36" s="237"/>
      <c r="BY36" s="248">
        <v>0.04</v>
      </c>
      <c r="BZ36" s="237"/>
      <c r="CA36" s="237"/>
      <c r="CB36" s="237"/>
      <c r="CC36" s="237"/>
      <c r="CD36" s="248">
        <v>0.03</v>
      </c>
      <c r="CE36" s="12"/>
      <c r="CF36" s="229"/>
    </row>
    <row r="37" spans="1:84" s="198" customFormat="1" outlineLevel="2">
      <c r="A37" s="12"/>
      <c r="B37" s="238" t="s">
        <v>140</v>
      </c>
      <c r="C37" s="231"/>
      <c r="D37" s="231"/>
      <c r="E37" s="231"/>
      <c r="F37" s="231"/>
      <c r="G37" s="232"/>
      <c r="H37" s="231"/>
      <c r="I37" s="231"/>
      <c r="J37" s="231"/>
      <c r="K37" s="231"/>
      <c r="L37" s="232"/>
      <c r="M37" s="231"/>
      <c r="N37" s="231"/>
      <c r="O37" s="231"/>
      <c r="P37" s="231"/>
      <c r="Q37" s="232"/>
      <c r="R37" s="231"/>
      <c r="S37" s="231"/>
      <c r="T37" s="231"/>
      <c r="U37" s="231"/>
      <c r="V37" s="233"/>
      <c r="W37" s="234"/>
      <c r="X37" s="234"/>
      <c r="Y37" s="234"/>
      <c r="Z37" s="234"/>
      <c r="AA37" s="233"/>
      <c r="AB37" s="234"/>
      <c r="AC37" s="234"/>
      <c r="AD37" s="234"/>
      <c r="AE37" s="234"/>
      <c r="AF37" s="233"/>
      <c r="AG37" s="234"/>
      <c r="AH37" s="234"/>
      <c r="AI37" s="234"/>
      <c r="AJ37" s="234"/>
      <c r="AK37" s="233"/>
      <c r="AL37" s="234"/>
      <c r="AM37" s="234"/>
      <c r="AN37" s="234"/>
      <c r="AO37" s="234"/>
      <c r="AP37" s="233"/>
      <c r="AQ37" s="283"/>
      <c r="AR37" s="231"/>
      <c r="AS37" s="236"/>
      <c r="AT37" s="236"/>
      <c r="AU37" s="235"/>
      <c r="AV37" s="236">
        <v>24</v>
      </c>
      <c r="AW37" s="236">
        <v>27</v>
      </c>
      <c r="AX37" s="236">
        <v>26</v>
      </c>
      <c r="AY37" s="236">
        <v>25</v>
      </c>
      <c r="AZ37" s="235">
        <f>SUM(AV37:AY37)</f>
        <v>102</v>
      </c>
      <c r="BA37" s="236">
        <v>28</v>
      </c>
      <c r="BB37" s="236">
        <v>29</v>
      </c>
      <c r="BC37" s="239">
        <v>31</v>
      </c>
      <c r="BD37" s="239">
        <v>28</v>
      </c>
      <c r="BE37" s="235">
        <f>SUM(BA37:BD37)</f>
        <v>116</v>
      </c>
      <c r="BF37" s="240">
        <v>28</v>
      </c>
      <c r="BG37" s="240">
        <v>32</v>
      </c>
      <c r="BH37" s="240">
        <v>34</v>
      </c>
      <c r="BI37" s="240">
        <v>33</v>
      </c>
      <c r="BJ37" s="235">
        <f>SUM(BF37:BI37)</f>
        <v>127</v>
      </c>
      <c r="BK37" s="241"/>
      <c r="BL37" s="241"/>
      <c r="BM37" s="241"/>
      <c r="BN37" s="241"/>
      <c r="BO37" s="235">
        <f>BJ37*(1+BO38)</f>
        <v>137.16</v>
      </c>
      <c r="BP37" s="241"/>
      <c r="BQ37" s="241"/>
      <c r="BR37" s="241"/>
      <c r="BS37" s="241"/>
      <c r="BT37" s="235">
        <f>BO37*(1+BT38)</f>
        <v>145.3896</v>
      </c>
      <c r="BU37" s="241"/>
      <c r="BV37" s="241"/>
      <c r="BW37" s="241"/>
      <c r="BX37" s="241"/>
      <c r="BY37" s="235">
        <f>BT37*(1+BY38)</f>
        <v>152.65908000000002</v>
      </c>
      <c r="BZ37" s="241"/>
      <c r="CA37" s="241"/>
      <c r="CB37" s="241"/>
      <c r="CC37" s="241"/>
      <c r="CD37" s="235">
        <f>BY37*(1+CD38)</f>
        <v>158.76544320000002</v>
      </c>
      <c r="CE37" s="12"/>
      <c r="CF37" s="229"/>
    </row>
    <row r="38" spans="1:84" s="285" customFormat="1" outlineLevel="2">
      <c r="B38" s="245" t="s">
        <v>126</v>
      </c>
      <c r="C38" s="236"/>
      <c r="D38" s="236"/>
      <c r="E38" s="236"/>
      <c r="F38" s="236"/>
      <c r="G38" s="235"/>
      <c r="H38" s="236"/>
      <c r="I38" s="236"/>
      <c r="J38" s="236"/>
      <c r="K38" s="236"/>
      <c r="L38" s="235"/>
      <c r="M38" s="236"/>
      <c r="N38" s="236"/>
      <c r="O38" s="236"/>
      <c r="P38" s="236"/>
      <c r="Q38" s="235"/>
      <c r="R38" s="236"/>
      <c r="S38" s="236"/>
      <c r="T38" s="236"/>
      <c r="U38" s="236"/>
      <c r="V38" s="235"/>
      <c r="W38" s="236"/>
      <c r="X38" s="236"/>
      <c r="Y38" s="236"/>
      <c r="Z38" s="236"/>
      <c r="AA38" s="235"/>
      <c r="AB38" s="236"/>
      <c r="AC38" s="236"/>
      <c r="AD38" s="236"/>
      <c r="AE38" s="236"/>
      <c r="AF38" s="235"/>
      <c r="AG38" s="236"/>
      <c r="AH38" s="236"/>
      <c r="AI38" s="236"/>
      <c r="AJ38" s="286"/>
      <c r="AK38" s="235"/>
      <c r="AL38" s="287"/>
      <c r="AM38" s="239"/>
      <c r="AN38" s="288"/>
      <c r="AO38" s="240"/>
      <c r="AP38" s="235"/>
      <c r="AQ38" s="289"/>
      <c r="AR38" s="236"/>
      <c r="AS38" s="236"/>
      <c r="AT38" s="236"/>
      <c r="AU38" s="235"/>
      <c r="AV38" s="236"/>
      <c r="AW38" s="236"/>
      <c r="AX38" s="236"/>
      <c r="AY38" s="236"/>
      <c r="AZ38" s="235"/>
      <c r="BA38" s="284">
        <f>BA37/AV37-1</f>
        <v>0.16666666666666674</v>
      </c>
      <c r="BB38" s="284">
        <f>BB37/AW37-1</f>
        <v>7.4074074074074181E-2</v>
      </c>
      <c r="BC38" s="247">
        <f>BC37/AX37-1</f>
        <v>0.19230769230769229</v>
      </c>
      <c r="BD38" s="247">
        <f>BD37/AY37-1</f>
        <v>0.12000000000000011</v>
      </c>
      <c r="BE38" s="246">
        <f t="shared" ref="BE38:BJ42" si="13">BE37/AZ37-1</f>
        <v>0.13725490196078427</v>
      </c>
      <c r="BF38" s="247">
        <f t="shared" si="13"/>
        <v>0</v>
      </c>
      <c r="BG38" s="247">
        <f t="shared" si="13"/>
        <v>0.10344827586206895</v>
      </c>
      <c r="BH38" s="247">
        <f t="shared" si="13"/>
        <v>9.6774193548387011E-2</v>
      </c>
      <c r="BI38" s="247">
        <f t="shared" si="13"/>
        <v>0.1785714285714286</v>
      </c>
      <c r="BJ38" s="246">
        <f t="shared" si="13"/>
        <v>9.4827586206896575E-2</v>
      </c>
      <c r="BK38" s="237"/>
      <c r="BL38" s="237"/>
      <c r="BM38" s="237"/>
      <c r="BN38" s="237"/>
      <c r="BO38" s="248">
        <v>0.08</v>
      </c>
      <c r="BP38" s="237"/>
      <c r="BQ38" s="237"/>
      <c r="BR38" s="237"/>
      <c r="BS38" s="237"/>
      <c r="BT38" s="248">
        <v>0.06</v>
      </c>
      <c r="BU38" s="237"/>
      <c r="BV38" s="237"/>
      <c r="BW38" s="237"/>
      <c r="BX38" s="237"/>
      <c r="BY38" s="248">
        <v>0.05</v>
      </c>
      <c r="BZ38" s="237"/>
      <c r="CA38" s="237"/>
      <c r="CB38" s="237"/>
      <c r="CC38" s="237"/>
      <c r="CD38" s="248">
        <v>0.04</v>
      </c>
      <c r="CF38" s="229"/>
    </row>
    <row r="39" spans="1:84" s="252" customFormat="1" outlineLevel="2">
      <c r="B39" s="238" t="s">
        <v>141</v>
      </c>
      <c r="C39" s="253"/>
      <c r="D39" s="254"/>
      <c r="E39" s="254"/>
      <c r="F39" s="254"/>
      <c r="G39" s="255"/>
      <c r="H39" s="254"/>
      <c r="I39" s="254"/>
      <c r="J39" s="254"/>
      <c r="K39" s="254"/>
      <c r="L39" s="255"/>
      <c r="M39" s="254"/>
      <c r="N39" s="254"/>
      <c r="O39" s="254"/>
      <c r="P39" s="254"/>
      <c r="Q39" s="255"/>
      <c r="R39" s="254"/>
      <c r="S39" s="254"/>
      <c r="T39" s="254"/>
      <c r="U39" s="254"/>
      <c r="V39" s="255"/>
      <c r="W39" s="256"/>
      <c r="X39" s="257"/>
      <c r="Y39" s="257"/>
      <c r="Z39" s="257"/>
      <c r="AA39" s="258"/>
      <c r="AB39" s="256"/>
      <c r="AC39" s="256"/>
      <c r="AD39" s="256"/>
      <c r="AE39" s="256"/>
      <c r="AF39" s="258"/>
      <c r="AG39" s="256"/>
      <c r="AH39" s="256"/>
      <c r="AI39" s="256"/>
      <c r="AJ39" s="256"/>
      <c r="AK39" s="258"/>
      <c r="AL39" s="257"/>
      <c r="AM39" s="257"/>
      <c r="AN39" s="257"/>
      <c r="AO39" s="257"/>
      <c r="AP39" s="258"/>
      <c r="AQ39" s="290"/>
      <c r="AR39" s="257"/>
      <c r="AS39" s="240"/>
      <c r="AT39" s="240"/>
      <c r="AU39" s="235"/>
      <c r="AV39" s="240"/>
      <c r="AW39" s="240"/>
      <c r="AX39" s="240"/>
      <c r="AY39" s="240"/>
      <c r="AZ39" s="235"/>
      <c r="BA39" s="240"/>
      <c r="BB39" s="240"/>
      <c r="BC39" s="240"/>
      <c r="BD39" s="240"/>
      <c r="BE39" s="235"/>
      <c r="BF39" s="240"/>
      <c r="BG39" s="240">
        <v>0</v>
      </c>
      <c r="BH39" s="240">
        <v>5</v>
      </c>
      <c r="BI39" s="240">
        <v>10</v>
      </c>
      <c r="BJ39" s="235">
        <f>SUM(BF39:BI39)</f>
        <v>15</v>
      </c>
      <c r="BK39" s="241"/>
      <c r="BL39" s="241"/>
      <c r="BM39" s="241"/>
      <c r="BN39" s="241"/>
      <c r="BO39" s="260">
        <v>50</v>
      </c>
      <c r="BP39" s="241"/>
      <c r="BQ39" s="241"/>
      <c r="BR39" s="241"/>
      <c r="BS39" s="241"/>
      <c r="BT39" s="260">
        <v>75</v>
      </c>
      <c r="BU39" s="241"/>
      <c r="BV39" s="241"/>
      <c r="BW39" s="241"/>
      <c r="BX39" s="241"/>
      <c r="BY39" s="260">
        <v>100</v>
      </c>
      <c r="BZ39" s="241"/>
      <c r="CA39" s="241"/>
      <c r="CB39" s="241"/>
      <c r="CC39" s="241"/>
      <c r="CD39" s="260">
        <v>125</v>
      </c>
      <c r="CF39" s="242"/>
    </row>
    <row r="40" spans="1:84" s="252" customFormat="1" outlineLevel="2">
      <c r="B40" s="245" t="s">
        <v>126</v>
      </c>
      <c r="C40" s="253"/>
      <c r="D40" s="254"/>
      <c r="E40" s="254"/>
      <c r="F40" s="254"/>
      <c r="G40" s="255"/>
      <c r="H40" s="254"/>
      <c r="I40" s="254"/>
      <c r="J40" s="254"/>
      <c r="K40" s="254"/>
      <c r="L40" s="255"/>
      <c r="M40" s="254"/>
      <c r="N40" s="254"/>
      <c r="O40" s="254"/>
      <c r="P40" s="254"/>
      <c r="Q40" s="255"/>
      <c r="R40" s="254"/>
      <c r="S40" s="254"/>
      <c r="T40" s="254"/>
      <c r="U40" s="254"/>
      <c r="V40" s="255"/>
      <c r="W40" s="256"/>
      <c r="X40" s="257"/>
      <c r="Y40" s="257"/>
      <c r="Z40" s="257"/>
      <c r="AA40" s="258"/>
      <c r="AB40" s="256"/>
      <c r="AC40" s="256"/>
      <c r="AD40" s="256"/>
      <c r="AE40" s="256"/>
      <c r="AF40" s="258"/>
      <c r="AG40" s="256"/>
      <c r="AH40" s="256"/>
      <c r="AI40" s="256"/>
      <c r="AJ40" s="256"/>
      <c r="AK40" s="258"/>
      <c r="AL40" s="257"/>
      <c r="AM40" s="257"/>
      <c r="AN40" s="257"/>
      <c r="AO40" s="257"/>
      <c r="AP40" s="258"/>
      <c r="AQ40" s="290"/>
      <c r="AR40" s="257"/>
      <c r="AS40" s="247"/>
      <c r="AT40" s="247"/>
      <c r="AU40" s="258"/>
      <c r="AV40" s="257"/>
      <c r="AW40" s="247"/>
      <c r="AX40" s="247"/>
      <c r="AY40" s="247"/>
      <c r="AZ40" s="258"/>
      <c r="BA40" s="257"/>
      <c r="BB40" s="247"/>
      <c r="BC40" s="247"/>
      <c r="BD40" s="247"/>
      <c r="BE40" s="246"/>
      <c r="BF40" s="247"/>
      <c r="BG40" s="247"/>
      <c r="BH40" s="247"/>
      <c r="BI40" s="247"/>
      <c r="BJ40" s="235"/>
      <c r="BK40" s="241"/>
      <c r="BL40" s="241"/>
      <c r="BM40" s="241"/>
      <c r="BN40" s="241"/>
      <c r="BO40" s="246">
        <f>BO39/BJ39-1</f>
        <v>2.3333333333333335</v>
      </c>
      <c r="BP40" s="241"/>
      <c r="BQ40" s="241"/>
      <c r="BR40" s="241"/>
      <c r="BS40" s="241"/>
      <c r="BT40" s="246">
        <f>BT39/BO39-1</f>
        <v>0.5</v>
      </c>
      <c r="BU40" s="241"/>
      <c r="BV40" s="241"/>
      <c r="BW40" s="241"/>
      <c r="BX40" s="241"/>
      <c r="BY40" s="246">
        <f>BY39/BT39-1</f>
        <v>0.33333333333333326</v>
      </c>
      <c r="BZ40" s="241"/>
      <c r="CA40" s="241"/>
      <c r="CB40" s="241"/>
      <c r="CC40" s="241"/>
      <c r="CD40" s="246">
        <f>CD39/BY39-1</f>
        <v>0.25</v>
      </c>
      <c r="CF40" s="242"/>
    </row>
    <row r="41" spans="1:84" s="291" customFormat="1" outlineLevel="2">
      <c r="B41" s="238" t="s">
        <v>142</v>
      </c>
      <c r="C41" s="292"/>
      <c r="D41" s="292"/>
      <c r="E41" s="292"/>
      <c r="F41" s="293"/>
      <c r="G41" s="294"/>
      <c r="H41" s="293"/>
      <c r="I41" s="293"/>
      <c r="J41" s="293"/>
      <c r="K41" s="293"/>
      <c r="L41" s="294"/>
      <c r="M41" s="293"/>
      <c r="N41" s="293"/>
      <c r="O41" s="293"/>
      <c r="P41" s="293"/>
      <c r="Q41" s="294"/>
      <c r="R41" s="247"/>
      <c r="S41" s="247"/>
      <c r="T41" s="247"/>
      <c r="U41" s="247"/>
      <c r="V41" s="258"/>
      <c r="W41" s="247"/>
      <c r="X41" s="247"/>
      <c r="Y41" s="247"/>
      <c r="Z41" s="247"/>
      <c r="AA41" s="258"/>
      <c r="AB41" s="247"/>
      <c r="AC41" s="247"/>
      <c r="AD41" s="247"/>
      <c r="AE41" s="247"/>
      <c r="AF41" s="258"/>
      <c r="AG41" s="247"/>
      <c r="AH41" s="247"/>
      <c r="AI41" s="247"/>
      <c r="AJ41" s="295"/>
      <c r="AK41" s="258"/>
      <c r="AL41" s="296"/>
      <c r="AM41" s="257"/>
      <c r="AN41" s="296"/>
      <c r="AO41" s="257"/>
      <c r="AP41" s="258"/>
      <c r="AQ41" s="290"/>
      <c r="AR41" s="257"/>
      <c r="AS41" s="257"/>
      <c r="AT41" s="257"/>
      <c r="AU41" s="297"/>
      <c r="AV41" s="236">
        <f t="shared" ref="AV41:BD41" si="14">AV43-SUM(AV31,AV33,AV35,AV37)</f>
        <v>-17</v>
      </c>
      <c r="AW41" s="236">
        <f t="shared" si="14"/>
        <v>-7.4000000000000057</v>
      </c>
      <c r="AX41" s="236">
        <f t="shared" si="14"/>
        <v>-7.5999999999999943</v>
      </c>
      <c r="AY41" s="236">
        <f t="shared" si="14"/>
        <v>-18.599999999999994</v>
      </c>
      <c r="AZ41" s="235">
        <f t="shared" si="14"/>
        <v>-50.600000000000023</v>
      </c>
      <c r="BA41" s="236">
        <f t="shared" si="14"/>
        <v>-4.5</v>
      </c>
      <c r="BB41" s="236">
        <f t="shared" si="14"/>
        <v>-0.80000000000001137</v>
      </c>
      <c r="BC41" s="236">
        <f t="shared" si="14"/>
        <v>-17</v>
      </c>
      <c r="BD41" s="236">
        <f t="shared" si="14"/>
        <v>-26.099999999999994</v>
      </c>
      <c r="BE41" s="235">
        <f>SUM(BA41:BD41)</f>
        <v>-48.400000000000006</v>
      </c>
      <c r="BF41" s="240">
        <v>-25</v>
      </c>
      <c r="BG41" s="240">
        <v>-25</v>
      </c>
      <c r="BH41" s="240">
        <v>-25</v>
      </c>
      <c r="BI41" s="240">
        <v>-25</v>
      </c>
      <c r="BJ41" s="235">
        <f>SUM(BF41:BI41)</f>
        <v>-100</v>
      </c>
      <c r="BK41" s="241"/>
      <c r="BL41" s="241"/>
      <c r="BM41" s="241"/>
      <c r="BN41" s="241"/>
      <c r="BO41" s="235">
        <f>BJ41*(1+BO42)</f>
        <v>-100</v>
      </c>
      <c r="BP41" s="241"/>
      <c r="BQ41" s="241"/>
      <c r="BR41" s="241"/>
      <c r="BS41" s="241"/>
      <c r="BT41" s="235">
        <f>BO41*(1+BT42)</f>
        <v>-100</v>
      </c>
      <c r="BU41" s="241"/>
      <c r="BV41" s="241"/>
      <c r="BW41" s="241"/>
      <c r="BX41" s="241"/>
      <c r="BY41" s="235">
        <f>BT41*(1+BY42)</f>
        <v>-100</v>
      </c>
      <c r="BZ41" s="241"/>
      <c r="CA41" s="241"/>
      <c r="CB41" s="241"/>
      <c r="CC41" s="241"/>
      <c r="CD41" s="235">
        <f>BY41*(1+CD42)</f>
        <v>-100</v>
      </c>
      <c r="CF41" s="242"/>
    </row>
    <row r="42" spans="1:84" s="285" customFormat="1" ht="15" outlineLevel="2">
      <c r="B42" s="262" t="s">
        <v>126</v>
      </c>
      <c r="C42" s="236"/>
      <c r="D42" s="236"/>
      <c r="E42" s="236"/>
      <c r="F42" s="236"/>
      <c r="G42" s="235"/>
      <c r="H42" s="236"/>
      <c r="I42" s="236"/>
      <c r="J42" s="236"/>
      <c r="K42" s="236"/>
      <c r="L42" s="235"/>
      <c r="M42" s="236"/>
      <c r="N42" s="236"/>
      <c r="O42" s="236"/>
      <c r="P42" s="236"/>
      <c r="Q42" s="235"/>
      <c r="R42" s="236"/>
      <c r="S42" s="236"/>
      <c r="T42" s="236"/>
      <c r="U42" s="236"/>
      <c r="V42" s="235"/>
      <c r="W42" s="236"/>
      <c r="X42" s="236"/>
      <c r="Y42" s="236"/>
      <c r="Z42" s="236"/>
      <c r="AA42" s="235"/>
      <c r="AB42" s="236"/>
      <c r="AC42" s="236"/>
      <c r="AD42" s="236"/>
      <c r="AE42" s="236"/>
      <c r="AF42" s="235"/>
      <c r="AG42" s="236"/>
      <c r="AH42" s="236"/>
      <c r="AI42" s="236"/>
      <c r="AJ42" s="236"/>
      <c r="AK42" s="235"/>
      <c r="AL42" s="287"/>
      <c r="AM42" s="239"/>
      <c r="AN42" s="288"/>
      <c r="AO42" s="240"/>
      <c r="AP42" s="235"/>
      <c r="AQ42" s="289"/>
      <c r="AR42" s="236"/>
      <c r="AS42" s="236"/>
      <c r="AT42" s="236"/>
      <c r="AU42" s="235"/>
      <c r="AV42" s="236"/>
      <c r="AW42" s="236"/>
      <c r="AX42" s="236"/>
      <c r="AY42" s="236"/>
      <c r="AZ42" s="235"/>
      <c r="BA42" s="236"/>
      <c r="BB42" s="236"/>
      <c r="BC42" s="236"/>
      <c r="BD42" s="236"/>
      <c r="BE42" s="246"/>
      <c r="BF42" s="236"/>
      <c r="BG42" s="236"/>
      <c r="BH42" s="236"/>
      <c r="BI42" s="236"/>
      <c r="BJ42" s="246">
        <f t="shared" si="13"/>
        <v>1.0661157024793386</v>
      </c>
      <c r="BK42" s="237"/>
      <c r="BL42" s="237"/>
      <c r="BM42" s="237"/>
      <c r="BN42" s="237"/>
      <c r="BO42" s="248">
        <v>0</v>
      </c>
      <c r="BP42" s="237"/>
      <c r="BQ42" s="237"/>
      <c r="BR42" s="237"/>
      <c r="BS42" s="237"/>
      <c r="BT42" s="248">
        <v>0</v>
      </c>
      <c r="BU42" s="237"/>
      <c r="BV42" s="237"/>
      <c r="BW42" s="237"/>
      <c r="BX42" s="237"/>
      <c r="BY42" s="248">
        <v>0</v>
      </c>
      <c r="BZ42" s="237"/>
      <c r="CA42" s="237"/>
      <c r="CB42" s="237"/>
      <c r="CC42" s="237"/>
      <c r="CD42" s="248">
        <v>0</v>
      </c>
      <c r="CF42" s="229"/>
    </row>
    <row r="43" spans="1:84" s="291" customFormat="1">
      <c r="B43" s="298" t="s">
        <v>143</v>
      </c>
      <c r="C43" s="299"/>
      <c r="D43" s="299"/>
      <c r="E43" s="299"/>
      <c r="F43" s="300"/>
      <c r="G43" s="301"/>
      <c r="H43" s="300"/>
      <c r="I43" s="300"/>
      <c r="J43" s="300"/>
      <c r="K43" s="300"/>
      <c r="L43" s="301"/>
      <c r="M43" s="300"/>
      <c r="N43" s="300"/>
      <c r="O43" s="300"/>
      <c r="P43" s="300"/>
      <c r="Q43" s="301"/>
      <c r="R43" s="302"/>
      <c r="S43" s="302"/>
      <c r="T43" s="302"/>
      <c r="U43" s="302"/>
      <c r="V43" s="303"/>
      <c r="W43" s="302"/>
      <c r="X43" s="302"/>
      <c r="Y43" s="302"/>
      <c r="Z43" s="302"/>
      <c r="AA43" s="303"/>
      <c r="AB43" s="302"/>
      <c r="AC43" s="302"/>
      <c r="AD43" s="302"/>
      <c r="AE43" s="302"/>
      <c r="AF43" s="303"/>
      <c r="AG43" s="302"/>
      <c r="AH43" s="302"/>
      <c r="AI43" s="302"/>
      <c r="AJ43" s="304"/>
      <c r="AK43" s="303"/>
      <c r="AL43" s="305"/>
      <c r="AM43" s="306"/>
      <c r="AN43" s="305"/>
      <c r="AO43" s="306"/>
      <c r="AP43" s="307"/>
      <c r="AQ43" s="308"/>
      <c r="AR43" s="306"/>
      <c r="AS43" s="275">
        <v>98.8</v>
      </c>
      <c r="AT43" s="275">
        <v>133.30000000000001</v>
      </c>
      <c r="AU43" s="307"/>
      <c r="AV43" s="275">
        <v>144</v>
      </c>
      <c r="AW43" s="275">
        <v>160.6</v>
      </c>
      <c r="AX43" s="275">
        <v>141.4</v>
      </c>
      <c r="AY43" s="275">
        <v>141.4</v>
      </c>
      <c r="AZ43" s="277">
        <f>SUM(AV43:AY43)</f>
        <v>587.4</v>
      </c>
      <c r="BA43" s="275">
        <v>155.5</v>
      </c>
      <c r="BB43" s="275">
        <v>163.19999999999999</v>
      </c>
      <c r="BC43" s="275">
        <v>151</v>
      </c>
      <c r="BD43" s="275">
        <v>155.9</v>
      </c>
      <c r="BE43" s="277">
        <f>SUM(BA43:BD43)</f>
        <v>625.6</v>
      </c>
      <c r="BF43" s="275">
        <f t="shared" ref="BF43:BI43" si="15">SUM(BF31,BF33,BF35,BF37,BF41)+BF39</f>
        <v>139</v>
      </c>
      <c r="BG43" s="275">
        <f t="shared" si="15"/>
        <v>148</v>
      </c>
      <c r="BH43" s="275">
        <f t="shared" si="15"/>
        <v>156</v>
      </c>
      <c r="BI43" s="275">
        <f t="shared" si="15"/>
        <v>170</v>
      </c>
      <c r="BJ43" s="277">
        <f>SUM(BJ31,BJ33,BJ35,BJ37,BJ41)+BJ39</f>
        <v>613</v>
      </c>
      <c r="BK43" s="285"/>
      <c r="BL43" s="285"/>
      <c r="BM43" s="285"/>
      <c r="BN43" s="285"/>
      <c r="BO43" s="277">
        <f>SUM(BO31,BO33,BO35,BO37,BO41)+BO39</f>
        <v>663.46999999999991</v>
      </c>
      <c r="BP43" s="285"/>
      <c r="BQ43" s="285"/>
      <c r="BR43" s="285"/>
      <c r="BS43" s="285"/>
      <c r="BT43" s="277">
        <f>SUM(BT31,BT33,BT35,BT37,BT41)+BT39</f>
        <v>695.25839999999994</v>
      </c>
      <c r="BU43" s="285"/>
      <c r="BV43" s="285"/>
      <c r="BW43" s="285"/>
      <c r="BX43" s="285"/>
      <c r="BY43" s="277">
        <f>SUM(BY31,BY33,BY35,BY37,BY41)+BY39</f>
        <v>725.26664800000003</v>
      </c>
      <c r="BZ43" s="285"/>
      <c r="CA43" s="285"/>
      <c r="CB43" s="285"/>
      <c r="CC43" s="285"/>
      <c r="CD43" s="277">
        <f>SUM(CD31,CD33,CD35,CD37,CD41)+CD39</f>
        <v>753.09635168</v>
      </c>
      <c r="CF43" s="278">
        <f>BJ43/$BJ$142</f>
        <v>5.5896226694670099E-2</v>
      </c>
    </row>
    <row r="44" spans="1:84" s="285" customFormat="1">
      <c r="B44" s="309" t="s">
        <v>126</v>
      </c>
      <c r="C44" s="310"/>
      <c r="D44" s="310"/>
      <c r="E44" s="310"/>
      <c r="F44" s="310"/>
      <c r="G44" s="311"/>
      <c r="H44" s="310"/>
      <c r="I44" s="310"/>
      <c r="J44" s="310"/>
      <c r="K44" s="310"/>
      <c r="L44" s="311"/>
      <c r="M44" s="310"/>
      <c r="N44" s="310"/>
      <c r="O44" s="310"/>
      <c r="P44" s="310"/>
      <c r="Q44" s="311"/>
      <c r="R44" s="310"/>
      <c r="S44" s="310"/>
      <c r="T44" s="310"/>
      <c r="U44" s="310"/>
      <c r="V44" s="311"/>
      <c r="W44" s="310"/>
      <c r="X44" s="310"/>
      <c r="Y44" s="310"/>
      <c r="Z44" s="310"/>
      <c r="AA44" s="311"/>
      <c r="AB44" s="310"/>
      <c r="AC44" s="310"/>
      <c r="AD44" s="310"/>
      <c r="AE44" s="310"/>
      <c r="AF44" s="311"/>
      <c r="AG44" s="310"/>
      <c r="AH44" s="310"/>
      <c r="AI44" s="310"/>
      <c r="AJ44" s="310"/>
      <c r="AK44" s="311"/>
      <c r="AL44" s="312"/>
      <c r="AM44" s="313"/>
      <c r="AN44" s="314"/>
      <c r="AO44" s="315"/>
      <c r="AP44" s="311"/>
      <c r="AQ44" s="316"/>
      <c r="AR44" s="310"/>
      <c r="AS44" s="310"/>
      <c r="AT44" s="310"/>
      <c r="AU44" s="311"/>
      <c r="AV44" s="310"/>
      <c r="AW44" s="310"/>
      <c r="AX44" s="281">
        <f t="shared" ref="AX44:AY44" si="16">AX43/AS43-1</f>
        <v>0.43117408906882604</v>
      </c>
      <c r="AY44" s="281">
        <f t="shared" si="16"/>
        <v>6.0765191297824428E-2</v>
      </c>
      <c r="AZ44" s="311"/>
      <c r="BA44" s="281">
        <f t="shared" ref="BA44:BJ44" si="17">BA43/AV43-1</f>
        <v>7.986111111111116E-2</v>
      </c>
      <c r="BB44" s="281">
        <f t="shared" si="17"/>
        <v>1.6189290161892966E-2</v>
      </c>
      <c r="BC44" s="281">
        <f t="shared" si="17"/>
        <v>6.7892503536067794E-2</v>
      </c>
      <c r="BD44" s="281">
        <f t="shared" si="17"/>
        <v>0.10254596888260248</v>
      </c>
      <c r="BE44" s="282">
        <f t="shared" si="17"/>
        <v>6.5032345931222313E-2</v>
      </c>
      <c r="BF44" s="281">
        <f t="shared" si="17"/>
        <v>-0.10610932475884249</v>
      </c>
      <c r="BG44" s="281">
        <f t="shared" si="17"/>
        <v>-9.3137254901960675E-2</v>
      </c>
      <c r="BH44" s="281">
        <f t="shared" si="17"/>
        <v>3.3112582781456901E-2</v>
      </c>
      <c r="BI44" s="281">
        <f t="shared" si="17"/>
        <v>9.0442591404746642E-2</v>
      </c>
      <c r="BJ44" s="282">
        <f t="shared" si="17"/>
        <v>-2.0140664961636912E-2</v>
      </c>
      <c r="BO44" s="282">
        <f>BO43/BJ43-1</f>
        <v>8.2332789559543151E-2</v>
      </c>
      <c r="BT44" s="282">
        <f>BT43/BO43-1</f>
        <v>4.7912339668711557E-2</v>
      </c>
      <c r="BY44" s="282">
        <f>BY43/BT43-1</f>
        <v>4.3161287947042659E-2</v>
      </c>
      <c r="CD44" s="282">
        <f>CD43/BY43-1</f>
        <v>3.8371685443889358E-2</v>
      </c>
      <c r="CF44" s="229"/>
    </row>
    <row r="45" spans="1:84" s="285" customFormat="1">
      <c r="B45" s="309"/>
      <c r="C45" s="310"/>
      <c r="D45" s="310"/>
      <c r="E45" s="310"/>
      <c r="F45" s="310"/>
      <c r="G45" s="311"/>
      <c r="H45" s="310"/>
      <c r="I45" s="310"/>
      <c r="J45" s="310"/>
      <c r="K45" s="310"/>
      <c r="L45" s="311"/>
      <c r="M45" s="310"/>
      <c r="N45" s="310"/>
      <c r="O45" s="310"/>
      <c r="P45" s="310"/>
      <c r="Q45" s="311"/>
      <c r="R45" s="310"/>
      <c r="S45" s="310"/>
      <c r="T45" s="310"/>
      <c r="U45" s="310"/>
      <c r="V45" s="311"/>
      <c r="W45" s="310"/>
      <c r="X45" s="310"/>
      <c r="Y45" s="310"/>
      <c r="Z45" s="310"/>
      <c r="AA45" s="311"/>
      <c r="AB45" s="310"/>
      <c r="AC45" s="310"/>
      <c r="AD45" s="310"/>
      <c r="AE45" s="310"/>
      <c r="AF45" s="311"/>
      <c r="AG45" s="310"/>
      <c r="AH45" s="310"/>
      <c r="AI45" s="310"/>
      <c r="AJ45" s="310"/>
      <c r="AK45" s="311"/>
      <c r="AL45" s="314"/>
      <c r="AM45" s="313"/>
      <c r="AN45" s="314"/>
      <c r="AO45" s="315"/>
      <c r="AP45" s="311"/>
      <c r="AQ45" s="316"/>
      <c r="AR45" s="310"/>
      <c r="AS45" s="310"/>
      <c r="AT45" s="310"/>
      <c r="AU45" s="311"/>
      <c r="AV45" s="310"/>
      <c r="AW45" s="310"/>
      <c r="AX45" s="310"/>
      <c r="AY45" s="310"/>
      <c r="AZ45" s="311"/>
      <c r="BA45" s="310"/>
      <c r="BB45" s="310"/>
      <c r="BC45" s="310"/>
      <c r="BD45" s="310"/>
      <c r="BE45" s="311"/>
      <c r="BJ45" s="311"/>
      <c r="BO45" s="311"/>
      <c r="BT45" s="311"/>
      <c r="BY45" s="311"/>
      <c r="CD45" s="311"/>
      <c r="CF45" s="229"/>
    </row>
    <row r="46" spans="1:84" s="285" customFormat="1" outlineLevel="1">
      <c r="B46" s="230" t="s">
        <v>144</v>
      </c>
      <c r="C46" s="236"/>
      <c r="D46" s="236"/>
      <c r="E46" s="236"/>
      <c r="F46" s="236"/>
      <c r="G46" s="235"/>
      <c r="H46" s="236"/>
      <c r="I46" s="236"/>
      <c r="J46" s="236"/>
      <c r="K46" s="236"/>
      <c r="L46" s="235"/>
      <c r="M46" s="236"/>
      <c r="N46" s="236"/>
      <c r="O46" s="236"/>
      <c r="P46" s="236"/>
      <c r="Q46" s="235"/>
      <c r="R46" s="236"/>
      <c r="S46" s="236"/>
      <c r="T46" s="236"/>
      <c r="U46" s="236"/>
      <c r="V46" s="235"/>
      <c r="W46" s="236"/>
      <c r="X46" s="236"/>
      <c r="Y46" s="236"/>
      <c r="Z46" s="236"/>
      <c r="AA46" s="235"/>
      <c r="AB46" s="236"/>
      <c r="AC46" s="236"/>
      <c r="AD46" s="236"/>
      <c r="AE46" s="236"/>
      <c r="AF46" s="235"/>
      <c r="AG46" s="236"/>
      <c r="AH46" s="236"/>
      <c r="AI46" s="236"/>
      <c r="AJ46" s="236"/>
      <c r="AK46" s="235"/>
      <c r="AL46" s="288"/>
      <c r="AM46" s="239"/>
      <c r="AN46" s="288"/>
      <c r="AO46" s="240"/>
      <c r="AP46" s="235"/>
      <c r="AQ46" s="289"/>
      <c r="AR46" s="236"/>
      <c r="AS46" s="236"/>
      <c r="AT46" s="236"/>
      <c r="AU46" s="235"/>
      <c r="AV46" s="236"/>
      <c r="AW46" s="236"/>
      <c r="AX46" s="236"/>
      <c r="AY46" s="236"/>
      <c r="AZ46" s="235"/>
      <c r="BA46" s="236"/>
      <c r="BB46" s="236"/>
      <c r="BC46" s="236"/>
      <c r="BD46" s="236"/>
      <c r="BE46" s="235"/>
      <c r="BF46" s="241"/>
      <c r="BG46" s="241"/>
      <c r="BH46" s="241"/>
      <c r="BI46" s="237"/>
      <c r="BJ46" s="235"/>
      <c r="BK46" s="241"/>
      <c r="BL46" s="241"/>
      <c r="BM46" s="241"/>
      <c r="BN46" s="241"/>
      <c r="BO46" s="235"/>
      <c r="BP46" s="241"/>
      <c r="BQ46" s="241"/>
      <c r="BR46" s="241"/>
      <c r="BS46" s="241"/>
      <c r="BT46" s="235"/>
      <c r="BU46" s="241"/>
      <c r="BV46" s="241"/>
      <c r="BW46" s="241"/>
      <c r="BX46" s="241"/>
      <c r="BY46" s="235"/>
      <c r="BZ46" s="241"/>
      <c r="CA46" s="241"/>
      <c r="CB46" s="241"/>
      <c r="CC46" s="241"/>
      <c r="CD46" s="235"/>
      <c r="CF46" s="229"/>
    </row>
    <row r="47" spans="1:84" s="285" customFormat="1" outlineLevel="2">
      <c r="B47" s="238" t="s">
        <v>145</v>
      </c>
      <c r="C47" s="236"/>
      <c r="D47" s="236"/>
      <c r="E47" s="236"/>
      <c r="F47" s="236"/>
      <c r="G47" s="235"/>
      <c r="H47" s="236"/>
      <c r="I47" s="236"/>
      <c r="J47" s="236"/>
      <c r="K47" s="236"/>
      <c r="L47" s="235"/>
      <c r="M47" s="236"/>
      <c r="N47" s="236"/>
      <c r="O47" s="236"/>
      <c r="P47" s="236"/>
      <c r="Q47" s="235"/>
      <c r="R47" s="236"/>
      <c r="S47" s="236"/>
      <c r="T47" s="236"/>
      <c r="U47" s="236"/>
      <c r="V47" s="235"/>
      <c r="W47" s="236"/>
      <c r="X47" s="236"/>
      <c r="Y47" s="236"/>
      <c r="Z47" s="236"/>
      <c r="AA47" s="235"/>
      <c r="AB47" s="236"/>
      <c r="AC47" s="236"/>
      <c r="AD47" s="236"/>
      <c r="AE47" s="236"/>
      <c r="AF47" s="235"/>
      <c r="AG47" s="236"/>
      <c r="AH47" s="236"/>
      <c r="AI47" s="236"/>
      <c r="AJ47" s="236"/>
      <c r="AK47" s="235"/>
      <c r="AL47" s="288"/>
      <c r="AM47" s="239"/>
      <c r="AN47" s="288"/>
      <c r="AO47" s="240"/>
      <c r="AP47" s="235"/>
      <c r="AQ47" s="289"/>
      <c r="AR47" s="236"/>
      <c r="AS47" s="236"/>
      <c r="AT47" s="236"/>
      <c r="AU47" s="235"/>
      <c r="AV47" s="236">
        <v>26</v>
      </c>
      <c r="AW47" s="236">
        <v>45</v>
      </c>
      <c r="AX47" s="236">
        <v>35</v>
      </c>
      <c r="AY47" s="236">
        <v>45</v>
      </c>
      <c r="AZ47" s="235">
        <f>SUM(AV47:AY47)</f>
        <v>151</v>
      </c>
      <c r="BA47" s="236">
        <v>43</v>
      </c>
      <c r="BB47" s="236">
        <v>53</v>
      </c>
      <c r="BC47" s="239">
        <v>44</v>
      </c>
      <c r="BD47" s="239">
        <v>43</v>
      </c>
      <c r="BE47" s="235">
        <f>SUM(BA47:BD47)</f>
        <v>183</v>
      </c>
      <c r="BF47" s="240">
        <v>40</v>
      </c>
      <c r="BG47" s="240">
        <v>45</v>
      </c>
      <c r="BH47" s="240">
        <v>40</v>
      </c>
      <c r="BI47" s="240">
        <v>45</v>
      </c>
      <c r="BJ47" s="235">
        <f>SUM(BF47:BI47)</f>
        <v>170</v>
      </c>
      <c r="BK47" s="241"/>
      <c r="BL47" s="241"/>
      <c r="BM47" s="241"/>
      <c r="BN47" s="241"/>
      <c r="BO47" s="235">
        <f>BJ47*(1+BO48)</f>
        <v>176.8</v>
      </c>
      <c r="BP47" s="241"/>
      <c r="BQ47" s="241"/>
      <c r="BR47" s="241"/>
      <c r="BS47" s="241"/>
      <c r="BT47" s="235">
        <f>BO47*(1+BT48)</f>
        <v>183.87200000000001</v>
      </c>
      <c r="BU47" s="241"/>
      <c r="BV47" s="241"/>
      <c r="BW47" s="241"/>
      <c r="BX47" s="241"/>
      <c r="BY47" s="235">
        <f>BT47*(1+BY48)</f>
        <v>187.54944</v>
      </c>
      <c r="BZ47" s="241"/>
      <c r="CA47" s="241"/>
      <c r="CB47" s="241"/>
      <c r="CC47" s="241"/>
      <c r="CD47" s="235">
        <f>BY47*(1+CD48)</f>
        <v>191.30042880000002</v>
      </c>
      <c r="CF47" s="229"/>
    </row>
    <row r="48" spans="1:84" s="285" customFormat="1" outlineLevel="2">
      <c r="B48" s="245" t="s">
        <v>126</v>
      </c>
      <c r="C48" s="236"/>
      <c r="D48" s="236"/>
      <c r="E48" s="236"/>
      <c r="F48" s="236"/>
      <c r="G48" s="235"/>
      <c r="H48" s="236"/>
      <c r="I48" s="236"/>
      <c r="J48" s="236"/>
      <c r="K48" s="236"/>
      <c r="L48" s="235"/>
      <c r="M48" s="236"/>
      <c r="N48" s="236"/>
      <c r="O48" s="236"/>
      <c r="P48" s="236"/>
      <c r="Q48" s="235"/>
      <c r="R48" s="236"/>
      <c r="S48" s="236"/>
      <c r="T48" s="236"/>
      <c r="U48" s="236"/>
      <c r="V48" s="235"/>
      <c r="W48" s="236"/>
      <c r="X48" s="236"/>
      <c r="Y48" s="236"/>
      <c r="Z48" s="236"/>
      <c r="AA48" s="235"/>
      <c r="AB48" s="236"/>
      <c r="AC48" s="236"/>
      <c r="AD48" s="236"/>
      <c r="AE48" s="236"/>
      <c r="AF48" s="235"/>
      <c r="AG48" s="236"/>
      <c r="AH48" s="236"/>
      <c r="AI48" s="236"/>
      <c r="AJ48" s="236"/>
      <c r="AK48" s="235"/>
      <c r="AL48" s="288"/>
      <c r="AM48" s="239"/>
      <c r="AN48" s="288"/>
      <c r="AO48" s="240"/>
      <c r="AP48" s="235"/>
      <c r="AQ48" s="289"/>
      <c r="AR48" s="236"/>
      <c r="AS48" s="236"/>
      <c r="AT48" s="236"/>
      <c r="AU48" s="235"/>
      <c r="AV48" s="236"/>
      <c r="AW48" s="236"/>
      <c r="AX48" s="236"/>
      <c r="AY48" s="236"/>
      <c r="AZ48" s="235"/>
      <c r="BA48" s="284">
        <f>BA47/AV47-1</f>
        <v>0.65384615384615374</v>
      </c>
      <c r="BB48" s="284">
        <f>BB47/AW47-1</f>
        <v>0.17777777777777781</v>
      </c>
      <c r="BC48" s="247">
        <f t="shared" ref="BC48:BJ48" si="18">BC47/AX47-1</f>
        <v>0.25714285714285712</v>
      </c>
      <c r="BD48" s="247">
        <f t="shared" si="18"/>
        <v>-4.4444444444444398E-2</v>
      </c>
      <c r="BE48" s="246">
        <f t="shared" si="18"/>
        <v>0.21192052980132448</v>
      </c>
      <c r="BF48" s="247">
        <f t="shared" si="18"/>
        <v>-6.9767441860465129E-2</v>
      </c>
      <c r="BG48" s="247">
        <f t="shared" si="18"/>
        <v>-0.15094339622641506</v>
      </c>
      <c r="BH48" s="247">
        <f t="shared" si="18"/>
        <v>-9.0909090909090939E-2</v>
      </c>
      <c r="BI48" s="247">
        <f t="shared" si="18"/>
        <v>4.6511627906976827E-2</v>
      </c>
      <c r="BJ48" s="246">
        <f t="shared" si="18"/>
        <v>-7.1038251366120186E-2</v>
      </c>
      <c r="BK48" s="237"/>
      <c r="BL48" s="237"/>
      <c r="BM48" s="237"/>
      <c r="BN48" s="237"/>
      <c r="BO48" s="248">
        <v>0.04</v>
      </c>
      <c r="BP48" s="237"/>
      <c r="BQ48" s="237"/>
      <c r="BR48" s="237"/>
      <c r="BS48" s="237"/>
      <c r="BT48" s="248">
        <v>0.04</v>
      </c>
      <c r="BU48" s="237"/>
      <c r="BV48" s="237"/>
      <c r="BW48" s="237"/>
      <c r="BX48" s="237"/>
      <c r="BY48" s="248">
        <v>0.02</v>
      </c>
      <c r="BZ48" s="237"/>
      <c r="CA48" s="237"/>
      <c r="CB48" s="237"/>
      <c r="CC48" s="237"/>
      <c r="CD48" s="248">
        <v>0.02</v>
      </c>
      <c r="CF48" s="229"/>
    </row>
    <row r="49" spans="2:84" s="252" customFormat="1" outlineLevel="2">
      <c r="B49" s="238" t="s">
        <v>146</v>
      </c>
      <c r="C49" s="253"/>
      <c r="D49" s="254"/>
      <c r="E49" s="254"/>
      <c r="F49" s="254"/>
      <c r="G49" s="255"/>
      <c r="H49" s="254"/>
      <c r="I49" s="254"/>
      <c r="J49" s="254"/>
      <c r="K49" s="254"/>
      <c r="L49" s="255"/>
      <c r="M49" s="254"/>
      <c r="N49" s="254"/>
      <c r="O49" s="254"/>
      <c r="P49" s="254"/>
      <c r="Q49" s="255"/>
      <c r="R49" s="254"/>
      <c r="S49" s="254"/>
      <c r="T49" s="254"/>
      <c r="U49" s="254"/>
      <c r="V49" s="255"/>
      <c r="W49" s="256"/>
      <c r="X49" s="257"/>
      <c r="Y49" s="257"/>
      <c r="Z49" s="257"/>
      <c r="AA49" s="258"/>
      <c r="AB49" s="256"/>
      <c r="AC49" s="256"/>
      <c r="AD49" s="256"/>
      <c r="AE49" s="256"/>
      <c r="AF49" s="258"/>
      <c r="AG49" s="256"/>
      <c r="AH49" s="256"/>
      <c r="AI49" s="256"/>
      <c r="AJ49" s="256"/>
      <c r="AK49" s="258"/>
      <c r="AL49" s="257"/>
      <c r="AM49" s="257"/>
      <c r="AN49" s="257"/>
      <c r="AO49" s="257"/>
      <c r="AP49" s="258"/>
      <c r="AQ49" s="290"/>
      <c r="AR49" s="257"/>
      <c r="AS49" s="240"/>
      <c r="AT49" s="240"/>
      <c r="AU49" s="235"/>
      <c r="AV49" s="240"/>
      <c r="AW49" s="240"/>
      <c r="AX49" s="240"/>
      <c r="AY49" s="240"/>
      <c r="AZ49" s="235"/>
      <c r="BA49" s="240"/>
      <c r="BB49" s="240"/>
      <c r="BC49" s="240"/>
      <c r="BD49" s="240"/>
      <c r="BE49" s="235"/>
      <c r="BF49" s="240"/>
      <c r="BG49" s="240"/>
      <c r="BH49" s="240">
        <v>15</v>
      </c>
      <c r="BI49" s="240">
        <v>12</v>
      </c>
      <c r="BJ49" s="235">
        <f>SUM(BF49:BI49)</f>
        <v>27</v>
      </c>
      <c r="BK49" s="241"/>
      <c r="BL49" s="241"/>
      <c r="BM49" s="241"/>
      <c r="BN49" s="241"/>
      <c r="BO49" s="260">
        <v>125</v>
      </c>
      <c r="BP49" s="241"/>
      <c r="BQ49" s="241"/>
      <c r="BR49" s="241"/>
      <c r="BS49" s="241"/>
      <c r="BT49" s="260">
        <v>200</v>
      </c>
      <c r="BU49" s="241"/>
      <c r="BV49" s="241"/>
      <c r="BW49" s="241"/>
      <c r="BX49" s="241"/>
      <c r="BY49" s="260">
        <v>300</v>
      </c>
      <c r="BZ49" s="241"/>
      <c r="CA49" s="241"/>
      <c r="CB49" s="241"/>
      <c r="CC49" s="241"/>
      <c r="CD49" s="260">
        <v>375</v>
      </c>
      <c r="CF49" s="242"/>
    </row>
    <row r="50" spans="2:84" s="252" customFormat="1" outlineLevel="2">
      <c r="B50" s="245" t="s">
        <v>126</v>
      </c>
      <c r="C50" s="253"/>
      <c r="D50" s="254"/>
      <c r="E50" s="254"/>
      <c r="F50" s="254"/>
      <c r="G50" s="255"/>
      <c r="H50" s="254"/>
      <c r="I50" s="254"/>
      <c r="J50" s="254"/>
      <c r="K50" s="254"/>
      <c r="L50" s="255"/>
      <c r="M50" s="254"/>
      <c r="N50" s="254"/>
      <c r="O50" s="254"/>
      <c r="P50" s="254"/>
      <c r="Q50" s="255"/>
      <c r="R50" s="254"/>
      <c r="S50" s="254"/>
      <c r="T50" s="254"/>
      <c r="U50" s="254"/>
      <c r="V50" s="255"/>
      <c r="W50" s="256"/>
      <c r="X50" s="257"/>
      <c r="Y50" s="257"/>
      <c r="Z50" s="257"/>
      <c r="AA50" s="258"/>
      <c r="AB50" s="256"/>
      <c r="AC50" s="256"/>
      <c r="AD50" s="256"/>
      <c r="AE50" s="256"/>
      <c r="AF50" s="258"/>
      <c r="AG50" s="256"/>
      <c r="AH50" s="256"/>
      <c r="AI50" s="256"/>
      <c r="AJ50" s="256"/>
      <c r="AK50" s="258"/>
      <c r="AL50" s="257"/>
      <c r="AM50" s="257"/>
      <c r="AN50" s="257"/>
      <c r="AO50" s="257"/>
      <c r="AP50" s="258"/>
      <c r="AQ50" s="290"/>
      <c r="AR50" s="257"/>
      <c r="AS50" s="247"/>
      <c r="AT50" s="247"/>
      <c r="AU50" s="258"/>
      <c r="AV50" s="257"/>
      <c r="AW50" s="247"/>
      <c r="AX50" s="247"/>
      <c r="AY50" s="247"/>
      <c r="AZ50" s="258"/>
      <c r="BA50" s="257"/>
      <c r="BB50" s="247"/>
      <c r="BC50" s="247"/>
      <c r="BD50" s="247"/>
      <c r="BE50" s="246"/>
      <c r="BF50" s="247"/>
      <c r="BG50" s="247"/>
      <c r="BH50" s="247"/>
      <c r="BI50" s="247"/>
      <c r="BJ50" s="246"/>
      <c r="BK50" s="241"/>
      <c r="BL50" s="241"/>
      <c r="BM50" s="241"/>
      <c r="BN50" s="241"/>
      <c r="BO50" s="246">
        <f>BO49/BJ49-1</f>
        <v>3.6296296296296298</v>
      </c>
      <c r="BP50" s="241"/>
      <c r="BQ50" s="241"/>
      <c r="BR50" s="241"/>
      <c r="BS50" s="241"/>
      <c r="BT50" s="246">
        <f>BT49/BO49-1</f>
        <v>0.60000000000000009</v>
      </c>
      <c r="BU50" s="241"/>
      <c r="BV50" s="241"/>
      <c r="BW50" s="241"/>
      <c r="BX50" s="241"/>
      <c r="BY50" s="246">
        <f>BY49/BT49-1</f>
        <v>0.5</v>
      </c>
      <c r="BZ50" s="241"/>
      <c r="CA50" s="241"/>
      <c r="CB50" s="241"/>
      <c r="CC50" s="241"/>
      <c r="CD50" s="246">
        <f>CD49/BY49-1</f>
        <v>0.25</v>
      </c>
      <c r="CF50" s="242"/>
    </row>
    <row r="51" spans="2:84" s="252" customFormat="1" outlineLevel="2">
      <c r="B51" s="238" t="s">
        <v>147</v>
      </c>
      <c r="C51" s="253"/>
      <c r="D51" s="254"/>
      <c r="E51" s="254"/>
      <c r="F51" s="254"/>
      <c r="G51" s="255"/>
      <c r="H51" s="254"/>
      <c r="I51" s="254"/>
      <c r="J51" s="254"/>
      <c r="K51" s="254"/>
      <c r="L51" s="255"/>
      <c r="M51" s="254"/>
      <c r="N51" s="254"/>
      <c r="O51" s="254"/>
      <c r="P51" s="254"/>
      <c r="Q51" s="255"/>
      <c r="R51" s="254"/>
      <c r="S51" s="254"/>
      <c r="T51" s="254"/>
      <c r="U51" s="254"/>
      <c r="V51" s="255"/>
      <c r="W51" s="256"/>
      <c r="X51" s="257"/>
      <c r="Y51" s="257"/>
      <c r="Z51" s="257"/>
      <c r="AA51" s="258"/>
      <c r="AB51" s="256"/>
      <c r="AC51" s="256"/>
      <c r="AD51" s="256"/>
      <c r="AE51" s="256"/>
      <c r="AF51" s="258"/>
      <c r="AG51" s="256"/>
      <c r="AH51" s="256"/>
      <c r="AI51" s="256"/>
      <c r="AJ51" s="256"/>
      <c r="AK51" s="258"/>
      <c r="AL51" s="257"/>
      <c r="AM51" s="257"/>
      <c r="AN51" s="257"/>
      <c r="AO51" s="257"/>
      <c r="AP51" s="258"/>
      <c r="AQ51" s="290"/>
      <c r="AR51" s="257"/>
      <c r="AS51" s="247"/>
      <c r="AT51" s="247"/>
      <c r="AU51" s="258"/>
      <c r="AV51" s="236">
        <f t="shared" ref="AV51:AZ51" si="19">AV53-SUM(AV47,AV49)</f>
        <v>73.3</v>
      </c>
      <c r="AW51" s="236">
        <f t="shared" si="19"/>
        <v>71.5</v>
      </c>
      <c r="AX51" s="236">
        <f t="shared" si="19"/>
        <v>82.8</v>
      </c>
      <c r="AY51" s="236">
        <f t="shared" si="19"/>
        <v>86.800000000000011</v>
      </c>
      <c r="AZ51" s="235">
        <f t="shared" si="19"/>
        <v>314.40000000000003</v>
      </c>
      <c r="BA51" s="236">
        <f>BA53-SUM(BA47,BA49)</f>
        <v>86.1</v>
      </c>
      <c r="BB51" s="236">
        <f>BB53-SUM(BB47,BB49)</f>
        <v>82.4</v>
      </c>
      <c r="BC51" s="236">
        <f>BC53-SUM(BC47,BC49)</f>
        <v>70.3</v>
      </c>
      <c r="BD51" s="236">
        <f>BD53-SUM(BD47,BD49)</f>
        <v>69</v>
      </c>
      <c r="BE51" s="235">
        <f>SUM(BA51:BD51)</f>
        <v>307.8</v>
      </c>
      <c r="BF51" s="240">
        <v>70</v>
      </c>
      <c r="BG51" s="240">
        <v>75</v>
      </c>
      <c r="BH51" s="240">
        <v>75</v>
      </c>
      <c r="BI51" s="240">
        <v>75</v>
      </c>
      <c r="BJ51" s="235">
        <f>SUM(BF51:BI51)</f>
        <v>295</v>
      </c>
      <c r="BK51" s="241"/>
      <c r="BL51" s="241"/>
      <c r="BM51" s="241"/>
      <c r="BN51" s="241"/>
      <c r="BO51" s="235">
        <f>BJ51*(1+BO52)</f>
        <v>306.8</v>
      </c>
      <c r="BP51" s="241"/>
      <c r="BQ51" s="241"/>
      <c r="BR51" s="241"/>
      <c r="BS51" s="241"/>
      <c r="BT51" s="235">
        <f>BO51*(1+BT52)</f>
        <v>319.072</v>
      </c>
      <c r="BU51" s="241"/>
      <c r="BV51" s="241"/>
      <c r="BW51" s="241"/>
      <c r="BX51" s="241"/>
      <c r="BY51" s="235">
        <f>BT51*(1+BY52)</f>
        <v>328.64416</v>
      </c>
      <c r="BZ51" s="241"/>
      <c r="CA51" s="241"/>
      <c r="CB51" s="241"/>
      <c r="CC51" s="241"/>
      <c r="CD51" s="235">
        <f>BY51*(1+CD52)</f>
        <v>335.21704319999998</v>
      </c>
      <c r="CF51" s="242"/>
    </row>
    <row r="52" spans="2:84" s="252" customFormat="1" ht="15" outlineLevel="2">
      <c r="B52" s="262" t="s">
        <v>126</v>
      </c>
      <c r="C52" s="253"/>
      <c r="D52" s="254"/>
      <c r="E52" s="254"/>
      <c r="F52" s="254"/>
      <c r="G52" s="255"/>
      <c r="H52" s="254"/>
      <c r="I52" s="254"/>
      <c r="J52" s="254"/>
      <c r="K52" s="254"/>
      <c r="L52" s="255"/>
      <c r="M52" s="254"/>
      <c r="N52" s="254"/>
      <c r="O52" s="254"/>
      <c r="P52" s="254"/>
      <c r="Q52" s="255"/>
      <c r="R52" s="254"/>
      <c r="S52" s="254"/>
      <c r="T52" s="254"/>
      <c r="U52" s="254"/>
      <c r="V52" s="255"/>
      <c r="W52" s="256"/>
      <c r="X52" s="257"/>
      <c r="Y52" s="257"/>
      <c r="Z52" s="257"/>
      <c r="AA52" s="258"/>
      <c r="AB52" s="256"/>
      <c r="AC52" s="256"/>
      <c r="AD52" s="256"/>
      <c r="AE52" s="256"/>
      <c r="AF52" s="258"/>
      <c r="AG52" s="256"/>
      <c r="AH52" s="256"/>
      <c r="AI52" s="256"/>
      <c r="AJ52" s="256"/>
      <c r="AK52" s="258"/>
      <c r="AL52" s="257"/>
      <c r="AM52" s="257"/>
      <c r="AN52" s="257"/>
      <c r="AO52" s="257"/>
      <c r="AP52" s="258"/>
      <c r="AQ52" s="290"/>
      <c r="AR52" s="257"/>
      <c r="AS52" s="247"/>
      <c r="AT52" s="247"/>
      <c r="AU52" s="258"/>
      <c r="AV52" s="257"/>
      <c r="AW52" s="247"/>
      <c r="AX52" s="247"/>
      <c r="AY52" s="247"/>
      <c r="AZ52" s="258"/>
      <c r="BA52" s="284">
        <f>BA51/AV51-1</f>
        <v>0.17462482946794</v>
      </c>
      <c r="BB52" s="284">
        <f>BB51/AW51-1</f>
        <v>0.15244755244755259</v>
      </c>
      <c r="BC52" s="247">
        <f t="shared" ref="BC52:BJ52" si="20">BC51/AX51-1</f>
        <v>-0.15096618357487923</v>
      </c>
      <c r="BD52" s="247">
        <f t="shared" si="20"/>
        <v>-0.20506912442396319</v>
      </c>
      <c r="BE52" s="246">
        <f t="shared" si="20"/>
        <v>-2.0992366412213803E-2</v>
      </c>
      <c r="BF52" s="247">
        <f t="shared" si="20"/>
        <v>-0.18699186991869909</v>
      </c>
      <c r="BG52" s="247">
        <f t="shared" si="20"/>
        <v>-8.9805825242718518E-2</v>
      </c>
      <c r="BH52" s="247">
        <f t="shared" si="20"/>
        <v>6.6856330014224863E-2</v>
      </c>
      <c r="BI52" s="247">
        <f t="shared" si="20"/>
        <v>8.6956521739130377E-2</v>
      </c>
      <c r="BJ52" s="246">
        <f t="shared" si="20"/>
        <v>-4.1585445094217022E-2</v>
      </c>
      <c r="BK52" s="237"/>
      <c r="BL52" s="237"/>
      <c r="BM52" s="237"/>
      <c r="BN52" s="237"/>
      <c r="BO52" s="248">
        <v>0.04</v>
      </c>
      <c r="BP52" s="237"/>
      <c r="BQ52" s="237"/>
      <c r="BR52" s="237"/>
      <c r="BS52" s="237"/>
      <c r="BT52" s="248">
        <v>0.04</v>
      </c>
      <c r="BU52" s="237"/>
      <c r="BV52" s="237"/>
      <c r="BW52" s="237"/>
      <c r="BX52" s="237"/>
      <c r="BY52" s="248">
        <v>0.03</v>
      </c>
      <c r="BZ52" s="237"/>
      <c r="CA52" s="237"/>
      <c r="CB52" s="237"/>
      <c r="CC52" s="237"/>
      <c r="CD52" s="248">
        <v>0.02</v>
      </c>
      <c r="CF52" s="242"/>
    </row>
    <row r="53" spans="2:84" s="252" customFormat="1">
      <c r="B53" s="298" t="s">
        <v>148</v>
      </c>
      <c r="C53" s="317"/>
      <c r="D53" s="318"/>
      <c r="E53" s="318"/>
      <c r="F53" s="318"/>
      <c r="G53" s="319"/>
      <c r="H53" s="318"/>
      <c r="I53" s="318"/>
      <c r="J53" s="318"/>
      <c r="K53" s="318"/>
      <c r="L53" s="319"/>
      <c r="M53" s="318"/>
      <c r="N53" s="318"/>
      <c r="O53" s="318"/>
      <c r="P53" s="318"/>
      <c r="Q53" s="319"/>
      <c r="R53" s="318"/>
      <c r="S53" s="318"/>
      <c r="T53" s="318"/>
      <c r="U53" s="318"/>
      <c r="V53" s="319"/>
      <c r="W53" s="320"/>
      <c r="X53" s="321"/>
      <c r="Y53" s="321"/>
      <c r="Z53" s="321"/>
      <c r="AA53" s="322"/>
      <c r="AB53" s="320"/>
      <c r="AC53" s="320"/>
      <c r="AD53" s="320"/>
      <c r="AE53" s="320"/>
      <c r="AF53" s="322"/>
      <c r="AG53" s="320"/>
      <c r="AH53" s="320"/>
      <c r="AI53" s="320"/>
      <c r="AJ53" s="320"/>
      <c r="AK53" s="322"/>
      <c r="AL53" s="321"/>
      <c r="AM53" s="321"/>
      <c r="AN53" s="321"/>
      <c r="AO53" s="321"/>
      <c r="AP53" s="322"/>
      <c r="AQ53" s="323"/>
      <c r="AR53" s="321"/>
      <c r="AS53" s="275">
        <v>74.8</v>
      </c>
      <c r="AT53" s="275">
        <v>122.6</v>
      </c>
      <c r="AU53" s="322"/>
      <c r="AV53" s="275">
        <v>99.3</v>
      </c>
      <c r="AW53" s="275">
        <v>116.5</v>
      </c>
      <c r="AX53" s="275">
        <v>117.8</v>
      </c>
      <c r="AY53" s="275">
        <v>131.80000000000001</v>
      </c>
      <c r="AZ53" s="277">
        <f>SUM(AV53:AY53)</f>
        <v>465.40000000000003</v>
      </c>
      <c r="BA53" s="275">
        <v>129.1</v>
      </c>
      <c r="BB53" s="275">
        <v>135.4</v>
      </c>
      <c r="BC53" s="275">
        <v>114.3</v>
      </c>
      <c r="BD53" s="275">
        <v>112</v>
      </c>
      <c r="BE53" s="277">
        <f>SUM(BA53:BD53)</f>
        <v>490.8</v>
      </c>
      <c r="BF53" s="275">
        <f t="shared" ref="BF53:CD53" si="21">SUM(BF47,BF49,,BF51)</f>
        <v>110</v>
      </c>
      <c r="BG53" s="275">
        <f t="shared" si="21"/>
        <v>120</v>
      </c>
      <c r="BH53" s="275">
        <f t="shared" si="21"/>
        <v>130</v>
      </c>
      <c r="BI53" s="275">
        <f t="shared" si="21"/>
        <v>132</v>
      </c>
      <c r="BJ53" s="277">
        <f t="shared" si="21"/>
        <v>492</v>
      </c>
      <c r="BK53" s="28">
        <f t="shared" si="21"/>
        <v>0</v>
      </c>
      <c r="BL53" s="28">
        <f t="shared" si="21"/>
        <v>0</v>
      </c>
      <c r="BM53" s="28">
        <f t="shared" si="21"/>
        <v>0</v>
      </c>
      <c r="BN53" s="28">
        <f t="shared" si="21"/>
        <v>0</v>
      </c>
      <c r="BO53" s="277">
        <f t="shared" si="21"/>
        <v>608.6</v>
      </c>
      <c r="BP53" s="28">
        <f t="shared" si="21"/>
        <v>0</v>
      </c>
      <c r="BQ53" s="28">
        <f t="shared" si="21"/>
        <v>0</v>
      </c>
      <c r="BR53" s="28">
        <f t="shared" si="21"/>
        <v>0</v>
      </c>
      <c r="BS53" s="28">
        <f t="shared" si="21"/>
        <v>0</v>
      </c>
      <c r="BT53" s="277">
        <f t="shared" si="21"/>
        <v>702.94399999999996</v>
      </c>
      <c r="BU53" s="28">
        <f t="shared" si="21"/>
        <v>0</v>
      </c>
      <c r="BV53" s="28">
        <f t="shared" si="21"/>
        <v>0</v>
      </c>
      <c r="BW53" s="28">
        <f t="shared" si="21"/>
        <v>0</v>
      </c>
      <c r="BX53" s="28">
        <f t="shared" si="21"/>
        <v>0</v>
      </c>
      <c r="BY53" s="277">
        <f t="shared" si="21"/>
        <v>816.19360000000006</v>
      </c>
      <c r="BZ53" s="28">
        <f t="shared" si="21"/>
        <v>0</v>
      </c>
      <c r="CA53" s="28">
        <f t="shared" si="21"/>
        <v>0</v>
      </c>
      <c r="CB53" s="28">
        <f t="shared" si="21"/>
        <v>0</v>
      </c>
      <c r="CC53" s="28">
        <f t="shared" si="21"/>
        <v>0</v>
      </c>
      <c r="CD53" s="277">
        <f t="shared" si="21"/>
        <v>901.517472</v>
      </c>
      <c r="CF53" s="278">
        <f>BJ53/$BJ$142</f>
        <v>4.4862876890338806E-2</v>
      </c>
    </row>
    <row r="54" spans="2:84" s="252" customFormat="1">
      <c r="B54" s="309" t="s">
        <v>126</v>
      </c>
      <c r="C54" s="317"/>
      <c r="D54" s="318"/>
      <c r="E54" s="318"/>
      <c r="F54" s="318"/>
      <c r="G54" s="319"/>
      <c r="H54" s="318"/>
      <c r="I54" s="318"/>
      <c r="J54" s="318"/>
      <c r="K54" s="318"/>
      <c r="L54" s="319"/>
      <c r="M54" s="318"/>
      <c r="N54" s="318"/>
      <c r="O54" s="318"/>
      <c r="P54" s="318"/>
      <c r="Q54" s="319"/>
      <c r="R54" s="318"/>
      <c r="S54" s="318"/>
      <c r="T54" s="318"/>
      <c r="U54" s="318"/>
      <c r="V54" s="319"/>
      <c r="W54" s="320"/>
      <c r="X54" s="321"/>
      <c r="Y54" s="321"/>
      <c r="Z54" s="321"/>
      <c r="AA54" s="322"/>
      <c r="AB54" s="320"/>
      <c r="AC54" s="320"/>
      <c r="AD54" s="320"/>
      <c r="AE54" s="320"/>
      <c r="AF54" s="322"/>
      <c r="AG54" s="320"/>
      <c r="AH54" s="320"/>
      <c r="AI54" s="320"/>
      <c r="AJ54" s="320"/>
      <c r="AK54" s="322"/>
      <c r="AL54" s="321"/>
      <c r="AM54" s="321"/>
      <c r="AN54" s="321"/>
      <c r="AO54" s="321"/>
      <c r="AP54" s="322"/>
      <c r="AQ54" s="323"/>
      <c r="AR54" s="321"/>
      <c r="AS54" s="324"/>
      <c r="AT54" s="324"/>
      <c r="AU54" s="322"/>
      <c r="AV54" s="321"/>
      <c r="AW54" s="324"/>
      <c r="AX54" s="281">
        <f t="shared" ref="AX54:AY54" si="22">AX53/AS53-1</f>
        <v>0.57486631016042788</v>
      </c>
      <c r="AY54" s="281">
        <f t="shared" si="22"/>
        <v>7.5040783034257874E-2</v>
      </c>
      <c r="AZ54" s="322"/>
      <c r="BA54" s="281">
        <f>BA53/AV53-1</f>
        <v>0.30010070493454166</v>
      </c>
      <c r="BB54" s="281">
        <f>BB53/AW53-1</f>
        <v>0.16223175965665249</v>
      </c>
      <c r="BC54" s="281">
        <f>BC53/AX53-1</f>
        <v>-2.9711375212224111E-2</v>
      </c>
      <c r="BD54" s="281">
        <f>BD53/AY53-1</f>
        <v>-0.15022761760242798</v>
      </c>
      <c r="BE54" s="282">
        <f>BE53/AZ53-1</f>
        <v>5.4576708207993097E-2</v>
      </c>
      <c r="BF54" s="281">
        <f t="shared" ref="BF54:BI54" si="23">BF53/BA53-1</f>
        <v>-0.14794732765298213</v>
      </c>
      <c r="BG54" s="281">
        <f t="shared" si="23"/>
        <v>-0.11373707533234867</v>
      </c>
      <c r="BH54" s="281">
        <f t="shared" si="23"/>
        <v>0.13735783027121617</v>
      </c>
      <c r="BI54" s="281">
        <f t="shared" si="23"/>
        <v>0.1785714285714286</v>
      </c>
      <c r="BJ54" s="282">
        <f>BJ53/BE53-1</f>
        <v>2.4449877750611915E-3</v>
      </c>
      <c r="BK54" s="28"/>
      <c r="BL54" s="28"/>
      <c r="BM54" s="28"/>
      <c r="BN54" s="28"/>
      <c r="BO54" s="282">
        <f>BO53/BJ53-1</f>
        <v>0.23699186991869925</v>
      </c>
      <c r="BP54" s="28"/>
      <c r="BQ54" s="28"/>
      <c r="BR54" s="28"/>
      <c r="BS54" s="28"/>
      <c r="BT54" s="282">
        <f>BT53/BO53-1</f>
        <v>0.15501807426881364</v>
      </c>
      <c r="BU54" s="28"/>
      <c r="BV54" s="28"/>
      <c r="BW54" s="28"/>
      <c r="BX54" s="28"/>
      <c r="BY54" s="282">
        <f>BY53/BT53-1</f>
        <v>0.1611075704465792</v>
      </c>
      <c r="BZ54" s="28"/>
      <c r="CA54" s="28"/>
      <c r="CB54" s="28"/>
      <c r="CC54" s="28"/>
      <c r="CD54" s="282">
        <f>CD53/BY53-1</f>
        <v>0.10453876629270309</v>
      </c>
      <c r="CF54" s="242"/>
    </row>
    <row r="55" spans="2:84" s="252" customFormat="1">
      <c r="B55" s="325"/>
      <c r="C55" s="317"/>
      <c r="D55" s="318"/>
      <c r="E55" s="318"/>
      <c r="F55" s="318"/>
      <c r="G55" s="319"/>
      <c r="H55" s="318"/>
      <c r="I55" s="318"/>
      <c r="J55" s="318"/>
      <c r="K55" s="318"/>
      <c r="L55" s="319"/>
      <c r="M55" s="318"/>
      <c r="N55" s="318"/>
      <c r="O55" s="318"/>
      <c r="P55" s="318"/>
      <c r="Q55" s="319"/>
      <c r="R55" s="318"/>
      <c r="S55" s="318"/>
      <c r="T55" s="318"/>
      <c r="U55" s="318"/>
      <c r="V55" s="319"/>
      <c r="W55" s="320"/>
      <c r="X55" s="321"/>
      <c r="Y55" s="321"/>
      <c r="Z55" s="321"/>
      <c r="AA55" s="322"/>
      <c r="AB55" s="320"/>
      <c r="AC55" s="320"/>
      <c r="AD55" s="320"/>
      <c r="AE55" s="320"/>
      <c r="AF55" s="322"/>
      <c r="AG55" s="320"/>
      <c r="AH55" s="320"/>
      <c r="AI55" s="320"/>
      <c r="AJ55" s="320"/>
      <c r="AK55" s="322"/>
      <c r="AL55" s="321"/>
      <c r="AM55" s="321"/>
      <c r="AN55" s="321"/>
      <c r="AO55" s="321"/>
      <c r="AP55" s="322"/>
      <c r="AQ55" s="323"/>
      <c r="AR55" s="321"/>
      <c r="AS55" s="324"/>
      <c r="AT55" s="324"/>
      <c r="AU55" s="322"/>
      <c r="AV55" s="321"/>
      <c r="AW55" s="324"/>
      <c r="AX55" s="324"/>
      <c r="AY55" s="324"/>
      <c r="AZ55" s="322"/>
      <c r="BA55" s="321"/>
      <c r="BB55" s="324"/>
      <c r="BC55" s="326"/>
      <c r="BD55" s="326"/>
      <c r="BE55" s="327"/>
      <c r="BF55" s="328"/>
      <c r="BG55" s="328"/>
      <c r="BH55" s="328"/>
      <c r="BI55" s="328"/>
      <c r="BJ55" s="327"/>
      <c r="BK55" s="328"/>
      <c r="BL55" s="328"/>
      <c r="BM55" s="328"/>
      <c r="BN55" s="328"/>
      <c r="BO55" s="327"/>
      <c r="BP55" s="328"/>
      <c r="BQ55" s="328"/>
      <c r="BR55" s="328"/>
      <c r="BS55" s="328"/>
      <c r="BT55" s="327"/>
      <c r="BU55" s="328"/>
      <c r="BV55" s="328"/>
      <c r="BW55" s="328"/>
      <c r="BX55" s="328"/>
      <c r="BY55" s="327"/>
      <c r="BZ55" s="328"/>
      <c r="CA55" s="328"/>
      <c r="CB55" s="328"/>
      <c r="CC55" s="328"/>
      <c r="CD55" s="327"/>
      <c r="CF55" s="242"/>
    </row>
    <row r="56" spans="2:84" s="252" customFormat="1">
      <c r="B56" s="268" t="s">
        <v>149</v>
      </c>
      <c r="C56" s="317"/>
      <c r="D56" s="318"/>
      <c r="E56" s="318"/>
      <c r="F56" s="318"/>
      <c r="G56" s="319"/>
      <c r="H56" s="318"/>
      <c r="I56" s="318"/>
      <c r="J56" s="318"/>
      <c r="K56" s="318"/>
      <c r="L56" s="319"/>
      <c r="M56" s="318"/>
      <c r="N56" s="318"/>
      <c r="O56" s="318"/>
      <c r="P56" s="318"/>
      <c r="Q56" s="319"/>
      <c r="R56" s="318"/>
      <c r="S56" s="318"/>
      <c r="T56" s="318"/>
      <c r="U56" s="318"/>
      <c r="V56" s="319"/>
      <c r="W56" s="320"/>
      <c r="X56" s="321"/>
      <c r="Y56" s="321"/>
      <c r="Z56" s="321"/>
      <c r="AA56" s="322"/>
      <c r="AB56" s="320"/>
      <c r="AC56" s="320"/>
      <c r="AD56" s="320"/>
      <c r="AE56" s="320"/>
      <c r="AF56" s="322"/>
      <c r="AG56" s="320"/>
      <c r="AH56" s="320"/>
      <c r="AI56" s="320"/>
      <c r="AJ56" s="320"/>
      <c r="AK56" s="322"/>
      <c r="AL56" s="321"/>
      <c r="AM56" s="321"/>
      <c r="AN56" s="321"/>
      <c r="AO56" s="321"/>
      <c r="AP56" s="322"/>
      <c r="AQ56" s="323"/>
      <c r="AR56" s="321"/>
      <c r="AS56" s="275">
        <v>24.6</v>
      </c>
      <c r="AT56" s="275">
        <v>37.6</v>
      </c>
      <c r="AU56" s="322"/>
      <c r="AV56" s="275">
        <v>40.9</v>
      </c>
      <c r="AW56" s="275">
        <v>42.1</v>
      </c>
      <c r="AX56" s="275">
        <v>44.8</v>
      </c>
      <c r="AY56" s="275">
        <v>42.6</v>
      </c>
      <c r="AZ56" s="277">
        <f>SUM(AV56:AY56)</f>
        <v>170.4</v>
      </c>
      <c r="BA56" s="275">
        <v>47.7</v>
      </c>
      <c r="BB56" s="275">
        <v>51.2</v>
      </c>
      <c r="BC56" s="329">
        <v>60.4</v>
      </c>
      <c r="BD56" s="329">
        <v>53.5</v>
      </c>
      <c r="BE56" s="277">
        <f>SUM(BA56:BD56)</f>
        <v>212.8</v>
      </c>
      <c r="BF56" s="315">
        <v>55</v>
      </c>
      <c r="BG56" s="315">
        <v>57</v>
      </c>
      <c r="BH56" s="315">
        <v>60</v>
      </c>
      <c r="BI56" s="315">
        <v>65</v>
      </c>
      <c r="BJ56" s="277">
        <f>SUM(BF56:BI56)</f>
        <v>237</v>
      </c>
      <c r="BK56" s="28"/>
      <c r="BL56" s="28"/>
      <c r="BM56" s="28"/>
      <c r="BN56" s="28"/>
      <c r="BO56" s="277">
        <f>BJ56*(1+BO57)</f>
        <v>265.44</v>
      </c>
      <c r="BP56" s="28"/>
      <c r="BQ56" s="28"/>
      <c r="BR56" s="28"/>
      <c r="BS56" s="28"/>
      <c r="BT56" s="277">
        <f>BO56*(1+BT57)</f>
        <v>291.98400000000004</v>
      </c>
      <c r="BU56" s="28"/>
      <c r="BV56" s="28"/>
      <c r="BW56" s="28"/>
      <c r="BX56" s="28"/>
      <c r="BY56" s="277">
        <f>BT56*(1+BY57)</f>
        <v>321.18240000000009</v>
      </c>
      <c r="BZ56" s="28"/>
      <c r="CA56" s="28"/>
      <c r="CB56" s="28"/>
      <c r="CC56" s="28"/>
      <c r="CD56" s="277">
        <f>BY56*(1+CD57)</f>
        <v>353.3006400000001</v>
      </c>
      <c r="CF56" s="278">
        <f>BJ56/$BJ$142</f>
        <v>2.1610776063029059E-2</v>
      </c>
    </row>
    <row r="57" spans="2:84" s="252" customFormat="1">
      <c r="B57" s="309" t="s">
        <v>126</v>
      </c>
      <c r="C57" s="317"/>
      <c r="D57" s="318"/>
      <c r="E57" s="318"/>
      <c r="F57" s="318"/>
      <c r="G57" s="319"/>
      <c r="H57" s="318"/>
      <c r="I57" s="318"/>
      <c r="J57" s="318"/>
      <c r="K57" s="318"/>
      <c r="L57" s="319"/>
      <c r="M57" s="318"/>
      <c r="N57" s="318"/>
      <c r="O57" s="318"/>
      <c r="P57" s="318"/>
      <c r="Q57" s="319"/>
      <c r="R57" s="318"/>
      <c r="S57" s="318"/>
      <c r="T57" s="318"/>
      <c r="U57" s="318"/>
      <c r="V57" s="319"/>
      <c r="W57" s="320"/>
      <c r="X57" s="321"/>
      <c r="Y57" s="321"/>
      <c r="Z57" s="321"/>
      <c r="AA57" s="322"/>
      <c r="AB57" s="320"/>
      <c r="AC57" s="320"/>
      <c r="AD57" s="320"/>
      <c r="AE57" s="320"/>
      <c r="AF57" s="322"/>
      <c r="AG57" s="320"/>
      <c r="AH57" s="320"/>
      <c r="AI57" s="320"/>
      <c r="AJ57" s="320"/>
      <c r="AK57" s="322"/>
      <c r="AL57" s="321"/>
      <c r="AM57" s="321"/>
      <c r="AN57" s="321"/>
      <c r="AO57" s="321"/>
      <c r="AP57" s="322"/>
      <c r="AQ57" s="323"/>
      <c r="AR57" s="321"/>
      <c r="AS57" s="324"/>
      <c r="AT57" s="324"/>
      <c r="AU57" s="322"/>
      <c r="AV57" s="321"/>
      <c r="AW57" s="324"/>
      <c r="AX57" s="281">
        <f t="shared" ref="AX57:AY57" si="24">AX56/AS56-1</f>
        <v>0.82113821138211351</v>
      </c>
      <c r="AY57" s="281">
        <f t="shared" si="24"/>
        <v>0.13297872340425521</v>
      </c>
      <c r="AZ57" s="322"/>
      <c r="BA57" s="281">
        <f>BA56/AV56-1</f>
        <v>0.16625916870415658</v>
      </c>
      <c r="BB57" s="281">
        <f>BB56/AW56-1</f>
        <v>0.21615201900237535</v>
      </c>
      <c r="BC57" s="281">
        <f>BC56/AX56-1</f>
        <v>0.34821428571428581</v>
      </c>
      <c r="BD57" s="324">
        <f t="shared" ref="BD57" si="25">BD56/AY56-1</f>
        <v>0.255868544600939</v>
      </c>
      <c r="BE57" s="282">
        <f>BE56/AZ56-1</f>
        <v>0.24882629107981225</v>
      </c>
      <c r="BF57" s="324">
        <f t="shared" ref="BF57:BI57" si="26">BF56/BA56-1</f>
        <v>0.1530398322851152</v>
      </c>
      <c r="BG57" s="324">
        <f t="shared" si="26"/>
        <v>0.11328125</v>
      </c>
      <c r="BH57" s="324">
        <f t="shared" si="26"/>
        <v>-6.6225165562913135E-3</v>
      </c>
      <c r="BI57" s="324">
        <f t="shared" si="26"/>
        <v>0.2149532710280373</v>
      </c>
      <c r="BJ57" s="282">
        <f>BJ56/BE56-1</f>
        <v>0.11372180451127822</v>
      </c>
      <c r="BK57" s="330"/>
      <c r="BL57" s="330"/>
      <c r="BM57" s="330"/>
      <c r="BN57" s="330"/>
      <c r="BO57" s="331">
        <v>0.12</v>
      </c>
      <c r="BP57" s="330"/>
      <c r="BQ57" s="330"/>
      <c r="BR57" s="330"/>
      <c r="BS57" s="330"/>
      <c r="BT57" s="331">
        <v>0.1</v>
      </c>
      <c r="BU57" s="330"/>
      <c r="BV57" s="330"/>
      <c r="BW57" s="330"/>
      <c r="BX57" s="330"/>
      <c r="BY57" s="331">
        <v>0.1</v>
      </c>
      <c r="BZ57" s="330"/>
      <c r="CA57" s="330"/>
      <c r="CB57" s="330"/>
      <c r="CC57" s="330"/>
      <c r="CD57" s="331">
        <v>0.1</v>
      </c>
      <c r="CF57" s="242"/>
    </row>
    <row r="58" spans="2:84" s="252" customFormat="1">
      <c r="B58" s="325"/>
      <c r="C58" s="317"/>
      <c r="D58" s="318"/>
      <c r="E58" s="318"/>
      <c r="F58" s="318"/>
      <c r="G58" s="319"/>
      <c r="H58" s="318"/>
      <c r="I58" s="318"/>
      <c r="J58" s="318"/>
      <c r="K58" s="318"/>
      <c r="L58" s="319"/>
      <c r="M58" s="318"/>
      <c r="N58" s="318"/>
      <c r="O58" s="318"/>
      <c r="P58" s="318"/>
      <c r="Q58" s="319"/>
      <c r="R58" s="318"/>
      <c r="S58" s="318"/>
      <c r="T58" s="318"/>
      <c r="U58" s="318"/>
      <c r="V58" s="319"/>
      <c r="W58" s="320"/>
      <c r="X58" s="321"/>
      <c r="Y58" s="321"/>
      <c r="Z58" s="321"/>
      <c r="AA58" s="322"/>
      <c r="AB58" s="320"/>
      <c r="AC58" s="320"/>
      <c r="AD58" s="320"/>
      <c r="AE58" s="320"/>
      <c r="AF58" s="322"/>
      <c r="AG58" s="320"/>
      <c r="AH58" s="320"/>
      <c r="AI58" s="320"/>
      <c r="AJ58" s="320"/>
      <c r="AK58" s="322"/>
      <c r="AL58" s="321"/>
      <c r="AM58" s="321"/>
      <c r="AN58" s="321"/>
      <c r="AO58" s="321"/>
      <c r="AP58" s="322"/>
      <c r="AQ58" s="323"/>
      <c r="AR58" s="321"/>
      <c r="AS58" s="324"/>
      <c r="AT58" s="324"/>
      <c r="AU58" s="322"/>
      <c r="AV58" s="321"/>
      <c r="AW58" s="324"/>
      <c r="AX58" s="324"/>
      <c r="AY58" s="324"/>
      <c r="AZ58" s="322"/>
      <c r="BA58" s="321"/>
      <c r="BB58" s="324"/>
      <c r="BC58" s="324"/>
      <c r="BD58" s="324"/>
      <c r="BE58" s="282"/>
      <c r="BF58" s="28"/>
      <c r="BG58" s="28"/>
      <c r="BH58" s="28"/>
      <c r="BI58" s="28"/>
      <c r="BJ58" s="276"/>
      <c r="BK58" s="28"/>
      <c r="BL58" s="28"/>
      <c r="BM58" s="28"/>
      <c r="BN58" s="28"/>
      <c r="BO58" s="276"/>
      <c r="BP58" s="28"/>
      <c r="BQ58" s="28"/>
      <c r="BR58" s="28"/>
      <c r="BS58" s="28"/>
      <c r="BT58" s="276"/>
      <c r="BU58" s="28"/>
      <c r="BV58" s="28"/>
      <c r="BW58" s="28"/>
      <c r="BX58" s="28"/>
      <c r="BY58" s="276"/>
      <c r="BZ58" s="28"/>
      <c r="CA58" s="28"/>
      <c r="CB58" s="28"/>
      <c r="CC58" s="28"/>
      <c r="CD58" s="276"/>
      <c r="CF58" s="242"/>
    </row>
    <row r="59" spans="2:84" s="285" customFormat="1">
      <c r="B59" s="298" t="s">
        <v>150</v>
      </c>
      <c r="C59" s="310"/>
      <c r="D59" s="310"/>
      <c r="E59" s="310"/>
      <c r="F59" s="310"/>
      <c r="G59" s="311"/>
      <c r="H59" s="310"/>
      <c r="I59" s="310"/>
      <c r="J59" s="310"/>
      <c r="K59" s="310"/>
      <c r="L59" s="311"/>
      <c r="M59" s="310"/>
      <c r="N59" s="310"/>
      <c r="O59" s="310"/>
      <c r="P59" s="310"/>
      <c r="Q59" s="311"/>
      <c r="R59" s="310"/>
      <c r="S59" s="310"/>
      <c r="T59" s="310"/>
      <c r="U59" s="310"/>
      <c r="V59" s="311"/>
      <c r="W59" s="310"/>
      <c r="X59" s="310"/>
      <c r="Y59" s="310"/>
      <c r="Z59" s="310"/>
      <c r="AA59" s="311"/>
      <c r="AB59" s="310"/>
      <c r="AC59" s="310"/>
      <c r="AD59" s="310"/>
      <c r="AE59" s="310"/>
      <c r="AF59" s="311"/>
      <c r="AG59" s="310"/>
      <c r="AH59" s="310"/>
      <c r="AI59" s="310"/>
      <c r="AJ59" s="310"/>
      <c r="AK59" s="311"/>
      <c r="AL59" s="314"/>
      <c r="AM59" s="313"/>
      <c r="AN59" s="314"/>
      <c r="AO59" s="315"/>
      <c r="AP59" s="311"/>
      <c r="AQ59" s="316"/>
      <c r="AR59" s="310"/>
      <c r="AS59" s="275">
        <v>31.1</v>
      </c>
      <c r="AT59" s="275">
        <v>59.3</v>
      </c>
      <c r="AU59" s="311"/>
      <c r="AV59" s="275">
        <v>48.3</v>
      </c>
      <c r="AW59" s="275">
        <v>56.2</v>
      </c>
      <c r="AX59" s="275">
        <v>54</v>
      </c>
      <c r="AY59" s="275">
        <v>56.6</v>
      </c>
      <c r="AZ59" s="277">
        <f>SUM(AV59:AY59)</f>
        <v>215.1</v>
      </c>
      <c r="BA59" s="275">
        <v>48.1</v>
      </c>
      <c r="BB59" s="275">
        <v>56.5</v>
      </c>
      <c r="BC59" s="329">
        <v>54.6</v>
      </c>
      <c r="BD59" s="329">
        <v>65.400000000000006</v>
      </c>
      <c r="BE59" s="277">
        <f>SUM(BA59:BD59)</f>
        <v>224.6</v>
      </c>
      <c r="BF59" s="315">
        <v>75</v>
      </c>
      <c r="BG59" s="315">
        <v>77</v>
      </c>
      <c r="BH59" s="315">
        <v>78</v>
      </c>
      <c r="BI59" s="315">
        <v>80</v>
      </c>
      <c r="BJ59" s="332">
        <f>SUM(BF59:BI59)</f>
        <v>310</v>
      </c>
      <c r="BO59" s="332">
        <f>BJ59*(1+BO60)</f>
        <v>319.3</v>
      </c>
      <c r="BT59" s="332">
        <f>BO59*(1+BT60)</f>
        <v>328.87900000000002</v>
      </c>
      <c r="BY59" s="332">
        <f>BT59*(1+BY60)</f>
        <v>335.45658000000003</v>
      </c>
      <c r="CD59" s="332">
        <f>BY59*(1+CD60)</f>
        <v>342.16571160000007</v>
      </c>
      <c r="CF59" s="278">
        <f>BJ59/$BJ$142</f>
        <v>2.8267259829278517E-2</v>
      </c>
    </row>
    <row r="60" spans="2:84" s="285" customFormat="1">
      <c r="B60" s="309" t="s">
        <v>126</v>
      </c>
      <c r="C60" s="310"/>
      <c r="D60" s="310"/>
      <c r="E60" s="310"/>
      <c r="F60" s="310"/>
      <c r="G60" s="311"/>
      <c r="H60" s="310"/>
      <c r="I60" s="310"/>
      <c r="J60" s="310"/>
      <c r="K60" s="310"/>
      <c r="L60" s="311"/>
      <c r="M60" s="310"/>
      <c r="N60" s="310"/>
      <c r="O60" s="310"/>
      <c r="P60" s="310"/>
      <c r="Q60" s="311"/>
      <c r="R60" s="310"/>
      <c r="S60" s="310"/>
      <c r="T60" s="310"/>
      <c r="U60" s="310"/>
      <c r="V60" s="311"/>
      <c r="W60" s="310"/>
      <c r="X60" s="310"/>
      <c r="Y60" s="310"/>
      <c r="Z60" s="310"/>
      <c r="AA60" s="311"/>
      <c r="AB60" s="310"/>
      <c r="AC60" s="310"/>
      <c r="AD60" s="310"/>
      <c r="AE60" s="310"/>
      <c r="AF60" s="311"/>
      <c r="AG60" s="310"/>
      <c r="AH60" s="310"/>
      <c r="AI60" s="310"/>
      <c r="AJ60" s="310"/>
      <c r="AK60" s="311"/>
      <c r="AL60" s="314"/>
      <c r="AM60" s="313"/>
      <c r="AN60" s="314"/>
      <c r="AO60" s="315"/>
      <c r="AP60" s="311"/>
      <c r="AQ60" s="316"/>
      <c r="AR60" s="310"/>
      <c r="AS60" s="310"/>
      <c r="AT60" s="310"/>
      <c r="AU60" s="311"/>
      <c r="AV60" s="310"/>
      <c r="AW60" s="310"/>
      <c r="AX60" s="281">
        <f t="shared" ref="AX60:AY60" si="27">AX59/AS59-1</f>
        <v>0.7363344051446945</v>
      </c>
      <c r="AY60" s="281">
        <f t="shared" si="27"/>
        <v>-4.5531197301854953E-2</v>
      </c>
      <c r="AZ60" s="311"/>
      <c r="BA60" s="281">
        <f>BA59/AV59-1</f>
        <v>-4.1407867494822614E-3</v>
      </c>
      <c r="BB60" s="281">
        <f>BB59/AW59-1</f>
        <v>5.3380782918148739E-3</v>
      </c>
      <c r="BC60" s="281">
        <f>BC59/AX59-1</f>
        <v>1.1111111111111072E-2</v>
      </c>
      <c r="BD60" s="324">
        <f t="shared" ref="BD60" si="28">BD59/AY59-1</f>
        <v>0.15547703180212014</v>
      </c>
      <c r="BE60" s="282">
        <f>BE59/AZ59-1</f>
        <v>4.4165504416550538E-2</v>
      </c>
      <c r="BF60" s="324">
        <f t="shared" ref="BF60:BI60" si="29">BF59/BA59-1</f>
        <v>0.55925155925155923</v>
      </c>
      <c r="BG60" s="324">
        <f t="shared" si="29"/>
        <v>0.36283185840707954</v>
      </c>
      <c r="BH60" s="324">
        <f t="shared" si="29"/>
        <v>0.4285714285714286</v>
      </c>
      <c r="BI60" s="324">
        <f t="shared" si="29"/>
        <v>0.2232415902140672</v>
      </c>
      <c r="BJ60" s="282">
        <f>BJ59/BE59-1</f>
        <v>0.38023152270703475</v>
      </c>
      <c r="BK60" s="333"/>
      <c r="BL60" s="333"/>
      <c r="BM60" s="333"/>
      <c r="BN60" s="333"/>
      <c r="BO60" s="334">
        <v>0.03</v>
      </c>
      <c r="BP60" s="333"/>
      <c r="BQ60" s="333"/>
      <c r="BR60" s="333"/>
      <c r="BS60" s="333"/>
      <c r="BT60" s="334">
        <v>0.03</v>
      </c>
      <c r="BU60" s="333"/>
      <c r="BV60" s="333"/>
      <c r="BW60" s="333"/>
      <c r="BX60" s="333"/>
      <c r="BY60" s="334">
        <v>0.02</v>
      </c>
      <c r="BZ60" s="333"/>
      <c r="CA60" s="333"/>
      <c r="CB60" s="333"/>
      <c r="CC60" s="333"/>
      <c r="CD60" s="334">
        <v>0.02</v>
      </c>
      <c r="CF60" s="229"/>
    </row>
    <row r="61" spans="2:84" s="285" customFormat="1">
      <c r="B61" s="309"/>
      <c r="C61" s="310"/>
      <c r="D61" s="310"/>
      <c r="E61" s="310"/>
      <c r="F61" s="310"/>
      <c r="G61" s="311"/>
      <c r="H61" s="310"/>
      <c r="I61" s="310"/>
      <c r="J61" s="310"/>
      <c r="K61" s="310"/>
      <c r="L61" s="311"/>
      <c r="M61" s="310"/>
      <c r="N61" s="310"/>
      <c r="O61" s="310"/>
      <c r="P61" s="310"/>
      <c r="Q61" s="311"/>
      <c r="R61" s="310"/>
      <c r="S61" s="310"/>
      <c r="T61" s="310"/>
      <c r="U61" s="310"/>
      <c r="V61" s="311"/>
      <c r="W61" s="310"/>
      <c r="X61" s="310"/>
      <c r="Y61" s="310"/>
      <c r="Z61" s="310"/>
      <c r="AA61" s="311"/>
      <c r="AB61" s="310"/>
      <c r="AC61" s="310"/>
      <c r="AD61" s="310"/>
      <c r="AE61" s="310"/>
      <c r="AF61" s="311"/>
      <c r="AG61" s="310"/>
      <c r="AH61" s="310"/>
      <c r="AI61" s="310"/>
      <c r="AJ61" s="310"/>
      <c r="AK61" s="311"/>
      <c r="AL61" s="314"/>
      <c r="AM61" s="313"/>
      <c r="AN61" s="314"/>
      <c r="AO61" s="315"/>
      <c r="AP61" s="311"/>
      <c r="AQ61" s="316"/>
      <c r="AR61" s="310"/>
      <c r="AS61" s="310"/>
      <c r="AT61" s="310"/>
      <c r="AU61" s="311"/>
      <c r="AV61" s="310"/>
      <c r="AW61" s="310"/>
      <c r="AX61" s="310"/>
      <c r="AY61" s="310"/>
      <c r="AZ61" s="311"/>
      <c r="BA61" s="310"/>
      <c r="BB61" s="310"/>
      <c r="BC61" s="310"/>
      <c r="BD61" s="310"/>
      <c r="BE61" s="311"/>
      <c r="BJ61" s="311"/>
      <c r="BO61" s="311"/>
      <c r="BT61" s="311"/>
      <c r="BY61" s="311"/>
      <c r="CD61" s="311"/>
      <c r="CF61" s="229"/>
    </row>
    <row r="62" spans="2:84" s="285" customFormat="1" outlineLevel="1">
      <c r="B62" s="230" t="s">
        <v>151</v>
      </c>
      <c r="C62" s="236"/>
      <c r="D62" s="236"/>
      <c r="E62" s="236"/>
      <c r="F62" s="236"/>
      <c r="G62" s="235"/>
      <c r="H62" s="236"/>
      <c r="I62" s="236"/>
      <c r="J62" s="236"/>
      <c r="K62" s="236"/>
      <c r="L62" s="235"/>
      <c r="M62" s="236"/>
      <c r="N62" s="236"/>
      <c r="O62" s="236"/>
      <c r="P62" s="236"/>
      <c r="Q62" s="235"/>
      <c r="R62" s="236"/>
      <c r="S62" s="236"/>
      <c r="T62" s="236"/>
      <c r="U62" s="236"/>
      <c r="V62" s="235"/>
      <c r="W62" s="236"/>
      <c r="X62" s="236"/>
      <c r="Y62" s="236"/>
      <c r="Z62" s="236"/>
      <c r="AA62" s="235"/>
      <c r="AB62" s="236"/>
      <c r="AC62" s="236"/>
      <c r="AD62" s="236"/>
      <c r="AE62" s="236"/>
      <c r="AF62" s="235"/>
      <c r="AG62" s="236"/>
      <c r="AH62" s="236"/>
      <c r="AI62" s="236"/>
      <c r="AJ62" s="236"/>
      <c r="AK62" s="235"/>
      <c r="AL62" s="288"/>
      <c r="AM62" s="239"/>
      <c r="AN62" s="288"/>
      <c r="AO62" s="240"/>
      <c r="AP62" s="235"/>
      <c r="AQ62" s="289"/>
      <c r="AR62" s="236"/>
      <c r="AS62" s="236"/>
      <c r="AT62" s="236"/>
      <c r="AU62" s="235"/>
      <c r="AV62" s="236"/>
      <c r="AW62" s="236"/>
      <c r="AX62" s="236"/>
      <c r="AY62" s="236"/>
      <c r="AZ62" s="235"/>
      <c r="BA62" s="236"/>
      <c r="BB62" s="236"/>
      <c r="BC62" s="236"/>
      <c r="BD62" s="335"/>
      <c r="BE62" s="235"/>
      <c r="BF62" s="241"/>
      <c r="BG62" s="241"/>
      <c r="BH62" s="241"/>
      <c r="BI62" s="241"/>
      <c r="BJ62" s="235"/>
      <c r="BK62" s="241"/>
      <c r="BL62" s="241"/>
      <c r="BM62" s="241"/>
      <c r="BN62" s="241"/>
      <c r="BO62" s="235"/>
      <c r="BP62" s="241"/>
      <c r="BQ62" s="241"/>
      <c r="BR62" s="241"/>
      <c r="BS62" s="241"/>
      <c r="BT62" s="235"/>
      <c r="BU62" s="241"/>
      <c r="BV62" s="241"/>
      <c r="BW62" s="241"/>
      <c r="BX62" s="241"/>
      <c r="BY62" s="235"/>
      <c r="BZ62" s="241"/>
      <c r="CA62" s="241"/>
      <c r="CB62" s="241"/>
      <c r="CC62" s="241"/>
      <c r="CD62" s="235"/>
      <c r="CF62" s="229"/>
    </row>
    <row r="63" spans="2:84" s="28" customFormat="1" outlineLevel="2">
      <c r="B63" s="238" t="s">
        <v>152</v>
      </c>
      <c r="C63" s="336">
        <v>36.799999999999997</v>
      </c>
      <c r="D63" s="336">
        <v>70.5</v>
      </c>
      <c r="E63" s="336">
        <v>109.3</v>
      </c>
      <c r="F63" s="336">
        <v>137.69999999999999</v>
      </c>
      <c r="G63" s="337">
        <f>SUM(C63:F63)</f>
        <v>354.29999999999995</v>
      </c>
      <c r="H63" s="336">
        <v>65</v>
      </c>
      <c r="I63" s="336">
        <v>114</v>
      </c>
      <c r="J63" s="336">
        <v>123.3</v>
      </c>
      <c r="K63" s="336">
        <v>148.1</v>
      </c>
      <c r="L63" s="337">
        <f>SUM(H63:K63)</f>
        <v>450.4</v>
      </c>
      <c r="M63" s="336">
        <v>61.405000000000001</v>
      </c>
      <c r="N63" s="336">
        <v>53.048000000000002</v>
      </c>
      <c r="O63" s="336">
        <v>53.515999999999998</v>
      </c>
      <c r="P63" s="336">
        <v>44.356000000000002</v>
      </c>
      <c r="Q63" s="337">
        <f>SUM(M63:P63)</f>
        <v>212.32499999999999</v>
      </c>
      <c r="R63" s="336">
        <v>58.856000000000002</v>
      </c>
      <c r="S63" s="336">
        <v>30.42</v>
      </c>
      <c r="T63" s="336">
        <v>16.587</v>
      </c>
      <c r="U63" s="336">
        <v>14.882</v>
      </c>
      <c r="V63" s="337">
        <f>SUM(R63:U63)</f>
        <v>120.74500000000002</v>
      </c>
      <c r="W63" s="236">
        <v>20.12</v>
      </c>
      <c r="X63" s="236">
        <v>37.134999999999998</v>
      </c>
      <c r="Y63" s="236">
        <v>58.606000000000002</v>
      </c>
      <c r="Z63" s="236">
        <v>57.427</v>
      </c>
      <c r="AA63" s="235">
        <f>SUM(W63:Z63)</f>
        <v>173.28799999999998</v>
      </c>
      <c r="AB63" s="236">
        <v>49.79</v>
      </c>
      <c r="AC63" s="236">
        <v>53.984000000000002</v>
      </c>
      <c r="AD63" s="236">
        <v>52.136000000000003</v>
      </c>
      <c r="AE63" s="236">
        <v>32.1</v>
      </c>
      <c r="AF63" s="235">
        <f>SUM(AB63:AE63)</f>
        <v>188.01</v>
      </c>
      <c r="AG63" s="236">
        <f>33.9+12.5</f>
        <v>46.4</v>
      </c>
      <c r="AH63" s="236">
        <v>39.799999999999997</v>
      </c>
      <c r="AI63" s="236">
        <v>35.1</v>
      </c>
      <c r="AJ63" s="236">
        <f>159.2-AG63-AH63-AI63</f>
        <v>37.899999999999984</v>
      </c>
      <c r="AK63" s="235">
        <f>SUM(AG63:AJ63)</f>
        <v>159.19999999999996</v>
      </c>
      <c r="AL63" s="287">
        <v>33.9</v>
      </c>
      <c r="AM63" s="236">
        <v>31.8</v>
      </c>
      <c r="AN63" s="236">
        <v>35.1</v>
      </c>
      <c r="AO63" s="236">
        <v>38</v>
      </c>
      <c r="AP63" s="235">
        <f>SUM(AL63:AO63)</f>
        <v>138.80000000000001</v>
      </c>
      <c r="AQ63" s="289">
        <v>38</v>
      </c>
      <c r="AR63" s="236">
        <v>40</v>
      </c>
      <c r="AS63" s="236">
        <v>40</v>
      </c>
      <c r="AT63" s="236">
        <v>40</v>
      </c>
      <c r="AU63" s="235">
        <f>SUM(AQ63:AT63)</f>
        <v>158</v>
      </c>
      <c r="AV63" s="239">
        <v>60</v>
      </c>
      <c r="AW63" s="239">
        <v>64</v>
      </c>
      <c r="AX63" s="239">
        <v>72</v>
      </c>
      <c r="AY63" s="239">
        <v>74</v>
      </c>
      <c r="AZ63" s="235">
        <f>SUM(AV63:AY63)</f>
        <v>270</v>
      </c>
      <c r="BA63" s="239">
        <v>68</v>
      </c>
      <c r="BB63" s="239">
        <v>67</v>
      </c>
      <c r="BC63" s="239">
        <v>92</v>
      </c>
      <c r="BD63" s="239">
        <v>93</v>
      </c>
      <c r="BE63" s="235">
        <f>SUM(BA63:BD63)</f>
        <v>320</v>
      </c>
      <c r="BF63" s="240">
        <v>75</v>
      </c>
      <c r="BG63" s="240">
        <v>80</v>
      </c>
      <c r="BH63" s="240">
        <v>80</v>
      </c>
      <c r="BI63" s="240">
        <v>80</v>
      </c>
      <c r="BJ63" s="235">
        <f>SUM(BF63:BI63)</f>
        <v>315</v>
      </c>
      <c r="BK63" s="241"/>
      <c r="BL63" s="241"/>
      <c r="BM63" s="241"/>
      <c r="BN63" s="241"/>
      <c r="BO63" s="235">
        <f>BJ63*(1+BO64)</f>
        <v>321.3</v>
      </c>
      <c r="BP63" s="241"/>
      <c r="BQ63" s="241"/>
      <c r="BR63" s="241"/>
      <c r="BS63" s="241"/>
      <c r="BT63" s="235">
        <f>BO63*(1+BT64)</f>
        <v>321.3</v>
      </c>
      <c r="BU63" s="241"/>
      <c r="BV63" s="241"/>
      <c r="BW63" s="241"/>
      <c r="BX63" s="241"/>
      <c r="BY63" s="235">
        <f>BT63*(1+BY64)</f>
        <v>305.23500000000001</v>
      </c>
      <c r="BZ63" s="241"/>
      <c r="CA63" s="241"/>
      <c r="CB63" s="241"/>
      <c r="CC63" s="241"/>
      <c r="CD63" s="235">
        <f>BY63*(1+CD64)</f>
        <v>289.97325000000001</v>
      </c>
      <c r="CF63" s="229"/>
    </row>
    <row r="64" spans="2:84" s="342" customFormat="1" outlineLevel="2">
      <c r="B64" s="245" t="s">
        <v>126</v>
      </c>
      <c r="C64" s="338"/>
      <c r="D64" s="338"/>
      <c r="E64" s="338"/>
      <c r="F64" s="338"/>
      <c r="G64" s="251"/>
      <c r="H64" s="338">
        <f t="shared" ref="H64:AO64" si="30">H63/C63-1</f>
        <v>0.76630434782608714</v>
      </c>
      <c r="I64" s="338">
        <f t="shared" si="30"/>
        <v>0.61702127659574457</v>
      </c>
      <c r="J64" s="338">
        <f t="shared" si="30"/>
        <v>0.12808783165599258</v>
      </c>
      <c r="K64" s="338">
        <f t="shared" si="30"/>
        <v>7.5526506899056045E-2</v>
      </c>
      <c r="L64" s="251">
        <f t="shared" si="30"/>
        <v>0.27123906294101063</v>
      </c>
      <c r="M64" s="338">
        <f t="shared" si="30"/>
        <v>-5.530769230769228E-2</v>
      </c>
      <c r="N64" s="338">
        <f t="shared" si="30"/>
        <v>-0.53466666666666662</v>
      </c>
      <c r="O64" s="338">
        <f t="shared" si="30"/>
        <v>-0.56596918085969183</v>
      </c>
      <c r="P64" s="338">
        <f t="shared" si="30"/>
        <v>-0.70049966239027683</v>
      </c>
      <c r="Q64" s="251">
        <f t="shared" si="30"/>
        <v>-0.52858570159857909</v>
      </c>
      <c r="R64" s="338">
        <f t="shared" si="30"/>
        <v>-4.1511277583258677E-2</v>
      </c>
      <c r="S64" s="338">
        <f t="shared" si="30"/>
        <v>-0.42655708038003315</v>
      </c>
      <c r="T64" s="338">
        <f t="shared" si="30"/>
        <v>-0.69005531056132741</v>
      </c>
      <c r="U64" s="338">
        <f t="shared" si="30"/>
        <v>-0.66448732978627478</v>
      </c>
      <c r="V64" s="251">
        <f t="shared" si="30"/>
        <v>-0.43131991051454122</v>
      </c>
      <c r="W64" s="247">
        <f t="shared" si="30"/>
        <v>-0.65814870191654207</v>
      </c>
      <c r="X64" s="247">
        <f t="shared" si="30"/>
        <v>0.22074293228139363</v>
      </c>
      <c r="Y64" s="247">
        <f t="shared" si="30"/>
        <v>2.53324892988485</v>
      </c>
      <c r="Z64" s="247">
        <f t="shared" si="30"/>
        <v>2.8588227388791831</v>
      </c>
      <c r="AA64" s="251">
        <f t="shared" si="30"/>
        <v>0.43515673526854082</v>
      </c>
      <c r="AB64" s="247">
        <f t="shared" si="30"/>
        <v>1.4746520874751488</v>
      </c>
      <c r="AC64" s="247">
        <f t="shared" si="30"/>
        <v>0.45372290292177198</v>
      </c>
      <c r="AD64" s="247">
        <f t="shared" si="30"/>
        <v>-0.11039825273862747</v>
      </c>
      <c r="AE64" s="247">
        <f t="shared" si="30"/>
        <v>-0.44102948090619387</v>
      </c>
      <c r="AF64" s="251">
        <f t="shared" si="30"/>
        <v>8.4956834864503117E-2</v>
      </c>
      <c r="AG64" s="247">
        <f t="shared" si="30"/>
        <v>-6.8085961036352671E-2</v>
      </c>
      <c r="AH64" s="247">
        <f t="shared" si="30"/>
        <v>-0.26274451689389455</v>
      </c>
      <c r="AI64" s="247">
        <f t="shared" si="30"/>
        <v>-0.32676077949976989</v>
      </c>
      <c r="AJ64" s="247">
        <f t="shared" si="30"/>
        <v>0.18068535825545107</v>
      </c>
      <c r="AK64" s="251">
        <f t="shared" si="30"/>
        <v>-0.15323652997181014</v>
      </c>
      <c r="AL64" s="247">
        <f t="shared" si="30"/>
        <v>-0.2693965517241379</v>
      </c>
      <c r="AM64" s="247">
        <f t="shared" si="30"/>
        <v>-0.20100502512562801</v>
      </c>
      <c r="AN64" s="247">
        <f t="shared" si="30"/>
        <v>0</v>
      </c>
      <c r="AO64" s="247">
        <f t="shared" si="30"/>
        <v>2.6385224274410035E-3</v>
      </c>
      <c r="AP64" s="251">
        <f>AP63/AK63-1</f>
        <v>-0.12814070351758766</v>
      </c>
      <c r="AQ64" s="339">
        <v>0.1</v>
      </c>
      <c r="AR64" s="295">
        <v>0.1</v>
      </c>
      <c r="AS64" s="295">
        <v>0.1</v>
      </c>
      <c r="AT64" s="295">
        <v>0.1</v>
      </c>
      <c r="AU64" s="251">
        <f>AU63/AP63-1</f>
        <v>0.13832853025936598</v>
      </c>
      <c r="AV64" s="247">
        <v>0.57894736842105265</v>
      </c>
      <c r="AW64" s="247">
        <v>0.60000000000000009</v>
      </c>
      <c r="AX64" s="247">
        <v>0.8</v>
      </c>
      <c r="AY64" s="247">
        <v>0.85000000000000009</v>
      </c>
      <c r="AZ64" s="251">
        <f>AZ63/AU63-1</f>
        <v>0.70886075949367089</v>
      </c>
      <c r="BA64" s="247">
        <v>0.1333333333333333</v>
      </c>
      <c r="BB64" s="247">
        <v>4.6875E-2</v>
      </c>
      <c r="BC64" s="247">
        <f t="shared" ref="BC64:BD64" si="31">BC63/AX63-1</f>
        <v>0.27777777777777768</v>
      </c>
      <c r="BD64" s="247">
        <f t="shared" si="31"/>
        <v>0.2567567567567568</v>
      </c>
      <c r="BE64" s="251">
        <f>BE63/AZ63-1</f>
        <v>0.18518518518518512</v>
      </c>
      <c r="BF64" s="247">
        <f t="shared" ref="BF64:BI64" si="32">BF63/BA63-1</f>
        <v>0.10294117647058831</v>
      </c>
      <c r="BG64" s="247">
        <f t="shared" si="32"/>
        <v>0.19402985074626855</v>
      </c>
      <c r="BH64" s="247">
        <f t="shared" si="32"/>
        <v>-0.13043478260869568</v>
      </c>
      <c r="BI64" s="247">
        <f t="shared" si="32"/>
        <v>-0.13978494623655913</v>
      </c>
      <c r="BJ64" s="251">
        <f>BJ63/BE63-1</f>
        <v>-1.5625E-2</v>
      </c>
      <c r="BK64" s="340"/>
      <c r="BL64" s="340"/>
      <c r="BM64" s="340"/>
      <c r="BN64" s="340"/>
      <c r="BO64" s="341">
        <v>0.02</v>
      </c>
      <c r="BP64" s="340"/>
      <c r="BQ64" s="340"/>
      <c r="BR64" s="340"/>
      <c r="BS64" s="340"/>
      <c r="BT64" s="341">
        <v>0</v>
      </c>
      <c r="BU64" s="340"/>
      <c r="BV64" s="340"/>
      <c r="BW64" s="340"/>
      <c r="BX64" s="340"/>
      <c r="BY64" s="341">
        <v>-0.05</v>
      </c>
      <c r="BZ64" s="340"/>
      <c r="CA64" s="340"/>
      <c r="CB64" s="340"/>
      <c r="CC64" s="340"/>
      <c r="CD64" s="341">
        <v>-0.05</v>
      </c>
      <c r="CF64" s="343"/>
    </row>
    <row r="65" spans="1:84" s="28" customFormat="1" outlineLevel="2">
      <c r="B65" s="238" t="s">
        <v>153</v>
      </c>
      <c r="C65" s="336"/>
      <c r="D65" s="336"/>
      <c r="E65" s="336"/>
      <c r="F65" s="336"/>
      <c r="G65" s="337"/>
      <c r="H65" s="336"/>
      <c r="I65" s="336"/>
      <c r="J65" s="336"/>
      <c r="K65" s="336"/>
      <c r="L65" s="337"/>
      <c r="M65" s="336">
        <v>0</v>
      </c>
      <c r="N65" s="336">
        <v>0</v>
      </c>
      <c r="O65" s="336">
        <v>0</v>
      </c>
      <c r="P65" s="336">
        <v>0</v>
      </c>
      <c r="Q65" s="337">
        <f>SUM(M65:P65)</f>
        <v>0</v>
      </c>
      <c r="R65" s="336">
        <v>0</v>
      </c>
      <c r="S65" s="336">
        <v>0</v>
      </c>
      <c r="T65" s="336">
        <v>0.46600000000000003</v>
      </c>
      <c r="U65" s="336">
        <v>3.27</v>
      </c>
      <c r="V65" s="337">
        <f>SUM(R65:U65)</f>
        <v>3.7360000000000002</v>
      </c>
      <c r="W65" s="236">
        <v>6.6829999999999998</v>
      </c>
      <c r="X65" s="236">
        <v>11.048</v>
      </c>
      <c r="Y65" s="236">
        <v>13.692</v>
      </c>
      <c r="Z65" s="236">
        <v>17.010000000000002</v>
      </c>
      <c r="AA65" s="235">
        <f>SUM(W65:Z65)</f>
        <v>48.433000000000007</v>
      </c>
      <c r="AB65" s="236">
        <v>16.11</v>
      </c>
      <c r="AC65" s="236">
        <v>20.216000000000001</v>
      </c>
      <c r="AD65" s="236">
        <v>21.852</v>
      </c>
      <c r="AE65" s="236">
        <v>13.6</v>
      </c>
      <c r="AF65" s="235">
        <f>SUM(AB65:AE65)</f>
        <v>71.777999999999992</v>
      </c>
      <c r="AG65" s="236">
        <f>31-9.6</f>
        <v>21.4</v>
      </c>
      <c r="AH65" s="236">
        <v>26.3</v>
      </c>
      <c r="AI65" s="236">
        <v>25.6</v>
      </c>
      <c r="AJ65" s="236">
        <f>105.2-AG65-AH65-AI65</f>
        <v>31.900000000000013</v>
      </c>
      <c r="AK65" s="235">
        <f>SUM(AG65:AJ65)</f>
        <v>105.20000000000002</v>
      </c>
      <c r="AL65" s="236">
        <v>31</v>
      </c>
      <c r="AM65" s="236">
        <v>30</v>
      </c>
      <c r="AN65" s="344">
        <v>32</v>
      </c>
      <c r="AO65" s="236">
        <v>34</v>
      </c>
      <c r="AP65" s="235">
        <f>SUM(AL65:AO65)</f>
        <v>127</v>
      </c>
      <c r="AQ65" s="345">
        <v>36</v>
      </c>
      <c r="AR65" s="240">
        <v>38</v>
      </c>
      <c r="AS65" s="240">
        <v>40</v>
      </c>
      <c r="AT65" s="240">
        <v>45</v>
      </c>
      <c r="AU65" s="235">
        <f>SUM(AQ65:AT65)</f>
        <v>159</v>
      </c>
      <c r="AV65" s="239">
        <v>50</v>
      </c>
      <c r="AW65" s="239">
        <v>54</v>
      </c>
      <c r="AX65" s="239">
        <v>56</v>
      </c>
      <c r="AY65" s="239">
        <v>52</v>
      </c>
      <c r="AZ65" s="235">
        <f>SUM(AV65:AY65)</f>
        <v>212</v>
      </c>
      <c r="BA65" s="236">
        <v>57</v>
      </c>
      <c r="BB65" s="236">
        <v>66</v>
      </c>
      <c r="BC65" s="236">
        <v>73</v>
      </c>
      <c r="BD65" s="236">
        <v>50</v>
      </c>
      <c r="BE65" s="235">
        <f>SUM(BA65:BD65)</f>
        <v>246</v>
      </c>
      <c r="BF65" s="240">
        <v>7</v>
      </c>
      <c r="BG65" s="240">
        <v>6</v>
      </c>
      <c r="BH65" s="240">
        <v>5</v>
      </c>
      <c r="BI65" s="240">
        <v>5</v>
      </c>
      <c r="BJ65" s="235">
        <f>SUM(BF65:BI65)</f>
        <v>23</v>
      </c>
      <c r="BK65" s="241"/>
      <c r="BL65" s="241"/>
      <c r="BM65" s="241"/>
      <c r="BN65" s="241"/>
      <c r="BO65" s="235">
        <f>BJ65*(1+BO66)</f>
        <v>23</v>
      </c>
      <c r="BP65" s="241"/>
      <c r="BQ65" s="241"/>
      <c r="BR65" s="241"/>
      <c r="BS65" s="241"/>
      <c r="BT65" s="235">
        <f>BO65*(1+BT66)</f>
        <v>23</v>
      </c>
      <c r="BU65" s="241"/>
      <c r="BV65" s="241"/>
      <c r="BW65" s="241"/>
      <c r="BX65" s="241"/>
      <c r="BY65" s="235">
        <f>BT65*(1+BY66)</f>
        <v>23</v>
      </c>
      <c r="BZ65" s="241"/>
      <c r="CA65" s="241"/>
      <c r="CB65" s="241"/>
      <c r="CC65" s="241"/>
      <c r="CD65" s="235">
        <f>BY65*(1+CD66)</f>
        <v>23</v>
      </c>
      <c r="CE65" s="28" t="s">
        <v>39</v>
      </c>
      <c r="CF65" s="229"/>
    </row>
    <row r="66" spans="1:84" s="342" customFormat="1" outlineLevel="2">
      <c r="B66" s="245" t="s">
        <v>126</v>
      </c>
      <c r="C66" s="338"/>
      <c r="D66" s="338"/>
      <c r="E66" s="338"/>
      <c r="F66" s="338"/>
      <c r="G66" s="255"/>
      <c r="H66" s="338"/>
      <c r="I66" s="338"/>
      <c r="J66" s="338"/>
      <c r="K66" s="338"/>
      <c r="L66" s="255"/>
      <c r="M66" s="338"/>
      <c r="N66" s="338"/>
      <c r="O66" s="338"/>
      <c r="P66" s="338"/>
      <c r="Q66" s="255"/>
      <c r="R66" s="338"/>
      <c r="S66" s="338"/>
      <c r="T66" s="338"/>
      <c r="U66" s="338"/>
      <c r="V66" s="255"/>
      <c r="W66" s="247"/>
      <c r="X66" s="247"/>
      <c r="Y66" s="247"/>
      <c r="Z66" s="247"/>
      <c r="AA66" s="251"/>
      <c r="AB66" s="247">
        <f t="shared" ref="AB66:BD66" si="33">AB65/W65-1</f>
        <v>1.4105940445907525</v>
      </c>
      <c r="AC66" s="247">
        <f t="shared" si="33"/>
        <v>0.82983345401882702</v>
      </c>
      <c r="AD66" s="247">
        <f t="shared" si="33"/>
        <v>0.59596844872918497</v>
      </c>
      <c r="AE66" s="247">
        <f t="shared" si="33"/>
        <v>-0.20047031158142281</v>
      </c>
      <c r="AF66" s="251">
        <f t="shared" si="33"/>
        <v>0.48200607024136399</v>
      </c>
      <c r="AG66" s="247">
        <f t="shared" si="33"/>
        <v>0.3283674736188702</v>
      </c>
      <c r="AH66" s="247">
        <f t="shared" si="33"/>
        <v>0.30094974277799769</v>
      </c>
      <c r="AI66" s="247">
        <f t="shared" si="33"/>
        <v>0.17151748123741539</v>
      </c>
      <c r="AJ66" s="247">
        <f t="shared" si="33"/>
        <v>1.3455882352941186</v>
      </c>
      <c r="AK66" s="251">
        <f t="shared" si="33"/>
        <v>0.46563013736799608</v>
      </c>
      <c r="AL66" s="247">
        <f t="shared" si="33"/>
        <v>0.44859813084112155</v>
      </c>
      <c r="AM66" s="247">
        <f t="shared" si="33"/>
        <v>0.14068441064638781</v>
      </c>
      <c r="AN66" s="346">
        <f t="shared" si="33"/>
        <v>0.25</v>
      </c>
      <c r="AO66" s="247">
        <f t="shared" si="33"/>
        <v>6.5830721003134363E-2</v>
      </c>
      <c r="AP66" s="251">
        <f t="shared" si="33"/>
        <v>0.20722433460076028</v>
      </c>
      <c r="AQ66" s="347">
        <f t="shared" si="33"/>
        <v>0.16129032258064524</v>
      </c>
      <c r="AR66" s="247">
        <f t="shared" si="33"/>
        <v>0.26666666666666661</v>
      </c>
      <c r="AS66" s="247">
        <f t="shared" si="33"/>
        <v>0.25</v>
      </c>
      <c r="AT66" s="247">
        <f t="shared" si="33"/>
        <v>0.32352941176470584</v>
      </c>
      <c r="AU66" s="251">
        <f t="shared" si="33"/>
        <v>0.25196850393700787</v>
      </c>
      <c r="AV66" s="247">
        <f t="shared" si="33"/>
        <v>0.38888888888888884</v>
      </c>
      <c r="AW66" s="247">
        <f t="shared" si="33"/>
        <v>0.42105263157894735</v>
      </c>
      <c r="AX66" s="247">
        <f t="shared" si="33"/>
        <v>0.39999999999999991</v>
      </c>
      <c r="AY66" s="247">
        <f t="shared" si="33"/>
        <v>0.15555555555555545</v>
      </c>
      <c r="AZ66" s="251">
        <f>AZ65/AU65-1</f>
        <v>0.33333333333333326</v>
      </c>
      <c r="BA66" s="247">
        <f t="shared" si="33"/>
        <v>0.1399999999999999</v>
      </c>
      <c r="BB66" s="247">
        <f t="shared" si="33"/>
        <v>0.22222222222222232</v>
      </c>
      <c r="BC66" s="247">
        <f t="shared" si="33"/>
        <v>0.3035714285714286</v>
      </c>
      <c r="BD66" s="247">
        <f t="shared" si="33"/>
        <v>-3.8461538461538436E-2</v>
      </c>
      <c r="BE66" s="251">
        <f>BE65/AZ65-1</f>
        <v>0.16037735849056611</v>
      </c>
      <c r="BF66" s="247">
        <f t="shared" ref="BF66:BI66" si="34">BF65/BA65-1</f>
        <v>-0.87719298245614041</v>
      </c>
      <c r="BG66" s="247">
        <f t="shared" si="34"/>
        <v>-0.90909090909090906</v>
      </c>
      <c r="BH66" s="247">
        <f t="shared" si="34"/>
        <v>-0.93150684931506844</v>
      </c>
      <c r="BI66" s="247">
        <f t="shared" si="34"/>
        <v>-0.9</v>
      </c>
      <c r="BJ66" s="251">
        <f>BJ65/BE65-1</f>
        <v>-0.9065040650406504</v>
      </c>
      <c r="BK66" s="340"/>
      <c r="BL66" s="340"/>
      <c r="BM66" s="340"/>
      <c r="BN66" s="340"/>
      <c r="BO66" s="341">
        <v>0</v>
      </c>
      <c r="BP66" s="340"/>
      <c r="BQ66" s="340"/>
      <c r="BR66" s="340"/>
      <c r="BS66" s="340"/>
      <c r="BT66" s="341">
        <v>0</v>
      </c>
      <c r="BU66" s="340"/>
      <c r="BV66" s="340"/>
      <c r="BW66" s="340"/>
      <c r="BX66" s="340"/>
      <c r="BY66" s="341">
        <v>0</v>
      </c>
      <c r="BZ66" s="340"/>
      <c r="CA66" s="340"/>
      <c r="CB66" s="340"/>
      <c r="CC66" s="340"/>
      <c r="CD66" s="341">
        <v>0</v>
      </c>
      <c r="CF66" s="343"/>
    </row>
    <row r="67" spans="1:84" s="252" customFormat="1" outlineLevel="2">
      <c r="B67" s="238" t="s">
        <v>154</v>
      </c>
      <c r="C67" s="253"/>
      <c r="D67" s="254"/>
      <c r="E67" s="254"/>
      <c r="F67" s="254"/>
      <c r="G67" s="255"/>
      <c r="H67" s="254"/>
      <c r="I67" s="254"/>
      <c r="J67" s="254"/>
      <c r="K67" s="254"/>
      <c r="L67" s="255"/>
      <c r="M67" s="254"/>
      <c r="N67" s="254"/>
      <c r="O67" s="254"/>
      <c r="P67" s="254"/>
      <c r="Q67" s="255"/>
      <c r="R67" s="254"/>
      <c r="S67" s="254"/>
      <c r="T67" s="254"/>
      <c r="U67" s="254"/>
      <c r="V67" s="255"/>
      <c r="W67" s="256"/>
      <c r="X67" s="257"/>
      <c r="Y67" s="257"/>
      <c r="Z67" s="257"/>
      <c r="AA67" s="258"/>
      <c r="AB67" s="256"/>
      <c r="AC67" s="256"/>
      <c r="AD67" s="256"/>
      <c r="AE67" s="256"/>
      <c r="AF67" s="258"/>
      <c r="AG67" s="256"/>
      <c r="AH67" s="256"/>
      <c r="AI67" s="256"/>
      <c r="AJ67" s="256"/>
      <c r="AK67" s="258"/>
      <c r="AL67" s="257"/>
      <c r="AM67" s="257"/>
      <c r="AN67" s="257"/>
      <c r="AO67" s="257"/>
      <c r="AP67" s="258"/>
      <c r="AQ67" s="290"/>
      <c r="AR67" s="257"/>
      <c r="AS67" s="247"/>
      <c r="AT67" s="247"/>
      <c r="AU67" s="258"/>
      <c r="AV67" s="257"/>
      <c r="AW67" s="247"/>
      <c r="AX67" s="247"/>
      <c r="AY67" s="247"/>
      <c r="AZ67" s="258"/>
      <c r="BA67" s="236">
        <v>62</v>
      </c>
      <c r="BB67" s="236">
        <v>64</v>
      </c>
      <c r="BC67" s="239">
        <v>35</v>
      </c>
      <c r="BD67" s="239">
        <v>58</v>
      </c>
      <c r="BE67" s="235">
        <f>SUM(BA67:BD67)</f>
        <v>219</v>
      </c>
      <c r="BF67" s="240">
        <v>30</v>
      </c>
      <c r="BG67" s="240">
        <v>30</v>
      </c>
      <c r="BH67" s="240">
        <v>30</v>
      </c>
      <c r="BI67" s="240">
        <v>30</v>
      </c>
      <c r="BJ67" s="235">
        <f>SUM(BF67:BI67)</f>
        <v>120</v>
      </c>
      <c r="BK67" s="241"/>
      <c r="BL67" s="241"/>
      <c r="BM67" s="241"/>
      <c r="BN67" s="241"/>
      <c r="BO67" s="235">
        <f>BJ67*(1+BO68)</f>
        <v>117.6</v>
      </c>
      <c r="BP67" s="241"/>
      <c r="BQ67" s="241"/>
      <c r="BR67" s="241"/>
      <c r="BS67" s="241"/>
      <c r="BT67" s="235">
        <f>BO67*(1+BT68)</f>
        <v>115.24799999999999</v>
      </c>
      <c r="BU67" s="241"/>
      <c r="BV67" s="241"/>
      <c r="BW67" s="241"/>
      <c r="BX67" s="241"/>
      <c r="BY67" s="235">
        <f>BT67*(1+BY68)</f>
        <v>112.94303999999998</v>
      </c>
      <c r="BZ67" s="241"/>
      <c r="CA67" s="241"/>
      <c r="CB67" s="241"/>
      <c r="CC67" s="241"/>
      <c r="CD67" s="235">
        <f>BY67*(1+CD68)</f>
        <v>110.68417919999997</v>
      </c>
      <c r="CF67" s="242"/>
    </row>
    <row r="68" spans="1:84" s="252" customFormat="1" outlineLevel="2">
      <c r="B68" s="245" t="s">
        <v>126</v>
      </c>
      <c r="C68" s="253"/>
      <c r="D68" s="254"/>
      <c r="E68" s="254"/>
      <c r="F68" s="254"/>
      <c r="G68" s="255"/>
      <c r="H68" s="254"/>
      <c r="I68" s="254"/>
      <c r="J68" s="254"/>
      <c r="K68" s="254"/>
      <c r="L68" s="255"/>
      <c r="M68" s="254"/>
      <c r="N68" s="254"/>
      <c r="O68" s="254"/>
      <c r="P68" s="254"/>
      <c r="Q68" s="255"/>
      <c r="R68" s="254"/>
      <c r="S68" s="254"/>
      <c r="T68" s="254"/>
      <c r="U68" s="254"/>
      <c r="V68" s="255"/>
      <c r="W68" s="256"/>
      <c r="X68" s="257"/>
      <c r="Y68" s="257"/>
      <c r="Z68" s="257"/>
      <c r="AA68" s="258"/>
      <c r="AB68" s="256"/>
      <c r="AC68" s="256"/>
      <c r="AD68" s="256"/>
      <c r="AE68" s="256"/>
      <c r="AF68" s="258"/>
      <c r="AG68" s="256"/>
      <c r="AH68" s="256"/>
      <c r="AI68" s="256"/>
      <c r="AJ68" s="256"/>
      <c r="AK68" s="258"/>
      <c r="AL68" s="257"/>
      <c r="AM68" s="257"/>
      <c r="AN68" s="257"/>
      <c r="AO68" s="257"/>
      <c r="AP68" s="258"/>
      <c r="AQ68" s="290"/>
      <c r="AR68" s="257"/>
      <c r="AS68" s="247"/>
      <c r="AT68" s="247"/>
      <c r="AU68" s="258"/>
      <c r="AV68" s="257"/>
      <c r="AW68" s="247"/>
      <c r="AX68" s="247"/>
      <c r="AY68" s="247"/>
      <c r="AZ68" s="258"/>
      <c r="BA68" s="257"/>
      <c r="BB68" s="247"/>
      <c r="BC68" s="247"/>
      <c r="BD68" s="247"/>
      <c r="BE68" s="251"/>
      <c r="BF68" s="247"/>
      <c r="BG68" s="247"/>
      <c r="BH68" s="247"/>
      <c r="BI68" s="247"/>
      <c r="BJ68" s="251">
        <f>BJ67/BE67-1</f>
        <v>-0.45205479452054798</v>
      </c>
      <c r="BK68" s="340"/>
      <c r="BL68" s="340"/>
      <c r="BM68" s="340"/>
      <c r="BN68" s="340"/>
      <c r="BO68" s="341">
        <v>-0.02</v>
      </c>
      <c r="BP68" s="340"/>
      <c r="BQ68" s="340"/>
      <c r="BR68" s="340"/>
      <c r="BS68" s="340"/>
      <c r="BT68" s="341">
        <v>-0.02</v>
      </c>
      <c r="BU68" s="340"/>
      <c r="BV68" s="340"/>
      <c r="BW68" s="340"/>
      <c r="BX68" s="340"/>
      <c r="BY68" s="341">
        <v>-0.02</v>
      </c>
      <c r="BZ68" s="340"/>
      <c r="CA68" s="340"/>
      <c r="CB68" s="340"/>
      <c r="CC68" s="340"/>
      <c r="CD68" s="341">
        <v>-0.02</v>
      </c>
      <c r="CF68" s="242"/>
    </row>
    <row r="69" spans="1:84" s="252" customFormat="1" outlineLevel="2">
      <c r="B69" s="238" t="s">
        <v>155</v>
      </c>
      <c r="C69" s="253"/>
      <c r="D69" s="254"/>
      <c r="E69" s="254"/>
      <c r="F69" s="254"/>
      <c r="G69" s="255"/>
      <c r="H69" s="254"/>
      <c r="I69" s="254"/>
      <c r="J69" s="254"/>
      <c r="K69" s="254"/>
      <c r="L69" s="255"/>
      <c r="M69" s="254"/>
      <c r="N69" s="254"/>
      <c r="O69" s="254"/>
      <c r="P69" s="254"/>
      <c r="Q69" s="255"/>
      <c r="R69" s="254"/>
      <c r="S69" s="254"/>
      <c r="T69" s="254"/>
      <c r="U69" s="254"/>
      <c r="V69" s="255"/>
      <c r="W69" s="256"/>
      <c r="X69" s="257"/>
      <c r="Y69" s="257"/>
      <c r="Z69" s="257"/>
      <c r="AA69" s="258"/>
      <c r="AB69" s="256"/>
      <c r="AC69" s="256"/>
      <c r="AD69" s="256"/>
      <c r="AE69" s="256"/>
      <c r="AF69" s="258"/>
      <c r="AG69" s="256"/>
      <c r="AH69" s="256"/>
      <c r="AI69" s="256"/>
      <c r="AJ69" s="256"/>
      <c r="AK69" s="258"/>
      <c r="AL69" s="257"/>
      <c r="AM69" s="257"/>
      <c r="AN69" s="257"/>
      <c r="AO69" s="257"/>
      <c r="AP69" s="258"/>
      <c r="AQ69" s="290"/>
      <c r="AR69" s="257"/>
      <c r="AS69" s="247"/>
      <c r="AT69" s="247"/>
      <c r="AU69" s="258"/>
      <c r="AV69" s="257"/>
      <c r="AW69" s="247"/>
      <c r="AX69" s="247"/>
      <c r="AY69" s="247"/>
      <c r="AZ69" s="258"/>
      <c r="BA69" s="236">
        <v>72</v>
      </c>
      <c r="BB69" s="236">
        <v>49</v>
      </c>
      <c r="BC69" s="239">
        <v>50</v>
      </c>
      <c r="BD69" s="239">
        <v>53</v>
      </c>
      <c r="BE69" s="235">
        <f>SUM(BA69:BD69)</f>
        <v>224</v>
      </c>
      <c r="BF69" s="240">
        <v>35</v>
      </c>
      <c r="BG69" s="240">
        <v>35</v>
      </c>
      <c r="BH69" s="240">
        <v>35</v>
      </c>
      <c r="BI69" s="240">
        <v>35</v>
      </c>
      <c r="BJ69" s="235">
        <f>SUM(BF69:BI69)</f>
        <v>140</v>
      </c>
      <c r="BK69" s="241"/>
      <c r="BL69" s="241"/>
      <c r="BM69" s="241"/>
      <c r="BN69" s="241"/>
      <c r="BO69" s="235">
        <f>BJ69*(1+BO70)</f>
        <v>137.19999999999999</v>
      </c>
      <c r="BP69" s="241"/>
      <c r="BQ69" s="241"/>
      <c r="BR69" s="241"/>
      <c r="BS69" s="241"/>
      <c r="BT69" s="235">
        <f>BO69*(1+BT70)</f>
        <v>134.45599999999999</v>
      </c>
      <c r="BU69" s="241"/>
      <c r="BV69" s="241"/>
      <c r="BW69" s="241"/>
      <c r="BX69" s="241"/>
      <c r="BY69" s="235">
        <f>BT69*(1+BY70)</f>
        <v>131.76687999999999</v>
      </c>
      <c r="BZ69" s="241"/>
      <c r="CA69" s="241"/>
      <c r="CB69" s="241"/>
      <c r="CC69" s="241"/>
      <c r="CD69" s="235">
        <f>BY69*(1+CD70)</f>
        <v>129.13154239999997</v>
      </c>
      <c r="CF69" s="242"/>
    </row>
    <row r="70" spans="1:84" s="285" customFormat="1" outlineLevel="2">
      <c r="B70" s="245" t="s">
        <v>126</v>
      </c>
      <c r="C70" s="236"/>
      <c r="D70" s="236"/>
      <c r="E70" s="236"/>
      <c r="F70" s="236"/>
      <c r="G70" s="235"/>
      <c r="H70" s="236"/>
      <c r="I70" s="236"/>
      <c r="J70" s="236"/>
      <c r="K70" s="236"/>
      <c r="L70" s="235"/>
      <c r="M70" s="236"/>
      <c r="N70" s="236"/>
      <c r="O70" s="236"/>
      <c r="P70" s="236"/>
      <c r="Q70" s="235"/>
      <c r="R70" s="236"/>
      <c r="S70" s="236"/>
      <c r="T70" s="236"/>
      <c r="U70" s="236"/>
      <c r="V70" s="235"/>
      <c r="W70" s="236"/>
      <c r="X70" s="236"/>
      <c r="Y70" s="236"/>
      <c r="Z70" s="236"/>
      <c r="AA70" s="235"/>
      <c r="AB70" s="236"/>
      <c r="AC70" s="236"/>
      <c r="AD70" s="236"/>
      <c r="AE70" s="236"/>
      <c r="AF70" s="235"/>
      <c r="AG70" s="236"/>
      <c r="AH70" s="236"/>
      <c r="AI70" s="236"/>
      <c r="AJ70" s="236"/>
      <c r="AK70" s="235"/>
      <c r="AL70" s="288"/>
      <c r="AM70" s="239"/>
      <c r="AN70" s="288"/>
      <c r="AO70" s="240"/>
      <c r="AP70" s="235"/>
      <c r="AQ70" s="289"/>
      <c r="AR70" s="236"/>
      <c r="AS70" s="236"/>
      <c r="AT70" s="236"/>
      <c r="AU70" s="235"/>
      <c r="AV70" s="236"/>
      <c r="AW70" s="236"/>
      <c r="AX70" s="236"/>
      <c r="AY70" s="236"/>
      <c r="AZ70" s="235"/>
      <c r="BA70" s="236"/>
      <c r="BB70" s="236"/>
      <c r="BC70" s="247"/>
      <c r="BD70" s="247"/>
      <c r="BE70" s="235"/>
      <c r="BF70" s="247"/>
      <c r="BG70" s="247"/>
      <c r="BH70" s="247"/>
      <c r="BI70" s="247"/>
      <c r="BJ70" s="251">
        <f>BJ69/BE69-1</f>
        <v>-0.375</v>
      </c>
      <c r="BK70" s="340"/>
      <c r="BL70" s="340"/>
      <c r="BM70" s="340"/>
      <c r="BN70" s="340"/>
      <c r="BO70" s="341">
        <v>-0.02</v>
      </c>
      <c r="BP70" s="340"/>
      <c r="BQ70" s="340"/>
      <c r="BR70" s="340"/>
      <c r="BS70" s="340"/>
      <c r="BT70" s="341">
        <v>-0.02</v>
      </c>
      <c r="BU70" s="340"/>
      <c r="BV70" s="340"/>
      <c r="BW70" s="340"/>
      <c r="BX70" s="340"/>
      <c r="BY70" s="341">
        <v>-0.02</v>
      </c>
      <c r="BZ70" s="340"/>
      <c r="CA70" s="340"/>
      <c r="CB70" s="340"/>
      <c r="CC70" s="340"/>
      <c r="CD70" s="341">
        <v>-0.02</v>
      </c>
      <c r="CF70" s="229"/>
    </row>
    <row r="71" spans="1:84" s="285" customFormat="1" outlineLevel="2">
      <c r="B71" s="238" t="s">
        <v>156</v>
      </c>
      <c r="C71" s="236"/>
      <c r="D71" s="236"/>
      <c r="E71" s="236"/>
      <c r="F71" s="236"/>
      <c r="G71" s="235"/>
      <c r="H71" s="236"/>
      <c r="I71" s="236"/>
      <c r="J71" s="236"/>
      <c r="K71" s="236"/>
      <c r="L71" s="235"/>
      <c r="M71" s="236"/>
      <c r="N71" s="236"/>
      <c r="O71" s="236"/>
      <c r="P71" s="236"/>
      <c r="Q71" s="235"/>
      <c r="R71" s="236"/>
      <c r="S71" s="236"/>
      <c r="T71" s="236"/>
      <c r="U71" s="236"/>
      <c r="V71" s="235"/>
      <c r="W71" s="236"/>
      <c r="X71" s="236"/>
      <c r="Y71" s="236"/>
      <c r="Z71" s="236"/>
      <c r="AA71" s="235"/>
      <c r="AB71" s="236"/>
      <c r="AC71" s="236"/>
      <c r="AD71" s="236"/>
      <c r="AE71" s="236"/>
      <c r="AF71" s="235"/>
      <c r="AG71" s="236"/>
      <c r="AH71" s="236"/>
      <c r="AI71" s="236"/>
      <c r="AJ71" s="236"/>
      <c r="AK71" s="235"/>
      <c r="AL71" s="288"/>
      <c r="AM71" s="239"/>
      <c r="AN71" s="288"/>
      <c r="AO71" s="240"/>
      <c r="AP71" s="235"/>
      <c r="AQ71" s="236"/>
      <c r="AR71" s="236"/>
      <c r="AS71" s="236">
        <f>AS73-SUM(AS63,AS65,AS67,AS69)</f>
        <v>274</v>
      </c>
      <c r="AT71" s="236">
        <f>AT73-SUM(AT63,AT65,AT67,AT69)</f>
        <v>368.79999999999995</v>
      </c>
      <c r="AU71" s="235"/>
      <c r="AV71" s="236">
        <f>AV73-SUM(AV63,AV65,AV67,AV69)</f>
        <v>241.5</v>
      </c>
      <c r="AW71" s="236">
        <f>AW73-SUM(AW63,AW65,AW67,AW69)</f>
        <v>214.7</v>
      </c>
      <c r="AX71" s="236">
        <f>AX73-SUM(AX63,AX65,AX67,AX69)</f>
        <v>296</v>
      </c>
      <c r="AY71" s="236">
        <f>AY73-SUM(AY63,AY65,AY67,AY69)</f>
        <v>370.5</v>
      </c>
      <c r="AZ71" s="235">
        <f>SUM(AV71:AY71)</f>
        <v>1122.7</v>
      </c>
      <c r="BA71" s="236">
        <f>BA73-SUM(BA63,BA65,BA67,BA69)</f>
        <v>280.10000000000002</v>
      </c>
      <c r="BB71" s="236">
        <f>BB73-SUM(BB63,BB65,BB67,BB69)</f>
        <v>280.20000000000005</v>
      </c>
      <c r="BC71" s="236">
        <f>BC73-SUM(BC63,BC65,BC67,BC69)</f>
        <v>296.5</v>
      </c>
      <c r="BD71" s="236">
        <f>BD73-SUM(BD63,BD65,BD67,BD69)</f>
        <v>303.5</v>
      </c>
      <c r="BE71" s="235">
        <f>SUM(BA71:BD71)</f>
        <v>1160.3000000000002</v>
      </c>
      <c r="BF71" s="236">
        <f t="shared" ref="BF71:BI71" si="35">BA71*(1+BF72)</f>
        <v>210.07500000000002</v>
      </c>
      <c r="BG71" s="236">
        <f t="shared" si="35"/>
        <v>238.17000000000004</v>
      </c>
      <c r="BH71" s="236">
        <f t="shared" si="35"/>
        <v>252.02500000000001</v>
      </c>
      <c r="BI71" s="236">
        <f t="shared" si="35"/>
        <v>288.32499999999999</v>
      </c>
      <c r="BJ71" s="235">
        <f>SUM(BF71:BI71)</f>
        <v>988.59500000000003</v>
      </c>
      <c r="BK71" s="241"/>
      <c r="BL71" s="241"/>
      <c r="BM71" s="241"/>
      <c r="BN71" s="241"/>
      <c r="BO71" s="235">
        <f>BJ71*(1+BO72)</f>
        <v>939.16525000000001</v>
      </c>
      <c r="BP71" s="241"/>
      <c r="BQ71" s="241"/>
      <c r="BR71" s="241"/>
      <c r="BS71" s="241"/>
      <c r="BT71" s="235">
        <f>BO71*(1+BT72)</f>
        <v>939.16525000000001</v>
      </c>
      <c r="BU71" s="241"/>
      <c r="BV71" s="241"/>
      <c r="BW71" s="241"/>
      <c r="BX71" s="241"/>
      <c r="BY71" s="235">
        <f>BT71*(1+BY72)</f>
        <v>939.16525000000001</v>
      </c>
      <c r="BZ71" s="241"/>
      <c r="CA71" s="241"/>
      <c r="CB71" s="241"/>
      <c r="CC71" s="241"/>
      <c r="CD71" s="235">
        <f>BY71*(1+CD72)</f>
        <v>939.16525000000001</v>
      </c>
      <c r="CF71" s="229"/>
    </row>
    <row r="72" spans="1:84" s="285" customFormat="1" ht="15" outlineLevel="2">
      <c r="B72" s="262" t="s">
        <v>126</v>
      </c>
      <c r="C72" s="236"/>
      <c r="D72" s="236"/>
      <c r="E72" s="236"/>
      <c r="F72" s="236"/>
      <c r="G72" s="235"/>
      <c r="H72" s="236"/>
      <c r="I72" s="236"/>
      <c r="J72" s="236"/>
      <c r="K72" s="236"/>
      <c r="L72" s="235"/>
      <c r="M72" s="236"/>
      <c r="N72" s="236"/>
      <c r="O72" s="236"/>
      <c r="P72" s="236"/>
      <c r="Q72" s="235"/>
      <c r="R72" s="236"/>
      <c r="S72" s="236"/>
      <c r="T72" s="236"/>
      <c r="U72" s="236"/>
      <c r="V72" s="235"/>
      <c r="W72" s="236"/>
      <c r="X72" s="236"/>
      <c r="Y72" s="236"/>
      <c r="Z72" s="236"/>
      <c r="AA72" s="235"/>
      <c r="AB72" s="236"/>
      <c r="AC72" s="236"/>
      <c r="AD72" s="236"/>
      <c r="AE72" s="236"/>
      <c r="AF72" s="235"/>
      <c r="AG72" s="236"/>
      <c r="AH72" s="236"/>
      <c r="AI72" s="236"/>
      <c r="AJ72" s="236"/>
      <c r="AK72" s="235"/>
      <c r="AL72" s="288"/>
      <c r="AM72" s="239"/>
      <c r="AN72" s="288"/>
      <c r="AO72" s="240"/>
      <c r="AP72" s="235"/>
      <c r="AQ72" s="289"/>
      <c r="AR72" s="236"/>
      <c r="AS72" s="236"/>
      <c r="AT72" s="236"/>
      <c r="AU72" s="235"/>
      <c r="AV72" s="236"/>
      <c r="AW72" s="236"/>
      <c r="AX72" s="348">
        <f t="shared" ref="AX72:AY72" si="36">AX71/AS71-1</f>
        <v>8.0291970802919721E-2</v>
      </c>
      <c r="AY72" s="247">
        <f t="shared" si="36"/>
        <v>4.6095444685467779E-3</v>
      </c>
      <c r="AZ72" s="235"/>
      <c r="BA72" s="247">
        <f t="shared" ref="BA72:BD72" si="37">BA71/AV71-1</f>
        <v>0.15983436853002075</v>
      </c>
      <c r="BB72" s="247">
        <f t="shared" si="37"/>
        <v>0.30507685142058705</v>
      </c>
      <c r="BC72" s="247">
        <f t="shared" si="37"/>
        <v>1.6891891891892552E-3</v>
      </c>
      <c r="BD72" s="247">
        <f t="shared" si="37"/>
        <v>-0.18083670715249667</v>
      </c>
      <c r="BE72" s="251">
        <f>BE71/AZ71-1</f>
        <v>3.3490692081589168E-2</v>
      </c>
      <c r="BF72" s="267">
        <v>-0.25</v>
      </c>
      <c r="BG72" s="267">
        <v>-0.15</v>
      </c>
      <c r="BH72" s="267">
        <v>-0.15</v>
      </c>
      <c r="BI72" s="267">
        <v>-0.05</v>
      </c>
      <c r="BJ72" s="251">
        <f>BJ71/BE71-1</f>
        <v>-0.14798328018615892</v>
      </c>
      <c r="BK72" s="340"/>
      <c r="BL72" s="340"/>
      <c r="BM72" s="340"/>
      <c r="BN72" s="340"/>
      <c r="BO72" s="341">
        <v>-0.05</v>
      </c>
      <c r="BP72" s="340"/>
      <c r="BQ72" s="340"/>
      <c r="BR72" s="340"/>
      <c r="BS72" s="340"/>
      <c r="BT72" s="341">
        <v>0</v>
      </c>
      <c r="BU72" s="340"/>
      <c r="BV72" s="340"/>
      <c r="BW72" s="340"/>
      <c r="BX72" s="340"/>
      <c r="BY72" s="341">
        <v>0</v>
      </c>
      <c r="BZ72" s="340"/>
      <c r="CA72" s="340"/>
      <c r="CB72" s="340"/>
      <c r="CC72" s="340"/>
      <c r="CD72" s="341">
        <v>0</v>
      </c>
      <c r="CE72" s="285">
        <v>2</v>
      </c>
      <c r="CF72" s="229"/>
    </row>
    <row r="73" spans="1:84" s="355" customFormat="1" ht="13">
      <c r="A73" s="349"/>
      <c r="B73" s="298" t="s">
        <v>157</v>
      </c>
      <c r="C73" s="350"/>
      <c r="D73" s="350"/>
      <c r="E73" s="350"/>
      <c r="F73" s="351"/>
      <c r="G73" s="352"/>
      <c r="H73" s="351"/>
      <c r="I73" s="351"/>
      <c r="J73" s="351"/>
      <c r="K73" s="351"/>
      <c r="L73" s="352"/>
      <c r="M73" s="351"/>
      <c r="N73" s="351"/>
      <c r="O73" s="351"/>
      <c r="P73" s="351"/>
      <c r="Q73" s="352"/>
      <c r="R73" s="353"/>
      <c r="S73" s="353"/>
      <c r="T73" s="353"/>
      <c r="U73" s="353"/>
      <c r="V73" s="354"/>
      <c r="W73" s="353"/>
      <c r="X73" s="353"/>
      <c r="Y73" s="353"/>
      <c r="Z73" s="353"/>
      <c r="AA73" s="354"/>
      <c r="AB73" s="302"/>
      <c r="AC73" s="302"/>
      <c r="AD73" s="302"/>
      <c r="AE73" s="302"/>
      <c r="AF73" s="311"/>
      <c r="AK73" s="311"/>
      <c r="AP73" s="311"/>
      <c r="AQ73" s="356"/>
      <c r="AS73" s="275">
        <f>279.4+74.6</f>
        <v>354</v>
      </c>
      <c r="AT73" s="275">
        <f>353.4+100.4</f>
        <v>453.79999999999995</v>
      </c>
      <c r="AU73" s="311"/>
      <c r="AV73" s="275">
        <v>351.5</v>
      </c>
      <c r="AW73" s="275">
        <v>332.7</v>
      </c>
      <c r="AX73" s="275">
        <f>391.7+32.3</f>
        <v>424</v>
      </c>
      <c r="AY73" s="275">
        <f>452.9+43.6</f>
        <v>496.5</v>
      </c>
      <c r="AZ73" s="277">
        <f>SUM(AV73:AY73)</f>
        <v>1604.7</v>
      </c>
      <c r="BA73" s="275">
        <v>539.1</v>
      </c>
      <c r="BB73" s="275">
        <v>526.20000000000005</v>
      </c>
      <c r="BC73" s="275">
        <v>546.5</v>
      </c>
      <c r="BD73" s="275">
        <v>557.5</v>
      </c>
      <c r="BE73" s="332">
        <f>SUM(BA73:BD73)</f>
        <v>2169.3000000000002</v>
      </c>
      <c r="BF73" s="275">
        <f t="shared" ref="BF73:BI73" si="38">SUM(BF63,BF65,BF67,BF69,BF71)</f>
        <v>357.07500000000005</v>
      </c>
      <c r="BG73" s="275">
        <f t="shared" si="38"/>
        <v>389.17000000000007</v>
      </c>
      <c r="BH73" s="275">
        <f t="shared" si="38"/>
        <v>402.02499999999998</v>
      </c>
      <c r="BI73" s="275">
        <f t="shared" si="38"/>
        <v>438.32499999999999</v>
      </c>
      <c r="BJ73" s="332">
        <f>SUM(BJ63,BJ65,BJ67,BJ69,BJ71)</f>
        <v>1586.595</v>
      </c>
      <c r="BK73" s="285"/>
      <c r="BL73" s="285"/>
      <c r="BM73" s="285"/>
      <c r="BN73" s="285"/>
      <c r="BO73" s="332">
        <f>SUM(BO63,BO65,BO67,BO69,BO71)</f>
        <v>1538.2652499999999</v>
      </c>
      <c r="BP73" s="285"/>
      <c r="BQ73" s="285"/>
      <c r="BR73" s="285"/>
      <c r="BS73" s="285"/>
      <c r="BT73" s="332">
        <f>SUM(BT63,BT65,BT67,BT69,BT71)</f>
        <v>1533.1692499999999</v>
      </c>
      <c r="BU73" s="285"/>
      <c r="BV73" s="285"/>
      <c r="BW73" s="285"/>
      <c r="BX73" s="285"/>
      <c r="BY73" s="332">
        <f>SUM(BY63,BY65,BY67,BY69,BY71)</f>
        <v>1512.1101699999999</v>
      </c>
      <c r="BZ73" s="285"/>
      <c r="CA73" s="285"/>
      <c r="CB73" s="285"/>
      <c r="CC73" s="285"/>
      <c r="CD73" s="332">
        <f>SUM(CD63,CD65,CD67,CD69,CD71)</f>
        <v>1491.9542216</v>
      </c>
      <c r="CF73" s="278">
        <f>BJ73/$BJ$142</f>
        <v>0.14467320357688435</v>
      </c>
    </row>
    <row r="74" spans="1:84" s="355" customFormat="1" ht="13">
      <c r="A74" s="28"/>
      <c r="B74" s="309" t="s">
        <v>126</v>
      </c>
      <c r="C74" s="357"/>
      <c r="D74" s="357"/>
      <c r="E74" s="357"/>
      <c r="F74" s="357"/>
      <c r="G74" s="358"/>
      <c r="H74" s="357"/>
      <c r="I74" s="357"/>
      <c r="J74" s="357"/>
      <c r="K74" s="357"/>
      <c r="L74" s="358"/>
      <c r="M74" s="357"/>
      <c r="N74" s="357"/>
      <c r="O74" s="357"/>
      <c r="P74" s="357"/>
      <c r="Q74" s="358"/>
      <c r="R74" s="357"/>
      <c r="S74" s="357"/>
      <c r="T74" s="357"/>
      <c r="U74" s="357"/>
      <c r="V74" s="358"/>
      <c r="W74" s="357"/>
      <c r="X74" s="357"/>
      <c r="Y74" s="357"/>
      <c r="Z74" s="357"/>
      <c r="AA74" s="358"/>
      <c r="AB74" s="310"/>
      <c r="AC74" s="310"/>
      <c r="AD74" s="310"/>
      <c r="AE74" s="310"/>
      <c r="AF74" s="311"/>
      <c r="AK74" s="311"/>
      <c r="AP74" s="311"/>
      <c r="AQ74" s="356"/>
      <c r="AU74" s="311"/>
      <c r="AX74" s="281">
        <f t="shared" ref="AX74:AY74" si="39">AX73/AS73-1</f>
        <v>0.19774011299435035</v>
      </c>
      <c r="AY74" s="281">
        <f t="shared" si="39"/>
        <v>9.409431467606888E-2</v>
      </c>
      <c r="AZ74" s="311"/>
      <c r="BA74" s="281">
        <f>BA73/AV73-1</f>
        <v>0.53371266002844964</v>
      </c>
      <c r="BB74" s="281">
        <f>BB73/AW73-1</f>
        <v>0.58160504959422932</v>
      </c>
      <c r="BC74" s="281">
        <f>BC73/AX73-1</f>
        <v>0.28891509433962259</v>
      </c>
      <c r="BD74" s="281">
        <f>BD73/AY73-1</f>
        <v>0.12286002014098685</v>
      </c>
      <c r="BE74" s="282">
        <f>BE73/AZ73-1</f>
        <v>0.35184146569452235</v>
      </c>
      <c r="BF74" s="281">
        <f t="shared" ref="BF74:BI74" si="40">BF73/BA73-1</f>
        <v>-0.33764607679465775</v>
      </c>
      <c r="BG74" s="281">
        <f t="shared" si="40"/>
        <v>-0.26041429114405157</v>
      </c>
      <c r="BH74" s="281">
        <f t="shared" si="40"/>
        <v>-0.26436413540713632</v>
      </c>
      <c r="BI74" s="281">
        <f t="shared" si="40"/>
        <v>-0.2137668161434978</v>
      </c>
      <c r="BJ74" s="282">
        <f>BJ73/BE73-1</f>
        <v>-0.26861429954363159</v>
      </c>
      <c r="BK74" s="285"/>
      <c r="BL74" s="285"/>
      <c r="BM74" s="285"/>
      <c r="BN74" s="285"/>
      <c r="BO74" s="282">
        <f>BO73/BJ73-1</f>
        <v>-3.046130234874056E-2</v>
      </c>
      <c r="BP74" s="285"/>
      <c r="BQ74" s="285"/>
      <c r="BR74" s="285"/>
      <c r="BS74" s="285"/>
      <c r="BT74" s="282">
        <f>BT73/BO73-1</f>
        <v>-3.3128226747630718E-3</v>
      </c>
      <c r="BU74" s="285"/>
      <c r="BV74" s="285"/>
      <c r="BW74" s="285"/>
      <c r="BX74" s="285"/>
      <c r="BY74" s="282">
        <f>BY73/BT73-1</f>
        <v>-1.3735652472810833E-2</v>
      </c>
      <c r="BZ74" s="285"/>
      <c r="CA74" s="285"/>
      <c r="CB74" s="285"/>
      <c r="CC74" s="285"/>
      <c r="CD74" s="282">
        <f>CD73/BY73-1</f>
        <v>-1.332968245296573E-2</v>
      </c>
      <c r="CF74" s="359"/>
    </row>
    <row r="75" spans="1:84" s="355" customFormat="1" ht="13">
      <c r="A75" s="28"/>
      <c r="B75" s="309"/>
      <c r="C75" s="357"/>
      <c r="D75" s="357"/>
      <c r="E75" s="357"/>
      <c r="F75" s="357"/>
      <c r="G75" s="358"/>
      <c r="H75" s="357"/>
      <c r="I75" s="357"/>
      <c r="J75" s="357"/>
      <c r="K75" s="357"/>
      <c r="L75" s="358"/>
      <c r="M75" s="357"/>
      <c r="N75" s="357"/>
      <c r="O75" s="357"/>
      <c r="P75" s="357"/>
      <c r="Q75" s="358"/>
      <c r="R75" s="357"/>
      <c r="S75" s="357"/>
      <c r="T75" s="357"/>
      <c r="U75" s="357"/>
      <c r="V75" s="358"/>
      <c r="W75" s="357"/>
      <c r="X75" s="357"/>
      <c r="Y75" s="357"/>
      <c r="Z75" s="357"/>
      <c r="AA75" s="358"/>
      <c r="AB75" s="310"/>
      <c r="AC75" s="310"/>
      <c r="AD75" s="310"/>
      <c r="AE75" s="310"/>
      <c r="AF75" s="311"/>
      <c r="AK75" s="311"/>
      <c r="AP75" s="311"/>
      <c r="AQ75" s="356"/>
      <c r="AU75" s="311"/>
      <c r="AZ75" s="311"/>
      <c r="BE75" s="311"/>
      <c r="BF75" s="285"/>
      <c r="BG75" s="285"/>
      <c r="BH75" s="285"/>
      <c r="BI75" s="285"/>
      <c r="BJ75" s="311"/>
      <c r="BK75" s="285"/>
      <c r="BL75" s="285"/>
      <c r="BM75" s="285"/>
      <c r="BN75" s="285"/>
      <c r="BO75" s="311"/>
      <c r="BP75" s="285"/>
      <c r="BQ75" s="285"/>
      <c r="BR75" s="285"/>
      <c r="BS75" s="285"/>
      <c r="BT75" s="311"/>
      <c r="BU75" s="285"/>
      <c r="BV75" s="285"/>
      <c r="BW75" s="285"/>
      <c r="BX75" s="285"/>
      <c r="BY75" s="311"/>
      <c r="BZ75" s="285"/>
      <c r="CA75" s="285"/>
      <c r="CB75" s="285"/>
      <c r="CC75" s="285"/>
      <c r="CD75" s="311"/>
      <c r="CF75" s="359"/>
    </row>
    <row r="76" spans="1:84" s="285" customFormat="1" outlineLevel="1">
      <c r="B76" s="230" t="s">
        <v>158</v>
      </c>
      <c r="C76" s="236"/>
      <c r="D76" s="236"/>
      <c r="E76" s="236"/>
      <c r="F76" s="236"/>
      <c r="G76" s="235"/>
      <c r="H76" s="236"/>
      <c r="I76" s="236"/>
      <c r="J76" s="236"/>
      <c r="K76" s="236"/>
      <c r="L76" s="235"/>
      <c r="M76" s="236"/>
      <c r="N76" s="236"/>
      <c r="O76" s="236"/>
      <c r="P76" s="236"/>
      <c r="Q76" s="235"/>
      <c r="R76" s="236"/>
      <c r="S76" s="236"/>
      <c r="T76" s="236"/>
      <c r="U76" s="236"/>
      <c r="V76" s="235"/>
      <c r="W76" s="236"/>
      <c r="X76" s="236"/>
      <c r="Y76" s="236"/>
      <c r="Z76" s="236"/>
      <c r="AA76" s="235"/>
      <c r="AB76" s="310"/>
      <c r="AC76" s="310"/>
      <c r="AD76" s="310"/>
      <c r="AE76" s="310"/>
      <c r="AF76" s="235"/>
      <c r="AG76" s="236"/>
      <c r="AH76" s="236"/>
      <c r="AI76" s="236"/>
      <c r="AJ76" s="236"/>
      <c r="AK76" s="235"/>
      <c r="AL76" s="288"/>
      <c r="AM76" s="239"/>
      <c r="AN76" s="288"/>
      <c r="AO76" s="240"/>
      <c r="AP76" s="235"/>
      <c r="AQ76" s="289"/>
      <c r="AR76" s="236"/>
      <c r="AS76" s="236"/>
      <c r="AT76" s="236"/>
      <c r="AU76" s="235"/>
      <c r="AV76" s="236"/>
      <c r="AW76" s="236"/>
      <c r="AX76" s="236"/>
      <c r="AY76" s="236"/>
      <c r="AZ76" s="235"/>
      <c r="BA76" s="236"/>
      <c r="BB76" s="236"/>
      <c r="BC76" s="236"/>
      <c r="BD76" s="236"/>
      <c r="BE76" s="235"/>
      <c r="BF76" s="241"/>
      <c r="BG76" s="241"/>
      <c r="BH76" s="241"/>
      <c r="BI76" s="241"/>
      <c r="BJ76" s="235"/>
      <c r="BK76" s="241"/>
      <c r="BL76" s="241"/>
      <c r="BM76" s="241"/>
      <c r="BN76" s="241"/>
      <c r="BO76" s="235"/>
      <c r="BP76" s="241"/>
      <c r="BQ76" s="241"/>
      <c r="BR76" s="241"/>
      <c r="BS76" s="241"/>
      <c r="BT76" s="235"/>
      <c r="BU76" s="241"/>
      <c r="BV76" s="241"/>
      <c r="BW76" s="241"/>
      <c r="BX76" s="241"/>
      <c r="BY76" s="235"/>
      <c r="BZ76" s="241"/>
      <c r="CA76" s="241"/>
      <c r="CB76" s="241"/>
      <c r="CC76" s="241"/>
      <c r="CD76" s="235"/>
      <c r="CF76" s="229"/>
    </row>
    <row r="77" spans="1:84" s="28" customFormat="1" outlineLevel="2">
      <c r="B77" s="238" t="s">
        <v>159</v>
      </c>
      <c r="C77" s="336">
        <v>36.799999999999997</v>
      </c>
      <c r="D77" s="336">
        <v>70.5</v>
      </c>
      <c r="E77" s="336">
        <v>109.3</v>
      </c>
      <c r="F77" s="336">
        <v>137.69999999999999</v>
      </c>
      <c r="G77" s="337">
        <f>SUM(C77:F77)</f>
        <v>354.29999999999995</v>
      </c>
      <c r="H77" s="336">
        <v>65</v>
      </c>
      <c r="I77" s="336">
        <v>114</v>
      </c>
      <c r="J77" s="336">
        <v>123.3</v>
      </c>
      <c r="K77" s="336">
        <v>148.1</v>
      </c>
      <c r="L77" s="337">
        <f>SUM(H77:K77)</f>
        <v>450.4</v>
      </c>
      <c r="M77" s="336">
        <v>61.405000000000001</v>
      </c>
      <c r="N77" s="336">
        <v>53.048000000000002</v>
      </c>
      <c r="O77" s="336">
        <v>53.515999999999998</v>
      </c>
      <c r="P77" s="336">
        <v>44.356000000000002</v>
      </c>
      <c r="Q77" s="337">
        <f>SUM(M77:P77)</f>
        <v>212.32499999999999</v>
      </c>
      <c r="R77" s="336">
        <v>58.856000000000002</v>
      </c>
      <c r="S77" s="336">
        <v>30.42</v>
      </c>
      <c r="T77" s="336">
        <v>16.587</v>
      </c>
      <c r="U77" s="336">
        <v>14.882</v>
      </c>
      <c r="V77" s="337">
        <f>SUM(R77:U77)</f>
        <v>120.74500000000002</v>
      </c>
      <c r="W77" s="236">
        <v>20.12</v>
      </c>
      <c r="X77" s="236">
        <v>37.134999999999998</v>
      </c>
      <c r="Y77" s="236">
        <v>58.606000000000002</v>
      </c>
      <c r="Z77" s="236">
        <v>57.427</v>
      </c>
      <c r="AA77" s="235">
        <f>SUM(W77:Z77)</f>
        <v>173.28799999999998</v>
      </c>
      <c r="AB77" s="310"/>
      <c r="AC77" s="310"/>
      <c r="AD77" s="310"/>
      <c r="AE77" s="310"/>
      <c r="AF77" s="235"/>
      <c r="AG77" s="236"/>
      <c r="AH77" s="236"/>
      <c r="AI77" s="236"/>
      <c r="AJ77" s="236"/>
      <c r="AK77" s="235"/>
      <c r="AL77" s="287"/>
      <c r="AM77" s="236"/>
      <c r="AN77" s="236"/>
      <c r="AO77" s="236"/>
      <c r="AP77" s="235"/>
      <c r="AQ77" s="289"/>
      <c r="AR77" s="236"/>
      <c r="AS77" s="239"/>
      <c r="AT77" s="239"/>
      <c r="AU77" s="235"/>
      <c r="AV77" s="239">
        <v>15</v>
      </c>
      <c r="AW77" s="239">
        <v>30</v>
      </c>
      <c r="AX77" s="239">
        <v>30</v>
      </c>
      <c r="AY77" s="239">
        <v>38</v>
      </c>
      <c r="AZ77" s="235">
        <f>SUM(AV77:AY77)</f>
        <v>113</v>
      </c>
      <c r="BA77" s="239">
        <v>32</v>
      </c>
      <c r="BB77" s="239">
        <v>52</v>
      </c>
      <c r="BC77" s="239">
        <v>35</v>
      </c>
      <c r="BD77" s="239">
        <v>32</v>
      </c>
      <c r="BE77" s="235">
        <f>SUM(BA77:BD77)</f>
        <v>151</v>
      </c>
      <c r="BF77" s="240">
        <v>32</v>
      </c>
      <c r="BG77" s="240">
        <v>38</v>
      </c>
      <c r="BH77" s="240">
        <v>40</v>
      </c>
      <c r="BI77" s="240">
        <v>40</v>
      </c>
      <c r="BJ77" s="235">
        <f>SUM(BF77:BI77)</f>
        <v>150</v>
      </c>
      <c r="BK77" s="241"/>
      <c r="BL77" s="241"/>
      <c r="BM77" s="241"/>
      <c r="BN77" s="241"/>
      <c r="BO77" s="235">
        <f>BJ77*(1+BO78)</f>
        <v>165</v>
      </c>
      <c r="BP77" s="241"/>
      <c r="BQ77" s="241"/>
      <c r="BR77" s="241"/>
      <c r="BS77" s="241"/>
      <c r="BT77" s="235">
        <f>BO77*(1+BT78)</f>
        <v>181.50000000000003</v>
      </c>
      <c r="BU77" s="241"/>
      <c r="BV77" s="241"/>
      <c r="BW77" s="241"/>
      <c r="BX77" s="241"/>
      <c r="BY77" s="235">
        <f>BT77*(1+BY78)</f>
        <v>199.65000000000003</v>
      </c>
      <c r="BZ77" s="241"/>
      <c r="CA77" s="241"/>
      <c r="CB77" s="241"/>
      <c r="CC77" s="241"/>
      <c r="CD77" s="235">
        <f>BY77*(1+CD78)</f>
        <v>219.61500000000007</v>
      </c>
      <c r="CF77" s="229"/>
    </row>
    <row r="78" spans="1:84" s="342" customFormat="1" outlineLevel="2">
      <c r="B78" s="245" t="s">
        <v>126</v>
      </c>
      <c r="C78" s="338"/>
      <c r="D78" s="338"/>
      <c r="E78" s="338"/>
      <c r="F78" s="338"/>
      <c r="G78" s="251"/>
      <c r="H78" s="338">
        <f t="shared" ref="H78:AA78" si="41">H77/C77-1</f>
        <v>0.76630434782608714</v>
      </c>
      <c r="I78" s="338">
        <f t="shared" si="41"/>
        <v>0.61702127659574457</v>
      </c>
      <c r="J78" s="338">
        <f t="shared" si="41"/>
        <v>0.12808783165599258</v>
      </c>
      <c r="K78" s="338">
        <f t="shared" si="41"/>
        <v>7.5526506899056045E-2</v>
      </c>
      <c r="L78" s="251">
        <f t="shared" si="41"/>
        <v>0.27123906294101063</v>
      </c>
      <c r="M78" s="338">
        <f t="shared" si="41"/>
        <v>-5.530769230769228E-2</v>
      </c>
      <c r="N78" s="338">
        <f t="shared" si="41"/>
        <v>-0.53466666666666662</v>
      </c>
      <c r="O78" s="338">
        <f t="shared" si="41"/>
        <v>-0.56596918085969183</v>
      </c>
      <c r="P78" s="338">
        <f t="shared" si="41"/>
        <v>-0.70049966239027683</v>
      </c>
      <c r="Q78" s="251">
        <f t="shared" si="41"/>
        <v>-0.52858570159857909</v>
      </c>
      <c r="R78" s="338">
        <f t="shared" si="41"/>
        <v>-4.1511277583258677E-2</v>
      </c>
      <c r="S78" s="338">
        <f t="shared" si="41"/>
        <v>-0.42655708038003315</v>
      </c>
      <c r="T78" s="338">
        <f t="shared" si="41"/>
        <v>-0.69005531056132741</v>
      </c>
      <c r="U78" s="338">
        <f t="shared" si="41"/>
        <v>-0.66448732978627478</v>
      </c>
      <c r="V78" s="251">
        <f t="shared" si="41"/>
        <v>-0.43131991051454122</v>
      </c>
      <c r="W78" s="247">
        <f t="shared" si="41"/>
        <v>-0.65814870191654207</v>
      </c>
      <c r="X78" s="247">
        <f t="shared" si="41"/>
        <v>0.22074293228139363</v>
      </c>
      <c r="Y78" s="247">
        <f t="shared" si="41"/>
        <v>2.53324892988485</v>
      </c>
      <c r="Z78" s="247">
        <f t="shared" si="41"/>
        <v>2.8588227388791831</v>
      </c>
      <c r="AA78" s="251">
        <f t="shared" si="41"/>
        <v>0.43515673526854082</v>
      </c>
      <c r="AB78" s="302"/>
      <c r="AC78" s="302"/>
      <c r="AD78" s="302"/>
      <c r="AE78" s="302"/>
      <c r="AF78" s="251"/>
      <c r="AG78" s="247"/>
      <c r="AH78" s="247"/>
      <c r="AI78" s="247"/>
      <c r="AJ78" s="247"/>
      <c r="AK78" s="251"/>
      <c r="AL78" s="247"/>
      <c r="AM78" s="247"/>
      <c r="AN78" s="247"/>
      <c r="AO78" s="247"/>
      <c r="AP78" s="251"/>
      <c r="AQ78" s="339"/>
      <c r="AR78" s="295"/>
      <c r="AS78" s="247"/>
      <c r="AT78" s="247"/>
      <c r="AU78" s="235"/>
      <c r="AV78" s="247"/>
      <c r="AW78" s="247"/>
      <c r="AX78" s="247"/>
      <c r="AY78" s="247"/>
      <c r="AZ78" s="251"/>
      <c r="BA78" s="247">
        <f t="shared" ref="BA78:BD78" si="42">BA77/AV77-1</f>
        <v>1.1333333333333333</v>
      </c>
      <c r="BB78" s="247">
        <f t="shared" si="42"/>
        <v>0.73333333333333339</v>
      </c>
      <c r="BC78" s="247">
        <f t="shared" si="42"/>
        <v>0.16666666666666674</v>
      </c>
      <c r="BD78" s="247">
        <f t="shared" si="42"/>
        <v>-0.15789473684210531</v>
      </c>
      <c r="BE78" s="251">
        <f>BE77/AZ77-1</f>
        <v>0.33628318584070804</v>
      </c>
      <c r="BF78" s="247">
        <f t="shared" ref="BF78:BI78" si="43">BF77/BA77-1</f>
        <v>0</v>
      </c>
      <c r="BG78" s="247">
        <f t="shared" si="43"/>
        <v>-0.26923076923076927</v>
      </c>
      <c r="BH78" s="247">
        <f t="shared" si="43"/>
        <v>0.14285714285714279</v>
      </c>
      <c r="BI78" s="247">
        <f t="shared" si="43"/>
        <v>0.25</v>
      </c>
      <c r="BJ78" s="251">
        <f>BJ77/BE77-1</f>
        <v>-6.6225165562914245E-3</v>
      </c>
      <c r="BK78" s="340"/>
      <c r="BL78" s="340"/>
      <c r="BM78" s="340"/>
      <c r="BN78" s="340"/>
      <c r="BO78" s="341">
        <v>0.1</v>
      </c>
      <c r="BP78" s="340"/>
      <c r="BQ78" s="340"/>
      <c r="BR78" s="340"/>
      <c r="BS78" s="340"/>
      <c r="BT78" s="341">
        <v>0.1</v>
      </c>
      <c r="BU78" s="340"/>
      <c r="BV78" s="340"/>
      <c r="BW78" s="340"/>
      <c r="BX78" s="340"/>
      <c r="BY78" s="341">
        <v>0.1</v>
      </c>
      <c r="BZ78" s="340"/>
      <c r="CA78" s="340"/>
      <c r="CB78" s="340"/>
      <c r="CC78" s="340"/>
      <c r="CD78" s="341">
        <v>0.1</v>
      </c>
      <c r="CF78" s="343"/>
    </row>
    <row r="79" spans="1:84" s="285" customFormat="1" outlineLevel="2">
      <c r="B79" s="238" t="s">
        <v>160</v>
      </c>
      <c r="C79" s="236"/>
      <c r="D79" s="236"/>
      <c r="E79" s="236"/>
      <c r="F79" s="236"/>
      <c r="G79" s="235"/>
      <c r="H79" s="236"/>
      <c r="I79" s="236"/>
      <c r="J79" s="236"/>
      <c r="K79" s="236"/>
      <c r="L79" s="235"/>
      <c r="M79" s="236"/>
      <c r="N79" s="236"/>
      <c r="O79" s="236"/>
      <c r="P79" s="236"/>
      <c r="Q79" s="235"/>
      <c r="R79" s="236"/>
      <c r="S79" s="236"/>
      <c r="T79" s="236"/>
      <c r="U79" s="236"/>
      <c r="V79" s="235"/>
      <c r="W79" s="236"/>
      <c r="X79" s="236"/>
      <c r="Y79" s="236"/>
      <c r="Z79" s="236"/>
      <c r="AA79" s="235"/>
      <c r="AB79" s="310"/>
      <c r="AC79" s="310"/>
      <c r="AD79" s="310"/>
      <c r="AE79" s="310"/>
      <c r="AF79" s="235"/>
      <c r="AG79" s="236"/>
      <c r="AH79" s="236"/>
      <c r="AI79" s="236"/>
      <c r="AJ79" s="236"/>
      <c r="AK79" s="235"/>
      <c r="AL79" s="288"/>
      <c r="AM79" s="239"/>
      <c r="AN79" s="288"/>
      <c r="AO79" s="240"/>
      <c r="AP79" s="235"/>
      <c r="AQ79" s="289"/>
      <c r="AR79" s="236"/>
      <c r="AS79" s="236"/>
      <c r="AT79" s="236"/>
      <c r="AU79" s="235"/>
      <c r="AV79" s="236">
        <f t="shared" ref="AV79:BD79" si="44">AV81-AV77</f>
        <v>3.1999999999999993</v>
      </c>
      <c r="AW79" s="236">
        <f t="shared" si="44"/>
        <v>1.6999999999999993</v>
      </c>
      <c r="AX79" s="236">
        <f t="shared" si="44"/>
        <v>2.3999999999999986</v>
      </c>
      <c r="AY79" s="236">
        <f t="shared" si="44"/>
        <v>3.1000000000000014</v>
      </c>
      <c r="AZ79" s="235">
        <f t="shared" si="44"/>
        <v>10.400000000000006</v>
      </c>
      <c r="BA79" s="236">
        <f t="shared" si="44"/>
        <v>2.7999999999999972</v>
      </c>
      <c r="BB79" s="236">
        <f t="shared" si="44"/>
        <v>7</v>
      </c>
      <c r="BC79" s="236">
        <f t="shared" si="44"/>
        <v>8.7999999999999972</v>
      </c>
      <c r="BD79" s="236">
        <f t="shared" si="44"/>
        <v>12.700000000000003</v>
      </c>
      <c r="BE79" s="235">
        <f>SUM(BA79:BD79)</f>
        <v>31.299999999999997</v>
      </c>
      <c r="BF79" s="240">
        <v>10</v>
      </c>
      <c r="BG79" s="240">
        <v>10</v>
      </c>
      <c r="BH79" s="240">
        <v>10</v>
      </c>
      <c r="BI79" s="240">
        <v>10</v>
      </c>
      <c r="BJ79" s="235">
        <f>SUM(BF79:BI79)</f>
        <v>40</v>
      </c>
      <c r="BK79" s="241"/>
      <c r="BL79" s="241"/>
      <c r="BM79" s="241"/>
      <c r="BN79" s="241"/>
      <c r="BO79" s="235">
        <f>BJ79*(1+BO80)</f>
        <v>44</v>
      </c>
      <c r="BP79" s="241"/>
      <c r="BQ79" s="241"/>
      <c r="BR79" s="241"/>
      <c r="BS79" s="241"/>
      <c r="BT79" s="235">
        <f>BO79*(1+BT80)</f>
        <v>48.400000000000006</v>
      </c>
      <c r="BU79" s="241"/>
      <c r="BV79" s="241"/>
      <c r="BW79" s="241"/>
      <c r="BX79" s="241"/>
      <c r="BY79" s="235">
        <f>BT79*(1+BY80)</f>
        <v>52.272000000000013</v>
      </c>
      <c r="BZ79" s="241"/>
      <c r="CA79" s="241"/>
      <c r="CB79" s="241"/>
      <c r="CC79" s="241"/>
      <c r="CD79" s="235">
        <f>BY79*(1+CD80)</f>
        <v>55.408320000000018</v>
      </c>
      <c r="CF79" s="229"/>
    </row>
    <row r="80" spans="1:84" s="285" customFormat="1" ht="15" outlineLevel="2">
      <c r="B80" s="262" t="s">
        <v>126</v>
      </c>
      <c r="C80" s="236"/>
      <c r="D80" s="236"/>
      <c r="E80" s="236"/>
      <c r="F80" s="236"/>
      <c r="G80" s="235"/>
      <c r="H80" s="236"/>
      <c r="I80" s="236"/>
      <c r="J80" s="236"/>
      <c r="K80" s="236"/>
      <c r="L80" s="235"/>
      <c r="M80" s="236"/>
      <c r="N80" s="236"/>
      <c r="O80" s="236"/>
      <c r="P80" s="236"/>
      <c r="Q80" s="235"/>
      <c r="R80" s="236"/>
      <c r="S80" s="236"/>
      <c r="T80" s="236"/>
      <c r="U80" s="236"/>
      <c r="V80" s="235"/>
      <c r="W80" s="236"/>
      <c r="X80" s="236"/>
      <c r="Y80" s="236"/>
      <c r="Z80" s="236"/>
      <c r="AA80" s="235"/>
      <c r="AB80" s="310"/>
      <c r="AC80" s="310"/>
      <c r="AD80" s="310"/>
      <c r="AE80" s="310"/>
      <c r="AF80" s="235"/>
      <c r="AG80" s="236"/>
      <c r="AH80" s="236"/>
      <c r="AI80" s="236"/>
      <c r="AJ80" s="236"/>
      <c r="AK80" s="235"/>
      <c r="AL80" s="288"/>
      <c r="AM80" s="239"/>
      <c r="AN80" s="288"/>
      <c r="AO80" s="240"/>
      <c r="AP80" s="235"/>
      <c r="AQ80" s="289"/>
      <c r="AR80" s="236"/>
      <c r="AS80" s="236"/>
      <c r="AT80" s="236"/>
      <c r="AU80" s="235"/>
      <c r="AV80" s="236"/>
      <c r="AW80" s="236"/>
      <c r="AX80" s="236"/>
      <c r="AY80" s="236"/>
      <c r="AZ80" s="235"/>
      <c r="BA80" s="247">
        <f t="shared" ref="BA80:BD80" si="45">BA79/AV79-1</f>
        <v>-0.12500000000000067</v>
      </c>
      <c r="BB80" s="247">
        <f t="shared" si="45"/>
        <v>3.1176470588235308</v>
      </c>
      <c r="BC80" s="247">
        <f t="shared" si="45"/>
        <v>2.6666666666666679</v>
      </c>
      <c r="BD80" s="247">
        <f t="shared" si="45"/>
        <v>3.0967741935483861</v>
      </c>
      <c r="BE80" s="251">
        <f>BE79/AZ79-1</f>
        <v>2.0096153846153828</v>
      </c>
      <c r="BF80" s="247">
        <f t="shared" ref="BF80:BI80" si="46">BF79/BA79-1</f>
        <v>2.5714285714285752</v>
      </c>
      <c r="BG80" s="247">
        <f t="shared" si="46"/>
        <v>0.4285714285714286</v>
      </c>
      <c r="BH80" s="247">
        <f t="shared" si="46"/>
        <v>0.13636363636363669</v>
      </c>
      <c r="BI80" s="247">
        <f t="shared" si="46"/>
        <v>-0.21259842519685057</v>
      </c>
      <c r="BJ80" s="251">
        <f>BJ79/BE79-1</f>
        <v>0.27795527156549538</v>
      </c>
      <c r="BK80" s="340"/>
      <c r="BL80" s="340"/>
      <c r="BM80" s="340"/>
      <c r="BN80" s="340"/>
      <c r="BO80" s="341">
        <v>0.1</v>
      </c>
      <c r="BP80" s="340"/>
      <c r="BQ80" s="340"/>
      <c r="BR80" s="340"/>
      <c r="BS80" s="340"/>
      <c r="BT80" s="341">
        <v>0.1</v>
      </c>
      <c r="BU80" s="340"/>
      <c r="BV80" s="340"/>
      <c r="BW80" s="340"/>
      <c r="BX80" s="340"/>
      <c r="BY80" s="341">
        <v>0.08</v>
      </c>
      <c r="BZ80" s="340"/>
      <c r="CA80" s="340"/>
      <c r="CB80" s="340"/>
      <c r="CC80" s="340"/>
      <c r="CD80" s="341">
        <v>0.06</v>
      </c>
      <c r="CF80" s="229"/>
    </row>
    <row r="81" spans="1:84" s="355" customFormat="1" ht="13">
      <c r="A81" s="349"/>
      <c r="B81" s="298" t="s">
        <v>161</v>
      </c>
      <c r="C81" s="350"/>
      <c r="D81" s="350"/>
      <c r="E81" s="350"/>
      <c r="F81" s="351"/>
      <c r="G81" s="352"/>
      <c r="H81" s="351"/>
      <c r="I81" s="351"/>
      <c r="J81" s="351"/>
      <c r="K81" s="351"/>
      <c r="L81" s="352"/>
      <c r="M81" s="351"/>
      <c r="N81" s="351"/>
      <c r="O81" s="351"/>
      <c r="P81" s="351"/>
      <c r="Q81" s="352"/>
      <c r="R81" s="353"/>
      <c r="S81" s="353"/>
      <c r="T81" s="353"/>
      <c r="U81" s="353"/>
      <c r="V81" s="354"/>
      <c r="W81" s="353"/>
      <c r="X81" s="353"/>
      <c r="Y81" s="353"/>
      <c r="Z81" s="353"/>
      <c r="AA81" s="354"/>
      <c r="AB81" s="302"/>
      <c r="AC81" s="302"/>
      <c r="AD81" s="302"/>
      <c r="AE81" s="302"/>
      <c r="AF81" s="360"/>
      <c r="AK81" s="311"/>
      <c r="AP81" s="360"/>
      <c r="AQ81" s="356"/>
      <c r="AS81" s="275">
        <v>27</v>
      </c>
      <c r="AT81" s="275">
        <v>29.8</v>
      </c>
      <c r="AU81" s="311"/>
      <c r="AV81" s="275">
        <v>18.2</v>
      </c>
      <c r="AW81" s="275">
        <v>31.7</v>
      </c>
      <c r="AX81" s="275">
        <v>32.4</v>
      </c>
      <c r="AY81" s="275">
        <v>41.1</v>
      </c>
      <c r="AZ81" s="277">
        <f>SUM(AV81:AY81)</f>
        <v>123.4</v>
      </c>
      <c r="BA81" s="275">
        <v>34.799999999999997</v>
      </c>
      <c r="BB81" s="275">
        <v>59</v>
      </c>
      <c r="BC81" s="275">
        <v>43.8</v>
      </c>
      <c r="BD81" s="275">
        <v>44.7</v>
      </c>
      <c r="BE81" s="332">
        <f>SUM(BA81:BD81)</f>
        <v>182.3</v>
      </c>
      <c r="BF81" s="275">
        <f t="shared" ref="BF81:BI81" si="47">SUM(BF77,BF79)</f>
        <v>42</v>
      </c>
      <c r="BG81" s="275">
        <f t="shared" si="47"/>
        <v>48</v>
      </c>
      <c r="BH81" s="275">
        <f t="shared" si="47"/>
        <v>50</v>
      </c>
      <c r="BI81" s="275">
        <f t="shared" si="47"/>
        <v>50</v>
      </c>
      <c r="BJ81" s="332">
        <f>SUM(BJ77,BJ79)</f>
        <v>190</v>
      </c>
      <c r="BK81" s="285"/>
      <c r="BL81" s="285"/>
      <c r="BM81" s="285"/>
      <c r="BN81" s="285"/>
      <c r="BO81" s="332">
        <f>SUM(BO77,BO79)</f>
        <v>209</v>
      </c>
      <c r="BP81" s="285"/>
      <c r="BQ81" s="285"/>
      <c r="BR81" s="285"/>
      <c r="BS81" s="285"/>
      <c r="BT81" s="332">
        <f>SUM(BT77,BT79)</f>
        <v>229.90000000000003</v>
      </c>
      <c r="BU81" s="285"/>
      <c r="BV81" s="285"/>
      <c r="BW81" s="285"/>
      <c r="BX81" s="285"/>
      <c r="BY81" s="332">
        <f>SUM(BY77,BY79)</f>
        <v>251.92200000000005</v>
      </c>
      <c r="BZ81" s="285"/>
      <c r="CA81" s="285"/>
      <c r="CB81" s="285"/>
      <c r="CC81" s="285"/>
      <c r="CD81" s="332">
        <f>SUM(CD77,CD79)</f>
        <v>275.02332000000007</v>
      </c>
      <c r="CF81" s="278">
        <f>BJ81/$BJ$142</f>
        <v>1.7325094734073929E-2</v>
      </c>
    </row>
    <row r="82" spans="1:84" s="355" customFormat="1" ht="13">
      <c r="A82" s="28"/>
      <c r="B82" s="309" t="s">
        <v>126</v>
      </c>
      <c r="C82" s="357"/>
      <c r="D82" s="357"/>
      <c r="E82" s="357"/>
      <c r="F82" s="357"/>
      <c r="G82" s="358"/>
      <c r="H82" s="357"/>
      <c r="I82" s="357"/>
      <c r="J82" s="357"/>
      <c r="K82" s="357"/>
      <c r="L82" s="358"/>
      <c r="M82" s="357"/>
      <c r="N82" s="357"/>
      <c r="O82" s="357"/>
      <c r="P82" s="357"/>
      <c r="Q82" s="358"/>
      <c r="R82" s="357"/>
      <c r="S82" s="357"/>
      <c r="T82" s="357"/>
      <c r="U82" s="357"/>
      <c r="V82" s="358"/>
      <c r="W82" s="357"/>
      <c r="X82" s="357"/>
      <c r="Y82" s="357"/>
      <c r="Z82" s="357"/>
      <c r="AA82" s="358"/>
      <c r="AB82" s="310"/>
      <c r="AC82" s="310"/>
      <c r="AD82" s="310"/>
      <c r="AE82" s="310"/>
      <c r="AF82" s="360"/>
      <c r="AK82" s="311"/>
      <c r="AP82" s="360"/>
      <c r="AQ82" s="356"/>
      <c r="AU82" s="311"/>
      <c r="AV82" s="310"/>
      <c r="AX82" s="281">
        <f t="shared" ref="AX82:AY82" si="48">AX81/AS81-1</f>
        <v>0.19999999999999996</v>
      </c>
      <c r="AY82" s="281">
        <f t="shared" si="48"/>
        <v>0.37919463087248317</v>
      </c>
      <c r="AZ82" s="311"/>
      <c r="BA82" s="281">
        <f>BA81/AV81-1</f>
        <v>0.91208791208791196</v>
      </c>
      <c r="BB82" s="281">
        <f>BB81/AW81-1</f>
        <v>0.86119873817034698</v>
      </c>
      <c r="BC82" s="281">
        <f>BC81/AX81-1</f>
        <v>0.35185185185185186</v>
      </c>
      <c r="BD82" s="281">
        <f>BD81/AY81-1</f>
        <v>8.7591240875912524E-2</v>
      </c>
      <c r="BE82" s="282">
        <f>BE81/AZ81-1</f>
        <v>0.47730956239870337</v>
      </c>
      <c r="BF82" s="281">
        <f t="shared" ref="BF82:BI82" si="49">BF81/BA81-1</f>
        <v>0.20689655172413812</v>
      </c>
      <c r="BG82" s="281">
        <f t="shared" si="49"/>
        <v>-0.18644067796610164</v>
      </c>
      <c r="BH82" s="281">
        <f t="shared" si="49"/>
        <v>0.14155251141552516</v>
      </c>
      <c r="BI82" s="281">
        <f t="shared" si="49"/>
        <v>0.11856823266219241</v>
      </c>
      <c r="BJ82" s="282">
        <f>BJ81/BE81-1</f>
        <v>4.2238069116840249E-2</v>
      </c>
      <c r="BK82" s="285"/>
      <c r="BL82" s="285"/>
      <c r="BM82" s="285"/>
      <c r="BN82" s="285"/>
      <c r="BO82" s="282">
        <f>BO81/BJ81-1</f>
        <v>0.10000000000000009</v>
      </c>
      <c r="BP82" s="285"/>
      <c r="BQ82" s="285"/>
      <c r="BR82" s="285"/>
      <c r="BS82" s="285"/>
      <c r="BT82" s="282">
        <f>BT81/BO81-1</f>
        <v>0.10000000000000009</v>
      </c>
      <c r="BU82" s="285"/>
      <c r="BV82" s="285"/>
      <c r="BW82" s="285"/>
      <c r="BX82" s="285"/>
      <c r="BY82" s="282">
        <f>BY81/BT81-1</f>
        <v>9.5789473684210646E-2</v>
      </c>
      <c r="BZ82" s="285"/>
      <c r="CA82" s="285"/>
      <c r="CB82" s="285"/>
      <c r="CC82" s="285"/>
      <c r="CD82" s="282">
        <f>CD81/BY81-1</f>
        <v>9.1700288184437984E-2</v>
      </c>
      <c r="CF82" s="359"/>
    </row>
    <row r="83" spans="1:84" s="355" customFormat="1" ht="13">
      <c r="A83" s="28"/>
      <c r="B83" s="309"/>
      <c r="C83" s="357"/>
      <c r="D83" s="357"/>
      <c r="E83" s="357"/>
      <c r="F83" s="357"/>
      <c r="G83" s="358"/>
      <c r="H83" s="357"/>
      <c r="I83" s="357"/>
      <c r="J83" s="357"/>
      <c r="K83" s="357"/>
      <c r="L83" s="358"/>
      <c r="M83" s="357"/>
      <c r="N83" s="357"/>
      <c r="O83" s="357"/>
      <c r="P83" s="357"/>
      <c r="Q83" s="358"/>
      <c r="R83" s="357"/>
      <c r="S83" s="357"/>
      <c r="T83" s="357"/>
      <c r="U83" s="357"/>
      <c r="V83" s="358"/>
      <c r="W83" s="357"/>
      <c r="X83" s="357"/>
      <c r="Y83" s="357"/>
      <c r="Z83" s="357"/>
      <c r="AA83" s="358"/>
      <c r="AB83" s="310"/>
      <c r="AC83" s="310"/>
      <c r="AD83" s="310"/>
      <c r="AE83" s="310"/>
      <c r="AF83" s="360"/>
      <c r="AK83" s="311"/>
      <c r="AP83" s="360"/>
      <c r="AQ83" s="356"/>
      <c r="AU83" s="311"/>
      <c r="AV83" s="310"/>
      <c r="AZ83" s="311"/>
      <c r="BE83" s="311"/>
      <c r="BF83" s="285"/>
      <c r="BG83" s="285"/>
      <c r="BH83" s="285"/>
      <c r="BI83" s="285"/>
      <c r="BJ83" s="311"/>
      <c r="BK83" s="285"/>
      <c r="BL83" s="285"/>
      <c r="BM83" s="285"/>
      <c r="BN83" s="285"/>
      <c r="BO83" s="311"/>
      <c r="BP83" s="285"/>
      <c r="BQ83" s="285"/>
      <c r="BR83" s="285"/>
      <c r="BS83" s="285"/>
      <c r="BT83" s="311"/>
      <c r="BU83" s="285"/>
      <c r="BV83" s="285"/>
      <c r="BW83" s="285"/>
      <c r="BX83" s="285"/>
      <c r="BY83" s="311"/>
      <c r="BZ83" s="285"/>
      <c r="CA83" s="285"/>
      <c r="CB83" s="285"/>
      <c r="CC83" s="285"/>
      <c r="CD83" s="311"/>
      <c r="CF83" s="359"/>
    </row>
    <row r="84" spans="1:84" s="252" customFormat="1">
      <c r="B84" s="268" t="s">
        <v>162</v>
      </c>
      <c r="C84" s="317"/>
      <c r="D84" s="318"/>
      <c r="E84" s="318"/>
      <c r="F84" s="318"/>
      <c r="G84" s="319"/>
      <c r="H84" s="318"/>
      <c r="I84" s="318"/>
      <c r="J84" s="318"/>
      <c r="K84" s="318"/>
      <c r="L84" s="319"/>
      <c r="M84" s="318"/>
      <c r="N84" s="318"/>
      <c r="O84" s="318"/>
      <c r="P84" s="318"/>
      <c r="Q84" s="319"/>
      <c r="R84" s="318"/>
      <c r="S84" s="318"/>
      <c r="T84" s="318"/>
      <c r="U84" s="318"/>
      <c r="V84" s="319"/>
      <c r="W84" s="320"/>
      <c r="X84" s="321"/>
      <c r="Y84" s="321"/>
      <c r="Z84" s="321"/>
      <c r="AA84" s="322"/>
      <c r="AB84" s="361"/>
      <c r="AC84" s="361"/>
      <c r="AD84" s="361"/>
      <c r="AE84" s="361"/>
      <c r="AF84" s="46"/>
      <c r="AG84" s="362"/>
      <c r="AH84" s="49"/>
      <c r="AI84" s="363"/>
      <c r="AJ84" s="363"/>
      <c r="AK84" s="46"/>
      <c r="AL84" s="364"/>
      <c r="AM84" s="280"/>
      <c r="AN84" s="364"/>
      <c r="AO84" s="280"/>
      <c r="AP84" s="46"/>
      <c r="AQ84" s="365"/>
      <c r="AR84" s="280"/>
      <c r="AS84" s="275">
        <v>0</v>
      </c>
      <c r="AT84" s="275">
        <v>0</v>
      </c>
      <c r="AU84" s="46"/>
      <c r="AV84" s="275">
        <v>0</v>
      </c>
      <c r="AW84" s="275">
        <v>0</v>
      </c>
      <c r="AX84" s="275">
        <v>0</v>
      </c>
      <c r="AY84" s="275">
        <v>0</v>
      </c>
      <c r="AZ84" s="366">
        <v>0</v>
      </c>
      <c r="BA84" s="275">
        <v>30.1</v>
      </c>
      <c r="BB84" s="275">
        <v>73.7</v>
      </c>
      <c r="BC84" s="275">
        <v>69.3</v>
      </c>
      <c r="BD84" s="367">
        <v>77</v>
      </c>
      <c r="BE84" s="311">
        <f>SUM(BA84:BD84)</f>
        <v>250.10000000000002</v>
      </c>
      <c r="BF84" s="368">
        <v>75</v>
      </c>
      <c r="BG84" s="368">
        <v>75</v>
      </c>
      <c r="BH84" s="368">
        <v>77</v>
      </c>
      <c r="BI84" s="368">
        <v>78</v>
      </c>
      <c r="BJ84" s="369">
        <f>SUM(BF84:BI84)</f>
        <v>305</v>
      </c>
      <c r="BK84" s="285"/>
      <c r="BL84" s="285"/>
      <c r="BM84" s="285"/>
      <c r="BN84" s="285"/>
      <c r="BO84" s="55">
        <f>BJ84*(1+BO85)</f>
        <v>314.15000000000003</v>
      </c>
      <c r="BP84" s="285"/>
      <c r="BQ84" s="285"/>
      <c r="BR84" s="285"/>
      <c r="BS84" s="285"/>
      <c r="BT84" s="55">
        <f>BO84*(1+BT85)</f>
        <v>320.43300000000005</v>
      </c>
      <c r="BU84" s="285"/>
      <c r="BV84" s="285"/>
      <c r="BW84" s="285"/>
      <c r="BX84" s="285"/>
      <c r="BY84" s="55">
        <f>BT84*(1+BY85)</f>
        <v>326.84166000000005</v>
      </c>
      <c r="BZ84" s="285"/>
      <c r="CA84" s="285"/>
      <c r="CB84" s="285"/>
      <c r="CC84" s="285"/>
      <c r="CD84" s="55">
        <f>BY84*(1+CD85)</f>
        <v>326.84166000000005</v>
      </c>
      <c r="CE84" s="370"/>
      <c r="CF84" s="278">
        <f>BJ84/$BJ$142</f>
        <v>2.7811336283644992E-2</v>
      </c>
    </row>
    <row r="85" spans="1:84" s="252" customFormat="1">
      <c r="B85" s="309" t="s">
        <v>126</v>
      </c>
      <c r="C85" s="317"/>
      <c r="D85" s="318"/>
      <c r="E85" s="318"/>
      <c r="F85" s="318"/>
      <c r="G85" s="319"/>
      <c r="H85" s="318"/>
      <c r="I85" s="318"/>
      <c r="J85" s="318"/>
      <c r="K85" s="318"/>
      <c r="L85" s="319"/>
      <c r="M85" s="318"/>
      <c r="N85" s="318"/>
      <c r="O85" s="318"/>
      <c r="P85" s="318"/>
      <c r="Q85" s="319"/>
      <c r="R85" s="318"/>
      <c r="S85" s="318"/>
      <c r="T85" s="318"/>
      <c r="U85" s="318"/>
      <c r="V85" s="319"/>
      <c r="W85" s="320"/>
      <c r="X85" s="321"/>
      <c r="Y85" s="321"/>
      <c r="Z85" s="321"/>
      <c r="AA85" s="322"/>
      <c r="AB85" s="361"/>
      <c r="AC85" s="361"/>
      <c r="AD85" s="361"/>
      <c r="AE85" s="361"/>
      <c r="AF85" s="372"/>
      <c r="AG85" s="324"/>
      <c r="AH85" s="324"/>
      <c r="AI85" s="324"/>
      <c r="AJ85" s="373"/>
      <c r="AK85" s="372"/>
      <c r="AL85" s="373"/>
      <c r="AM85" s="324"/>
      <c r="AN85" s="373"/>
      <c r="AO85" s="373"/>
      <c r="AP85" s="372"/>
      <c r="AQ85" s="374"/>
      <c r="AR85" s="324"/>
      <c r="AS85" s="373"/>
      <c r="AT85" s="373"/>
      <c r="AU85" s="372"/>
      <c r="AV85" s="324"/>
      <c r="AW85" s="373"/>
      <c r="AX85" s="373"/>
      <c r="AY85" s="373"/>
      <c r="AZ85" s="372"/>
      <c r="BA85" s="373"/>
      <c r="BB85" s="373"/>
      <c r="BC85" s="373"/>
      <c r="BD85" s="373"/>
      <c r="BE85" s="375"/>
      <c r="BF85" s="376"/>
      <c r="BG85" s="376"/>
      <c r="BH85" s="376"/>
      <c r="BI85" s="376"/>
      <c r="BJ85" s="377"/>
      <c r="BK85" s="376"/>
      <c r="BL85" s="376"/>
      <c r="BM85" s="376"/>
      <c r="BN85" s="376"/>
      <c r="BO85" s="378">
        <v>0.03</v>
      </c>
      <c r="BP85" s="376"/>
      <c r="BQ85" s="376"/>
      <c r="BR85" s="376"/>
      <c r="BS85" s="376"/>
      <c r="BT85" s="378">
        <v>0.02</v>
      </c>
      <c r="BU85" s="376"/>
      <c r="BV85" s="376"/>
      <c r="BW85" s="376"/>
      <c r="BX85" s="376"/>
      <c r="BY85" s="378">
        <v>0.02</v>
      </c>
      <c r="BZ85" s="376"/>
      <c r="CA85" s="376"/>
      <c r="CB85" s="376"/>
      <c r="CC85" s="376"/>
      <c r="CD85" s="378">
        <v>0</v>
      </c>
      <c r="CF85" s="242"/>
    </row>
    <row r="86" spans="1:84" s="252" customFormat="1">
      <c r="B86" s="309"/>
      <c r="C86" s="317"/>
      <c r="D86" s="318"/>
      <c r="E86" s="318"/>
      <c r="F86" s="318"/>
      <c r="G86" s="319"/>
      <c r="H86" s="318"/>
      <c r="I86" s="318"/>
      <c r="J86" s="318"/>
      <c r="K86" s="318"/>
      <c r="L86" s="319"/>
      <c r="M86" s="318"/>
      <c r="N86" s="318"/>
      <c r="O86" s="318"/>
      <c r="P86" s="318"/>
      <c r="Q86" s="319"/>
      <c r="R86" s="318"/>
      <c r="S86" s="318"/>
      <c r="T86" s="318"/>
      <c r="U86" s="318"/>
      <c r="V86" s="319"/>
      <c r="W86" s="320"/>
      <c r="X86" s="321"/>
      <c r="Y86" s="321"/>
      <c r="Z86" s="321"/>
      <c r="AA86" s="322"/>
      <c r="AB86" s="361"/>
      <c r="AC86" s="361"/>
      <c r="AD86" s="361"/>
      <c r="AE86" s="361"/>
      <c r="AF86" s="372"/>
      <c r="AG86" s="324"/>
      <c r="AH86" s="324"/>
      <c r="AI86" s="324"/>
      <c r="AJ86" s="373"/>
      <c r="AK86" s="372"/>
      <c r="AL86" s="373"/>
      <c r="AM86" s="324"/>
      <c r="AN86" s="373"/>
      <c r="AO86" s="373"/>
      <c r="AP86" s="372"/>
      <c r="AQ86" s="374"/>
      <c r="AR86" s="324"/>
      <c r="AS86" s="373"/>
      <c r="AT86" s="373"/>
      <c r="AU86" s="372"/>
      <c r="AV86" s="324"/>
      <c r="AW86" s="373"/>
      <c r="AX86" s="373"/>
      <c r="AY86" s="373"/>
      <c r="AZ86" s="372"/>
      <c r="BA86" s="373"/>
      <c r="BB86" s="373"/>
      <c r="BC86" s="373"/>
      <c r="BD86" s="373"/>
      <c r="BE86" s="375"/>
      <c r="BF86" s="376"/>
      <c r="BG86" s="376"/>
      <c r="BH86" s="376"/>
      <c r="BI86" s="379"/>
      <c r="BJ86" s="377"/>
      <c r="BK86" s="376"/>
      <c r="BL86" s="376"/>
      <c r="BM86" s="376"/>
      <c r="BN86" s="376"/>
      <c r="BO86" s="378"/>
      <c r="BP86" s="376"/>
      <c r="BQ86" s="376"/>
      <c r="BR86" s="376"/>
      <c r="BS86" s="376"/>
      <c r="BT86" s="378"/>
      <c r="BU86" s="376"/>
      <c r="BV86" s="376"/>
      <c r="BW86" s="376"/>
      <c r="BX86" s="376"/>
      <c r="BY86" s="378"/>
      <c r="BZ86" s="376"/>
      <c r="CA86" s="376"/>
      <c r="CB86" s="376"/>
      <c r="CC86" s="376"/>
      <c r="CD86" s="378"/>
      <c r="CF86" s="242"/>
    </row>
    <row r="87" spans="1:84" s="252" customFormat="1">
      <c r="B87" s="268" t="s">
        <v>163</v>
      </c>
      <c r="C87" s="317"/>
      <c r="D87" s="318"/>
      <c r="E87" s="318"/>
      <c r="F87" s="318"/>
      <c r="G87" s="319"/>
      <c r="H87" s="318"/>
      <c r="I87" s="318"/>
      <c r="J87" s="318"/>
      <c r="K87" s="318"/>
      <c r="L87" s="319"/>
      <c r="M87" s="318"/>
      <c r="N87" s="318"/>
      <c r="O87" s="318"/>
      <c r="P87" s="318"/>
      <c r="Q87" s="319"/>
      <c r="R87" s="318"/>
      <c r="S87" s="318"/>
      <c r="T87" s="318"/>
      <c r="U87" s="318"/>
      <c r="V87" s="319"/>
      <c r="W87" s="320"/>
      <c r="X87" s="321"/>
      <c r="Y87" s="321"/>
      <c r="Z87" s="321"/>
      <c r="AA87" s="322"/>
      <c r="AB87" s="361"/>
      <c r="AC87" s="361"/>
      <c r="AD87" s="361"/>
      <c r="AE87" s="361"/>
      <c r="AF87" s="46"/>
      <c r="AG87" s="362"/>
      <c r="AH87" s="49"/>
      <c r="AI87" s="363"/>
      <c r="AJ87" s="363"/>
      <c r="AK87" s="46"/>
      <c r="AL87" s="364"/>
      <c r="AM87" s="280"/>
      <c r="AN87" s="364"/>
      <c r="AO87" s="280"/>
      <c r="AP87" s="46"/>
      <c r="AQ87" s="365"/>
      <c r="AR87" s="280"/>
      <c r="AS87" s="275">
        <v>0</v>
      </c>
      <c r="AT87" s="275">
        <v>0</v>
      </c>
      <c r="AU87" s="46"/>
      <c r="AV87" s="275">
        <v>0</v>
      </c>
      <c r="AW87" s="275">
        <v>0</v>
      </c>
      <c r="AX87" s="275">
        <v>0</v>
      </c>
      <c r="AY87" s="275">
        <v>0</v>
      </c>
      <c r="AZ87" s="366">
        <v>0</v>
      </c>
      <c r="BA87" s="275"/>
      <c r="BB87" s="275"/>
      <c r="BC87" s="371"/>
      <c r="BD87" s="368"/>
      <c r="BE87" s="311"/>
      <c r="BF87" s="368">
        <v>3</v>
      </c>
      <c r="BG87" s="368">
        <v>5</v>
      </c>
      <c r="BH87" s="368">
        <v>5</v>
      </c>
      <c r="BI87" s="368">
        <v>10</v>
      </c>
      <c r="BJ87" s="369">
        <f>SUM(BF87:BI87)</f>
        <v>23</v>
      </c>
      <c r="BK87" s="285"/>
      <c r="BL87" s="285"/>
      <c r="BM87" s="285"/>
      <c r="BN87" s="285"/>
      <c r="BO87" s="55">
        <f>BJ87*(1+BO88)</f>
        <v>34.5</v>
      </c>
      <c r="BP87" s="285"/>
      <c r="BQ87" s="285"/>
      <c r="BR87" s="285"/>
      <c r="BS87" s="285"/>
      <c r="BT87" s="55">
        <f>BO87*(1+BT88)</f>
        <v>44.85</v>
      </c>
      <c r="BU87" s="285"/>
      <c r="BV87" s="285"/>
      <c r="BW87" s="285"/>
      <c r="BX87" s="285"/>
      <c r="BY87" s="55">
        <f>BT87*(1+BY88)</f>
        <v>56.0625</v>
      </c>
      <c r="BZ87" s="285"/>
      <c r="CA87" s="285"/>
      <c r="CB87" s="285"/>
      <c r="CC87" s="285"/>
      <c r="CD87" s="55">
        <f>BY87*(1+CD88)</f>
        <v>67.274999999999991</v>
      </c>
      <c r="CF87" s="278">
        <f>BJ87/$BJ$142</f>
        <v>2.0972483099142127E-3</v>
      </c>
    </row>
    <row r="88" spans="1:84" s="252" customFormat="1">
      <c r="B88" s="309" t="s">
        <v>126</v>
      </c>
      <c r="C88" s="317"/>
      <c r="D88" s="318"/>
      <c r="E88" s="318"/>
      <c r="F88" s="318"/>
      <c r="G88" s="319"/>
      <c r="H88" s="318"/>
      <c r="I88" s="318"/>
      <c r="J88" s="318"/>
      <c r="K88" s="318"/>
      <c r="L88" s="319"/>
      <c r="M88" s="318"/>
      <c r="N88" s="318"/>
      <c r="O88" s="318"/>
      <c r="P88" s="318"/>
      <c r="Q88" s="319"/>
      <c r="R88" s="318"/>
      <c r="S88" s="318"/>
      <c r="T88" s="318"/>
      <c r="U88" s="318"/>
      <c r="V88" s="319"/>
      <c r="W88" s="320"/>
      <c r="X88" s="321"/>
      <c r="Y88" s="321"/>
      <c r="Z88" s="321"/>
      <c r="AA88" s="322"/>
      <c r="AB88" s="361"/>
      <c r="AC88" s="361"/>
      <c r="AD88" s="361"/>
      <c r="AE88" s="361"/>
      <c r="AF88" s="372"/>
      <c r="AG88" s="324"/>
      <c r="AH88" s="324"/>
      <c r="AI88" s="324"/>
      <c r="AJ88" s="373"/>
      <c r="AK88" s="372"/>
      <c r="AL88" s="373"/>
      <c r="AM88" s="324"/>
      <c r="AN88" s="373"/>
      <c r="AO88" s="373"/>
      <c r="AP88" s="372"/>
      <c r="AQ88" s="374"/>
      <c r="AR88" s="324"/>
      <c r="AS88" s="373"/>
      <c r="AT88" s="373"/>
      <c r="AU88" s="372"/>
      <c r="AV88" s="324"/>
      <c r="AW88" s="373"/>
      <c r="AX88" s="373"/>
      <c r="AY88" s="373"/>
      <c r="AZ88" s="372"/>
      <c r="BA88" s="373"/>
      <c r="BB88" s="373"/>
      <c r="BC88" s="373"/>
      <c r="BD88" s="373"/>
      <c r="BE88" s="375"/>
      <c r="BF88" s="376"/>
      <c r="BG88" s="376"/>
      <c r="BH88" s="376"/>
      <c r="BI88" s="376"/>
      <c r="BJ88" s="377"/>
      <c r="BK88" s="376"/>
      <c r="BL88" s="376"/>
      <c r="BM88" s="376"/>
      <c r="BN88" s="376"/>
      <c r="BO88" s="378">
        <v>0.5</v>
      </c>
      <c r="BP88" s="376"/>
      <c r="BQ88" s="376"/>
      <c r="BR88" s="376"/>
      <c r="BS88" s="376"/>
      <c r="BT88" s="378">
        <v>0.3</v>
      </c>
      <c r="BU88" s="376"/>
      <c r="BV88" s="376"/>
      <c r="BW88" s="376"/>
      <c r="BX88" s="376"/>
      <c r="BY88" s="378">
        <v>0.25</v>
      </c>
      <c r="BZ88" s="376"/>
      <c r="CA88" s="376"/>
      <c r="CB88" s="376"/>
      <c r="CC88" s="376"/>
      <c r="CD88" s="378">
        <v>0.2</v>
      </c>
      <c r="CF88" s="242"/>
    </row>
    <row r="89" spans="1:84" s="355" customFormat="1" ht="13">
      <c r="A89" s="28"/>
      <c r="B89" s="309"/>
      <c r="C89" s="357"/>
      <c r="D89" s="357"/>
      <c r="E89" s="357"/>
      <c r="F89" s="357"/>
      <c r="G89" s="358"/>
      <c r="H89" s="357"/>
      <c r="I89" s="357"/>
      <c r="J89" s="357"/>
      <c r="K89" s="357"/>
      <c r="L89" s="358"/>
      <c r="M89" s="357"/>
      <c r="N89" s="357"/>
      <c r="O89" s="357"/>
      <c r="P89" s="357"/>
      <c r="Q89" s="358"/>
      <c r="R89" s="357"/>
      <c r="S89" s="357"/>
      <c r="T89" s="357"/>
      <c r="U89" s="357"/>
      <c r="V89" s="358"/>
      <c r="W89" s="357"/>
      <c r="X89" s="357"/>
      <c r="Y89" s="357"/>
      <c r="Z89" s="357"/>
      <c r="AA89" s="358"/>
      <c r="AB89" s="310"/>
      <c r="AC89" s="310"/>
      <c r="AD89" s="310"/>
      <c r="AE89" s="310"/>
      <c r="AF89" s="360"/>
      <c r="AK89" s="372"/>
      <c r="AP89" s="360"/>
      <c r="AQ89" s="356"/>
      <c r="AU89" s="311"/>
      <c r="AV89" s="310"/>
      <c r="AZ89" s="311"/>
      <c r="BE89" s="311"/>
      <c r="BF89" s="285"/>
      <c r="BG89" s="285"/>
      <c r="BH89" s="285"/>
      <c r="BI89" s="285"/>
      <c r="BJ89" s="311"/>
      <c r="BK89" s="285"/>
      <c r="BL89" s="285"/>
      <c r="BM89" s="285"/>
      <c r="BN89" s="285"/>
      <c r="BO89" s="311"/>
      <c r="BP89" s="285"/>
      <c r="BQ89" s="285"/>
      <c r="BR89" s="285"/>
      <c r="BS89" s="285"/>
      <c r="BT89" s="311"/>
      <c r="BU89" s="285"/>
      <c r="BV89" s="285"/>
      <c r="BW89" s="285"/>
      <c r="BX89" s="285"/>
      <c r="BY89" s="311"/>
      <c r="BZ89" s="285"/>
      <c r="CA89" s="285"/>
      <c r="CB89" s="285"/>
      <c r="CC89" s="285"/>
      <c r="CD89" s="311"/>
      <c r="CF89" s="359"/>
    </row>
    <row r="90" spans="1:84" s="285" customFormat="1" outlineLevel="1">
      <c r="B90" s="230" t="s">
        <v>164</v>
      </c>
      <c r="C90" s="236"/>
      <c r="D90" s="236"/>
      <c r="E90" s="236"/>
      <c r="F90" s="236"/>
      <c r="G90" s="235"/>
      <c r="H90" s="236"/>
      <c r="I90" s="236"/>
      <c r="J90" s="236"/>
      <c r="K90" s="236"/>
      <c r="L90" s="235"/>
      <c r="M90" s="236"/>
      <c r="N90" s="236"/>
      <c r="O90" s="236"/>
      <c r="P90" s="236"/>
      <c r="Q90" s="235"/>
      <c r="R90" s="236"/>
      <c r="S90" s="236"/>
      <c r="T90" s="236"/>
      <c r="U90" s="236"/>
      <c r="V90" s="235"/>
      <c r="W90" s="236"/>
      <c r="X90" s="236"/>
      <c r="Y90" s="236"/>
      <c r="Z90" s="236"/>
      <c r="AA90" s="235"/>
      <c r="AB90" s="310"/>
      <c r="AC90" s="310"/>
      <c r="AD90" s="310"/>
      <c r="AE90" s="310"/>
      <c r="AF90" s="235"/>
      <c r="AG90" s="236"/>
      <c r="AH90" s="236"/>
      <c r="AI90" s="236"/>
      <c r="AJ90" s="236"/>
      <c r="AK90" s="235"/>
      <c r="AL90" s="288"/>
      <c r="AM90" s="239"/>
      <c r="AN90" s="288"/>
      <c r="AO90" s="240"/>
      <c r="AP90" s="235"/>
      <c r="AQ90" s="289"/>
      <c r="AR90" s="236"/>
      <c r="AS90" s="236"/>
      <c r="AT90" s="236"/>
      <c r="AU90" s="235"/>
      <c r="AV90" s="236"/>
      <c r="AW90" s="236"/>
      <c r="AX90" s="236"/>
      <c r="AY90" s="236"/>
      <c r="AZ90" s="235"/>
      <c r="BA90" s="236"/>
      <c r="BB90" s="236"/>
      <c r="BC90" s="236"/>
      <c r="BD90" s="236"/>
      <c r="BE90" s="235"/>
      <c r="BF90" s="241"/>
      <c r="BG90" s="241"/>
      <c r="BH90" s="241"/>
      <c r="BI90" s="241"/>
      <c r="BJ90" s="235"/>
      <c r="BK90" s="241"/>
      <c r="BL90" s="241"/>
      <c r="BM90" s="241"/>
      <c r="BN90" s="241"/>
      <c r="BO90" s="235"/>
      <c r="BP90" s="241"/>
      <c r="BQ90" s="241"/>
      <c r="BR90" s="241"/>
      <c r="BS90" s="241"/>
      <c r="BT90" s="235"/>
      <c r="BU90" s="241"/>
      <c r="BV90" s="241"/>
      <c r="BW90" s="241"/>
      <c r="BX90" s="241"/>
      <c r="BY90" s="235"/>
      <c r="BZ90" s="241"/>
      <c r="CA90" s="241"/>
      <c r="CB90" s="241"/>
      <c r="CC90" s="241"/>
      <c r="CD90" s="235"/>
      <c r="CF90" s="229"/>
    </row>
    <row r="91" spans="1:84" s="390" customFormat="1" outlineLevel="1">
      <c r="A91" s="8"/>
      <c r="B91" s="381" t="s">
        <v>165</v>
      </c>
      <c r="C91" s="236"/>
      <c r="D91" s="236"/>
      <c r="E91" s="236"/>
      <c r="F91" s="236"/>
      <c r="G91" s="235"/>
      <c r="H91" s="236"/>
      <c r="I91" s="236"/>
      <c r="J91" s="236"/>
      <c r="K91" s="236"/>
      <c r="L91" s="235"/>
      <c r="M91" s="236"/>
      <c r="N91" s="236"/>
      <c r="O91" s="236"/>
      <c r="P91" s="236"/>
      <c r="Q91" s="235"/>
      <c r="R91" s="236"/>
      <c r="S91" s="236"/>
      <c r="T91" s="236"/>
      <c r="U91" s="236"/>
      <c r="V91" s="235"/>
      <c r="W91" s="236"/>
      <c r="X91" s="236"/>
      <c r="Y91" s="236"/>
      <c r="Z91" s="236"/>
      <c r="AA91" s="382"/>
      <c r="AB91" s="310"/>
      <c r="AC91" s="310"/>
      <c r="AD91" s="383"/>
      <c r="AE91" s="383"/>
      <c r="AF91" s="384"/>
      <c r="AG91" s="236"/>
      <c r="AH91" s="385"/>
      <c r="AI91" s="386"/>
      <c r="AJ91" s="386"/>
      <c r="AK91" s="384"/>
      <c r="AL91" s="344"/>
      <c r="AM91" s="236"/>
      <c r="AN91" s="344"/>
      <c r="AO91" s="236"/>
      <c r="AP91" s="384"/>
      <c r="AQ91" s="289"/>
      <c r="AR91" s="236"/>
      <c r="AS91" s="259"/>
      <c r="AT91" s="259"/>
      <c r="AU91" s="384"/>
      <c r="AV91" s="236"/>
      <c r="AW91" s="259"/>
      <c r="AX91" s="259"/>
      <c r="AY91" s="259"/>
      <c r="AZ91" s="387"/>
      <c r="BA91" s="388">
        <v>105</v>
      </c>
      <c r="BB91" s="259">
        <v>120</v>
      </c>
      <c r="BC91" s="259">
        <v>150</v>
      </c>
      <c r="BD91" s="259">
        <v>140</v>
      </c>
      <c r="BE91" s="235">
        <f>SUM(BB91:BD91)</f>
        <v>410</v>
      </c>
      <c r="BF91" s="259">
        <v>150</v>
      </c>
      <c r="BG91" s="259">
        <v>190</v>
      </c>
      <c r="BH91" s="259">
        <v>205</v>
      </c>
      <c r="BI91" s="259">
        <v>220</v>
      </c>
      <c r="BJ91" s="389">
        <f>SUM(BF91:BI91)</f>
        <v>765</v>
      </c>
      <c r="BK91" s="241"/>
      <c r="BL91" s="241"/>
      <c r="BM91" s="241"/>
      <c r="BN91" s="241"/>
      <c r="BO91" s="384">
        <f>BJ91*(1+BO92)</f>
        <v>887.4</v>
      </c>
      <c r="BP91" s="241"/>
      <c r="BQ91" s="241"/>
      <c r="BR91" s="241"/>
      <c r="BS91" s="241"/>
      <c r="BT91" s="384">
        <f>BO91*(1+BT92)</f>
        <v>993.88800000000003</v>
      </c>
      <c r="BU91" s="241"/>
      <c r="BV91" s="241"/>
      <c r="BW91" s="241"/>
      <c r="BX91" s="241"/>
      <c r="BY91" s="384">
        <f>BT91*(1+BY92)</f>
        <v>1093.2768000000001</v>
      </c>
      <c r="BZ91" s="241"/>
      <c r="CA91" s="241"/>
      <c r="CB91" s="241"/>
      <c r="CC91" s="241"/>
      <c r="CD91" s="384">
        <f>BY91*(1+CD92)</f>
        <v>1202.6044800000002</v>
      </c>
      <c r="CE91" s="8"/>
      <c r="CF91" s="242"/>
    </row>
    <row r="92" spans="1:84" s="390" customFormat="1" outlineLevel="1">
      <c r="A92" s="8"/>
      <c r="B92" s="392" t="s">
        <v>126</v>
      </c>
      <c r="C92" s="293"/>
      <c r="D92" s="293"/>
      <c r="E92" s="293"/>
      <c r="F92" s="293"/>
      <c r="G92" s="294"/>
      <c r="H92" s="293"/>
      <c r="I92" s="293"/>
      <c r="J92" s="293"/>
      <c r="K92" s="293"/>
      <c r="L92" s="294"/>
      <c r="M92" s="293"/>
      <c r="N92" s="293"/>
      <c r="O92" s="293"/>
      <c r="P92" s="293"/>
      <c r="Q92" s="294"/>
      <c r="R92" s="293"/>
      <c r="S92" s="293"/>
      <c r="T92" s="293"/>
      <c r="U92" s="293"/>
      <c r="V92" s="294"/>
      <c r="W92" s="247"/>
      <c r="X92" s="247"/>
      <c r="Y92" s="247"/>
      <c r="Z92" s="247"/>
      <c r="AA92" s="251"/>
      <c r="AB92" s="302"/>
      <c r="AC92" s="302"/>
      <c r="AD92" s="302"/>
      <c r="AE92" s="302"/>
      <c r="AF92" s="251"/>
      <c r="AG92" s="247"/>
      <c r="AH92" s="247"/>
      <c r="AI92" s="247"/>
      <c r="AJ92" s="295"/>
      <c r="AK92" s="251"/>
      <c r="AL92" s="295"/>
      <c r="AM92" s="247"/>
      <c r="AN92" s="295"/>
      <c r="AO92" s="295"/>
      <c r="AP92" s="251"/>
      <c r="AQ92" s="347"/>
      <c r="AR92" s="247"/>
      <c r="AS92" s="393"/>
      <c r="AT92" s="393"/>
      <c r="AU92" s="251"/>
      <c r="AV92" s="247"/>
      <c r="AW92" s="393"/>
      <c r="AX92" s="393"/>
      <c r="AY92" s="393"/>
      <c r="AZ92" s="394"/>
      <c r="BA92" s="295"/>
      <c r="BB92" s="393"/>
      <c r="BC92" s="393"/>
      <c r="BD92" s="393"/>
      <c r="BE92" s="395">
        <f>SUM(BA91:BD91)+0.75*320</f>
        <v>755</v>
      </c>
      <c r="BF92" s="393"/>
      <c r="BG92" s="393"/>
      <c r="BH92" s="393"/>
      <c r="BI92" s="393"/>
      <c r="BJ92" s="396">
        <f>BJ91/BE92-1</f>
        <v>1.3245033112582849E-2</v>
      </c>
      <c r="BK92" s="340"/>
      <c r="BL92" s="340"/>
      <c r="BM92" s="340"/>
      <c r="BN92" s="340"/>
      <c r="BO92" s="341">
        <v>0.16</v>
      </c>
      <c r="BP92" s="340"/>
      <c r="BQ92" s="340"/>
      <c r="BR92" s="340"/>
      <c r="BS92" s="340"/>
      <c r="BT92" s="341">
        <v>0.12</v>
      </c>
      <c r="BU92" s="340"/>
      <c r="BV92" s="340"/>
      <c r="BW92" s="340"/>
      <c r="BX92" s="340"/>
      <c r="BY92" s="341">
        <v>0.1</v>
      </c>
      <c r="BZ92" s="340"/>
      <c r="CA92" s="340"/>
      <c r="CB92" s="340"/>
      <c r="CC92" s="340"/>
      <c r="CD92" s="341">
        <v>0.1</v>
      </c>
      <c r="CE92" s="8"/>
      <c r="CF92" s="242"/>
    </row>
    <row r="93" spans="1:84" s="390" customFormat="1" outlineLevel="1">
      <c r="A93" s="8"/>
      <c r="B93" s="381" t="s">
        <v>166</v>
      </c>
      <c r="C93" s="236"/>
      <c r="D93" s="236"/>
      <c r="E93" s="236"/>
      <c r="F93" s="236"/>
      <c r="G93" s="235"/>
      <c r="H93" s="236"/>
      <c r="I93" s="236"/>
      <c r="J93" s="236"/>
      <c r="K93" s="236"/>
      <c r="L93" s="235"/>
      <c r="M93" s="236"/>
      <c r="N93" s="236"/>
      <c r="O93" s="236"/>
      <c r="P93" s="236"/>
      <c r="Q93" s="235"/>
      <c r="R93" s="236"/>
      <c r="S93" s="236"/>
      <c r="T93" s="236"/>
      <c r="U93" s="236"/>
      <c r="V93" s="235"/>
      <c r="W93" s="236"/>
      <c r="X93" s="236"/>
      <c r="Y93" s="236"/>
      <c r="Z93" s="236"/>
      <c r="AA93" s="382"/>
      <c r="AB93" s="310"/>
      <c r="AC93" s="310"/>
      <c r="AD93" s="383"/>
      <c r="AE93" s="383"/>
      <c r="AF93" s="384"/>
      <c r="AG93" s="236"/>
      <c r="AH93" s="385"/>
      <c r="AI93" s="386"/>
      <c r="AJ93" s="386"/>
      <c r="AK93" s="384"/>
      <c r="AL93" s="344"/>
      <c r="AM93" s="236"/>
      <c r="AN93" s="344"/>
      <c r="AO93" s="236"/>
      <c r="AP93" s="384"/>
      <c r="AQ93" s="289"/>
      <c r="AR93" s="236"/>
      <c r="AS93" s="236"/>
      <c r="AT93" s="236"/>
      <c r="AU93" s="384"/>
      <c r="AV93" s="397"/>
      <c r="AW93" s="236"/>
      <c r="AX93" s="236"/>
      <c r="AY93" s="236"/>
      <c r="AZ93" s="387"/>
      <c r="BA93" s="388">
        <v>25</v>
      </c>
      <c r="BB93" s="236">
        <f>BB95-BB91</f>
        <v>28</v>
      </c>
      <c r="BC93" s="236">
        <f>BC95-BC91</f>
        <v>70</v>
      </c>
      <c r="BD93" s="236">
        <f>BD95-BD91</f>
        <v>70</v>
      </c>
      <c r="BE93" s="235">
        <f>SUM(BB93:BD93)</f>
        <v>168</v>
      </c>
      <c r="BF93" s="259">
        <v>75</v>
      </c>
      <c r="BG93" s="259">
        <v>110</v>
      </c>
      <c r="BH93" s="259">
        <v>125</v>
      </c>
      <c r="BI93" s="259">
        <v>140</v>
      </c>
      <c r="BJ93" s="389">
        <f>SUM(BF93:BI93)</f>
        <v>450</v>
      </c>
      <c r="BK93" s="241"/>
      <c r="BL93" s="241"/>
      <c r="BM93" s="241"/>
      <c r="BN93" s="241"/>
      <c r="BO93" s="384">
        <f>BJ93*(1+BO94)</f>
        <v>585</v>
      </c>
      <c r="BP93" s="241"/>
      <c r="BQ93" s="241"/>
      <c r="BR93" s="241"/>
      <c r="BS93" s="241"/>
      <c r="BT93" s="384">
        <f>BO93*(1+BT94)</f>
        <v>690.3</v>
      </c>
      <c r="BU93" s="241"/>
      <c r="BV93" s="241"/>
      <c r="BW93" s="241"/>
      <c r="BX93" s="241"/>
      <c r="BY93" s="384">
        <f>BT93*(1+BY94)</f>
        <v>793.84499999999991</v>
      </c>
      <c r="BZ93" s="241"/>
      <c r="CA93" s="241"/>
      <c r="CB93" s="241"/>
      <c r="CC93" s="241"/>
      <c r="CD93" s="384">
        <f>BY93*(1+CD94)</f>
        <v>897.04484999999977</v>
      </c>
      <c r="CE93" s="8"/>
      <c r="CF93" s="242"/>
    </row>
    <row r="94" spans="1:84" s="390" customFormat="1" outlineLevel="1">
      <c r="A94" s="8"/>
      <c r="B94" s="392" t="s">
        <v>126</v>
      </c>
      <c r="C94" s="293"/>
      <c r="D94" s="293"/>
      <c r="E94" s="293"/>
      <c r="F94" s="293"/>
      <c r="G94" s="294"/>
      <c r="H94" s="293"/>
      <c r="I94" s="293"/>
      <c r="J94" s="293"/>
      <c r="K94" s="293"/>
      <c r="L94" s="294"/>
      <c r="M94" s="293"/>
      <c r="N94" s="293"/>
      <c r="O94" s="293"/>
      <c r="P94" s="293"/>
      <c r="Q94" s="294"/>
      <c r="R94" s="293"/>
      <c r="S94" s="293"/>
      <c r="T94" s="293"/>
      <c r="U94" s="293"/>
      <c r="V94" s="294"/>
      <c r="W94" s="247"/>
      <c r="X94" s="247"/>
      <c r="Y94" s="247"/>
      <c r="Z94" s="247"/>
      <c r="AA94" s="251"/>
      <c r="AB94" s="302"/>
      <c r="AC94" s="302"/>
      <c r="AD94" s="302"/>
      <c r="AE94" s="302"/>
      <c r="AF94" s="251"/>
      <c r="AG94" s="247"/>
      <c r="AH94" s="247"/>
      <c r="AI94" s="247"/>
      <c r="AJ94" s="295"/>
      <c r="AK94" s="251"/>
      <c r="AL94" s="295"/>
      <c r="AM94" s="247"/>
      <c r="AN94" s="295"/>
      <c r="AO94" s="295"/>
      <c r="AP94" s="251"/>
      <c r="AQ94" s="347"/>
      <c r="AR94" s="247"/>
      <c r="AS94" s="393"/>
      <c r="AT94" s="393"/>
      <c r="AU94" s="251"/>
      <c r="AV94" s="247"/>
      <c r="AW94" s="393"/>
      <c r="AX94" s="393"/>
      <c r="AY94" s="393"/>
      <c r="AZ94" s="394"/>
      <c r="BA94" s="295"/>
      <c r="BB94" s="393"/>
      <c r="BC94" s="393"/>
      <c r="BD94" s="393"/>
      <c r="BE94" s="395">
        <f>SUM(BA93:BD93)+0.25*320</f>
        <v>273</v>
      </c>
      <c r="BF94" s="393"/>
      <c r="BG94" s="393"/>
      <c r="BH94" s="393"/>
      <c r="BI94" s="393"/>
      <c r="BJ94" s="396">
        <f>BJ93/BE94-1</f>
        <v>0.64835164835164827</v>
      </c>
      <c r="BK94" s="340"/>
      <c r="BL94" s="340"/>
      <c r="BM94" s="340"/>
      <c r="BN94" s="340"/>
      <c r="BO94" s="341">
        <v>0.3</v>
      </c>
      <c r="BP94" s="340"/>
      <c r="BQ94" s="340"/>
      <c r="BR94" s="340"/>
      <c r="BS94" s="340"/>
      <c r="BT94" s="341">
        <v>0.18</v>
      </c>
      <c r="BU94" s="340"/>
      <c r="BV94" s="340"/>
      <c r="BW94" s="340"/>
      <c r="BX94" s="340"/>
      <c r="BY94" s="341">
        <v>0.15</v>
      </c>
      <c r="BZ94" s="340"/>
      <c r="CA94" s="340"/>
      <c r="CB94" s="340"/>
      <c r="CC94" s="340"/>
      <c r="CD94" s="341">
        <v>0.13</v>
      </c>
      <c r="CE94" s="8"/>
      <c r="CF94" s="242"/>
    </row>
    <row r="95" spans="1:84" s="390" customFormat="1" outlineLevel="1">
      <c r="A95" s="8"/>
      <c r="B95" s="398" t="s">
        <v>167</v>
      </c>
      <c r="C95" s="399"/>
      <c r="D95" s="399"/>
      <c r="E95" s="399"/>
      <c r="F95" s="399"/>
      <c r="G95" s="400"/>
      <c r="H95" s="399"/>
      <c r="I95" s="399"/>
      <c r="J95" s="399"/>
      <c r="K95" s="399"/>
      <c r="L95" s="400"/>
      <c r="M95" s="399"/>
      <c r="N95" s="399"/>
      <c r="O95" s="399"/>
      <c r="P95" s="399"/>
      <c r="Q95" s="400"/>
      <c r="R95" s="399"/>
      <c r="S95" s="399"/>
      <c r="T95" s="399"/>
      <c r="U95" s="399"/>
      <c r="V95" s="400"/>
      <c r="W95" s="399"/>
      <c r="X95" s="399"/>
      <c r="Y95" s="399"/>
      <c r="Z95" s="399"/>
      <c r="AA95" s="401"/>
      <c r="AB95" s="367"/>
      <c r="AC95" s="367"/>
      <c r="AD95" s="402"/>
      <c r="AE95" s="402"/>
      <c r="AF95" s="403"/>
      <c r="AG95" s="399"/>
      <c r="AH95" s="404"/>
      <c r="AI95" s="405"/>
      <c r="AJ95" s="405"/>
      <c r="AK95" s="403"/>
      <c r="AL95" s="406"/>
      <c r="AM95" s="399"/>
      <c r="AN95" s="406"/>
      <c r="AO95" s="399"/>
      <c r="AP95" s="403"/>
      <c r="AQ95" s="407"/>
      <c r="AR95" s="399"/>
      <c r="AS95" s="399"/>
      <c r="AT95" s="399"/>
      <c r="AU95" s="403"/>
      <c r="AV95" s="399"/>
      <c r="AW95" s="399"/>
      <c r="AX95" s="399"/>
      <c r="AY95" s="399"/>
      <c r="AZ95" s="408"/>
      <c r="BA95" s="409">
        <f>SUM(BA91,BA93)</f>
        <v>130</v>
      </c>
      <c r="BB95" s="399">
        <v>148</v>
      </c>
      <c r="BC95" s="399">
        <v>220</v>
      </c>
      <c r="BD95" s="399">
        <v>210</v>
      </c>
      <c r="BE95" s="400">
        <f>SUM(BB95:BD95)</f>
        <v>578</v>
      </c>
      <c r="BF95" s="399">
        <f>SUM(BF91,BF93)</f>
        <v>225</v>
      </c>
      <c r="BG95" s="399">
        <f>SUM(BG91,BG93)</f>
        <v>300</v>
      </c>
      <c r="BH95" s="399">
        <f>SUM(BH91,BH93)</f>
        <v>330</v>
      </c>
      <c r="BI95" s="399">
        <f>SUM(BI91,BI93)</f>
        <v>360</v>
      </c>
      <c r="BJ95" s="403">
        <f>SUM(BF95:BI95)</f>
        <v>1215</v>
      </c>
      <c r="BK95" s="410">
        <f t="shared" ref="BK95:CD95" si="50">SUM(BK91,BK93)</f>
        <v>0</v>
      </c>
      <c r="BL95" s="410">
        <f t="shared" si="50"/>
        <v>0</v>
      </c>
      <c r="BM95" s="410">
        <f t="shared" si="50"/>
        <v>0</v>
      </c>
      <c r="BN95" s="410">
        <f t="shared" si="50"/>
        <v>0</v>
      </c>
      <c r="BO95" s="403">
        <f t="shared" si="50"/>
        <v>1472.4</v>
      </c>
      <c r="BP95" s="410">
        <f t="shared" si="50"/>
        <v>0</v>
      </c>
      <c r="BQ95" s="410">
        <f t="shared" si="50"/>
        <v>0</v>
      </c>
      <c r="BR95" s="410">
        <f t="shared" si="50"/>
        <v>0</v>
      </c>
      <c r="BS95" s="410">
        <f t="shared" si="50"/>
        <v>0</v>
      </c>
      <c r="BT95" s="403">
        <f t="shared" si="50"/>
        <v>1684.1880000000001</v>
      </c>
      <c r="BU95" s="410">
        <f t="shared" si="50"/>
        <v>0</v>
      </c>
      <c r="BV95" s="410">
        <f t="shared" si="50"/>
        <v>0</v>
      </c>
      <c r="BW95" s="410">
        <f t="shared" si="50"/>
        <v>0</v>
      </c>
      <c r="BX95" s="410">
        <f t="shared" si="50"/>
        <v>0</v>
      </c>
      <c r="BY95" s="403">
        <f t="shared" si="50"/>
        <v>1887.1217999999999</v>
      </c>
      <c r="BZ95" s="410">
        <f t="shared" si="50"/>
        <v>0</v>
      </c>
      <c r="CA95" s="410">
        <f t="shared" si="50"/>
        <v>0</v>
      </c>
      <c r="CB95" s="410">
        <f t="shared" si="50"/>
        <v>0</v>
      </c>
      <c r="CC95" s="410">
        <f t="shared" si="50"/>
        <v>0</v>
      </c>
      <c r="CD95" s="403">
        <f t="shared" si="50"/>
        <v>2099.6493300000002</v>
      </c>
      <c r="CE95" s="8"/>
      <c r="CF95" s="242"/>
    </row>
    <row r="96" spans="1:84" s="390" customFormat="1" outlineLevel="1">
      <c r="A96" s="8"/>
      <c r="B96" s="245" t="s">
        <v>126</v>
      </c>
      <c r="C96" s="293"/>
      <c r="D96" s="293"/>
      <c r="E96" s="293"/>
      <c r="F96" s="293"/>
      <c r="G96" s="294"/>
      <c r="H96" s="293"/>
      <c r="I96" s="293"/>
      <c r="J96" s="293"/>
      <c r="K96" s="293"/>
      <c r="L96" s="294"/>
      <c r="M96" s="293"/>
      <c r="N96" s="293"/>
      <c r="O96" s="293"/>
      <c r="P96" s="293"/>
      <c r="Q96" s="294"/>
      <c r="R96" s="293"/>
      <c r="S96" s="293"/>
      <c r="T96" s="293"/>
      <c r="U96" s="293"/>
      <c r="V96" s="294"/>
      <c r="W96" s="247"/>
      <c r="X96" s="247"/>
      <c r="Y96" s="247"/>
      <c r="Z96" s="247"/>
      <c r="AA96" s="251"/>
      <c r="AB96" s="302"/>
      <c r="AC96" s="302"/>
      <c r="AD96" s="302"/>
      <c r="AE96" s="302"/>
      <c r="AF96" s="251"/>
      <c r="AG96" s="247"/>
      <c r="AH96" s="247"/>
      <c r="AI96" s="247"/>
      <c r="AJ96" s="295"/>
      <c r="AK96" s="251"/>
      <c r="AL96" s="295"/>
      <c r="AM96" s="247"/>
      <c r="AN96" s="295"/>
      <c r="AO96" s="295"/>
      <c r="AP96" s="251"/>
      <c r="AQ96" s="347"/>
      <c r="AR96" s="247"/>
      <c r="AS96" s="259"/>
      <c r="AT96" s="259"/>
      <c r="AU96" s="251"/>
      <c r="AV96" s="247"/>
      <c r="AW96" s="259"/>
      <c r="AX96" s="259"/>
      <c r="AY96" s="259"/>
      <c r="AZ96" s="394"/>
      <c r="BA96" s="295"/>
      <c r="BB96" s="259"/>
      <c r="BC96" s="411"/>
      <c r="BD96" s="259"/>
      <c r="BE96" s="412"/>
      <c r="BF96" s="259"/>
      <c r="BG96" s="259"/>
      <c r="BH96" s="259"/>
      <c r="BI96" s="259"/>
      <c r="BJ96" s="396">
        <f>BJ95/900-1</f>
        <v>0.35000000000000009</v>
      </c>
      <c r="BK96" s="340"/>
      <c r="BL96" s="340"/>
      <c r="BM96" s="340"/>
      <c r="BN96" s="340"/>
      <c r="BO96" s="251">
        <f>BO95/BJ95-1</f>
        <v>0.21185185185185196</v>
      </c>
      <c r="BP96" s="340"/>
      <c r="BQ96" s="340"/>
      <c r="BR96" s="340"/>
      <c r="BS96" s="340"/>
      <c r="BT96" s="251">
        <f>BT95/BO95-1</f>
        <v>0.143838630806846</v>
      </c>
      <c r="BU96" s="340"/>
      <c r="BV96" s="340"/>
      <c r="BW96" s="340"/>
      <c r="BX96" s="340"/>
      <c r="BY96" s="251">
        <f>BY95/BT95-1</f>
        <v>0.12049355535130268</v>
      </c>
      <c r="BZ96" s="340"/>
      <c r="CA96" s="340"/>
      <c r="CB96" s="340"/>
      <c r="CC96" s="340"/>
      <c r="CD96" s="251">
        <f>CD95/BY95-1</f>
        <v>0.11261993264027814</v>
      </c>
      <c r="CE96" s="8"/>
      <c r="CF96" s="242"/>
    </row>
    <row r="97" spans="1:84" s="390" customFormat="1" outlineLevel="1">
      <c r="A97" s="8"/>
      <c r="B97" s="238" t="s">
        <v>168</v>
      </c>
      <c r="C97" s="413"/>
      <c r="D97" s="413"/>
      <c r="E97" s="413"/>
      <c r="F97" s="413"/>
      <c r="G97" s="414"/>
      <c r="H97" s="413"/>
      <c r="I97" s="413"/>
      <c r="J97" s="413"/>
      <c r="K97" s="413"/>
      <c r="L97" s="414"/>
      <c r="M97" s="413"/>
      <c r="N97" s="413"/>
      <c r="O97" s="413"/>
      <c r="P97" s="413"/>
      <c r="Q97" s="414"/>
      <c r="R97" s="413"/>
      <c r="S97" s="413"/>
      <c r="T97" s="413"/>
      <c r="U97" s="413"/>
      <c r="V97" s="414"/>
      <c r="W97" s="415"/>
      <c r="X97" s="415"/>
      <c r="Y97" s="415"/>
      <c r="Z97" s="415"/>
      <c r="AA97" s="416"/>
      <c r="AB97" s="417"/>
      <c r="AC97" s="417"/>
      <c r="AD97" s="417"/>
      <c r="AE97" s="417"/>
      <c r="AF97" s="416"/>
      <c r="AG97" s="415"/>
      <c r="AH97" s="415"/>
      <c r="AI97" s="415"/>
      <c r="AJ97" s="418"/>
      <c r="AK97" s="416"/>
      <c r="AL97" s="406"/>
      <c r="AM97" s="399"/>
      <c r="AN97" s="406"/>
      <c r="AO97" s="399"/>
      <c r="AP97" s="403"/>
      <c r="AQ97" s="419"/>
      <c r="AR97" s="399"/>
      <c r="AS97" s="236"/>
      <c r="AT97" s="236"/>
      <c r="AU97" s="403"/>
      <c r="AV97" s="406"/>
      <c r="AW97" s="236"/>
      <c r="AX97" s="236"/>
      <c r="AY97" s="236"/>
      <c r="AZ97" s="420"/>
      <c r="BA97" s="388">
        <v>35</v>
      </c>
      <c r="BB97" s="236">
        <v>26</v>
      </c>
      <c r="BC97" s="236">
        <v>53</v>
      </c>
      <c r="BD97" s="236">
        <v>86</v>
      </c>
      <c r="BE97" s="384">
        <f>SUM(BB97:BD97)</f>
        <v>165</v>
      </c>
      <c r="BF97" s="259">
        <v>20</v>
      </c>
      <c r="BG97" s="259">
        <v>5</v>
      </c>
      <c r="BH97" s="259">
        <v>5</v>
      </c>
      <c r="BI97" s="259">
        <v>5</v>
      </c>
      <c r="BJ97" s="389">
        <f>SUM(BF97:BI97)</f>
        <v>35</v>
      </c>
      <c r="BK97" s="241"/>
      <c r="BL97" s="241"/>
      <c r="BM97" s="241"/>
      <c r="BN97" s="241"/>
      <c r="BO97" s="384">
        <f>BJ97*(1+BO98)</f>
        <v>24.5</v>
      </c>
      <c r="BP97" s="241"/>
      <c r="BQ97" s="241"/>
      <c r="BR97" s="241"/>
      <c r="BS97" s="241"/>
      <c r="BT97" s="384">
        <f>BO97*(1+BT98)</f>
        <v>18.375</v>
      </c>
      <c r="BU97" s="241"/>
      <c r="BV97" s="241"/>
      <c r="BW97" s="241"/>
      <c r="BX97" s="241"/>
      <c r="BY97" s="384">
        <f>BT97*(1+BY98)</f>
        <v>13.78125</v>
      </c>
      <c r="BZ97" s="241"/>
      <c r="CA97" s="241"/>
      <c r="CB97" s="241"/>
      <c r="CC97" s="241"/>
      <c r="CD97" s="384">
        <f>BY97*(1+CD98)</f>
        <v>10.3359375</v>
      </c>
      <c r="CE97" s="8"/>
      <c r="CF97" s="242"/>
    </row>
    <row r="98" spans="1:84" s="390" customFormat="1" outlineLevel="1">
      <c r="A98" s="8"/>
      <c r="B98" s="245" t="s">
        <v>126</v>
      </c>
      <c r="C98" s="293"/>
      <c r="D98" s="293"/>
      <c r="E98" s="293"/>
      <c r="F98" s="293"/>
      <c r="G98" s="294"/>
      <c r="H98" s="293"/>
      <c r="I98" s="293"/>
      <c r="J98" s="293"/>
      <c r="K98" s="293"/>
      <c r="L98" s="294"/>
      <c r="M98" s="293"/>
      <c r="N98" s="293"/>
      <c r="O98" s="293"/>
      <c r="P98" s="293"/>
      <c r="Q98" s="294"/>
      <c r="R98" s="293"/>
      <c r="S98" s="293"/>
      <c r="T98" s="293"/>
      <c r="U98" s="293"/>
      <c r="V98" s="294"/>
      <c r="W98" s="247"/>
      <c r="X98" s="247"/>
      <c r="Y98" s="247"/>
      <c r="Z98" s="247"/>
      <c r="AA98" s="251"/>
      <c r="AB98" s="302"/>
      <c r="AC98" s="302"/>
      <c r="AD98" s="302"/>
      <c r="AE98" s="302"/>
      <c r="AF98" s="251"/>
      <c r="AG98" s="247"/>
      <c r="AH98" s="247"/>
      <c r="AI98" s="247"/>
      <c r="AJ98" s="295"/>
      <c r="AK98" s="251"/>
      <c r="AL98" s="293"/>
      <c r="AM98" s="247"/>
      <c r="AN98" s="295"/>
      <c r="AO98" s="295"/>
      <c r="AP98" s="251"/>
      <c r="AQ98" s="347"/>
      <c r="AR98" s="247"/>
      <c r="AS98" s="259"/>
      <c r="AT98" s="259"/>
      <c r="AU98" s="251"/>
      <c r="AV98" s="293"/>
      <c r="AW98" s="259"/>
      <c r="AX98" s="259"/>
      <c r="AY98" s="259"/>
      <c r="AZ98" s="394"/>
      <c r="BA98" s="421"/>
      <c r="BB98" s="259"/>
      <c r="BC98" s="259"/>
      <c r="BD98" s="259"/>
      <c r="BE98" s="251"/>
      <c r="BF98" s="259"/>
      <c r="BG98" s="259"/>
      <c r="BH98" s="259"/>
      <c r="BI98" s="259"/>
      <c r="BJ98" s="396">
        <f>BJ97/200-1</f>
        <v>-0.82499999999999996</v>
      </c>
      <c r="BK98" s="340"/>
      <c r="BL98" s="340"/>
      <c r="BM98" s="340"/>
      <c r="BN98" s="340"/>
      <c r="BO98" s="341">
        <v>-0.3</v>
      </c>
      <c r="BP98" s="340"/>
      <c r="BQ98" s="340"/>
      <c r="BR98" s="340"/>
      <c r="BS98" s="340"/>
      <c r="BT98" s="341">
        <v>-0.25</v>
      </c>
      <c r="BU98" s="340"/>
      <c r="BV98" s="340"/>
      <c r="BW98" s="340"/>
      <c r="BX98" s="340"/>
      <c r="BY98" s="341">
        <v>-0.25</v>
      </c>
      <c r="BZ98" s="340"/>
      <c r="CA98" s="340"/>
      <c r="CB98" s="340"/>
      <c r="CC98" s="340"/>
      <c r="CD98" s="341">
        <v>-0.25</v>
      </c>
      <c r="CE98" s="8"/>
      <c r="CF98" s="242"/>
    </row>
    <row r="99" spans="1:84" s="390" customFormat="1" outlineLevel="1">
      <c r="A99" s="8"/>
      <c r="B99" s="238" t="s">
        <v>169</v>
      </c>
      <c r="C99" s="413"/>
      <c r="D99" s="413"/>
      <c r="E99" s="413"/>
      <c r="F99" s="413"/>
      <c r="G99" s="414"/>
      <c r="H99" s="413"/>
      <c r="I99" s="413"/>
      <c r="J99" s="413"/>
      <c r="K99" s="413"/>
      <c r="L99" s="414"/>
      <c r="M99" s="413"/>
      <c r="N99" s="413"/>
      <c r="O99" s="413"/>
      <c r="P99" s="413"/>
      <c r="Q99" s="414"/>
      <c r="R99" s="413"/>
      <c r="S99" s="413"/>
      <c r="T99" s="413"/>
      <c r="U99" s="413"/>
      <c r="V99" s="414"/>
      <c r="W99" s="415"/>
      <c r="X99" s="415"/>
      <c r="Y99" s="415"/>
      <c r="Z99" s="415"/>
      <c r="AA99" s="416"/>
      <c r="AB99" s="417"/>
      <c r="AC99" s="417"/>
      <c r="AD99" s="417"/>
      <c r="AE99" s="417"/>
      <c r="AF99" s="416"/>
      <c r="AG99" s="415"/>
      <c r="AH99" s="415"/>
      <c r="AI99" s="415"/>
      <c r="AJ99" s="418"/>
      <c r="AK99" s="416"/>
      <c r="AL99" s="406"/>
      <c r="AM99" s="399"/>
      <c r="AN99" s="406"/>
      <c r="AO99" s="399"/>
      <c r="AP99" s="403"/>
      <c r="AQ99" s="419"/>
      <c r="AR99" s="399"/>
      <c r="AS99" s="236"/>
      <c r="AT99" s="236"/>
      <c r="AU99" s="403"/>
      <c r="AV99" s="406"/>
      <c r="AW99" s="236"/>
      <c r="AX99" s="236"/>
      <c r="AY99" s="236"/>
      <c r="AZ99" s="420"/>
      <c r="BA99" s="388">
        <v>20</v>
      </c>
      <c r="BB99" s="236">
        <v>31</v>
      </c>
      <c r="BC99" s="236">
        <v>35</v>
      </c>
      <c r="BD99" s="236">
        <v>31</v>
      </c>
      <c r="BE99" s="384">
        <f>SUM(BB99:BD99)</f>
        <v>97</v>
      </c>
      <c r="BF99" s="259">
        <v>30</v>
      </c>
      <c r="BG99" s="259">
        <v>35</v>
      </c>
      <c r="BH99" s="259">
        <v>37</v>
      </c>
      <c r="BI99" s="259">
        <v>40</v>
      </c>
      <c r="BJ99" s="389">
        <f>SUM(BF99:BI99)</f>
        <v>142</v>
      </c>
      <c r="BK99" s="241"/>
      <c r="BL99" s="241"/>
      <c r="BM99" s="241"/>
      <c r="BN99" s="241"/>
      <c r="BO99" s="384">
        <f>BJ99*(1+BO100)</f>
        <v>164.72</v>
      </c>
      <c r="BP99" s="241"/>
      <c r="BQ99" s="241"/>
      <c r="BR99" s="241"/>
      <c r="BS99" s="241"/>
      <c r="BT99" s="384">
        <f>BO99*(1+BT100)</f>
        <v>181.19200000000001</v>
      </c>
      <c r="BU99" s="241"/>
      <c r="BV99" s="241"/>
      <c r="BW99" s="241"/>
      <c r="BX99" s="241"/>
      <c r="BY99" s="384">
        <f>BT99*(1+BY100)</f>
        <v>195.68736000000001</v>
      </c>
      <c r="BZ99" s="241"/>
      <c r="CA99" s="241"/>
      <c r="CB99" s="241"/>
      <c r="CC99" s="241"/>
      <c r="CD99" s="384">
        <f>BY99*(1+CD100)</f>
        <v>211.34234880000002</v>
      </c>
      <c r="CE99" s="8"/>
      <c r="CF99" s="242"/>
    </row>
    <row r="100" spans="1:84" s="390" customFormat="1" outlineLevel="1">
      <c r="A100" s="8"/>
      <c r="B100" s="245" t="s">
        <v>126</v>
      </c>
      <c r="C100" s="293"/>
      <c r="D100" s="293"/>
      <c r="E100" s="293"/>
      <c r="F100" s="293"/>
      <c r="G100" s="294"/>
      <c r="H100" s="293"/>
      <c r="I100" s="293"/>
      <c r="J100" s="293"/>
      <c r="K100" s="293"/>
      <c r="L100" s="294"/>
      <c r="M100" s="293"/>
      <c r="N100" s="293"/>
      <c r="O100" s="293"/>
      <c r="P100" s="293"/>
      <c r="Q100" s="294"/>
      <c r="R100" s="293"/>
      <c r="S100" s="293"/>
      <c r="T100" s="293"/>
      <c r="U100" s="293"/>
      <c r="V100" s="294"/>
      <c r="W100" s="247"/>
      <c r="X100" s="247"/>
      <c r="Y100" s="247"/>
      <c r="Z100" s="247"/>
      <c r="AA100" s="251"/>
      <c r="AB100" s="302"/>
      <c r="AC100" s="302"/>
      <c r="AD100" s="302"/>
      <c r="AE100" s="302"/>
      <c r="AF100" s="251"/>
      <c r="AG100" s="247"/>
      <c r="AH100" s="247"/>
      <c r="AI100" s="247"/>
      <c r="AJ100" s="295"/>
      <c r="AK100" s="251"/>
      <c r="AL100" s="293"/>
      <c r="AM100" s="247"/>
      <c r="AN100" s="295"/>
      <c r="AO100" s="295"/>
      <c r="AP100" s="251"/>
      <c r="AQ100" s="347"/>
      <c r="AR100" s="247"/>
      <c r="AS100" s="259"/>
      <c r="AT100" s="259"/>
      <c r="AU100" s="251"/>
      <c r="AV100" s="293"/>
      <c r="AW100" s="259"/>
      <c r="AX100" s="259"/>
      <c r="AY100" s="259"/>
      <c r="AZ100" s="394"/>
      <c r="BA100" s="421"/>
      <c r="BB100" s="259"/>
      <c r="BC100" s="259"/>
      <c r="BD100" s="393"/>
      <c r="BE100" s="251"/>
      <c r="BF100" s="393"/>
      <c r="BG100" s="393"/>
      <c r="BH100" s="393"/>
      <c r="BI100" s="259"/>
      <c r="BJ100" s="396">
        <f>BJ99/150-1</f>
        <v>-5.3333333333333344E-2</v>
      </c>
      <c r="BK100" s="340"/>
      <c r="BL100" s="340"/>
      <c r="BM100" s="340"/>
      <c r="BN100" s="340"/>
      <c r="BO100" s="341">
        <v>0.16</v>
      </c>
      <c r="BP100" s="340"/>
      <c r="BQ100" s="340"/>
      <c r="BR100" s="340"/>
      <c r="BS100" s="340"/>
      <c r="BT100" s="341">
        <v>0.1</v>
      </c>
      <c r="BU100" s="340"/>
      <c r="BV100" s="340"/>
      <c r="BW100" s="340"/>
      <c r="BX100" s="340"/>
      <c r="BY100" s="341">
        <v>0.08</v>
      </c>
      <c r="BZ100" s="340"/>
      <c r="CA100" s="340"/>
      <c r="CB100" s="340"/>
      <c r="CC100" s="340"/>
      <c r="CD100" s="341">
        <v>0.08</v>
      </c>
      <c r="CE100" s="8"/>
      <c r="CF100" s="242"/>
    </row>
    <row r="101" spans="1:84" s="390" customFormat="1" outlineLevel="1">
      <c r="A101" s="8"/>
      <c r="B101" s="381" t="s">
        <v>170</v>
      </c>
      <c r="C101" s="236"/>
      <c r="D101" s="236"/>
      <c r="E101" s="236"/>
      <c r="F101" s="236"/>
      <c r="G101" s="235"/>
      <c r="H101" s="236"/>
      <c r="I101" s="236"/>
      <c r="J101" s="236"/>
      <c r="K101" s="236"/>
      <c r="L101" s="235"/>
      <c r="M101" s="236"/>
      <c r="N101" s="236"/>
      <c r="O101" s="236"/>
      <c r="P101" s="236"/>
      <c r="Q101" s="235"/>
      <c r="R101" s="236"/>
      <c r="S101" s="236"/>
      <c r="T101" s="236"/>
      <c r="U101" s="236"/>
      <c r="V101" s="235"/>
      <c r="W101" s="236"/>
      <c r="X101" s="236"/>
      <c r="Y101" s="236"/>
      <c r="Z101" s="236"/>
      <c r="AA101" s="235"/>
      <c r="AB101" s="310"/>
      <c r="AC101" s="310"/>
      <c r="AD101" s="383"/>
      <c r="AE101" s="383"/>
      <c r="AF101" s="384"/>
      <c r="AG101" s="236"/>
      <c r="AH101" s="385"/>
      <c r="AI101" s="386"/>
      <c r="AJ101" s="386"/>
      <c r="AK101" s="384"/>
      <c r="AL101" s="344"/>
      <c r="AM101" s="236"/>
      <c r="AN101" s="344"/>
      <c r="AO101" s="236"/>
      <c r="AP101" s="384"/>
      <c r="AQ101" s="289"/>
      <c r="AR101" s="259"/>
      <c r="AS101" s="259"/>
      <c r="AT101" s="259"/>
      <c r="AU101" s="384"/>
      <c r="AV101" s="259"/>
      <c r="AW101" s="259"/>
      <c r="AX101" s="259"/>
      <c r="AY101" s="259"/>
      <c r="AZ101" s="420"/>
      <c r="BA101" s="388">
        <v>25</v>
      </c>
      <c r="BB101" s="236">
        <v>24</v>
      </c>
      <c r="BC101" s="236">
        <v>46</v>
      </c>
      <c r="BD101" s="236">
        <v>39</v>
      </c>
      <c r="BE101" s="235">
        <f>SUM(BB101:BD101)</f>
        <v>109</v>
      </c>
      <c r="BF101" s="259">
        <v>40</v>
      </c>
      <c r="BG101" s="259">
        <v>45</v>
      </c>
      <c r="BH101" s="259">
        <v>50</v>
      </c>
      <c r="BI101" s="259">
        <v>50</v>
      </c>
      <c r="BJ101" s="389">
        <f>SUM(BF101:BI101)</f>
        <v>185</v>
      </c>
      <c r="BK101" s="241"/>
      <c r="BL101" s="241"/>
      <c r="BM101" s="241"/>
      <c r="BN101" s="241"/>
      <c r="BO101" s="384">
        <f>BJ101*(1+BO102)</f>
        <v>212.74999999999997</v>
      </c>
      <c r="BP101" s="241"/>
      <c r="BQ101" s="241"/>
      <c r="BR101" s="241"/>
      <c r="BS101" s="241"/>
      <c r="BT101" s="384">
        <f>BO101*(1+BT102)</f>
        <v>244.66249999999994</v>
      </c>
      <c r="BU101" s="241"/>
      <c r="BV101" s="241"/>
      <c r="BW101" s="241"/>
      <c r="BX101" s="241"/>
      <c r="BY101" s="384">
        <f>BT101*(1+BY102)</f>
        <v>269.12874999999997</v>
      </c>
      <c r="BZ101" s="241"/>
      <c r="CA101" s="241"/>
      <c r="CB101" s="241"/>
      <c r="CC101" s="241"/>
      <c r="CD101" s="384">
        <f>BY101*(1+CD102)</f>
        <v>134.56437499999998</v>
      </c>
      <c r="CE101" s="8"/>
      <c r="CF101" s="242"/>
    </row>
    <row r="102" spans="1:84" s="390" customFormat="1" outlineLevel="1">
      <c r="A102" s="8"/>
      <c r="B102" s="392" t="s">
        <v>126</v>
      </c>
      <c r="C102" s="293"/>
      <c r="D102" s="293"/>
      <c r="E102" s="293"/>
      <c r="F102" s="293"/>
      <c r="G102" s="294"/>
      <c r="H102" s="293"/>
      <c r="I102" s="293"/>
      <c r="J102" s="293"/>
      <c r="K102" s="293"/>
      <c r="L102" s="294"/>
      <c r="M102" s="293"/>
      <c r="N102" s="293"/>
      <c r="O102" s="293"/>
      <c r="P102" s="293"/>
      <c r="Q102" s="294"/>
      <c r="R102" s="293"/>
      <c r="S102" s="293"/>
      <c r="T102" s="293"/>
      <c r="U102" s="293"/>
      <c r="V102" s="294"/>
      <c r="W102" s="247"/>
      <c r="X102" s="247"/>
      <c r="Y102" s="247"/>
      <c r="Z102" s="247"/>
      <c r="AA102" s="251"/>
      <c r="AB102" s="302"/>
      <c r="AC102" s="302"/>
      <c r="AD102" s="302"/>
      <c r="AE102" s="302"/>
      <c r="AF102" s="251"/>
      <c r="AG102" s="247"/>
      <c r="AH102" s="247"/>
      <c r="AI102" s="247"/>
      <c r="AJ102" s="295"/>
      <c r="AK102" s="251"/>
      <c r="AL102" s="295"/>
      <c r="AM102" s="247"/>
      <c r="AN102" s="295"/>
      <c r="AO102" s="295"/>
      <c r="AP102" s="251"/>
      <c r="AQ102" s="347"/>
      <c r="AR102" s="247"/>
      <c r="AS102" s="259"/>
      <c r="AT102" s="259"/>
      <c r="AU102" s="251"/>
      <c r="AV102" s="293"/>
      <c r="AW102" s="259"/>
      <c r="AX102" s="259"/>
      <c r="AY102" s="259"/>
      <c r="AZ102" s="422"/>
      <c r="BA102" s="421"/>
      <c r="BB102" s="259"/>
      <c r="BC102" s="259"/>
      <c r="BD102" s="423"/>
      <c r="BE102" s="251"/>
      <c r="BF102" s="423"/>
      <c r="BG102" s="423"/>
      <c r="BH102" s="423"/>
      <c r="BI102" s="423"/>
      <c r="BJ102" s="396">
        <f>BJ101/195-1</f>
        <v>-5.1282051282051322E-2</v>
      </c>
      <c r="BK102" s="340"/>
      <c r="BL102" s="340"/>
      <c r="BM102" s="340"/>
      <c r="BN102" s="340"/>
      <c r="BO102" s="341">
        <v>0.15</v>
      </c>
      <c r="BP102" s="340"/>
      <c r="BQ102" s="340"/>
      <c r="BR102" s="340"/>
      <c r="BS102" s="340"/>
      <c r="BT102" s="341">
        <v>0.15</v>
      </c>
      <c r="BU102" s="340"/>
      <c r="BV102" s="340"/>
      <c r="BW102" s="340"/>
      <c r="BX102" s="340"/>
      <c r="BY102" s="341">
        <v>0.1</v>
      </c>
      <c r="BZ102" s="340"/>
      <c r="CA102" s="340"/>
      <c r="CB102" s="340"/>
      <c r="CC102" s="340"/>
      <c r="CD102" s="341">
        <v>-0.5</v>
      </c>
      <c r="CE102" s="8"/>
      <c r="CF102" s="242"/>
    </row>
    <row r="103" spans="1:84" s="390" customFormat="1" outlineLevel="1">
      <c r="A103" s="8"/>
      <c r="B103" s="381" t="s">
        <v>171</v>
      </c>
      <c r="C103" s="236"/>
      <c r="D103" s="236"/>
      <c r="E103" s="236"/>
      <c r="F103" s="236"/>
      <c r="G103" s="235"/>
      <c r="H103" s="236"/>
      <c r="I103" s="236"/>
      <c r="J103" s="236"/>
      <c r="K103" s="236"/>
      <c r="L103" s="235"/>
      <c r="M103" s="236"/>
      <c r="N103" s="236"/>
      <c r="O103" s="236"/>
      <c r="P103" s="236"/>
      <c r="Q103" s="235"/>
      <c r="R103" s="236"/>
      <c r="S103" s="236"/>
      <c r="T103" s="236"/>
      <c r="U103" s="236"/>
      <c r="V103" s="235"/>
      <c r="W103" s="236"/>
      <c r="X103" s="236"/>
      <c r="Y103" s="236"/>
      <c r="Z103" s="236"/>
      <c r="AA103" s="235"/>
      <c r="AB103" s="310"/>
      <c r="AC103" s="310"/>
      <c r="AD103" s="383"/>
      <c r="AE103" s="383"/>
      <c r="AF103" s="384"/>
      <c r="AG103" s="236"/>
      <c r="AH103" s="385"/>
      <c r="AI103" s="386"/>
      <c r="AJ103" s="386"/>
      <c r="AK103" s="384"/>
      <c r="AL103" s="344"/>
      <c r="AM103" s="236"/>
      <c r="AN103" s="344"/>
      <c r="AO103" s="236"/>
      <c r="AP103" s="384"/>
      <c r="AQ103" s="289"/>
      <c r="AR103" s="259"/>
      <c r="AS103" s="259"/>
      <c r="AT103" s="259"/>
      <c r="AU103" s="384"/>
      <c r="AV103" s="259"/>
      <c r="AW103" s="259"/>
      <c r="AX103" s="259"/>
      <c r="AY103" s="259"/>
      <c r="AZ103" s="420"/>
      <c r="BA103" s="388"/>
      <c r="BB103" s="259"/>
      <c r="BC103" s="259"/>
      <c r="BD103" s="259">
        <v>10</v>
      </c>
      <c r="BE103" s="235">
        <f>SUM(BB103:BD103)</f>
        <v>10</v>
      </c>
      <c r="BF103" s="259">
        <v>5</v>
      </c>
      <c r="BG103" s="259">
        <v>5</v>
      </c>
      <c r="BH103" s="259">
        <v>8</v>
      </c>
      <c r="BI103" s="259">
        <v>10</v>
      </c>
      <c r="BJ103" s="389">
        <f>SUM(BF103:BI103)</f>
        <v>28</v>
      </c>
      <c r="BK103" s="241"/>
      <c r="BL103" s="241"/>
      <c r="BM103" s="241"/>
      <c r="BN103" s="241"/>
      <c r="BO103" s="384">
        <f>BJ103*(1+BO104)</f>
        <v>36.4</v>
      </c>
      <c r="BP103" s="241"/>
      <c r="BQ103" s="241"/>
      <c r="BR103" s="241"/>
      <c r="BS103" s="241"/>
      <c r="BT103" s="384">
        <f t="shared" ref="BT103:CD103" si="51">BO103*(1+BT104)</f>
        <v>45.5</v>
      </c>
      <c r="BU103" s="241">
        <f t="shared" si="51"/>
        <v>0</v>
      </c>
      <c r="BV103" s="241">
        <f t="shared" si="51"/>
        <v>0</v>
      </c>
      <c r="BW103" s="241">
        <f t="shared" si="51"/>
        <v>0</v>
      </c>
      <c r="BX103" s="241">
        <f t="shared" si="51"/>
        <v>0</v>
      </c>
      <c r="BY103" s="384">
        <f t="shared" si="51"/>
        <v>54.6</v>
      </c>
      <c r="BZ103" s="241">
        <f t="shared" si="51"/>
        <v>0</v>
      </c>
      <c r="CA103" s="241">
        <f t="shared" si="51"/>
        <v>0</v>
      </c>
      <c r="CB103" s="241">
        <f t="shared" si="51"/>
        <v>0</v>
      </c>
      <c r="CC103" s="241">
        <f t="shared" si="51"/>
        <v>0</v>
      </c>
      <c r="CD103" s="384">
        <f t="shared" si="51"/>
        <v>65.52</v>
      </c>
      <c r="CE103" s="8"/>
      <c r="CF103" s="242"/>
    </row>
    <row r="104" spans="1:84" s="390" customFormat="1" outlineLevel="1">
      <c r="A104" s="8"/>
      <c r="B104" s="392" t="s">
        <v>126</v>
      </c>
      <c r="C104" s="293"/>
      <c r="D104" s="293"/>
      <c r="E104" s="293"/>
      <c r="F104" s="293"/>
      <c r="G104" s="294"/>
      <c r="H104" s="293"/>
      <c r="I104" s="293"/>
      <c r="J104" s="293"/>
      <c r="K104" s="293"/>
      <c r="L104" s="294"/>
      <c r="M104" s="293"/>
      <c r="N104" s="293"/>
      <c r="O104" s="293"/>
      <c r="P104" s="293"/>
      <c r="Q104" s="294"/>
      <c r="R104" s="293"/>
      <c r="S104" s="293"/>
      <c r="T104" s="293"/>
      <c r="U104" s="293"/>
      <c r="V104" s="294"/>
      <c r="W104" s="247"/>
      <c r="X104" s="247"/>
      <c r="Y104" s="247"/>
      <c r="Z104" s="247"/>
      <c r="AA104" s="251"/>
      <c r="AB104" s="302"/>
      <c r="AC104" s="302"/>
      <c r="AD104" s="302"/>
      <c r="AE104" s="302"/>
      <c r="AF104" s="251"/>
      <c r="AG104" s="247"/>
      <c r="AH104" s="247"/>
      <c r="AI104" s="247"/>
      <c r="AJ104" s="295"/>
      <c r="AK104" s="251"/>
      <c r="AL104" s="295"/>
      <c r="AM104" s="247"/>
      <c r="AN104" s="295"/>
      <c r="AO104" s="295"/>
      <c r="AP104" s="251"/>
      <c r="AQ104" s="347"/>
      <c r="AR104" s="247"/>
      <c r="AS104" s="259"/>
      <c r="AT104" s="259"/>
      <c r="AU104" s="251"/>
      <c r="AV104" s="293"/>
      <c r="AW104" s="259"/>
      <c r="AX104" s="259"/>
      <c r="AY104" s="259"/>
      <c r="AZ104" s="394"/>
      <c r="BA104" s="421"/>
      <c r="BB104" s="259"/>
      <c r="BC104" s="259"/>
      <c r="BD104" s="423"/>
      <c r="BE104" s="251"/>
      <c r="BF104" s="423"/>
      <c r="BG104" s="423"/>
      <c r="BH104" s="423"/>
      <c r="BI104" s="423"/>
      <c r="BJ104" s="424"/>
      <c r="BK104" s="340"/>
      <c r="BL104" s="340"/>
      <c r="BM104" s="340"/>
      <c r="BN104" s="340"/>
      <c r="BO104" s="341">
        <v>0.3</v>
      </c>
      <c r="BP104" s="340"/>
      <c r="BQ104" s="340"/>
      <c r="BR104" s="340"/>
      <c r="BS104" s="340"/>
      <c r="BT104" s="341">
        <v>0.25</v>
      </c>
      <c r="BU104" s="340"/>
      <c r="BV104" s="340"/>
      <c r="BW104" s="340"/>
      <c r="BX104" s="340"/>
      <c r="BY104" s="341">
        <v>0.2</v>
      </c>
      <c r="BZ104" s="340"/>
      <c r="CA104" s="340"/>
      <c r="CB104" s="340"/>
      <c r="CC104" s="340"/>
      <c r="CD104" s="341">
        <v>0.2</v>
      </c>
      <c r="CE104" s="8"/>
      <c r="CF104" s="242"/>
    </row>
    <row r="105" spans="1:84" s="390" customFormat="1" outlineLevel="1">
      <c r="A105" s="8"/>
      <c r="B105" s="398" t="s">
        <v>172</v>
      </c>
      <c r="C105" s="399"/>
      <c r="D105" s="399"/>
      <c r="E105" s="399"/>
      <c r="F105" s="399"/>
      <c r="G105" s="400"/>
      <c r="H105" s="399"/>
      <c r="I105" s="399"/>
      <c r="J105" s="399"/>
      <c r="K105" s="399"/>
      <c r="L105" s="400"/>
      <c r="M105" s="399"/>
      <c r="N105" s="399"/>
      <c r="O105" s="399"/>
      <c r="P105" s="399"/>
      <c r="Q105" s="400"/>
      <c r="R105" s="399"/>
      <c r="S105" s="399"/>
      <c r="T105" s="399"/>
      <c r="U105" s="399"/>
      <c r="V105" s="400"/>
      <c r="W105" s="399"/>
      <c r="X105" s="399"/>
      <c r="Y105" s="399"/>
      <c r="Z105" s="399"/>
      <c r="AA105" s="401"/>
      <c r="AB105" s="367"/>
      <c r="AC105" s="367"/>
      <c r="AD105" s="402"/>
      <c r="AE105" s="402"/>
      <c r="AF105" s="403"/>
      <c r="AG105" s="399"/>
      <c r="AH105" s="404"/>
      <c r="AI105" s="405"/>
      <c r="AJ105" s="405"/>
      <c r="AK105" s="403"/>
      <c r="AL105" s="406"/>
      <c r="AM105" s="399"/>
      <c r="AN105" s="406"/>
      <c r="AO105" s="399"/>
      <c r="AP105" s="403"/>
      <c r="AQ105" s="407"/>
      <c r="AR105" s="399"/>
      <c r="AS105" s="399"/>
      <c r="AT105" s="399"/>
      <c r="AU105" s="403"/>
      <c r="AV105" s="399"/>
      <c r="AW105" s="399"/>
      <c r="AX105" s="399"/>
      <c r="AY105" s="399"/>
      <c r="AZ105" s="408"/>
      <c r="BA105" s="425">
        <f>SUM(BA101,BA103)</f>
        <v>25</v>
      </c>
      <c r="BB105" s="399">
        <f>SUM(BB101,BB103)</f>
        <v>24</v>
      </c>
      <c r="BC105" s="399">
        <f>SUM(BC101,BC103)</f>
        <v>46</v>
      </c>
      <c r="BD105" s="399">
        <f>SUM(BD101,BD103)</f>
        <v>49</v>
      </c>
      <c r="BE105" s="400">
        <f>SUM(BB105:BD105)</f>
        <v>119</v>
      </c>
      <c r="BF105" s="399">
        <f>SUM(BF101,BF103)</f>
        <v>45</v>
      </c>
      <c r="BG105" s="399">
        <f>SUM(BG101,BG103)</f>
        <v>50</v>
      </c>
      <c r="BH105" s="399">
        <f>SUM(BH101,BH103)</f>
        <v>58</v>
      </c>
      <c r="BI105" s="399">
        <f>SUM(BI101,BI103)</f>
        <v>60</v>
      </c>
      <c r="BJ105" s="403">
        <f t="shared" ref="BJ105:CD105" si="52">SUM(BJ101,BJ103)</f>
        <v>213</v>
      </c>
      <c r="BK105" s="410">
        <f t="shared" si="52"/>
        <v>0</v>
      </c>
      <c r="BL105" s="410">
        <f t="shared" si="52"/>
        <v>0</v>
      </c>
      <c r="BM105" s="410">
        <f t="shared" si="52"/>
        <v>0</v>
      </c>
      <c r="BN105" s="410">
        <f t="shared" si="52"/>
        <v>0</v>
      </c>
      <c r="BO105" s="403">
        <f t="shared" si="52"/>
        <v>249.14999999999998</v>
      </c>
      <c r="BP105" s="410">
        <f t="shared" si="52"/>
        <v>0</v>
      </c>
      <c r="BQ105" s="410">
        <f t="shared" si="52"/>
        <v>0</v>
      </c>
      <c r="BR105" s="410">
        <f t="shared" si="52"/>
        <v>0</v>
      </c>
      <c r="BS105" s="410">
        <f t="shared" si="52"/>
        <v>0</v>
      </c>
      <c r="BT105" s="403">
        <f t="shared" si="52"/>
        <v>290.16249999999991</v>
      </c>
      <c r="BU105" s="410">
        <f t="shared" si="52"/>
        <v>0</v>
      </c>
      <c r="BV105" s="410">
        <f t="shared" si="52"/>
        <v>0</v>
      </c>
      <c r="BW105" s="410">
        <f t="shared" si="52"/>
        <v>0</v>
      </c>
      <c r="BX105" s="410">
        <f t="shared" si="52"/>
        <v>0</v>
      </c>
      <c r="BY105" s="403">
        <f t="shared" si="52"/>
        <v>323.72874999999999</v>
      </c>
      <c r="BZ105" s="410">
        <f t="shared" si="52"/>
        <v>0</v>
      </c>
      <c r="CA105" s="410">
        <f t="shared" si="52"/>
        <v>0</v>
      </c>
      <c r="CB105" s="410">
        <f t="shared" si="52"/>
        <v>0</v>
      </c>
      <c r="CC105" s="410">
        <f t="shared" si="52"/>
        <v>0</v>
      </c>
      <c r="CD105" s="403">
        <f t="shared" si="52"/>
        <v>200.08437499999997</v>
      </c>
      <c r="CE105" s="8"/>
      <c r="CF105" s="242"/>
    </row>
    <row r="106" spans="1:84" s="390" customFormat="1" ht="14.25" customHeight="1" outlineLevel="1">
      <c r="A106" s="8"/>
      <c r="B106" s="245" t="s">
        <v>126</v>
      </c>
      <c r="C106" s="293"/>
      <c r="D106" s="293"/>
      <c r="E106" s="293"/>
      <c r="F106" s="293"/>
      <c r="G106" s="294"/>
      <c r="H106" s="293"/>
      <c r="I106" s="293"/>
      <c r="J106" s="293"/>
      <c r="K106" s="293"/>
      <c r="L106" s="294"/>
      <c r="M106" s="293"/>
      <c r="N106" s="293"/>
      <c r="O106" s="293"/>
      <c r="P106" s="293"/>
      <c r="Q106" s="294"/>
      <c r="R106" s="293"/>
      <c r="S106" s="293"/>
      <c r="T106" s="293"/>
      <c r="U106" s="293"/>
      <c r="V106" s="294"/>
      <c r="W106" s="247"/>
      <c r="X106" s="247"/>
      <c r="Y106" s="247"/>
      <c r="Z106" s="247"/>
      <c r="AA106" s="251"/>
      <c r="AB106" s="302"/>
      <c r="AC106" s="302"/>
      <c r="AD106" s="302"/>
      <c r="AE106" s="302"/>
      <c r="AF106" s="251"/>
      <c r="AG106" s="247"/>
      <c r="AH106" s="247"/>
      <c r="AI106" s="247"/>
      <c r="AJ106" s="295"/>
      <c r="AK106" s="251"/>
      <c r="AL106" s="295"/>
      <c r="AM106" s="247"/>
      <c r="AN106" s="295"/>
      <c r="AO106" s="295"/>
      <c r="AP106" s="251"/>
      <c r="AQ106" s="347"/>
      <c r="AR106" s="247"/>
      <c r="AS106" s="259"/>
      <c r="AT106" s="259"/>
      <c r="AU106" s="251"/>
      <c r="AV106" s="247"/>
      <c r="AW106" s="259"/>
      <c r="AX106" s="259"/>
      <c r="AY106" s="259"/>
      <c r="AZ106" s="394"/>
      <c r="BA106" s="295"/>
      <c r="BB106" s="259"/>
      <c r="BC106" s="259"/>
      <c r="BD106" s="259"/>
      <c r="BE106" s="412"/>
      <c r="BF106" s="259"/>
      <c r="BG106" s="259"/>
      <c r="BH106" s="259"/>
      <c r="BI106" s="259"/>
      <c r="BJ106" s="396"/>
      <c r="BK106" s="340"/>
      <c r="BL106" s="340"/>
      <c r="BM106" s="340"/>
      <c r="BN106" s="340"/>
      <c r="BO106" s="251">
        <f>BO105/BJ105-1</f>
        <v>0.16971830985915481</v>
      </c>
      <c r="BP106" s="340"/>
      <c r="BQ106" s="340"/>
      <c r="BR106" s="340"/>
      <c r="BS106" s="340"/>
      <c r="BT106" s="251">
        <f>BT105/BO105-1</f>
        <v>0.16460967288781836</v>
      </c>
      <c r="BU106" s="340"/>
      <c r="BV106" s="340"/>
      <c r="BW106" s="340"/>
      <c r="BX106" s="340"/>
      <c r="BY106" s="251">
        <f>BY105/BT105-1</f>
        <v>0.11568086847886994</v>
      </c>
      <c r="BZ106" s="340"/>
      <c r="CA106" s="340"/>
      <c r="CB106" s="340"/>
      <c r="CC106" s="340"/>
      <c r="CD106" s="251">
        <f>CD105/BY105-1</f>
        <v>-0.38193819671561458</v>
      </c>
      <c r="CE106" s="8"/>
      <c r="CF106" s="242"/>
    </row>
    <row r="107" spans="1:84" s="390" customFormat="1" outlineLevel="1">
      <c r="A107" s="8"/>
      <c r="B107" s="238" t="s">
        <v>173</v>
      </c>
      <c r="C107" s="236"/>
      <c r="D107" s="236"/>
      <c r="E107" s="236"/>
      <c r="F107" s="236"/>
      <c r="G107" s="235"/>
      <c r="H107" s="236"/>
      <c r="I107" s="236"/>
      <c r="J107" s="236"/>
      <c r="K107" s="236"/>
      <c r="L107" s="235"/>
      <c r="M107" s="236"/>
      <c r="N107" s="236"/>
      <c r="O107" s="236"/>
      <c r="P107" s="236"/>
      <c r="Q107" s="235"/>
      <c r="R107" s="236"/>
      <c r="S107" s="236"/>
      <c r="T107" s="236"/>
      <c r="U107" s="236"/>
      <c r="V107" s="235"/>
      <c r="W107" s="236"/>
      <c r="X107" s="236"/>
      <c r="Y107" s="236"/>
      <c r="Z107" s="236"/>
      <c r="AA107" s="235"/>
      <c r="AB107" s="310"/>
      <c r="AC107" s="310"/>
      <c r="AD107" s="383"/>
      <c r="AE107" s="383"/>
      <c r="AF107" s="384"/>
      <c r="AG107" s="236"/>
      <c r="AH107" s="385"/>
      <c r="AI107" s="386"/>
      <c r="AJ107" s="386"/>
      <c r="AK107" s="384"/>
      <c r="AL107" s="426"/>
      <c r="AM107" s="386"/>
      <c r="AN107" s="386"/>
      <c r="AO107" s="386"/>
      <c r="AP107" s="384"/>
      <c r="AQ107" s="289"/>
      <c r="AR107" s="236"/>
      <c r="AS107" s="259"/>
      <c r="AT107" s="259"/>
      <c r="AU107" s="384"/>
      <c r="AV107" s="259"/>
      <c r="AW107" s="259"/>
      <c r="AX107" s="259"/>
      <c r="AY107" s="259"/>
      <c r="AZ107" s="420"/>
      <c r="BA107" s="388">
        <v>15</v>
      </c>
      <c r="BB107" s="259">
        <v>15</v>
      </c>
      <c r="BC107" s="259">
        <v>15</v>
      </c>
      <c r="BD107" s="236">
        <v>22</v>
      </c>
      <c r="BE107" s="235">
        <f>SUM(BB107:BD107)</f>
        <v>52</v>
      </c>
      <c r="BF107" s="259">
        <v>22</v>
      </c>
      <c r="BG107" s="259">
        <v>27</v>
      </c>
      <c r="BH107" s="259">
        <v>25</v>
      </c>
      <c r="BI107" s="259">
        <v>25</v>
      </c>
      <c r="BJ107" s="389">
        <f>SUM(BF107:BI107)</f>
        <v>99</v>
      </c>
      <c r="BK107" s="241"/>
      <c r="BL107" s="241"/>
      <c r="BM107" s="241"/>
      <c r="BN107" s="241"/>
      <c r="BO107" s="384">
        <f>BJ107*(1+BO108)</f>
        <v>99</v>
      </c>
      <c r="BP107" s="241"/>
      <c r="BQ107" s="241"/>
      <c r="BR107" s="241"/>
      <c r="BS107" s="241"/>
      <c r="BT107" s="384">
        <f>BO107*(1+BT108)</f>
        <v>99</v>
      </c>
      <c r="BU107" s="241"/>
      <c r="BV107" s="241"/>
      <c r="BW107" s="241"/>
      <c r="BX107" s="241"/>
      <c r="BY107" s="384">
        <f>BT107*(1+BY108)</f>
        <v>99</v>
      </c>
      <c r="BZ107" s="241"/>
      <c r="CA107" s="241"/>
      <c r="CB107" s="241"/>
      <c r="CC107" s="241"/>
      <c r="CD107" s="384">
        <f>BY107*(1+CD108)</f>
        <v>99</v>
      </c>
      <c r="CE107" s="8"/>
      <c r="CF107" s="242"/>
    </row>
    <row r="108" spans="1:84" s="390" customFormat="1" outlineLevel="1">
      <c r="A108" s="8"/>
      <c r="B108" s="245" t="s">
        <v>126</v>
      </c>
      <c r="C108" s="293"/>
      <c r="D108" s="293"/>
      <c r="E108" s="293"/>
      <c r="F108" s="293"/>
      <c r="G108" s="294"/>
      <c r="H108" s="293"/>
      <c r="I108" s="293"/>
      <c r="J108" s="293"/>
      <c r="K108" s="293"/>
      <c r="L108" s="294"/>
      <c r="M108" s="293"/>
      <c r="N108" s="293"/>
      <c r="O108" s="293"/>
      <c r="P108" s="293"/>
      <c r="Q108" s="294"/>
      <c r="R108" s="293"/>
      <c r="S108" s="293"/>
      <c r="T108" s="293"/>
      <c r="U108" s="293"/>
      <c r="V108" s="294"/>
      <c r="W108" s="247"/>
      <c r="X108" s="247"/>
      <c r="Y108" s="247"/>
      <c r="Z108" s="247"/>
      <c r="AA108" s="251"/>
      <c r="AB108" s="302"/>
      <c r="AC108" s="302"/>
      <c r="AD108" s="302"/>
      <c r="AE108" s="302"/>
      <c r="AF108" s="251"/>
      <c r="AG108" s="247"/>
      <c r="AH108" s="247"/>
      <c r="AI108" s="247"/>
      <c r="AJ108" s="247"/>
      <c r="AK108" s="251"/>
      <c r="AL108" s="247"/>
      <c r="AM108" s="247"/>
      <c r="AN108" s="247"/>
      <c r="AO108" s="247"/>
      <c r="AP108" s="251"/>
      <c r="AQ108" s="347"/>
      <c r="AR108" s="247"/>
      <c r="AS108" s="293"/>
      <c r="AT108" s="293"/>
      <c r="AU108" s="251"/>
      <c r="AV108" s="293"/>
      <c r="AW108" s="293"/>
      <c r="AX108" s="293"/>
      <c r="AY108" s="293"/>
      <c r="AZ108" s="394"/>
      <c r="BA108" s="421"/>
      <c r="BB108" s="293"/>
      <c r="BC108" s="247"/>
      <c r="BD108" s="247"/>
      <c r="BE108" s="251"/>
      <c r="BF108" s="247"/>
      <c r="BG108" s="247"/>
      <c r="BH108" s="247"/>
      <c r="BI108" s="247"/>
      <c r="BJ108" s="396">
        <f>BJ107/80-1</f>
        <v>0.23750000000000004</v>
      </c>
      <c r="BK108" s="340"/>
      <c r="BL108" s="340"/>
      <c r="BM108" s="340"/>
      <c r="BN108" s="340"/>
      <c r="BO108" s="341">
        <v>0</v>
      </c>
      <c r="BP108" s="340"/>
      <c r="BQ108" s="340"/>
      <c r="BR108" s="340"/>
      <c r="BS108" s="340"/>
      <c r="BT108" s="341">
        <v>0</v>
      </c>
      <c r="BU108" s="340"/>
      <c r="BV108" s="340"/>
      <c r="BW108" s="340"/>
      <c r="BX108" s="340"/>
      <c r="BY108" s="341">
        <v>0</v>
      </c>
      <c r="BZ108" s="340"/>
      <c r="CA108" s="340"/>
      <c r="CB108" s="340"/>
      <c r="CC108" s="340"/>
      <c r="CD108" s="341">
        <v>0</v>
      </c>
      <c r="CE108" s="8"/>
      <c r="CF108" s="242"/>
    </row>
    <row r="109" spans="1:84" s="390" customFormat="1" outlineLevel="1">
      <c r="A109" s="8"/>
      <c r="B109" s="238" t="s">
        <v>174</v>
      </c>
      <c r="C109" s="293"/>
      <c r="D109" s="293"/>
      <c r="E109" s="293"/>
      <c r="F109" s="293"/>
      <c r="G109" s="294"/>
      <c r="H109" s="293"/>
      <c r="I109" s="293"/>
      <c r="J109" s="293"/>
      <c r="K109" s="293"/>
      <c r="L109" s="294"/>
      <c r="M109" s="293"/>
      <c r="N109" s="293"/>
      <c r="O109" s="293"/>
      <c r="P109" s="293"/>
      <c r="Q109" s="294"/>
      <c r="R109" s="293"/>
      <c r="S109" s="293"/>
      <c r="T109" s="293"/>
      <c r="U109" s="293"/>
      <c r="V109" s="294"/>
      <c r="W109" s="247"/>
      <c r="X109" s="247"/>
      <c r="Y109" s="247"/>
      <c r="Z109" s="247"/>
      <c r="AA109" s="251"/>
      <c r="AB109" s="302"/>
      <c r="AC109" s="302"/>
      <c r="AD109" s="302"/>
      <c r="AE109" s="302"/>
      <c r="AF109" s="251"/>
      <c r="AG109" s="247"/>
      <c r="AH109" s="247"/>
      <c r="AI109" s="247"/>
      <c r="AJ109" s="247"/>
      <c r="AK109" s="251"/>
      <c r="AL109" s="247"/>
      <c r="AM109" s="247"/>
      <c r="AN109" s="247"/>
      <c r="AO109" s="247"/>
      <c r="AP109" s="251"/>
      <c r="AQ109" s="347"/>
      <c r="AR109" s="247"/>
      <c r="AS109" s="293"/>
      <c r="AT109" s="293"/>
      <c r="AU109" s="251"/>
      <c r="AV109" s="293"/>
      <c r="AW109" s="293"/>
      <c r="AX109" s="293"/>
      <c r="AY109" s="293"/>
      <c r="AZ109" s="394"/>
      <c r="BA109" s="421"/>
      <c r="BB109" s="293"/>
      <c r="BC109" s="247"/>
      <c r="BD109" s="247"/>
      <c r="BE109" s="251"/>
      <c r="BF109" s="247"/>
      <c r="BG109" s="247"/>
      <c r="BH109" s="259">
        <v>15</v>
      </c>
      <c r="BI109" s="259">
        <v>15</v>
      </c>
      <c r="BJ109" s="389">
        <f>SUM(BF109:BI109)</f>
        <v>30</v>
      </c>
      <c r="BK109" s="427"/>
      <c r="BL109" s="427"/>
      <c r="BM109" s="427"/>
      <c r="BN109" s="427"/>
      <c r="BO109" s="428">
        <v>75</v>
      </c>
      <c r="BP109" s="241"/>
      <c r="BQ109" s="241"/>
      <c r="BR109" s="241"/>
      <c r="BS109" s="241"/>
      <c r="BT109" s="384">
        <f>BO109*(1+BT110)</f>
        <v>105</v>
      </c>
      <c r="BU109" s="427"/>
      <c r="BV109" s="427"/>
      <c r="BW109" s="427"/>
      <c r="BX109" s="427"/>
      <c r="BY109" s="384">
        <f>BT109*(1+BY110)</f>
        <v>136.5</v>
      </c>
      <c r="BZ109" s="241"/>
      <c r="CA109" s="241"/>
      <c r="CB109" s="241"/>
      <c r="CC109" s="241"/>
      <c r="CD109" s="384">
        <f>BY109*(1+CD110)</f>
        <v>163.79999999999998</v>
      </c>
      <c r="CE109" s="8"/>
      <c r="CF109" s="242"/>
    </row>
    <row r="110" spans="1:84" s="390" customFormat="1" outlineLevel="1">
      <c r="A110" s="8"/>
      <c r="B110" s="245" t="s">
        <v>126</v>
      </c>
      <c r="C110" s="293"/>
      <c r="D110" s="293"/>
      <c r="E110" s="293"/>
      <c r="F110" s="293"/>
      <c r="G110" s="294"/>
      <c r="H110" s="293"/>
      <c r="I110" s="293"/>
      <c r="J110" s="293"/>
      <c r="K110" s="293"/>
      <c r="L110" s="294"/>
      <c r="M110" s="293"/>
      <c r="N110" s="293"/>
      <c r="O110" s="293"/>
      <c r="P110" s="293"/>
      <c r="Q110" s="294"/>
      <c r="R110" s="293"/>
      <c r="S110" s="293"/>
      <c r="T110" s="293"/>
      <c r="U110" s="293"/>
      <c r="V110" s="294"/>
      <c r="W110" s="247"/>
      <c r="X110" s="247"/>
      <c r="Y110" s="247"/>
      <c r="Z110" s="247"/>
      <c r="AA110" s="251"/>
      <c r="AB110" s="302"/>
      <c r="AC110" s="302"/>
      <c r="AD110" s="302"/>
      <c r="AE110" s="302"/>
      <c r="AF110" s="251"/>
      <c r="AG110" s="247"/>
      <c r="AH110" s="247"/>
      <c r="AI110" s="247"/>
      <c r="AJ110" s="247"/>
      <c r="AK110" s="251"/>
      <c r="AL110" s="247"/>
      <c r="AM110" s="247"/>
      <c r="AN110" s="247"/>
      <c r="AO110" s="247"/>
      <c r="AP110" s="251"/>
      <c r="AQ110" s="347"/>
      <c r="AR110" s="247"/>
      <c r="AS110" s="293"/>
      <c r="AT110" s="293"/>
      <c r="AU110" s="251"/>
      <c r="AV110" s="293"/>
      <c r="AW110" s="293"/>
      <c r="AX110" s="293"/>
      <c r="AY110" s="293"/>
      <c r="AZ110" s="394"/>
      <c r="BA110" s="421"/>
      <c r="BB110" s="293"/>
      <c r="BC110" s="247"/>
      <c r="BD110" s="247"/>
      <c r="BE110" s="251"/>
      <c r="BF110" s="247"/>
      <c r="BG110" s="247"/>
      <c r="BH110" s="247"/>
      <c r="BI110" s="247"/>
      <c r="BJ110" s="396"/>
      <c r="BK110" s="340"/>
      <c r="BL110" s="340"/>
      <c r="BM110" s="340"/>
      <c r="BN110" s="340"/>
      <c r="BO110" s="341"/>
      <c r="BP110" s="340"/>
      <c r="BQ110" s="340"/>
      <c r="BR110" s="340"/>
      <c r="BS110" s="340"/>
      <c r="BT110" s="341">
        <v>0.4</v>
      </c>
      <c r="BU110" s="340"/>
      <c r="BV110" s="340"/>
      <c r="BW110" s="340"/>
      <c r="BX110" s="340"/>
      <c r="BY110" s="341">
        <v>0.3</v>
      </c>
      <c r="BZ110" s="340"/>
      <c r="CA110" s="340"/>
      <c r="CB110" s="340"/>
      <c r="CC110" s="340"/>
      <c r="CD110" s="341">
        <v>0.2</v>
      </c>
      <c r="CE110" s="8"/>
      <c r="CF110" s="242"/>
    </row>
    <row r="111" spans="1:84" s="429" customFormat="1" outlineLevel="1">
      <c r="B111" s="238" t="s">
        <v>175</v>
      </c>
      <c r="C111" s="236"/>
      <c r="D111" s="236"/>
      <c r="E111" s="236"/>
      <c r="F111" s="236"/>
      <c r="G111" s="235"/>
      <c r="H111" s="236"/>
      <c r="I111" s="236"/>
      <c r="J111" s="236"/>
      <c r="K111" s="236"/>
      <c r="L111" s="235"/>
      <c r="M111" s="236"/>
      <c r="N111" s="236"/>
      <c r="O111" s="236"/>
      <c r="P111" s="236"/>
      <c r="Q111" s="235"/>
      <c r="R111" s="236"/>
      <c r="S111" s="236"/>
      <c r="T111" s="236"/>
      <c r="U111" s="236"/>
      <c r="V111" s="235"/>
      <c r="W111" s="236"/>
      <c r="X111" s="236"/>
      <c r="Y111" s="236"/>
      <c r="Z111" s="236"/>
      <c r="AA111" s="235"/>
      <c r="AB111" s="310"/>
      <c r="AC111" s="310"/>
      <c r="AD111" s="383"/>
      <c r="AE111" s="383"/>
      <c r="AF111" s="384"/>
      <c r="AG111" s="236"/>
      <c r="AH111" s="385"/>
      <c r="AI111" s="386"/>
      <c r="AJ111" s="386"/>
      <c r="AK111" s="384"/>
      <c r="AL111" s="236"/>
      <c r="AM111" s="236"/>
      <c r="AN111" s="344"/>
      <c r="AO111" s="236"/>
      <c r="AP111" s="384"/>
      <c r="AQ111" s="289"/>
      <c r="AR111" s="259"/>
      <c r="AS111" s="236"/>
      <c r="AT111" s="236"/>
      <c r="AU111" s="384"/>
      <c r="AV111" s="236"/>
      <c r="AW111" s="236"/>
      <c r="AX111" s="236"/>
      <c r="AY111" s="236"/>
      <c r="AZ111" s="420"/>
      <c r="BA111" s="388">
        <v>60</v>
      </c>
      <c r="BB111" s="236">
        <f>BB113-SUM(BB95,BB97,BB99,BB105,BB107,BB109)</f>
        <v>69.300000000000011</v>
      </c>
      <c r="BC111" s="236">
        <f>BC113-SUM(BC95,BC97,BC99,BC105,BC107,BC109)</f>
        <v>93.800000000000011</v>
      </c>
      <c r="BD111" s="236">
        <f>BD113-SUM(BD95,BD97,BD99,BD105,BD107,BD109)</f>
        <v>111</v>
      </c>
      <c r="BE111" s="384">
        <f>SUM(BB111:BD111)</f>
        <v>274.10000000000002</v>
      </c>
      <c r="BF111" s="259">
        <v>105</v>
      </c>
      <c r="BG111" s="259">
        <v>105</v>
      </c>
      <c r="BH111" s="259">
        <v>105</v>
      </c>
      <c r="BI111" s="259">
        <v>105</v>
      </c>
      <c r="BJ111" s="389">
        <f>SUM(BF111:BI111)</f>
        <v>420</v>
      </c>
      <c r="BK111" s="241"/>
      <c r="BL111" s="241"/>
      <c r="BM111" s="241"/>
      <c r="BN111" s="241"/>
      <c r="BO111" s="384">
        <f>BJ111*(1+BO112)</f>
        <v>420</v>
      </c>
      <c r="BP111" s="241"/>
      <c r="BQ111" s="241"/>
      <c r="BR111" s="241"/>
      <c r="BS111" s="241"/>
      <c r="BT111" s="384">
        <f>BO111*(1+BT112)</f>
        <v>420</v>
      </c>
      <c r="BU111" s="241"/>
      <c r="BV111" s="241"/>
      <c r="BW111" s="241"/>
      <c r="BX111" s="241"/>
      <c r="BY111" s="384">
        <f>BT111*(1+BY112)</f>
        <v>420</v>
      </c>
      <c r="BZ111" s="241"/>
      <c r="CA111" s="241"/>
      <c r="CB111" s="241"/>
      <c r="CC111" s="241"/>
      <c r="CD111" s="384">
        <f>BY111*(1+CD112)</f>
        <v>420</v>
      </c>
      <c r="CF111" s="242"/>
    </row>
    <row r="112" spans="1:84" s="429" customFormat="1" ht="15" outlineLevel="1">
      <c r="B112" s="262" t="s">
        <v>126</v>
      </c>
      <c r="C112" s="293"/>
      <c r="D112" s="293"/>
      <c r="E112" s="293"/>
      <c r="F112" s="293"/>
      <c r="G112" s="294"/>
      <c r="H112" s="293"/>
      <c r="I112" s="293"/>
      <c r="J112" s="293"/>
      <c r="K112" s="293"/>
      <c r="L112" s="294"/>
      <c r="M112" s="293"/>
      <c r="N112" s="293"/>
      <c r="O112" s="293"/>
      <c r="P112" s="293"/>
      <c r="Q112" s="294"/>
      <c r="R112" s="293"/>
      <c r="S112" s="293"/>
      <c r="T112" s="293"/>
      <c r="U112" s="293"/>
      <c r="V112" s="294"/>
      <c r="W112" s="247"/>
      <c r="X112" s="247"/>
      <c r="Y112" s="247"/>
      <c r="Z112" s="247"/>
      <c r="AA112" s="251"/>
      <c r="AB112" s="302"/>
      <c r="AC112" s="302"/>
      <c r="AD112" s="302"/>
      <c r="AE112" s="302"/>
      <c r="AF112" s="251"/>
      <c r="AG112" s="247"/>
      <c r="AH112" s="247"/>
      <c r="AI112" s="247"/>
      <c r="AJ112" s="247"/>
      <c r="AK112" s="251"/>
      <c r="AL112" s="293"/>
      <c r="AM112" s="293"/>
      <c r="AN112" s="430"/>
      <c r="AO112" s="247"/>
      <c r="AP112" s="251"/>
      <c r="AQ112" s="431"/>
      <c r="AR112" s="293"/>
      <c r="AS112" s="295"/>
      <c r="AT112" s="295"/>
      <c r="AU112" s="251"/>
      <c r="AV112" s="295"/>
      <c r="AW112" s="295"/>
      <c r="AX112" s="295"/>
      <c r="AY112" s="295"/>
      <c r="AZ112" s="394"/>
      <c r="BA112" s="295"/>
      <c r="BB112" s="295" t="s">
        <v>39</v>
      </c>
      <c r="BC112" s="295"/>
      <c r="BD112" s="295"/>
      <c r="BE112" s="341"/>
      <c r="BF112" s="340"/>
      <c r="BG112" s="340"/>
      <c r="BH112" s="340"/>
      <c r="BI112" s="340"/>
      <c r="BJ112" s="396"/>
      <c r="BK112" s="340"/>
      <c r="BL112" s="340"/>
      <c r="BM112" s="340"/>
      <c r="BN112" s="340"/>
      <c r="BO112" s="341">
        <v>0</v>
      </c>
      <c r="BP112" s="340"/>
      <c r="BQ112" s="340"/>
      <c r="BR112" s="340"/>
      <c r="BS112" s="340"/>
      <c r="BT112" s="341">
        <v>0</v>
      </c>
      <c r="BU112" s="340"/>
      <c r="BV112" s="340"/>
      <c r="BW112" s="340"/>
      <c r="BX112" s="340"/>
      <c r="BY112" s="341">
        <v>0</v>
      </c>
      <c r="BZ112" s="340"/>
      <c r="CA112" s="340"/>
      <c r="CB112" s="340"/>
      <c r="CC112" s="340"/>
      <c r="CD112" s="341">
        <v>0</v>
      </c>
      <c r="CF112" s="242"/>
    </row>
    <row r="113" spans="1:84" s="355" customFormat="1" ht="13">
      <c r="A113" s="349"/>
      <c r="B113" s="298" t="s">
        <v>176</v>
      </c>
      <c r="C113" s="350"/>
      <c r="D113" s="350"/>
      <c r="E113" s="350"/>
      <c r="F113" s="351"/>
      <c r="G113" s="352"/>
      <c r="H113" s="351"/>
      <c r="I113" s="351"/>
      <c r="J113" s="351"/>
      <c r="K113" s="351"/>
      <c r="L113" s="352"/>
      <c r="M113" s="351"/>
      <c r="N113" s="351"/>
      <c r="O113" s="351"/>
      <c r="P113" s="351"/>
      <c r="Q113" s="352"/>
      <c r="R113" s="353"/>
      <c r="S113" s="353"/>
      <c r="T113" s="353"/>
      <c r="U113" s="353"/>
      <c r="V113" s="354"/>
      <c r="W113" s="353"/>
      <c r="X113" s="353"/>
      <c r="Y113" s="353"/>
      <c r="Z113" s="353"/>
      <c r="AA113" s="354"/>
      <c r="AB113" s="302"/>
      <c r="AC113" s="302"/>
      <c r="AD113" s="302"/>
      <c r="AE113" s="302"/>
      <c r="AF113" s="360"/>
      <c r="AK113" s="311"/>
      <c r="AP113" s="360"/>
      <c r="AQ113" s="356"/>
      <c r="AS113" s="275">
        <v>0</v>
      </c>
      <c r="AT113" s="275">
        <v>0</v>
      </c>
      <c r="AU113" s="311"/>
      <c r="AV113" s="275">
        <v>0</v>
      </c>
      <c r="AW113" s="275">
        <v>0</v>
      </c>
      <c r="AX113" s="275">
        <v>0</v>
      </c>
      <c r="AY113" s="275">
        <v>0</v>
      </c>
      <c r="AZ113" s="311"/>
      <c r="BA113" s="275">
        <v>0</v>
      </c>
      <c r="BB113" s="275">
        <v>313.3</v>
      </c>
      <c r="BC113" s="275">
        <v>462.8</v>
      </c>
      <c r="BD113" s="275">
        <v>509</v>
      </c>
      <c r="BE113" s="332">
        <f>SUM(BB113:BD113)</f>
        <v>1285.0999999999999</v>
      </c>
      <c r="BF113" s="275">
        <f t="shared" ref="BF113:BI113" si="53">SUM(BF95,BF97,BF99,BF105,BF107,BF109,BF111)</f>
        <v>447</v>
      </c>
      <c r="BG113" s="275">
        <f t="shared" si="53"/>
        <v>522</v>
      </c>
      <c r="BH113" s="275">
        <f t="shared" si="53"/>
        <v>575</v>
      </c>
      <c r="BI113" s="275">
        <f t="shared" si="53"/>
        <v>610</v>
      </c>
      <c r="BJ113" s="277">
        <f>SUM(BJ95,BJ97,BJ99,BJ105,BJ107,BJ109,BJ111)</f>
        <v>2154</v>
      </c>
      <c r="BK113" s="285"/>
      <c r="BL113" s="285"/>
      <c r="BM113" s="285"/>
      <c r="BN113" s="285"/>
      <c r="BO113" s="277">
        <f>SUM(BO95,BO97,BO99,BO105,BO107,BO109,BO111)</f>
        <v>2504.77</v>
      </c>
      <c r="BP113" s="285"/>
      <c r="BQ113" s="285"/>
      <c r="BR113" s="285"/>
      <c r="BS113" s="285"/>
      <c r="BT113" s="277">
        <f>SUM(BT95,BT97,BT99,BT105,BT107,BT109,BT111)</f>
        <v>2797.9175</v>
      </c>
      <c r="BU113" s="285"/>
      <c r="BV113" s="285"/>
      <c r="BW113" s="285"/>
      <c r="BX113" s="285"/>
      <c r="BY113" s="277">
        <f>SUM(BY95,BY97,BY99,BY105,BY107,BY109,BY111)</f>
        <v>3075.81916</v>
      </c>
      <c r="BZ113" s="285"/>
      <c r="CA113" s="285"/>
      <c r="CB113" s="285"/>
      <c r="CC113" s="285"/>
      <c r="CD113" s="277">
        <f>SUM(CD95,CD97,CD99,CD105,CD107,CD109,CD111)</f>
        <v>3204.2119913000001</v>
      </c>
      <c r="CF113" s="278">
        <f>BJ113/$BJ$142</f>
        <v>0.19641186345892234</v>
      </c>
    </row>
    <row r="114" spans="1:84" s="355" customFormat="1" ht="13">
      <c r="A114" s="28"/>
      <c r="B114" s="309" t="s">
        <v>126</v>
      </c>
      <c r="C114" s="317"/>
      <c r="D114" s="318"/>
      <c r="E114" s="318"/>
      <c r="F114" s="318"/>
      <c r="G114" s="319"/>
      <c r="H114" s="318"/>
      <c r="I114" s="318"/>
      <c r="J114" s="318"/>
      <c r="K114" s="318"/>
      <c r="L114" s="319"/>
      <c r="M114" s="318"/>
      <c r="N114" s="318"/>
      <c r="O114" s="318"/>
      <c r="P114" s="318"/>
      <c r="Q114" s="319"/>
      <c r="R114" s="318"/>
      <c r="S114" s="318"/>
      <c r="T114" s="318"/>
      <c r="U114" s="318"/>
      <c r="V114" s="319"/>
      <c r="W114" s="320"/>
      <c r="X114" s="321"/>
      <c r="Y114" s="321"/>
      <c r="Z114" s="321"/>
      <c r="AA114" s="322"/>
      <c r="AB114" s="320"/>
      <c r="AC114" s="320"/>
      <c r="AD114" s="320"/>
      <c r="AE114" s="320"/>
      <c r="AF114" s="372"/>
      <c r="AG114" s="324"/>
      <c r="AH114" s="324"/>
      <c r="AI114" s="324"/>
      <c r="AJ114" s="373"/>
      <c r="AK114" s="372"/>
      <c r="AL114" s="373"/>
      <c r="AM114" s="324"/>
      <c r="AN114" s="373"/>
      <c r="AO114" s="373"/>
      <c r="AP114" s="372"/>
      <c r="AQ114" s="374"/>
      <c r="AR114" s="324"/>
      <c r="AS114" s="373"/>
      <c r="AT114" s="373"/>
      <c r="AU114" s="372"/>
      <c r="AV114" s="324"/>
      <c r="AW114" s="373"/>
      <c r="AX114" s="373"/>
      <c r="AY114" s="373"/>
      <c r="AZ114" s="372"/>
      <c r="BA114" s="373"/>
      <c r="BB114" s="373"/>
      <c r="BC114" s="373"/>
      <c r="BD114" s="373"/>
      <c r="BE114" s="375"/>
      <c r="BF114" s="376"/>
      <c r="BG114" s="376"/>
      <c r="BH114" s="376"/>
      <c r="BI114" s="432"/>
      <c r="BJ114" s="375"/>
      <c r="BK114" s="376"/>
      <c r="BL114" s="376"/>
      <c r="BM114" s="376"/>
      <c r="BN114" s="376"/>
      <c r="BO114" s="372">
        <f>BO113/BJ113-1</f>
        <v>0.16284586815227486</v>
      </c>
      <c r="BP114" s="376"/>
      <c r="BQ114" s="376"/>
      <c r="BR114" s="376"/>
      <c r="BS114" s="376"/>
      <c r="BT114" s="372">
        <f>BT113/BO113-1</f>
        <v>0.11703569589223761</v>
      </c>
      <c r="BU114" s="376"/>
      <c r="BV114" s="376"/>
      <c r="BW114" s="376"/>
      <c r="BX114" s="376"/>
      <c r="BY114" s="372">
        <f>BY113/BT113-1</f>
        <v>9.9324465428305198E-2</v>
      </c>
      <c r="BZ114" s="376"/>
      <c r="CA114" s="376"/>
      <c r="CB114" s="376"/>
      <c r="CC114" s="376"/>
      <c r="CD114" s="372">
        <f>CD113/BY113-1</f>
        <v>4.1742646306943465E-2</v>
      </c>
      <c r="CF114" s="359"/>
    </row>
    <row r="115" spans="1:84" s="285" customFormat="1">
      <c r="A115" s="28"/>
      <c r="B115" s="433" t="s">
        <v>177</v>
      </c>
      <c r="C115" s="434"/>
      <c r="D115" s="434"/>
      <c r="E115" s="434"/>
      <c r="F115" s="434"/>
      <c r="G115" s="435"/>
      <c r="H115" s="434"/>
      <c r="I115" s="434"/>
      <c r="J115" s="434"/>
      <c r="K115" s="434"/>
      <c r="L115" s="435"/>
      <c r="M115" s="434"/>
      <c r="N115" s="434"/>
      <c r="O115" s="434"/>
      <c r="P115" s="434"/>
      <c r="Q115" s="435"/>
      <c r="R115" s="434"/>
      <c r="S115" s="434"/>
      <c r="T115" s="434"/>
      <c r="U115" s="434"/>
      <c r="V115" s="435"/>
      <c r="W115" s="434"/>
      <c r="X115" s="434"/>
      <c r="Y115" s="434"/>
      <c r="Z115" s="434"/>
      <c r="AA115" s="435"/>
      <c r="AB115" s="434"/>
      <c r="AC115" s="434"/>
      <c r="AD115" s="434"/>
      <c r="AE115" s="434"/>
      <c r="AF115" s="435"/>
      <c r="AG115" s="434"/>
      <c r="AH115" s="434"/>
      <c r="AI115" s="434"/>
      <c r="AJ115" s="434"/>
      <c r="AK115" s="435"/>
      <c r="AL115" s="436"/>
      <c r="AM115" s="434"/>
      <c r="AN115" s="436"/>
      <c r="AO115" s="434"/>
      <c r="AP115" s="435"/>
      <c r="AQ115" s="437">
        <v>642.6</v>
      </c>
      <c r="AR115" s="437">
        <v>650.5</v>
      </c>
      <c r="AS115" s="437">
        <f>SUM(AS27,AS43,AS53,AS56,AS59,AS73,AS81,AS84,AS113)</f>
        <v>815.80000000000007</v>
      </c>
      <c r="AT115" s="437">
        <f>SUM(AT27,AT43,AT53,AT56,AT59,AT73,AT81,AT84,AT113)</f>
        <v>1085.5999999999999</v>
      </c>
      <c r="AU115" s="438">
        <f>SUM(AQ115:AT115)</f>
        <v>3194.5</v>
      </c>
      <c r="AV115" s="437">
        <f t="shared" ref="AV115:BC115" si="54">SUM(AV27,AV43,AV53,AV56,AV59,AV73,AV81,AV84,AV113)</f>
        <v>1006.4</v>
      </c>
      <c r="AW115" s="437">
        <f t="shared" si="54"/>
        <v>1038.1000000000001</v>
      </c>
      <c r="AX115" s="437">
        <f t="shared" si="54"/>
        <v>1087.2</v>
      </c>
      <c r="AY115" s="437">
        <f t="shared" si="54"/>
        <v>1334.7</v>
      </c>
      <c r="AZ115" s="438">
        <f t="shared" si="54"/>
        <v>4466.3999999999996</v>
      </c>
      <c r="BA115" s="437">
        <f t="shared" si="54"/>
        <v>1403.7</v>
      </c>
      <c r="BB115" s="437">
        <f t="shared" si="54"/>
        <v>1840.3000000000002</v>
      </c>
      <c r="BC115" s="437">
        <f t="shared" si="54"/>
        <v>1968.1999999999998</v>
      </c>
      <c r="BD115" s="437">
        <f t="shared" ref="BD115:BJ115" si="55">SUM(BD27,BD43,BD53,BD56,BD59,BD73,BD81,BD84,BD113,BD87)</f>
        <v>1894.6000000000001</v>
      </c>
      <c r="BE115" s="438">
        <f t="shared" si="55"/>
        <v>7106.8000000000011</v>
      </c>
      <c r="BF115" s="437">
        <f t="shared" si="55"/>
        <v>1591.17</v>
      </c>
      <c r="BG115" s="437">
        <f t="shared" si="55"/>
        <v>1822.41</v>
      </c>
      <c r="BH115" s="437">
        <f t="shared" si="55"/>
        <v>1953.175</v>
      </c>
      <c r="BI115" s="437">
        <f t="shared" si="55"/>
        <v>2065.585</v>
      </c>
      <c r="BJ115" s="438">
        <f t="shared" si="55"/>
        <v>7432.34</v>
      </c>
      <c r="BK115" s="439"/>
      <c r="BL115" s="439"/>
      <c r="BM115" s="439"/>
      <c r="BN115" s="439"/>
      <c r="BO115" s="438">
        <f>SUM(BO27,BO43,BO53,BO56,BO59,BO73,BO81,BO84,BO113,BO87)</f>
        <v>8054.9653500000004</v>
      </c>
      <c r="BP115" s="439"/>
      <c r="BQ115" s="439"/>
      <c r="BR115" s="439"/>
      <c r="BS115" s="439"/>
      <c r="BT115" s="438">
        <f>SUM(BT27,BT43,BT53,BT56,BT59,BT73,BT81,BT84,BT113,BT87)</f>
        <v>8602.3704519999992</v>
      </c>
      <c r="BU115" s="439"/>
      <c r="BV115" s="439"/>
      <c r="BW115" s="439"/>
      <c r="BX115" s="439"/>
      <c r="BY115" s="438">
        <f>SUM(BY27,BY43,BY53,BY56,BY59,BY73,BY81,BY84,BY113,BY87)</f>
        <v>9178.9723760400011</v>
      </c>
      <c r="BZ115" s="439"/>
      <c r="CA115" s="439"/>
      <c r="CB115" s="439"/>
      <c r="CC115" s="439"/>
      <c r="CD115" s="438">
        <f>SUM(CD27,CD43,CD53,CD56,CD59,CD73,CD81,CD84,CD113,CD87)</f>
        <v>9587.0600168807996</v>
      </c>
      <c r="CF115" s="242"/>
    </row>
    <row r="116" spans="1:84" s="285" customFormat="1">
      <c r="A116" s="28"/>
      <c r="B116" s="440" t="s">
        <v>126</v>
      </c>
      <c r="C116" s="441"/>
      <c r="D116" s="441"/>
      <c r="E116" s="441"/>
      <c r="F116" s="441"/>
      <c r="G116" s="442"/>
      <c r="H116" s="441"/>
      <c r="I116" s="441"/>
      <c r="J116" s="441"/>
      <c r="K116" s="441"/>
      <c r="L116" s="442"/>
      <c r="M116" s="441"/>
      <c r="N116" s="441"/>
      <c r="O116" s="441"/>
      <c r="P116" s="441"/>
      <c r="Q116" s="442"/>
      <c r="R116" s="441"/>
      <c r="S116" s="441"/>
      <c r="T116" s="441"/>
      <c r="U116" s="441"/>
      <c r="V116" s="442"/>
      <c r="W116" s="441"/>
      <c r="X116" s="441"/>
      <c r="Y116" s="441"/>
      <c r="Z116" s="441"/>
      <c r="AA116" s="442"/>
      <c r="AB116" s="441"/>
      <c r="AC116" s="441"/>
      <c r="AD116" s="441"/>
      <c r="AE116" s="441"/>
      <c r="AF116" s="442"/>
      <c r="AG116" s="441"/>
      <c r="AH116" s="441"/>
      <c r="AI116" s="441"/>
      <c r="AJ116" s="441"/>
      <c r="AK116" s="442"/>
      <c r="AL116" s="443"/>
      <c r="AM116" s="441"/>
      <c r="AN116" s="443"/>
      <c r="AO116" s="441"/>
      <c r="AP116" s="442"/>
      <c r="AQ116" s="441"/>
      <c r="AR116" s="441"/>
      <c r="AS116" s="441"/>
      <c r="AT116" s="441"/>
      <c r="AU116" s="442"/>
      <c r="AV116" s="444">
        <f t="shared" ref="AV116:BA116" si="56">AV115/AQ115-1</f>
        <v>0.56613756613756605</v>
      </c>
      <c r="AW116" s="444">
        <f t="shared" si="56"/>
        <v>0.59584934665641831</v>
      </c>
      <c r="AX116" s="444">
        <f t="shared" si="56"/>
        <v>0.33267957832802142</v>
      </c>
      <c r="AY116" s="444">
        <f t="shared" si="56"/>
        <v>0.22945836403831987</v>
      </c>
      <c r="AZ116" s="445">
        <f t="shared" si="56"/>
        <v>0.39815307559868507</v>
      </c>
      <c r="BA116" s="444">
        <f t="shared" si="56"/>
        <v>0.39477344992050889</v>
      </c>
      <c r="BB116" s="281">
        <f>BB115/AW115-1</f>
        <v>0.77275792312879288</v>
      </c>
      <c r="BC116" s="281">
        <f>BC115/AX115-1</f>
        <v>0.81033848417954357</v>
      </c>
      <c r="BD116" s="281">
        <f>BD115/AY115-1</f>
        <v>0.41949501760695296</v>
      </c>
      <c r="BE116" s="445">
        <f t="shared" ref="BE116:BJ116" si="57">BE115/AZ115-1</f>
        <v>0.59116962206698953</v>
      </c>
      <c r="BF116" s="281">
        <f t="shared" si="57"/>
        <v>0.13355417824321436</v>
      </c>
      <c r="BG116" s="281">
        <f t="shared" si="57"/>
        <v>-9.721241101994238E-3</v>
      </c>
      <c r="BH116" s="281">
        <f t="shared" si="57"/>
        <v>-7.6338786708667339E-3</v>
      </c>
      <c r="BI116" s="281">
        <f t="shared" si="57"/>
        <v>9.0248601287870711E-2</v>
      </c>
      <c r="BJ116" s="445">
        <f t="shared" si="57"/>
        <v>4.5806832892440807E-2</v>
      </c>
      <c r="BK116" s="446"/>
      <c r="BL116" s="446"/>
      <c r="BM116" s="446"/>
      <c r="BN116" s="446"/>
      <c r="BO116" s="445">
        <f t="shared" ref="BO116" si="58">BO115/BJ115-1</f>
        <v>8.3772452551955423E-2</v>
      </c>
      <c r="BP116" s="446"/>
      <c r="BQ116" s="446"/>
      <c r="BR116" s="446"/>
      <c r="BS116" s="446"/>
      <c r="BT116" s="445">
        <f t="shared" ref="BT116" si="59">BT115/BO115-1</f>
        <v>6.7958715924209212E-2</v>
      </c>
      <c r="BU116" s="446"/>
      <c r="BV116" s="446"/>
      <c r="BW116" s="446"/>
      <c r="BX116" s="446"/>
      <c r="BY116" s="445">
        <f t="shared" ref="BY116" si="60">BY115/BT115-1</f>
        <v>6.7028260089164737E-2</v>
      </c>
      <c r="BZ116" s="446"/>
      <c r="CA116" s="446"/>
      <c r="CB116" s="446"/>
      <c r="CC116" s="446"/>
      <c r="CD116" s="445">
        <f t="shared" ref="CD116" si="61">CD115/BY115-1</f>
        <v>4.4458968185375092E-2</v>
      </c>
      <c r="CF116" s="242"/>
    </row>
    <row r="117" spans="1:84" s="454" customFormat="1">
      <c r="A117" s="157"/>
      <c r="B117" s="447" t="s">
        <v>178</v>
      </c>
      <c r="C117" s="448" t="e">
        <f>#REF!+#REF!</f>
        <v>#REF!</v>
      </c>
      <c r="D117" s="448" t="e">
        <f>#REF!+#REF!</f>
        <v>#REF!</v>
      </c>
      <c r="E117" s="448" t="e">
        <f>#REF!+#REF!</f>
        <v>#REF!</v>
      </c>
      <c r="F117" s="448" t="e">
        <f>#REF!+#REF!</f>
        <v>#REF!</v>
      </c>
      <c r="G117" s="449" t="e">
        <f>#REF!+#REF!</f>
        <v>#REF!</v>
      </c>
      <c r="H117" s="448" t="e">
        <f>#REF!+#REF!</f>
        <v>#REF!</v>
      </c>
      <c r="I117" s="448" t="e">
        <f>#REF!+#REF!</f>
        <v>#REF!</v>
      </c>
      <c r="J117" s="448" t="e">
        <f>#REF!+#REF!</f>
        <v>#REF!</v>
      </c>
      <c r="K117" s="448" t="e">
        <f>#REF!+#REF!</f>
        <v>#REF!</v>
      </c>
      <c r="L117" s="449" t="e">
        <f>#REF!+#REF!</f>
        <v>#REF!</v>
      </c>
      <c r="M117" s="448" t="e">
        <f>#REF!</f>
        <v>#REF!</v>
      </c>
      <c r="N117" s="448" t="e">
        <f>#REF!</f>
        <v>#REF!</v>
      </c>
      <c r="O117" s="448" t="e">
        <f>#REF!</f>
        <v>#REF!</v>
      </c>
      <c r="P117" s="448" t="e">
        <f>#REF!</f>
        <v>#REF!</v>
      </c>
      <c r="Q117" s="449" t="e">
        <f>#REF!+#REF!+#REF!+#REF!</f>
        <v>#REF!</v>
      </c>
      <c r="R117" s="448" t="e">
        <f>#REF!</f>
        <v>#REF!</v>
      </c>
      <c r="S117" s="448" t="e">
        <f>#REF!</f>
        <v>#REF!</v>
      </c>
      <c r="T117" s="448" t="e">
        <f>#REF!</f>
        <v>#REF!</v>
      </c>
      <c r="U117" s="448" t="e">
        <f>#REF!</f>
        <v>#REF!</v>
      </c>
      <c r="V117" s="449" t="e">
        <f>#REF!+#REF!+#REF!+#REF!</f>
        <v>#REF!</v>
      </c>
      <c r="W117" s="450" t="e">
        <f>#REF!</f>
        <v>#REF!</v>
      </c>
      <c r="X117" s="450" t="e">
        <f>#REF!</f>
        <v>#REF!</v>
      </c>
      <c r="Y117" s="450" t="e">
        <f>#REF!</f>
        <v>#REF!</v>
      </c>
      <c r="Z117" s="450" t="e">
        <f>#REF!</f>
        <v>#REF!</v>
      </c>
      <c r="AA117" s="451" t="e">
        <f>#REF!+#REF!+#REF!+#REF!</f>
        <v>#REF!</v>
      </c>
      <c r="AB117" s="450"/>
      <c r="AC117" s="450"/>
      <c r="AD117" s="450"/>
      <c r="AE117" s="450"/>
      <c r="AF117" s="451"/>
      <c r="AG117" s="452"/>
      <c r="AH117" s="450"/>
      <c r="AI117" s="450"/>
      <c r="AJ117" s="452"/>
      <c r="AK117" s="451"/>
      <c r="AL117" s="450"/>
      <c r="AM117" s="452"/>
      <c r="AN117" s="452"/>
      <c r="AO117" s="450"/>
      <c r="AP117" s="451"/>
      <c r="AQ117" s="452">
        <v>128.5</v>
      </c>
      <c r="AR117" s="450">
        <v>141.30000000000001</v>
      </c>
      <c r="AS117" s="450">
        <v>326.88900000000001</v>
      </c>
      <c r="AT117" s="450">
        <v>484.77199999999999</v>
      </c>
      <c r="AU117" s="451">
        <f>SUM(AQ117:AT117)</f>
        <v>1081.461</v>
      </c>
      <c r="AV117" s="450">
        <v>415.4</v>
      </c>
      <c r="AW117" s="450">
        <v>441.6</v>
      </c>
      <c r="AX117" s="450">
        <f>420.7</f>
        <v>420.7</v>
      </c>
      <c r="AY117" s="450">
        <v>423</v>
      </c>
      <c r="AZ117" s="451">
        <f>SUM(AV117:AY117)</f>
        <v>1700.7</v>
      </c>
      <c r="BA117" s="450">
        <v>360.7</v>
      </c>
      <c r="BB117" s="450">
        <v>397.3</v>
      </c>
      <c r="BC117" s="450">
        <v>352.5</v>
      </c>
      <c r="BD117" s="450">
        <v>363.4</v>
      </c>
      <c r="BE117" s="451">
        <f>SUM(BA117:BD117)</f>
        <v>1473.9</v>
      </c>
      <c r="BF117" s="450">
        <f t="shared" ref="BF117:BI117" si="62">BA117*(1+BF120)</f>
        <v>339.05799999999999</v>
      </c>
      <c r="BG117" s="450">
        <f t="shared" si="62"/>
        <v>385.38100000000003</v>
      </c>
      <c r="BH117" s="450">
        <f t="shared" si="62"/>
        <v>348.97500000000002</v>
      </c>
      <c r="BI117" s="453">
        <f t="shared" si="62"/>
        <v>370.66800000000001</v>
      </c>
      <c r="BJ117" s="453">
        <f>SUM(BF117:BI117)</f>
        <v>1444.0820000000003</v>
      </c>
      <c r="BK117" s="28"/>
      <c r="BL117" s="28"/>
      <c r="BM117" s="28"/>
      <c r="BN117" s="28"/>
      <c r="BO117" s="451">
        <f>BJ117*(1+BO120)</f>
        <v>1472.9636400000004</v>
      </c>
      <c r="BP117" s="451"/>
      <c r="BQ117" s="451"/>
      <c r="BR117" s="451"/>
      <c r="BS117" s="451"/>
      <c r="BT117" s="451">
        <f>BO117*(1+BT120)</f>
        <v>1502.4229128000004</v>
      </c>
      <c r="BU117" s="28"/>
      <c r="BV117" s="28"/>
      <c r="BW117" s="28"/>
      <c r="BX117" s="28"/>
      <c r="BY117" s="451">
        <f>BT117*(1+BY120)</f>
        <v>1532.4713710560004</v>
      </c>
      <c r="BZ117" s="451"/>
      <c r="CA117" s="451"/>
      <c r="CB117" s="451"/>
      <c r="CC117" s="451"/>
      <c r="CD117" s="451">
        <f>BY117*(1+CD120)</f>
        <v>1563.1207984771204</v>
      </c>
      <c r="CE117" s="157"/>
      <c r="CF117" s="278">
        <f>BJ117/$BJ$142</f>
        <v>0.13167819712511028</v>
      </c>
    </row>
    <row r="118" spans="1:84" s="454" customFormat="1">
      <c r="A118" s="157"/>
      <c r="B118" s="455" t="s">
        <v>179</v>
      </c>
      <c r="C118" s="456"/>
      <c r="D118" s="456"/>
      <c r="E118" s="456"/>
      <c r="F118" s="456"/>
      <c r="G118" s="457"/>
      <c r="H118" s="456"/>
      <c r="I118" s="456"/>
      <c r="J118" s="456"/>
      <c r="K118" s="456"/>
      <c r="L118" s="457"/>
      <c r="M118" s="456"/>
      <c r="N118" s="456"/>
      <c r="O118" s="456"/>
      <c r="P118" s="456"/>
      <c r="Q118" s="457"/>
      <c r="R118" s="456"/>
      <c r="S118" s="456"/>
      <c r="T118" s="456"/>
      <c r="U118" s="456"/>
      <c r="V118" s="457"/>
      <c r="W118" s="458"/>
      <c r="X118" s="458"/>
      <c r="Y118" s="458"/>
      <c r="Z118" s="458"/>
      <c r="AA118" s="459"/>
      <c r="AB118" s="458"/>
      <c r="AC118" s="458"/>
      <c r="AD118" s="458"/>
      <c r="AE118" s="458"/>
      <c r="AF118" s="459"/>
      <c r="AG118" s="460"/>
      <c r="AH118" s="458"/>
      <c r="AI118" s="458"/>
      <c r="AJ118" s="460"/>
      <c r="AK118" s="459"/>
      <c r="AL118" s="458"/>
      <c r="AM118" s="460"/>
      <c r="AN118" s="460"/>
      <c r="AO118" s="458"/>
      <c r="AP118" s="459"/>
      <c r="AQ118" s="460"/>
      <c r="AR118" s="458"/>
      <c r="AS118" s="458"/>
      <c r="AT118" s="458"/>
      <c r="AU118" s="459"/>
      <c r="AV118" s="458"/>
      <c r="AW118" s="458"/>
      <c r="AX118" s="461">
        <v>0.31</v>
      </c>
      <c r="AY118" s="458"/>
      <c r="AZ118" s="459"/>
      <c r="BA118" s="461">
        <f>422.7/AV117-1</f>
        <v>1.7573423206547867E-2</v>
      </c>
      <c r="BB118" s="461">
        <v>7.0000000000000007E-2</v>
      </c>
      <c r="BC118" s="461">
        <v>0</v>
      </c>
      <c r="BD118" s="462">
        <f>412.6/AY117-1</f>
        <v>-2.4586288416075575E-2</v>
      </c>
      <c r="BE118" s="463">
        <f>BE120-BE119</f>
        <v>1.6141543148091853E-2</v>
      </c>
      <c r="BF118" s="464">
        <v>0</v>
      </c>
      <c r="BG118" s="464">
        <v>0.02</v>
      </c>
      <c r="BH118" s="464">
        <v>0.02</v>
      </c>
      <c r="BI118" s="465">
        <v>0.02</v>
      </c>
      <c r="BJ118" s="463">
        <f>BJ120-BJ119</f>
        <v>1.4769319492503014E-2</v>
      </c>
      <c r="BK118" s="28"/>
      <c r="BL118" s="28"/>
      <c r="BM118" s="28"/>
      <c r="BN118" s="28"/>
      <c r="BO118" s="459"/>
      <c r="BP118" s="459"/>
      <c r="BQ118" s="459"/>
      <c r="BR118" s="459"/>
      <c r="BS118" s="459"/>
      <c r="BT118" s="459"/>
      <c r="BU118" s="28"/>
      <c r="BV118" s="28"/>
      <c r="BW118" s="28"/>
      <c r="BX118" s="28"/>
      <c r="BY118" s="459"/>
      <c r="BZ118" s="459"/>
      <c r="CA118" s="459"/>
      <c r="CB118" s="459"/>
      <c r="CC118" s="459"/>
      <c r="CD118" s="459"/>
      <c r="CE118" s="157"/>
      <c r="CF118" s="466"/>
    </row>
    <row r="119" spans="1:84" s="454" customFormat="1">
      <c r="A119" s="157"/>
      <c r="B119" s="455" t="s">
        <v>180</v>
      </c>
      <c r="C119" s="456"/>
      <c r="D119" s="456"/>
      <c r="E119" s="456"/>
      <c r="F119" s="456"/>
      <c r="G119" s="457"/>
      <c r="H119" s="456"/>
      <c r="I119" s="456"/>
      <c r="J119" s="456"/>
      <c r="K119" s="456"/>
      <c r="L119" s="457"/>
      <c r="M119" s="456"/>
      <c r="N119" s="456"/>
      <c r="O119" s="456"/>
      <c r="P119" s="456"/>
      <c r="Q119" s="457"/>
      <c r="R119" s="456"/>
      <c r="S119" s="456"/>
      <c r="T119" s="456"/>
      <c r="U119" s="456"/>
      <c r="V119" s="457"/>
      <c r="W119" s="458"/>
      <c r="X119" s="458"/>
      <c r="Y119" s="458"/>
      <c r="Z119" s="458"/>
      <c r="AA119" s="459"/>
      <c r="AB119" s="458"/>
      <c r="AC119" s="458"/>
      <c r="AD119" s="458"/>
      <c r="AE119" s="458"/>
      <c r="AF119" s="459"/>
      <c r="AG119" s="460"/>
      <c r="AH119" s="458"/>
      <c r="AI119" s="458"/>
      <c r="AJ119" s="460"/>
      <c r="AK119" s="459"/>
      <c r="AL119" s="458"/>
      <c r="AM119" s="460"/>
      <c r="AN119" s="460"/>
      <c r="AO119" s="458"/>
      <c r="AP119" s="459"/>
      <c r="AQ119" s="460"/>
      <c r="AR119" s="458"/>
      <c r="AS119" s="458"/>
      <c r="AT119" s="458"/>
      <c r="AU119" s="459"/>
      <c r="AV119" s="458"/>
      <c r="AW119" s="458"/>
      <c r="AX119" s="461">
        <f>AX120-AX118</f>
        <v>-2.3018792311763459E-2</v>
      </c>
      <c r="AY119" s="458"/>
      <c r="AZ119" s="459"/>
      <c r="BA119" s="461">
        <f>BA120-BA118</f>
        <v>-0.14925373134328357</v>
      </c>
      <c r="BB119" s="461">
        <f>BB120-BB118</f>
        <v>-0.17031702898550732</v>
      </c>
      <c r="BC119" s="461">
        <f>BC120-BC118</f>
        <v>-0.1621107677680057</v>
      </c>
      <c r="BD119" s="461">
        <f>BD120-BD118</f>
        <v>-0.11631205673758882</v>
      </c>
      <c r="BE119" s="463">
        <f>AVERAGE(BA119:BD119)</f>
        <v>-0.14949839620859634</v>
      </c>
      <c r="BF119" s="464">
        <v>-0.06</v>
      </c>
      <c r="BG119" s="464">
        <v>-0.05</v>
      </c>
      <c r="BH119" s="464">
        <v>-0.03</v>
      </c>
      <c r="BI119" s="465">
        <v>0</v>
      </c>
      <c r="BJ119" s="463">
        <f>AVERAGE(BF119:BI119)</f>
        <v>-3.5000000000000003E-2</v>
      </c>
      <c r="BK119" s="28"/>
      <c r="BL119" s="28"/>
      <c r="BM119" s="28"/>
      <c r="BN119" s="28"/>
      <c r="BO119" s="459"/>
      <c r="BP119" s="459"/>
      <c r="BQ119" s="459"/>
      <c r="BR119" s="459"/>
      <c r="BS119" s="459"/>
      <c r="BT119" s="459"/>
      <c r="BU119" s="28"/>
      <c r="BV119" s="28"/>
      <c r="BW119" s="28"/>
      <c r="BX119" s="28"/>
      <c r="BY119" s="459"/>
      <c r="BZ119" s="459"/>
      <c r="CA119" s="459"/>
      <c r="CB119" s="459"/>
      <c r="CC119" s="459"/>
      <c r="CD119" s="459"/>
      <c r="CE119" s="157"/>
      <c r="CF119" s="466"/>
    </row>
    <row r="120" spans="1:84" s="467" customFormat="1">
      <c r="B120" s="468" t="s">
        <v>126</v>
      </c>
      <c r="C120" s="469"/>
      <c r="D120" s="469"/>
      <c r="E120" s="469"/>
      <c r="F120" s="469"/>
      <c r="G120" s="470"/>
      <c r="H120" s="471"/>
      <c r="I120" s="471"/>
      <c r="J120" s="471"/>
      <c r="K120" s="471"/>
      <c r="L120" s="319"/>
      <c r="M120" s="471"/>
      <c r="N120" s="471"/>
      <c r="O120" s="471"/>
      <c r="P120" s="471"/>
      <c r="Q120" s="319"/>
      <c r="R120" s="471"/>
      <c r="S120" s="471"/>
      <c r="T120" s="471"/>
      <c r="U120" s="471"/>
      <c r="V120" s="319"/>
      <c r="W120" s="461"/>
      <c r="X120" s="461"/>
      <c r="Y120" s="461"/>
      <c r="Z120" s="461"/>
      <c r="AA120" s="372"/>
      <c r="AB120" s="461"/>
      <c r="AC120" s="461"/>
      <c r="AD120" s="461"/>
      <c r="AE120" s="461"/>
      <c r="AF120" s="372"/>
      <c r="AG120" s="461"/>
      <c r="AH120" s="461"/>
      <c r="AI120" s="461"/>
      <c r="AJ120" s="461"/>
      <c r="AK120" s="372"/>
      <c r="AL120" s="461"/>
      <c r="AM120" s="461"/>
      <c r="AN120" s="461"/>
      <c r="AO120" s="461"/>
      <c r="AP120" s="372"/>
      <c r="AQ120" s="461"/>
      <c r="AR120" s="461"/>
      <c r="AS120" s="461"/>
      <c r="AT120" s="461"/>
      <c r="AU120" s="372"/>
      <c r="AV120" s="461">
        <f t="shared" ref="AV120:BE120" si="63">AV117/AQ117-1</f>
        <v>2.2326848249027234</v>
      </c>
      <c r="AW120" s="461">
        <f t="shared" si="63"/>
        <v>2.1252653927813161</v>
      </c>
      <c r="AX120" s="461">
        <f>AX117/AS117-1</f>
        <v>0.28698120768823654</v>
      </c>
      <c r="AY120" s="461">
        <f t="shared" si="63"/>
        <v>-0.12742485127028791</v>
      </c>
      <c r="AZ120" s="372">
        <f t="shared" si="63"/>
        <v>0.57259485085453843</v>
      </c>
      <c r="BA120" s="461">
        <f t="shared" si="63"/>
        <v>-0.1316803081367357</v>
      </c>
      <c r="BB120" s="461">
        <f t="shared" si="63"/>
        <v>-0.10031702898550732</v>
      </c>
      <c r="BC120" s="461">
        <f t="shared" si="63"/>
        <v>-0.1621107677680057</v>
      </c>
      <c r="BD120" s="461">
        <f t="shared" si="63"/>
        <v>-0.14089834515366439</v>
      </c>
      <c r="BE120" s="472">
        <f t="shared" si="63"/>
        <v>-0.13335685306050449</v>
      </c>
      <c r="BF120" s="473">
        <f t="shared" ref="BF120:BI120" si="64">SUM(BF118:BF119)</f>
        <v>-0.06</v>
      </c>
      <c r="BG120" s="473">
        <f t="shared" si="64"/>
        <v>-3.0000000000000002E-2</v>
      </c>
      <c r="BH120" s="473">
        <f t="shared" si="64"/>
        <v>-9.9999999999999985E-3</v>
      </c>
      <c r="BI120" s="474">
        <f t="shared" si="64"/>
        <v>0.02</v>
      </c>
      <c r="BJ120" s="475">
        <f t="shared" ref="BJ120" si="65">BJ117/BE117-1</f>
        <v>-2.023068050749699E-2</v>
      </c>
      <c r="BK120" s="476"/>
      <c r="BL120" s="476"/>
      <c r="BM120" s="476"/>
      <c r="BN120" s="476"/>
      <c r="BO120" s="477">
        <v>0.02</v>
      </c>
      <c r="BP120" s="477"/>
      <c r="BQ120" s="477"/>
      <c r="BR120" s="477"/>
      <c r="BS120" s="477"/>
      <c r="BT120" s="477">
        <v>0.02</v>
      </c>
      <c r="BU120" s="476"/>
      <c r="BV120" s="476"/>
      <c r="BW120" s="476"/>
      <c r="BX120" s="476"/>
      <c r="BY120" s="477">
        <v>0.02</v>
      </c>
      <c r="BZ120" s="477"/>
      <c r="CA120" s="477"/>
      <c r="CB120" s="477"/>
      <c r="CC120" s="477"/>
      <c r="CD120" s="477">
        <v>0.02</v>
      </c>
      <c r="CF120" s="478"/>
    </row>
    <row r="121" spans="1:84" s="483" customFormat="1">
      <c r="A121" s="480"/>
      <c r="B121" s="481" t="s">
        <v>181</v>
      </c>
      <c r="C121" s="452"/>
      <c r="D121" s="452"/>
      <c r="E121" s="452"/>
      <c r="F121" s="452"/>
      <c r="G121" s="482"/>
      <c r="H121" s="452"/>
      <c r="I121" s="452"/>
      <c r="J121" s="452"/>
      <c r="K121" s="452"/>
      <c r="L121" s="482"/>
      <c r="M121" s="452"/>
      <c r="N121" s="452"/>
      <c r="O121" s="452"/>
      <c r="P121" s="452"/>
      <c r="Q121" s="482"/>
      <c r="R121" s="452" t="e">
        <f>R117+#REF!</f>
        <v>#REF!</v>
      </c>
      <c r="S121" s="452" t="e">
        <f>S117+#REF!</f>
        <v>#REF!</v>
      </c>
      <c r="T121" s="452" t="e">
        <f>T117+#REF!</f>
        <v>#REF!</v>
      </c>
      <c r="U121" s="452" t="e">
        <f>U117+#REF!</f>
        <v>#REF!</v>
      </c>
      <c r="V121" s="482" t="e">
        <f>V117+#REF!</f>
        <v>#REF!</v>
      </c>
      <c r="W121" s="452" t="e">
        <f>W117+#REF!</f>
        <v>#REF!</v>
      </c>
      <c r="X121" s="452" t="e">
        <f>X117+#REF!</f>
        <v>#REF!</v>
      </c>
      <c r="Y121" s="452" t="e">
        <f>Y117+#REF!</f>
        <v>#REF!</v>
      </c>
      <c r="Z121" s="452" t="e">
        <f>Z117+#REF!</f>
        <v>#REF!</v>
      </c>
      <c r="AA121" s="482" t="e">
        <f>AA117+#REF!</f>
        <v>#REF!</v>
      </c>
      <c r="AB121" s="452"/>
      <c r="AC121" s="452"/>
      <c r="AD121" s="452"/>
      <c r="AE121" s="452"/>
      <c r="AF121" s="482"/>
      <c r="AG121" s="452"/>
      <c r="AH121" s="452"/>
      <c r="AI121" s="452"/>
      <c r="AJ121" s="452"/>
      <c r="AK121" s="482"/>
      <c r="AL121" s="452"/>
      <c r="AM121" s="452"/>
      <c r="AN121" s="452"/>
      <c r="AO121" s="452"/>
      <c r="AP121" s="482"/>
      <c r="AQ121" s="452">
        <f t="shared" ref="AQ121:BI121" si="66">AQ115+AQ117</f>
        <v>771.1</v>
      </c>
      <c r="AR121" s="452">
        <f t="shared" si="66"/>
        <v>791.8</v>
      </c>
      <c r="AS121" s="452">
        <f t="shared" si="66"/>
        <v>1142.6890000000001</v>
      </c>
      <c r="AT121" s="452">
        <f t="shared" si="66"/>
        <v>1570.3719999999998</v>
      </c>
      <c r="AU121" s="482">
        <f t="shared" si="66"/>
        <v>4275.9610000000002</v>
      </c>
      <c r="AV121" s="452">
        <f t="shared" si="66"/>
        <v>1421.8</v>
      </c>
      <c r="AW121" s="452">
        <f t="shared" si="66"/>
        <v>1479.7000000000003</v>
      </c>
      <c r="AX121" s="452">
        <f t="shared" si="66"/>
        <v>1507.9</v>
      </c>
      <c r="AY121" s="452">
        <f t="shared" si="66"/>
        <v>1757.7</v>
      </c>
      <c r="AZ121" s="482">
        <f t="shared" si="66"/>
        <v>6167.0999999999995</v>
      </c>
      <c r="BA121" s="452">
        <f t="shared" si="66"/>
        <v>1764.4</v>
      </c>
      <c r="BB121" s="452">
        <f t="shared" si="66"/>
        <v>2237.6000000000004</v>
      </c>
      <c r="BC121" s="452">
        <f t="shared" si="66"/>
        <v>2320.6999999999998</v>
      </c>
      <c r="BD121" s="452">
        <f t="shared" si="66"/>
        <v>2258</v>
      </c>
      <c r="BE121" s="482">
        <f t="shared" si="66"/>
        <v>8580.7000000000007</v>
      </c>
      <c r="BF121" s="452">
        <f t="shared" si="66"/>
        <v>1930.2280000000001</v>
      </c>
      <c r="BG121" s="452">
        <f t="shared" si="66"/>
        <v>2207.7910000000002</v>
      </c>
      <c r="BH121" s="452">
        <f t="shared" si="66"/>
        <v>2302.15</v>
      </c>
      <c r="BI121" s="452">
        <f t="shared" si="66"/>
        <v>2436.2530000000002</v>
      </c>
      <c r="BJ121" s="482">
        <f>BJ115+BJ117</f>
        <v>8876.4220000000005</v>
      </c>
      <c r="BK121" s="28"/>
      <c r="BL121" s="28"/>
      <c r="BM121" s="28"/>
      <c r="BN121" s="28"/>
      <c r="BO121" s="482">
        <f>BO115+BO117</f>
        <v>9527.9289900000003</v>
      </c>
      <c r="BP121" s="28"/>
      <c r="BQ121" s="28"/>
      <c r="BR121" s="28"/>
      <c r="BS121" s="28"/>
      <c r="BT121" s="482">
        <f>BT115+BT117</f>
        <v>10104.7933648</v>
      </c>
      <c r="BU121" s="28"/>
      <c r="BV121" s="28"/>
      <c r="BW121" s="28"/>
      <c r="BX121" s="28"/>
      <c r="BY121" s="482">
        <f>BY115+BY117</f>
        <v>10711.443747096002</v>
      </c>
      <c r="BZ121" s="28"/>
      <c r="CA121" s="28"/>
      <c r="CB121" s="28"/>
      <c r="CC121" s="28"/>
      <c r="CD121" s="482">
        <f>CD115+CD117</f>
        <v>11150.18081535792</v>
      </c>
      <c r="CE121" s="480"/>
      <c r="CF121" s="242"/>
    </row>
    <row r="122" spans="1:84" s="490" customFormat="1">
      <c r="A122" s="467"/>
      <c r="B122" s="484" t="s">
        <v>126</v>
      </c>
      <c r="C122" s="485"/>
      <c r="D122" s="485"/>
      <c r="E122" s="485"/>
      <c r="F122" s="485"/>
      <c r="G122" s="486"/>
      <c r="H122" s="485"/>
      <c r="I122" s="485"/>
      <c r="J122" s="485"/>
      <c r="K122" s="485"/>
      <c r="L122" s="486"/>
      <c r="M122" s="485"/>
      <c r="N122" s="485"/>
      <c r="O122" s="485"/>
      <c r="P122" s="485"/>
      <c r="Q122" s="486"/>
      <c r="R122" s="487"/>
      <c r="S122" s="485"/>
      <c r="T122" s="485"/>
      <c r="U122" s="485"/>
      <c r="V122" s="486"/>
      <c r="W122" s="487"/>
      <c r="X122" s="485"/>
      <c r="Y122" s="485"/>
      <c r="Z122" s="485"/>
      <c r="AA122" s="486"/>
      <c r="AB122" s="487"/>
      <c r="AC122" s="487"/>
      <c r="AD122" s="487"/>
      <c r="AE122" s="487"/>
      <c r="AF122" s="472"/>
      <c r="AG122" s="487"/>
      <c r="AH122" s="487"/>
      <c r="AI122" s="487"/>
      <c r="AJ122" s="487"/>
      <c r="AK122" s="472"/>
      <c r="AL122" s="487"/>
      <c r="AM122" s="487"/>
      <c r="AN122" s="487"/>
      <c r="AO122" s="487"/>
      <c r="AP122" s="472"/>
      <c r="AQ122" s="488"/>
      <c r="AR122" s="487"/>
      <c r="AS122" s="487"/>
      <c r="AT122" s="487"/>
      <c r="AU122" s="472"/>
      <c r="AV122" s="487">
        <f t="shared" ref="AV122:BJ122" si="67">AV121/AQ121-1</f>
        <v>0.84385942160549843</v>
      </c>
      <c r="AW122" s="487">
        <f t="shared" si="67"/>
        <v>0.86877999494821978</v>
      </c>
      <c r="AX122" s="487">
        <f t="shared" si="67"/>
        <v>0.31960664712795861</v>
      </c>
      <c r="AY122" s="487">
        <f t="shared" si="67"/>
        <v>0.11928893281337172</v>
      </c>
      <c r="AZ122" s="472">
        <f t="shared" si="67"/>
        <v>0.44227227516808476</v>
      </c>
      <c r="BA122" s="487">
        <f t="shared" si="67"/>
        <v>0.24096216064144049</v>
      </c>
      <c r="BB122" s="487">
        <f t="shared" si="67"/>
        <v>0.51219841859836457</v>
      </c>
      <c r="BC122" s="487">
        <f t="shared" si="67"/>
        <v>0.53902778698852694</v>
      </c>
      <c r="BD122" s="487">
        <f t="shared" si="67"/>
        <v>0.28463332764408023</v>
      </c>
      <c r="BE122" s="472">
        <f t="shared" si="67"/>
        <v>0.39136709312318607</v>
      </c>
      <c r="BF122" s="487">
        <f t="shared" si="67"/>
        <v>9.3985490818408568E-2</v>
      </c>
      <c r="BG122" s="487">
        <f t="shared" si="67"/>
        <v>-1.3321862710046539E-2</v>
      </c>
      <c r="BH122" s="487">
        <f t="shared" si="67"/>
        <v>-7.9932778902915835E-3</v>
      </c>
      <c r="BI122" s="487">
        <f t="shared" si="67"/>
        <v>7.8942869796279957E-2</v>
      </c>
      <c r="BJ122" s="472">
        <f t="shared" si="67"/>
        <v>3.4463621849033288E-2</v>
      </c>
      <c r="BK122" s="376"/>
      <c r="BL122" s="376"/>
      <c r="BM122" s="376"/>
      <c r="BN122" s="376"/>
      <c r="BO122" s="472">
        <f t="shared" ref="BO122" si="68">BO121/BJ121-1</f>
        <v>7.3397478173074626E-2</v>
      </c>
      <c r="BP122" s="376"/>
      <c r="BQ122" s="376"/>
      <c r="BR122" s="376"/>
      <c r="BS122" s="376"/>
      <c r="BT122" s="472">
        <f t="shared" ref="BT122" si="69">BT121/BO121-1</f>
        <v>6.054457116603662E-2</v>
      </c>
      <c r="BU122" s="376"/>
      <c r="BV122" s="376"/>
      <c r="BW122" s="376"/>
      <c r="BX122" s="376"/>
      <c r="BY122" s="472">
        <f t="shared" ref="BY122" si="70">BY121/BT121-1</f>
        <v>6.0035901813615178E-2</v>
      </c>
      <c r="BZ122" s="376"/>
      <c r="CA122" s="376"/>
      <c r="CB122" s="376"/>
      <c r="CC122" s="376"/>
      <c r="CD122" s="472">
        <f t="shared" ref="CD122" si="71">CD121/BY121-1</f>
        <v>4.0959657598058641E-2</v>
      </c>
      <c r="CE122" s="467"/>
      <c r="CF122" s="489"/>
    </row>
    <row r="123" spans="1:84" s="390" customFormat="1">
      <c r="A123" s="8"/>
      <c r="B123" s="491"/>
      <c r="C123" s="492"/>
      <c r="D123" s="492"/>
      <c r="E123" s="492"/>
      <c r="F123" s="492"/>
      <c r="G123" s="492"/>
      <c r="H123" s="492"/>
      <c r="I123" s="492"/>
      <c r="J123" s="492"/>
      <c r="K123" s="492"/>
      <c r="L123" s="492"/>
      <c r="M123" s="492"/>
      <c r="N123" s="492"/>
      <c r="O123" s="492"/>
      <c r="P123" s="492"/>
      <c r="Q123" s="492"/>
      <c r="R123" s="492"/>
      <c r="S123" s="492"/>
      <c r="T123" s="492"/>
      <c r="U123" s="492"/>
      <c r="V123" s="492"/>
      <c r="W123" s="493"/>
      <c r="X123" s="492"/>
      <c r="Y123" s="492"/>
      <c r="Z123" s="492"/>
      <c r="AA123" s="492"/>
      <c r="AB123" s="493"/>
      <c r="AC123" s="493"/>
      <c r="AD123" s="492"/>
      <c r="AE123" s="492"/>
      <c r="AF123" s="492"/>
      <c r="AG123" s="492"/>
      <c r="AH123" s="492"/>
      <c r="AI123" s="492"/>
      <c r="AJ123" s="492"/>
      <c r="AK123" s="492"/>
      <c r="AL123" s="492"/>
      <c r="AM123" s="492"/>
      <c r="AN123" s="492"/>
      <c r="AO123" s="492"/>
      <c r="AP123" s="492"/>
      <c r="AQ123" s="492"/>
      <c r="AR123" s="492"/>
      <c r="AS123" s="492"/>
      <c r="AT123" s="492"/>
      <c r="AU123" s="492"/>
      <c r="AV123" s="492"/>
      <c r="AW123" s="492"/>
      <c r="AX123" s="492"/>
      <c r="AY123" s="492"/>
      <c r="AZ123" s="494"/>
      <c r="BA123" s="28"/>
      <c r="BB123" s="191"/>
      <c r="BC123" s="28"/>
      <c r="BD123" s="28"/>
      <c r="BE123" s="495"/>
      <c r="BF123" s="28"/>
      <c r="BG123" s="28"/>
      <c r="BH123" s="28"/>
      <c r="BI123" s="28"/>
      <c r="BJ123" s="496"/>
      <c r="BK123" s="28"/>
      <c r="BL123" s="28"/>
      <c r="BM123" s="28"/>
      <c r="BN123" s="28"/>
      <c r="BO123" s="8"/>
      <c r="BP123" s="28"/>
      <c r="BQ123" s="28"/>
      <c r="BR123" s="28"/>
      <c r="BS123" s="28"/>
      <c r="BT123" s="8"/>
      <c r="BU123" s="28"/>
      <c r="BV123" s="28"/>
      <c r="BW123" s="28"/>
      <c r="BX123" s="28"/>
      <c r="BY123" s="8"/>
      <c r="BZ123" s="28"/>
      <c r="CA123" s="28"/>
      <c r="CB123" s="28"/>
      <c r="CC123" s="28"/>
      <c r="CD123" s="8"/>
      <c r="CE123" s="8"/>
      <c r="CF123" s="497"/>
    </row>
    <row r="124" spans="1:84">
      <c r="B124" s="225" t="s">
        <v>182</v>
      </c>
      <c r="C124" s="226"/>
      <c r="D124" s="226"/>
      <c r="E124" s="226"/>
      <c r="F124" s="226"/>
      <c r="G124" s="227"/>
      <c r="H124" s="226"/>
      <c r="I124" s="226"/>
      <c r="J124" s="226"/>
      <c r="K124" s="226"/>
      <c r="L124" s="227"/>
      <c r="M124" s="226"/>
      <c r="N124" s="226"/>
      <c r="O124" s="226"/>
      <c r="P124" s="226"/>
      <c r="Q124" s="227"/>
      <c r="R124" s="226"/>
      <c r="S124" s="226"/>
      <c r="T124" s="226"/>
      <c r="U124" s="226"/>
      <c r="V124" s="227"/>
      <c r="W124" s="226"/>
      <c r="X124" s="226"/>
      <c r="Y124" s="226"/>
      <c r="Z124" s="226"/>
      <c r="AA124" s="227"/>
      <c r="AB124" s="226"/>
      <c r="AC124" s="226"/>
      <c r="AD124" s="226"/>
      <c r="AE124" s="226"/>
      <c r="AF124" s="227"/>
      <c r="AG124" s="226" t="s">
        <v>39</v>
      </c>
      <c r="AH124" s="226"/>
      <c r="AI124" s="226"/>
      <c r="AJ124" s="226"/>
      <c r="AK124" s="227"/>
      <c r="AL124" s="226"/>
      <c r="AM124" s="226"/>
      <c r="AN124" s="226"/>
      <c r="AO124" s="226"/>
      <c r="AP124" s="227"/>
      <c r="AQ124" s="226"/>
      <c r="AR124" s="226"/>
      <c r="AS124" s="226"/>
      <c r="AT124" s="226"/>
      <c r="AU124" s="227"/>
      <c r="AV124" s="226"/>
      <c r="AW124" s="226"/>
      <c r="AX124" s="226"/>
      <c r="AY124" s="226"/>
      <c r="AZ124" s="227"/>
      <c r="BA124" s="226"/>
      <c r="BB124" s="226"/>
      <c r="BC124" s="226"/>
      <c r="BD124" s="226"/>
      <c r="BE124" s="227"/>
      <c r="BF124" s="498"/>
      <c r="BG124" s="499"/>
      <c r="BH124" s="499"/>
      <c r="BI124" s="500"/>
      <c r="BJ124" s="501"/>
      <c r="BK124" s="228"/>
      <c r="BL124" s="228"/>
      <c r="BM124" s="228"/>
      <c r="BN124" s="228"/>
      <c r="BO124" s="227"/>
      <c r="BP124" s="228"/>
      <c r="BQ124" s="228"/>
      <c r="BR124" s="228"/>
      <c r="BS124" s="228"/>
      <c r="BT124" s="227"/>
      <c r="BU124" s="228"/>
      <c r="BV124" s="228"/>
      <c r="BW124" s="228"/>
      <c r="BX124" s="228"/>
      <c r="BY124" s="227"/>
      <c r="BZ124" s="228"/>
      <c r="CA124" s="228"/>
      <c r="CB124" s="228"/>
      <c r="CC124" s="228"/>
      <c r="CD124" s="227"/>
      <c r="CF124" s="229"/>
    </row>
    <row r="125" spans="1:84" s="454" customFormat="1">
      <c r="A125" s="502"/>
      <c r="B125" s="503" t="s">
        <v>183</v>
      </c>
      <c r="C125" s="504"/>
      <c r="D125" s="504"/>
      <c r="E125" s="504"/>
      <c r="F125" s="504"/>
      <c r="G125" s="459"/>
      <c r="H125" s="504"/>
      <c r="I125" s="504"/>
      <c r="J125" s="504"/>
      <c r="K125" s="504"/>
      <c r="L125" s="459"/>
      <c r="M125" s="504"/>
      <c r="N125" s="504"/>
      <c r="O125" s="504"/>
      <c r="P125" s="504"/>
      <c r="Q125" s="459"/>
      <c r="R125" s="275">
        <v>37.953000000000003</v>
      </c>
      <c r="S125" s="275">
        <v>38.5</v>
      </c>
      <c r="T125" s="275">
        <v>40.43</v>
      </c>
      <c r="U125" s="275">
        <v>35.920999999999999</v>
      </c>
      <c r="V125" s="277">
        <f>SUM(R125:U125)</f>
        <v>152.804</v>
      </c>
      <c r="W125" s="504">
        <v>35.338000000000001</v>
      </c>
      <c r="X125" s="504">
        <v>34.031999999999996</v>
      </c>
      <c r="Y125" s="504">
        <v>40.234000000000002</v>
      </c>
      <c r="Z125" s="504">
        <v>42.045999999999999</v>
      </c>
      <c r="AA125" s="277">
        <f>SUM(W125:Z125)</f>
        <v>151.65</v>
      </c>
      <c r="AB125" s="275">
        <v>41.707999999999998</v>
      </c>
      <c r="AC125" s="275">
        <v>40.784999999999997</v>
      </c>
      <c r="AD125" s="505">
        <v>42.2</v>
      </c>
      <c r="AE125" s="505">
        <v>48.31</v>
      </c>
      <c r="AF125" s="41">
        <f>SUM(AB125:AE125)</f>
        <v>173.00299999999999</v>
      </c>
      <c r="AG125" s="460">
        <v>76.093000000000004</v>
      </c>
      <c r="AH125" s="460">
        <v>116.3</v>
      </c>
      <c r="AI125" s="505">
        <v>134.05500000000001</v>
      </c>
      <c r="AJ125" s="505">
        <v>144.33500000000001</v>
      </c>
      <c r="AK125" s="41">
        <f>SUM(AG125:AJ125)</f>
        <v>470.78300000000002</v>
      </c>
      <c r="AL125" s="506">
        <f>AL137-AL133-AL129</f>
        <v>156.90900000000002</v>
      </c>
      <c r="AM125" s="506">
        <f>AM137-AM133-AM129</f>
        <v>156.71700000000001</v>
      </c>
      <c r="AN125" s="506">
        <f>AN137-AN133-AN129</f>
        <v>149.40900000000002</v>
      </c>
      <c r="AO125" s="506">
        <f>AO137-AO133-AO129</f>
        <v>193.66</v>
      </c>
      <c r="AP125" s="41">
        <f>SUM(AL125:AO125)</f>
        <v>656.69500000000005</v>
      </c>
      <c r="AQ125" s="507">
        <f>186.166+4</f>
        <v>190.166</v>
      </c>
      <c r="AR125" s="507">
        <f>186.377+4</f>
        <v>190.37700000000001</v>
      </c>
      <c r="AS125" s="507">
        <f>205.147+10</f>
        <v>215.14699999999999</v>
      </c>
      <c r="AT125" s="507">
        <f>244.735+10</f>
        <v>254.73500000000001</v>
      </c>
      <c r="AU125" s="41">
        <f>SUM(AQ125:AT125)</f>
        <v>850.42500000000007</v>
      </c>
      <c r="AV125" s="507">
        <f>237.1+12</f>
        <v>249.1</v>
      </c>
      <c r="AW125" s="275">
        <v>315.5</v>
      </c>
      <c r="AX125" s="507">
        <f>279.4+12</f>
        <v>291.39999999999998</v>
      </c>
      <c r="AY125" s="507">
        <f>266.7+12</f>
        <v>278.7</v>
      </c>
      <c r="AZ125" s="41">
        <f>SUM(AV125:AY125)</f>
        <v>1134.7</v>
      </c>
      <c r="BA125" s="275">
        <v>212.1</v>
      </c>
      <c r="BB125" s="275">
        <v>254.9</v>
      </c>
      <c r="BC125" s="275">
        <v>224.7</v>
      </c>
      <c r="BD125" s="275">
        <v>284.7</v>
      </c>
      <c r="BE125" s="41">
        <f>SUM(BA125:BD125)</f>
        <v>976.40000000000009</v>
      </c>
      <c r="BF125" s="508">
        <f>BA125*(1+BF128)</f>
        <v>246.03599999999997</v>
      </c>
      <c r="BG125" s="460">
        <f t="shared" ref="BG125:BI125" si="72">BB125*(1+BG128)</f>
        <v>295.68400000000003</v>
      </c>
      <c r="BH125" s="460">
        <f t="shared" si="72"/>
        <v>271.887</v>
      </c>
      <c r="BI125" s="509">
        <f t="shared" si="72"/>
        <v>318.86400000000003</v>
      </c>
      <c r="BJ125" s="510">
        <f>SUM(BF125:BI125)</f>
        <v>1132.471</v>
      </c>
      <c r="BK125" s="157"/>
      <c r="BL125" s="157"/>
      <c r="BM125" s="157"/>
      <c r="BN125" s="157"/>
      <c r="BO125" s="41">
        <f>BJ125*(1+BO128)</f>
        <v>1189.09455</v>
      </c>
      <c r="BP125" s="157"/>
      <c r="BQ125" s="157"/>
      <c r="BR125" s="157"/>
      <c r="BS125" s="157"/>
      <c r="BT125" s="41">
        <f>BO125*(1+BT128)</f>
        <v>1248.5492775</v>
      </c>
      <c r="BU125" s="157"/>
      <c r="BV125" s="157"/>
      <c r="BW125" s="157"/>
      <c r="BX125" s="157"/>
      <c r="BY125" s="41">
        <f>BT125*(1+BY128)</f>
        <v>1310.9767413750001</v>
      </c>
      <c r="BZ125" s="157"/>
      <c r="CA125" s="157"/>
      <c r="CB125" s="157"/>
      <c r="CC125" s="157"/>
      <c r="CD125" s="41">
        <f>BY125*(1+CD128)</f>
        <v>1376.5255784437502</v>
      </c>
      <c r="CE125" s="157"/>
      <c r="CF125" s="466"/>
    </row>
    <row r="126" spans="1:84" s="454" customFormat="1">
      <c r="A126" s="157"/>
      <c r="B126" s="511" t="s">
        <v>179</v>
      </c>
      <c r="C126" s="456"/>
      <c r="D126" s="456"/>
      <c r="E126" s="456"/>
      <c r="F126" s="456"/>
      <c r="G126" s="457"/>
      <c r="H126" s="456"/>
      <c r="I126" s="456"/>
      <c r="J126" s="456"/>
      <c r="K126" s="456"/>
      <c r="L126" s="457"/>
      <c r="M126" s="456"/>
      <c r="N126" s="456"/>
      <c r="O126" s="456"/>
      <c r="P126" s="456"/>
      <c r="Q126" s="457"/>
      <c r="R126" s="456"/>
      <c r="S126" s="456"/>
      <c r="T126" s="456"/>
      <c r="U126" s="456"/>
      <c r="V126" s="457"/>
      <c r="W126" s="458"/>
      <c r="X126" s="458"/>
      <c r="Y126" s="458"/>
      <c r="Z126" s="458"/>
      <c r="AA126" s="459"/>
      <c r="AB126" s="458"/>
      <c r="AC126" s="458"/>
      <c r="AD126" s="458"/>
      <c r="AE126" s="458"/>
      <c r="AF126" s="459"/>
      <c r="AG126" s="460"/>
      <c r="AH126" s="458"/>
      <c r="AI126" s="458"/>
      <c r="AJ126" s="460"/>
      <c r="AK126" s="459"/>
      <c r="AL126" s="458"/>
      <c r="AM126" s="460"/>
      <c r="AN126" s="460"/>
      <c r="AO126" s="458"/>
      <c r="AP126" s="459"/>
      <c r="AQ126" s="460"/>
      <c r="AR126" s="458"/>
      <c r="AS126" s="458"/>
      <c r="AT126" s="458"/>
      <c r="AU126" s="459"/>
      <c r="AV126" s="458"/>
      <c r="AW126" s="458"/>
      <c r="AX126" s="458"/>
      <c r="AY126" s="458"/>
      <c r="AZ126" s="459"/>
      <c r="BA126" s="461">
        <f>272.2/AV125-1</f>
        <v>9.273384183059008E-2</v>
      </c>
      <c r="BB126" s="461">
        <v>0.04</v>
      </c>
      <c r="BC126" s="461">
        <v>-0.01</v>
      </c>
      <c r="BD126" s="512">
        <f>332.1/AY125-1</f>
        <v>0.19160387513455346</v>
      </c>
      <c r="BE126" s="463">
        <f>BE128-BE127</f>
        <v>7.6070503965202624E-2</v>
      </c>
      <c r="BF126" s="513">
        <v>0.23</v>
      </c>
      <c r="BG126" s="514">
        <v>0.28000000000000003</v>
      </c>
      <c r="BH126" s="514">
        <v>0.28000000000000003</v>
      </c>
      <c r="BI126" s="515">
        <v>0.12</v>
      </c>
      <c r="BJ126" s="463">
        <f>BJ128-BJ127</f>
        <v>0.22484330192544039</v>
      </c>
      <c r="BK126" s="28"/>
      <c r="BL126" s="28"/>
      <c r="BM126" s="28"/>
      <c r="BN126" s="28"/>
      <c r="BO126" s="459"/>
      <c r="BP126" s="459"/>
      <c r="BQ126" s="459"/>
      <c r="BR126" s="459"/>
      <c r="BS126" s="459"/>
      <c r="BT126" s="459"/>
      <c r="BU126" s="28"/>
      <c r="BV126" s="28"/>
      <c r="BW126" s="28"/>
      <c r="BX126" s="28"/>
      <c r="BY126" s="459"/>
      <c r="BZ126" s="459"/>
      <c r="CA126" s="459"/>
      <c r="CB126" s="459"/>
      <c r="CC126" s="459"/>
      <c r="CD126" s="459"/>
      <c r="CE126" s="157"/>
      <c r="CF126" s="466"/>
    </row>
    <row r="127" spans="1:84" s="454" customFormat="1">
      <c r="A127" s="157"/>
      <c r="B127" s="511" t="s">
        <v>180</v>
      </c>
      <c r="C127" s="456"/>
      <c r="D127" s="456"/>
      <c r="E127" s="456"/>
      <c r="F127" s="456"/>
      <c r="G127" s="457"/>
      <c r="H127" s="456"/>
      <c r="I127" s="456"/>
      <c r="J127" s="456"/>
      <c r="K127" s="456"/>
      <c r="L127" s="457"/>
      <c r="M127" s="456"/>
      <c r="N127" s="456"/>
      <c r="O127" s="456"/>
      <c r="P127" s="456"/>
      <c r="Q127" s="457"/>
      <c r="R127" s="456"/>
      <c r="S127" s="456"/>
      <c r="T127" s="456"/>
      <c r="U127" s="456"/>
      <c r="V127" s="457"/>
      <c r="W127" s="458"/>
      <c r="X127" s="458"/>
      <c r="Y127" s="458"/>
      <c r="Z127" s="458"/>
      <c r="AA127" s="459"/>
      <c r="AB127" s="458"/>
      <c r="AC127" s="458"/>
      <c r="AD127" s="458"/>
      <c r="AE127" s="458"/>
      <c r="AF127" s="459"/>
      <c r="AG127" s="460"/>
      <c r="AH127" s="458"/>
      <c r="AI127" s="458"/>
      <c r="AJ127" s="460"/>
      <c r="AK127" s="459"/>
      <c r="AL127" s="458"/>
      <c r="AM127" s="460"/>
      <c r="AN127" s="460"/>
      <c r="AO127" s="458"/>
      <c r="AP127" s="459"/>
      <c r="AQ127" s="460"/>
      <c r="AR127" s="458"/>
      <c r="AS127" s="458"/>
      <c r="AT127" s="458"/>
      <c r="AU127" s="459"/>
      <c r="AV127" s="458"/>
      <c r="AW127" s="458"/>
      <c r="AX127" s="458"/>
      <c r="AY127" s="458"/>
      <c r="AZ127" s="459"/>
      <c r="BA127" s="461">
        <f>BA128-BA126</f>
        <v>-0.24126856684062625</v>
      </c>
      <c r="BB127" s="461">
        <f>BB128-BB126</f>
        <v>-0.23207606973058634</v>
      </c>
      <c r="BC127" s="461">
        <f>BC128-BC126</f>
        <v>-0.21889498970487298</v>
      </c>
      <c r="BD127" s="461">
        <f>BD128-BD126</f>
        <v>-0.17007534983853634</v>
      </c>
      <c r="BE127" s="463">
        <f>AVERAGE(BA127:BD127)</f>
        <v>-0.21557874402865548</v>
      </c>
      <c r="BF127" s="517">
        <v>-7.0000000000000007E-2</v>
      </c>
      <c r="BG127" s="516">
        <v>-0.12</v>
      </c>
      <c r="BH127" s="516">
        <v>-7.0000000000000007E-2</v>
      </c>
      <c r="BI127" s="518">
        <v>0</v>
      </c>
      <c r="BJ127" s="519">
        <f>AVERAGE(BF127:BI127)</f>
        <v>-6.5000000000000002E-2</v>
      </c>
      <c r="BK127" s="285"/>
      <c r="BL127" s="285"/>
      <c r="BM127" s="285"/>
      <c r="BN127" s="285"/>
      <c r="BO127" s="332"/>
      <c r="BP127" s="332"/>
      <c r="BQ127" s="332"/>
      <c r="BR127" s="332"/>
      <c r="BS127" s="332"/>
      <c r="BT127" s="332"/>
      <c r="BU127" s="285"/>
      <c r="BV127" s="285"/>
      <c r="BW127" s="285"/>
      <c r="BX127" s="285"/>
      <c r="BY127" s="332"/>
      <c r="BZ127" s="332"/>
      <c r="CA127" s="332"/>
      <c r="CB127" s="332"/>
      <c r="CC127" s="332"/>
      <c r="CD127" s="332"/>
      <c r="CE127" s="157"/>
      <c r="CF127" s="466"/>
    </row>
    <row r="128" spans="1:84" s="529" customFormat="1">
      <c r="A128" s="520"/>
      <c r="B128" s="521" t="s">
        <v>126</v>
      </c>
      <c r="C128" s="522"/>
      <c r="D128" s="522"/>
      <c r="E128" s="522"/>
      <c r="F128" s="522"/>
      <c r="G128" s="523"/>
      <c r="H128" s="522"/>
      <c r="I128" s="522"/>
      <c r="J128" s="522"/>
      <c r="K128" s="522"/>
      <c r="L128" s="523"/>
      <c r="M128" s="522"/>
      <c r="N128" s="522"/>
      <c r="O128" s="522"/>
      <c r="P128" s="522"/>
      <c r="Q128" s="523"/>
      <c r="R128" s="522"/>
      <c r="S128" s="522"/>
      <c r="T128" s="522"/>
      <c r="U128" s="522"/>
      <c r="V128" s="523"/>
      <c r="W128" s="487">
        <f t="shared" ref="W128:BE128" si="73">W125/R125-1</f>
        <v>-6.8901009142887326E-2</v>
      </c>
      <c r="X128" s="487">
        <f t="shared" si="73"/>
        <v>-0.11605194805194818</v>
      </c>
      <c r="Y128" s="487">
        <f t="shared" si="73"/>
        <v>-4.847885233737248E-3</v>
      </c>
      <c r="Z128" s="487">
        <f t="shared" si="73"/>
        <v>0.17051307034882113</v>
      </c>
      <c r="AA128" s="472">
        <f t="shared" si="73"/>
        <v>-7.5521583204627429E-3</v>
      </c>
      <c r="AB128" s="487">
        <f t="shared" si="73"/>
        <v>0.18025921104759735</v>
      </c>
      <c r="AC128" s="487">
        <f t="shared" si="73"/>
        <v>0.19843088857545843</v>
      </c>
      <c r="AD128" s="487">
        <f t="shared" si="73"/>
        <v>4.8864144753193894E-2</v>
      </c>
      <c r="AE128" s="487">
        <f t="shared" si="73"/>
        <v>0.14897968891214397</v>
      </c>
      <c r="AF128" s="472">
        <f t="shared" si="73"/>
        <v>0.14080448400923173</v>
      </c>
      <c r="AG128" s="487">
        <f t="shared" si="73"/>
        <v>0.82442217320418165</v>
      </c>
      <c r="AH128" s="487">
        <f t="shared" si="73"/>
        <v>1.8515385558416084</v>
      </c>
      <c r="AI128" s="487">
        <f t="shared" si="73"/>
        <v>2.176658767772512</v>
      </c>
      <c r="AJ128" s="487">
        <f t="shared" si="73"/>
        <v>1.9876837093769408</v>
      </c>
      <c r="AK128" s="472">
        <f t="shared" si="73"/>
        <v>1.7212418281763902</v>
      </c>
      <c r="AL128" s="487">
        <f t="shared" si="73"/>
        <v>1.0620687842508509</v>
      </c>
      <c r="AM128" s="487">
        <f t="shared" si="73"/>
        <v>0.34752364574376626</v>
      </c>
      <c r="AN128" s="487">
        <f t="shared" si="73"/>
        <v>0.11453507888553216</v>
      </c>
      <c r="AO128" s="487">
        <f t="shared" si="73"/>
        <v>0.3417397027747946</v>
      </c>
      <c r="AP128" s="472">
        <f t="shared" si="73"/>
        <v>0.3948995609442143</v>
      </c>
      <c r="AQ128" s="487">
        <f t="shared" si="73"/>
        <v>0.2119508759854436</v>
      </c>
      <c r="AR128" s="487">
        <f t="shared" si="73"/>
        <v>0.21478205938092221</v>
      </c>
      <c r="AS128" s="487">
        <f t="shared" si="73"/>
        <v>0.43998688164702227</v>
      </c>
      <c r="AT128" s="487">
        <f t="shared" si="73"/>
        <v>0.31537230197252919</v>
      </c>
      <c r="AU128" s="472">
        <f t="shared" si="73"/>
        <v>0.29500757581525661</v>
      </c>
      <c r="AV128" s="487">
        <f t="shared" si="73"/>
        <v>0.30990818548005428</v>
      </c>
      <c r="AW128" s="487">
        <f t="shared" si="73"/>
        <v>0.65723800669198473</v>
      </c>
      <c r="AX128" s="487">
        <f>AX125/AS125-1</f>
        <v>0.35442278999939569</v>
      </c>
      <c r="AY128" s="487">
        <f t="shared" si="73"/>
        <v>9.4078159656113103E-2</v>
      </c>
      <c r="AZ128" s="524">
        <f t="shared" si="73"/>
        <v>0.33427403945086276</v>
      </c>
      <c r="BA128" s="487">
        <f t="shared" si="73"/>
        <v>-0.14853472501003617</v>
      </c>
      <c r="BB128" s="487">
        <f t="shared" si="73"/>
        <v>-0.19207606973058633</v>
      </c>
      <c r="BC128" s="487">
        <f t="shared" si="73"/>
        <v>-0.22889498970487299</v>
      </c>
      <c r="BD128" s="487">
        <f t="shared" si="73"/>
        <v>2.152852529601712E-2</v>
      </c>
      <c r="BE128" s="524">
        <f t="shared" si="73"/>
        <v>-0.13950824006345286</v>
      </c>
      <c r="BF128" s="488">
        <f t="shared" ref="BF128:BI128" si="74">SUM(BF126:BF127)</f>
        <v>0.16</v>
      </c>
      <c r="BG128" s="487">
        <f t="shared" si="74"/>
        <v>0.16000000000000003</v>
      </c>
      <c r="BH128" s="487">
        <f t="shared" si="74"/>
        <v>0.21000000000000002</v>
      </c>
      <c r="BI128" s="525">
        <f t="shared" si="74"/>
        <v>0.12</v>
      </c>
      <c r="BJ128" s="445">
        <f t="shared" ref="BJ128" si="75">BJ125/BE125-1</f>
        <v>0.15984330192544038</v>
      </c>
      <c r="BK128" s="526"/>
      <c r="BL128" s="526"/>
      <c r="BM128" s="526"/>
      <c r="BN128" s="526"/>
      <c r="BO128" s="527">
        <v>0.05</v>
      </c>
      <c r="BP128" s="526"/>
      <c r="BQ128" s="526"/>
      <c r="BR128" s="526"/>
      <c r="BS128" s="526"/>
      <c r="BT128" s="527">
        <v>0.05</v>
      </c>
      <c r="BU128" s="526"/>
      <c r="BV128" s="526"/>
      <c r="BW128" s="526"/>
      <c r="BX128" s="526"/>
      <c r="BY128" s="527">
        <v>0.05</v>
      </c>
      <c r="BZ128" s="526"/>
      <c r="CA128" s="526"/>
      <c r="CB128" s="526"/>
      <c r="CC128" s="526"/>
      <c r="CD128" s="527">
        <v>0.05</v>
      </c>
      <c r="CE128" s="520"/>
      <c r="CF128" s="528"/>
    </row>
    <row r="129" spans="1:84" s="534" customFormat="1">
      <c r="A129" s="533"/>
      <c r="B129" s="503" t="s">
        <v>184</v>
      </c>
      <c r="G129" s="535"/>
      <c r="L129" s="535"/>
      <c r="Q129" s="535"/>
      <c r="R129" s="533"/>
      <c r="S129" s="533"/>
      <c r="T129" s="533"/>
      <c r="U129" s="533"/>
      <c r="V129" s="536"/>
      <c r="W129" s="537"/>
      <c r="X129" s="537"/>
      <c r="Y129" s="537"/>
      <c r="Z129" s="537"/>
      <c r="AA129" s="538"/>
      <c r="AB129" s="275">
        <v>42.057000000000002</v>
      </c>
      <c r="AC129" s="275">
        <v>51.771999999999998</v>
      </c>
      <c r="AD129" s="505">
        <v>51.7</v>
      </c>
      <c r="AE129" s="505">
        <v>69.037999999999997</v>
      </c>
      <c r="AF129" s="41">
        <f>SUM(AB129:AE129)</f>
        <v>214.56700000000001</v>
      </c>
      <c r="AG129" s="504">
        <v>56.383000000000003</v>
      </c>
      <c r="AH129" s="539">
        <v>64.730999999999995</v>
      </c>
      <c r="AI129" s="505">
        <v>67.954999999999998</v>
      </c>
      <c r="AJ129" s="505">
        <v>65.771000000000001</v>
      </c>
      <c r="AK129" s="41">
        <f>SUM(AG129:AJ129)</f>
        <v>254.84000000000003</v>
      </c>
      <c r="AL129" s="275">
        <v>72</v>
      </c>
      <c r="AM129" s="275">
        <v>73.400000000000006</v>
      </c>
      <c r="AN129" s="275">
        <v>80.599999999999994</v>
      </c>
      <c r="AO129" s="275">
        <v>95.1</v>
      </c>
      <c r="AP129" s="41">
        <f>SUM(AL129:AO129)</f>
        <v>321.10000000000002</v>
      </c>
      <c r="AQ129" s="540">
        <v>81.709000000000003</v>
      </c>
      <c r="AR129" s="275">
        <v>89.141999999999996</v>
      </c>
      <c r="AS129" s="540">
        <v>100.495</v>
      </c>
      <c r="AT129" s="275">
        <v>121.42100000000001</v>
      </c>
      <c r="AU129" s="41">
        <f>SUM(AQ129:AT129)</f>
        <v>392.767</v>
      </c>
      <c r="AV129" s="540">
        <v>99.3</v>
      </c>
      <c r="AW129" s="275">
        <v>109.8</v>
      </c>
      <c r="AX129" s="275">
        <f>113.6</f>
        <v>113.6</v>
      </c>
      <c r="AY129" s="275">
        <v>112.7</v>
      </c>
      <c r="AZ129" s="41">
        <f>SUM(AV129:AY129)</f>
        <v>435.4</v>
      </c>
      <c r="BA129" s="540">
        <v>89</v>
      </c>
      <c r="BB129" s="275">
        <v>94.3</v>
      </c>
      <c r="BC129" s="540">
        <v>92.6</v>
      </c>
      <c r="BD129" s="540">
        <v>100.4</v>
      </c>
      <c r="BE129" s="41">
        <f>SUM(BA129:BD129)</f>
        <v>376.29999999999995</v>
      </c>
      <c r="BF129" s="541">
        <f t="shared" ref="BF129:BI129" si="76">BA129*(1+BF132)</f>
        <v>73.86999999999999</v>
      </c>
      <c r="BG129" s="542">
        <f t="shared" si="76"/>
        <v>86.756</v>
      </c>
      <c r="BH129" s="542">
        <f t="shared" si="76"/>
        <v>93.525999999999996</v>
      </c>
      <c r="BI129" s="543">
        <f t="shared" si="76"/>
        <v>105.42000000000002</v>
      </c>
      <c r="BJ129" s="544">
        <f>SUM(BF129:BI129)</f>
        <v>359.572</v>
      </c>
      <c r="BK129" s="545"/>
      <c r="BL129" s="545"/>
      <c r="BM129" s="545"/>
      <c r="BN129" s="545"/>
      <c r="BO129" s="546">
        <f>BJ129*(1+BO132)</f>
        <v>377.55060000000003</v>
      </c>
      <c r="BP129" s="545"/>
      <c r="BQ129" s="545"/>
      <c r="BR129" s="545"/>
      <c r="BS129" s="545"/>
      <c r="BT129" s="546">
        <f>BO129*(1+BT132)</f>
        <v>396.42813000000007</v>
      </c>
      <c r="BU129" s="545"/>
      <c r="BV129" s="545"/>
      <c r="BW129" s="545"/>
      <c r="BX129" s="545"/>
      <c r="BY129" s="546">
        <f>BT129*(1+BY132)</f>
        <v>416.24953650000009</v>
      </c>
      <c r="BZ129" s="545"/>
      <c r="CA129" s="545"/>
      <c r="CB129" s="545"/>
      <c r="CC129" s="545"/>
      <c r="CD129" s="546">
        <f>BY129*(1+CD132)</f>
        <v>437.06201332500012</v>
      </c>
      <c r="CE129" s="533"/>
      <c r="CF129" s="547"/>
    </row>
    <row r="130" spans="1:84" s="454" customFormat="1">
      <c r="A130" s="157"/>
      <c r="B130" s="511" t="s">
        <v>179</v>
      </c>
      <c r="C130" s="456"/>
      <c r="D130" s="456"/>
      <c r="E130" s="456"/>
      <c r="F130" s="456"/>
      <c r="G130" s="457"/>
      <c r="H130" s="456"/>
      <c r="I130" s="456"/>
      <c r="J130" s="456"/>
      <c r="K130" s="456"/>
      <c r="L130" s="457"/>
      <c r="M130" s="456"/>
      <c r="N130" s="456"/>
      <c r="O130" s="456"/>
      <c r="P130" s="456"/>
      <c r="Q130" s="457"/>
      <c r="R130" s="456"/>
      <c r="S130" s="456"/>
      <c r="T130" s="456"/>
      <c r="U130" s="456"/>
      <c r="V130" s="457"/>
      <c r="W130" s="458"/>
      <c r="X130" s="458"/>
      <c r="Y130" s="458"/>
      <c r="Z130" s="458"/>
      <c r="AA130" s="459"/>
      <c r="AB130" s="324"/>
      <c r="AC130" s="324"/>
      <c r="AD130" s="324"/>
      <c r="AE130" s="324"/>
      <c r="AF130" s="372"/>
      <c r="AK130" s="459"/>
      <c r="AP130" s="459"/>
      <c r="AQ130" s="324"/>
      <c r="AR130" s="324"/>
      <c r="AS130" s="461"/>
      <c r="AT130" s="512"/>
      <c r="AU130" s="372"/>
      <c r="AV130" s="324"/>
      <c r="AW130" s="324"/>
      <c r="AX130" s="324"/>
      <c r="AY130" s="324">
        <v>0.03</v>
      </c>
      <c r="AZ130" s="459"/>
      <c r="BA130" s="461">
        <f>103/AV129-1</f>
        <v>3.7260825780463191E-2</v>
      </c>
      <c r="BB130" s="461">
        <v>0.05</v>
      </c>
      <c r="BC130" s="461">
        <v>0.08</v>
      </c>
      <c r="BD130" s="461">
        <f>129.3/AY129-1</f>
        <v>0.14729370008873133</v>
      </c>
      <c r="BE130" s="463">
        <f>BE132-BE131</f>
        <v>7.7623953697838838E-2</v>
      </c>
      <c r="BF130" s="517">
        <v>0.03</v>
      </c>
      <c r="BG130" s="516">
        <v>0.08</v>
      </c>
      <c r="BH130" s="516">
        <v>0.08</v>
      </c>
      <c r="BI130" s="518">
        <v>0.05</v>
      </c>
      <c r="BJ130" s="463">
        <f>BJ132-BJ131</f>
        <v>6.3046106829657347E-2</v>
      </c>
      <c r="BK130" s="285"/>
      <c r="BL130" s="285"/>
      <c r="BM130" s="285"/>
      <c r="BN130" s="285"/>
      <c r="BO130" s="332"/>
      <c r="BP130" s="332"/>
      <c r="BQ130" s="332"/>
      <c r="BR130" s="332"/>
      <c r="BS130" s="332"/>
      <c r="BT130" s="332"/>
      <c r="BU130" s="285"/>
      <c r="BV130" s="285"/>
      <c r="BW130" s="285"/>
      <c r="BX130" s="285"/>
      <c r="BY130" s="332"/>
      <c r="BZ130" s="332"/>
      <c r="CA130" s="332"/>
      <c r="CB130" s="332"/>
      <c r="CC130" s="332"/>
      <c r="CD130" s="332"/>
      <c r="CE130" s="157"/>
      <c r="CF130" s="466"/>
    </row>
    <row r="131" spans="1:84" s="454" customFormat="1">
      <c r="A131" s="157"/>
      <c r="B131" s="511" t="s">
        <v>180</v>
      </c>
      <c r="C131" s="456"/>
      <c r="D131" s="456"/>
      <c r="E131" s="456"/>
      <c r="F131" s="456"/>
      <c r="G131" s="457"/>
      <c r="H131" s="456"/>
      <c r="I131" s="456"/>
      <c r="J131" s="456"/>
      <c r="K131" s="456"/>
      <c r="L131" s="457"/>
      <c r="M131" s="456"/>
      <c r="N131" s="456"/>
      <c r="O131" s="456"/>
      <c r="P131" s="456"/>
      <c r="Q131" s="457"/>
      <c r="R131" s="456"/>
      <c r="S131" s="456"/>
      <c r="T131" s="456"/>
      <c r="U131" s="456"/>
      <c r="V131" s="457"/>
      <c r="W131" s="458"/>
      <c r="X131" s="458"/>
      <c r="Y131" s="458"/>
      <c r="Z131" s="458"/>
      <c r="AA131" s="459"/>
      <c r="AB131" s="458"/>
      <c r="AC131" s="458"/>
      <c r="AD131" s="458"/>
      <c r="AE131" s="458"/>
      <c r="AF131" s="459"/>
      <c r="AG131" s="460"/>
      <c r="AH131" s="458"/>
      <c r="AI131" s="458"/>
      <c r="AJ131" s="460"/>
      <c r="AK131" s="459"/>
      <c r="AL131" s="458"/>
      <c r="AM131" s="460"/>
      <c r="AN131" s="460"/>
      <c r="AO131" s="458"/>
      <c r="AP131" s="459"/>
      <c r="AQ131" s="460"/>
      <c r="AR131" s="458"/>
      <c r="AS131" s="458"/>
      <c r="AT131" s="458"/>
      <c r="AU131" s="459"/>
      <c r="AV131" s="458"/>
      <c r="AW131" s="458"/>
      <c r="AX131" s="458"/>
      <c r="AY131" s="324">
        <f>AY132-AY130</f>
        <v>-0.10182447846748097</v>
      </c>
      <c r="AZ131" s="459"/>
      <c r="BA131" s="461">
        <f>BA132-BA130</f>
        <v>-0.14098690835850947</v>
      </c>
      <c r="BB131" s="461">
        <f>BB132-BB130</f>
        <v>-0.19116575591985424</v>
      </c>
      <c r="BC131" s="461">
        <f>BC132-BC130</f>
        <v>-0.26485915492957751</v>
      </c>
      <c r="BD131" s="461">
        <f>BD132-BD130</f>
        <v>-0.25643300798580315</v>
      </c>
      <c r="BE131" s="463">
        <f>AVERAGE(BA131:BD131)</f>
        <v>-0.21336120679843609</v>
      </c>
      <c r="BF131" s="517">
        <v>-0.2</v>
      </c>
      <c r="BG131" s="516">
        <v>-0.16</v>
      </c>
      <c r="BH131" s="516">
        <v>-7.0000000000000007E-2</v>
      </c>
      <c r="BI131" s="518">
        <v>0</v>
      </c>
      <c r="BJ131" s="463">
        <f>AVERAGE(BF131:BI131)</f>
        <v>-0.1075</v>
      </c>
      <c r="BK131" s="285"/>
      <c r="BL131" s="285"/>
      <c r="BM131" s="285"/>
      <c r="BN131" s="285"/>
      <c r="BO131" s="332"/>
      <c r="BP131" s="332"/>
      <c r="BQ131" s="332"/>
      <c r="BR131" s="332"/>
      <c r="BS131" s="332"/>
      <c r="BT131" s="332"/>
      <c r="BU131" s="285"/>
      <c r="BV131" s="285"/>
      <c r="BW131" s="285"/>
      <c r="BX131" s="285"/>
      <c r="BY131" s="332"/>
      <c r="BZ131" s="332"/>
      <c r="CA131" s="332"/>
      <c r="CB131" s="332"/>
      <c r="CC131" s="332"/>
      <c r="CD131" s="332"/>
      <c r="CE131" s="157"/>
      <c r="CF131" s="466"/>
    </row>
    <row r="132" spans="1:84" s="529" customFormat="1">
      <c r="A132" s="520"/>
      <c r="B132" s="521" t="s">
        <v>126</v>
      </c>
      <c r="C132" s="522"/>
      <c r="D132" s="522"/>
      <c r="E132" s="522"/>
      <c r="F132" s="522"/>
      <c r="G132" s="523"/>
      <c r="H132" s="522"/>
      <c r="I132" s="522"/>
      <c r="J132" s="522"/>
      <c r="K132" s="522"/>
      <c r="L132" s="523"/>
      <c r="M132" s="522"/>
      <c r="N132" s="522"/>
      <c r="O132" s="522"/>
      <c r="P132" s="522"/>
      <c r="Q132" s="523"/>
      <c r="R132" s="485"/>
      <c r="S132" s="485"/>
      <c r="T132" s="485"/>
      <c r="U132" s="485"/>
      <c r="V132" s="486"/>
      <c r="W132" s="487"/>
      <c r="X132" s="487"/>
      <c r="Y132" s="487"/>
      <c r="Z132" s="487"/>
      <c r="AA132" s="472"/>
      <c r="AB132" s="487"/>
      <c r="AC132" s="487"/>
      <c r="AD132" s="487"/>
      <c r="AE132" s="487"/>
      <c r="AF132" s="472"/>
      <c r="AG132" s="487">
        <f t="shared" ref="AG132:BE132" si="77">AG129/AB129-1</f>
        <v>0.34063295051953291</v>
      </c>
      <c r="AH132" s="487">
        <f t="shared" si="77"/>
        <v>0.25030904736150816</v>
      </c>
      <c r="AI132" s="487">
        <f t="shared" si="77"/>
        <v>0.31441005802707922</v>
      </c>
      <c r="AJ132" s="487">
        <f t="shared" si="77"/>
        <v>-4.73217648251687E-2</v>
      </c>
      <c r="AK132" s="472">
        <f t="shared" si="77"/>
        <v>0.18769428663307974</v>
      </c>
      <c r="AL132" s="487">
        <f t="shared" si="77"/>
        <v>0.27698065019598106</v>
      </c>
      <c r="AM132" s="487">
        <f t="shared" si="77"/>
        <v>0.13392346789019194</v>
      </c>
      <c r="AN132" s="487">
        <f t="shared" si="77"/>
        <v>0.18607902288278999</v>
      </c>
      <c r="AO132" s="487">
        <f t="shared" si="77"/>
        <v>0.4459260160252998</v>
      </c>
      <c r="AP132" s="472">
        <f t="shared" si="77"/>
        <v>0.26000627844922297</v>
      </c>
      <c r="AQ132" s="487">
        <f t="shared" si="77"/>
        <v>0.13484722222222234</v>
      </c>
      <c r="AR132" s="487">
        <f t="shared" si="77"/>
        <v>0.21446866485013616</v>
      </c>
      <c r="AS132" s="487">
        <f t="shared" si="77"/>
        <v>0.24683622828784135</v>
      </c>
      <c r="AT132" s="487">
        <f t="shared" si="77"/>
        <v>0.27677181913774995</v>
      </c>
      <c r="AU132" s="472">
        <f t="shared" si="77"/>
        <v>0.22319215197757702</v>
      </c>
      <c r="AV132" s="485">
        <f t="shared" si="77"/>
        <v>0.21528840152247608</v>
      </c>
      <c r="AW132" s="485">
        <f t="shared" si="77"/>
        <v>0.23174261290973952</v>
      </c>
      <c r="AX132" s="487">
        <f t="shared" si="77"/>
        <v>0.13040449773620577</v>
      </c>
      <c r="AY132" s="487">
        <f t="shared" si="77"/>
        <v>-7.1824478467480968E-2</v>
      </c>
      <c r="AZ132" s="472">
        <f t="shared" si="77"/>
        <v>0.10854526984191648</v>
      </c>
      <c r="BA132" s="485">
        <f t="shared" si="77"/>
        <v>-0.10372608257804627</v>
      </c>
      <c r="BB132" s="485">
        <f t="shared" si="77"/>
        <v>-0.14116575591985425</v>
      </c>
      <c r="BC132" s="485">
        <f t="shared" si="77"/>
        <v>-0.1848591549295775</v>
      </c>
      <c r="BD132" s="485">
        <f t="shared" si="77"/>
        <v>-0.10913930789707182</v>
      </c>
      <c r="BE132" s="472">
        <f t="shared" si="77"/>
        <v>-0.13573725310059725</v>
      </c>
      <c r="BF132" s="488">
        <f t="shared" ref="BF132:BI132" si="78">SUM(BF130:BF131)</f>
        <v>-0.17</v>
      </c>
      <c r="BG132" s="487">
        <f t="shared" si="78"/>
        <v>-0.08</v>
      </c>
      <c r="BH132" s="487">
        <f t="shared" si="78"/>
        <v>9.999999999999995E-3</v>
      </c>
      <c r="BI132" s="525">
        <f t="shared" si="78"/>
        <v>0.05</v>
      </c>
      <c r="BJ132" s="472">
        <f t="shared" ref="BJ132" si="79">BJ129/BE129-1</f>
        <v>-4.4453893170342651E-2</v>
      </c>
      <c r="BK132" s="526"/>
      <c r="BL132" s="526"/>
      <c r="BM132" s="526"/>
      <c r="BN132" s="526"/>
      <c r="BO132" s="527">
        <v>0.05</v>
      </c>
      <c r="BP132" s="526"/>
      <c r="BQ132" s="526"/>
      <c r="BR132" s="526"/>
      <c r="BS132" s="526"/>
      <c r="BT132" s="527">
        <v>0.05</v>
      </c>
      <c r="BU132" s="526"/>
      <c r="BV132" s="526"/>
      <c r="BW132" s="526"/>
      <c r="BX132" s="526"/>
      <c r="BY132" s="527">
        <v>0.05</v>
      </c>
      <c r="BZ132" s="526"/>
      <c r="CA132" s="526"/>
      <c r="CB132" s="526"/>
      <c r="CC132" s="526"/>
      <c r="CD132" s="527">
        <v>0.05</v>
      </c>
      <c r="CE132" s="520"/>
      <c r="CF132" s="528"/>
    </row>
    <row r="133" spans="1:84" s="534" customFormat="1">
      <c r="A133" s="533"/>
      <c r="B133" s="503" t="s">
        <v>185</v>
      </c>
      <c r="G133" s="535"/>
      <c r="L133" s="535"/>
      <c r="Q133" s="535"/>
      <c r="R133" s="533"/>
      <c r="S133" s="533"/>
      <c r="T133" s="533"/>
      <c r="U133" s="533"/>
      <c r="V133" s="536"/>
      <c r="W133" s="537"/>
      <c r="X133" s="537"/>
      <c r="Y133" s="537"/>
      <c r="Z133" s="537"/>
      <c r="AA133" s="538"/>
      <c r="AB133" s="537"/>
      <c r="AC133" s="537"/>
      <c r="AD133" s="537"/>
      <c r="AE133" s="537"/>
      <c r="AF133" s="538"/>
      <c r="AG133" s="537"/>
      <c r="AH133" s="537"/>
      <c r="AI133" s="537"/>
      <c r="AJ133" s="548"/>
      <c r="AK133" s="538"/>
      <c r="AL133" s="507">
        <f>18.7-4</f>
        <v>14.7</v>
      </c>
      <c r="AM133" s="507">
        <f>24.6-4</f>
        <v>20.6</v>
      </c>
      <c r="AN133" s="507">
        <f>23.7-4</f>
        <v>19.7</v>
      </c>
      <c r="AO133" s="507">
        <f>21.6-4</f>
        <v>17.600000000000001</v>
      </c>
      <c r="AP133" s="41">
        <f>SUM(AL133:AO133)</f>
        <v>72.599999999999994</v>
      </c>
      <c r="AQ133" s="507">
        <f>29.336-4</f>
        <v>25.335999999999999</v>
      </c>
      <c r="AR133" s="507">
        <f>28.418-4</f>
        <v>24.417999999999999</v>
      </c>
      <c r="AS133" s="507">
        <f>93.377-10</f>
        <v>83.376999999999995</v>
      </c>
      <c r="AT133" s="507">
        <f>127.219-10</f>
        <v>117.21899999999999</v>
      </c>
      <c r="AU133" s="41">
        <f>SUM(AQ133:AT133)</f>
        <v>250.35</v>
      </c>
      <c r="AV133" s="507">
        <f>128-12</f>
        <v>116</v>
      </c>
      <c r="AW133" s="275">
        <v>136.1</v>
      </c>
      <c r="AX133" s="507">
        <f>155.3-12</f>
        <v>143.30000000000001</v>
      </c>
      <c r="AY133" s="507">
        <f>142.9-12</f>
        <v>130.9</v>
      </c>
      <c r="AZ133" s="41">
        <f>SUM(AV133:AY133)</f>
        <v>526.29999999999995</v>
      </c>
      <c r="BA133" s="540">
        <v>125.4</v>
      </c>
      <c r="BB133" s="275">
        <v>145.6</v>
      </c>
      <c r="BC133" s="275">
        <v>148.80000000000001</v>
      </c>
      <c r="BD133" s="275">
        <v>141.4</v>
      </c>
      <c r="BE133" s="41">
        <f>SUM(BA133:BD133)</f>
        <v>561.20000000000005</v>
      </c>
      <c r="BF133" s="508">
        <f t="shared" ref="BF133:BI133" si="80">BA133*(1+BF136)</f>
        <v>129.16200000000001</v>
      </c>
      <c r="BG133" s="460">
        <f t="shared" si="80"/>
        <v>152.88</v>
      </c>
      <c r="BH133" s="460">
        <f t="shared" si="80"/>
        <v>160.70400000000004</v>
      </c>
      <c r="BI133" s="509">
        <f t="shared" si="80"/>
        <v>155.54000000000002</v>
      </c>
      <c r="BJ133" s="544">
        <f>SUM(BF133:BI133)</f>
        <v>598.28600000000006</v>
      </c>
      <c r="BK133" s="545"/>
      <c r="BL133" s="545"/>
      <c r="BM133" s="545"/>
      <c r="BN133" s="545"/>
      <c r="BO133" s="546">
        <f>BJ133*(1+BO136)</f>
        <v>646.14888000000008</v>
      </c>
      <c r="BP133" s="545"/>
      <c r="BQ133" s="545"/>
      <c r="BR133" s="545"/>
      <c r="BS133" s="545"/>
      <c r="BT133" s="546">
        <f>BO133*(1+BT136)</f>
        <v>697.84079040000017</v>
      </c>
      <c r="BU133" s="545"/>
      <c r="BV133" s="545"/>
      <c r="BW133" s="545"/>
      <c r="BX133" s="545"/>
      <c r="BY133" s="546">
        <f>BT133*(1+BY136)</f>
        <v>746.68964572800019</v>
      </c>
      <c r="BZ133" s="545"/>
      <c r="CA133" s="545"/>
      <c r="CB133" s="545"/>
      <c r="CC133" s="545"/>
      <c r="CD133" s="546">
        <f>BY133*(1+CD136)</f>
        <v>798.95792092896022</v>
      </c>
      <c r="CE133" s="533"/>
      <c r="CF133" s="547"/>
    </row>
    <row r="134" spans="1:84" s="454" customFormat="1">
      <c r="A134" s="157"/>
      <c r="B134" s="511" t="s">
        <v>179</v>
      </c>
      <c r="C134" s="456"/>
      <c r="D134" s="456"/>
      <c r="E134" s="456"/>
      <c r="F134" s="456"/>
      <c r="G134" s="457"/>
      <c r="H134" s="456"/>
      <c r="I134" s="456"/>
      <c r="J134" s="456"/>
      <c r="K134" s="456"/>
      <c r="L134" s="457"/>
      <c r="M134" s="456"/>
      <c r="N134" s="456"/>
      <c r="O134" s="456"/>
      <c r="P134" s="456"/>
      <c r="Q134" s="457"/>
      <c r="R134" s="456"/>
      <c r="S134" s="456"/>
      <c r="T134" s="456"/>
      <c r="U134" s="456"/>
      <c r="V134" s="457"/>
      <c r="W134" s="458"/>
      <c r="X134" s="458"/>
      <c r="Y134" s="458"/>
      <c r="Z134" s="458"/>
      <c r="AA134" s="459"/>
      <c r="AB134" s="458"/>
      <c r="AC134" s="458"/>
      <c r="AD134" s="458"/>
      <c r="AE134" s="458"/>
      <c r="AF134" s="459"/>
      <c r="AG134" s="460"/>
      <c r="AH134" s="458"/>
      <c r="AI134" s="458"/>
      <c r="AJ134" s="460"/>
      <c r="AK134" s="459"/>
      <c r="AL134" s="458"/>
      <c r="AM134" s="460"/>
      <c r="AN134" s="460"/>
      <c r="AO134" s="458"/>
      <c r="AP134" s="459"/>
      <c r="AQ134" s="460"/>
      <c r="AR134" s="458"/>
      <c r="AS134" s="458"/>
      <c r="AT134" s="458"/>
      <c r="AU134" s="459"/>
      <c r="AV134" s="458"/>
      <c r="AW134" s="458"/>
      <c r="AX134" s="458"/>
      <c r="AY134" s="461">
        <v>0.15</v>
      </c>
      <c r="AZ134" s="459"/>
      <c r="BA134" s="461">
        <f>128.9/AV133-1</f>
        <v>0.11120689655172411</v>
      </c>
      <c r="BB134" s="461">
        <v>0.1</v>
      </c>
      <c r="BC134" s="461">
        <v>0.12</v>
      </c>
      <c r="BD134" s="461">
        <f>149.1/AY133-1</f>
        <v>0.1390374331550801</v>
      </c>
      <c r="BE134" s="463">
        <f>BE136-BE135</f>
        <v>0.11651531633587864</v>
      </c>
      <c r="BF134" s="517">
        <v>0.08</v>
      </c>
      <c r="BG134" s="516">
        <v>0.1</v>
      </c>
      <c r="BH134" s="516">
        <v>0.1</v>
      </c>
      <c r="BI134" s="518">
        <v>0.1</v>
      </c>
      <c r="BJ134" s="463">
        <f>BJ136-BJ135</f>
        <v>9.608339272986452E-2</v>
      </c>
      <c r="BK134" s="285"/>
      <c r="BL134" s="285"/>
      <c r="BM134" s="285"/>
      <c r="BN134" s="285"/>
      <c r="BO134" s="332"/>
      <c r="BP134" s="332"/>
      <c r="BQ134" s="332"/>
      <c r="BR134" s="332"/>
      <c r="BS134" s="332"/>
      <c r="BT134" s="332"/>
      <c r="BU134" s="285"/>
      <c r="BV134" s="285"/>
      <c r="BW134" s="285"/>
      <c r="BX134" s="285"/>
      <c r="BY134" s="332"/>
      <c r="BZ134" s="332"/>
      <c r="CA134" s="332"/>
      <c r="CB134" s="332"/>
      <c r="CC134" s="332"/>
      <c r="CD134" s="332"/>
      <c r="CE134" s="157"/>
      <c r="CF134" s="466"/>
    </row>
    <row r="135" spans="1:84" s="454" customFormat="1">
      <c r="A135" s="157"/>
      <c r="B135" s="511" t="s">
        <v>180</v>
      </c>
      <c r="C135" s="456"/>
      <c r="D135" s="456"/>
      <c r="E135" s="456"/>
      <c r="F135" s="456"/>
      <c r="G135" s="457"/>
      <c r="H135" s="456"/>
      <c r="I135" s="456"/>
      <c r="J135" s="456"/>
      <c r="K135" s="456"/>
      <c r="L135" s="457"/>
      <c r="M135" s="456"/>
      <c r="N135" s="456"/>
      <c r="O135" s="456"/>
      <c r="P135" s="456"/>
      <c r="Q135" s="457"/>
      <c r="R135" s="456"/>
      <c r="S135" s="456"/>
      <c r="T135" s="456"/>
      <c r="U135" s="456"/>
      <c r="V135" s="457"/>
      <c r="W135" s="458"/>
      <c r="X135" s="458"/>
      <c r="Y135" s="458"/>
      <c r="Z135" s="458"/>
      <c r="AA135" s="459"/>
      <c r="AB135" s="458"/>
      <c r="AC135" s="458"/>
      <c r="AD135" s="458"/>
      <c r="AE135" s="458"/>
      <c r="AF135" s="459"/>
      <c r="AG135" s="460"/>
      <c r="AH135" s="458"/>
      <c r="AI135" s="458"/>
      <c r="AJ135" s="460"/>
      <c r="AK135" s="459"/>
      <c r="AL135" s="458"/>
      <c r="AM135" s="460"/>
      <c r="AN135" s="460"/>
      <c r="AO135" s="458"/>
      <c r="AP135" s="459"/>
      <c r="AQ135" s="460"/>
      <c r="AR135" s="458"/>
      <c r="AS135" s="458"/>
      <c r="AT135" s="458"/>
      <c r="AU135" s="459"/>
      <c r="AV135" s="458"/>
      <c r="AW135" s="458"/>
      <c r="AX135" s="458"/>
      <c r="AY135" s="461">
        <f>AY136-AY134</f>
        <v>-3.328683916429917E-2</v>
      </c>
      <c r="AZ135" s="459"/>
      <c r="BA135" s="461">
        <f>BA136-BA134</f>
        <v>-3.0172413793103425E-2</v>
      </c>
      <c r="BB135" s="461">
        <f>BB136-BB134</f>
        <v>-3.0198383541513524E-2</v>
      </c>
      <c r="BC135" s="461">
        <f>BC136-BC134</f>
        <v>-8.1618981158408821E-2</v>
      </c>
      <c r="BD135" s="461">
        <f>BD136-BD134</f>
        <v>-5.8823529411764497E-2</v>
      </c>
      <c r="BE135" s="463">
        <f>AVERAGE(BA135:BD135)</f>
        <v>-5.0203326976197567E-2</v>
      </c>
      <c r="BF135" s="517">
        <v>-0.05</v>
      </c>
      <c r="BG135" s="516">
        <v>-0.05</v>
      </c>
      <c r="BH135" s="516">
        <v>-0.02</v>
      </c>
      <c r="BI135" s="518">
        <v>0</v>
      </c>
      <c r="BJ135" s="463">
        <f>AVERAGE(BF135:BI135)</f>
        <v>-3.0000000000000002E-2</v>
      </c>
      <c r="BK135" s="285"/>
      <c r="BL135" s="285"/>
      <c r="BM135" s="285"/>
      <c r="BN135" s="285"/>
      <c r="BO135" s="332"/>
      <c r="BP135" s="332"/>
      <c r="BQ135" s="332"/>
      <c r="BR135" s="332"/>
      <c r="BS135" s="332"/>
      <c r="BT135" s="332"/>
      <c r="BU135" s="285"/>
      <c r="BV135" s="285"/>
      <c r="BW135" s="285"/>
      <c r="BX135" s="285"/>
      <c r="BY135" s="332"/>
      <c r="BZ135" s="332"/>
      <c r="CA135" s="332"/>
      <c r="CB135" s="332"/>
      <c r="CC135" s="332"/>
      <c r="CD135" s="332"/>
      <c r="CE135" s="157"/>
      <c r="CF135" s="466"/>
    </row>
    <row r="136" spans="1:84" s="529" customFormat="1">
      <c r="A136" s="520"/>
      <c r="B136" s="455" t="s">
        <v>126</v>
      </c>
      <c r="G136" s="549"/>
      <c r="L136" s="549"/>
      <c r="Q136" s="549"/>
      <c r="R136" s="520"/>
      <c r="S136" s="520"/>
      <c r="T136" s="520"/>
      <c r="U136" s="520"/>
      <c r="V136" s="550"/>
      <c r="W136" s="324"/>
      <c r="X136" s="324"/>
      <c r="Y136" s="324"/>
      <c r="Z136" s="324"/>
      <c r="AA136" s="372"/>
      <c r="AB136" s="324"/>
      <c r="AC136" s="324"/>
      <c r="AD136" s="324"/>
      <c r="AE136" s="324"/>
      <c r="AF136" s="372"/>
      <c r="AG136" s="324"/>
      <c r="AH136" s="324"/>
      <c r="AI136" s="324"/>
      <c r="AJ136" s="373"/>
      <c r="AK136" s="372"/>
      <c r="AM136" s="324"/>
      <c r="AN136" s="373"/>
      <c r="AO136" s="373"/>
      <c r="AP136" s="372"/>
      <c r="AQ136" s="324">
        <f t="shared" ref="AQ136:BE136" si="81">AQ133/AL133-1</f>
        <v>0.72353741496598634</v>
      </c>
      <c r="AR136" s="324">
        <f t="shared" si="81"/>
        <v>0.18533980582524268</v>
      </c>
      <c r="AS136" s="324">
        <f t="shared" si="81"/>
        <v>3.2323350253807108</v>
      </c>
      <c r="AT136" s="324">
        <f t="shared" si="81"/>
        <v>5.6601704545454536</v>
      </c>
      <c r="AU136" s="372">
        <f t="shared" si="81"/>
        <v>2.4483471074380168</v>
      </c>
      <c r="AV136" s="520">
        <f t="shared" si="81"/>
        <v>3.5784654246921379</v>
      </c>
      <c r="AW136" s="520">
        <f t="shared" si="81"/>
        <v>4.5737570644606436</v>
      </c>
      <c r="AX136" s="324">
        <f t="shared" si="81"/>
        <v>0.71869940151360701</v>
      </c>
      <c r="AY136" s="324">
        <f t="shared" si="81"/>
        <v>0.11671316083570082</v>
      </c>
      <c r="AZ136" s="372">
        <f t="shared" si="81"/>
        <v>1.102256840423407</v>
      </c>
      <c r="BA136" s="520">
        <f t="shared" si="81"/>
        <v>8.1034482758620685E-2</v>
      </c>
      <c r="BB136" s="520">
        <f t="shared" si="81"/>
        <v>6.9801616458486482E-2</v>
      </c>
      <c r="BC136" s="520">
        <f t="shared" si="81"/>
        <v>3.8381018841591175E-2</v>
      </c>
      <c r="BD136" s="520">
        <f t="shared" si="81"/>
        <v>8.0213903743315607E-2</v>
      </c>
      <c r="BE136" s="372">
        <f t="shared" si="81"/>
        <v>6.6311989359681078E-2</v>
      </c>
      <c r="BF136" s="488">
        <f t="shared" ref="BF136:BI136" si="82">SUM(BF134:BF135)</f>
        <v>0.03</v>
      </c>
      <c r="BG136" s="487">
        <f t="shared" si="82"/>
        <v>0.05</v>
      </c>
      <c r="BH136" s="487">
        <f t="shared" si="82"/>
        <v>0.08</v>
      </c>
      <c r="BI136" s="525">
        <f t="shared" si="82"/>
        <v>0.1</v>
      </c>
      <c r="BJ136" s="372">
        <f t="shared" ref="BJ136" si="83">BJ133/BE133-1</f>
        <v>6.6083392729864521E-2</v>
      </c>
      <c r="BK136" s="551"/>
      <c r="BL136" s="551"/>
      <c r="BM136" s="551"/>
      <c r="BN136" s="551"/>
      <c r="BO136" s="552">
        <v>0.08</v>
      </c>
      <c r="BP136" s="551"/>
      <c r="BQ136" s="551"/>
      <c r="BR136" s="551"/>
      <c r="BS136" s="551"/>
      <c r="BT136" s="552">
        <v>0.08</v>
      </c>
      <c r="BU136" s="551"/>
      <c r="BV136" s="551"/>
      <c r="BW136" s="551"/>
      <c r="BX136" s="551"/>
      <c r="BY136" s="552">
        <v>7.0000000000000007E-2</v>
      </c>
      <c r="BZ136" s="551"/>
      <c r="CA136" s="551"/>
      <c r="CB136" s="551"/>
      <c r="CC136" s="551"/>
      <c r="CD136" s="552">
        <v>7.0000000000000007E-2</v>
      </c>
      <c r="CE136" s="520"/>
      <c r="CF136" s="528"/>
    </row>
    <row r="137" spans="1:84" s="454" customFormat="1">
      <c r="A137" s="157"/>
      <c r="B137" s="553" t="s">
        <v>0</v>
      </c>
      <c r="C137" s="452" t="e">
        <f>#REF!+C125+#REF!</f>
        <v>#REF!</v>
      </c>
      <c r="D137" s="452" t="e">
        <f>#REF!+D125+#REF!</f>
        <v>#REF!</v>
      </c>
      <c r="E137" s="452" t="e">
        <f>#REF!+E125+#REF!</f>
        <v>#REF!</v>
      </c>
      <c r="F137" s="452" t="e">
        <f>#REF!+F125+#REF!</f>
        <v>#REF!</v>
      </c>
      <c r="G137" s="482" t="e">
        <f>SUM(C137:F137)</f>
        <v>#REF!</v>
      </c>
      <c r="H137" s="452" t="e">
        <f>#REF!+H125+#REF!</f>
        <v>#REF!</v>
      </c>
      <c r="I137" s="452" t="e">
        <f>#REF!+I125+#REF!</f>
        <v>#REF!</v>
      </c>
      <c r="J137" s="452" t="e">
        <f>#REF!+J125+#REF!</f>
        <v>#REF!</v>
      </c>
      <c r="K137" s="452" t="e">
        <f>#REF!+K125+#REF!</f>
        <v>#REF!</v>
      </c>
      <c r="L137" s="482" t="e">
        <f>SUM(H137:K137)</f>
        <v>#REF!</v>
      </c>
      <c r="M137" s="452" t="e">
        <f>#REF!+M125</f>
        <v>#REF!</v>
      </c>
      <c r="N137" s="452" t="e">
        <f>#REF!+N125</f>
        <v>#REF!</v>
      </c>
      <c r="O137" s="452" t="e">
        <f>#REF!+O125</f>
        <v>#REF!</v>
      </c>
      <c r="P137" s="452" t="e">
        <f>#REF!+P125</f>
        <v>#REF!</v>
      </c>
      <c r="Q137" s="482" t="e">
        <f>#REF!+Q125</f>
        <v>#REF!</v>
      </c>
      <c r="R137" s="452" t="e">
        <f>#REF!+R125</f>
        <v>#REF!</v>
      </c>
      <c r="S137" s="452" t="e">
        <f>#REF!+S125</f>
        <v>#REF!</v>
      </c>
      <c r="T137" s="452" t="e">
        <f>#REF!+T125</f>
        <v>#REF!</v>
      </c>
      <c r="U137" s="452" t="e">
        <f>#REF!+U125</f>
        <v>#REF!</v>
      </c>
      <c r="V137" s="482" t="e">
        <f>#REF!+V125</f>
        <v>#REF!</v>
      </c>
      <c r="W137" s="452" t="e">
        <f>#REF!+W125</f>
        <v>#REF!</v>
      </c>
      <c r="X137" s="452" t="e">
        <f>#REF!+X125</f>
        <v>#REF!</v>
      </c>
      <c r="Y137" s="452" t="e">
        <f>#REF!+Y125</f>
        <v>#REF!</v>
      </c>
      <c r="Z137" s="452" t="e">
        <f>#REF!+Z125</f>
        <v>#REF!</v>
      </c>
      <c r="AA137" s="482" t="e">
        <f>#REF!+AA125</f>
        <v>#REF!</v>
      </c>
      <c r="AB137" s="452">
        <f>AB129+AB125</f>
        <v>83.765000000000001</v>
      </c>
      <c r="AC137" s="452">
        <f>AC129+AC125</f>
        <v>92.556999999999988</v>
      </c>
      <c r="AD137" s="452">
        <f>AD129+AD125</f>
        <v>93.9</v>
      </c>
      <c r="AE137" s="452">
        <f>AE129+AE125</f>
        <v>117.348</v>
      </c>
      <c r="AF137" s="482">
        <f>SUM(AB137:AE137)</f>
        <v>387.57</v>
      </c>
      <c r="AG137" s="452">
        <f>AG129+AG125</f>
        <v>132.476</v>
      </c>
      <c r="AH137" s="452">
        <f>AH129+AH125</f>
        <v>181.03100000000001</v>
      </c>
      <c r="AI137" s="452">
        <f>AI129+AI125</f>
        <v>202.01</v>
      </c>
      <c r="AJ137" s="452">
        <f>AJ129+AJ125</f>
        <v>210.10599999999999</v>
      </c>
      <c r="AK137" s="482">
        <f>SUM(AG137:AJ137)</f>
        <v>725.62300000000005</v>
      </c>
      <c r="AL137" s="452">
        <v>243.60900000000001</v>
      </c>
      <c r="AM137" s="452">
        <v>250.71700000000001</v>
      </c>
      <c r="AN137" s="452">
        <v>249.709</v>
      </c>
      <c r="AO137" s="452">
        <v>306.36</v>
      </c>
      <c r="AP137" s="482">
        <f>SUM(AL137:AO137)</f>
        <v>1050.395</v>
      </c>
      <c r="AQ137" s="452">
        <f t="shared" ref="AQ137:CD137" si="84">AQ133+AQ129+AQ125</f>
        <v>297.21100000000001</v>
      </c>
      <c r="AR137" s="452">
        <f t="shared" si="84"/>
        <v>303.93700000000001</v>
      </c>
      <c r="AS137" s="452">
        <f t="shared" si="84"/>
        <v>399.01900000000001</v>
      </c>
      <c r="AT137" s="452">
        <f t="shared" si="84"/>
        <v>493.375</v>
      </c>
      <c r="AU137" s="482">
        <f t="shared" si="84"/>
        <v>1493.5419999999999</v>
      </c>
      <c r="AV137" s="452">
        <f t="shared" si="84"/>
        <v>464.4</v>
      </c>
      <c r="AW137" s="452">
        <f t="shared" si="84"/>
        <v>561.4</v>
      </c>
      <c r="AX137" s="452">
        <f t="shared" si="84"/>
        <v>548.29999999999995</v>
      </c>
      <c r="AY137" s="452">
        <f t="shared" si="84"/>
        <v>522.29999999999995</v>
      </c>
      <c r="AZ137" s="482">
        <f t="shared" si="84"/>
        <v>2096.4</v>
      </c>
      <c r="BA137" s="452">
        <f t="shared" si="84"/>
        <v>426.5</v>
      </c>
      <c r="BB137" s="452">
        <f t="shared" si="84"/>
        <v>494.79999999999995</v>
      </c>
      <c r="BC137" s="452">
        <f t="shared" si="84"/>
        <v>466.1</v>
      </c>
      <c r="BD137" s="452">
        <f t="shared" si="84"/>
        <v>526.5</v>
      </c>
      <c r="BE137" s="482">
        <f t="shared" si="84"/>
        <v>1913.9</v>
      </c>
      <c r="BF137" s="452">
        <f t="shared" si="84"/>
        <v>449.06799999999998</v>
      </c>
      <c r="BG137" s="452">
        <f t="shared" si="84"/>
        <v>535.32000000000005</v>
      </c>
      <c r="BH137" s="452">
        <f t="shared" si="84"/>
        <v>526.11699999999996</v>
      </c>
      <c r="BI137" s="452">
        <f t="shared" si="84"/>
        <v>579.82400000000007</v>
      </c>
      <c r="BJ137" s="482">
        <f>BJ133+BJ129+BJ125</f>
        <v>2090.3290000000002</v>
      </c>
      <c r="BK137" s="28">
        <f t="shared" si="84"/>
        <v>0</v>
      </c>
      <c r="BL137" s="28">
        <f t="shared" si="84"/>
        <v>0</v>
      </c>
      <c r="BM137" s="28">
        <f t="shared" si="84"/>
        <v>0</v>
      </c>
      <c r="BN137" s="28">
        <f t="shared" si="84"/>
        <v>0</v>
      </c>
      <c r="BO137" s="482">
        <f t="shared" si="84"/>
        <v>2212.79403</v>
      </c>
      <c r="BP137" s="28">
        <f t="shared" si="84"/>
        <v>0</v>
      </c>
      <c r="BQ137" s="28">
        <f t="shared" si="84"/>
        <v>0</v>
      </c>
      <c r="BR137" s="28">
        <f t="shared" si="84"/>
        <v>0</v>
      </c>
      <c r="BS137" s="28">
        <f t="shared" si="84"/>
        <v>0</v>
      </c>
      <c r="BT137" s="482">
        <f t="shared" si="84"/>
        <v>2342.8181979000001</v>
      </c>
      <c r="BU137" s="28">
        <f t="shared" si="84"/>
        <v>0</v>
      </c>
      <c r="BV137" s="28">
        <f t="shared" si="84"/>
        <v>0</v>
      </c>
      <c r="BW137" s="28">
        <f t="shared" si="84"/>
        <v>0</v>
      </c>
      <c r="BX137" s="28">
        <f t="shared" si="84"/>
        <v>0</v>
      </c>
      <c r="BY137" s="482">
        <f t="shared" si="84"/>
        <v>2473.9159236030005</v>
      </c>
      <c r="BZ137" s="28">
        <f t="shared" si="84"/>
        <v>0</v>
      </c>
      <c r="CA137" s="28">
        <f t="shared" si="84"/>
        <v>0</v>
      </c>
      <c r="CB137" s="28">
        <f t="shared" si="84"/>
        <v>0</v>
      </c>
      <c r="CC137" s="28">
        <f t="shared" si="84"/>
        <v>0</v>
      </c>
      <c r="CD137" s="482">
        <f t="shared" si="84"/>
        <v>2612.5455126977104</v>
      </c>
      <c r="CE137" s="157"/>
      <c r="CF137" s="278">
        <f>BJ137/$BJ$142</f>
        <v>0.19060604184411592</v>
      </c>
    </row>
    <row r="138" spans="1:84" s="529" customFormat="1" ht="13">
      <c r="A138" s="520"/>
      <c r="B138" s="484" t="s">
        <v>126</v>
      </c>
      <c r="C138" s="485"/>
      <c r="D138" s="485"/>
      <c r="E138" s="485"/>
      <c r="F138" s="485"/>
      <c r="G138" s="486"/>
      <c r="H138" s="485"/>
      <c r="I138" s="485"/>
      <c r="J138" s="485"/>
      <c r="K138" s="485"/>
      <c r="L138" s="486"/>
      <c r="M138" s="485"/>
      <c r="N138" s="485"/>
      <c r="O138" s="485"/>
      <c r="P138" s="485"/>
      <c r="Q138" s="486"/>
      <c r="R138" s="485"/>
      <c r="S138" s="485"/>
      <c r="T138" s="485"/>
      <c r="U138" s="485"/>
      <c r="V138" s="486"/>
      <c r="W138" s="487" t="e">
        <f t="shared" ref="W138:AA138" si="85">W137/R137-1</f>
        <v>#REF!</v>
      </c>
      <c r="X138" s="485" t="e">
        <f t="shared" si="85"/>
        <v>#REF!</v>
      </c>
      <c r="Y138" s="485" t="e">
        <f t="shared" si="85"/>
        <v>#REF!</v>
      </c>
      <c r="Z138" s="485" t="e">
        <f t="shared" si="85"/>
        <v>#REF!</v>
      </c>
      <c r="AA138" s="486" t="e">
        <f t="shared" si="85"/>
        <v>#REF!</v>
      </c>
      <c r="AB138" s="554"/>
      <c r="AC138" s="1"/>
      <c r="AD138" s="1"/>
      <c r="AE138" s="1"/>
      <c r="AF138" s="555"/>
      <c r="AG138" s="487">
        <f t="shared" ref="AG138:BE138" si="86">AG137/AB137-1</f>
        <v>0.58151972780994443</v>
      </c>
      <c r="AH138" s="487">
        <f t="shared" si="86"/>
        <v>0.9558866428255024</v>
      </c>
      <c r="AI138" s="487">
        <f t="shared" si="86"/>
        <v>1.1513312034078806</v>
      </c>
      <c r="AJ138" s="487">
        <f t="shared" si="86"/>
        <v>0.79045232982240843</v>
      </c>
      <c r="AK138" s="472">
        <f t="shared" si="86"/>
        <v>0.87223727326676492</v>
      </c>
      <c r="AL138" s="487">
        <f t="shared" si="86"/>
        <v>0.83889157281318893</v>
      </c>
      <c r="AM138" s="487">
        <f t="shared" si="86"/>
        <v>0.38493959598079885</v>
      </c>
      <c r="AN138" s="487">
        <f t="shared" si="86"/>
        <v>0.23612197415969516</v>
      </c>
      <c r="AO138" s="487">
        <f t="shared" si="86"/>
        <v>0.45812113885372163</v>
      </c>
      <c r="AP138" s="472">
        <f t="shared" si="86"/>
        <v>0.44757677196009493</v>
      </c>
      <c r="AQ138" s="487">
        <f t="shared" si="86"/>
        <v>0.2200329216079866</v>
      </c>
      <c r="AR138" s="487">
        <f t="shared" si="86"/>
        <v>0.21227120618067374</v>
      </c>
      <c r="AS138" s="487">
        <f t="shared" si="86"/>
        <v>0.59793599750109117</v>
      </c>
      <c r="AT138" s="487">
        <f t="shared" si="86"/>
        <v>0.6104419637028331</v>
      </c>
      <c r="AU138" s="472">
        <f t="shared" si="86"/>
        <v>0.42188605238981514</v>
      </c>
      <c r="AV138" s="487">
        <f t="shared" si="86"/>
        <v>0.56252628603921107</v>
      </c>
      <c r="AW138" s="487">
        <f t="shared" si="86"/>
        <v>0.84709331210086281</v>
      </c>
      <c r="AX138" s="487">
        <f t="shared" si="86"/>
        <v>0.37412002937203481</v>
      </c>
      <c r="AY138" s="487">
        <f t="shared" si="86"/>
        <v>5.8626805168482399E-2</v>
      </c>
      <c r="AZ138" s="472">
        <f t="shared" si="86"/>
        <v>0.40364315164889919</v>
      </c>
      <c r="BA138" s="487">
        <f>BA137/AV137-1</f>
        <v>-8.1610680447889661E-2</v>
      </c>
      <c r="BB138" s="487">
        <f>BB137/AW137-1</f>
        <v>-0.11863199144994663</v>
      </c>
      <c r="BC138" s="487">
        <f>BC137/AX137-1</f>
        <v>-0.14991792814152827</v>
      </c>
      <c r="BD138" s="487">
        <f>BD137/AY137-1</f>
        <v>8.0413555427916172E-3</v>
      </c>
      <c r="BE138" s="472">
        <f t="shared" si="86"/>
        <v>-8.7053997328754074E-2</v>
      </c>
      <c r="BF138" s="487">
        <f>BF137/BA137-1</f>
        <v>5.2914419695193393E-2</v>
      </c>
      <c r="BG138" s="487">
        <f>BG137/BB137-1</f>
        <v>8.1891673403395426E-2</v>
      </c>
      <c r="BH138" s="487">
        <f>BH137/BC137-1</f>
        <v>0.12876421368804958</v>
      </c>
      <c r="BI138" s="487">
        <f>BI137/BD137-1</f>
        <v>0.10128015194681872</v>
      </c>
      <c r="BJ138" s="472">
        <f>BJ137/BE137-1</f>
        <v>9.2182977167041269E-2</v>
      </c>
      <c r="BK138" s="376"/>
      <c r="BL138" s="376"/>
      <c r="BM138" s="376"/>
      <c r="BN138" s="376"/>
      <c r="BO138" s="472">
        <f>BO137/BJ137-1</f>
        <v>5.8586485668045585E-2</v>
      </c>
      <c r="BP138" s="376"/>
      <c r="BQ138" s="376"/>
      <c r="BR138" s="376"/>
      <c r="BS138" s="376"/>
      <c r="BT138" s="472">
        <f>BT137/BO137-1</f>
        <v>5.8760176562840716E-2</v>
      </c>
      <c r="BU138" s="376"/>
      <c r="BV138" s="376"/>
      <c r="BW138" s="376"/>
      <c r="BX138" s="376"/>
      <c r="BY138" s="472">
        <f>BY137/BT137-1</f>
        <v>5.5957276505923748E-2</v>
      </c>
      <c r="BZ138" s="376"/>
      <c r="CA138" s="376"/>
      <c r="CB138" s="376"/>
      <c r="CC138" s="376"/>
      <c r="CD138" s="472">
        <f>CD137/BY137-1</f>
        <v>5.6036499774337667E-2</v>
      </c>
      <c r="CE138" s="520"/>
      <c r="CF138" s="242"/>
    </row>
    <row r="139" spans="1:84" s="529" customFormat="1">
      <c r="A139" s="520"/>
      <c r="B139" s="556"/>
      <c r="C139" s="557"/>
      <c r="D139" s="557"/>
      <c r="E139" s="557"/>
      <c r="F139" s="557"/>
      <c r="G139" s="557"/>
      <c r="H139" s="557"/>
      <c r="I139" s="557"/>
      <c r="J139" s="557"/>
      <c r="K139" s="557"/>
      <c r="L139" s="557"/>
      <c r="M139" s="557"/>
      <c r="N139" s="557"/>
      <c r="O139" s="557"/>
      <c r="P139" s="557"/>
      <c r="Q139" s="557"/>
      <c r="R139" s="557"/>
      <c r="S139" s="557"/>
      <c r="T139" s="557"/>
      <c r="U139" s="557"/>
      <c r="V139" s="557"/>
      <c r="W139" s="461"/>
      <c r="X139" s="557"/>
      <c r="Y139" s="557"/>
      <c r="Z139" s="557"/>
      <c r="AA139" s="557"/>
      <c r="AB139" s="461"/>
      <c r="AC139" s="461"/>
      <c r="AD139" s="461"/>
      <c r="AE139" s="461"/>
      <c r="AF139" s="461"/>
      <c r="AG139" s="461"/>
      <c r="AH139" s="461"/>
      <c r="AI139" s="461"/>
      <c r="AJ139" s="461"/>
      <c r="AK139" s="461"/>
      <c r="AL139" s="461"/>
      <c r="AM139" s="461"/>
      <c r="AN139" s="461"/>
      <c r="AO139" s="461"/>
      <c r="AP139" s="461"/>
      <c r="AQ139" s="461"/>
      <c r="AR139" s="461"/>
      <c r="AS139" s="461"/>
      <c r="AT139" s="461"/>
      <c r="AU139" s="461"/>
      <c r="AV139" s="461"/>
      <c r="AW139" s="461"/>
      <c r="AX139" s="461"/>
      <c r="AY139" s="461"/>
      <c r="AZ139" s="558"/>
      <c r="BA139" s="461"/>
      <c r="BB139" s="461"/>
      <c r="BC139" s="559"/>
      <c r="BD139" s="461"/>
      <c r="BE139" s="558"/>
      <c r="BF139" s="376"/>
      <c r="BG139" s="376"/>
      <c r="BH139" s="376"/>
      <c r="BI139" s="376"/>
      <c r="BJ139" s="461"/>
      <c r="BK139" s="376"/>
      <c r="BL139" s="376"/>
      <c r="BM139" s="376"/>
      <c r="BN139" s="376"/>
      <c r="BO139" s="461"/>
      <c r="BP139" s="376"/>
      <c r="BQ139" s="376"/>
      <c r="BR139" s="376"/>
      <c r="BS139" s="376"/>
      <c r="BT139" s="461"/>
      <c r="BU139" s="376"/>
      <c r="BV139" s="376"/>
      <c r="BW139" s="376"/>
      <c r="BX139" s="376"/>
      <c r="BY139" s="461"/>
      <c r="BZ139" s="376"/>
      <c r="CA139" s="376"/>
      <c r="CB139" s="376"/>
      <c r="CC139" s="376"/>
      <c r="CD139" s="461"/>
      <c r="CE139" s="520"/>
      <c r="CF139" s="242"/>
    </row>
    <row r="140" spans="1:84" s="529" customFormat="1" ht="11">
      <c r="A140" s="520"/>
      <c r="B140" s="461"/>
      <c r="C140" s="557"/>
      <c r="D140" s="557"/>
      <c r="E140" s="557"/>
      <c r="F140" s="557"/>
      <c r="G140" s="557"/>
      <c r="H140" s="557"/>
      <c r="I140" s="557"/>
      <c r="J140" s="557"/>
      <c r="K140" s="557"/>
      <c r="L140" s="557"/>
      <c r="M140" s="557"/>
      <c r="N140" s="557"/>
      <c r="O140" s="557"/>
      <c r="P140" s="557"/>
      <c r="Q140" s="557"/>
      <c r="R140" s="557"/>
      <c r="S140" s="557"/>
      <c r="T140" s="557"/>
      <c r="U140" s="557"/>
      <c r="V140" s="557"/>
      <c r="W140" s="461"/>
      <c r="X140" s="557"/>
      <c r="Y140" s="557"/>
      <c r="Z140" s="557"/>
      <c r="AA140" s="557"/>
      <c r="AB140" s="461"/>
      <c r="AC140" s="461"/>
      <c r="AD140" s="461"/>
      <c r="AE140" s="461"/>
      <c r="AF140" s="461"/>
      <c r="AG140" s="461"/>
      <c r="AH140" s="461"/>
      <c r="AI140" s="461"/>
      <c r="AJ140" s="461"/>
      <c r="AK140" s="461"/>
      <c r="AL140" s="461"/>
      <c r="AM140" s="461"/>
      <c r="AN140" s="461"/>
      <c r="AO140" s="461"/>
      <c r="AP140" s="559"/>
      <c r="AQ140" s="559"/>
      <c r="AR140" s="559"/>
      <c r="AS140" s="559"/>
      <c r="AT140" s="559"/>
      <c r="AU140" s="559"/>
      <c r="AV140" s="559"/>
      <c r="AW140" s="559"/>
      <c r="AX140" s="559"/>
      <c r="AY140" s="559"/>
      <c r="AZ140" s="559"/>
      <c r="BA140" s="559"/>
      <c r="BB140" s="560"/>
      <c r="BC140" s="559"/>
      <c r="BD140" s="559"/>
      <c r="BE140" s="559"/>
      <c r="BF140" s="559"/>
      <c r="BG140" s="559"/>
      <c r="BH140" s="559"/>
      <c r="BI140" s="559"/>
      <c r="BJ140" s="559" t="s">
        <v>39</v>
      </c>
      <c r="BK140" s="559"/>
      <c r="BL140" s="559"/>
      <c r="BM140" s="559"/>
      <c r="BN140" s="559"/>
      <c r="BO140" s="559"/>
      <c r="BP140" s="559"/>
      <c r="BQ140" s="559"/>
      <c r="BR140" s="559"/>
      <c r="BS140" s="559"/>
      <c r="BT140" s="559"/>
      <c r="BU140" s="559"/>
      <c r="BV140" s="559"/>
      <c r="BW140" s="559"/>
      <c r="BX140" s="559"/>
      <c r="BY140" s="559"/>
      <c r="BZ140" s="559"/>
      <c r="CA140" s="559"/>
      <c r="CB140" s="559"/>
      <c r="CC140" s="559"/>
      <c r="CD140" s="559"/>
      <c r="CE140" s="520"/>
      <c r="CF140" s="242"/>
    </row>
    <row r="141" spans="1:84" s="529" customFormat="1">
      <c r="A141" s="520"/>
      <c r="B141" s="225" t="s">
        <v>186</v>
      </c>
      <c r="C141" s="226"/>
      <c r="D141" s="226"/>
      <c r="E141" s="226"/>
      <c r="F141" s="226"/>
      <c r="G141" s="227"/>
      <c r="H141" s="226"/>
      <c r="I141" s="226"/>
      <c r="J141" s="226"/>
      <c r="K141" s="226"/>
      <c r="L141" s="227"/>
      <c r="M141" s="226"/>
      <c r="N141" s="226"/>
      <c r="O141" s="226"/>
      <c r="P141" s="226"/>
      <c r="Q141" s="227"/>
      <c r="R141" s="226"/>
      <c r="S141" s="226"/>
      <c r="T141" s="226"/>
      <c r="U141" s="226"/>
      <c r="V141" s="227"/>
      <c r="W141" s="226"/>
      <c r="X141" s="226"/>
      <c r="Y141" s="226"/>
      <c r="Z141" s="226"/>
      <c r="AA141" s="227"/>
      <c r="AB141" s="226"/>
      <c r="AC141" s="226"/>
      <c r="AD141" s="226"/>
      <c r="AE141" s="226"/>
      <c r="AF141" s="227"/>
      <c r="AG141" s="226" t="s">
        <v>39</v>
      </c>
      <c r="AH141" s="226"/>
      <c r="AI141" s="226"/>
      <c r="AJ141" s="226"/>
      <c r="AK141" s="227"/>
      <c r="AL141" s="226"/>
      <c r="AM141" s="226"/>
      <c r="AN141" s="226"/>
      <c r="AO141" s="226"/>
      <c r="AP141" s="227"/>
      <c r="AQ141" s="226"/>
      <c r="AR141" s="226"/>
      <c r="AS141" s="226"/>
      <c r="AT141" s="226"/>
      <c r="AU141" s="227"/>
      <c r="AV141" s="226"/>
      <c r="AW141" s="226"/>
      <c r="AX141" s="226"/>
      <c r="AY141" s="226"/>
      <c r="AZ141" s="227"/>
      <c r="BA141" s="226"/>
      <c r="BB141" s="226"/>
      <c r="BC141" s="226"/>
      <c r="BD141" s="226"/>
      <c r="BE141" s="227"/>
      <c r="BF141" s="226"/>
      <c r="BG141" s="226"/>
      <c r="BH141" s="226"/>
      <c r="BI141" s="226"/>
      <c r="BJ141" s="227"/>
      <c r="BK141" s="228"/>
      <c r="BL141" s="228"/>
      <c r="BM141" s="228"/>
      <c r="BN141" s="228"/>
      <c r="BO141" s="227"/>
      <c r="BP141" s="228"/>
      <c r="BQ141" s="228"/>
      <c r="BR141" s="228"/>
      <c r="BS141" s="228"/>
      <c r="BT141" s="227"/>
      <c r="BU141" s="228"/>
      <c r="BV141" s="228"/>
      <c r="BW141" s="228"/>
      <c r="BX141" s="228"/>
      <c r="BY141" s="227"/>
      <c r="BZ141" s="228"/>
      <c r="CA141" s="228"/>
      <c r="CB141" s="228"/>
      <c r="CC141" s="228"/>
      <c r="CD141" s="227"/>
      <c r="CE141" s="520"/>
      <c r="CF141" s="242"/>
    </row>
    <row r="142" spans="1:84" s="390" customFormat="1">
      <c r="A142" s="8"/>
      <c r="B142" s="553" t="s">
        <v>186</v>
      </c>
      <c r="C142" s="452" t="e">
        <f>#REF!+C130+#REF!</f>
        <v>#REF!</v>
      </c>
      <c r="D142" s="452" t="e">
        <f>#REF!+D130+#REF!</f>
        <v>#REF!</v>
      </c>
      <c r="E142" s="452" t="e">
        <f>#REF!+E130+#REF!</f>
        <v>#REF!</v>
      </c>
      <c r="F142" s="452" t="e">
        <f>#REF!+F130+#REF!</f>
        <v>#REF!</v>
      </c>
      <c r="G142" s="482" t="e">
        <f>SUM(C142:F142)</f>
        <v>#REF!</v>
      </c>
      <c r="H142" s="452" t="e">
        <f>#REF!+H130+#REF!</f>
        <v>#REF!</v>
      </c>
      <c r="I142" s="452" t="e">
        <f>#REF!+I130+#REF!</f>
        <v>#REF!</v>
      </c>
      <c r="J142" s="452" t="e">
        <f>#REF!+J130+#REF!</f>
        <v>#REF!</v>
      </c>
      <c r="K142" s="452" t="e">
        <f>#REF!+K130+#REF!</f>
        <v>#REF!</v>
      </c>
      <c r="L142" s="482" t="e">
        <f>SUM(H142:K142)</f>
        <v>#REF!</v>
      </c>
      <c r="M142" s="452" t="e">
        <f>#REF!+M130</f>
        <v>#REF!</v>
      </c>
      <c r="N142" s="452" t="e">
        <f>#REF!+N130</f>
        <v>#REF!</v>
      </c>
      <c r="O142" s="452" t="e">
        <f>#REF!+O130</f>
        <v>#REF!</v>
      </c>
      <c r="P142" s="452" t="e">
        <f>#REF!+P130</f>
        <v>#REF!</v>
      </c>
      <c r="Q142" s="482" t="e">
        <f>#REF!+Q130</f>
        <v>#REF!</v>
      </c>
      <c r="R142" s="452" t="e">
        <f>#REF!+R130</f>
        <v>#REF!</v>
      </c>
      <c r="S142" s="452" t="e">
        <f>#REF!+S130</f>
        <v>#REF!</v>
      </c>
      <c r="T142" s="452" t="e">
        <f>#REF!+T130</f>
        <v>#REF!</v>
      </c>
      <c r="U142" s="452" t="e">
        <f>#REF!+U130</f>
        <v>#REF!</v>
      </c>
      <c r="V142" s="482" t="e">
        <f>#REF!+V130</f>
        <v>#REF!</v>
      </c>
      <c r="W142" s="452" t="e">
        <f>#REF!+W130</f>
        <v>#REF!</v>
      </c>
      <c r="X142" s="452" t="e">
        <f>#REF!+X130</f>
        <v>#REF!</v>
      </c>
      <c r="Y142" s="452" t="e">
        <f>#REF!+Y130</f>
        <v>#REF!</v>
      </c>
      <c r="Z142" s="452" t="e">
        <f>#REF!+Z130</f>
        <v>#REF!</v>
      </c>
      <c r="AA142" s="482" t="e">
        <f>#REF!+AA130</f>
        <v>#REF!</v>
      </c>
      <c r="AB142" s="452">
        <f>AB134+AB130</f>
        <v>0</v>
      </c>
      <c r="AC142" s="452">
        <f>AC134+AC130</f>
        <v>0</v>
      </c>
      <c r="AD142" s="452">
        <f>AD134+AD130</f>
        <v>0</v>
      </c>
      <c r="AE142" s="452">
        <f>AE134+AE130</f>
        <v>0</v>
      </c>
      <c r="AF142" s="482"/>
      <c r="AG142" s="452"/>
      <c r="AH142" s="452"/>
      <c r="AI142" s="452"/>
      <c r="AJ142" s="452"/>
      <c r="AK142" s="482"/>
      <c r="AL142" s="452"/>
      <c r="AM142" s="452"/>
      <c r="AN142" s="452"/>
      <c r="AO142" s="452"/>
      <c r="AP142" s="482"/>
      <c r="AQ142" s="452">
        <f>AQ121+AQ137</f>
        <v>1068.3110000000001</v>
      </c>
      <c r="AR142" s="452">
        <f t="shared" ref="AR142:CD142" si="87">AR121+AR137</f>
        <v>1095.7370000000001</v>
      </c>
      <c r="AS142" s="452">
        <f t="shared" si="87"/>
        <v>1541.7080000000001</v>
      </c>
      <c r="AT142" s="452">
        <f t="shared" si="87"/>
        <v>2063.7469999999998</v>
      </c>
      <c r="AU142" s="482">
        <f t="shared" si="87"/>
        <v>5769.5030000000006</v>
      </c>
      <c r="AV142" s="452">
        <f t="shared" si="87"/>
        <v>1886.1999999999998</v>
      </c>
      <c r="AW142" s="452">
        <f t="shared" si="87"/>
        <v>2041.1000000000004</v>
      </c>
      <c r="AX142" s="452">
        <f t="shared" si="87"/>
        <v>2056.1999999999998</v>
      </c>
      <c r="AY142" s="452">
        <f t="shared" si="87"/>
        <v>2280</v>
      </c>
      <c r="AZ142" s="482">
        <f t="shared" si="87"/>
        <v>8263.5</v>
      </c>
      <c r="BA142" s="452">
        <f t="shared" si="87"/>
        <v>2190.9</v>
      </c>
      <c r="BB142" s="452">
        <f t="shared" si="87"/>
        <v>2732.4000000000005</v>
      </c>
      <c r="BC142" s="452">
        <f t="shared" si="87"/>
        <v>2786.7999999999997</v>
      </c>
      <c r="BD142" s="452">
        <f t="shared" si="87"/>
        <v>2784.5</v>
      </c>
      <c r="BE142" s="482">
        <f t="shared" si="87"/>
        <v>10494.6</v>
      </c>
      <c r="BF142" s="452">
        <f t="shared" si="87"/>
        <v>2379.2960000000003</v>
      </c>
      <c r="BG142" s="452">
        <f t="shared" si="87"/>
        <v>2743.1110000000003</v>
      </c>
      <c r="BH142" s="452">
        <f t="shared" si="87"/>
        <v>2828.2669999999998</v>
      </c>
      <c r="BI142" s="452">
        <f t="shared" si="87"/>
        <v>3016.0770000000002</v>
      </c>
      <c r="BJ142" s="482">
        <f t="shared" si="87"/>
        <v>10966.751</v>
      </c>
      <c r="BK142" s="28">
        <f t="shared" si="87"/>
        <v>0</v>
      </c>
      <c r="BL142" s="28">
        <f t="shared" si="87"/>
        <v>0</v>
      </c>
      <c r="BM142" s="28">
        <f t="shared" si="87"/>
        <v>0</v>
      </c>
      <c r="BN142" s="28">
        <f t="shared" si="87"/>
        <v>0</v>
      </c>
      <c r="BO142" s="482">
        <f t="shared" si="87"/>
        <v>11740.723020000001</v>
      </c>
      <c r="BP142" s="28">
        <f t="shared" si="87"/>
        <v>0</v>
      </c>
      <c r="BQ142" s="28">
        <f t="shared" si="87"/>
        <v>0</v>
      </c>
      <c r="BR142" s="28">
        <f t="shared" si="87"/>
        <v>0</v>
      </c>
      <c r="BS142" s="28">
        <f t="shared" si="87"/>
        <v>0</v>
      </c>
      <c r="BT142" s="482">
        <f t="shared" si="87"/>
        <v>12447.6115627</v>
      </c>
      <c r="BU142" s="28">
        <f t="shared" si="87"/>
        <v>0</v>
      </c>
      <c r="BV142" s="28">
        <f t="shared" si="87"/>
        <v>0</v>
      </c>
      <c r="BW142" s="28">
        <f t="shared" si="87"/>
        <v>0</v>
      </c>
      <c r="BX142" s="28">
        <f t="shared" si="87"/>
        <v>0</v>
      </c>
      <c r="BY142" s="482">
        <f t="shared" si="87"/>
        <v>13185.359670699003</v>
      </c>
      <c r="BZ142" s="28">
        <f t="shared" si="87"/>
        <v>0</v>
      </c>
      <c r="CA142" s="28">
        <f t="shared" si="87"/>
        <v>0</v>
      </c>
      <c r="CB142" s="28">
        <f t="shared" si="87"/>
        <v>0</v>
      </c>
      <c r="CC142" s="28">
        <f t="shared" si="87"/>
        <v>0</v>
      </c>
      <c r="CD142" s="482">
        <f t="shared" si="87"/>
        <v>13762.726328055631</v>
      </c>
      <c r="CE142" s="8"/>
      <c r="CF142" s="242"/>
    </row>
    <row r="143" spans="1:84" ht="13">
      <c r="B143" s="484" t="s">
        <v>126</v>
      </c>
      <c r="C143" s="485"/>
      <c r="D143" s="485"/>
      <c r="E143" s="485"/>
      <c r="F143" s="485"/>
      <c r="G143" s="486"/>
      <c r="H143" s="485"/>
      <c r="I143" s="485"/>
      <c r="J143" s="485"/>
      <c r="K143" s="485"/>
      <c r="L143" s="486"/>
      <c r="M143" s="485"/>
      <c r="N143" s="485"/>
      <c r="O143" s="485"/>
      <c r="P143" s="485"/>
      <c r="Q143" s="486"/>
      <c r="R143" s="485"/>
      <c r="S143" s="485"/>
      <c r="T143" s="485"/>
      <c r="U143" s="485"/>
      <c r="V143" s="486"/>
      <c r="W143" s="487" t="e">
        <f t="shared" ref="W143:AA143" si="88">W142/R142-1</f>
        <v>#REF!</v>
      </c>
      <c r="X143" s="485" t="e">
        <f t="shared" si="88"/>
        <v>#REF!</v>
      </c>
      <c r="Y143" s="485" t="e">
        <f t="shared" si="88"/>
        <v>#REF!</v>
      </c>
      <c r="Z143" s="485" t="e">
        <f t="shared" si="88"/>
        <v>#REF!</v>
      </c>
      <c r="AA143" s="486" t="e">
        <f t="shared" si="88"/>
        <v>#REF!</v>
      </c>
      <c r="AB143" s="554"/>
      <c r="AC143" s="1"/>
      <c r="AD143" s="1"/>
      <c r="AE143" s="1"/>
      <c r="AF143" s="555"/>
      <c r="AG143" s="487"/>
      <c r="AH143" s="487"/>
      <c r="AI143" s="487"/>
      <c r="AJ143" s="487"/>
      <c r="AK143" s="472"/>
      <c r="AL143" s="487"/>
      <c r="AM143" s="487"/>
      <c r="AN143" s="487"/>
      <c r="AO143" s="487"/>
      <c r="AP143" s="472"/>
      <c r="AQ143" s="488"/>
      <c r="AR143" s="487"/>
      <c r="AS143" s="487"/>
      <c r="AT143" s="487"/>
      <c r="AU143" s="472"/>
      <c r="AV143" s="487">
        <f t="shared" ref="AV143:AZ143" si="89">AV142/AQ142-1</f>
        <v>0.76559073153791313</v>
      </c>
      <c r="AW143" s="487">
        <f t="shared" si="89"/>
        <v>0.86276451374736851</v>
      </c>
      <c r="AX143" s="487">
        <f t="shared" si="89"/>
        <v>0.33371559335490231</v>
      </c>
      <c r="AY143" s="487">
        <f t="shared" si="89"/>
        <v>0.10478658478970537</v>
      </c>
      <c r="AZ143" s="472">
        <f t="shared" si="89"/>
        <v>0.43227241583893772</v>
      </c>
      <c r="BA143" s="487">
        <f>BA142/AV142-1</f>
        <v>0.16154172410136791</v>
      </c>
      <c r="BB143" s="487">
        <f>BB142/AW142-1</f>
        <v>0.33868992210082793</v>
      </c>
      <c r="BC143" s="487">
        <f>BC142/AX142-1</f>
        <v>0.35531563077521633</v>
      </c>
      <c r="BD143" s="487">
        <f>BD142/AY142-1</f>
        <v>0.22127192982456134</v>
      </c>
      <c r="BE143" s="472">
        <f t="shared" ref="BE143" si="90">BE142/AZ142-1</f>
        <v>0.26999455436558373</v>
      </c>
      <c r="BF143" s="487">
        <f>BF142/BA142-1</f>
        <v>8.5990232324615556E-2</v>
      </c>
      <c r="BG143" s="487">
        <f>BG142/BB142-1</f>
        <v>3.9199970721708333E-3</v>
      </c>
      <c r="BH143" s="487">
        <f>BH142/BC142-1</f>
        <v>1.4879790440648799E-2</v>
      </c>
      <c r="BI143" s="487">
        <f>BI142/BD142-1</f>
        <v>8.3166457173639907E-2</v>
      </c>
      <c r="BJ143" s="472">
        <f t="shared" ref="BJ143" si="91">BJ142/BE142-1</f>
        <v>4.4989899567396519E-2</v>
      </c>
      <c r="BK143" s="376"/>
      <c r="BL143" s="376"/>
      <c r="BM143" s="376"/>
      <c r="BN143" s="376"/>
      <c r="BO143" s="472">
        <f>BO142/BJ142-1</f>
        <v>7.0574413515908319E-2</v>
      </c>
      <c r="BP143" s="376"/>
      <c r="BQ143" s="376"/>
      <c r="BR143" s="376"/>
      <c r="BS143" s="376"/>
      <c r="BT143" s="472">
        <f>BT142/BO142-1</f>
        <v>6.0208263281216423E-2</v>
      </c>
      <c r="BU143" s="376"/>
      <c r="BV143" s="376"/>
      <c r="BW143" s="376"/>
      <c r="BX143" s="376"/>
      <c r="BY143" s="472">
        <f>BY142/BT142-1</f>
        <v>5.9268246304351901E-2</v>
      </c>
      <c r="BZ143" s="376"/>
      <c r="CA143" s="376"/>
      <c r="CB143" s="376"/>
      <c r="CC143" s="376"/>
      <c r="CD143" s="472">
        <f>CD142/BY142-1</f>
        <v>4.3788464765179835E-2</v>
      </c>
      <c r="CF143" s="242"/>
    </row>
    <row r="144" spans="1:84">
      <c r="BJ144" s="561"/>
    </row>
    <row r="145" spans="2:82">
      <c r="BD145" s="561"/>
      <c r="BE145" s="561"/>
      <c r="BF145" s="561"/>
      <c r="BG145" s="561"/>
      <c r="BH145" s="561"/>
      <c r="BI145" s="561"/>
      <c r="BJ145" s="561"/>
      <c r="BK145" s="561"/>
      <c r="BL145" s="561"/>
      <c r="BM145" s="561"/>
      <c r="BN145" s="561"/>
      <c r="BO145" s="561"/>
      <c r="BP145" s="561"/>
      <c r="BQ145" s="561"/>
      <c r="BR145" s="561"/>
      <c r="BS145" s="561"/>
      <c r="BT145" s="561"/>
      <c r="BU145" s="561"/>
      <c r="BV145" s="561"/>
      <c r="BW145" s="561"/>
      <c r="BX145" s="561"/>
      <c r="BY145" s="561"/>
      <c r="BZ145" s="561"/>
      <c r="CA145" s="561"/>
      <c r="CB145" s="561"/>
      <c r="CC145" s="561"/>
      <c r="CD145" s="561"/>
    </row>
    <row r="146" spans="2:82">
      <c r="B146" s="225" t="s">
        <v>187</v>
      </c>
      <c r="AF146" s="227"/>
      <c r="AG146" s="226" t="s">
        <v>39</v>
      </c>
      <c r="AH146" s="226"/>
      <c r="AI146" s="226"/>
      <c r="AJ146" s="226"/>
      <c r="AK146" s="227"/>
      <c r="AL146" s="226"/>
      <c r="AM146" s="226"/>
      <c r="AN146" s="226"/>
      <c r="AO146" s="226"/>
      <c r="AP146" s="227"/>
      <c r="AQ146" s="226"/>
      <c r="AR146" s="226"/>
      <c r="AS146" s="226"/>
      <c r="AT146" s="226"/>
      <c r="AU146" s="227"/>
      <c r="AV146" s="226"/>
      <c r="AW146" s="226"/>
      <c r="AX146" s="226"/>
      <c r="AY146" s="226"/>
      <c r="AZ146" s="227"/>
      <c r="BA146" s="226"/>
      <c r="BB146" s="226"/>
      <c r="BC146" s="226"/>
      <c r="BD146" s="226"/>
      <c r="BE146" s="227"/>
      <c r="BF146" s="228"/>
      <c r="BG146" s="228"/>
      <c r="BH146" s="228"/>
      <c r="BI146" s="228"/>
      <c r="BJ146" s="227"/>
      <c r="BK146" s="228"/>
      <c r="BL146" s="228"/>
      <c r="BM146" s="228"/>
      <c r="BN146" s="228"/>
      <c r="BO146" s="227"/>
      <c r="BP146" s="228"/>
      <c r="BQ146" s="228"/>
      <c r="BR146" s="228"/>
      <c r="BS146" s="228"/>
      <c r="BT146" s="227"/>
      <c r="BU146" s="228"/>
      <c r="BV146" s="228"/>
      <c r="BW146" s="228"/>
      <c r="BX146" s="228"/>
      <c r="BY146" s="227"/>
      <c r="BZ146" s="228"/>
      <c r="CA146" s="228"/>
      <c r="CB146" s="228"/>
      <c r="CC146" s="228"/>
      <c r="CD146" s="227"/>
    </row>
    <row r="147" spans="2:82">
      <c r="B147" s="562" t="s">
        <v>188</v>
      </c>
      <c r="AP147" s="563"/>
      <c r="AQ147" s="564">
        <f>AQ142</f>
        <v>1068.3110000000001</v>
      </c>
      <c r="AR147" s="564">
        <f t="shared" ref="AR147:CD147" si="92">AR142</f>
        <v>1095.7370000000001</v>
      </c>
      <c r="AS147" s="564">
        <f t="shared" si="92"/>
        <v>1541.7080000000001</v>
      </c>
      <c r="AT147" s="564">
        <f t="shared" si="92"/>
        <v>2063.7469999999998</v>
      </c>
      <c r="AU147" s="563">
        <f t="shared" si="92"/>
        <v>5769.5030000000006</v>
      </c>
      <c r="AV147" s="564">
        <f t="shared" si="92"/>
        <v>1886.1999999999998</v>
      </c>
      <c r="AW147" s="564">
        <f t="shared" si="92"/>
        <v>2041.1000000000004</v>
      </c>
      <c r="AX147" s="564">
        <f t="shared" si="92"/>
        <v>2056.1999999999998</v>
      </c>
      <c r="AY147" s="564">
        <f t="shared" si="92"/>
        <v>2280</v>
      </c>
      <c r="AZ147" s="563">
        <f t="shared" si="92"/>
        <v>8263.5</v>
      </c>
      <c r="BA147" s="564">
        <f t="shared" si="92"/>
        <v>2190.9</v>
      </c>
      <c r="BB147" s="564">
        <f t="shared" si="92"/>
        <v>2732.4000000000005</v>
      </c>
      <c r="BC147" s="564">
        <f t="shared" si="92"/>
        <v>2786.7999999999997</v>
      </c>
      <c r="BD147" s="564">
        <f t="shared" si="92"/>
        <v>2784.5</v>
      </c>
      <c r="BE147" s="563">
        <f t="shared" si="92"/>
        <v>10494.6</v>
      </c>
      <c r="BF147" s="564">
        <f t="shared" si="92"/>
        <v>2379.2960000000003</v>
      </c>
      <c r="BG147" s="564">
        <f t="shared" si="92"/>
        <v>2743.1110000000003</v>
      </c>
      <c r="BH147" s="564">
        <f t="shared" si="92"/>
        <v>2828.2669999999998</v>
      </c>
      <c r="BI147" s="564">
        <f t="shared" si="92"/>
        <v>3016.0770000000002</v>
      </c>
      <c r="BJ147" s="563">
        <f t="shared" si="92"/>
        <v>10966.751</v>
      </c>
      <c r="BK147" s="564">
        <f t="shared" si="92"/>
        <v>0</v>
      </c>
      <c r="BL147" s="564">
        <f t="shared" si="92"/>
        <v>0</v>
      </c>
      <c r="BM147" s="564">
        <f t="shared" si="92"/>
        <v>0</v>
      </c>
      <c r="BN147" s="564">
        <f t="shared" si="92"/>
        <v>0</v>
      </c>
      <c r="BO147" s="563">
        <f t="shared" si="92"/>
        <v>11740.723020000001</v>
      </c>
      <c r="BP147" s="564">
        <f t="shared" si="92"/>
        <v>0</v>
      </c>
      <c r="BQ147" s="564">
        <f t="shared" si="92"/>
        <v>0</v>
      </c>
      <c r="BR147" s="564">
        <f t="shared" si="92"/>
        <v>0</v>
      </c>
      <c r="BS147" s="564">
        <f t="shared" si="92"/>
        <v>0</v>
      </c>
      <c r="BT147" s="563">
        <f t="shared" si="92"/>
        <v>12447.6115627</v>
      </c>
      <c r="BU147" s="564">
        <f t="shared" si="92"/>
        <v>0</v>
      </c>
      <c r="BV147" s="564">
        <f t="shared" si="92"/>
        <v>0</v>
      </c>
      <c r="BW147" s="564">
        <f t="shared" si="92"/>
        <v>0</v>
      </c>
      <c r="BX147" s="564">
        <f t="shared" si="92"/>
        <v>0</v>
      </c>
      <c r="BY147" s="563">
        <f t="shared" si="92"/>
        <v>13185.359670699003</v>
      </c>
      <c r="BZ147" s="564">
        <f t="shared" si="92"/>
        <v>0</v>
      </c>
      <c r="CA147" s="564">
        <f t="shared" si="92"/>
        <v>0</v>
      </c>
      <c r="CB147" s="564">
        <f t="shared" si="92"/>
        <v>0</v>
      </c>
      <c r="CC147" s="564">
        <f t="shared" si="92"/>
        <v>0</v>
      </c>
      <c r="CD147" s="563">
        <f t="shared" si="92"/>
        <v>13762.726328055631</v>
      </c>
    </row>
    <row r="148" spans="2:82">
      <c r="B148" s="565" t="s">
        <v>189</v>
      </c>
      <c r="AP148" s="566"/>
      <c r="AQ148" s="567">
        <f t="shared" ref="AQ148:BA148" si="93">AQ121-AQ113-AQ84</f>
        <v>771.1</v>
      </c>
      <c r="AR148" s="567">
        <f t="shared" si="93"/>
        <v>791.8</v>
      </c>
      <c r="AS148" s="567">
        <f t="shared" si="93"/>
        <v>1142.6890000000001</v>
      </c>
      <c r="AT148" s="567">
        <f t="shared" si="93"/>
        <v>1570.3719999999998</v>
      </c>
      <c r="AU148" s="566">
        <f t="shared" si="93"/>
        <v>4275.9610000000002</v>
      </c>
      <c r="AV148" s="567">
        <f t="shared" si="93"/>
        <v>1421.8</v>
      </c>
      <c r="AW148" s="567">
        <f t="shared" si="93"/>
        <v>1479.7000000000003</v>
      </c>
      <c r="AX148" s="567">
        <f t="shared" si="93"/>
        <v>1507.9</v>
      </c>
      <c r="AY148" s="567">
        <f t="shared" si="93"/>
        <v>1757.7</v>
      </c>
      <c r="AZ148" s="566">
        <f t="shared" si="93"/>
        <v>6167.0999999999995</v>
      </c>
      <c r="BA148" s="567">
        <f t="shared" si="93"/>
        <v>1734.3000000000002</v>
      </c>
      <c r="BB148" s="567">
        <f>BB121</f>
        <v>2237.6000000000004</v>
      </c>
      <c r="BC148" s="567">
        <f t="shared" ref="BC148:CD148" si="94">BC121</f>
        <v>2320.6999999999998</v>
      </c>
      <c r="BD148" s="567">
        <f t="shared" si="94"/>
        <v>2258</v>
      </c>
      <c r="BE148" s="566">
        <f t="shared" si="94"/>
        <v>8580.7000000000007</v>
      </c>
      <c r="BF148" s="567">
        <f t="shared" si="94"/>
        <v>1930.2280000000001</v>
      </c>
      <c r="BG148" s="567">
        <f t="shared" si="94"/>
        <v>2207.7910000000002</v>
      </c>
      <c r="BH148" s="567">
        <f t="shared" si="94"/>
        <v>2302.15</v>
      </c>
      <c r="BI148" s="567">
        <f t="shared" si="94"/>
        <v>2436.2530000000002</v>
      </c>
      <c r="BJ148" s="566">
        <f t="shared" si="94"/>
        <v>8876.4220000000005</v>
      </c>
      <c r="BK148" s="567">
        <f t="shared" si="94"/>
        <v>0</v>
      </c>
      <c r="BL148" s="567">
        <f t="shared" si="94"/>
        <v>0</v>
      </c>
      <c r="BM148" s="567">
        <f t="shared" si="94"/>
        <v>0</v>
      </c>
      <c r="BN148" s="567">
        <f t="shared" si="94"/>
        <v>0</v>
      </c>
      <c r="BO148" s="566">
        <f t="shared" si="94"/>
        <v>9527.9289900000003</v>
      </c>
      <c r="BP148" s="567">
        <f t="shared" si="94"/>
        <v>0</v>
      </c>
      <c r="BQ148" s="567">
        <f t="shared" si="94"/>
        <v>0</v>
      </c>
      <c r="BR148" s="567">
        <f t="shared" si="94"/>
        <v>0</v>
      </c>
      <c r="BS148" s="567">
        <f t="shared" si="94"/>
        <v>0</v>
      </c>
      <c r="BT148" s="566">
        <f t="shared" si="94"/>
        <v>10104.7933648</v>
      </c>
      <c r="BU148" s="567">
        <f t="shared" si="94"/>
        <v>0</v>
      </c>
      <c r="BV148" s="567">
        <f t="shared" si="94"/>
        <v>0</v>
      </c>
      <c r="BW148" s="567">
        <f t="shared" si="94"/>
        <v>0</v>
      </c>
      <c r="BX148" s="567">
        <f t="shared" si="94"/>
        <v>0</v>
      </c>
      <c r="BY148" s="566">
        <f t="shared" si="94"/>
        <v>10711.443747096002</v>
      </c>
      <c r="BZ148" s="567">
        <f t="shared" si="94"/>
        <v>0</v>
      </c>
      <c r="CA148" s="567">
        <f t="shared" si="94"/>
        <v>0</v>
      </c>
      <c r="CB148" s="567">
        <f t="shared" si="94"/>
        <v>0</v>
      </c>
      <c r="CC148" s="567">
        <f t="shared" si="94"/>
        <v>0</v>
      </c>
      <c r="CD148" s="566">
        <f t="shared" si="94"/>
        <v>11150.18081535792</v>
      </c>
    </row>
    <row r="149" spans="2:82">
      <c r="B149" s="568" t="s">
        <v>190</v>
      </c>
      <c r="AP149" s="569"/>
      <c r="AQ149" s="570">
        <f>1-AQ150/AQ148</f>
        <v>0.8540941512125535</v>
      </c>
      <c r="AR149" s="570">
        <f t="shared" ref="AR149:BE149" si="95">1-AR150/AR148</f>
        <v>0.83117580197019447</v>
      </c>
      <c r="AS149" s="570">
        <f t="shared" si="95"/>
        <v>0.78319035188052044</v>
      </c>
      <c r="AT149" s="570">
        <f t="shared" si="95"/>
        <v>0.78179437738319324</v>
      </c>
      <c r="AU149" s="569">
        <f t="shared" si="95"/>
        <v>0.80434971226351226</v>
      </c>
      <c r="AV149" s="570">
        <f t="shared" si="95"/>
        <v>0.78020818680545789</v>
      </c>
      <c r="AW149" s="570">
        <f t="shared" si="95"/>
        <v>0.76846658106372923</v>
      </c>
      <c r="AX149" s="570">
        <f t="shared" si="95"/>
        <v>0.78625903574507594</v>
      </c>
      <c r="AY149" s="570">
        <f t="shared" si="95"/>
        <v>0.79746259316151791</v>
      </c>
      <c r="AZ149" s="569">
        <f t="shared" si="95"/>
        <v>0.78378816623696712</v>
      </c>
      <c r="BA149" s="570">
        <f t="shared" si="95"/>
        <v>0.79790117050106679</v>
      </c>
      <c r="BB149" s="570">
        <f t="shared" si="95"/>
        <v>0.81158383982838755</v>
      </c>
      <c r="BC149" s="570">
        <f t="shared" si="95"/>
        <v>0.8044986426509243</v>
      </c>
      <c r="BD149" s="570">
        <f t="shared" si="95"/>
        <v>0.79862710363153233</v>
      </c>
      <c r="BE149" s="569">
        <f t="shared" si="95"/>
        <v>0.8041535072896151</v>
      </c>
      <c r="BF149" s="571">
        <v>0.79</v>
      </c>
      <c r="BG149" s="571">
        <v>0.81</v>
      </c>
      <c r="BH149" s="571">
        <v>0.81</v>
      </c>
      <c r="BI149" s="571">
        <v>0.80500000000000005</v>
      </c>
      <c r="BJ149" s="569">
        <f t="shared" ref="BJ149" si="96">1-BJ150/BJ148</f>
        <v>0.80427857023922478</v>
      </c>
      <c r="BK149" s="571">
        <v>0.8</v>
      </c>
      <c r="BL149" s="571">
        <v>0.8</v>
      </c>
      <c r="BM149" s="571">
        <v>0.8</v>
      </c>
      <c r="BN149" s="571">
        <v>0.8</v>
      </c>
      <c r="BO149" s="572">
        <v>0.80500000000000005</v>
      </c>
      <c r="BP149" s="571">
        <v>0.8</v>
      </c>
      <c r="BQ149" s="571">
        <v>0.8</v>
      </c>
      <c r="BR149" s="571">
        <v>0.8</v>
      </c>
      <c r="BS149" s="571">
        <v>0.8</v>
      </c>
      <c r="BT149" s="572">
        <v>0.81</v>
      </c>
      <c r="BU149" s="571">
        <v>0.8</v>
      </c>
      <c r="BV149" s="571">
        <v>0.8</v>
      </c>
      <c r="BW149" s="571">
        <v>0.8</v>
      </c>
      <c r="BX149" s="571">
        <v>0.8</v>
      </c>
      <c r="BY149" s="572">
        <v>0.81499999999999995</v>
      </c>
      <c r="BZ149" s="571">
        <v>0.8</v>
      </c>
      <c r="CA149" s="571">
        <v>0.8</v>
      </c>
      <c r="CB149" s="571">
        <v>0.8</v>
      </c>
      <c r="CC149" s="571">
        <v>0.8</v>
      </c>
      <c r="CD149" s="572">
        <v>0.82</v>
      </c>
    </row>
    <row r="150" spans="2:82">
      <c r="B150" s="568" t="s">
        <v>191</v>
      </c>
      <c r="AP150" s="566"/>
      <c r="AQ150" s="567">
        <v>112.508</v>
      </c>
      <c r="AR150" s="567">
        <v>133.67499999999995</v>
      </c>
      <c r="AS150" s="567">
        <v>247.74600000000001</v>
      </c>
      <c r="AT150" s="567">
        <v>342.66399999999999</v>
      </c>
      <c r="AU150" s="566">
        <v>836.59299999999996</v>
      </c>
      <c r="AV150" s="567">
        <v>312.5</v>
      </c>
      <c r="AW150" s="567">
        <v>342.6</v>
      </c>
      <c r="AX150" s="567">
        <v>322.3</v>
      </c>
      <c r="AY150" s="567">
        <v>356</v>
      </c>
      <c r="AZ150" s="566">
        <v>1333.4</v>
      </c>
      <c r="BA150" s="567">
        <v>350.5</v>
      </c>
      <c r="BB150" s="567">
        <v>421.6</v>
      </c>
      <c r="BC150" s="567">
        <v>453.7</v>
      </c>
      <c r="BD150" s="567">
        <v>454.7</v>
      </c>
      <c r="BE150" s="566">
        <f>SUM(BA150:BD150)</f>
        <v>1680.5</v>
      </c>
      <c r="BF150" s="567">
        <f t="shared" ref="BF150:CD150" si="97">(1-BF149)*BF148</f>
        <v>405.34787999999992</v>
      </c>
      <c r="BG150" s="567">
        <f t="shared" si="97"/>
        <v>419.48028999999991</v>
      </c>
      <c r="BH150" s="567">
        <f t="shared" si="97"/>
        <v>437.40849999999989</v>
      </c>
      <c r="BI150" s="567">
        <f t="shared" si="97"/>
        <v>475.06933499999991</v>
      </c>
      <c r="BJ150" s="566">
        <f>SUM(BF150:BI150)</f>
        <v>1737.3060049999997</v>
      </c>
      <c r="BK150" s="567">
        <f t="shared" si="97"/>
        <v>0</v>
      </c>
      <c r="BL150" s="567">
        <f t="shared" si="97"/>
        <v>0</v>
      </c>
      <c r="BM150" s="567">
        <f t="shared" si="97"/>
        <v>0</v>
      </c>
      <c r="BN150" s="567">
        <f t="shared" si="97"/>
        <v>0</v>
      </c>
      <c r="BO150" s="566">
        <f t="shared" si="97"/>
        <v>1857.9461530499996</v>
      </c>
      <c r="BP150" s="567">
        <f t="shared" si="97"/>
        <v>0</v>
      </c>
      <c r="BQ150" s="567">
        <f t="shared" si="97"/>
        <v>0</v>
      </c>
      <c r="BR150" s="567">
        <f t="shared" si="97"/>
        <v>0</v>
      </c>
      <c r="BS150" s="567">
        <f t="shared" si="97"/>
        <v>0</v>
      </c>
      <c r="BT150" s="566">
        <f t="shared" si="97"/>
        <v>1919.9107393119994</v>
      </c>
      <c r="BU150" s="567">
        <f t="shared" si="97"/>
        <v>0</v>
      </c>
      <c r="BV150" s="567">
        <f t="shared" si="97"/>
        <v>0</v>
      </c>
      <c r="BW150" s="567">
        <f t="shared" si="97"/>
        <v>0</v>
      </c>
      <c r="BX150" s="567">
        <f t="shared" si="97"/>
        <v>0</v>
      </c>
      <c r="BY150" s="566">
        <f t="shared" si="97"/>
        <v>1981.6170932127609</v>
      </c>
      <c r="BZ150" s="567">
        <f t="shared" si="97"/>
        <v>0</v>
      </c>
      <c r="CA150" s="567">
        <f t="shared" si="97"/>
        <v>0</v>
      </c>
      <c r="CB150" s="567">
        <f t="shared" si="97"/>
        <v>0</v>
      </c>
      <c r="CC150" s="567">
        <f t="shared" si="97"/>
        <v>0</v>
      </c>
      <c r="CD150" s="566">
        <f t="shared" si="97"/>
        <v>2007.0325467644261</v>
      </c>
    </row>
    <row r="151" spans="2:82">
      <c r="B151" s="565" t="s">
        <v>192</v>
      </c>
      <c r="AP151" s="566"/>
      <c r="AQ151" s="567">
        <f>AQ137</f>
        <v>297.21100000000001</v>
      </c>
      <c r="AR151" s="567">
        <f t="shared" ref="AR151:CD151" si="98">AR137</f>
        <v>303.93700000000001</v>
      </c>
      <c r="AS151" s="567">
        <f t="shared" si="98"/>
        <v>399.01900000000001</v>
      </c>
      <c r="AT151" s="567">
        <f t="shared" si="98"/>
        <v>493.375</v>
      </c>
      <c r="AU151" s="566">
        <f t="shared" si="98"/>
        <v>1493.5419999999999</v>
      </c>
      <c r="AV151" s="567">
        <f t="shared" si="98"/>
        <v>464.4</v>
      </c>
      <c r="AW151" s="567">
        <f t="shared" si="98"/>
        <v>561.4</v>
      </c>
      <c r="AX151" s="567">
        <f t="shared" si="98"/>
        <v>548.29999999999995</v>
      </c>
      <c r="AY151" s="567">
        <f t="shared" si="98"/>
        <v>522.29999999999995</v>
      </c>
      <c r="AZ151" s="566">
        <f t="shared" si="98"/>
        <v>2096.4</v>
      </c>
      <c r="BA151" s="567">
        <f t="shared" si="98"/>
        <v>426.5</v>
      </c>
      <c r="BB151" s="567">
        <f t="shared" si="98"/>
        <v>494.79999999999995</v>
      </c>
      <c r="BC151" s="567">
        <f t="shared" si="98"/>
        <v>466.1</v>
      </c>
      <c r="BD151" s="567">
        <f t="shared" si="98"/>
        <v>526.5</v>
      </c>
      <c r="BE151" s="566">
        <f t="shared" si="98"/>
        <v>1913.9</v>
      </c>
      <c r="BF151" s="567">
        <f t="shared" si="98"/>
        <v>449.06799999999998</v>
      </c>
      <c r="BG151" s="567">
        <f t="shared" si="98"/>
        <v>535.32000000000005</v>
      </c>
      <c r="BH151" s="567">
        <f t="shared" si="98"/>
        <v>526.11699999999996</v>
      </c>
      <c r="BI151" s="567">
        <f t="shared" si="98"/>
        <v>579.82400000000007</v>
      </c>
      <c r="BJ151" s="566">
        <f t="shared" si="98"/>
        <v>2090.3290000000002</v>
      </c>
      <c r="BK151" s="567">
        <f t="shared" si="98"/>
        <v>0</v>
      </c>
      <c r="BL151" s="567">
        <f t="shared" si="98"/>
        <v>0</v>
      </c>
      <c r="BM151" s="567">
        <f t="shared" si="98"/>
        <v>0</v>
      </c>
      <c r="BN151" s="567">
        <f t="shared" si="98"/>
        <v>0</v>
      </c>
      <c r="BO151" s="566">
        <f t="shared" si="98"/>
        <v>2212.79403</v>
      </c>
      <c r="BP151" s="567">
        <f t="shared" si="98"/>
        <v>0</v>
      </c>
      <c r="BQ151" s="567">
        <f t="shared" si="98"/>
        <v>0</v>
      </c>
      <c r="BR151" s="567">
        <f t="shared" si="98"/>
        <v>0</v>
      </c>
      <c r="BS151" s="567">
        <f t="shared" si="98"/>
        <v>0</v>
      </c>
      <c r="BT151" s="566">
        <f t="shared" si="98"/>
        <v>2342.8181979000001</v>
      </c>
      <c r="BU151" s="567">
        <f t="shared" si="98"/>
        <v>0</v>
      </c>
      <c r="BV151" s="567">
        <f t="shared" si="98"/>
        <v>0</v>
      </c>
      <c r="BW151" s="567">
        <f t="shared" si="98"/>
        <v>0</v>
      </c>
      <c r="BX151" s="567">
        <f t="shared" si="98"/>
        <v>0</v>
      </c>
      <c r="BY151" s="566">
        <f t="shared" si="98"/>
        <v>2473.9159236030005</v>
      </c>
      <c r="BZ151" s="567">
        <f t="shared" si="98"/>
        <v>0</v>
      </c>
      <c r="CA151" s="567">
        <f t="shared" si="98"/>
        <v>0</v>
      </c>
      <c r="CB151" s="567">
        <f t="shared" si="98"/>
        <v>0</v>
      </c>
      <c r="CC151" s="567">
        <f t="shared" si="98"/>
        <v>0</v>
      </c>
      <c r="CD151" s="566">
        <f t="shared" si="98"/>
        <v>2612.5455126977104</v>
      </c>
    </row>
    <row r="152" spans="2:82">
      <c r="B152" s="568" t="s">
        <v>190</v>
      </c>
      <c r="AP152" s="569"/>
      <c r="AQ152" s="570">
        <f>1-AQ153/AQ151</f>
        <v>0.60160626625528668</v>
      </c>
      <c r="AR152" s="570">
        <f t="shared" ref="AR152:BE152" si="99">1-AR153/AR151</f>
        <v>0.63627988695025617</v>
      </c>
      <c r="AS152" s="570">
        <f t="shared" si="99"/>
        <v>0.61430408075805909</v>
      </c>
      <c r="AT152" s="570">
        <f t="shared" si="99"/>
        <v>0.61324347605776541</v>
      </c>
      <c r="AU152" s="569">
        <f t="shared" si="99"/>
        <v>0.61589898375807306</v>
      </c>
      <c r="AV152" s="570">
        <f t="shared" si="99"/>
        <v>0.62962962962962954</v>
      </c>
      <c r="AW152" s="570">
        <f t="shared" si="99"/>
        <v>0.62718204488778051</v>
      </c>
      <c r="AX152" s="570">
        <f t="shared" si="99"/>
        <v>0.64161955134050697</v>
      </c>
      <c r="AY152" s="570">
        <f t="shared" si="99"/>
        <v>0.63699023549684086</v>
      </c>
      <c r="AZ152" s="569">
        <f t="shared" si="99"/>
        <v>0.63394390383514598</v>
      </c>
      <c r="BA152" s="570">
        <f t="shared" si="99"/>
        <v>0.62274325908558037</v>
      </c>
      <c r="BB152" s="570">
        <f t="shared" si="99"/>
        <v>0.60873080032336291</v>
      </c>
      <c r="BC152" s="570">
        <f t="shared" si="99"/>
        <v>0.61188586140313239</v>
      </c>
      <c r="BD152" s="570">
        <f t="shared" si="99"/>
        <v>0.58974358974358976</v>
      </c>
      <c r="BE152" s="569">
        <f t="shared" si="99"/>
        <v>0.60739850566905274</v>
      </c>
      <c r="BF152" s="571">
        <v>0.59</v>
      </c>
      <c r="BG152" s="571">
        <v>0.6</v>
      </c>
      <c r="BH152" s="571">
        <v>0.61</v>
      </c>
      <c r="BI152" s="571">
        <v>0.61</v>
      </c>
      <c r="BJ152" s="569">
        <f t="shared" ref="BJ152" si="100">1-BJ153/BJ151</f>
        <v>0.60314243834343773</v>
      </c>
      <c r="BK152" s="571"/>
      <c r="BL152" s="571"/>
      <c r="BM152" s="571"/>
      <c r="BN152" s="571"/>
      <c r="BO152" s="572">
        <v>0.61</v>
      </c>
      <c r="BP152" s="571"/>
      <c r="BQ152" s="571"/>
      <c r="BR152" s="571"/>
      <c r="BS152" s="571"/>
      <c r="BT152" s="572">
        <v>0.61</v>
      </c>
      <c r="BU152" s="571"/>
      <c r="BV152" s="571"/>
      <c r="BW152" s="571"/>
      <c r="BX152" s="571"/>
      <c r="BY152" s="572">
        <v>0.61499999999999999</v>
      </c>
      <c r="BZ152" s="571"/>
      <c r="CA152" s="571"/>
      <c r="CB152" s="571"/>
      <c r="CC152" s="571"/>
      <c r="CD152" s="572">
        <v>0.62</v>
      </c>
    </row>
    <row r="153" spans="2:82">
      <c r="B153" s="568" t="s">
        <v>191</v>
      </c>
      <c r="AP153" s="566"/>
      <c r="AQ153" s="567">
        <v>118.407</v>
      </c>
      <c r="AR153" s="567">
        <v>110.54800000000002</v>
      </c>
      <c r="AS153" s="567">
        <v>153.9</v>
      </c>
      <c r="AT153" s="567">
        <v>190.816</v>
      </c>
      <c r="AU153" s="566">
        <v>573.67100000000005</v>
      </c>
      <c r="AV153" s="567">
        <v>172</v>
      </c>
      <c r="AW153" s="567">
        <v>209.3</v>
      </c>
      <c r="AX153" s="567">
        <v>196.5</v>
      </c>
      <c r="AY153" s="567">
        <v>189.6</v>
      </c>
      <c r="AZ153" s="566">
        <v>767.4</v>
      </c>
      <c r="BA153" s="567">
        <v>160.9</v>
      </c>
      <c r="BB153" s="567">
        <v>193.6</v>
      </c>
      <c r="BC153" s="567">
        <v>180.9</v>
      </c>
      <c r="BD153" s="567">
        <v>216</v>
      </c>
      <c r="BE153" s="566">
        <f>SUM(BA153:BD153)</f>
        <v>751.4</v>
      </c>
      <c r="BF153" s="567">
        <f t="shared" ref="BF153:BI153" si="101">(1-BF152)*BF151</f>
        <v>184.11788000000001</v>
      </c>
      <c r="BG153" s="567">
        <f t="shared" si="101"/>
        <v>214.12800000000004</v>
      </c>
      <c r="BH153" s="567">
        <f t="shared" si="101"/>
        <v>205.18563</v>
      </c>
      <c r="BI153" s="567">
        <f t="shared" si="101"/>
        <v>226.13136000000003</v>
      </c>
      <c r="BJ153" s="566">
        <f>SUM(BF153:BI153)</f>
        <v>829.5628700000002</v>
      </c>
      <c r="BK153" s="567">
        <f t="shared" ref="BK153:CD153" si="102">(1-BK152)*BK151</f>
        <v>0</v>
      </c>
      <c r="BL153" s="567">
        <f t="shared" si="102"/>
        <v>0</v>
      </c>
      <c r="BM153" s="567">
        <f t="shared" si="102"/>
        <v>0</v>
      </c>
      <c r="BN153" s="567">
        <f t="shared" si="102"/>
        <v>0</v>
      </c>
      <c r="BO153" s="566">
        <f t="shared" si="102"/>
        <v>862.98967170000003</v>
      </c>
      <c r="BP153" s="567">
        <f t="shared" si="102"/>
        <v>0</v>
      </c>
      <c r="BQ153" s="567">
        <f t="shared" si="102"/>
        <v>0</v>
      </c>
      <c r="BR153" s="567">
        <f t="shared" si="102"/>
        <v>0</v>
      </c>
      <c r="BS153" s="567">
        <f t="shared" si="102"/>
        <v>0</v>
      </c>
      <c r="BT153" s="566">
        <f t="shared" si="102"/>
        <v>913.69909718100007</v>
      </c>
      <c r="BU153" s="567">
        <f t="shared" si="102"/>
        <v>0</v>
      </c>
      <c r="BV153" s="567">
        <f t="shared" si="102"/>
        <v>0</v>
      </c>
      <c r="BW153" s="567">
        <f t="shared" si="102"/>
        <v>0</v>
      </c>
      <c r="BX153" s="567">
        <f t="shared" si="102"/>
        <v>0</v>
      </c>
      <c r="BY153" s="566">
        <f t="shared" si="102"/>
        <v>952.45763058715522</v>
      </c>
      <c r="BZ153" s="567">
        <f t="shared" si="102"/>
        <v>0</v>
      </c>
      <c r="CA153" s="567">
        <f t="shared" si="102"/>
        <v>0</v>
      </c>
      <c r="CB153" s="567">
        <f t="shared" si="102"/>
        <v>0</v>
      </c>
      <c r="CC153" s="567">
        <f t="shared" si="102"/>
        <v>0</v>
      </c>
      <c r="CD153" s="566">
        <f t="shared" si="102"/>
        <v>992.76729482512997</v>
      </c>
    </row>
    <row r="154" spans="2:82">
      <c r="B154" s="562" t="s">
        <v>193</v>
      </c>
      <c r="AP154" s="573"/>
      <c r="AU154" s="573"/>
      <c r="AZ154" s="573"/>
      <c r="BE154" s="573"/>
      <c r="BJ154" s="573"/>
      <c r="BO154" s="573"/>
      <c r="BT154" s="573"/>
      <c r="BY154" s="573"/>
      <c r="CD154" s="573"/>
    </row>
    <row r="155" spans="2:82">
      <c r="B155" s="574" t="s">
        <v>191</v>
      </c>
      <c r="AP155" s="575"/>
      <c r="AQ155" s="576">
        <f>AQ150+AQ153</f>
        <v>230.91499999999999</v>
      </c>
      <c r="AR155" s="576">
        <f t="shared" ref="AR155:CC155" si="103">AR150+AR153</f>
        <v>244.22299999999996</v>
      </c>
      <c r="AS155" s="576">
        <f t="shared" si="103"/>
        <v>401.64600000000002</v>
      </c>
      <c r="AT155" s="576">
        <f t="shared" si="103"/>
        <v>533.48</v>
      </c>
      <c r="AU155" s="575">
        <f t="shared" si="103"/>
        <v>1410.2640000000001</v>
      </c>
      <c r="AV155" s="576">
        <f t="shared" si="103"/>
        <v>484.5</v>
      </c>
      <c r="AW155" s="576">
        <f t="shared" si="103"/>
        <v>551.90000000000009</v>
      </c>
      <c r="AX155" s="576">
        <f t="shared" si="103"/>
        <v>518.79999999999995</v>
      </c>
      <c r="AY155" s="576">
        <f t="shared" si="103"/>
        <v>545.6</v>
      </c>
      <c r="AZ155" s="575">
        <f t="shared" si="103"/>
        <v>2100.8000000000002</v>
      </c>
      <c r="BA155" s="576">
        <f t="shared" si="103"/>
        <v>511.4</v>
      </c>
      <c r="BB155" s="576">
        <f t="shared" si="103"/>
        <v>615.20000000000005</v>
      </c>
      <c r="BC155" s="576">
        <f t="shared" si="103"/>
        <v>634.6</v>
      </c>
      <c r="BD155" s="576">
        <f t="shared" si="103"/>
        <v>670.7</v>
      </c>
      <c r="BE155" s="575">
        <f t="shared" si="103"/>
        <v>2431.9</v>
      </c>
      <c r="BF155" s="576">
        <f>BF150+BF153+10</f>
        <v>599.46575999999993</v>
      </c>
      <c r="BG155" s="576">
        <f t="shared" ref="BG155:BI155" si="104">BG150+BG153+10</f>
        <v>643.6082899999999</v>
      </c>
      <c r="BH155" s="576">
        <f t="shared" si="104"/>
        <v>652.59412999999995</v>
      </c>
      <c r="BI155" s="576">
        <f t="shared" si="104"/>
        <v>711.200695</v>
      </c>
      <c r="BJ155" s="575">
        <f>BJ150+BJ153+40</f>
        <v>2606.8688750000001</v>
      </c>
      <c r="BK155" s="576">
        <f t="shared" si="103"/>
        <v>0</v>
      </c>
      <c r="BL155" s="576">
        <f t="shared" si="103"/>
        <v>0</v>
      </c>
      <c r="BM155" s="576">
        <f t="shared" si="103"/>
        <v>0</v>
      </c>
      <c r="BN155" s="576">
        <f t="shared" si="103"/>
        <v>0</v>
      </c>
      <c r="BO155" s="575">
        <f>BO150+BO153+40</f>
        <v>2760.9358247499995</v>
      </c>
      <c r="BP155" s="576">
        <f t="shared" si="103"/>
        <v>0</v>
      </c>
      <c r="BQ155" s="576">
        <f t="shared" si="103"/>
        <v>0</v>
      </c>
      <c r="BR155" s="576">
        <f t="shared" si="103"/>
        <v>0</v>
      </c>
      <c r="BS155" s="576">
        <f t="shared" si="103"/>
        <v>0</v>
      </c>
      <c r="BT155" s="575">
        <f>BT150+BT153+40</f>
        <v>2873.6098364929994</v>
      </c>
      <c r="BU155" s="576">
        <f t="shared" si="103"/>
        <v>0</v>
      </c>
      <c r="BV155" s="576">
        <f t="shared" si="103"/>
        <v>0</v>
      </c>
      <c r="BW155" s="576">
        <f t="shared" si="103"/>
        <v>0</v>
      </c>
      <c r="BX155" s="576">
        <f t="shared" si="103"/>
        <v>0</v>
      </c>
      <c r="BY155" s="575">
        <f>BY150+BY153+40</f>
        <v>2974.0747237999162</v>
      </c>
      <c r="BZ155" s="576">
        <f t="shared" si="103"/>
        <v>0</v>
      </c>
      <c r="CA155" s="576">
        <f t="shared" si="103"/>
        <v>0</v>
      </c>
      <c r="CB155" s="576">
        <f t="shared" si="103"/>
        <v>0</v>
      </c>
      <c r="CC155" s="576">
        <f t="shared" si="103"/>
        <v>0</v>
      </c>
      <c r="CD155" s="575">
        <f>CD150+CD153+40</f>
        <v>3039.7998415895563</v>
      </c>
    </row>
    <row r="156" spans="2:82">
      <c r="B156" s="577" t="s">
        <v>190</v>
      </c>
      <c r="AP156" s="578"/>
      <c r="AQ156" s="579">
        <f>1-AQ155/AQ147</f>
        <v>0.7838503956244951</v>
      </c>
      <c r="AR156" s="579">
        <f t="shared" ref="AR156:CD156" si="105">1-AR155/AR147</f>
        <v>0.77711531142965884</v>
      </c>
      <c r="AS156" s="579">
        <f t="shared" si="105"/>
        <v>0.73947984962132907</v>
      </c>
      <c r="AT156" s="579">
        <f t="shared" si="105"/>
        <v>0.74149932137999475</v>
      </c>
      <c r="AU156" s="578">
        <f t="shared" si="105"/>
        <v>0.75556577403634251</v>
      </c>
      <c r="AV156" s="579">
        <f t="shared" si="105"/>
        <v>0.74313434418407376</v>
      </c>
      <c r="AW156" s="579">
        <f t="shared" si="105"/>
        <v>0.72960658468472883</v>
      </c>
      <c r="AX156" s="579">
        <f t="shared" si="105"/>
        <v>0.74768991343254543</v>
      </c>
      <c r="AY156" s="579">
        <f t="shared" si="105"/>
        <v>0.76070175438596488</v>
      </c>
      <c r="AZ156" s="578">
        <f t="shared" si="105"/>
        <v>0.74577358262237547</v>
      </c>
      <c r="BA156" s="579">
        <f t="shared" si="105"/>
        <v>0.76657994431512166</v>
      </c>
      <c r="BB156" s="579">
        <f t="shared" si="105"/>
        <v>0.77484994876299229</v>
      </c>
      <c r="BC156" s="579">
        <f t="shared" si="105"/>
        <v>0.77228362279316776</v>
      </c>
      <c r="BD156" s="579">
        <f t="shared" si="105"/>
        <v>0.75913090321422161</v>
      </c>
      <c r="BE156" s="578">
        <f t="shared" si="105"/>
        <v>0.76827130143121225</v>
      </c>
      <c r="BF156" s="579">
        <f t="shared" si="105"/>
        <v>0.74804910360039278</v>
      </c>
      <c r="BG156" s="579">
        <f t="shared" si="105"/>
        <v>0.76537285950149303</v>
      </c>
      <c r="BH156" s="579">
        <f t="shared" si="105"/>
        <v>0.76926006985903383</v>
      </c>
      <c r="BI156" s="579">
        <f t="shared" si="105"/>
        <v>0.76419677116996687</v>
      </c>
      <c r="BJ156" s="578">
        <f t="shared" si="105"/>
        <v>0.76229341990166455</v>
      </c>
      <c r="BK156" s="579" t="e">
        <f t="shared" si="105"/>
        <v>#DIV/0!</v>
      </c>
      <c r="BL156" s="579" t="e">
        <f t="shared" si="105"/>
        <v>#DIV/0!</v>
      </c>
      <c r="BM156" s="579" t="e">
        <f t="shared" si="105"/>
        <v>#DIV/0!</v>
      </c>
      <c r="BN156" s="579" t="e">
        <f t="shared" si="105"/>
        <v>#DIV/0!</v>
      </c>
      <c r="BO156" s="578">
        <f t="shared" si="105"/>
        <v>0.76484107324167172</v>
      </c>
      <c r="BP156" s="579" t="e">
        <f t="shared" si="105"/>
        <v>#DIV/0!</v>
      </c>
      <c r="BQ156" s="579" t="e">
        <f t="shared" si="105"/>
        <v>#DIV/0!</v>
      </c>
      <c r="BR156" s="579" t="e">
        <f t="shared" si="105"/>
        <v>#DIV/0!</v>
      </c>
      <c r="BS156" s="579" t="e">
        <f t="shared" si="105"/>
        <v>#DIV/0!</v>
      </c>
      <c r="BT156" s="578">
        <f t="shared" si="105"/>
        <v>0.7691436769200013</v>
      </c>
      <c r="BU156" s="579" t="e">
        <f t="shared" si="105"/>
        <v>#DIV/0!</v>
      </c>
      <c r="BV156" s="579" t="e">
        <f t="shared" si="105"/>
        <v>#DIV/0!</v>
      </c>
      <c r="BW156" s="579" t="e">
        <f t="shared" si="105"/>
        <v>#DIV/0!</v>
      </c>
      <c r="BX156" s="579" t="e">
        <f t="shared" si="105"/>
        <v>#DIV/0!</v>
      </c>
      <c r="BY156" s="578">
        <f t="shared" si="105"/>
        <v>0.77444113789258129</v>
      </c>
      <c r="BZ156" s="579" t="e">
        <f t="shared" si="105"/>
        <v>#DIV/0!</v>
      </c>
      <c r="CA156" s="579" t="e">
        <f t="shared" si="105"/>
        <v>#DIV/0!</v>
      </c>
      <c r="CB156" s="579" t="e">
        <f t="shared" si="105"/>
        <v>#DIV/0!</v>
      </c>
      <c r="CC156" s="579" t="e">
        <f t="shared" si="105"/>
        <v>#DIV/0!</v>
      </c>
      <c r="CD156" s="578">
        <f t="shared" si="105"/>
        <v>0.77912807614339785</v>
      </c>
    </row>
    <row r="157" spans="2:82">
      <c r="AU157" s="580"/>
      <c r="AV157" s="580"/>
      <c r="AW157" s="580"/>
      <c r="AX157" s="580"/>
      <c r="AY157" s="580"/>
      <c r="AZ157" s="580"/>
      <c r="BA157" s="580"/>
      <c r="BB157" s="580"/>
      <c r="BC157" s="580"/>
      <c r="BD157" s="580"/>
      <c r="BE157" s="580"/>
      <c r="BF157" s="580"/>
      <c r="BG157" s="580"/>
      <c r="BH157" s="580"/>
      <c r="BI157" s="580"/>
      <c r="BJ157" s="580"/>
      <c r="BK157" s="580"/>
      <c r="BL157" s="580"/>
      <c r="BM157" s="580"/>
      <c r="BN157" s="580"/>
      <c r="BO157" s="580"/>
      <c r="BP157" s="580"/>
      <c r="BQ157" s="580"/>
      <c r="BR157" s="580"/>
      <c r="BS157" s="580"/>
      <c r="BT157" s="580"/>
      <c r="BU157" s="580"/>
      <c r="BV157" s="580"/>
      <c r="BW157" s="580"/>
      <c r="BX157" s="580"/>
      <c r="BY157" s="580"/>
      <c r="BZ157" s="580"/>
      <c r="CA157" s="580"/>
      <c r="CB157" s="580"/>
      <c r="CC157" s="580"/>
      <c r="CD157" s="580"/>
    </row>
    <row r="160" spans="2:82">
      <c r="B160" s="581"/>
      <c r="AZ160" s="582"/>
      <c r="BA160" s="582"/>
      <c r="BB160" s="582"/>
      <c r="BC160" s="582"/>
      <c r="BD160" s="582"/>
      <c r="BE160" s="582"/>
      <c r="BF160" s="583"/>
      <c r="BG160" s="583"/>
      <c r="BH160" s="583"/>
      <c r="BI160" s="583"/>
      <c r="BJ160" s="582"/>
      <c r="BK160" s="582"/>
      <c r="BL160" s="582"/>
      <c r="BM160" s="582"/>
      <c r="BN160" s="582"/>
      <c r="BO160" s="582"/>
      <c r="BP160" s="582"/>
      <c r="BQ160" s="582"/>
      <c r="BR160" s="582"/>
      <c r="BS160" s="582"/>
      <c r="BT160" s="582"/>
      <c r="BU160" s="582"/>
      <c r="BV160" s="582"/>
      <c r="BW160" s="582"/>
      <c r="BX160" s="582"/>
      <c r="BY160" s="582"/>
      <c r="BZ160" s="582"/>
      <c r="CA160" s="582"/>
      <c r="CB160" s="582"/>
      <c r="CC160" s="582"/>
      <c r="CD160" s="582"/>
    </row>
    <row r="161" spans="52:82">
      <c r="AZ161" s="567"/>
      <c r="BE161" s="567"/>
      <c r="BF161" s="567"/>
      <c r="BG161" s="567"/>
      <c r="BH161" s="567"/>
      <c r="BI161" s="567"/>
      <c r="BJ161" s="567"/>
      <c r="BK161" s="567"/>
      <c r="BL161" s="567"/>
      <c r="BM161" s="567"/>
      <c r="BN161" s="567"/>
      <c r="BO161" s="567"/>
      <c r="BP161" s="567"/>
      <c r="BQ161" s="567"/>
      <c r="BR161" s="567"/>
      <c r="BS161" s="567"/>
      <c r="BT161" s="567"/>
      <c r="BU161" s="567"/>
      <c r="BV161" s="567"/>
      <c r="BW161" s="567"/>
      <c r="BX161" s="567"/>
      <c r="BY161" s="567"/>
      <c r="BZ161" s="567"/>
      <c r="CA161" s="567"/>
      <c r="CB161" s="567"/>
      <c r="CC161" s="567"/>
      <c r="CD161" s="567"/>
    </row>
    <row r="162" spans="52:82">
      <c r="AZ162" s="567"/>
      <c r="BE162" s="567"/>
      <c r="BF162" s="567"/>
      <c r="BG162" s="567"/>
      <c r="BH162" s="567"/>
      <c r="BI162" s="567"/>
      <c r="BJ162" s="567"/>
      <c r="BK162" s="567"/>
      <c r="BL162" s="567"/>
      <c r="BM162" s="567"/>
      <c r="BN162" s="567"/>
      <c r="BO162" s="567"/>
      <c r="BP162" s="567"/>
      <c r="BQ162" s="567"/>
      <c r="BR162" s="567"/>
      <c r="BS162" s="567"/>
      <c r="BT162" s="567"/>
      <c r="BU162" s="567"/>
      <c r="BV162" s="567"/>
      <c r="BW162" s="567"/>
      <c r="BX162" s="567"/>
      <c r="BY162" s="567"/>
      <c r="BZ162" s="567"/>
      <c r="CA162" s="567"/>
      <c r="CB162" s="567"/>
      <c r="CC162" s="567"/>
      <c r="CD162" s="567"/>
    </row>
    <row r="163" spans="52:82">
      <c r="AZ163" s="567"/>
      <c r="BE163" s="567"/>
      <c r="BF163" s="567"/>
      <c r="BG163" s="567"/>
      <c r="BH163" s="567"/>
      <c r="BI163" s="567"/>
      <c r="BJ163" s="567"/>
      <c r="BK163" s="567"/>
      <c r="BL163" s="567"/>
      <c r="BM163" s="567"/>
      <c r="BN163" s="567"/>
      <c r="BO163" s="567"/>
      <c r="BP163" s="567"/>
      <c r="BQ163" s="567"/>
      <c r="BR163" s="567"/>
      <c r="BS163" s="567"/>
      <c r="BT163" s="567"/>
      <c r="BU163" s="567"/>
      <c r="BV163" s="567"/>
      <c r="BW163" s="567"/>
      <c r="BX163" s="567"/>
      <c r="BY163" s="567"/>
      <c r="BZ163" s="567"/>
      <c r="CA163" s="567"/>
      <c r="CB163" s="567"/>
      <c r="CC163" s="567"/>
      <c r="CD163" s="567"/>
    </row>
    <row r="164" spans="52:82">
      <c r="AZ164" s="567"/>
      <c r="BE164" s="567"/>
      <c r="BF164" s="567"/>
      <c r="BG164" s="567"/>
      <c r="BH164" s="567"/>
      <c r="BI164" s="567"/>
      <c r="BJ164" s="567"/>
      <c r="BK164" s="567"/>
      <c r="BL164" s="567"/>
      <c r="BM164" s="567"/>
      <c r="BN164" s="567"/>
      <c r="BO164" s="567"/>
      <c r="BP164" s="567"/>
      <c r="BQ164" s="567"/>
      <c r="BR164" s="567"/>
      <c r="BS164" s="567"/>
      <c r="BT164" s="567"/>
      <c r="BU164" s="567"/>
      <c r="BV164" s="567"/>
      <c r="BW164" s="567"/>
      <c r="BX164" s="567"/>
      <c r="BY164" s="567"/>
      <c r="BZ164" s="567"/>
      <c r="CA164" s="567"/>
      <c r="CB164" s="567"/>
      <c r="CC164" s="567"/>
      <c r="CD164" s="567"/>
    </row>
    <row r="165" spans="52:82">
      <c r="AZ165" s="567"/>
      <c r="BE165" s="567"/>
      <c r="BF165" s="567"/>
      <c r="BG165" s="567"/>
      <c r="BH165" s="567"/>
      <c r="BI165" s="567"/>
      <c r="BJ165" s="567"/>
      <c r="BK165" s="567"/>
      <c r="BL165" s="567"/>
      <c r="BM165" s="567"/>
      <c r="BN165" s="567"/>
      <c r="BO165" s="567"/>
      <c r="BP165" s="567"/>
      <c r="BQ165" s="567"/>
      <c r="BR165" s="567"/>
      <c r="BS165" s="567"/>
      <c r="BT165" s="567"/>
      <c r="BU165" s="567"/>
      <c r="BV165" s="567"/>
      <c r="BW165" s="567"/>
      <c r="BX165" s="567"/>
      <c r="BY165" s="567"/>
      <c r="BZ165" s="567"/>
      <c r="CA165" s="567"/>
      <c r="CB165" s="567"/>
      <c r="CC165" s="567"/>
      <c r="CD165" s="567"/>
    </row>
    <row r="166" spans="52:82">
      <c r="AZ166" s="567"/>
      <c r="BE166" s="567"/>
      <c r="BF166" s="567"/>
      <c r="BG166" s="567"/>
      <c r="BH166" s="567"/>
      <c r="BI166" s="567"/>
      <c r="BJ166" s="567"/>
      <c r="BK166" s="567"/>
      <c r="BL166" s="567"/>
      <c r="BM166" s="567"/>
      <c r="BN166" s="567"/>
      <c r="BO166" s="567"/>
      <c r="BP166" s="567"/>
      <c r="BQ166" s="567"/>
      <c r="BR166" s="567"/>
      <c r="BS166" s="567"/>
      <c r="BT166" s="567"/>
      <c r="BU166" s="567"/>
      <c r="BV166" s="567"/>
      <c r="BW166" s="567"/>
      <c r="BX166" s="567"/>
      <c r="BY166" s="567"/>
      <c r="BZ166" s="567"/>
      <c r="CA166" s="567"/>
      <c r="CB166" s="567"/>
      <c r="CC166" s="567"/>
      <c r="CD166" s="567"/>
    </row>
    <row r="167" spans="52:82">
      <c r="AZ167" s="567"/>
      <c r="BE167" s="567"/>
      <c r="BF167" s="567"/>
      <c r="BG167" s="567"/>
      <c r="BH167" s="567"/>
      <c r="BI167" s="567"/>
      <c r="BJ167" s="567"/>
      <c r="BK167" s="567"/>
      <c r="BL167" s="567"/>
      <c r="BM167" s="567"/>
      <c r="BN167" s="567"/>
      <c r="BO167" s="567"/>
      <c r="BP167" s="567"/>
      <c r="BQ167" s="567"/>
      <c r="BR167" s="567"/>
      <c r="BS167" s="567"/>
      <c r="BT167" s="567"/>
      <c r="BU167" s="567"/>
      <c r="BV167" s="567"/>
      <c r="BW167" s="567"/>
      <c r="BX167" s="567"/>
      <c r="BY167" s="567"/>
      <c r="BZ167" s="567"/>
      <c r="CA167" s="567"/>
      <c r="CB167" s="567"/>
      <c r="CC167" s="567"/>
      <c r="CD167" s="567"/>
    </row>
    <row r="168" spans="52:82">
      <c r="AZ168" s="567"/>
      <c r="BE168" s="567"/>
      <c r="BF168" s="567"/>
      <c r="BG168" s="567"/>
      <c r="BH168" s="567"/>
      <c r="BI168" s="567"/>
      <c r="BJ168" s="567"/>
      <c r="BK168" s="567"/>
      <c r="BL168" s="567"/>
      <c r="BM168" s="567"/>
      <c r="BN168" s="567"/>
      <c r="BO168" s="567"/>
      <c r="BP168" s="567"/>
      <c r="BQ168" s="567"/>
      <c r="BR168" s="567"/>
      <c r="BS168" s="567"/>
      <c r="BT168" s="567"/>
      <c r="BU168" s="567"/>
      <c r="BV168" s="567"/>
      <c r="BW168" s="567"/>
      <c r="BX168" s="567"/>
      <c r="BY168" s="567"/>
      <c r="BZ168" s="567"/>
      <c r="CA168" s="567"/>
      <c r="CB168" s="567"/>
      <c r="CC168" s="567"/>
      <c r="CD168" s="567"/>
    </row>
    <row r="169" spans="52:82">
      <c r="AZ169" s="567"/>
      <c r="BE169" s="567"/>
      <c r="BF169" s="567"/>
      <c r="BG169" s="567"/>
      <c r="BH169" s="567"/>
      <c r="BI169" s="567"/>
      <c r="BJ169" s="567"/>
      <c r="BK169" s="567"/>
      <c r="BL169" s="567"/>
      <c r="BM169" s="567"/>
      <c r="BN169" s="567"/>
      <c r="BO169" s="567"/>
      <c r="BP169" s="567"/>
      <c r="BQ169" s="567"/>
      <c r="BR169" s="567"/>
      <c r="BS169" s="567"/>
      <c r="BT169" s="567"/>
      <c r="BU169" s="567"/>
      <c r="BV169" s="567"/>
      <c r="BW169" s="567"/>
      <c r="BX169" s="567"/>
      <c r="BY169" s="567"/>
      <c r="BZ169" s="567"/>
      <c r="CA169" s="567"/>
      <c r="CB169" s="567"/>
      <c r="CC169" s="567"/>
      <c r="CD169" s="567"/>
    </row>
    <row r="170" spans="52:82">
      <c r="AZ170" s="567"/>
      <c r="BE170" s="567"/>
      <c r="BF170" s="567"/>
      <c r="BG170" s="567"/>
      <c r="BH170" s="567"/>
      <c r="BI170" s="567"/>
      <c r="BJ170" s="567"/>
      <c r="BK170" s="567"/>
      <c r="BL170" s="567"/>
      <c r="BM170" s="567"/>
      <c r="BN170" s="567"/>
      <c r="BO170" s="567"/>
      <c r="BP170" s="567"/>
      <c r="BQ170" s="567"/>
      <c r="BR170" s="567"/>
      <c r="BS170" s="567"/>
      <c r="BT170" s="567"/>
      <c r="BU170" s="567"/>
      <c r="BV170" s="567"/>
      <c r="BW170" s="567"/>
      <c r="BX170" s="567"/>
      <c r="BY170" s="567"/>
      <c r="BZ170" s="567"/>
      <c r="CA170" s="567"/>
      <c r="CB170" s="567"/>
      <c r="CC170" s="567"/>
      <c r="CD170" s="567"/>
    </row>
    <row r="171" spans="52:82">
      <c r="AZ171" s="567"/>
      <c r="BE171" s="567"/>
      <c r="BF171" s="567"/>
      <c r="BG171" s="567"/>
      <c r="BH171" s="567"/>
      <c r="BI171" s="567"/>
      <c r="BJ171" s="567"/>
      <c r="BK171" s="567"/>
      <c r="BL171" s="567"/>
      <c r="BM171" s="567"/>
      <c r="BN171" s="567"/>
      <c r="BO171" s="567"/>
      <c r="BP171" s="567"/>
      <c r="BQ171" s="567"/>
      <c r="BR171" s="567"/>
      <c r="BS171" s="567"/>
      <c r="BT171" s="567"/>
      <c r="BU171" s="567"/>
      <c r="BV171" s="567"/>
      <c r="BW171" s="567"/>
      <c r="BX171" s="567"/>
      <c r="BY171" s="567"/>
      <c r="BZ171" s="567"/>
      <c r="CA171" s="567"/>
      <c r="CB171" s="567"/>
      <c r="CC171" s="567"/>
      <c r="CD171" s="567"/>
    </row>
    <row r="172" spans="52:82">
      <c r="AZ172" s="564"/>
      <c r="BE172" s="564"/>
      <c r="BF172" s="564"/>
      <c r="BG172" s="564"/>
      <c r="BH172" s="564"/>
      <c r="BI172" s="564"/>
      <c r="BJ172" s="564"/>
      <c r="BK172" s="564"/>
      <c r="BL172" s="564"/>
      <c r="BM172" s="564"/>
      <c r="BN172" s="564"/>
      <c r="BO172" s="564"/>
      <c r="BP172" s="564"/>
      <c r="BQ172" s="564"/>
      <c r="BR172" s="564"/>
      <c r="BS172" s="564"/>
      <c r="BT172" s="564"/>
      <c r="BU172" s="564"/>
      <c r="BV172" s="564"/>
      <c r="BW172" s="564"/>
      <c r="BX172" s="564"/>
      <c r="BY172" s="564"/>
      <c r="BZ172" s="564"/>
      <c r="CA172" s="564"/>
      <c r="CB172" s="564"/>
      <c r="CC172" s="564"/>
      <c r="CD172" s="564"/>
    </row>
    <row r="173" spans="52:82">
      <c r="CD173" s="570"/>
    </row>
  </sheetData>
  <conditionalFormatting sqref="AW140:BD140 AY1:CD1 A1:AX10 A134:BE135 A83:AE83 AG76:AJ76 A73:AF76 A77:AJ77 AL76:AO77 AK73:AK77 AQ76:AR77 AP73:AP77 AU73:AU78 AV76:AV78 BA76:BD76 A89:AE89 A78:AR80 BE89:CD89 AU89:AV89 AK81:AK83 A97:AR112 C116:BA116 AY7:AZ7 BE7 A15:AE15 AG15:AJ15 AF13:AF15 A16:AJ16 AL15:AO16 AK13:AK16 AP13:AP16 AZ89 AU97:AV112 AU27:AX27 AU28:AW28 AU44:AW44 AU55:AX56 AU54:AW54 AU58:AX59 AU57:AW57 AU61:AX62 AU60:AW60 A115:BB115 BC63:BD64 AU67:AX70 AZ78 AU71:AV72 AZ72:AZ76 AU79:AV83 AZ80:AZ83 AZ27:BE27 AZ28:BB28 BE28 BK27:BN28 BP27:BS28 BU27:BX28 BZ27:CC28 AZ31:BB38 AZ42:BD42 AZ47:BB48 AZ67:BB71 BE70 BE75:CD76 BA77:BB77 BE77 BE83:CD83 A129:AA130 AB130:AF130 AQ130:BE130 A131:BE131 AP132:BE132 A116:A124 AW139:AY139 A139:AV140 A138:AA138 AG138:AY138 A137:AY137 AZ137:AZ139 A132:AK133 A136:AK136 AB129:BE129 A141:A143 A146:A150 C146:AE146 A153 C153:AO153 A151:AO152 C147:AO150 AU41:AX43 AU51:AX53 A51:AR72 AU45:AY50 AS51:AT62 AZ51:BB52 A154:AO156 BU147:BX156 BP147:BS156 BK147:BN156 AV147:AY156 AQ147:AT156 AY4:CD6 CE1:CF10 AU11:AU14 A11:AT12 AV11:BE12 AQ15:BE16 CE25:CF28 CE65:CF72 CE141:CF143 CE146:CF146 BZ147:CF154 BE115:BE116 CE85:CF86 AZ112:CF112 BK63:CF64 A144:CF145 BA139:BD139 BE139:CF140 AZ29:CF30 AZ49:BE50 AU39:BE40 BE31:BE38 BE47:BE48 BE51:BE52 CE88:CF88 BJ11:CF12 BJ15:CF24 AZ43:CF46 BJ31:CF42 BJ47:CF52 AZ53:CF62 BE73:BE74 BJ73:CD74 BE81:BE82 BJ81:CD82 BJ98:CF98 BK97:CF97 BJ100:CF100 BK99:CF99 BJ102:CF102 BK101:CF101 BJ104:CF106 BK103:CF103 BJ108:CF108 BK107:CF107 BK109:CF109 BJ110:CF110 BK111:CF111 BJ115:CF116 BJ117:CE117 BJ118:CF120 B121:CF124 BJ125:CF136 BA137:BE138 BJ138:CF138 BJ137:CE137 BJ7:CD7 A158:CF65258 A157:AU157 AZ97:BE111 BA41:BD41 A17:BE26 BC51:BD51 BC71:BD71 AZ79:BE79 BA147:BI156 A91:CF96 A125:BE128 B117:BE120 AL133:BE133 AM136:BE136 BZ156:CF156 BZ155:CC155 CE155:CF155 AY157:CF157 AU29:AY38 A27:AT50 AY8:CD10 CG84:GH88 CG115:GH65258 CE76:GH80 CG1:GH12 CG90:GH112 CG15:GH72">
    <cfRule type="expression" dxfId="885" priority="305" stopIfTrue="1">
      <formula>ISERROR(A1)</formula>
    </cfRule>
  </conditionalFormatting>
  <conditionalFormatting sqref="A81:AE82">
    <cfRule type="expression" dxfId="884" priority="304" stopIfTrue="1">
      <formula>ISERROR(A81)</formula>
    </cfRule>
  </conditionalFormatting>
  <conditionalFormatting sqref="A84:AE86 CE84">
    <cfRule type="expression" dxfId="883" priority="303" stopIfTrue="1">
      <formula>ISERROR(A84)</formula>
    </cfRule>
  </conditionalFormatting>
  <conditionalFormatting sqref="AK89 AF84:AR86 AZ85:CD86 AZ84 AU84 AU85:AV86 BC84:CD84">
    <cfRule type="expression" dxfId="882" priority="302" stopIfTrue="1">
      <formula>ISERROR(AF84)</formula>
    </cfRule>
  </conditionalFormatting>
  <conditionalFormatting sqref="A90:AR90 AK113 AU113 AZ90:CF90 AZ113 AU90:AV90 BE113 BK113:BN113 BP113:BS113 BU113:BX113 BZ113:CC113">
    <cfRule type="expression" dxfId="881" priority="301" stopIfTrue="1">
      <formula>ISERROR(A90)</formula>
    </cfRule>
  </conditionalFormatting>
  <conditionalFormatting sqref="A113:AE113 A114">
    <cfRule type="expression" dxfId="880" priority="300" stopIfTrue="1">
      <formula>ISERROR(A113)</formula>
    </cfRule>
  </conditionalFormatting>
  <conditionalFormatting sqref="B116">
    <cfRule type="expression" dxfId="879" priority="299" stopIfTrue="1">
      <formula>ISERROR(B116)</formula>
    </cfRule>
  </conditionalFormatting>
  <conditionalFormatting sqref="BA7:BD7">
    <cfRule type="expression" dxfId="878" priority="298" stopIfTrue="1">
      <formula>ISERROR(BA7)</formula>
    </cfRule>
  </conditionalFormatting>
  <conditionalFormatting sqref="BB73">
    <cfRule type="expression" dxfId="877" priority="297" stopIfTrue="1">
      <formula>ISERROR(BB73)</formula>
    </cfRule>
  </conditionalFormatting>
  <conditionalFormatting sqref="BB116">
    <cfRule type="expression" dxfId="876" priority="284" stopIfTrue="1">
      <formula>ISERROR(BB116)</formula>
    </cfRule>
  </conditionalFormatting>
  <conditionalFormatting sqref="BB81">
    <cfRule type="expression" dxfId="875" priority="296" stopIfTrue="1">
      <formula>ISERROR(BB81)</formula>
    </cfRule>
  </conditionalFormatting>
  <conditionalFormatting sqref="BB84">
    <cfRule type="expression" dxfId="874" priority="295" stopIfTrue="1">
      <formula>ISERROR(BB84)</formula>
    </cfRule>
  </conditionalFormatting>
  <conditionalFormatting sqref="BB113">
    <cfRule type="expression" dxfId="873" priority="294" stopIfTrue="1">
      <formula>ISERROR(BB113)</formula>
    </cfRule>
  </conditionalFormatting>
  <conditionalFormatting sqref="AW97:AX112 AW76:AX78 AW72 AW80:AX80">
    <cfRule type="expression" dxfId="872" priority="293" stopIfTrue="1">
      <formula>ISERROR(AW72)</formula>
    </cfRule>
  </conditionalFormatting>
  <conditionalFormatting sqref="AW85:AX86">
    <cfRule type="expression" dxfId="871" priority="292" stopIfTrue="1">
      <formula>ISERROR(AW85)</formula>
    </cfRule>
  </conditionalFormatting>
  <conditionalFormatting sqref="AW90:AX90">
    <cfRule type="expression" dxfId="870" priority="291" stopIfTrue="1">
      <formula>ISERROR(AW90)</formula>
    </cfRule>
  </conditionalFormatting>
  <conditionalFormatting sqref="AW73:AX73">
    <cfRule type="expression" dxfId="869" priority="290" stopIfTrue="1">
      <formula>ISERROR(AW73)</formula>
    </cfRule>
  </conditionalFormatting>
  <conditionalFormatting sqref="AW81:AX81">
    <cfRule type="expression" dxfId="868" priority="289" stopIfTrue="1">
      <formula>ISERROR(AW81)</formula>
    </cfRule>
  </conditionalFormatting>
  <conditionalFormatting sqref="AW84:AX84">
    <cfRule type="expression" dxfId="867" priority="288" stopIfTrue="1">
      <formula>ISERROR(AW84)</formula>
    </cfRule>
  </conditionalFormatting>
  <conditionalFormatting sqref="AW113:AX113">
    <cfRule type="expression" dxfId="866" priority="287" stopIfTrue="1">
      <formula>ISERROR(AW113)</formula>
    </cfRule>
  </conditionalFormatting>
  <conditionalFormatting sqref="BB74">
    <cfRule type="expression" dxfId="865" priority="286" stopIfTrue="1">
      <formula>ISERROR(BB74)</formula>
    </cfRule>
  </conditionalFormatting>
  <conditionalFormatting sqref="BB82">
    <cfRule type="expression" dxfId="864" priority="285" stopIfTrue="1">
      <formula>ISERROR(BB82)</formula>
    </cfRule>
  </conditionalFormatting>
  <conditionalFormatting sqref="B13:B14">
    <cfRule type="expression" dxfId="863" priority="283" stopIfTrue="1">
      <formula>ISERROR(B13)</formula>
    </cfRule>
  </conditionalFormatting>
  <conditionalFormatting sqref="AV13:AY13 BA13:BB13">
    <cfRule type="expression" dxfId="862" priority="282" stopIfTrue="1">
      <formula>ISERROR(AV13)</formula>
    </cfRule>
  </conditionalFormatting>
  <conditionalFormatting sqref="BB14">
    <cfRule type="expression" dxfId="861" priority="281" stopIfTrue="1">
      <formula>ISERROR(BB14)</formula>
    </cfRule>
  </conditionalFormatting>
  <conditionalFormatting sqref="BA73">
    <cfRule type="expression" dxfId="860" priority="280" stopIfTrue="1">
      <formula>ISERROR(BA73)</formula>
    </cfRule>
  </conditionalFormatting>
  <conditionalFormatting sqref="BA81">
    <cfRule type="expression" dxfId="859" priority="279" stopIfTrue="1">
      <formula>ISERROR(BA81)</formula>
    </cfRule>
  </conditionalFormatting>
  <conditionalFormatting sqref="BA84">
    <cfRule type="expression" dxfId="858" priority="278" stopIfTrue="1">
      <formula>ISERROR(BA84)</formula>
    </cfRule>
  </conditionalFormatting>
  <conditionalFormatting sqref="BA113">
    <cfRule type="expression" dxfId="857" priority="277" stopIfTrue="1">
      <formula>ISERROR(BA113)</formula>
    </cfRule>
  </conditionalFormatting>
  <conditionalFormatting sqref="AV73">
    <cfRule type="expression" dxfId="856" priority="276" stopIfTrue="1">
      <formula>ISERROR(AV73)</formula>
    </cfRule>
  </conditionalFormatting>
  <conditionalFormatting sqref="AV84">
    <cfRule type="expression" dxfId="855" priority="275" stopIfTrue="1">
      <formula>ISERROR(AV84)</formula>
    </cfRule>
  </conditionalFormatting>
  <conditionalFormatting sqref="AV113">
    <cfRule type="expression" dxfId="854" priority="274" stopIfTrue="1">
      <formula>ISERROR(AV113)</formula>
    </cfRule>
  </conditionalFormatting>
  <conditionalFormatting sqref="AY27 AY55:AY56 AY58:AY59 AY61:AY62 AY67:AY70 AY42:AY43 AY52:AY53">
    <cfRule type="expression" dxfId="853" priority="273" stopIfTrue="1">
      <formula>ISERROR(AY27)</formula>
    </cfRule>
  </conditionalFormatting>
  <conditionalFormatting sqref="AY97:AY112 AY76:AY78 AY80">
    <cfRule type="expression" dxfId="852" priority="272" stopIfTrue="1">
      <formula>ISERROR(AY76)</formula>
    </cfRule>
  </conditionalFormatting>
  <conditionalFormatting sqref="AY85:AY86">
    <cfRule type="expression" dxfId="851" priority="271" stopIfTrue="1">
      <formula>ISERROR(AY85)</formula>
    </cfRule>
  </conditionalFormatting>
  <conditionalFormatting sqref="AY90">
    <cfRule type="expression" dxfId="850" priority="270" stopIfTrue="1">
      <formula>ISERROR(AY90)</formula>
    </cfRule>
  </conditionalFormatting>
  <conditionalFormatting sqref="AY73">
    <cfRule type="expression" dxfId="849" priority="269" stopIfTrue="1">
      <formula>ISERROR(AY73)</formula>
    </cfRule>
  </conditionalFormatting>
  <conditionalFormatting sqref="AY81">
    <cfRule type="expression" dxfId="848" priority="268" stopIfTrue="1">
      <formula>ISERROR(AY81)</formula>
    </cfRule>
  </conditionalFormatting>
  <conditionalFormatting sqref="AY84">
    <cfRule type="expression" dxfId="847" priority="267" stopIfTrue="1">
      <formula>ISERROR(AY84)</formula>
    </cfRule>
  </conditionalFormatting>
  <conditionalFormatting sqref="AY113">
    <cfRule type="expression" dxfId="846" priority="266" stopIfTrue="1">
      <formula>ISERROR(AY113)</formula>
    </cfRule>
  </conditionalFormatting>
  <conditionalFormatting sqref="BA74">
    <cfRule type="expression" dxfId="845" priority="265" stopIfTrue="1">
      <formula>ISERROR(BA74)</formula>
    </cfRule>
  </conditionalFormatting>
  <conditionalFormatting sqref="BA82">
    <cfRule type="expression" dxfId="844" priority="264" stopIfTrue="1">
      <formula>ISERROR(BA82)</formula>
    </cfRule>
  </conditionalFormatting>
  <conditionalFormatting sqref="B114:AE114">
    <cfRule type="expression" dxfId="843" priority="263" stopIfTrue="1">
      <formula>ISERROR(B114)</formula>
    </cfRule>
  </conditionalFormatting>
  <conditionalFormatting sqref="AF114:AR114 AU114:AV114 AZ114:CD114">
    <cfRule type="expression" dxfId="842" priority="262" stopIfTrue="1">
      <formula>ISERROR(AF114)</formula>
    </cfRule>
  </conditionalFormatting>
  <conditionalFormatting sqref="AW114:AX114">
    <cfRule type="expression" dxfId="841" priority="261" stopIfTrue="1">
      <formula>ISERROR(AW114)</formula>
    </cfRule>
  </conditionalFormatting>
  <conditionalFormatting sqref="AY114">
    <cfRule type="expression" dxfId="840" priority="260" stopIfTrue="1">
      <formula>ISERROR(AY114)</formula>
    </cfRule>
  </conditionalFormatting>
  <conditionalFormatting sqref="AT67:AT70">
    <cfRule type="expression" dxfId="839" priority="259" stopIfTrue="1">
      <formula>ISERROR(AT67)</formula>
    </cfRule>
  </conditionalFormatting>
  <conditionalFormatting sqref="AT97:AT112 AT76:AT80 AT72">
    <cfRule type="expression" dxfId="838" priority="258" stopIfTrue="1">
      <formula>ISERROR(AT72)</formula>
    </cfRule>
  </conditionalFormatting>
  <conditionalFormatting sqref="AT85:AT86">
    <cfRule type="expression" dxfId="837" priority="257" stopIfTrue="1">
      <formula>ISERROR(AT85)</formula>
    </cfRule>
  </conditionalFormatting>
  <conditionalFormatting sqref="AT73">
    <cfRule type="expression" dxfId="836" priority="255" stopIfTrue="1">
      <formula>ISERROR(AT73)</formula>
    </cfRule>
  </conditionalFormatting>
  <conditionalFormatting sqref="AT90">
    <cfRule type="expression" dxfId="835" priority="256" stopIfTrue="1">
      <formula>ISERROR(AT90)</formula>
    </cfRule>
  </conditionalFormatting>
  <conditionalFormatting sqref="AT81">
    <cfRule type="expression" dxfId="834" priority="254" stopIfTrue="1">
      <formula>ISERROR(AT81)</formula>
    </cfRule>
  </conditionalFormatting>
  <conditionalFormatting sqref="AT84">
    <cfRule type="expression" dxfId="833" priority="253" stopIfTrue="1">
      <formula>ISERROR(AT84)</formula>
    </cfRule>
  </conditionalFormatting>
  <conditionalFormatting sqref="AT113">
    <cfRule type="expression" dxfId="832" priority="252" stopIfTrue="1">
      <formula>ISERROR(AT113)</formula>
    </cfRule>
  </conditionalFormatting>
  <conditionalFormatting sqref="AT114">
    <cfRule type="expression" dxfId="831" priority="251" stopIfTrue="1">
      <formula>ISERROR(AT114)</formula>
    </cfRule>
  </conditionalFormatting>
  <conditionalFormatting sqref="AS90">
    <cfRule type="expression" dxfId="830" priority="247" stopIfTrue="1">
      <formula>ISERROR(AS90)</formula>
    </cfRule>
  </conditionalFormatting>
  <conditionalFormatting sqref="AS67:AS70">
    <cfRule type="expression" dxfId="829" priority="250" stopIfTrue="1">
      <formula>ISERROR(AS67)</formula>
    </cfRule>
  </conditionalFormatting>
  <conditionalFormatting sqref="AS97:AS112 AS76:AS80 AS72">
    <cfRule type="expression" dxfId="828" priority="249" stopIfTrue="1">
      <formula>ISERROR(AS72)</formula>
    </cfRule>
  </conditionalFormatting>
  <conditionalFormatting sqref="AS85:AS86">
    <cfRule type="expression" dxfId="827" priority="248" stopIfTrue="1">
      <formula>ISERROR(AS85)</formula>
    </cfRule>
  </conditionalFormatting>
  <conditionalFormatting sqref="AS73">
    <cfRule type="expression" dxfId="826" priority="246" stopIfTrue="1">
      <formula>ISERROR(AS73)</formula>
    </cfRule>
  </conditionalFormatting>
  <conditionalFormatting sqref="AS81">
    <cfRule type="expression" dxfId="825" priority="245" stopIfTrue="1">
      <formula>ISERROR(AS81)</formula>
    </cfRule>
  </conditionalFormatting>
  <conditionalFormatting sqref="AS84">
    <cfRule type="expression" dxfId="824" priority="244" stopIfTrue="1">
      <formula>ISERROR(AS84)</formula>
    </cfRule>
  </conditionalFormatting>
  <conditionalFormatting sqref="AS113">
    <cfRule type="expression" dxfId="823" priority="243" stopIfTrue="1">
      <formula>ISERROR(AS113)</formula>
    </cfRule>
  </conditionalFormatting>
  <conditionalFormatting sqref="AS114">
    <cfRule type="expression" dxfId="822" priority="242" stopIfTrue="1">
      <formula>ISERROR(AS114)</formula>
    </cfRule>
  </conditionalFormatting>
  <conditionalFormatting sqref="AX60:AY60">
    <cfRule type="expression" dxfId="821" priority="237" stopIfTrue="1">
      <formula>ISERROR(AX60)</formula>
    </cfRule>
  </conditionalFormatting>
  <conditionalFormatting sqref="AX28:AY28">
    <cfRule type="expression" dxfId="820" priority="241" stopIfTrue="1">
      <formula>ISERROR(AX28)</formula>
    </cfRule>
  </conditionalFormatting>
  <conditionalFormatting sqref="AX44:AY44">
    <cfRule type="expression" dxfId="819" priority="240" stopIfTrue="1">
      <formula>ISERROR(AX44)</formula>
    </cfRule>
  </conditionalFormatting>
  <conditionalFormatting sqref="AX54:AY54">
    <cfRule type="expression" dxfId="818" priority="239" stopIfTrue="1">
      <formula>ISERROR(AX54)</formula>
    </cfRule>
  </conditionalFormatting>
  <conditionalFormatting sqref="AX57:AY57">
    <cfRule type="expression" dxfId="817" priority="238" stopIfTrue="1">
      <formula>ISERROR(AX57)</formula>
    </cfRule>
  </conditionalFormatting>
  <conditionalFormatting sqref="AX74:AY74">
    <cfRule type="expression" dxfId="816" priority="236" stopIfTrue="1">
      <formula>ISERROR(AX74)</formula>
    </cfRule>
  </conditionalFormatting>
  <conditionalFormatting sqref="AX82:AY82">
    <cfRule type="expression" dxfId="815" priority="235" stopIfTrue="1">
      <formula>ISERROR(AX82)</formula>
    </cfRule>
  </conditionalFormatting>
  <conditionalFormatting sqref="BE63:BE64">
    <cfRule type="expression" dxfId="814" priority="231" stopIfTrue="1">
      <formula>ISERROR(BE63)</formula>
    </cfRule>
  </conditionalFormatting>
  <conditionalFormatting sqref="BE65:BE66">
    <cfRule type="expression" dxfId="813" priority="230" stopIfTrue="1">
      <formula>ISERROR(BE65)</formula>
    </cfRule>
  </conditionalFormatting>
  <conditionalFormatting sqref="AS63:BB64">
    <cfRule type="expression" dxfId="812" priority="234" stopIfTrue="1">
      <formula>ISERROR(AS63)</formula>
    </cfRule>
  </conditionalFormatting>
  <conditionalFormatting sqref="AS65:AY66 BK65:CD66 BA65:BD66">
    <cfRule type="expression" dxfId="811" priority="233" stopIfTrue="1">
      <formula>ISERROR(AS65)</formula>
    </cfRule>
  </conditionalFormatting>
  <conditionalFormatting sqref="AZ65:AZ66">
    <cfRule type="expression" dxfId="810" priority="232" stopIfTrue="1">
      <formula>ISERROR(AZ65)</formula>
    </cfRule>
  </conditionalFormatting>
  <conditionalFormatting sqref="AZ77">
    <cfRule type="expression" dxfId="809" priority="229" stopIfTrue="1">
      <formula>ISERROR(AZ77)</formula>
    </cfRule>
  </conditionalFormatting>
  <conditionalFormatting sqref="BA78:BB78">
    <cfRule type="expression" dxfId="808" priority="228" stopIfTrue="1">
      <formula>ISERROR(BA78)</formula>
    </cfRule>
  </conditionalFormatting>
  <conditionalFormatting sqref="AZ13:AZ14">
    <cfRule type="expression" dxfId="807" priority="227" stopIfTrue="1">
      <formula>ISERROR(AZ13)</formula>
    </cfRule>
  </conditionalFormatting>
  <conditionalFormatting sqref="BA14">
    <cfRule type="expression" dxfId="806" priority="226" stopIfTrue="1">
      <formula>ISERROR(BA14)</formula>
    </cfRule>
  </conditionalFormatting>
  <conditionalFormatting sqref="AY41">
    <cfRule type="expression" dxfId="805" priority="225" stopIfTrue="1">
      <formula>ISERROR(AY41)</formula>
    </cfRule>
  </conditionalFormatting>
  <conditionalFormatting sqref="CD113">
    <cfRule type="expression" dxfId="804" priority="163" stopIfTrue="1">
      <formula>ISERROR(CD113)</formula>
    </cfRule>
  </conditionalFormatting>
  <conditionalFormatting sqref="AZ41">
    <cfRule type="expression" dxfId="803" priority="224" stopIfTrue="1">
      <formula>ISERROR(AZ41)</formula>
    </cfRule>
  </conditionalFormatting>
  <conditionalFormatting sqref="AY51">
    <cfRule type="expression" dxfId="802" priority="223" stopIfTrue="1">
      <formula>ISERROR(AY51)</formula>
    </cfRule>
  </conditionalFormatting>
  <conditionalFormatting sqref="AY71">
    <cfRule type="expression" dxfId="801" priority="222" stopIfTrue="1">
      <formula>ISERROR(AY71)</formula>
    </cfRule>
  </conditionalFormatting>
  <conditionalFormatting sqref="AX71">
    <cfRule type="expression" dxfId="800" priority="221" stopIfTrue="1">
      <formula>ISERROR(AX71)</formula>
    </cfRule>
  </conditionalFormatting>
  <conditionalFormatting sqref="AW71">
    <cfRule type="expression" dxfId="799" priority="220" stopIfTrue="1">
      <formula>ISERROR(AW71)</formula>
    </cfRule>
  </conditionalFormatting>
  <conditionalFormatting sqref="AT71">
    <cfRule type="expression" dxfId="798" priority="219" stopIfTrue="1">
      <formula>ISERROR(AT71)</formula>
    </cfRule>
  </conditionalFormatting>
  <conditionalFormatting sqref="AS71">
    <cfRule type="expression" dxfId="797" priority="218" stopIfTrue="1">
      <formula>ISERROR(AS71)</formula>
    </cfRule>
  </conditionalFormatting>
  <conditionalFormatting sqref="BA72:BD72">
    <cfRule type="expression" dxfId="796" priority="217" stopIfTrue="1">
      <formula>ISERROR(BA72)</formula>
    </cfRule>
  </conditionalFormatting>
  <conditionalFormatting sqref="AX72:AY72">
    <cfRule type="expression" dxfId="795" priority="216" stopIfTrue="1">
      <formula>ISERROR(AX72)</formula>
    </cfRule>
  </conditionalFormatting>
  <conditionalFormatting sqref="AY79">
    <cfRule type="expression" dxfId="794" priority="215" stopIfTrue="1">
      <formula>ISERROR(AY79)</formula>
    </cfRule>
  </conditionalFormatting>
  <conditionalFormatting sqref="AX79">
    <cfRule type="expression" dxfId="793" priority="214" stopIfTrue="1">
      <formula>ISERROR(AX79)</formula>
    </cfRule>
  </conditionalFormatting>
  <conditionalFormatting sqref="AW79">
    <cfRule type="expression" dxfId="792" priority="213" stopIfTrue="1">
      <formula>ISERROR(AW79)</formula>
    </cfRule>
  </conditionalFormatting>
  <conditionalFormatting sqref="BA80:BB80">
    <cfRule type="expression" dxfId="791" priority="212" stopIfTrue="1">
      <formula>ISERROR(BA80)</formula>
    </cfRule>
  </conditionalFormatting>
  <conditionalFormatting sqref="BC13:BD14">
    <cfRule type="expression" dxfId="790" priority="211" stopIfTrue="1">
      <formula>ISERROR(BC13)</formula>
    </cfRule>
  </conditionalFormatting>
  <conditionalFormatting sqref="BE13">
    <cfRule type="expression" dxfId="789" priority="210" stopIfTrue="1">
      <formula>ISERROR(BE13)</formula>
    </cfRule>
  </conditionalFormatting>
  <conditionalFormatting sqref="BE14">
    <cfRule type="expression" dxfId="788" priority="209" stopIfTrue="1">
      <formula>ISERROR(BE14)</formula>
    </cfRule>
  </conditionalFormatting>
  <conditionalFormatting sqref="BJ13:CD13 BK14:CD14">
    <cfRule type="expression" dxfId="787" priority="208" stopIfTrue="1">
      <formula>ISERROR(BJ13)</formula>
    </cfRule>
  </conditionalFormatting>
  <conditionalFormatting sqref="BK25:CD26">
    <cfRule type="expression" dxfId="786" priority="207" stopIfTrue="1">
      <formula>ISERROR(BK25)</formula>
    </cfRule>
  </conditionalFormatting>
  <conditionalFormatting sqref="BC28:BD28">
    <cfRule type="expression" dxfId="785" priority="206" stopIfTrue="1">
      <formula>ISERROR(BC28)</formula>
    </cfRule>
  </conditionalFormatting>
  <conditionalFormatting sqref="BJ27:BJ28">
    <cfRule type="expression" dxfId="784" priority="205" stopIfTrue="1">
      <formula>ISERROR(BJ27)</formula>
    </cfRule>
  </conditionalFormatting>
  <conditionalFormatting sqref="BO28">
    <cfRule type="expression" dxfId="783" priority="204" stopIfTrue="1">
      <formula>ISERROR(BO28)</formula>
    </cfRule>
  </conditionalFormatting>
  <conditionalFormatting sqref="BT28">
    <cfRule type="expression" dxfId="782" priority="203" stopIfTrue="1">
      <formula>ISERROR(BT28)</formula>
    </cfRule>
  </conditionalFormatting>
  <conditionalFormatting sqref="BY28">
    <cfRule type="expression" dxfId="781" priority="202" stopIfTrue="1">
      <formula>ISERROR(BY28)</formula>
    </cfRule>
  </conditionalFormatting>
  <conditionalFormatting sqref="CD28">
    <cfRule type="expression" dxfId="780" priority="201" stopIfTrue="1">
      <formula>ISERROR(CD28)</formula>
    </cfRule>
  </conditionalFormatting>
  <conditionalFormatting sqref="BC31:BD32 BC35:BD38">
    <cfRule type="expression" dxfId="779" priority="200" stopIfTrue="1">
      <formula>ISERROR(BC31)</formula>
    </cfRule>
  </conditionalFormatting>
  <conditionalFormatting sqref="BC33:BD34">
    <cfRule type="expression" dxfId="778" priority="199" stopIfTrue="1">
      <formula>ISERROR(BC33)</formula>
    </cfRule>
  </conditionalFormatting>
  <conditionalFormatting sqref="BE41:BE42">
    <cfRule type="expression" dxfId="777" priority="198" stopIfTrue="1">
      <formula>ISERROR(BE41)</formula>
    </cfRule>
  </conditionalFormatting>
  <conditionalFormatting sqref="BC47:BD48">
    <cfRule type="expression" dxfId="776" priority="197" stopIfTrue="1">
      <formula>ISERROR(BC47)</formula>
    </cfRule>
  </conditionalFormatting>
  <conditionalFormatting sqref="BC52:BD52">
    <cfRule type="expression" dxfId="775" priority="196" stopIfTrue="1">
      <formula>ISERROR(BC52)</formula>
    </cfRule>
  </conditionalFormatting>
  <conditionalFormatting sqref="BC67:BD68">
    <cfRule type="expression" dxfId="774" priority="195" stopIfTrue="1">
      <formula>ISERROR(BC67)</formula>
    </cfRule>
  </conditionalFormatting>
  <conditionalFormatting sqref="BC69:BD70">
    <cfRule type="expression" dxfId="773" priority="194" stopIfTrue="1">
      <formula>ISERROR(BC69)</formula>
    </cfRule>
  </conditionalFormatting>
  <conditionalFormatting sqref="BO113">
    <cfRule type="expression" dxfId="772" priority="166" stopIfTrue="1">
      <formula>ISERROR(BO113)</formula>
    </cfRule>
  </conditionalFormatting>
  <conditionalFormatting sqref="BE67:BE68">
    <cfRule type="expression" dxfId="771" priority="193" stopIfTrue="1">
      <formula>ISERROR(BE67)</formula>
    </cfRule>
  </conditionalFormatting>
  <conditionalFormatting sqref="BE69">
    <cfRule type="expression" dxfId="770" priority="192" stopIfTrue="1">
      <formula>ISERROR(BE69)</formula>
    </cfRule>
  </conditionalFormatting>
  <conditionalFormatting sqref="BE71:BE72">
    <cfRule type="expression" dxfId="769" priority="191" stopIfTrue="1">
      <formula>ISERROR(BE71)</formula>
    </cfRule>
  </conditionalFormatting>
  <conditionalFormatting sqref="BC73">
    <cfRule type="expression" dxfId="768" priority="190" stopIfTrue="1">
      <formula>ISERROR(BC73)</formula>
    </cfRule>
  </conditionalFormatting>
  <conditionalFormatting sqref="BD73">
    <cfRule type="expression" dxfId="767" priority="189" stopIfTrue="1">
      <formula>ISERROR(BD73)</formula>
    </cfRule>
  </conditionalFormatting>
  <conditionalFormatting sqref="BC74">
    <cfRule type="expression" dxfId="766" priority="188" stopIfTrue="1">
      <formula>ISERROR(BC74)</formula>
    </cfRule>
  </conditionalFormatting>
  <conditionalFormatting sqref="BD74">
    <cfRule type="expression" dxfId="765" priority="187" stopIfTrue="1">
      <formula>ISERROR(BD74)</formula>
    </cfRule>
  </conditionalFormatting>
  <conditionalFormatting sqref="BK67:CD68">
    <cfRule type="expression" dxfId="764" priority="186" stopIfTrue="1">
      <formula>ISERROR(BK67)</formula>
    </cfRule>
  </conditionalFormatting>
  <conditionalFormatting sqref="BK69:CD69 BK70:BN70">
    <cfRule type="expression" dxfId="763" priority="185" stopIfTrue="1">
      <formula>ISERROR(BK69)</formula>
    </cfRule>
  </conditionalFormatting>
  <conditionalFormatting sqref="BK71:CD72">
    <cfRule type="expression" dxfId="762" priority="184" stopIfTrue="1">
      <formula>ISERROR(BK71)</formula>
    </cfRule>
  </conditionalFormatting>
  <conditionalFormatting sqref="BC77:BD78">
    <cfRule type="expression" dxfId="761" priority="183" stopIfTrue="1">
      <formula>ISERROR(BC77)</formula>
    </cfRule>
  </conditionalFormatting>
  <conditionalFormatting sqref="BC80:BD80">
    <cfRule type="expression" dxfId="760" priority="182" stopIfTrue="1">
      <formula>ISERROR(BC80)</formula>
    </cfRule>
  </conditionalFormatting>
  <conditionalFormatting sqref="BC81">
    <cfRule type="expression" dxfId="759" priority="181" stopIfTrue="1">
      <formula>ISERROR(BC81)</formula>
    </cfRule>
  </conditionalFormatting>
  <conditionalFormatting sqref="BC82">
    <cfRule type="expression" dxfId="758" priority="180" stopIfTrue="1">
      <formula>ISERROR(BC82)</formula>
    </cfRule>
  </conditionalFormatting>
  <conditionalFormatting sqref="BD81">
    <cfRule type="expression" dxfId="757" priority="179" stopIfTrue="1">
      <formula>ISERROR(BD81)</formula>
    </cfRule>
  </conditionalFormatting>
  <conditionalFormatting sqref="BD82">
    <cfRule type="expression" dxfId="756" priority="178" stopIfTrue="1">
      <formula>ISERROR(BD82)</formula>
    </cfRule>
  </conditionalFormatting>
  <conditionalFormatting sqref="BE78">
    <cfRule type="expression" dxfId="755" priority="177" stopIfTrue="1">
      <formula>ISERROR(BE78)</formula>
    </cfRule>
  </conditionalFormatting>
  <conditionalFormatting sqref="BE80">
    <cfRule type="expression" dxfId="754" priority="176" stopIfTrue="1">
      <formula>ISERROR(BE80)</formula>
    </cfRule>
  </conditionalFormatting>
  <conditionalFormatting sqref="BK77:CD78">
    <cfRule type="expression" dxfId="753" priority="175" stopIfTrue="1">
      <formula>ISERROR(BK77)</formula>
    </cfRule>
  </conditionalFormatting>
  <conditionalFormatting sqref="BK79:CD80">
    <cfRule type="expression" dxfId="752" priority="174" stopIfTrue="1">
      <formula>ISERROR(BK79)</formula>
    </cfRule>
  </conditionalFormatting>
  <conditionalFormatting sqref="BC113">
    <cfRule type="expression" dxfId="751" priority="173" stopIfTrue="1">
      <formula>ISERROR(BC113)</formula>
    </cfRule>
  </conditionalFormatting>
  <conditionalFormatting sqref="BD113">
    <cfRule type="expression" dxfId="750" priority="172" stopIfTrue="1">
      <formula>ISERROR(BD113)</formula>
    </cfRule>
  </conditionalFormatting>
  <conditionalFormatting sqref="BC115">
    <cfRule type="expression" dxfId="749" priority="171" stopIfTrue="1">
      <formula>ISERROR(BC115)</formula>
    </cfRule>
  </conditionalFormatting>
  <conditionalFormatting sqref="BC116">
    <cfRule type="expression" dxfId="748" priority="170" stopIfTrue="1">
      <formula>ISERROR(BC116)</formula>
    </cfRule>
  </conditionalFormatting>
  <conditionalFormatting sqref="BD115">
    <cfRule type="expression" dxfId="747" priority="169" stopIfTrue="1">
      <formula>ISERROR(BD115)</formula>
    </cfRule>
  </conditionalFormatting>
  <conditionalFormatting sqref="BD116">
    <cfRule type="expression" dxfId="746" priority="168" stopIfTrue="1">
      <formula>ISERROR(BD116)</formula>
    </cfRule>
  </conditionalFormatting>
  <conditionalFormatting sqref="BJ113">
    <cfRule type="expression" dxfId="745" priority="167" stopIfTrue="1">
      <formula>ISERROR(BJ113)</formula>
    </cfRule>
  </conditionalFormatting>
  <conditionalFormatting sqref="BT113">
    <cfRule type="expression" dxfId="744" priority="165" stopIfTrue="1">
      <formula>ISERROR(BT113)</formula>
    </cfRule>
  </conditionalFormatting>
  <conditionalFormatting sqref="BY113">
    <cfRule type="expression" dxfId="743" priority="164" stopIfTrue="1">
      <formula>ISERROR(BY113)</formula>
    </cfRule>
  </conditionalFormatting>
  <conditionalFormatting sqref="AL132:AO132">
    <cfRule type="expression" dxfId="742" priority="162" stopIfTrue="1">
      <formula>ISERROR(AL132)</formula>
    </cfRule>
  </conditionalFormatting>
  <conditionalFormatting sqref="AK130">
    <cfRule type="expression" dxfId="741" priority="161" stopIfTrue="1">
      <formula>ISERROR(AK130)</formula>
    </cfRule>
  </conditionalFormatting>
  <conditionalFormatting sqref="AP130">
    <cfRule type="expression" dxfId="740" priority="160" stopIfTrue="1">
      <formula>ISERROR(AP130)</formula>
    </cfRule>
  </conditionalFormatting>
  <conditionalFormatting sqref="B143:AA143 AG143:AP143 AZ142:BE143 B142:AY142 AV143:AY143 BK142:CD143">
    <cfRule type="expression" dxfId="739" priority="159" stopIfTrue="1">
      <formula>ISERROR(B142)</formula>
    </cfRule>
  </conditionalFormatting>
  <conditionalFormatting sqref="BK141:CD141 C141:BE141">
    <cfRule type="expression" dxfId="738" priority="158" stopIfTrue="1">
      <formula>ISERROR(C141)</formula>
    </cfRule>
  </conditionalFormatting>
  <conditionalFormatting sqref="AQ143:AU143">
    <cfRule type="expression" dxfId="737" priority="157" stopIfTrue="1">
      <formula>ISERROR(AQ143)</formula>
    </cfRule>
  </conditionalFormatting>
  <conditionalFormatting sqref="B141">
    <cfRule type="expression" dxfId="736" priority="156" stopIfTrue="1">
      <formula>ISERROR(B141)</formula>
    </cfRule>
  </conditionalFormatting>
  <conditionalFormatting sqref="B146:B150">
    <cfRule type="expression" dxfId="735" priority="155" stopIfTrue="1">
      <formula>ISERROR(B146)</formula>
    </cfRule>
  </conditionalFormatting>
  <conditionalFormatting sqref="AF146:AO146 BZ146:CD146 BU146:BX146 BP146:BS146 BK146:BN146 BA146:BI146 AV146:AY146 AQ146:AT146">
    <cfRule type="expression" dxfId="734" priority="154" stopIfTrue="1">
      <formula>ISERROR(AF146)</formula>
    </cfRule>
  </conditionalFormatting>
  <conditionalFormatting sqref="B153">
    <cfRule type="expression" dxfId="733" priority="153" stopIfTrue="1">
      <formula>ISERROR(B153)</formula>
    </cfRule>
  </conditionalFormatting>
  <conditionalFormatting sqref="BY147:BY154 BY156">
    <cfRule type="expression" dxfId="732" priority="152" stopIfTrue="1">
      <formula>ISERROR(BY147)</formula>
    </cfRule>
  </conditionalFormatting>
  <conditionalFormatting sqref="BY146">
    <cfRule type="expression" dxfId="731" priority="151" stopIfTrue="1">
      <formula>ISERROR(BY146)</formula>
    </cfRule>
  </conditionalFormatting>
  <conditionalFormatting sqref="BT147:BT156">
    <cfRule type="expression" dxfId="730" priority="150" stopIfTrue="1">
      <formula>ISERROR(BT147)</formula>
    </cfRule>
  </conditionalFormatting>
  <conditionalFormatting sqref="BT146">
    <cfRule type="expression" dxfId="729" priority="149" stopIfTrue="1">
      <formula>ISERROR(BT146)</formula>
    </cfRule>
  </conditionalFormatting>
  <conditionalFormatting sqref="BO147:BO156">
    <cfRule type="expression" dxfId="728" priority="148" stopIfTrue="1">
      <formula>ISERROR(BO147)</formula>
    </cfRule>
  </conditionalFormatting>
  <conditionalFormatting sqref="BO146">
    <cfRule type="expression" dxfId="727" priority="147" stopIfTrue="1">
      <formula>ISERROR(BO146)</formula>
    </cfRule>
  </conditionalFormatting>
  <conditionalFormatting sqref="BJ147:BJ148 BJ154:BJ156">
    <cfRule type="expression" dxfId="726" priority="146" stopIfTrue="1">
      <formula>ISERROR(BJ147)</formula>
    </cfRule>
  </conditionalFormatting>
  <conditionalFormatting sqref="BJ146">
    <cfRule type="expression" dxfId="725" priority="145" stopIfTrue="1">
      <formula>ISERROR(BJ146)</formula>
    </cfRule>
  </conditionalFormatting>
  <conditionalFormatting sqref="AZ147:AZ156">
    <cfRule type="expression" dxfId="724" priority="144" stopIfTrue="1">
      <formula>ISERROR(AZ147)</formula>
    </cfRule>
  </conditionalFormatting>
  <conditionalFormatting sqref="AZ146">
    <cfRule type="expression" dxfId="723" priority="143" stopIfTrue="1">
      <formula>ISERROR(AZ146)</formula>
    </cfRule>
  </conditionalFormatting>
  <conditionalFormatting sqref="AU147:AU156">
    <cfRule type="expression" dxfId="722" priority="142" stopIfTrue="1">
      <formula>ISERROR(AU147)</formula>
    </cfRule>
  </conditionalFormatting>
  <conditionalFormatting sqref="AU146">
    <cfRule type="expression" dxfId="721" priority="141" stopIfTrue="1">
      <formula>ISERROR(AU146)</formula>
    </cfRule>
  </conditionalFormatting>
  <conditionalFormatting sqref="AP147:AP156">
    <cfRule type="expression" dxfId="720" priority="140" stopIfTrue="1">
      <formula>ISERROR(AP147)</formula>
    </cfRule>
  </conditionalFormatting>
  <conditionalFormatting sqref="AP146">
    <cfRule type="expression" dxfId="719" priority="139" stopIfTrue="1">
      <formula>ISERROR(AP146)</formula>
    </cfRule>
  </conditionalFormatting>
  <conditionalFormatting sqref="BO27">
    <cfRule type="expression" dxfId="718" priority="138" stopIfTrue="1">
      <formula>ISERROR(BO27)</formula>
    </cfRule>
  </conditionalFormatting>
  <conditionalFormatting sqref="BT27">
    <cfRule type="expression" dxfId="717" priority="137" stopIfTrue="1">
      <formula>ISERROR(BT27)</formula>
    </cfRule>
  </conditionalFormatting>
  <conditionalFormatting sqref="BY27">
    <cfRule type="expression" dxfId="716" priority="136" stopIfTrue="1">
      <formula>ISERROR(BY27)</formula>
    </cfRule>
  </conditionalFormatting>
  <conditionalFormatting sqref="CD27">
    <cfRule type="expression" dxfId="715" priority="135" stopIfTrue="1">
      <formula>ISERROR(CD27)</formula>
    </cfRule>
  </conditionalFormatting>
  <conditionalFormatting sqref="A87:AE88 CE87">
    <cfRule type="expression" dxfId="714" priority="134" stopIfTrue="1">
      <formula>ISERROR(A87)</formula>
    </cfRule>
  </conditionalFormatting>
  <conditionalFormatting sqref="BC87 AF87:AR88 AZ88:CD88 AZ87 AU87 AU88:AV88 BE87 BK87:CD87">
    <cfRule type="expression" dxfId="713" priority="133" stopIfTrue="1">
      <formula>ISERROR(AF87)</formula>
    </cfRule>
  </conditionalFormatting>
  <conditionalFormatting sqref="BB87">
    <cfRule type="expression" dxfId="712" priority="132" stopIfTrue="1">
      <formula>ISERROR(BB87)</formula>
    </cfRule>
  </conditionalFormatting>
  <conditionalFormatting sqref="AW88:AX88">
    <cfRule type="expression" dxfId="711" priority="131" stopIfTrue="1">
      <formula>ISERROR(AW88)</formula>
    </cfRule>
  </conditionalFormatting>
  <conditionalFormatting sqref="AW87:AX87">
    <cfRule type="expression" dxfId="710" priority="130" stopIfTrue="1">
      <formula>ISERROR(AW87)</formula>
    </cfRule>
  </conditionalFormatting>
  <conditionalFormatting sqref="BA87">
    <cfRule type="expression" dxfId="709" priority="129" stopIfTrue="1">
      <formula>ISERROR(BA87)</formula>
    </cfRule>
  </conditionalFormatting>
  <conditionalFormatting sqref="AV87">
    <cfRule type="expression" dxfId="708" priority="128" stopIfTrue="1">
      <formula>ISERROR(AV87)</formula>
    </cfRule>
  </conditionalFormatting>
  <conditionalFormatting sqref="AY88">
    <cfRule type="expression" dxfId="707" priority="127" stopIfTrue="1">
      <formula>ISERROR(AY88)</formula>
    </cfRule>
  </conditionalFormatting>
  <conditionalFormatting sqref="AY87">
    <cfRule type="expression" dxfId="706" priority="126" stopIfTrue="1">
      <formula>ISERROR(AY87)</formula>
    </cfRule>
  </conditionalFormatting>
  <conditionalFormatting sqref="AT88">
    <cfRule type="expression" dxfId="705" priority="125" stopIfTrue="1">
      <formula>ISERROR(AT88)</formula>
    </cfRule>
  </conditionalFormatting>
  <conditionalFormatting sqref="AT87">
    <cfRule type="expression" dxfId="704" priority="124" stopIfTrue="1">
      <formula>ISERROR(AT87)</formula>
    </cfRule>
  </conditionalFormatting>
  <conditionalFormatting sqref="AS88">
    <cfRule type="expression" dxfId="703" priority="123" stopIfTrue="1">
      <formula>ISERROR(AS88)</formula>
    </cfRule>
  </conditionalFormatting>
  <conditionalFormatting sqref="AS87">
    <cfRule type="expression" dxfId="702" priority="122" stopIfTrue="1">
      <formula>ISERROR(AS87)</formula>
    </cfRule>
  </conditionalFormatting>
  <conditionalFormatting sqref="BD87">
    <cfRule type="expression" dxfId="701" priority="121" stopIfTrue="1">
      <formula>ISERROR(BD87)</formula>
    </cfRule>
  </conditionalFormatting>
  <conditionalFormatting sqref="CF73">
    <cfRule type="expression" dxfId="700" priority="120" stopIfTrue="1">
      <formula>ISERROR(CF73)</formula>
    </cfRule>
  </conditionalFormatting>
  <conditionalFormatting sqref="CF81">
    <cfRule type="expression" dxfId="699" priority="119" stopIfTrue="1">
      <formula>ISERROR(CF81)</formula>
    </cfRule>
  </conditionalFormatting>
  <conditionalFormatting sqref="CF84">
    <cfRule type="expression" dxfId="698" priority="118" stopIfTrue="1">
      <formula>ISERROR(CF84)</formula>
    </cfRule>
  </conditionalFormatting>
  <conditionalFormatting sqref="CF87">
    <cfRule type="expression" dxfId="697" priority="117" stopIfTrue="1">
      <formula>ISERROR(CF87)</formula>
    </cfRule>
  </conditionalFormatting>
  <conditionalFormatting sqref="CF113">
    <cfRule type="expression" dxfId="696" priority="116" stopIfTrue="1">
      <formula>ISERROR(CF113)</formula>
    </cfRule>
  </conditionalFormatting>
  <conditionalFormatting sqref="CF117">
    <cfRule type="expression" dxfId="695" priority="115" stopIfTrue="1">
      <formula>ISERROR(CF117)</formula>
    </cfRule>
  </conditionalFormatting>
  <conditionalFormatting sqref="CF137">
    <cfRule type="expression" dxfId="694" priority="114" stopIfTrue="1">
      <formula>ISERROR(CF137)</formula>
    </cfRule>
  </conditionalFormatting>
  <conditionalFormatting sqref="BJ78">
    <cfRule type="expression" dxfId="693" priority="32" stopIfTrue="1">
      <formula>ISERROR(BJ78)</formula>
    </cfRule>
  </conditionalFormatting>
  <conditionalFormatting sqref="BF87:BI87">
    <cfRule type="expression" dxfId="692" priority="27" stopIfTrue="1">
      <formula>ISERROR(BF87)</formula>
    </cfRule>
  </conditionalFormatting>
  <conditionalFormatting sqref="BO70:CD70">
    <cfRule type="expression" dxfId="691" priority="61" stopIfTrue="1">
      <formula>ISERROR(BO70)</formula>
    </cfRule>
  </conditionalFormatting>
  <conditionalFormatting sqref="BF15:BI26 BF11:BI12">
    <cfRule type="expression" dxfId="690" priority="60" stopIfTrue="1">
      <formula>ISERROR(BF11)</formula>
    </cfRule>
  </conditionalFormatting>
  <conditionalFormatting sqref="BF13:BI14">
    <cfRule type="expression" dxfId="689" priority="59" stopIfTrue="1">
      <formula>ISERROR(BF13)</formula>
    </cfRule>
  </conditionalFormatting>
  <conditionalFormatting sqref="BF116:BI116">
    <cfRule type="expression" dxfId="688" priority="15" stopIfTrue="1">
      <formula>ISERROR(BF116)</formula>
    </cfRule>
  </conditionalFormatting>
  <conditionalFormatting sqref="BJ14">
    <cfRule type="expression" dxfId="687" priority="58" stopIfTrue="1">
      <formula>ISERROR(BJ14)</formula>
    </cfRule>
  </conditionalFormatting>
  <conditionalFormatting sqref="BJ26">
    <cfRule type="expression" dxfId="686" priority="57" stopIfTrue="1">
      <formula>ISERROR(BJ26)</formula>
    </cfRule>
  </conditionalFormatting>
  <conditionalFormatting sqref="BJ25">
    <cfRule type="expression" dxfId="685" priority="56" stopIfTrue="1">
      <formula>ISERROR(BJ25)</formula>
    </cfRule>
  </conditionalFormatting>
  <conditionalFormatting sqref="BF42:BI42 BF39:BI40">
    <cfRule type="expression" dxfId="684" priority="55" stopIfTrue="1">
      <formula>ISERROR(BF39)</formula>
    </cfRule>
  </conditionalFormatting>
  <conditionalFormatting sqref="BF31:BI32 BF41:BI41 BF35:BI38">
    <cfRule type="expression" dxfId="683" priority="54" stopIfTrue="1">
      <formula>ISERROR(BF31)</formula>
    </cfRule>
  </conditionalFormatting>
  <conditionalFormatting sqref="BF33:BI34">
    <cfRule type="expression" dxfId="682" priority="53" stopIfTrue="1">
      <formula>ISERROR(BF33)</formula>
    </cfRule>
  </conditionalFormatting>
  <conditionalFormatting sqref="BF27:BI27">
    <cfRule type="expression" dxfId="681" priority="52" stopIfTrue="1">
      <formula>ISERROR(BF27)</formula>
    </cfRule>
  </conditionalFormatting>
  <conditionalFormatting sqref="BF28:BI28">
    <cfRule type="expression" dxfId="680" priority="51" stopIfTrue="1">
      <formula>ISERROR(BF28)</formula>
    </cfRule>
  </conditionalFormatting>
  <conditionalFormatting sqref="BF49:BI50">
    <cfRule type="expression" dxfId="679" priority="50" stopIfTrue="1">
      <formula>ISERROR(BF49)</formula>
    </cfRule>
  </conditionalFormatting>
  <conditionalFormatting sqref="BF47:BI48">
    <cfRule type="expression" dxfId="678" priority="49" stopIfTrue="1">
      <formula>ISERROR(BF47)</formula>
    </cfRule>
  </conditionalFormatting>
  <conditionalFormatting sqref="BF51:BI52">
    <cfRule type="expression" dxfId="677" priority="48" stopIfTrue="1">
      <formula>ISERROR(BF51)</formula>
    </cfRule>
  </conditionalFormatting>
  <conditionalFormatting sqref="BF63:BI64">
    <cfRule type="expression" dxfId="676" priority="47" stopIfTrue="1">
      <formula>ISERROR(BF63)</formula>
    </cfRule>
  </conditionalFormatting>
  <conditionalFormatting sqref="BF125:BI136">
    <cfRule type="expression" dxfId="675" priority="13" stopIfTrue="1">
      <formula>ISERROR(BF125)</formula>
    </cfRule>
  </conditionalFormatting>
  <conditionalFormatting sqref="BF67:BI68">
    <cfRule type="expression" dxfId="674" priority="46" stopIfTrue="1">
      <formula>ISERROR(BF67)</formula>
    </cfRule>
  </conditionalFormatting>
  <conditionalFormatting sqref="BF69:BI70">
    <cfRule type="expression" dxfId="673" priority="45" stopIfTrue="1">
      <formula>ISERROR(BF69)</formula>
    </cfRule>
  </conditionalFormatting>
  <conditionalFormatting sqref="BF71:BI72">
    <cfRule type="expression" dxfId="672" priority="44" stopIfTrue="1">
      <formula>ISERROR(BF71)</formula>
    </cfRule>
  </conditionalFormatting>
  <conditionalFormatting sqref="BJ63:BJ64">
    <cfRule type="expression" dxfId="671" priority="43" stopIfTrue="1">
      <formula>ISERROR(BJ63)</formula>
    </cfRule>
  </conditionalFormatting>
  <conditionalFormatting sqref="BF65:BI66">
    <cfRule type="expression" dxfId="670" priority="42" stopIfTrue="1">
      <formula>ISERROR(BF65)</formula>
    </cfRule>
  </conditionalFormatting>
  <conditionalFormatting sqref="BJ65:BJ66">
    <cfRule type="expression" dxfId="669" priority="41" stopIfTrue="1">
      <formula>ISERROR(BJ65)</formula>
    </cfRule>
  </conditionalFormatting>
  <conditionalFormatting sqref="BF7:BI7">
    <cfRule type="expression" dxfId="668" priority="9" stopIfTrue="1">
      <formula>ISERROR(BF7)</formula>
    </cfRule>
  </conditionalFormatting>
  <conditionalFormatting sqref="BJ67:BJ68">
    <cfRule type="expression" dxfId="667" priority="40" stopIfTrue="1">
      <formula>ISERROR(BJ67)</formula>
    </cfRule>
  </conditionalFormatting>
  <conditionalFormatting sqref="BJ69:BJ70">
    <cfRule type="expression" dxfId="666" priority="39" stopIfTrue="1">
      <formula>ISERROR(BJ69)</formula>
    </cfRule>
  </conditionalFormatting>
  <conditionalFormatting sqref="BF73:BI73">
    <cfRule type="expression" dxfId="665" priority="38" stopIfTrue="1">
      <formula>ISERROR(BF73)</formula>
    </cfRule>
  </conditionalFormatting>
  <conditionalFormatting sqref="BF74:BI74">
    <cfRule type="expression" dxfId="664" priority="37" stopIfTrue="1">
      <formula>ISERROR(BF74)</formula>
    </cfRule>
  </conditionalFormatting>
  <conditionalFormatting sqref="BJ71:BJ72">
    <cfRule type="expression" dxfId="663" priority="36" stopIfTrue="1">
      <formula>ISERROR(BJ71)</formula>
    </cfRule>
  </conditionalFormatting>
  <conditionalFormatting sqref="BF77:BI78">
    <cfRule type="expression" dxfId="662" priority="35" stopIfTrue="1">
      <formula>ISERROR(BF77)</formula>
    </cfRule>
  </conditionalFormatting>
  <conditionalFormatting sqref="BF79:BI80">
    <cfRule type="expression" dxfId="661" priority="34" stopIfTrue="1">
      <formula>ISERROR(BF79)</formula>
    </cfRule>
  </conditionalFormatting>
  <conditionalFormatting sqref="BJ77">
    <cfRule type="expression" dxfId="660" priority="33" stopIfTrue="1">
      <formula>ISERROR(BJ77)</formula>
    </cfRule>
  </conditionalFormatting>
  <conditionalFormatting sqref="BJ79">
    <cfRule type="expression" dxfId="659" priority="31" stopIfTrue="1">
      <formula>ISERROR(BJ79)</formula>
    </cfRule>
  </conditionalFormatting>
  <conditionalFormatting sqref="BJ80">
    <cfRule type="expression" dxfId="658" priority="30" stopIfTrue="1">
      <formula>ISERROR(BJ80)</formula>
    </cfRule>
  </conditionalFormatting>
  <conditionalFormatting sqref="BF81:BI81">
    <cfRule type="expression" dxfId="657" priority="29" stopIfTrue="1">
      <formula>ISERROR(BF81)</formula>
    </cfRule>
  </conditionalFormatting>
  <conditionalFormatting sqref="BF82:BI82">
    <cfRule type="expression" dxfId="656" priority="28" stopIfTrue="1">
      <formula>ISERROR(BF82)</formula>
    </cfRule>
  </conditionalFormatting>
  <conditionalFormatting sqref="BF97:BI111">
    <cfRule type="expression" dxfId="655" priority="26" stopIfTrue="1">
      <formula>ISERROR(BF97)</formula>
    </cfRule>
  </conditionalFormatting>
  <conditionalFormatting sqref="BJ87">
    <cfRule type="expression" dxfId="654" priority="25" stopIfTrue="1">
      <formula>ISERROR(BJ87)</formula>
    </cfRule>
  </conditionalFormatting>
  <conditionalFormatting sqref="BJ97">
    <cfRule type="expression" dxfId="653" priority="24" stopIfTrue="1">
      <formula>ISERROR(BJ97)</formula>
    </cfRule>
  </conditionalFormatting>
  <conditionalFormatting sqref="BJ99">
    <cfRule type="expression" dxfId="652" priority="23" stopIfTrue="1">
      <formula>ISERROR(BJ99)</formula>
    </cfRule>
  </conditionalFormatting>
  <conditionalFormatting sqref="BJ101">
    <cfRule type="expression" dxfId="651" priority="22" stopIfTrue="1">
      <formula>ISERROR(BJ101)</formula>
    </cfRule>
  </conditionalFormatting>
  <conditionalFormatting sqref="BJ103">
    <cfRule type="expression" dxfId="650" priority="21" stopIfTrue="1">
      <formula>ISERROR(BJ103)</formula>
    </cfRule>
  </conditionalFormatting>
  <conditionalFormatting sqref="BJ107">
    <cfRule type="expression" dxfId="649" priority="20" stopIfTrue="1">
      <formula>ISERROR(BJ107)</formula>
    </cfRule>
  </conditionalFormatting>
  <conditionalFormatting sqref="BJ109">
    <cfRule type="expression" dxfId="648" priority="19" stopIfTrue="1">
      <formula>ISERROR(BJ109)</formula>
    </cfRule>
  </conditionalFormatting>
  <conditionalFormatting sqref="BJ111">
    <cfRule type="expression" dxfId="647" priority="18" stopIfTrue="1">
      <formula>ISERROR(BJ111)</formula>
    </cfRule>
  </conditionalFormatting>
  <conditionalFormatting sqref="BF113:BI113">
    <cfRule type="expression" dxfId="646" priority="17" stopIfTrue="1">
      <formula>ISERROR(BF113)</formula>
    </cfRule>
  </conditionalFormatting>
  <conditionalFormatting sqref="BF115:BI115">
    <cfRule type="expression" dxfId="645" priority="16" stopIfTrue="1">
      <formula>ISERROR(BF115)</formula>
    </cfRule>
  </conditionalFormatting>
  <conditionalFormatting sqref="BF117:BI120">
    <cfRule type="expression" dxfId="644" priority="14" stopIfTrue="1">
      <formula>ISERROR(BF117)</formula>
    </cfRule>
  </conditionalFormatting>
  <conditionalFormatting sqref="BF137:BI138">
    <cfRule type="expression" dxfId="643" priority="12" stopIfTrue="1">
      <formula>ISERROR(BF137)</formula>
    </cfRule>
  </conditionalFormatting>
  <conditionalFormatting sqref="BF142:BJ143">
    <cfRule type="expression" dxfId="642" priority="11" stopIfTrue="1">
      <formula>ISERROR(BF142)</formula>
    </cfRule>
  </conditionalFormatting>
  <conditionalFormatting sqref="BF141:BJ141">
    <cfRule type="expression" dxfId="641" priority="10" stopIfTrue="1">
      <formula>ISERROR(BF141)</formula>
    </cfRule>
  </conditionalFormatting>
  <conditionalFormatting sqref="AX157">
    <cfRule type="expression" dxfId="640" priority="8" stopIfTrue="1">
      <formula>ISERROR(AX157)</formula>
    </cfRule>
  </conditionalFormatting>
  <conditionalFormatting sqref="AW157">
    <cfRule type="expression" dxfId="639" priority="7" stopIfTrue="1">
      <formula>ISERROR(AW157)</formula>
    </cfRule>
  </conditionalFormatting>
  <conditionalFormatting sqref="AV157">
    <cfRule type="expression" dxfId="638" priority="6" stopIfTrue="1">
      <formula>ISERROR(AV157)</formula>
    </cfRule>
  </conditionalFormatting>
  <conditionalFormatting sqref="BJ149">
    <cfRule type="expression" dxfId="637" priority="5" stopIfTrue="1">
      <formula>ISERROR(BJ149)</formula>
    </cfRule>
  </conditionalFormatting>
  <conditionalFormatting sqref="BJ150">
    <cfRule type="expression" dxfId="636" priority="4" stopIfTrue="1">
      <formula>ISERROR(BJ150)</formula>
    </cfRule>
  </conditionalFormatting>
  <conditionalFormatting sqref="BJ151:BJ153">
    <cfRule type="expression" dxfId="635" priority="3" stopIfTrue="1">
      <formula>ISERROR(BJ151)</formula>
    </cfRule>
  </conditionalFormatting>
  <conditionalFormatting sqref="BY155">
    <cfRule type="expression" dxfId="634" priority="2" stopIfTrue="1">
      <formula>ISERROR(BY155)</formula>
    </cfRule>
  </conditionalFormatting>
  <conditionalFormatting sqref="CD155">
    <cfRule type="expression" dxfId="633" priority="1" stopIfTrue="1">
      <formula>ISERROR(CD155)</formula>
    </cfRule>
  </conditionalFormatting>
  <dataValidations count="1">
    <dataValidation type="custom" allowBlank="1" showInputMessage="1" showErrorMessage="1" sqref="R6:U8 AG7:AJ8 AB7:AE8 AL7:AO8 AQ7:AT8 AV7:AY8 W7:Z8 BF7:BI8 BP8:BS8 BU8:BX8 BZ8:CC8 BK8:BN8 BA7:BD8" xr:uid="{00000000-0002-0000-0000-000000000000}">
      <formula1>-1</formula1>
    </dataValidation>
  </dataValidations>
  <pageMargins left="0.75" right="0.75" top="1" bottom="1" header="0.5" footer="0.5"/>
  <pageSetup scale="35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XCW124"/>
  <sheetViews>
    <sheetView showGridLines="0" workbookViewId="0">
      <pane xSplit="2" ySplit="8" topLeftCell="AF9" activePane="bottomRight" state="frozen"/>
      <selection activeCell="L4" sqref="L4"/>
      <selection pane="topRight" activeCell="L4" sqref="L4"/>
      <selection pane="bottomLeft" activeCell="L4" sqref="L4"/>
      <selection pane="bottomRight" activeCell="B4" sqref="B4:B5"/>
    </sheetView>
  </sheetViews>
  <sheetFormatPr baseColWidth="10" defaultColWidth="9.1640625" defaultRowHeight="12" customHeight="1" outlineLevelRow="1" outlineLevelCol="1"/>
  <cols>
    <col min="1" max="1" width="2" style="2" customWidth="1"/>
    <col min="2" max="2" width="31.1640625" style="2" customWidth="1"/>
    <col min="3" max="3" width="8.83203125" style="2" hidden="1" customWidth="1" outlineLevel="1"/>
    <col min="4" max="4" width="8.6640625" style="2" hidden="1" customWidth="1" outlineLevel="1"/>
    <col min="5" max="6" width="8.83203125" style="2" hidden="1" customWidth="1" outlineLevel="1"/>
    <col min="7" max="7" width="8.6640625" style="2" hidden="1" customWidth="1" collapsed="1"/>
    <col min="8" max="8" width="8.83203125" style="2" hidden="1" customWidth="1" outlineLevel="1"/>
    <col min="9" max="9" width="8.6640625" style="2" hidden="1" customWidth="1" outlineLevel="1"/>
    <col min="10" max="11" width="8.83203125" style="2" hidden="1" customWidth="1" outlineLevel="1"/>
    <col min="12" max="12" width="9.1640625" style="2" hidden="1" customWidth="1" collapsed="1"/>
    <col min="13" max="13" width="8.83203125" style="2" hidden="1" customWidth="1" outlineLevel="1"/>
    <col min="14" max="14" width="8.6640625" style="2" hidden="1" customWidth="1" outlineLevel="1"/>
    <col min="15" max="16" width="8.83203125" style="2" hidden="1" customWidth="1" outlineLevel="1"/>
    <col min="17" max="17" width="8.6640625" style="2" hidden="1" customWidth="1" collapsed="1"/>
    <col min="18" max="18" width="8.83203125" style="2" hidden="1" customWidth="1" outlineLevel="1"/>
    <col min="19" max="19" width="8.6640625" style="2" hidden="1" customWidth="1" outlineLevel="1"/>
    <col min="20" max="21" width="8.83203125" style="2" hidden="1" customWidth="1" outlineLevel="1"/>
    <col min="22" max="22" width="8.6640625" style="2" hidden="1" customWidth="1" collapsed="1"/>
    <col min="23" max="23" width="8.83203125" style="2" hidden="1" customWidth="1" outlineLevel="1"/>
    <col min="24" max="24" width="8.6640625" style="2" hidden="1" customWidth="1" outlineLevel="1"/>
    <col min="25" max="26" width="8.83203125" style="2" hidden="1" customWidth="1" outlineLevel="1"/>
    <col min="27" max="27" width="8.6640625" style="2" hidden="1" customWidth="1" collapsed="1"/>
    <col min="28" max="28" width="8.83203125" style="2" hidden="1" customWidth="1" outlineLevel="1"/>
    <col min="29" max="29" width="8.6640625" style="2" hidden="1" customWidth="1" outlineLevel="1"/>
    <col min="30" max="30" width="8.83203125" style="2" hidden="1" customWidth="1" outlineLevel="1"/>
    <col min="31" max="31" width="9.33203125" style="2" hidden="1" customWidth="1" outlineLevel="1"/>
    <col min="32" max="32" width="9" style="2" customWidth="1" collapsed="1"/>
    <col min="33" max="33" width="8.6640625" style="2" hidden="1" customWidth="1" outlineLevel="1"/>
    <col min="34" max="34" width="8.5" style="2" hidden="1" customWidth="1" outlineLevel="1"/>
    <col min="35" max="36" width="8.6640625" style="2" hidden="1" customWidth="1" outlineLevel="1"/>
    <col min="37" max="37" width="9.5" style="2" customWidth="1" collapsed="1"/>
    <col min="38" max="38" width="8.6640625" style="2" hidden="1" customWidth="1" outlineLevel="1"/>
    <col min="39" max="39" width="8.5" style="2" hidden="1" customWidth="1" outlineLevel="1"/>
    <col min="40" max="41" width="8.6640625" style="2" hidden="1" customWidth="1" outlineLevel="1"/>
    <col min="42" max="42" width="9.5" style="2" customWidth="1" collapsed="1"/>
    <col min="43" max="43" width="8.6640625" style="2" hidden="1" customWidth="1" outlineLevel="1"/>
    <col min="44" max="44" width="8.5" style="2" hidden="1" customWidth="1" outlineLevel="1"/>
    <col min="45" max="45" width="11" style="2" hidden="1" customWidth="1" outlineLevel="1"/>
    <col min="46" max="46" width="8.6640625" style="2" hidden="1" customWidth="1" outlineLevel="1"/>
    <col min="47" max="47" width="10" style="2" customWidth="1" collapsed="1"/>
    <col min="48" max="51" width="8.5" style="2" hidden="1" customWidth="1" outlineLevel="1"/>
    <col min="52" max="52" width="9.5" style="2" customWidth="1" collapsed="1"/>
    <col min="53" max="56" width="8.5" style="2" hidden="1" customWidth="1" outlineLevel="1"/>
    <col min="57" max="57" width="9.5" style="2" bestFit="1" customWidth="1" collapsed="1"/>
    <col min="58" max="61" width="8.5" style="2" hidden="1" customWidth="1" outlineLevel="1"/>
    <col min="62" max="62" width="9.5" style="2" bestFit="1" customWidth="1" collapsed="1"/>
    <col min="63" max="66" width="8.5" style="2" hidden="1" customWidth="1" outlineLevel="1"/>
    <col min="67" max="67" width="9.5" style="2" bestFit="1" customWidth="1" collapsed="1"/>
    <col min="68" max="71" width="8.5" style="2" hidden="1" customWidth="1" outlineLevel="1"/>
    <col min="72" max="72" width="9.5" style="2" bestFit="1" customWidth="1" collapsed="1"/>
    <col min="73" max="76" width="8.5" style="2" hidden="1" customWidth="1" outlineLevel="1"/>
    <col min="77" max="77" width="9.5" style="2" bestFit="1" customWidth="1" collapsed="1"/>
    <col min="78" max="81" width="8.5" style="2" hidden="1" customWidth="1" outlineLevel="1"/>
    <col min="82" max="82" width="9.5" style="2" bestFit="1" customWidth="1" collapsed="1"/>
    <col min="83" max="83" width="1.6640625" style="2" customWidth="1"/>
    <col min="84" max="84" width="37" style="2" customWidth="1"/>
    <col min="85" max="16384" width="9.1640625" style="2"/>
  </cols>
  <sheetData>
    <row r="1" spans="1:84" ht="12" customHeight="1">
      <c r="AZ1" s="3"/>
    </row>
    <row r="2" spans="1:84">
      <c r="B2" s="4" t="s">
        <v>1</v>
      </c>
      <c r="AN2" s="3"/>
      <c r="AW2" s="5"/>
      <c r="AX2" s="5"/>
      <c r="BE2" s="3"/>
      <c r="BJ2" s="3"/>
      <c r="BO2" s="3"/>
      <c r="BY2" s="3"/>
    </row>
    <row r="3" spans="1:84">
      <c r="B3" s="6" t="s">
        <v>2</v>
      </c>
      <c r="AR3" s="7"/>
      <c r="AW3" s="3"/>
      <c r="AY3" s="3"/>
      <c r="BJ3" s="3"/>
    </row>
    <row r="4" spans="1:84">
      <c r="A4" s="8"/>
      <c r="B4" s="9"/>
      <c r="AB4" s="10"/>
      <c r="AC4" s="10"/>
      <c r="AD4" s="10"/>
      <c r="AE4" s="10"/>
      <c r="AF4" s="10"/>
      <c r="AG4" s="10"/>
      <c r="AH4" s="10"/>
      <c r="AI4" s="10"/>
      <c r="AJ4" s="10"/>
      <c r="AK4" s="10"/>
      <c r="AQ4" s="11"/>
      <c r="AR4" s="11"/>
      <c r="AT4" s="11"/>
      <c r="AU4" s="10"/>
      <c r="AY4" s="5"/>
      <c r="BE4" s="3"/>
      <c r="BJ4" s="3"/>
    </row>
    <row r="5" spans="1:84">
      <c r="A5" s="8"/>
      <c r="B5" s="12"/>
      <c r="Y5" s="13"/>
      <c r="Z5" s="14"/>
      <c r="AA5" s="14"/>
      <c r="AB5" s="14"/>
      <c r="AC5" s="14"/>
      <c r="AD5" s="14"/>
      <c r="AE5" s="14"/>
      <c r="AF5" s="15">
        <v>2010</v>
      </c>
      <c r="AG5" s="15"/>
      <c r="AH5" s="15"/>
      <c r="AI5" s="15"/>
      <c r="AJ5" s="15"/>
      <c r="AK5" s="15"/>
      <c r="AL5" s="15"/>
      <c r="AM5" s="15"/>
      <c r="AN5" s="15"/>
      <c r="AO5" s="15"/>
      <c r="AP5" s="15"/>
      <c r="AQ5" s="15"/>
      <c r="AR5" s="15"/>
      <c r="AS5" s="15"/>
      <c r="AT5" s="15"/>
      <c r="AU5" s="15"/>
      <c r="AV5" s="15">
        <f t="shared" ref="AV5:AX5" si="0">AQ5+1</f>
        <v>1</v>
      </c>
      <c r="AW5" s="15">
        <f t="shared" si="0"/>
        <v>1</v>
      </c>
      <c r="AX5" s="15">
        <f t="shared" si="0"/>
        <v>1</v>
      </c>
      <c r="AY5" s="15"/>
      <c r="AZ5" s="16"/>
      <c r="BA5" s="15"/>
      <c r="BB5" s="15"/>
      <c r="BC5" s="15"/>
      <c r="BD5" s="16"/>
      <c r="BE5" s="15"/>
      <c r="BF5" s="15"/>
      <c r="BG5" s="15"/>
      <c r="BH5" s="15"/>
      <c r="BI5" s="15"/>
      <c r="BJ5" s="15"/>
      <c r="BK5" s="15"/>
      <c r="BL5" s="15"/>
      <c r="BM5" s="15"/>
      <c r="BN5" s="15"/>
      <c r="BO5" s="17"/>
      <c r="BP5" s="15"/>
      <c r="BQ5" s="15"/>
      <c r="BR5" s="15"/>
      <c r="BS5" s="15"/>
      <c r="BT5" s="15"/>
      <c r="BU5" s="15"/>
      <c r="BV5" s="15"/>
      <c r="BW5" s="15"/>
      <c r="BX5" s="15"/>
      <c r="BY5" s="15"/>
      <c r="BZ5" s="15"/>
      <c r="CA5" s="15"/>
      <c r="CB5" s="15"/>
      <c r="CC5" s="15"/>
      <c r="CD5" s="15"/>
    </row>
    <row r="6" spans="1:84" ht="12" customHeight="1">
      <c r="AB6" s="18"/>
      <c r="AC6" s="18"/>
      <c r="AD6" s="19" t="s">
        <v>3</v>
      </c>
      <c r="AE6" s="20" t="s">
        <v>4</v>
      </c>
      <c r="AG6" s="21"/>
      <c r="BB6" s="3"/>
      <c r="BD6" s="3"/>
      <c r="BE6" s="3"/>
      <c r="BJ6" s="3"/>
    </row>
    <row r="7" spans="1:84">
      <c r="B7" s="22" t="s">
        <v>5</v>
      </c>
      <c r="C7" s="23">
        <v>38412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5"/>
      <c r="BA7" s="23">
        <v>42064</v>
      </c>
      <c r="BB7" s="23">
        <v>42156</v>
      </c>
      <c r="BC7" s="23">
        <v>42248</v>
      </c>
      <c r="BD7" s="26">
        <v>42339</v>
      </c>
      <c r="BE7" s="25"/>
      <c r="BF7" s="23">
        <v>42430</v>
      </c>
      <c r="BG7" s="23">
        <v>42522</v>
      </c>
      <c r="BH7" s="23">
        <v>42614</v>
      </c>
      <c r="BI7" s="23">
        <v>42705</v>
      </c>
      <c r="BJ7" s="24"/>
      <c r="BK7" s="23">
        <v>42795</v>
      </c>
      <c r="BL7" s="23">
        <v>42887</v>
      </c>
      <c r="BM7" s="23">
        <v>42979</v>
      </c>
      <c r="BN7" s="23">
        <v>43070</v>
      </c>
      <c r="BO7" s="25"/>
      <c r="BP7" s="23">
        <v>43160</v>
      </c>
      <c r="BQ7" s="23">
        <v>43252</v>
      </c>
      <c r="BR7" s="23">
        <v>43344</v>
      </c>
      <c r="BS7" s="23">
        <v>43435</v>
      </c>
      <c r="BT7" s="24"/>
      <c r="BU7" s="23">
        <v>43525</v>
      </c>
      <c r="BV7" s="23">
        <v>43617</v>
      </c>
      <c r="BW7" s="23">
        <v>43709</v>
      </c>
      <c r="BX7" s="23">
        <v>43800</v>
      </c>
      <c r="BY7" s="25"/>
      <c r="BZ7" s="23">
        <v>43891</v>
      </c>
      <c r="CA7" s="23">
        <v>43983</v>
      </c>
      <c r="CB7" s="23">
        <v>44075</v>
      </c>
      <c r="CC7" s="23">
        <v>44166</v>
      </c>
      <c r="CD7" s="24"/>
      <c r="CF7" s="27"/>
    </row>
    <row r="8" spans="1:84" s="28" customFormat="1">
      <c r="B8" s="29" t="s">
        <v>6</v>
      </c>
      <c r="C8" s="30" t="s">
        <v>7</v>
      </c>
      <c r="D8" s="30" t="s">
        <v>8</v>
      </c>
      <c r="E8" s="30" t="s">
        <v>9</v>
      </c>
      <c r="F8" s="30" t="s">
        <v>10</v>
      </c>
      <c r="G8" s="31" t="s">
        <v>11</v>
      </c>
      <c r="H8" s="30" t="s">
        <v>7</v>
      </c>
      <c r="I8" s="30" t="s">
        <v>8</v>
      </c>
      <c r="J8" s="30" t="s">
        <v>9</v>
      </c>
      <c r="K8" s="30" t="s">
        <v>10</v>
      </c>
      <c r="L8" s="31" t="s">
        <v>12</v>
      </c>
      <c r="M8" s="30" t="s">
        <v>7</v>
      </c>
      <c r="N8" s="30" t="s">
        <v>8</v>
      </c>
      <c r="O8" s="30" t="s">
        <v>9</v>
      </c>
      <c r="P8" s="30" t="s">
        <v>10</v>
      </c>
      <c r="Q8" s="31" t="s">
        <v>13</v>
      </c>
      <c r="R8" s="30" t="s">
        <v>7</v>
      </c>
      <c r="S8" s="30" t="s">
        <v>8</v>
      </c>
      <c r="T8" s="30" t="s">
        <v>9</v>
      </c>
      <c r="U8" s="30" t="s">
        <v>10</v>
      </c>
      <c r="V8" s="31" t="s">
        <v>14</v>
      </c>
      <c r="W8" s="30" t="s">
        <v>7</v>
      </c>
      <c r="X8" s="30" t="s">
        <v>8</v>
      </c>
      <c r="Y8" s="30" t="s">
        <v>9</v>
      </c>
      <c r="Z8" s="30" t="s">
        <v>10</v>
      </c>
      <c r="AA8" s="31" t="s">
        <v>15</v>
      </c>
      <c r="AB8" s="30" t="s">
        <v>7</v>
      </c>
      <c r="AC8" s="30" t="s">
        <v>8</v>
      </c>
      <c r="AD8" s="30" t="s">
        <v>9</v>
      </c>
      <c r="AE8" s="30" t="s">
        <v>10</v>
      </c>
      <c r="AF8" s="31" t="s">
        <v>16</v>
      </c>
      <c r="AG8" s="30" t="s">
        <v>7</v>
      </c>
      <c r="AH8" s="30" t="s">
        <v>8</v>
      </c>
      <c r="AI8" s="30" t="s">
        <v>9</v>
      </c>
      <c r="AJ8" s="30" t="s">
        <v>10</v>
      </c>
      <c r="AK8" s="31" t="s">
        <v>17</v>
      </c>
      <c r="AL8" s="30" t="s">
        <v>7</v>
      </c>
      <c r="AM8" s="30" t="s">
        <v>8</v>
      </c>
      <c r="AN8" s="30" t="s">
        <v>9</v>
      </c>
      <c r="AO8" s="30" t="s">
        <v>10</v>
      </c>
      <c r="AP8" s="31" t="s">
        <v>18</v>
      </c>
      <c r="AQ8" s="30" t="s">
        <v>7</v>
      </c>
      <c r="AR8" s="30" t="s">
        <v>8</v>
      </c>
      <c r="AS8" s="30" t="s">
        <v>9</v>
      </c>
      <c r="AT8" s="30" t="s">
        <v>10</v>
      </c>
      <c r="AU8" s="31" t="s">
        <v>19</v>
      </c>
      <c r="AV8" s="30" t="s">
        <v>7</v>
      </c>
      <c r="AW8" s="30" t="s">
        <v>8</v>
      </c>
      <c r="AX8" s="30" t="s">
        <v>9</v>
      </c>
      <c r="AY8" s="30" t="s">
        <v>10</v>
      </c>
      <c r="AZ8" s="32" t="s">
        <v>20</v>
      </c>
      <c r="BA8" s="30" t="s">
        <v>7</v>
      </c>
      <c r="BB8" s="30" t="s">
        <v>8</v>
      </c>
      <c r="BC8" s="30" t="s">
        <v>9</v>
      </c>
      <c r="BD8" s="33" t="s">
        <v>10</v>
      </c>
      <c r="BE8" s="32" t="s">
        <v>21</v>
      </c>
      <c r="BF8" s="30" t="s">
        <v>22</v>
      </c>
      <c r="BG8" s="30" t="s">
        <v>23</v>
      </c>
      <c r="BH8" s="30" t="s">
        <v>24</v>
      </c>
      <c r="BI8" s="30" t="s">
        <v>25</v>
      </c>
      <c r="BJ8" s="31" t="s">
        <v>26</v>
      </c>
      <c r="BK8" s="30" t="s">
        <v>22</v>
      </c>
      <c r="BL8" s="30" t="s">
        <v>23</v>
      </c>
      <c r="BM8" s="30" t="s">
        <v>24</v>
      </c>
      <c r="BN8" s="30" t="s">
        <v>25</v>
      </c>
      <c r="BO8" s="32" t="s">
        <v>27</v>
      </c>
      <c r="BP8" s="30" t="s">
        <v>22</v>
      </c>
      <c r="BQ8" s="30" t="s">
        <v>23</v>
      </c>
      <c r="BR8" s="30" t="s">
        <v>24</v>
      </c>
      <c r="BS8" s="30" t="s">
        <v>25</v>
      </c>
      <c r="BT8" s="31" t="s">
        <v>28</v>
      </c>
      <c r="BU8" s="30" t="s">
        <v>22</v>
      </c>
      <c r="BV8" s="30" t="s">
        <v>23</v>
      </c>
      <c r="BW8" s="30" t="s">
        <v>24</v>
      </c>
      <c r="BX8" s="30" t="s">
        <v>25</v>
      </c>
      <c r="BY8" s="32" t="s">
        <v>29</v>
      </c>
      <c r="BZ8" s="30" t="s">
        <v>22</v>
      </c>
      <c r="CA8" s="30" t="s">
        <v>23</v>
      </c>
      <c r="CB8" s="30" t="s">
        <v>24</v>
      </c>
      <c r="CC8" s="30" t="s">
        <v>25</v>
      </c>
      <c r="CD8" s="31" t="s">
        <v>30</v>
      </c>
      <c r="CF8" s="27" t="s">
        <v>31</v>
      </c>
    </row>
    <row r="9" spans="1:84" s="28" customFormat="1">
      <c r="B9" s="34" t="s">
        <v>33</v>
      </c>
      <c r="C9" s="35"/>
      <c r="D9" s="36"/>
      <c r="E9" s="36"/>
      <c r="F9" s="36"/>
      <c r="G9" s="34"/>
      <c r="H9" s="36"/>
      <c r="I9" s="36"/>
      <c r="J9" s="36"/>
      <c r="K9" s="36"/>
      <c r="L9" s="34"/>
      <c r="M9" s="36"/>
      <c r="N9" s="36"/>
      <c r="O9" s="36"/>
      <c r="P9" s="36"/>
      <c r="Q9" s="34"/>
      <c r="R9" s="36"/>
      <c r="S9" s="36"/>
      <c r="T9" s="36"/>
      <c r="U9" s="36"/>
      <c r="V9" s="34"/>
      <c r="W9" s="36"/>
      <c r="X9" s="36"/>
      <c r="Y9" s="36"/>
      <c r="Z9" s="36"/>
      <c r="AA9" s="34"/>
      <c r="AB9" s="36"/>
      <c r="AC9" s="36"/>
      <c r="AD9" s="36"/>
      <c r="AE9" s="36"/>
      <c r="AF9" s="34"/>
      <c r="AG9" s="36"/>
      <c r="AH9" s="36"/>
      <c r="AI9" s="36"/>
      <c r="AJ9" s="36"/>
      <c r="AK9" s="34"/>
      <c r="AL9" s="36"/>
      <c r="AM9" s="36"/>
      <c r="AN9" s="36"/>
      <c r="AO9" s="36"/>
      <c r="AP9" s="34"/>
      <c r="AQ9" s="36"/>
      <c r="AR9" s="36"/>
      <c r="AS9" s="36"/>
      <c r="AT9" s="36"/>
      <c r="AU9" s="34"/>
      <c r="AV9" s="36"/>
      <c r="AW9" s="36"/>
      <c r="AX9" s="36"/>
      <c r="AY9" s="36"/>
      <c r="AZ9" s="34"/>
      <c r="BA9" s="36"/>
      <c r="BB9" s="36"/>
      <c r="BC9" s="36"/>
      <c r="BD9" s="36"/>
      <c r="BE9" s="34"/>
      <c r="BF9" s="36"/>
      <c r="BG9" s="36"/>
      <c r="BH9" s="36"/>
      <c r="BI9" s="36"/>
      <c r="BJ9" s="34"/>
      <c r="BK9" s="36"/>
      <c r="BL9" s="36"/>
      <c r="BM9" s="36"/>
      <c r="BN9" s="36"/>
      <c r="BO9" s="34"/>
      <c r="BP9" s="36"/>
      <c r="BQ9" s="36"/>
      <c r="BR9" s="36"/>
      <c r="BS9" s="36"/>
      <c r="BT9" s="34"/>
      <c r="BU9" s="36"/>
      <c r="BV9" s="36"/>
      <c r="BW9" s="36"/>
      <c r="BX9" s="36"/>
      <c r="BY9" s="34"/>
      <c r="BZ9" s="36"/>
      <c r="CA9" s="36"/>
      <c r="CB9" s="36"/>
      <c r="CC9" s="36"/>
      <c r="CD9" s="34"/>
      <c r="CF9" s="37"/>
    </row>
    <row r="10" spans="1:84" s="28" customFormat="1">
      <c r="B10" s="38" t="s">
        <v>34</v>
      </c>
      <c r="C10" s="39">
        <v>175.261</v>
      </c>
      <c r="D10" s="40">
        <v>217.39</v>
      </c>
      <c r="E10" s="40">
        <v>258.05799999999999</v>
      </c>
      <c r="F10" s="40">
        <v>287.61399999999998</v>
      </c>
      <c r="G10" s="41">
        <f>SUM(C10:F10)</f>
        <v>938.32299999999987</v>
      </c>
      <c r="H10" s="40">
        <v>220.52300000000002</v>
      </c>
      <c r="I10" s="40">
        <v>252.80599999999998</v>
      </c>
      <c r="J10" s="40">
        <v>289.55199999999996</v>
      </c>
      <c r="K10" s="40">
        <v>307.64800000000002</v>
      </c>
      <c r="L10" s="41">
        <f>SUM(H10:K10)</f>
        <v>1070.529</v>
      </c>
      <c r="M10" s="40">
        <v>247.005</v>
      </c>
      <c r="N10" s="40">
        <v>203.02699999999999</v>
      </c>
      <c r="O10" s="40">
        <v>188.89</v>
      </c>
      <c r="P10" s="40">
        <v>203.89599999999999</v>
      </c>
      <c r="Q10" s="41">
        <f>SUM(M10:P10)</f>
        <v>842.81799999999998</v>
      </c>
      <c r="R10" s="40">
        <v>208.49799999999999</v>
      </c>
      <c r="S10" s="40">
        <v>186.095</v>
      </c>
      <c r="T10" s="40">
        <v>181.089</v>
      </c>
      <c r="U10" s="40">
        <v>181.49599999999998</v>
      </c>
      <c r="V10" s="41">
        <f>SUM(R10:U10)</f>
        <v>757.178</v>
      </c>
      <c r="W10" s="40">
        <v>173.31899999999999</v>
      </c>
      <c r="X10" s="40">
        <v>193.535</v>
      </c>
      <c r="Y10" s="40">
        <v>212.523</v>
      </c>
      <c r="Z10" s="40">
        <v>241.053</v>
      </c>
      <c r="AA10" s="41">
        <f>SUM(W10:Z10)</f>
        <v>820.43</v>
      </c>
      <c r="AB10" s="40">
        <v>219.63499999999999</v>
      </c>
      <c r="AC10" s="40">
        <v>238.745</v>
      </c>
      <c r="AD10" s="40">
        <v>208.26700000000002</v>
      </c>
      <c r="AE10" s="40">
        <v>514.56399999999996</v>
      </c>
      <c r="AF10" s="41">
        <f>SUM(AB10:AE10)</f>
        <v>1181.211</v>
      </c>
      <c r="AG10" s="40">
        <f>500.421+58.414+6.191</f>
        <v>565.02600000000007</v>
      </c>
      <c r="AH10" s="40">
        <v>609.38699999999994</v>
      </c>
      <c r="AI10" s="40">
        <f>600.584+0.268</f>
        <v>600.85199999999998</v>
      </c>
      <c r="AJ10" s="40">
        <f>688.453</f>
        <v>688.45299999999997</v>
      </c>
      <c r="AK10" s="41">
        <f>SUM(AG10:AJ10)</f>
        <v>2463.7179999999998</v>
      </c>
      <c r="AL10" s="40">
        <f>856.103</f>
        <v>856.10299999999995</v>
      </c>
      <c r="AM10" s="40">
        <f>820.09</f>
        <v>820.09</v>
      </c>
      <c r="AN10" s="40">
        <f>884.14</f>
        <v>884.14</v>
      </c>
      <c r="AO10" s="40">
        <f>986.293</f>
        <v>986.29300000000001</v>
      </c>
      <c r="AP10" s="41">
        <f>SUM(AL10:AO10)</f>
        <v>3546.6260000000002</v>
      </c>
      <c r="AQ10" s="40">
        <f>1068.355</f>
        <v>1068.355</v>
      </c>
      <c r="AR10" s="40">
        <v>1095.7619999999999</v>
      </c>
      <c r="AS10" s="40">
        <f>1541.731</f>
        <v>1541.731</v>
      </c>
      <c r="AT10" s="40">
        <v>2063.7570000000001</v>
      </c>
      <c r="AU10" s="41">
        <f>SUM(AQ10:AT10)</f>
        <v>5769.6049999999996</v>
      </c>
      <c r="AV10" s="40">
        <f>1851.1+35.1</f>
        <v>1886.1999999999998</v>
      </c>
      <c r="AW10" s="40">
        <f>1994.1+47</f>
        <v>2041.1</v>
      </c>
      <c r="AX10" s="40">
        <f>2022.9+33.3</f>
        <v>2056.2000000000003</v>
      </c>
      <c r="AY10" s="40">
        <f>2235.5+44.5</f>
        <v>2280</v>
      </c>
      <c r="AZ10" s="41">
        <f>SUM(AV10:AY10)</f>
        <v>8263.5</v>
      </c>
      <c r="BA10" s="40">
        <f>2190.9</f>
        <v>2190.9</v>
      </c>
      <c r="BB10" s="40">
        <f>2695+37.4</f>
        <v>2732.4</v>
      </c>
      <c r="BC10" s="40">
        <v>2786.8</v>
      </c>
      <c r="BD10" s="40">
        <f>2788.7-4.6</f>
        <v>2784.1</v>
      </c>
      <c r="BE10" s="41">
        <f>SUM(BA10:BD10)</f>
        <v>10494.2</v>
      </c>
      <c r="BF10" s="40">
        <f>Sales!BF142</f>
        <v>2379.2960000000003</v>
      </c>
      <c r="BG10" s="40">
        <f>Sales!BG142</f>
        <v>2743.1110000000003</v>
      </c>
      <c r="BH10" s="40">
        <f>Sales!BH142</f>
        <v>2828.2669999999998</v>
      </c>
      <c r="BI10" s="40">
        <f>Sales!BI142</f>
        <v>3016.0770000000002</v>
      </c>
      <c r="BJ10" s="41">
        <f>SUM(BF10:BI10)</f>
        <v>10966.751</v>
      </c>
      <c r="BK10" s="40">
        <f>Sales!BK142</f>
        <v>0</v>
      </c>
      <c r="BL10" s="40">
        <f>Sales!BL142</f>
        <v>0</v>
      </c>
      <c r="BM10" s="40">
        <f>Sales!BM142</f>
        <v>0</v>
      </c>
      <c r="BN10" s="40">
        <f>Sales!BN142</f>
        <v>0</v>
      </c>
      <c r="BO10" s="41">
        <f>Sales!BO142</f>
        <v>11740.723020000001</v>
      </c>
      <c r="BP10" s="40">
        <f>Sales!BP142</f>
        <v>0</v>
      </c>
      <c r="BQ10" s="40">
        <f>Sales!BQ142</f>
        <v>0</v>
      </c>
      <c r="BR10" s="40">
        <f>Sales!BR142</f>
        <v>0</v>
      </c>
      <c r="BS10" s="40">
        <f>Sales!BS142</f>
        <v>0</v>
      </c>
      <c r="BT10" s="41">
        <f>Sales!BT142</f>
        <v>12447.6115627</v>
      </c>
      <c r="BU10" s="41">
        <f>Sales!BU142</f>
        <v>0</v>
      </c>
      <c r="BV10" s="41">
        <f>Sales!BV142</f>
        <v>0</v>
      </c>
      <c r="BW10" s="41">
        <f>Sales!BW142</f>
        <v>0</v>
      </c>
      <c r="BX10" s="41">
        <f>Sales!BX142</f>
        <v>0</v>
      </c>
      <c r="BY10" s="41">
        <f>Sales!BY142</f>
        <v>13185.359670699003</v>
      </c>
      <c r="BZ10" s="41">
        <f>Sales!BZ142</f>
        <v>0</v>
      </c>
      <c r="CA10" s="41">
        <f>Sales!CA142</f>
        <v>0</v>
      </c>
      <c r="CB10" s="41">
        <f>Sales!CB142</f>
        <v>0</v>
      </c>
      <c r="CC10" s="41">
        <f>Sales!CC142</f>
        <v>0</v>
      </c>
      <c r="CD10" s="41">
        <f>Sales!CD142</f>
        <v>13762.726328055631</v>
      </c>
      <c r="CF10" s="42" t="s">
        <v>35</v>
      </c>
    </row>
    <row r="11" spans="1:84" s="28" customFormat="1">
      <c r="B11" s="43" t="s">
        <v>36</v>
      </c>
      <c r="C11" s="44">
        <v>42.091000000000001</v>
      </c>
      <c r="D11" s="45">
        <v>60.863</v>
      </c>
      <c r="E11" s="45">
        <v>51.991</v>
      </c>
      <c r="F11" s="45">
        <v>53.567</v>
      </c>
      <c r="G11" s="46">
        <f>SUM(C11:F11)</f>
        <v>208.512</v>
      </c>
      <c r="H11" s="45">
        <v>49.329000000000001</v>
      </c>
      <c r="I11" s="45">
        <v>61.819000000000003</v>
      </c>
      <c r="J11" s="45">
        <v>59.332000000000001</v>
      </c>
      <c r="K11" s="45">
        <v>52.801000000000002</v>
      </c>
      <c r="L11" s="46">
        <f>SUM(H11:K11)</f>
        <v>223.28100000000001</v>
      </c>
      <c r="M11" s="45">
        <v>56.415999999999997</v>
      </c>
      <c r="N11" s="45">
        <v>54.533999999999999</v>
      </c>
      <c r="O11" s="45">
        <v>50.457999999999998</v>
      </c>
      <c r="P11" s="45">
        <v>62.271999999999998</v>
      </c>
      <c r="Q11" s="46">
        <f>SUM(M11:P11)</f>
        <v>223.67999999999998</v>
      </c>
      <c r="R11" s="45">
        <v>53.734999999999999</v>
      </c>
      <c r="S11" s="45">
        <v>43.877000000000002</v>
      </c>
      <c r="T11" s="45">
        <v>47.468000000000004</v>
      </c>
      <c r="U11" s="45">
        <v>52.087000000000003</v>
      </c>
      <c r="V11" s="46">
        <f>SUM(R11:U11)</f>
        <v>197.16699999999997</v>
      </c>
      <c r="W11" s="45">
        <v>44.84</v>
      </c>
      <c r="X11" s="45">
        <v>50.057000000000002</v>
      </c>
      <c r="Y11" s="45">
        <v>50.668999999999997</v>
      </c>
      <c r="Z11" s="45">
        <v>58.743000000000002</v>
      </c>
      <c r="AA11" s="46">
        <f>SUM(W11:Z11)</f>
        <v>204.309</v>
      </c>
      <c r="AB11" s="45">
        <v>58.954999999999998</v>
      </c>
      <c r="AC11" s="45">
        <v>63.9</v>
      </c>
      <c r="AD11" s="45">
        <v>62.142000000000003</v>
      </c>
      <c r="AE11" s="45">
        <f>210.648+2.944-53.266</f>
        <v>160.32599999999999</v>
      </c>
      <c r="AF11" s="46">
        <f>SUM(AB11:AE11)</f>
        <v>345.32299999999998</v>
      </c>
      <c r="AG11" s="45">
        <f>169.287+3.21+30.735-31.863-19.6</f>
        <v>151.76900000000003</v>
      </c>
      <c r="AH11" s="45">
        <f>169.912+3.395-16.262+0.275</f>
        <v>157.32000000000002</v>
      </c>
      <c r="AI11" s="45">
        <f>162.568+3.078-2.768-0.138-0.209-2.205</f>
        <v>160.32599999999999</v>
      </c>
      <c r="AJ11" s="45">
        <f>181.983+2.628+0.036-10.317-0.057-0.088-5.014-2.797</f>
        <v>166.374</v>
      </c>
      <c r="AK11" s="46">
        <f>SUM(AG11:AJ11)</f>
        <v>635.7890000000001</v>
      </c>
      <c r="AL11" s="45">
        <f>238.814+4.203+68.819-33.031+0.31-0.074-3.626-50.958</f>
        <v>224.45700000000002</v>
      </c>
      <c r="AM11" s="45">
        <f>197.284+12.483-10.361-0.313</f>
        <v>199.09300000000002</v>
      </c>
      <c r="AN11" s="45">
        <f>219.67+10.582-20.03</f>
        <v>210.22199999999998</v>
      </c>
      <c r="AO11" s="45">
        <f>275.138+10.629+0.894-41.838</f>
        <v>244.82300000000001</v>
      </c>
      <c r="AP11" s="46">
        <f>SUM(AL11:AO11)</f>
        <v>878.59500000000003</v>
      </c>
      <c r="AQ11" s="45">
        <f>284.904+14.951+0.478-53.989</f>
        <v>246.34400000000002</v>
      </c>
      <c r="AR11" s="45">
        <f>283.183+14.026+0.433-38.96</f>
        <v>258.68200000000002</v>
      </c>
      <c r="AS11" s="45">
        <f>560.855+13.58+0.733-159.209</f>
        <v>415.959</v>
      </c>
      <c r="AT11" s="45">
        <f>717.372-183.892+14.565</f>
        <v>548.04500000000007</v>
      </c>
      <c r="AU11" s="46">
        <f>SUM(AQ11:AT11)</f>
        <v>1469.0300000000002</v>
      </c>
      <c r="AV11" s="45">
        <f>504.1+14.3-19.6</f>
        <v>498.79999999999995</v>
      </c>
      <c r="AW11" s="45">
        <f>569.6+16-17.7</f>
        <v>567.9</v>
      </c>
      <c r="AX11" s="45">
        <f>545.8+15-27</f>
        <v>533.79999999999995</v>
      </c>
      <c r="AY11" s="45">
        <f>576.7+13.1-31.1</f>
        <v>558.70000000000005</v>
      </c>
      <c r="AZ11" s="46">
        <f>SUM(AV11:AY11)</f>
        <v>2159.1999999999998</v>
      </c>
      <c r="BA11" s="45">
        <f>560.4+14.3-34</f>
        <v>540.69999999999993</v>
      </c>
      <c r="BB11" s="45">
        <f>669.9+15.2-54.7</f>
        <v>630.4</v>
      </c>
      <c r="BC11" s="45">
        <f>634.6-36.2+13.6</f>
        <v>612</v>
      </c>
      <c r="BD11" s="45">
        <f>727+10-56.3</f>
        <v>680.7</v>
      </c>
      <c r="BE11" s="46">
        <f>SUM(BA11:BD11)</f>
        <v>2463.8000000000002</v>
      </c>
      <c r="BF11" s="47">
        <f>Sales!BF155</f>
        <v>599.46575999999993</v>
      </c>
      <c r="BG11" s="47">
        <f>Sales!BG155</f>
        <v>643.6082899999999</v>
      </c>
      <c r="BH11" s="47">
        <f>Sales!BH155</f>
        <v>652.59412999999995</v>
      </c>
      <c r="BI11" s="47">
        <f>Sales!BI155</f>
        <v>711.200695</v>
      </c>
      <c r="BJ11" s="46">
        <f>SUM(BF11:BI11)</f>
        <v>2606.8688749999997</v>
      </c>
      <c r="BK11" s="47">
        <f>Sales!BK155</f>
        <v>0</v>
      </c>
      <c r="BL11" s="47">
        <f>Sales!BL155</f>
        <v>0</v>
      </c>
      <c r="BM11" s="47">
        <f>Sales!BM155</f>
        <v>0</v>
      </c>
      <c r="BN11" s="47">
        <f>Sales!BN155</f>
        <v>0</v>
      </c>
      <c r="BO11" s="46">
        <f>Sales!BO155</f>
        <v>2760.9358247499995</v>
      </c>
      <c r="BP11" s="47">
        <f>Sales!BP155</f>
        <v>0</v>
      </c>
      <c r="BQ11" s="47">
        <f>Sales!BQ155</f>
        <v>0</v>
      </c>
      <c r="BR11" s="47">
        <f>Sales!BR155</f>
        <v>0</v>
      </c>
      <c r="BS11" s="47">
        <f>Sales!BS155</f>
        <v>0</v>
      </c>
      <c r="BT11" s="46">
        <f>Sales!BT155</f>
        <v>2873.6098364929994</v>
      </c>
      <c r="BU11" s="47">
        <f>Sales!BU155</f>
        <v>0</v>
      </c>
      <c r="BV11" s="47">
        <f>Sales!BV155</f>
        <v>0</v>
      </c>
      <c r="BW11" s="47">
        <f>Sales!BW155</f>
        <v>0</v>
      </c>
      <c r="BX11" s="47">
        <f>Sales!BX155</f>
        <v>0</v>
      </c>
      <c r="BY11" s="46">
        <f>Sales!BY155</f>
        <v>2974.0747237999162</v>
      </c>
      <c r="BZ11" s="47">
        <f>Sales!BZ155</f>
        <v>0</v>
      </c>
      <c r="CA11" s="47">
        <f>Sales!CA155</f>
        <v>0</v>
      </c>
      <c r="CB11" s="47">
        <f>Sales!CB155</f>
        <v>0</v>
      </c>
      <c r="CC11" s="47">
        <f>Sales!CC155</f>
        <v>0</v>
      </c>
      <c r="CD11" s="46">
        <f>Sales!CD155</f>
        <v>3039.7998415895563</v>
      </c>
      <c r="CF11" s="43" t="s">
        <v>37</v>
      </c>
    </row>
    <row r="12" spans="1:84" s="28" customFormat="1">
      <c r="B12" s="38" t="s">
        <v>38</v>
      </c>
      <c r="C12" s="39">
        <f>C10-C11</f>
        <v>133.16999999999999</v>
      </c>
      <c r="D12" s="40">
        <f>D10-D11</f>
        <v>156.52699999999999</v>
      </c>
      <c r="E12" s="40">
        <f>E10-E11</f>
        <v>206.06700000000001</v>
      </c>
      <c r="F12" s="40">
        <f>F10-F11</f>
        <v>234.04699999999997</v>
      </c>
      <c r="G12" s="41">
        <f>SUM(C12:F12)</f>
        <v>729.81099999999992</v>
      </c>
      <c r="H12" s="40">
        <f>H10-H11</f>
        <v>171.19400000000002</v>
      </c>
      <c r="I12" s="40">
        <f>I10-I11</f>
        <v>190.98699999999997</v>
      </c>
      <c r="J12" s="40">
        <f>J10-J11</f>
        <v>230.21999999999997</v>
      </c>
      <c r="K12" s="40">
        <f>K10-K11</f>
        <v>254.84700000000004</v>
      </c>
      <c r="L12" s="41">
        <f>SUM(H12:K12)</f>
        <v>847.24800000000005</v>
      </c>
      <c r="M12" s="40">
        <f>M10-M11</f>
        <v>190.589</v>
      </c>
      <c r="N12" s="40">
        <f>N10-N11</f>
        <v>148.49299999999999</v>
      </c>
      <c r="O12" s="40">
        <f>O10-O11</f>
        <v>138.43199999999999</v>
      </c>
      <c r="P12" s="40">
        <f>P10-P11</f>
        <v>141.624</v>
      </c>
      <c r="Q12" s="41">
        <f>SUM(M12:P12)</f>
        <v>619.13800000000003</v>
      </c>
      <c r="R12" s="40">
        <f>R10-R11</f>
        <v>154.76299999999998</v>
      </c>
      <c r="S12" s="40">
        <f>S10-S11</f>
        <v>142.21799999999999</v>
      </c>
      <c r="T12" s="40">
        <f>T10-T11</f>
        <v>133.62099999999998</v>
      </c>
      <c r="U12" s="40">
        <f>U10-U11</f>
        <v>129.40899999999999</v>
      </c>
      <c r="V12" s="41">
        <f>SUM(R12:U12)</f>
        <v>560.01099999999997</v>
      </c>
      <c r="W12" s="40">
        <f>W10-W11</f>
        <v>128.47899999999998</v>
      </c>
      <c r="X12" s="40">
        <f>X10-X11</f>
        <v>143.47800000000001</v>
      </c>
      <c r="Y12" s="40">
        <f>Y10-Y11</f>
        <v>161.85399999999998</v>
      </c>
      <c r="Z12" s="40">
        <f>Z10-Z11</f>
        <v>182.31</v>
      </c>
      <c r="AA12" s="41">
        <f>SUM(W12:Z12)</f>
        <v>616.12099999999998</v>
      </c>
      <c r="AB12" s="40">
        <f t="shared" ref="AB12:BI12" si="1">AB10-AB11</f>
        <v>160.68</v>
      </c>
      <c r="AC12" s="40">
        <f t="shared" si="1"/>
        <v>174.845</v>
      </c>
      <c r="AD12" s="40">
        <f t="shared" si="1"/>
        <v>146.12500000000003</v>
      </c>
      <c r="AE12" s="40">
        <f t="shared" si="1"/>
        <v>354.23799999999994</v>
      </c>
      <c r="AF12" s="41">
        <f t="shared" si="1"/>
        <v>835.88800000000003</v>
      </c>
      <c r="AG12" s="40">
        <f t="shared" si="1"/>
        <v>413.25700000000006</v>
      </c>
      <c r="AH12" s="40">
        <f t="shared" si="1"/>
        <v>452.06699999999989</v>
      </c>
      <c r="AI12" s="40">
        <f t="shared" si="1"/>
        <v>440.52599999999995</v>
      </c>
      <c r="AJ12" s="40">
        <f t="shared" si="1"/>
        <v>522.07899999999995</v>
      </c>
      <c r="AK12" s="41">
        <f t="shared" si="1"/>
        <v>1827.9289999999996</v>
      </c>
      <c r="AL12" s="40">
        <f t="shared" si="1"/>
        <v>631.64599999999996</v>
      </c>
      <c r="AM12" s="40">
        <f t="shared" si="1"/>
        <v>620.99700000000007</v>
      </c>
      <c r="AN12" s="40">
        <f t="shared" si="1"/>
        <v>673.91800000000001</v>
      </c>
      <c r="AO12" s="40">
        <f t="shared" si="1"/>
        <v>741.47</v>
      </c>
      <c r="AP12" s="41">
        <f t="shared" si="1"/>
        <v>2668.0309999999999</v>
      </c>
      <c r="AQ12" s="40">
        <f t="shared" si="1"/>
        <v>822.01099999999997</v>
      </c>
      <c r="AR12" s="40">
        <f t="shared" si="1"/>
        <v>837.07999999999993</v>
      </c>
      <c r="AS12" s="40">
        <f t="shared" si="1"/>
        <v>1125.7719999999999</v>
      </c>
      <c r="AT12" s="40">
        <f t="shared" si="1"/>
        <v>1515.712</v>
      </c>
      <c r="AU12" s="41">
        <f t="shared" si="1"/>
        <v>4300.5749999999989</v>
      </c>
      <c r="AV12" s="40">
        <f t="shared" si="1"/>
        <v>1387.3999999999999</v>
      </c>
      <c r="AW12" s="40">
        <f t="shared" si="1"/>
        <v>1473.1999999999998</v>
      </c>
      <c r="AX12" s="40">
        <f t="shared" si="1"/>
        <v>1522.4000000000003</v>
      </c>
      <c r="AY12" s="40">
        <f t="shared" si="1"/>
        <v>1721.3</v>
      </c>
      <c r="AZ12" s="41">
        <f t="shared" si="1"/>
        <v>6104.3</v>
      </c>
      <c r="BA12" s="40">
        <f t="shared" si="1"/>
        <v>1650.2000000000003</v>
      </c>
      <c r="BB12" s="40">
        <f t="shared" si="1"/>
        <v>2102</v>
      </c>
      <c r="BC12" s="40">
        <f t="shared" si="1"/>
        <v>2174.8000000000002</v>
      </c>
      <c r="BD12" s="40">
        <f t="shared" si="1"/>
        <v>2103.3999999999996</v>
      </c>
      <c r="BE12" s="41">
        <f>BE10-BE11</f>
        <v>8030.4000000000005</v>
      </c>
      <c r="BF12" s="40">
        <f t="shared" si="1"/>
        <v>1779.8302400000002</v>
      </c>
      <c r="BG12" s="40">
        <f t="shared" si="1"/>
        <v>2099.5027100000007</v>
      </c>
      <c r="BH12" s="40">
        <f t="shared" si="1"/>
        <v>2175.6728699999999</v>
      </c>
      <c r="BI12" s="40">
        <f t="shared" si="1"/>
        <v>2304.8763050000002</v>
      </c>
      <c r="BJ12" s="41">
        <f>BJ10-BJ11</f>
        <v>8359.8821250000001</v>
      </c>
      <c r="BK12" s="40"/>
      <c r="BL12" s="40"/>
      <c r="BM12" s="40"/>
      <c r="BN12" s="40"/>
      <c r="BO12" s="41">
        <f>BO10-BO11</f>
        <v>8979.7871952500027</v>
      </c>
      <c r="BP12" s="40"/>
      <c r="BQ12" s="40"/>
      <c r="BR12" s="40"/>
      <c r="BS12" s="40"/>
      <c r="BT12" s="41">
        <f>BT10-BT11</f>
        <v>9574.0017262069996</v>
      </c>
      <c r="BU12" s="40"/>
      <c r="BV12" s="40"/>
      <c r="BW12" s="40"/>
      <c r="BX12" s="40"/>
      <c r="BY12" s="41">
        <f>BY10-BY11</f>
        <v>10211.284946899086</v>
      </c>
      <c r="BZ12" s="40"/>
      <c r="CA12" s="40"/>
      <c r="CB12" s="40"/>
      <c r="CC12" s="40"/>
      <c r="CD12" s="41">
        <f>CD10-CD11</f>
        <v>10722.926486466074</v>
      </c>
      <c r="CF12" s="43"/>
    </row>
    <row r="13" spans="1:84" s="28" customFormat="1">
      <c r="B13" s="43"/>
      <c r="C13" s="44"/>
      <c r="D13" s="45"/>
      <c r="E13" s="45"/>
      <c r="F13" s="45"/>
      <c r="G13" s="46"/>
      <c r="H13" s="45"/>
      <c r="I13" s="45"/>
      <c r="J13" s="45"/>
      <c r="K13" s="45"/>
      <c r="L13" s="46"/>
      <c r="M13" s="45"/>
      <c r="N13" s="45"/>
      <c r="O13" s="45"/>
      <c r="P13" s="45"/>
      <c r="Q13" s="46"/>
      <c r="R13" s="45"/>
      <c r="S13" s="45"/>
      <c r="T13" s="45"/>
      <c r="U13" s="45"/>
      <c r="V13" s="46"/>
      <c r="W13" s="45"/>
      <c r="X13" s="45"/>
      <c r="Y13" s="47" t="s">
        <v>39</v>
      </c>
      <c r="Z13" s="47"/>
      <c r="AA13" s="43"/>
      <c r="AB13" s="45"/>
      <c r="AC13" s="45"/>
      <c r="AD13" s="45"/>
      <c r="AE13" s="45"/>
      <c r="AF13" s="43"/>
      <c r="AG13" s="47"/>
      <c r="AH13" s="47"/>
      <c r="AI13" s="47"/>
      <c r="AJ13" s="47"/>
      <c r="AK13" s="43"/>
      <c r="AL13" s="47"/>
      <c r="AM13" s="47"/>
      <c r="AN13" s="47"/>
      <c r="AO13" s="47"/>
      <c r="AP13" s="43"/>
      <c r="AQ13" s="47"/>
      <c r="AR13" s="47"/>
      <c r="AS13" s="47"/>
      <c r="AT13" s="47"/>
      <c r="AU13" s="43"/>
      <c r="AZ13" s="43"/>
      <c r="BA13" s="47"/>
      <c r="BB13" s="47"/>
      <c r="BC13" s="47"/>
      <c r="BD13" s="47"/>
      <c r="BE13" s="43"/>
      <c r="BF13" s="47"/>
      <c r="BG13" s="47"/>
      <c r="BH13" s="47"/>
      <c r="BI13" s="47"/>
      <c r="BJ13" s="48"/>
      <c r="BK13" s="47"/>
      <c r="BL13" s="47"/>
      <c r="BM13" s="47"/>
      <c r="BN13" s="47"/>
      <c r="BO13" s="43"/>
      <c r="BP13" s="47"/>
      <c r="BQ13" s="47"/>
      <c r="BR13" s="47"/>
      <c r="BS13" s="47"/>
      <c r="BT13" s="43"/>
      <c r="BU13" s="47"/>
      <c r="BV13" s="47"/>
      <c r="BW13" s="47"/>
      <c r="BX13" s="47"/>
      <c r="BY13" s="43"/>
      <c r="BZ13" s="47"/>
      <c r="CA13" s="47"/>
      <c r="CB13" s="47"/>
      <c r="CC13" s="47"/>
      <c r="CD13" s="43"/>
      <c r="CF13" s="43"/>
    </row>
    <row r="14" spans="1:84" s="28" customFormat="1">
      <c r="B14" s="43" t="s">
        <v>40</v>
      </c>
      <c r="C14" s="44">
        <v>20.486999999999998</v>
      </c>
      <c r="D14" s="45">
        <v>22.751999999999999</v>
      </c>
      <c r="E14" s="45">
        <v>19.913</v>
      </c>
      <c r="F14" s="45">
        <v>26.302</v>
      </c>
      <c r="G14" s="46">
        <f>SUM(C14:F14)</f>
        <v>89.454000000000008</v>
      </c>
      <c r="H14" s="45">
        <v>22.327999999999999</v>
      </c>
      <c r="I14" s="45">
        <v>18.402000000000001</v>
      </c>
      <c r="J14" s="45">
        <v>26.35</v>
      </c>
      <c r="K14" s="45">
        <v>28.399000000000001</v>
      </c>
      <c r="L14" s="46">
        <f>SUM(H14:K14)</f>
        <v>95.479000000000013</v>
      </c>
      <c r="M14" s="45">
        <v>29.722000000000001</v>
      </c>
      <c r="N14" s="45">
        <v>28.446999999999999</v>
      </c>
      <c r="O14" s="45">
        <v>30.673999999999999</v>
      </c>
      <c r="P14" s="45">
        <v>29.274000000000001</v>
      </c>
      <c r="Q14" s="46">
        <f>SUM(M14:P14)</f>
        <v>118.11699999999999</v>
      </c>
      <c r="R14" s="45">
        <f>36.332-7.9</f>
        <v>28.432000000000002</v>
      </c>
      <c r="S14" s="45">
        <v>21.759</v>
      </c>
      <c r="T14" s="45">
        <v>18.667999999999999</v>
      </c>
      <c r="U14" s="45">
        <v>16.085000000000001</v>
      </c>
      <c r="V14" s="46">
        <f>SUM(R14:U14)</f>
        <v>84.944000000000017</v>
      </c>
      <c r="W14" s="45">
        <v>14.528</v>
      </c>
      <c r="X14" s="45">
        <f>44.692-30.414</f>
        <v>14.277999999999999</v>
      </c>
      <c r="Y14" s="45">
        <f>23.202-8.126</f>
        <v>15.076000000000002</v>
      </c>
      <c r="Z14" s="45">
        <f>38.362-20.814</f>
        <v>17.548000000000002</v>
      </c>
      <c r="AA14" s="46">
        <f>SUM(W14:Z14)</f>
        <v>61.43</v>
      </c>
      <c r="AB14" s="45">
        <f>66.887-51.003</f>
        <v>15.884</v>
      </c>
      <c r="AC14" s="45">
        <f>37.258-10.2</f>
        <v>27.058000000000003</v>
      </c>
      <c r="AD14" s="45">
        <v>14.298</v>
      </c>
      <c r="AE14" s="45">
        <f>18.324+28-28</f>
        <v>18.323999999999998</v>
      </c>
      <c r="AF14" s="46">
        <f>SUM(AB14:AE14)</f>
        <v>75.564000000000007</v>
      </c>
      <c r="AG14" s="45">
        <f>13.67+2-2</f>
        <v>13.67</v>
      </c>
      <c r="AH14" s="45">
        <f>17.764-0.55</f>
        <v>17.213999999999999</v>
      </c>
      <c r="AI14" s="45">
        <f>17.476-0.361</f>
        <v>17.114999999999998</v>
      </c>
      <c r="AJ14" s="45">
        <f>16.777+105.2-0.125-105.2</f>
        <v>16.652000000000001</v>
      </c>
      <c r="AK14" s="46">
        <f>SUM(AG14:AJ14)</f>
        <v>64.650999999999996</v>
      </c>
      <c r="AL14" s="45">
        <f>22.006-0.001-0.074</f>
        <v>21.930999999999997</v>
      </c>
      <c r="AM14" s="45">
        <f>17.711+4.568-4.568</f>
        <v>17.710999999999999</v>
      </c>
      <c r="AN14" s="45">
        <f>19.17+145.3-145.3</f>
        <v>19.170000000000016</v>
      </c>
      <c r="AO14" s="45">
        <f>20.165+40.033-40.033</f>
        <v>20.164999999999999</v>
      </c>
      <c r="AP14" s="46">
        <f>SUM(AL14:AO14)</f>
        <v>78.977000000000004</v>
      </c>
      <c r="AQ14" s="45">
        <f>23.795</f>
        <v>23.795000000000002</v>
      </c>
      <c r="AR14" s="45">
        <f>24.469</f>
        <v>24.469000000000001</v>
      </c>
      <c r="AS14" s="45">
        <f>49.009</f>
        <v>49.009</v>
      </c>
      <c r="AT14" s="45">
        <f>59.51</f>
        <v>59.51</v>
      </c>
      <c r="AU14" s="46">
        <f>SUM(AQ14:AT14)</f>
        <v>156.78299999999999</v>
      </c>
      <c r="AV14" s="45">
        <f>61.3-0.3</f>
        <v>61</v>
      </c>
      <c r="AW14" s="45">
        <f>66.5-0.4</f>
        <v>66.099999999999994</v>
      </c>
      <c r="AX14" s="45">
        <f>59.1-0.3</f>
        <v>58.800000000000004</v>
      </c>
      <c r="AY14" s="45">
        <f>59.1+0.7-0.3-0.7</f>
        <v>58.800000000000004</v>
      </c>
      <c r="AZ14" s="46">
        <f>SUM(AV14:AY14)</f>
        <v>244.70000000000002</v>
      </c>
      <c r="BA14" s="45">
        <f>55.8-0.3</f>
        <v>55.5</v>
      </c>
      <c r="BB14" s="45">
        <f>81.1-0.4</f>
        <v>80.699999999999989</v>
      </c>
      <c r="BC14" s="45">
        <f>101.6-0.3</f>
        <v>101.3</v>
      </c>
      <c r="BD14" s="45">
        <f>95.9-0.4</f>
        <v>95.5</v>
      </c>
      <c r="BE14" s="46">
        <f>SUM(BA14:BD14)</f>
        <v>333</v>
      </c>
      <c r="BF14" s="45">
        <f t="shared" ref="BF14:BI14" si="2">BF10*BF54</f>
        <v>107.06832000000001</v>
      </c>
      <c r="BG14" s="45">
        <f t="shared" si="2"/>
        <v>104.238218</v>
      </c>
      <c r="BH14" s="45">
        <f t="shared" si="2"/>
        <v>101.81761199999998</v>
      </c>
      <c r="BI14" s="45">
        <f t="shared" si="2"/>
        <v>99.530541000000014</v>
      </c>
      <c r="BJ14" s="46">
        <f>SUM(BF14:BI14)</f>
        <v>412.65469100000001</v>
      </c>
      <c r="BK14" s="47"/>
      <c r="BL14" s="47"/>
      <c r="BM14" s="47"/>
      <c r="BN14" s="47"/>
      <c r="BO14" s="46">
        <f>BO10*BO54</f>
        <v>410.92530570000008</v>
      </c>
      <c r="BP14" s="47"/>
      <c r="BQ14" s="47"/>
      <c r="BR14" s="47"/>
      <c r="BS14" s="47"/>
      <c r="BT14" s="46">
        <f>BT10*BT54</f>
        <v>410.77118156910001</v>
      </c>
      <c r="BU14" s="47"/>
      <c r="BV14" s="47"/>
      <c r="BW14" s="47"/>
      <c r="BX14" s="47"/>
      <c r="BY14" s="46">
        <f>BY10*BY54</f>
        <v>408.7461497916691</v>
      </c>
      <c r="BZ14" s="47"/>
      <c r="CA14" s="47"/>
      <c r="CB14" s="47"/>
      <c r="CC14" s="47"/>
      <c r="CD14" s="46">
        <f>CD10*CD54</f>
        <v>412.88178984166893</v>
      </c>
      <c r="CF14" s="42" t="s">
        <v>41</v>
      </c>
    </row>
    <row r="15" spans="1:84" s="28" customFormat="1">
      <c r="B15" s="43" t="s">
        <v>42</v>
      </c>
      <c r="C15" s="44">
        <v>75.605000000000004</v>
      </c>
      <c r="D15" s="45">
        <v>58.051000000000002</v>
      </c>
      <c r="E15" s="45">
        <v>42.402000000000001</v>
      </c>
      <c r="F15" s="45">
        <v>53.131</v>
      </c>
      <c r="G15" s="46">
        <f>SUM(C15:F15)</f>
        <v>229.18899999999999</v>
      </c>
      <c r="H15" s="45">
        <v>56.55</v>
      </c>
      <c r="I15" s="45">
        <v>66.67</v>
      </c>
      <c r="J15" s="45">
        <v>50.167999999999999</v>
      </c>
      <c r="K15" s="45">
        <v>65.052999999999997</v>
      </c>
      <c r="L15" s="46">
        <f>SUM(H15:K15)</f>
        <v>238.441</v>
      </c>
      <c r="M15" s="45">
        <v>49.594000000000001</v>
      </c>
      <c r="N15" s="45">
        <v>46.329000000000001</v>
      </c>
      <c r="O15" s="45">
        <v>33.659999999999997</v>
      </c>
      <c r="P15" s="45">
        <v>31.417999999999999</v>
      </c>
      <c r="Q15" s="46">
        <f>SUM(M15:P15)</f>
        <v>161.001</v>
      </c>
      <c r="R15" s="45">
        <v>43.597000000000001</v>
      </c>
      <c r="S15" s="45">
        <f>56.633-6.052-5.414</f>
        <v>45.167000000000002</v>
      </c>
      <c r="T15" s="45">
        <f>44.661-0.728</f>
        <v>43.933</v>
      </c>
      <c r="U15" s="45">
        <f>44.031-0.05+-1.362</f>
        <v>42.619</v>
      </c>
      <c r="V15" s="46">
        <f>SUM(R15:U15)</f>
        <v>175.316</v>
      </c>
      <c r="W15" s="45">
        <f>43.244-1.4</f>
        <v>41.844000000000001</v>
      </c>
      <c r="X15" s="45">
        <f>49.498-1.546-0.629-0</f>
        <v>47.323</v>
      </c>
      <c r="Y15" s="45">
        <f>44.774+0.169-0.399</f>
        <v>44.543999999999997</v>
      </c>
      <c r="Z15" s="45">
        <f>41.085-0.083</f>
        <v>41.002000000000002</v>
      </c>
      <c r="AA15" s="46">
        <f>SUM(W15:Z15)</f>
        <v>174.71300000000002</v>
      </c>
      <c r="AB15" s="45">
        <f>43.513</f>
        <v>43.512999999999998</v>
      </c>
      <c r="AC15" s="45">
        <v>45.094000000000001</v>
      </c>
      <c r="AD15" s="45">
        <v>60.186999999999998</v>
      </c>
      <c r="AE15" s="45">
        <f>127.752+44.078+14.11-17.04-44.078-14.11-(122.729-117.66)</f>
        <v>105.643</v>
      </c>
      <c r="AF15" s="46">
        <f>SUM(AB15:AE15)</f>
        <v>254.43699999999998</v>
      </c>
      <c r="AG15" s="45">
        <f>139.506-23.337</f>
        <v>116.169</v>
      </c>
      <c r="AH15" s="45">
        <f>149.657+1.752+2+2+29.495-16.07-1.752-29.495-2-2-1.923</f>
        <v>131.66400000000002</v>
      </c>
      <c r="AI15" s="45">
        <f>134.801+6.904+25.372-10.579-6.904-25.372</f>
        <v>124.22199999999999</v>
      </c>
      <c r="AJ15" s="45">
        <f>148.508-20.028+9.441+56.718-0.157-12.723-0.402-9.441+20.028-56.718</f>
        <v>135.226</v>
      </c>
      <c r="AK15" s="46">
        <f>SUM(AG15:AJ15)</f>
        <v>507.28100000000001</v>
      </c>
      <c r="AL15" s="45">
        <f>177.286+9.839+3.155+69.842+200.643-0.072-10.28-0.934-3.155-9.839-69.842-200.643</f>
        <v>166.00000000000003</v>
      </c>
      <c r="AM15" s="49">
        <f>185.44+7.729+53.624+43.871+210.57-5.135-7.729-53.624-43.871-215.791</f>
        <v>175.084</v>
      </c>
      <c r="AN15" s="49">
        <f>188.66+5.63+47.477+218.187-9.149-5.63-47.477-218.187</f>
        <v>179.51100000000002</v>
      </c>
      <c r="AO15" s="45">
        <f>204.697-28.464+261.801+299.485-6.017+28.464-261.801-299.485</f>
        <v>198.67999999999989</v>
      </c>
      <c r="AP15" s="46">
        <f>SUM(AL15:AO15)</f>
        <v>719.27499999999986</v>
      </c>
      <c r="AQ15" s="45">
        <f>241.899-2.185+4.448+56.884+326.175+0.29+2.185-4.448-56.884-326.175</f>
        <v>242.18899999999991</v>
      </c>
      <c r="AR15" s="45">
        <f>257.373-17.604</f>
        <v>239.76900000000001</v>
      </c>
      <c r="AS15" s="45">
        <f>355.637-4.025</f>
        <v>351.61200000000002</v>
      </c>
      <c r="AT15" s="45">
        <f>450.254-0.369</f>
        <v>449.88499999999999</v>
      </c>
      <c r="AU15" s="46">
        <f>SUM(AQ15:AT15)</f>
        <v>1283.4549999999999</v>
      </c>
      <c r="AV15" s="45">
        <f>482-6</f>
        <v>476</v>
      </c>
      <c r="AW15" s="45">
        <f>515.7-4.1</f>
        <v>511.6</v>
      </c>
      <c r="AX15" s="45">
        <f>504.1-3.3</f>
        <v>500.8</v>
      </c>
      <c r="AY15" s="45">
        <f>524.5+0.5</f>
        <v>525</v>
      </c>
      <c r="AZ15" s="46">
        <f>SUM(AV15:AY15)</f>
        <v>2013.4</v>
      </c>
      <c r="BA15" s="45">
        <f>573.8-9</f>
        <v>564.79999999999995</v>
      </c>
      <c r="BB15" s="45">
        <f>685.5+4.4</f>
        <v>689.9</v>
      </c>
      <c r="BC15" s="45">
        <f>697.6-23.9</f>
        <v>673.7</v>
      </c>
      <c r="BD15" s="45">
        <f>725.8-47.9</f>
        <v>677.9</v>
      </c>
      <c r="BE15" s="46">
        <f>SUM(BA15:BD15)</f>
        <v>2606.2999999999997</v>
      </c>
      <c r="BF15" s="45">
        <f t="shared" ref="BF15:BI15" si="3">BF10*BF55</f>
        <v>713.78880000000004</v>
      </c>
      <c r="BG15" s="45">
        <f t="shared" si="3"/>
        <v>685.77775000000008</v>
      </c>
      <c r="BH15" s="45">
        <f t="shared" si="3"/>
        <v>678.7840799999999</v>
      </c>
      <c r="BI15" s="45">
        <f t="shared" si="3"/>
        <v>678.61732500000005</v>
      </c>
      <c r="BJ15" s="46">
        <f>SUM(BF15:BI15)</f>
        <v>2756.9679550000001</v>
      </c>
      <c r="BK15" s="47"/>
      <c r="BL15" s="47"/>
      <c r="BM15" s="47"/>
      <c r="BN15" s="47"/>
      <c r="BO15" s="46">
        <f>BO10*BO55</f>
        <v>2935.1807550000003</v>
      </c>
      <c r="BP15" s="47"/>
      <c r="BQ15" s="47"/>
      <c r="BR15" s="47"/>
      <c r="BS15" s="47"/>
      <c r="BT15" s="46">
        <f>BT10*BT55</f>
        <v>3087.0076675495998</v>
      </c>
      <c r="BU15" s="47"/>
      <c r="BV15" s="47"/>
      <c r="BW15" s="47"/>
      <c r="BX15" s="47"/>
      <c r="BY15" s="46">
        <f>BY10*BY55</f>
        <v>3230.4131193212556</v>
      </c>
      <c r="BZ15" s="47"/>
      <c r="CA15" s="47"/>
      <c r="CB15" s="47"/>
      <c r="CC15" s="47"/>
      <c r="CD15" s="46">
        <f>CD10*CD55</f>
        <v>3371.8679503736294</v>
      </c>
      <c r="CF15" s="43" t="s">
        <v>43</v>
      </c>
    </row>
    <row r="16" spans="1:84" s="28" customFormat="1" hidden="1" outlineLevel="1">
      <c r="B16" s="43" t="s">
        <v>44</v>
      </c>
      <c r="C16" s="44">
        <v>16.033999999999999</v>
      </c>
      <c r="D16" s="45">
        <v>15.477</v>
      </c>
      <c r="E16" s="45">
        <v>15.443</v>
      </c>
      <c r="F16" s="45">
        <v>15.442</v>
      </c>
      <c r="G16" s="46">
        <f>SUM(C16:F16)</f>
        <v>62.396000000000001</v>
      </c>
      <c r="H16" s="45">
        <v>14.824</v>
      </c>
      <c r="I16" s="45">
        <v>14.824999999999999</v>
      </c>
      <c r="J16" s="45">
        <v>14.824</v>
      </c>
      <c r="K16" s="45">
        <v>11.984</v>
      </c>
      <c r="L16" s="46">
        <f>SUM(H16:K16)</f>
        <v>56.457000000000001</v>
      </c>
      <c r="M16" s="45">
        <v>11.981</v>
      </c>
      <c r="N16" s="45">
        <v>11.981999999999999</v>
      </c>
      <c r="O16" s="45">
        <v>11.978999999999999</v>
      </c>
      <c r="P16" s="45">
        <v>12.106999999999999</v>
      </c>
      <c r="Q16" s="46">
        <f>SUM(M16:P16)</f>
        <v>48.048999999999999</v>
      </c>
      <c r="R16" s="45">
        <v>11.694000000000001</v>
      </c>
      <c r="S16" s="45">
        <v>11.691000000000001</v>
      </c>
      <c r="T16" s="45">
        <v>12.342000000000001</v>
      </c>
      <c r="U16" s="45">
        <v>15.641999999999999</v>
      </c>
      <c r="V16" s="46">
        <f>SUM(R16:U16)</f>
        <v>51.369</v>
      </c>
      <c r="W16" s="45">
        <v>15.503</v>
      </c>
      <c r="X16" s="45">
        <v>21.777999999999999</v>
      </c>
      <c r="Y16" s="45">
        <v>33.121000000000002</v>
      </c>
      <c r="Z16" s="45">
        <v>34.328000000000003</v>
      </c>
      <c r="AA16" s="46">
        <f>SUM(W16:Z16)</f>
        <v>104.73</v>
      </c>
      <c r="AB16" s="45">
        <v>33</v>
      </c>
      <c r="AC16" s="45">
        <v>33.299999999999997</v>
      </c>
      <c r="AD16" s="45">
        <v>35.499000000000002</v>
      </c>
      <c r="AE16" s="45">
        <v>117.66</v>
      </c>
      <c r="AF16" s="46">
        <f>SUM(AB16:AE16)</f>
        <v>219.459</v>
      </c>
      <c r="AG16" s="45">
        <v>112.04300000000001</v>
      </c>
      <c r="AH16" s="45">
        <v>114.946</v>
      </c>
      <c r="AI16" s="45">
        <f>138.027</f>
        <v>138.02699999999999</v>
      </c>
      <c r="AJ16" s="45">
        <f>192.798</f>
        <v>192.798</v>
      </c>
      <c r="AK16" s="46">
        <f>SUM(AG16:AJ16)</f>
        <v>557.81399999999996</v>
      </c>
      <c r="AL16" s="45">
        <v>200.643</v>
      </c>
      <c r="AM16" s="45">
        <f>'BS &amp; CF'!Y104</f>
        <v>211.101</v>
      </c>
      <c r="AN16" s="45">
        <f>'BS &amp; CF'!Z104</f>
        <v>218.18700000000001</v>
      </c>
      <c r="AO16" s="45">
        <f>'BS &amp; CF'!AA104</f>
        <v>301.51099999999997</v>
      </c>
      <c r="AP16" s="46">
        <f>SUM(AL16:AO16)</f>
        <v>931.44200000000001</v>
      </c>
      <c r="AU16" s="50"/>
      <c r="AZ16" s="50"/>
      <c r="BA16" s="47"/>
      <c r="BB16" s="47"/>
      <c r="BC16" s="47"/>
      <c r="BD16" s="47"/>
      <c r="BE16" s="43"/>
      <c r="BF16" s="47"/>
      <c r="BG16" s="47"/>
      <c r="BH16" s="47"/>
      <c r="BI16" s="47"/>
      <c r="BJ16" s="43"/>
      <c r="BK16" s="47"/>
      <c r="BL16" s="47"/>
      <c r="BM16" s="47"/>
      <c r="BN16" s="47"/>
      <c r="BO16" s="43"/>
      <c r="BP16" s="47"/>
      <c r="BQ16" s="47"/>
      <c r="BR16" s="47"/>
      <c r="BS16" s="47"/>
      <c r="BT16" s="43"/>
      <c r="BU16" s="47"/>
      <c r="BV16" s="47"/>
      <c r="BW16" s="47"/>
      <c r="BX16" s="47"/>
      <c r="BY16" s="43"/>
      <c r="BZ16" s="47"/>
      <c r="CA16" s="47"/>
      <c r="CB16" s="47"/>
      <c r="CC16" s="47"/>
      <c r="CD16" s="43"/>
      <c r="CF16" s="43"/>
    </row>
    <row r="17" spans="2:84" s="28" customFormat="1" hidden="1" outlineLevel="1">
      <c r="B17" s="43" t="s">
        <v>45</v>
      </c>
      <c r="C17" s="44">
        <v>0</v>
      </c>
      <c r="D17" s="45">
        <f>26.56+18.607</f>
        <v>45.167000000000002</v>
      </c>
      <c r="E17" s="45">
        <v>1.1180000000000001</v>
      </c>
      <c r="F17" s="45">
        <f>2.67+0.085</f>
        <v>2.7549999999999999</v>
      </c>
      <c r="G17" s="41">
        <f>SUM(C17:F17)</f>
        <v>49.040000000000006</v>
      </c>
      <c r="H17" s="45">
        <v>0</v>
      </c>
      <c r="I17" s="45">
        <v>4.5</v>
      </c>
      <c r="J17" s="45">
        <f>143+46.8</f>
        <v>189.8</v>
      </c>
      <c r="K17" s="45">
        <f>3.5+15.126+14.4</f>
        <v>33.025999999999996</v>
      </c>
      <c r="L17" s="41">
        <f>SUM(H17:K17)</f>
        <v>227.32600000000002</v>
      </c>
      <c r="M17" s="45">
        <v>0.64500000000000002</v>
      </c>
      <c r="N17" s="45">
        <f>0+-1.612+0.887</f>
        <v>-0.72500000000000009</v>
      </c>
      <c r="O17" s="45">
        <f>2.062+-0.123+-0.82</f>
        <v>1.1189999999999998</v>
      </c>
      <c r="P17" s="45">
        <f>93.052+9.91+0+-0.044</f>
        <v>102.91800000000001</v>
      </c>
      <c r="Q17" s="41">
        <f>SUM(M17:P17)</f>
        <v>103.95700000000001</v>
      </c>
      <c r="R17" s="45"/>
      <c r="S17" s="45"/>
      <c r="T17" s="45"/>
      <c r="U17" s="45"/>
      <c r="V17" s="41" t="s">
        <v>39</v>
      </c>
      <c r="W17" s="45"/>
      <c r="X17" s="45"/>
      <c r="Y17" s="51"/>
      <c r="Z17" s="51"/>
      <c r="AA17" s="46"/>
      <c r="AB17" s="45"/>
      <c r="AC17" s="45"/>
      <c r="AD17" s="45">
        <f>95.916+28.0037+38.5</f>
        <v>162.41969999999998</v>
      </c>
      <c r="AE17" s="45"/>
      <c r="AF17" s="46"/>
      <c r="AG17" s="47"/>
      <c r="AH17" s="47"/>
      <c r="AI17" s="52"/>
      <c r="AJ17" s="47"/>
      <c r="AK17" s="50"/>
      <c r="AL17" s="47"/>
      <c r="AM17" s="47"/>
      <c r="AN17" s="47"/>
      <c r="AO17" s="47"/>
      <c r="AP17" s="50"/>
      <c r="AQ17" s="47"/>
      <c r="AR17" s="47"/>
      <c r="AS17" s="47"/>
      <c r="AT17" s="47"/>
      <c r="AU17" s="50"/>
      <c r="AV17" s="47"/>
      <c r="AW17" s="47"/>
      <c r="AX17" s="47"/>
      <c r="AY17" s="47"/>
      <c r="AZ17" s="50"/>
      <c r="BA17" s="47"/>
      <c r="BB17" s="47"/>
      <c r="BC17" s="47"/>
      <c r="BD17" s="47"/>
      <c r="BE17" s="46"/>
      <c r="BF17" s="47"/>
      <c r="BG17" s="47"/>
      <c r="BH17" s="47"/>
      <c r="BI17" s="47"/>
      <c r="BJ17" s="46"/>
      <c r="BK17" s="47"/>
      <c r="BL17" s="47"/>
      <c r="BM17" s="47"/>
      <c r="BN17" s="47"/>
      <c r="BO17" s="46"/>
      <c r="BP17" s="47"/>
      <c r="BQ17" s="47"/>
      <c r="BR17" s="47"/>
      <c r="BS17" s="47"/>
      <c r="BT17" s="46"/>
      <c r="BU17" s="47"/>
      <c r="BV17" s="47"/>
      <c r="BW17" s="47"/>
      <c r="BX17" s="47"/>
      <c r="BY17" s="46"/>
      <c r="BZ17" s="47"/>
      <c r="CA17" s="47"/>
      <c r="CB17" s="47"/>
      <c r="CC17" s="47"/>
      <c r="CD17" s="46"/>
      <c r="CF17" s="43"/>
    </row>
    <row r="18" spans="2:84" s="28" customFormat="1" hidden="1" outlineLevel="1">
      <c r="B18" s="43"/>
      <c r="C18" s="44"/>
      <c r="D18" s="45"/>
      <c r="E18" s="45"/>
      <c r="F18" s="45"/>
      <c r="G18" s="46"/>
      <c r="H18" s="45"/>
      <c r="I18" s="45"/>
      <c r="J18" s="45"/>
      <c r="K18" s="45"/>
      <c r="L18" s="46"/>
      <c r="M18" s="45"/>
      <c r="N18" s="45"/>
      <c r="O18" s="45"/>
      <c r="P18" s="45"/>
      <c r="Q18" s="46"/>
      <c r="R18" s="45"/>
      <c r="S18" s="45"/>
      <c r="T18" s="45"/>
      <c r="U18" s="45"/>
      <c r="V18" s="46"/>
      <c r="W18" s="45"/>
      <c r="X18" s="45"/>
      <c r="Y18" s="47"/>
      <c r="Z18" s="47"/>
      <c r="AA18" s="43"/>
      <c r="AB18" s="45"/>
      <c r="AC18" s="45"/>
      <c r="AD18" s="45"/>
      <c r="AE18" s="45"/>
      <c r="AF18" s="43"/>
      <c r="AG18" s="47"/>
      <c r="AH18" s="47"/>
      <c r="AI18" s="47"/>
      <c r="AJ18" s="47"/>
      <c r="AK18" s="43"/>
      <c r="AL18" s="47"/>
      <c r="AM18" s="47"/>
      <c r="AN18" s="47"/>
      <c r="AO18" s="47"/>
      <c r="AP18" s="43"/>
      <c r="AQ18" s="47"/>
      <c r="AR18" s="47"/>
      <c r="AS18" s="47"/>
      <c r="AT18" s="47"/>
      <c r="AU18" s="43"/>
      <c r="AV18" s="47"/>
      <c r="AW18" s="47"/>
      <c r="AX18" s="47"/>
      <c r="AY18" s="47"/>
      <c r="AZ18" s="43"/>
      <c r="BA18" s="47"/>
      <c r="BB18" s="47"/>
      <c r="BC18" s="47"/>
      <c r="BD18" s="47"/>
      <c r="BE18" s="43"/>
      <c r="BF18" s="47"/>
      <c r="BG18" s="47"/>
      <c r="BH18" s="47"/>
      <c r="BI18" s="47"/>
      <c r="BJ18" s="43"/>
      <c r="BK18" s="47"/>
      <c r="BL18" s="47"/>
      <c r="BM18" s="47"/>
      <c r="BN18" s="47"/>
      <c r="BO18" s="43"/>
      <c r="BP18" s="47"/>
      <c r="BQ18" s="47"/>
      <c r="BR18" s="47"/>
      <c r="BS18" s="47"/>
      <c r="BT18" s="43"/>
      <c r="BU18" s="47"/>
      <c r="BV18" s="47"/>
      <c r="BW18" s="47"/>
      <c r="BX18" s="47"/>
      <c r="BY18" s="43"/>
      <c r="BZ18" s="47"/>
      <c r="CA18" s="47"/>
      <c r="CB18" s="47"/>
      <c r="CC18" s="47"/>
      <c r="CD18" s="43"/>
      <c r="CF18" s="43"/>
    </row>
    <row r="19" spans="2:84" s="28" customFormat="1" hidden="1" outlineLevel="1">
      <c r="B19" s="38" t="s">
        <v>46</v>
      </c>
      <c r="C19" s="44"/>
      <c r="D19" s="45"/>
      <c r="E19" s="45"/>
      <c r="F19" s="45"/>
      <c r="G19" s="41">
        <f>SUM(C20:F20)</f>
        <v>348.77199999999993</v>
      </c>
      <c r="H19" s="40">
        <f>H12-SUM(H14:H16)</f>
        <v>77.492000000000019</v>
      </c>
      <c r="I19" s="40">
        <f>I12-SUM(I14:I16)</f>
        <v>91.089999999999961</v>
      </c>
      <c r="J19" s="40">
        <f>J12-SUM(J14:J16)</f>
        <v>138.87799999999999</v>
      </c>
      <c r="K19" s="40">
        <f>K12-SUM(K14:K16)</f>
        <v>149.41100000000006</v>
      </c>
      <c r="L19" s="41">
        <f>SUM(H19:K19)</f>
        <v>456.87100000000004</v>
      </c>
      <c r="M19" s="40">
        <f>M12-SUM(M14:M16)</f>
        <v>99.292000000000002</v>
      </c>
      <c r="N19" s="40">
        <f>N12-SUM(N14:N16)</f>
        <v>61.734999999999999</v>
      </c>
      <c r="O19" s="40">
        <f>O12-SUM(O14:O16)</f>
        <v>62.118999999999986</v>
      </c>
      <c r="P19" s="40">
        <f>P12-SUM(P14:P16)</f>
        <v>68.824999999999989</v>
      </c>
      <c r="Q19" s="41">
        <f>SUM(M19:P19)</f>
        <v>291.97099999999995</v>
      </c>
      <c r="R19" s="40">
        <f>R12-SUM(R14:R16,R17)</f>
        <v>71.039999999999978</v>
      </c>
      <c r="S19" s="40">
        <f>S12-SUM(S14:S16,S17)</f>
        <v>63.600999999999985</v>
      </c>
      <c r="T19" s="40">
        <f>T12-SUM(T14:T16,T17)</f>
        <v>58.677999999999983</v>
      </c>
      <c r="U19" s="40">
        <f>U12-SUM(U14:U16,U17)</f>
        <v>55.062999999999988</v>
      </c>
      <c r="V19" s="41">
        <f>SUM(R19:U19)</f>
        <v>248.38199999999995</v>
      </c>
      <c r="W19" s="40">
        <f>W12-SUM(W14:W16,W17)</f>
        <v>56.603999999999985</v>
      </c>
      <c r="X19" s="40">
        <f>X12-SUM(X14:X17)</f>
        <v>60.099000000000018</v>
      </c>
      <c r="Y19" s="40">
        <f>Y12-SUM(Y14:Y17)</f>
        <v>69.112999999999985</v>
      </c>
      <c r="Z19" s="40">
        <f>Z12-SUM(Z14:Z17)</f>
        <v>89.431999999999988</v>
      </c>
      <c r="AA19" s="41">
        <f>SUM(W19:Z19)</f>
        <v>275.24799999999993</v>
      </c>
      <c r="AB19" s="40">
        <f>AB12-SUM(AB14:AB16)</f>
        <v>68.283000000000015</v>
      </c>
      <c r="AC19" s="40">
        <f>AC12-SUM(AC14:AC17)</f>
        <v>69.393000000000001</v>
      </c>
      <c r="AD19" s="40">
        <f>AD12-SUM(AD14:AD17)</f>
        <v>-126.27869999999993</v>
      </c>
      <c r="AE19" s="45"/>
      <c r="AF19" s="43"/>
      <c r="AG19" s="47"/>
      <c r="AH19" s="47"/>
      <c r="AI19" s="47"/>
      <c r="AJ19" s="47"/>
      <c r="AK19" s="43"/>
      <c r="AL19" s="47"/>
      <c r="AM19" s="47"/>
      <c r="AN19" s="47"/>
      <c r="AO19" s="47"/>
      <c r="AP19" s="43"/>
      <c r="AQ19" s="47"/>
      <c r="AR19" s="47"/>
      <c r="AS19" s="47"/>
      <c r="AT19" s="47"/>
      <c r="AU19" s="43"/>
      <c r="AV19" s="47"/>
      <c r="AW19" s="47"/>
      <c r="AX19" s="47"/>
      <c r="AY19" s="47"/>
      <c r="AZ19" s="43"/>
      <c r="BA19" s="47"/>
      <c r="BB19" s="47"/>
      <c r="BC19" s="47"/>
      <c r="BD19" s="47"/>
      <c r="BE19" s="43"/>
      <c r="BF19" s="47"/>
      <c r="BG19" s="47"/>
      <c r="BH19" s="47"/>
      <c r="BI19" s="47"/>
      <c r="BJ19" s="43"/>
      <c r="BK19" s="47"/>
      <c r="BL19" s="47"/>
      <c r="BM19" s="47"/>
      <c r="BN19" s="47"/>
      <c r="BO19" s="43"/>
      <c r="BP19" s="47"/>
      <c r="BQ19" s="47"/>
      <c r="BR19" s="47"/>
      <c r="BS19" s="47"/>
      <c r="BT19" s="43"/>
      <c r="BU19" s="47"/>
      <c r="BV19" s="47"/>
      <c r="BW19" s="47"/>
      <c r="BX19" s="47"/>
      <c r="BY19" s="43"/>
      <c r="BZ19" s="47"/>
      <c r="CA19" s="47"/>
      <c r="CB19" s="47"/>
      <c r="CC19" s="47"/>
      <c r="CD19" s="43"/>
      <c r="CF19" s="43"/>
    </row>
    <row r="20" spans="2:84" s="28" customFormat="1" collapsed="1">
      <c r="B20" s="38" t="s">
        <v>47</v>
      </c>
      <c r="C20" s="39">
        <f>C12-SUM(C14:C16)</f>
        <v>21.043999999999983</v>
      </c>
      <c r="D20" s="40">
        <f>D12-SUM(D14:D16)</f>
        <v>60.246999999999986</v>
      </c>
      <c r="E20" s="40">
        <f>E12-SUM(E14:E16)</f>
        <v>128.30900000000003</v>
      </c>
      <c r="F20" s="40">
        <f>F12-SUM(F14:F16)</f>
        <v>139.17199999999997</v>
      </c>
      <c r="G20" s="46">
        <f t="shared" ref="G20:AA20" si="4">G19+G16</f>
        <v>411.16799999999995</v>
      </c>
      <c r="H20" s="28">
        <f t="shared" si="4"/>
        <v>92.316000000000017</v>
      </c>
      <c r="I20" s="28">
        <f t="shared" si="4"/>
        <v>105.91499999999996</v>
      </c>
      <c r="J20" s="28">
        <f t="shared" si="4"/>
        <v>153.702</v>
      </c>
      <c r="K20" s="28">
        <f t="shared" si="4"/>
        <v>161.39500000000007</v>
      </c>
      <c r="L20" s="46">
        <f t="shared" si="4"/>
        <v>513.32800000000009</v>
      </c>
      <c r="M20" s="28">
        <f t="shared" si="4"/>
        <v>111.273</v>
      </c>
      <c r="N20" s="28">
        <f t="shared" si="4"/>
        <v>73.716999999999999</v>
      </c>
      <c r="O20" s="28">
        <f t="shared" si="4"/>
        <v>74.097999999999985</v>
      </c>
      <c r="P20" s="28">
        <f t="shared" si="4"/>
        <v>80.931999999999988</v>
      </c>
      <c r="Q20" s="46">
        <f t="shared" si="4"/>
        <v>340.01999999999992</v>
      </c>
      <c r="R20" s="28">
        <f t="shared" si="4"/>
        <v>82.73399999999998</v>
      </c>
      <c r="S20" s="28">
        <f t="shared" si="4"/>
        <v>75.291999999999987</v>
      </c>
      <c r="T20" s="28">
        <f t="shared" si="4"/>
        <v>71.019999999999982</v>
      </c>
      <c r="U20" s="28">
        <f t="shared" si="4"/>
        <v>70.704999999999984</v>
      </c>
      <c r="V20" s="46">
        <f t="shared" si="4"/>
        <v>299.75099999999998</v>
      </c>
      <c r="W20" s="28">
        <f t="shared" si="4"/>
        <v>72.106999999999985</v>
      </c>
      <c r="X20" s="28">
        <f t="shared" si="4"/>
        <v>81.87700000000001</v>
      </c>
      <c r="Y20" s="28">
        <f t="shared" si="4"/>
        <v>102.23399999999998</v>
      </c>
      <c r="Z20" s="28">
        <f t="shared" si="4"/>
        <v>123.75999999999999</v>
      </c>
      <c r="AA20" s="46">
        <f t="shared" si="4"/>
        <v>379.97799999999995</v>
      </c>
      <c r="AB20" s="28">
        <f>AB19+AB16</f>
        <v>101.28300000000002</v>
      </c>
      <c r="AC20" s="28">
        <f>AC19+AC16</f>
        <v>102.693</v>
      </c>
      <c r="AD20" s="28">
        <f>AD19+AD16</f>
        <v>-90.779699999999934</v>
      </c>
      <c r="AE20" s="40">
        <f>AE12-SUM(AE14:AE15)</f>
        <v>230.27099999999996</v>
      </c>
      <c r="AF20" s="41">
        <f>SUM(AB20:AE20)</f>
        <v>343.46730000000002</v>
      </c>
      <c r="AG20" s="40">
        <f>AG12-SUM(AG14:AG15)</f>
        <v>283.41800000000006</v>
      </c>
      <c r="AH20" s="40">
        <f>AH12-SUM(AH14:AH15)</f>
        <v>303.18899999999985</v>
      </c>
      <c r="AI20" s="40">
        <f>AI12-SUM(AI14:AI15)</f>
        <v>299.18899999999996</v>
      </c>
      <c r="AJ20" s="40">
        <f>AJ12-SUM(AJ14:AJ15)</f>
        <v>370.20099999999996</v>
      </c>
      <c r="AK20" s="41">
        <f>SUM(AG20:AJ20)</f>
        <v>1255.9969999999998</v>
      </c>
      <c r="AL20" s="40">
        <f t="shared" ref="AL20:BI20" si="5">AL12-SUM(AL14:AL15)</f>
        <v>443.71499999999992</v>
      </c>
      <c r="AM20" s="40">
        <f t="shared" si="5"/>
        <v>428.20200000000006</v>
      </c>
      <c r="AN20" s="40">
        <f t="shared" si="5"/>
        <v>475.23699999999997</v>
      </c>
      <c r="AO20" s="40">
        <f t="shared" si="5"/>
        <v>522.62500000000011</v>
      </c>
      <c r="AP20" s="41">
        <f>SUM(AL20:AO20)</f>
        <v>1869.779</v>
      </c>
      <c r="AQ20" s="40">
        <f t="shared" si="5"/>
        <v>556.02700000000004</v>
      </c>
      <c r="AR20" s="40">
        <f t="shared" si="5"/>
        <v>572.84199999999987</v>
      </c>
      <c r="AS20" s="40">
        <f t="shared" si="5"/>
        <v>725.15099999999984</v>
      </c>
      <c r="AT20" s="40">
        <f t="shared" si="5"/>
        <v>1006.317</v>
      </c>
      <c r="AU20" s="41">
        <f t="shared" si="5"/>
        <v>2860.3369999999991</v>
      </c>
      <c r="AV20" s="40">
        <f t="shared" si="5"/>
        <v>850.39999999999986</v>
      </c>
      <c r="AW20" s="40">
        <f t="shared" si="5"/>
        <v>895.49999999999977</v>
      </c>
      <c r="AX20" s="40">
        <f>AX12-SUM(AX14:AX15)</f>
        <v>962.8000000000003</v>
      </c>
      <c r="AY20" s="40">
        <f t="shared" si="5"/>
        <v>1137.5</v>
      </c>
      <c r="AZ20" s="41">
        <f t="shared" si="5"/>
        <v>3846.2000000000003</v>
      </c>
      <c r="BA20" s="40">
        <f t="shared" si="5"/>
        <v>1029.9000000000003</v>
      </c>
      <c r="BB20" s="40">
        <f>BB12-SUM(BB14:BB15)</f>
        <v>1331.4</v>
      </c>
      <c r="BC20" s="40">
        <f>BC12-SUM(BC14:BC15)</f>
        <v>1399.8000000000002</v>
      </c>
      <c r="BD20" s="40">
        <f>BD12-SUM(BD14:BD15)</f>
        <v>1329.9999999999995</v>
      </c>
      <c r="BE20" s="41">
        <f t="shared" si="5"/>
        <v>5091.1000000000004</v>
      </c>
      <c r="BF20" s="40">
        <f t="shared" si="5"/>
        <v>958.97312000000022</v>
      </c>
      <c r="BG20" s="40">
        <f t="shared" si="5"/>
        <v>1309.4867420000005</v>
      </c>
      <c r="BH20" s="40">
        <f t="shared" si="5"/>
        <v>1395.0711780000001</v>
      </c>
      <c r="BI20" s="40">
        <f t="shared" si="5"/>
        <v>1526.7284390000002</v>
      </c>
      <c r="BJ20" s="41">
        <f>BJ12-SUM(BJ14:BJ15)</f>
        <v>5190.2594790000003</v>
      </c>
      <c r="BK20" s="47"/>
      <c r="BL20" s="47"/>
      <c r="BM20" s="47"/>
      <c r="BN20" s="47"/>
      <c r="BO20" s="41">
        <f>BO12-SUM(BO14:BO15)</f>
        <v>5633.6811345500028</v>
      </c>
      <c r="BP20" s="47"/>
      <c r="BQ20" s="47"/>
      <c r="BR20" s="47"/>
      <c r="BS20" s="47"/>
      <c r="BT20" s="41">
        <f>BT12-SUM(BT14:BT15)</f>
        <v>6076.2228770882994</v>
      </c>
      <c r="BU20" s="47"/>
      <c r="BV20" s="47"/>
      <c r="BW20" s="47"/>
      <c r="BX20" s="47"/>
      <c r="BY20" s="41">
        <f>BY12-SUM(BY14:BY15)</f>
        <v>6572.1256777861618</v>
      </c>
      <c r="BZ20" s="47"/>
      <c r="CA20" s="47"/>
      <c r="CB20" s="47"/>
      <c r="CC20" s="47"/>
      <c r="CD20" s="41">
        <f>CD12-SUM(CD14:CD15)</f>
        <v>6938.176746250776</v>
      </c>
      <c r="CF20" s="43"/>
    </row>
    <row r="21" spans="2:84" s="28" customFormat="1">
      <c r="B21" s="38"/>
      <c r="C21" s="39"/>
      <c r="D21" s="40"/>
      <c r="E21" s="40"/>
      <c r="F21" s="40"/>
      <c r="G21" s="41"/>
      <c r="H21" s="40"/>
      <c r="I21" s="40"/>
      <c r="J21" s="40"/>
      <c r="K21" s="40"/>
      <c r="L21" s="41"/>
      <c r="M21" s="40"/>
      <c r="N21" s="40"/>
      <c r="O21" s="40"/>
      <c r="P21" s="40"/>
      <c r="Q21" s="41"/>
      <c r="R21" s="40"/>
      <c r="S21" s="40"/>
      <c r="T21" s="40"/>
      <c r="U21" s="40"/>
      <c r="V21" s="41"/>
      <c r="W21" s="40"/>
      <c r="X21" s="40"/>
      <c r="Y21" s="47"/>
      <c r="Z21" s="47"/>
      <c r="AA21" s="43"/>
      <c r="AB21" s="45"/>
      <c r="AC21" s="45"/>
      <c r="AD21" s="45"/>
      <c r="AE21" s="45"/>
      <c r="AF21" s="43"/>
      <c r="AG21" s="47"/>
      <c r="AH21" s="47"/>
      <c r="AI21" s="47"/>
      <c r="AJ21" s="47"/>
      <c r="AK21" s="43"/>
      <c r="AL21" s="47"/>
      <c r="AM21" s="47"/>
      <c r="AN21" s="47"/>
      <c r="AO21" s="47"/>
      <c r="AP21" s="43" t="s">
        <v>39</v>
      </c>
      <c r="AQ21" s="47"/>
      <c r="AR21" s="47"/>
      <c r="AS21" s="47"/>
      <c r="AT21" s="47"/>
      <c r="AU21" s="43"/>
      <c r="AZ21" s="43"/>
      <c r="BA21" s="47"/>
      <c r="BB21" s="47"/>
      <c r="BC21" s="47"/>
      <c r="BD21" s="47"/>
      <c r="BE21" s="43"/>
      <c r="BF21" s="47"/>
      <c r="BG21" s="47"/>
      <c r="BH21" s="47"/>
      <c r="BI21" s="47"/>
      <c r="BJ21" s="43"/>
      <c r="BK21" s="47"/>
      <c r="BL21" s="47"/>
      <c r="BM21" s="47"/>
      <c r="BN21" s="47"/>
      <c r="BO21" s="43"/>
      <c r="BP21" s="47"/>
      <c r="BQ21" s="47"/>
      <c r="BR21" s="47"/>
      <c r="BS21" s="47"/>
      <c r="BT21" s="43"/>
      <c r="BU21" s="47"/>
      <c r="BV21" s="47"/>
      <c r="BW21" s="47"/>
      <c r="BX21" s="47"/>
      <c r="BY21" s="43"/>
      <c r="BZ21" s="47"/>
      <c r="CA21" s="47"/>
      <c r="CB21" s="47"/>
      <c r="CC21" s="47"/>
      <c r="CD21" s="43"/>
      <c r="CF21" s="43"/>
    </row>
    <row r="22" spans="2:84" s="28" customFormat="1">
      <c r="B22" s="43" t="s">
        <v>48</v>
      </c>
      <c r="C22" s="44">
        <f>0.378</f>
        <v>0.378</v>
      </c>
      <c r="D22" s="45">
        <f>0.912</f>
        <v>0.91200000000000003</v>
      </c>
      <c r="E22" s="45">
        <f>2.386</f>
        <v>2.3860000000000001</v>
      </c>
      <c r="F22" s="45">
        <f>3.499</f>
        <v>3.4990000000000001</v>
      </c>
      <c r="G22" s="46">
        <f>SUM(C22:F22)</f>
        <v>7.1750000000000007</v>
      </c>
      <c r="H22" s="45">
        <f>5.196</f>
        <v>5.1959999999999997</v>
      </c>
      <c r="I22" s="45">
        <f>6.116</f>
        <v>6.1159999999999997</v>
      </c>
      <c r="J22" s="45">
        <f>7.577</f>
        <v>7.577</v>
      </c>
      <c r="K22" s="45">
        <f>10.31</f>
        <v>10.31</v>
      </c>
      <c r="L22" s="46">
        <f>SUM(H22:K22)</f>
        <v>29.198999999999998</v>
      </c>
      <c r="M22" s="45">
        <f>9.761</f>
        <v>9.7609999999999992</v>
      </c>
      <c r="N22" s="45">
        <f>6.07</f>
        <v>6.07</v>
      </c>
      <c r="O22" s="45">
        <f>3.789</f>
        <v>3.7890000000000001</v>
      </c>
      <c r="P22" s="45">
        <f>4.943</f>
        <v>4.9429999999999996</v>
      </c>
      <c r="Q22" s="46">
        <f>SUM(M22:P22)</f>
        <v>24.563000000000002</v>
      </c>
      <c r="R22" s="45">
        <f>3.468</f>
        <v>3.468</v>
      </c>
      <c r="S22" s="45">
        <f>3.412</f>
        <v>3.4119999999999999</v>
      </c>
      <c r="T22" s="45">
        <f>1.783</f>
        <v>1.7829999999999999</v>
      </c>
      <c r="U22" s="45">
        <f>0.737</f>
        <v>0.73699999999999999</v>
      </c>
      <c r="V22" s="46">
        <f>SUM(R22:U22)</f>
        <v>9.4</v>
      </c>
      <c r="W22" s="45">
        <f>0.334</f>
        <v>0.33400000000000002</v>
      </c>
      <c r="X22" s="45">
        <v>0.251</v>
      </c>
      <c r="Y22" s="45">
        <v>0.23799999999999999</v>
      </c>
      <c r="Z22" s="45">
        <v>0.29499999999999998</v>
      </c>
      <c r="AA22" s="46">
        <f>SUM(W22:Z22)</f>
        <v>1.1179999999999999</v>
      </c>
      <c r="AB22" s="45">
        <v>0.188</v>
      </c>
      <c r="AC22" s="45">
        <v>0.23400000000000001</v>
      </c>
      <c r="AD22" s="45">
        <v>0.126</v>
      </c>
      <c r="AE22" s="45">
        <f>1.294-AB22-AC22-AD22</f>
        <v>0.74600000000000011</v>
      </c>
      <c r="AF22" s="46">
        <f>SUM(AB22:AE22)</f>
        <v>1.294</v>
      </c>
      <c r="AG22" s="45">
        <v>0.80300000000000005</v>
      </c>
      <c r="AH22" s="45">
        <v>0.84699999999999998</v>
      </c>
      <c r="AI22" s="45">
        <v>1.052</v>
      </c>
      <c r="AJ22" s="45">
        <f>4.084-AG22-AH22-AI22</f>
        <v>1.3819999999999997</v>
      </c>
      <c r="AK22" s="46">
        <f>SUM(AG22:AJ22)</f>
        <v>4.0839999999999996</v>
      </c>
      <c r="AL22" s="45">
        <v>1.123</v>
      </c>
      <c r="AM22" s="45">
        <v>1.02</v>
      </c>
      <c r="AN22" s="45">
        <v>1.1559999999999999</v>
      </c>
      <c r="AO22" s="45">
        <f>5.986-AL22-AM22-AN22</f>
        <v>2.6869999999999994</v>
      </c>
      <c r="AP22" s="46">
        <f>SUM(AL22:AO22)</f>
        <v>5.9859999999999989</v>
      </c>
      <c r="AQ22" s="45">
        <v>1.5960000000000001</v>
      </c>
      <c r="AR22" s="45">
        <f>1.054</f>
        <v>1.054</v>
      </c>
      <c r="AS22" s="45">
        <v>2.6859999999999999</v>
      </c>
      <c r="AT22" s="45"/>
      <c r="AU22" s="46">
        <f>SUM(AQ22:AT22)</f>
        <v>5.3360000000000003</v>
      </c>
      <c r="AV22" s="45">
        <v>1.8</v>
      </c>
      <c r="AW22" s="51">
        <v>0</v>
      </c>
      <c r="AX22" s="51">
        <v>0</v>
      </c>
      <c r="AY22" s="51">
        <v>0</v>
      </c>
      <c r="AZ22" s="46">
        <f>SUM(AV22:AY22)</f>
        <v>1.8</v>
      </c>
      <c r="BA22" s="51"/>
      <c r="BB22" s="51"/>
      <c r="BC22" s="51"/>
      <c r="BD22" s="51"/>
      <c r="BE22" s="46">
        <f>SUM(BA22:BD22)</f>
        <v>0</v>
      </c>
      <c r="BF22" s="47"/>
      <c r="BG22" s="47"/>
      <c r="BH22" s="47"/>
      <c r="BI22" s="47"/>
      <c r="BJ22" s="46">
        <f>SUM(BF22:BI22)</f>
        <v>0</v>
      </c>
      <c r="BK22" s="47"/>
      <c r="BL22" s="47"/>
      <c r="BM22" s="47"/>
      <c r="BN22" s="47"/>
      <c r="BO22" s="50">
        <v>15</v>
      </c>
      <c r="BP22" s="47"/>
      <c r="BQ22" s="47"/>
      <c r="BR22" s="47"/>
      <c r="BS22" s="47"/>
      <c r="BT22" s="53">
        <v>15</v>
      </c>
      <c r="BU22" s="54"/>
      <c r="BV22" s="54"/>
      <c r="BW22" s="54"/>
      <c r="BX22" s="54"/>
      <c r="BY22" s="53">
        <v>15</v>
      </c>
      <c r="BZ22" s="54"/>
      <c r="CA22" s="54"/>
      <c r="CB22" s="54"/>
      <c r="CC22" s="54"/>
      <c r="CD22" s="53">
        <v>15</v>
      </c>
      <c r="CF22" s="43"/>
    </row>
    <row r="23" spans="2:84" s="28" customFormat="1">
      <c r="B23" s="43" t="s">
        <v>49</v>
      </c>
      <c r="C23" s="44">
        <v>-8.8970000000000002</v>
      </c>
      <c r="D23" s="45">
        <v>-9.5739999999999998</v>
      </c>
      <c r="E23" s="45">
        <v>-9.4499999999999993</v>
      </c>
      <c r="F23" s="45">
        <v>-9.2050000000000001</v>
      </c>
      <c r="G23" s="46">
        <f>SUM(C23:F23)</f>
        <v>-37.125999999999998</v>
      </c>
      <c r="H23" s="45">
        <v>-9.0239999999999991</v>
      </c>
      <c r="I23" s="45">
        <v>-8.4849999999999994</v>
      </c>
      <c r="J23" s="45">
        <v>-8.9510000000000005</v>
      </c>
      <c r="K23" s="45">
        <v>-8.7430000000000003</v>
      </c>
      <c r="L23" s="46">
        <f>SUM(H23:K23)</f>
        <v>-35.203000000000003</v>
      </c>
      <c r="M23" s="45">
        <v>-8.6769999999999996</v>
      </c>
      <c r="N23" s="45">
        <v>-0.45300000000000001</v>
      </c>
      <c r="O23" s="45">
        <v>-0.245</v>
      </c>
      <c r="P23" s="45">
        <v>-0.37</v>
      </c>
      <c r="Q23" s="46">
        <f>SUM(M23:P23)</f>
        <v>-9.7449999999999974</v>
      </c>
      <c r="R23" s="45">
        <v>-0.24199999999999999</v>
      </c>
      <c r="S23" s="45">
        <v>-0.23599999999999999</v>
      </c>
      <c r="T23" s="45">
        <v>-0.246</v>
      </c>
      <c r="U23" s="45">
        <v>-0.29399999999999998</v>
      </c>
      <c r="V23" s="46">
        <f>SUM(R23:U23)</f>
        <v>-1.018</v>
      </c>
      <c r="W23" s="45">
        <v>-0.34</v>
      </c>
      <c r="X23" s="45">
        <f>-4.049+0.537</f>
        <v>-3.5120000000000005</v>
      </c>
      <c r="Y23" s="45">
        <v>-10.997999999999999</v>
      </c>
      <c r="Z23" s="45">
        <v>-10.031000000000001</v>
      </c>
      <c r="AA23" s="46">
        <f>SUM(W23:Z23)</f>
        <v>-24.881</v>
      </c>
      <c r="AB23" s="45">
        <f>-9.827</f>
        <v>-9.827</v>
      </c>
      <c r="AC23" s="45">
        <v>-9.952</v>
      </c>
      <c r="AD23" s="45">
        <v>-11.218</v>
      </c>
      <c r="AE23" s="45">
        <f>-84.307-AB23-AC23-AD23</f>
        <v>-53.31</v>
      </c>
      <c r="AF23" s="46">
        <f>SUM(AB23:AE23)</f>
        <v>-84.307000000000002</v>
      </c>
      <c r="AG23" s="45">
        <f>-68.334+3.596-0.803</f>
        <v>-65.540999999999997</v>
      </c>
      <c r="AH23" s="45">
        <f>-81.987-14.748+3.138+14.748</f>
        <v>-78.84899999999999</v>
      </c>
      <c r="AI23" s="45">
        <f>-86.452+12.686-1.052</f>
        <v>-74.817999999999998</v>
      </c>
      <c r="AJ23" s="45">
        <f>-94.055-3.519+8.069+3.519</f>
        <v>-85.986000000000004</v>
      </c>
      <c r="AK23" s="46">
        <f>SUM(AG23:AJ23)</f>
        <v>-305.19399999999996</v>
      </c>
      <c r="AL23" s="45">
        <f>-102.025+5.75</f>
        <v>-96.275000000000006</v>
      </c>
      <c r="AM23" s="45">
        <f>-100.614-0.395</f>
        <v>-101.009</v>
      </c>
      <c r="AN23" s="45">
        <f>-116.042+8.859</f>
        <v>-107.18300000000001</v>
      </c>
      <c r="AO23" s="45">
        <f>-160.228+22.188-2.7</f>
        <v>-140.74</v>
      </c>
      <c r="AP23" s="46">
        <f>SUM(AL23:AO23)</f>
        <v>-445.20699999999999</v>
      </c>
      <c r="AQ23" s="45">
        <f>-153.719+9.647-1.596</f>
        <v>-145.66800000000001</v>
      </c>
      <c r="AR23" s="45">
        <f>-176.793+33.279</f>
        <v>-143.51400000000001</v>
      </c>
      <c r="AS23" s="45">
        <f>-249.306+27.572</f>
        <v>-221.73400000000001</v>
      </c>
      <c r="AT23" s="45">
        <f>-260.215+18.963</f>
        <v>-241.25199999999998</v>
      </c>
      <c r="AU23" s="46">
        <f>SUM(AQ23:AT23)</f>
        <v>-752.16800000000001</v>
      </c>
      <c r="AV23" s="45">
        <f>-246.5+12.2</f>
        <v>-234.3</v>
      </c>
      <c r="AW23" s="45">
        <f>-240+11.2</f>
        <v>-228.8</v>
      </c>
      <c r="AX23" s="45">
        <f>-257.6+34.7</f>
        <v>-222.90000000000003</v>
      </c>
      <c r="AY23" s="45">
        <f>-223.7-35.9+11.9+35.9</f>
        <v>-211.79999999999995</v>
      </c>
      <c r="AZ23" s="46">
        <f>SUM(AV23:AY23)</f>
        <v>-897.8</v>
      </c>
      <c r="BA23" s="49">
        <f>-296.9+90.5</f>
        <v>-206.39999999999998</v>
      </c>
      <c r="BB23" s="49">
        <f>-411.8+20.7</f>
        <v>-391.1</v>
      </c>
      <c r="BC23" s="49">
        <f>-419.5+20.3</f>
        <v>-399.2</v>
      </c>
      <c r="BD23" s="49">
        <f>-431.7+27.7</f>
        <v>-404</v>
      </c>
      <c r="BE23" s="55">
        <f>SUM(BA23:BD23)</f>
        <v>-1400.7</v>
      </c>
      <c r="BF23" s="49">
        <f>-'BS &amp; CF'!AR112</f>
        <v>-402.68549999999999</v>
      </c>
      <c r="BG23" s="49">
        <f>-'BS &amp; CF'!AS112</f>
        <v>-415.63912499999998</v>
      </c>
      <c r="BH23" s="49">
        <f>-'BS &amp; CF'!AT112</f>
        <v>-408.76412499999998</v>
      </c>
      <c r="BI23" s="49">
        <f>-'BS &amp; CF'!AU112</f>
        <v>-401.88912499999998</v>
      </c>
      <c r="BJ23" s="46">
        <f>SUM(BF23:BI23)</f>
        <v>-1628.9778749999998</v>
      </c>
      <c r="BK23" s="47"/>
      <c r="BL23" s="47"/>
      <c r="BM23" s="47"/>
      <c r="BN23" s="47"/>
      <c r="BO23" s="46">
        <f>-'BS &amp; CF'!BA112</f>
        <v>-1373.8064999999999</v>
      </c>
      <c r="BP23" s="47"/>
      <c r="BQ23" s="47"/>
      <c r="BR23" s="47"/>
      <c r="BS23" s="47"/>
      <c r="BT23" s="46">
        <f>-'BS &amp; CF'!BF112</f>
        <v>-1153.8064999999999</v>
      </c>
      <c r="BU23" s="47"/>
      <c r="BV23" s="47"/>
      <c r="BW23" s="47"/>
      <c r="BX23" s="47"/>
      <c r="BY23" s="46">
        <f>-'BS &amp; CF'!BK112</f>
        <v>-988.80649999999991</v>
      </c>
      <c r="BZ23" s="47"/>
      <c r="CA23" s="47"/>
      <c r="CB23" s="47"/>
      <c r="CC23" s="47"/>
      <c r="CD23" s="46">
        <f>-'BS &amp; CF'!BP112</f>
        <v>-823.80649999999991</v>
      </c>
      <c r="CF23" s="42" t="s">
        <v>50</v>
      </c>
    </row>
    <row r="24" spans="2:84" s="28" customFormat="1">
      <c r="B24" s="43" t="s">
        <v>51</v>
      </c>
      <c r="C24" s="44">
        <f>-0.538+-0.27</f>
        <v>-0.80800000000000005</v>
      </c>
      <c r="D24" s="45">
        <f>-0.153+-0.263</f>
        <v>-0.41600000000000004</v>
      </c>
      <c r="E24" s="45">
        <f>-1.462+-0.271</f>
        <v>-1.7330000000000001</v>
      </c>
      <c r="F24" s="45">
        <f>0.736+-0.356</f>
        <v>0.38</v>
      </c>
      <c r="G24" s="46">
        <f>SUM(C24:F24)</f>
        <v>-2.5770000000000004</v>
      </c>
      <c r="H24" s="45">
        <f>-0.59+-0.318</f>
        <v>-0.90799999999999992</v>
      </c>
      <c r="I24" s="45">
        <f>1.401+0.05</f>
        <v>1.4510000000000001</v>
      </c>
      <c r="J24" s="45">
        <f>-0.25+-0.205</f>
        <v>-0.45499999999999996</v>
      </c>
      <c r="K24" s="45">
        <f>-1.277+-0.056</f>
        <v>-1.333</v>
      </c>
      <c r="L24" s="46">
        <f>SUM(H24:K24)</f>
        <v>-1.2449999999999997</v>
      </c>
      <c r="M24" s="45">
        <f>-0.288+-0.424+0</f>
        <v>-0.71199999999999997</v>
      </c>
      <c r="N24" s="45">
        <f>0.763+-0.469+15.716+0+-12.463</f>
        <v>3.5469999999999988</v>
      </c>
      <c r="O24" s="45">
        <f>5.255+-0.432+0+0+0</f>
        <v>4.8229999999999995</v>
      </c>
      <c r="P24" s="45">
        <f>-0.239+-1.203+-8.949+8.64+0</f>
        <v>-1.7509999999999994</v>
      </c>
      <c r="Q24" s="46">
        <f>SUM(M24:P24)</f>
        <v>5.9069999999999991</v>
      </c>
      <c r="R24" s="45">
        <f>0.221</f>
        <v>0.221</v>
      </c>
      <c r="S24" s="45">
        <f>-1.564+0</f>
        <v>-1.5640000000000001</v>
      </c>
      <c r="T24" s="45">
        <f>0.204+0</f>
        <v>0.20399999999999999</v>
      </c>
      <c r="U24" s="45">
        <f>0.082+0</f>
        <v>8.2000000000000003E-2</v>
      </c>
      <c r="V24" s="46">
        <f>SUM(R24:U24)</f>
        <v>-1.0569999999999999</v>
      </c>
      <c r="W24" s="45">
        <f>0.407+-0.006+0</f>
        <v>0.40099999999999997</v>
      </c>
      <c r="X24" s="45">
        <f>0.314</f>
        <v>0.314</v>
      </c>
      <c r="Y24" s="45">
        <v>0.19700000000000001</v>
      </c>
      <c r="Z24" s="45">
        <v>-0.41099999999999998</v>
      </c>
      <c r="AA24" s="46">
        <f>SUM(W24:Z24)</f>
        <v>0.50099999999999989</v>
      </c>
      <c r="AB24" s="45">
        <f>-0.155</f>
        <v>-0.155</v>
      </c>
      <c r="AC24" s="45">
        <v>0.66700000000000004</v>
      </c>
      <c r="AD24" s="45">
        <f>-5.774+0.301-5.005</f>
        <v>-10.478</v>
      </c>
      <c r="AE24" s="45">
        <f>-32.413+0.229+3.624+32.413</f>
        <v>3.852999999999998</v>
      </c>
      <c r="AF24" s="46">
        <f>SUM(AB24:AE24)</f>
        <v>-6.1130000000000013</v>
      </c>
      <c r="AG24" s="45">
        <f>-8.262+1.769+2.807+8.262-1.769</f>
        <v>2.8070000000000004</v>
      </c>
      <c r="AH24" s="45">
        <v>21.158000000000001</v>
      </c>
      <c r="AI24" s="45">
        <f>-10.315-0.14-3.59+10.315</f>
        <v>-3.7300000000000004</v>
      </c>
      <c r="AJ24" s="45">
        <f>-0.011+26.487</f>
        <v>26.475999999999999</v>
      </c>
      <c r="AK24" s="46">
        <f>SUM(AG24:AJ24)</f>
        <v>46.710999999999999</v>
      </c>
      <c r="AL24" s="47">
        <f>-0.133+2.059+24.299+0.133</f>
        <v>26.358000000000001</v>
      </c>
      <c r="AM24" s="47">
        <f>-4.238-0.035+1.002</f>
        <v>-3.2710000000000008</v>
      </c>
      <c r="AN24" s="47">
        <f>-2.322-1.603+2.322</f>
        <v>-1.6029999999999998</v>
      </c>
      <c r="AO24" s="45">
        <f>-17.625+0.032+1.263+17.625</f>
        <v>1.2950000000000017</v>
      </c>
      <c r="AP24" s="46">
        <f>SUM(AL24:AO24)</f>
        <v>22.779000000000003</v>
      </c>
      <c r="AQ24" s="45">
        <f>-21.379+1.859+1.439+21.379</f>
        <v>3.2979999999999983</v>
      </c>
      <c r="AR24" s="45">
        <f>-10.082+8.304+3.963</f>
        <v>2.1849999999999996</v>
      </c>
      <c r="AS24" s="45">
        <f>5.079-7.721</f>
        <v>-2.6420000000000003</v>
      </c>
      <c r="AT24" s="45">
        <f>-5.902+0.193</f>
        <v>-5.7090000000000005</v>
      </c>
      <c r="AU24" s="46">
        <f>SUM(AQ24:AT24)</f>
        <v>-2.868000000000003</v>
      </c>
      <c r="AV24" s="45">
        <f>-13.4+12.6</f>
        <v>-0.80000000000000071</v>
      </c>
      <c r="AW24" s="45">
        <f>0.4-5.4+2.5+3.4-0.4</f>
        <v>0.49999999999999989</v>
      </c>
      <c r="AX24" s="45">
        <f>-53+3.4+55.2</f>
        <v>5.6000000000000014</v>
      </c>
      <c r="AY24" s="45">
        <f>-81.1+72.7</f>
        <v>-8.3999999999999915</v>
      </c>
      <c r="AZ24" s="46">
        <f>SUM(AV24:AY24)</f>
        <v>-3.0999999999999908</v>
      </c>
      <c r="BA24" s="47">
        <f>6.1-6.1-71.1+76</f>
        <v>4.9000000000000057</v>
      </c>
      <c r="BB24" s="47">
        <f>5.6-10.4</f>
        <v>-4.8000000000000007</v>
      </c>
      <c r="BC24" s="47">
        <f>-34+31</f>
        <v>-3</v>
      </c>
      <c r="BD24" s="47">
        <f>-3.3-1.4</f>
        <v>-4.6999999999999993</v>
      </c>
      <c r="BE24" s="46">
        <f>SUM(BA24:BD24)</f>
        <v>-7.5999999999999943</v>
      </c>
      <c r="BF24" s="47">
        <v>0</v>
      </c>
      <c r="BG24" s="47">
        <v>0</v>
      </c>
      <c r="BH24" s="47">
        <v>0</v>
      </c>
      <c r="BI24" s="47">
        <v>0</v>
      </c>
      <c r="BJ24" s="50">
        <v>0</v>
      </c>
      <c r="BK24" s="47"/>
      <c r="BL24" s="47"/>
      <c r="BM24" s="47"/>
      <c r="BN24" s="47"/>
      <c r="BO24" s="50">
        <v>0</v>
      </c>
      <c r="BP24" s="47"/>
      <c r="BQ24" s="47"/>
      <c r="BR24" s="47"/>
      <c r="BS24" s="47"/>
      <c r="BT24" s="50">
        <v>0</v>
      </c>
      <c r="BU24" s="47"/>
      <c r="BV24" s="47"/>
      <c r="BW24" s="47"/>
      <c r="BX24" s="47"/>
      <c r="BY24" s="50">
        <v>0</v>
      </c>
      <c r="BZ24" s="47"/>
      <c r="CA24" s="47"/>
      <c r="CB24" s="47"/>
      <c r="CC24" s="47"/>
      <c r="CD24" s="50">
        <v>0</v>
      </c>
      <c r="CF24" s="43"/>
    </row>
    <row r="25" spans="2:84" s="28" customFormat="1">
      <c r="B25" s="38"/>
      <c r="C25" s="44"/>
      <c r="D25" s="45"/>
      <c r="E25" s="45"/>
      <c r="F25" s="45"/>
      <c r="G25" s="46"/>
      <c r="H25" s="45"/>
      <c r="I25" s="45"/>
      <c r="J25" s="45"/>
      <c r="K25" s="45"/>
      <c r="L25" s="46"/>
      <c r="M25" s="45"/>
      <c r="N25" s="45"/>
      <c r="O25" s="45"/>
      <c r="P25" s="45"/>
      <c r="Q25" s="46"/>
      <c r="R25" s="45"/>
      <c r="S25" s="45"/>
      <c r="T25" s="45"/>
      <c r="U25" s="45"/>
      <c r="V25" s="46"/>
      <c r="W25" s="45"/>
      <c r="X25" s="45"/>
      <c r="Y25" s="47"/>
      <c r="Z25" s="47"/>
      <c r="AA25" s="43"/>
      <c r="AB25" s="45"/>
      <c r="AC25" s="45"/>
      <c r="AD25" s="45"/>
      <c r="AE25" s="45"/>
      <c r="AF25" s="43"/>
      <c r="AG25" s="47"/>
      <c r="AH25" s="47"/>
      <c r="AI25" s="47"/>
      <c r="AJ25" s="47"/>
      <c r="AK25" s="43"/>
      <c r="AL25" s="47"/>
      <c r="AM25" s="52"/>
      <c r="AN25" s="52"/>
      <c r="AO25" s="47"/>
      <c r="AP25" s="43"/>
      <c r="AQ25" s="47"/>
      <c r="AR25" s="47"/>
      <c r="AS25" s="47"/>
      <c r="AT25" s="47"/>
      <c r="AU25" s="43"/>
      <c r="AZ25" s="43"/>
      <c r="BA25" s="47"/>
      <c r="BB25" s="47"/>
      <c r="BC25" s="47"/>
      <c r="BD25" s="47"/>
      <c r="BE25" s="43"/>
      <c r="BF25" s="47"/>
      <c r="BG25" s="47"/>
      <c r="BH25" s="47"/>
      <c r="BI25" s="47"/>
      <c r="BJ25" s="43"/>
      <c r="BK25" s="47"/>
      <c r="BL25" s="47"/>
      <c r="BM25" s="47"/>
      <c r="BN25" s="47"/>
      <c r="BO25" s="43"/>
      <c r="BP25" s="47"/>
      <c r="BQ25" s="47"/>
      <c r="BR25" s="47"/>
      <c r="BS25" s="47"/>
      <c r="BT25" s="43"/>
      <c r="BU25" s="47"/>
      <c r="BV25" s="47"/>
      <c r="BW25" s="47"/>
      <c r="BX25" s="47"/>
      <c r="BY25" s="43"/>
      <c r="BZ25" s="47"/>
      <c r="CA25" s="47"/>
      <c r="CB25" s="47"/>
      <c r="CC25" s="47"/>
      <c r="CD25" s="43"/>
      <c r="CF25" s="43"/>
    </row>
    <row r="26" spans="2:84" s="28" customFormat="1">
      <c r="B26" s="38" t="s">
        <v>52</v>
      </c>
      <c r="C26" s="39">
        <f>C20+C22+C23</f>
        <v>12.524999999999983</v>
      </c>
      <c r="D26" s="40">
        <f>D20+D22+D23</f>
        <v>51.584999999999987</v>
      </c>
      <c r="E26" s="40">
        <f>E20+E22+E23</f>
        <v>121.24500000000002</v>
      </c>
      <c r="F26" s="40">
        <f>F20+F22+F23</f>
        <v>133.46599999999995</v>
      </c>
      <c r="G26" s="41">
        <f>SUM(C26:F26)</f>
        <v>318.82099999999991</v>
      </c>
      <c r="H26" s="40">
        <f>H19+H22+H23</f>
        <v>73.664000000000016</v>
      </c>
      <c r="I26" s="40">
        <f>I19+I22+I23</f>
        <v>88.720999999999961</v>
      </c>
      <c r="J26" s="40">
        <f>J19+J22+J23</f>
        <v>137.50399999999999</v>
      </c>
      <c r="K26" s="40">
        <f>K19+K22+K23</f>
        <v>150.97800000000007</v>
      </c>
      <c r="L26" s="41">
        <f>SUM(H26:K26)</f>
        <v>450.86700000000008</v>
      </c>
      <c r="M26" s="40">
        <f>M19+M22+M23</f>
        <v>100.376</v>
      </c>
      <c r="N26" s="40">
        <f>N19+N22+N23</f>
        <v>67.352000000000004</v>
      </c>
      <c r="O26" s="40">
        <f>O19+O22+O23</f>
        <v>65.662999999999982</v>
      </c>
      <c r="P26" s="40">
        <f>P19+P22+P23</f>
        <v>73.397999999999982</v>
      </c>
      <c r="Q26" s="41">
        <f>SUM(M26:P26)</f>
        <v>306.78899999999999</v>
      </c>
      <c r="R26" s="40">
        <f>R19+R22+R23+R24</f>
        <v>74.486999999999981</v>
      </c>
      <c r="S26" s="40">
        <f>S19+S22+S23+S24</f>
        <v>65.212999999999994</v>
      </c>
      <c r="T26" s="40">
        <f>T19+T22+T23+T24</f>
        <v>60.418999999999983</v>
      </c>
      <c r="U26" s="40">
        <f>U19+U22+U23+U24</f>
        <v>55.587999999999994</v>
      </c>
      <c r="V26" s="41">
        <f>SUM(R26:U26)</f>
        <v>255.70699999999997</v>
      </c>
      <c r="W26" s="40">
        <f>W19+W22+W23+W24</f>
        <v>56.998999999999988</v>
      </c>
      <c r="X26" s="40">
        <f>X19+X22+X23+X24</f>
        <v>57.152000000000015</v>
      </c>
      <c r="Y26" s="40">
        <f>Y19+Y22+Y23+Y24</f>
        <v>58.54999999999999</v>
      </c>
      <c r="Z26" s="40">
        <f>Z19+Z22+Z23+Z24</f>
        <v>79.284999999999982</v>
      </c>
      <c r="AA26" s="41">
        <f>SUM(W26:Z26)</f>
        <v>251.98599999999999</v>
      </c>
      <c r="AB26" s="40">
        <f>AB19+AB22+AB23+AB24</f>
        <v>58.489000000000019</v>
      </c>
      <c r="AC26" s="40">
        <f>AC19+AC22+AC23+AC24</f>
        <v>60.341999999999999</v>
      </c>
      <c r="AD26" s="40">
        <f>AD19+AD22+AD23+AD24</f>
        <v>-147.84869999999992</v>
      </c>
      <c r="AE26" s="40">
        <f>AE20+AE22+AE23+AE24</f>
        <v>181.55999999999997</v>
      </c>
      <c r="AF26" s="41">
        <f>SUM(AB26:AE26)</f>
        <v>152.54230000000007</v>
      </c>
      <c r="AG26" s="40">
        <f t="shared" ref="AG26:AY26" si="6">AG20+AG22+AG23+AG24</f>
        <v>221.48700000000005</v>
      </c>
      <c r="AH26" s="40">
        <f t="shared" si="6"/>
        <v>246.34499999999986</v>
      </c>
      <c r="AI26" s="40">
        <f t="shared" si="6"/>
        <v>221.69300000000001</v>
      </c>
      <c r="AJ26" s="40">
        <f t="shared" si="6"/>
        <v>312.07299999999998</v>
      </c>
      <c r="AK26" s="41">
        <f t="shared" si="6"/>
        <v>1001.598</v>
      </c>
      <c r="AL26" s="40">
        <f t="shared" si="6"/>
        <v>374.92099999999988</v>
      </c>
      <c r="AM26" s="40">
        <f t="shared" si="6"/>
        <v>324.94200000000001</v>
      </c>
      <c r="AN26" s="40">
        <f t="shared" si="6"/>
        <v>367.60699999999997</v>
      </c>
      <c r="AO26" s="40">
        <f t="shared" si="6"/>
        <v>385.86700000000013</v>
      </c>
      <c r="AP26" s="41">
        <f t="shared" si="6"/>
        <v>1453.337</v>
      </c>
      <c r="AQ26" s="40">
        <f t="shared" si="6"/>
        <v>415.25300000000004</v>
      </c>
      <c r="AR26" s="40">
        <f t="shared" si="6"/>
        <v>432.56699999999984</v>
      </c>
      <c r="AS26" s="56">
        <f t="shared" si="6"/>
        <v>503.46099999999984</v>
      </c>
      <c r="AT26" s="56">
        <f t="shared" si="6"/>
        <v>759.35600000000011</v>
      </c>
      <c r="AU26" s="41">
        <f t="shared" si="6"/>
        <v>2110.6369999999988</v>
      </c>
      <c r="AV26" s="40">
        <f t="shared" si="6"/>
        <v>617.09999999999991</v>
      </c>
      <c r="AW26" s="40">
        <f t="shared" si="6"/>
        <v>667.19999999999982</v>
      </c>
      <c r="AX26" s="40">
        <f t="shared" si="6"/>
        <v>745.50000000000034</v>
      </c>
      <c r="AY26" s="40">
        <f t="shared" si="6"/>
        <v>917.30000000000007</v>
      </c>
      <c r="AZ26" s="41">
        <f>SUM(AV26:AY26)</f>
        <v>2947.1000000000004</v>
      </c>
      <c r="BA26" s="40">
        <f>BA20+BA22+BA23+BA24</f>
        <v>828.40000000000032</v>
      </c>
      <c r="BB26" s="40">
        <f>BB20+BB22+BB23+BB24</f>
        <v>935.50000000000011</v>
      </c>
      <c r="BC26" s="40">
        <f>BC20+BC22+BC23+BC24</f>
        <v>997.60000000000014</v>
      </c>
      <c r="BD26" s="40">
        <f>BD20+BD22+BD23+BD24</f>
        <v>921.2999999999995</v>
      </c>
      <c r="BE26" s="41">
        <f>SUM(BA26:BD26)</f>
        <v>3682.8</v>
      </c>
      <c r="BF26" s="40">
        <f t="shared" ref="BF26:BI26" si="7">BF20+BF22+BF23+BF24</f>
        <v>556.28762000000029</v>
      </c>
      <c r="BG26" s="40">
        <f t="shared" si="7"/>
        <v>893.84761700000058</v>
      </c>
      <c r="BH26" s="40">
        <f t="shared" si="7"/>
        <v>986.30705300000022</v>
      </c>
      <c r="BI26" s="40">
        <f t="shared" si="7"/>
        <v>1124.8393140000003</v>
      </c>
      <c r="BJ26" s="41">
        <f>BJ20+BJ22+BJ23+BJ24</f>
        <v>3561.2816040000007</v>
      </c>
      <c r="BK26" s="47"/>
      <c r="BL26" s="47"/>
      <c r="BM26" s="47"/>
      <c r="BN26" s="47"/>
      <c r="BO26" s="41">
        <f>BO20+BO22+BO23+BO24</f>
        <v>4274.8746345500031</v>
      </c>
      <c r="BP26" s="47"/>
      <c r="BQ26" s="47"/>
      <c r="BR26" s="47"/>
      <c r="BS26" s="47"/>
      <c r="BT26" s="41">
        <f>BT20+BT22+BT23+BT24</f>
        <v>4937.4163770882997</v>
      </c>
      <c r="BU26" s="47"/>
      <c r="BV26" s="47"/>
      <c r="BW26" s="47"/>
      <c r="BX26" s="47"/>
      <c r="BY26" s="41">
        <f>BY20+BY22+BY23+BY24</f>
        <v>5598.3191777861621</v>
      </c>
      <c r="BZ26" s="47"/>
      <c r="CA26" s="47"/>
      <c r="CB26" s="47"/>
      <c r="CC26" s="47"/>
      <c r="CD26" s="41">
        <f>CD20+CD22+CD23+CD24</f>
        <v>6129.3702462507763</v>
      </c>
      <c r="CF26" s="43"/>
    </row>
    <row r="27" spans="2:84" s="28" customFormat="1">
      <c r="B27" s="43" t="s">
        <v>53</v>
      </c>
      <c r="C27" s="44">
        <v>0.58499999999999996</v>
      </c>
      <c r="D27" s="45">
        <v>2.2949999999999999</v>
      </c>
      <c r="E27" s="45">
        <v>9.0950000000000006</v>
      </c>
      <c r="F27" s="45">
        <v>10.574999999999999</v>
      </c>
      <c r="G27" s="46">
        <f>SUM(C27:F27)</f>
        <v>22.55</v>
      </c>
      <c r="H27" s="45">
        <v>4.1500000000000004</v>
      </c>
      <c r="I27" s="45">
        <v>5.35</v>
      </c>
      <c r="J27" s="45">
        <v>3.7</v>
      </c>
      <c r="K27" s="45">
        <v>1.3</v>
      </c>
      <c r="L27" s="46">
        <f>SUM(H27:K27)</f>
        <v>14.5</v>
      </c>
      <c r="M27" s="45">
        <v>5.2</v>
      </c>
      <c r="N27" s="45">
        <v>3.8</v>
      </c>
      <c r="O27" s="45">
        <v>3.5</v>
      </c>
      <c r="P27" s="45">
        <v>0.7</v>
      </c>
      <c r="Q27" s="46">
        <f>SUM(M27:P27)</f>
        <v>13.2</v>
      </c>
      <c r="R27" s="45">
        <v>5.4</v>
      </c>
      <c r="S27" s="45">
        <v>5.6</v>
      </c>
      <c r="T27" s="45">
        <v>4.5999999999999996</v>
      </c>
      <c r="U27" s="45">
        <f>-88.6+90</f>
        <v>1.4000000000000057</v>
      </c>
      <c r="V27" s="46">
        <f>SUM(R27:U27)</f>
        <v>17.000000000000007</v>
      </c>
      <c r="W27" s="45">
        <v>12.3</v>
      </c>
      <c r="X27" s="45">
        <v>3.7</v>
      </c>
      <c r="Y27" s="45">
        <v>7.5</v>
      </c>
      <c r="Z27" s="45">
        <v>10.156063193851407</v>
      </c>
      <c r="AA27" s="46">
        <f>SUM(W27:Z27)</f>
        <v>33.656063193851409</v>
      </c>
      <c r="AB27" s="45">
        <f>9.1</f>
        <v>9.1</v>
      </c>
      <c r="AC27" s="45">
        <v>5.4</v>
      </c>
      <c r="AD27" s="45">
        <v>60</v>
      </c>
      <c r="AE27" s="45">
        <f>-102.57+116.57</f>
        <v>14</v>
      </c>
      <c r="AF27" s="46">
        <f>SUM(AB27:AE27)</f>
        <v>88.5</v>
      </c>
      <c r="AG27" s="45">
        <f>-3.373+19.773</f>
        <v>16.399999999999999</v>
      </c>
      <c r="AH27" s="45">
        <f>-12.624+18.724</f>
        <v>6.1</v>
      </c>
      <c r="AI27" s="45">
        <f>-29.001+38.601</f>
        <v>9.5999999999999979</v>
      </c>
      <c r="AJ27" s="45">
        <f>-132.561+145.861</f>
        <v>13.299999999999983</v>
      </c>
      <c r="AK27" s="46">
        <f>SUM(AG27:AJ27)</f>
        <v>45.399999999999977</v>
      </c>
      <c r="AL27" s="45">
        <f>-0.26+14.859</f>
        <v>14.599</v>
      </c>
      <c r="AM27" s="45">
        <f>4.55+5.85</f>
        <v>10.399999999999999</v>
      </c>
      <c r="AN27" s="45">
        <f>-96.992+107.093</f>
        <v>10.100999999999999</v>
      </c>
      <c r="AO27" s="45">
        <f>-185.501+191.801</f>
        <v>6.2999999999999829</v>
      </c>
      <c r="AP27" s="46">
        <f>SUM(AL27:AO27)</f>
        <v>41.399999999999977</v>
      </c>
      <c r="AQ27" s="45">
        <f>-27.264+37.355</f>
        <v>10.090999999999998</v>
      </c>
      <c r="AR27" s="45">
        <f>-51.211+63.22</f>
        <v>12.009</v>
      </c>
      <c r="AS27" s="45">
        <f>-169.225+185.611</f>
        <v>16.385999999999996</v>
      </c>
      <c r="AT27" s="45">
        <f>-203.083+229.698</f>
        <v>26.615000000000009</v>
      </c>
      <c r="AU27" s="46">
        <f>SUM(AQ27:AT27)</f>
        <v>65.100999999999999</v>
      </c>
      <c r="AV27" s="45">
        <f>25.1-10</f>
        <v>15.100000000000001</v>
      </c>
      <c r="AW27" s="45">
        <f>-1+21.4</f>
        <v>20.399999999999999</v>
      </c>
      <c r="AX27" s="45">
        <f>100.3-74.6</f>
        <v>25.700000000000003</v>
      </c>
      <c r="AY27" s="45">
        <f>56-18.6</f>
        <v>37.4</v>
      </c>
      <c r="AZ27" s="46">
        <f>SUM(AV27:AY27)</f>
        <v>98.6</v>
      </c>
      <c r="BA27" s="45">
        <f>80.9-62.6</f>
        <v>18.300000000000004</v>
      </c>
      <c r="BB27" s="45">
        <f>-13.1+50.1</f>
        <v>37</v>
      </c>
      <c r="BC27" s="45">
        <f>-57.4+91.5</f>
        <v>34.1</v>
      </c>
      <c r="BD27" s="45">
        <f>123.8+83.2-160.9</f>
        <v>46.099999999999994</v>
      </c>
      <c r="BE27" s="46">
        <f>SUM(BA27:BD27)</f>
        <v>135.5</v>
      </c>
      <c r="BF27" s="45">
        <f t="shared" ref="BF27:BI27" si="8">BF26*BF58</f>
        <v>83.443143000000035</v>
      </c>
      <c r="BG27" s="45">
        <f t="shared" si="8"/>
        <v>134.07714255000008</v>
      </c>
      <c r="BH27" s="45">
        <f t="shared" si="8"/>
        <v>147.94605795000004</v>
      </c>
      <c r="BI27" s="45">
        <f t="shared" si="8"/>
        <v>168.72589710000003</v>
      </c>
      <c r="BJ27" s="46">
        <f>SUM(BF27:BI27)</f>
        <v>534.1922406000001</v>
      </c>
      <c r="BK27" s="47"/>
      <c r="BL27" s="47"/>
      <c r="BM27" s="47"/>
      <c r="BN27" s="47"/>
      <c r="BO27" s="46">
        <f>BO26*BO58</f>
        <v>641.23119518250041</v>
      </c>
      <c r="BP27" s="47"/>
      <c r="BQ27" s="47"/>
      <c r="BR27" s="47"/>
      <c r="BS27" s="47"/>
      <c r="BT27" s="46">
        <f>BT26*BT58</f>
        <v>740.6124565632449</v>
      </c>
      <c r="BU27" s="47"/>
      <c r="BV27" s="47"/>
      <c r="BW27" s="47"/>
      <c r="BX27" s="47"/>
      <c r="BY27" s="46">
        <f>BY26*BY58</f>
        <v>839.74787666792429</v>
      </c>
      <c r="BZ27" s="47"/>
      <c r="CA27" s="47"/>
      <c r="CB27" s="47"/>
      <c r="CC27" s="47"/>
      <c r="CD27" s="46">
        <f>CD26*CD58</f>
        <v>919.40553693761638</v>
      </c>
      <c r="CF27" s="43" t="s">
        <v>54</v>
      </c>
    </row>
    <row r="28" spans="2:84" s="28" customFormat="1">
      <c r="B28" s="43" t="s">
        <v>55</v>
      </c>
      <c r="C28" s="44"/>
      <c r="D28" s="45"/>
      <c r="E28" s="45">
        <v>-7.6360000000000001</v>
      </c>
      <c r="F28" s="45">
        <v>-0.79700000000000004</v>
      </c>
      <c r="G28" s="46"/>
      <c r="H28" s="45">
        <v>-4.12</v>
      </c>
      <c r="I28" s="45">
        <v>0.27200000000000002</v>
      </c>
      <c r="J28" s="45">
        <v>0</v>
      </c>
      <c r="K28" s="45"/>
      <c r="L28" s="46"/>
      <c r="M28" s="45"/>
      <c r="N28" s="45"/>
      <c r="O28" s="45"/>
      <c r="P28" s="45"/>
      <c r="Q28" s="46"/>
      <c r="R28" s="45"/>
      <c r="S28" s="45"/>
      <c r="T28" s="45"/>
      <c r="U28" s="45"/>
      <c r="V28" s="46"/>
      <c r="W28" s="45"/>
      <c r="X28" s="45"/>
      <c r="Y28" s="47"/>
      <c r="Z28" s="47"/>
      <c r="AA28" s="43"/>
      <c r="AB28" s="45"/>
      <c r="AC28" s="45"/>
      <c r="AD28" s="45"/>
      <c r="AE28" s="45"/>
      <c r="AF28" s="43"/>
      <c r="AG28" s="47"/>
      <c r="AH28" s="47"/>
      <c r="AI28" s="47"/>
      <c r="AJ28" s="47"/>
      <c r="AK28" s="43"/>
      <c r="AL28" s="47"/>
      <c r="AM28" s="47"/>
      <c r="AN28" s="47"/>
      <c r="AO28" s="47"/>
      <c r="AP28" s="43"/>
      <c r="AQ28" s="47"/>
      <c r="AR28" s="47"/>
      <c r="AS28" s="47"/>
      <c r="AT28" s="47"/>
      <c r="AU28" s="43"/>
      <c r="AZ28" s="43"/>
      <c r="BA28" s="47"/>
      <c r="BB28" s="47"/>
      <c r="BC28" s="47"/>
      <c r="BD28" s="47"/>
      <c r="BE28" s="43"/>
      <c r="BF28" s="47"/>
      <c r="BG28" s="47"/>
      <c r="BH28" s="47"/>
      <c r="BI28" s="47"/>
      <c r="BJ28" s="43"/>
      <c r="BK28" s="47"/>
      <c r="BL28" s="47"/>
      <c r="BM28" s="47"/>
      <c r="BN28" s="47"/>
      <c r="BO28" s="43"/>
      <c r="BP28" s="47"/>
      <c r="BQ28" s="47"/>
      <c r="BR28" s="47"/>
      <c r="BS28" s="47"/>
      <c r="BT28" s="43"/>
      <c r="BU28" s="47"/>
      <c r="BV28" s="47"/>
      <c r="BW28" s="47"/>
      <c r="BX28" s="47"/>
      <c r="BY28" s="43"/>
      <c r="BZ28" s="47"/>
      <c r="CA28" s="47"/>
      <c r="CB28" s="47"/>
      <c r="CC28" s="47"/>
      <c r="CD28" s="43"/>
      <c r="CF28" s="43"/>
    </row>
    <row r="29" spans="2:84" s="28" customFormat="1">
      <c r="B29" s="43" t="s">
        <v>56</v>
      </c>
      <c r="C29" s="44"/>
      <c r="D29" s="45"/>
      <c r="E29" s="45"/>
      <c r="F29" s="45"/>
      <c r="G29" s="46"/>
      <c r="H29" s="45"/>
      <c r="I29" s="45"/>
      <c r="J29" s="45"/>
      <c r="K29" s="45"/>
      <c r="L29" s="46"/>
      <c r="M29" s="45"/>
      <c r="N29" s="45"/>
      <c r="O29" s="45"/>
      <c r="P29" s="45"/>
      <c r="Q29" s="46"/>
      <c r="R29" s="45"/>
      <c r="S29" s="45"/>
      <c r="T29" s="45"/>
      <c r="U29" s="45"/>
      <c r="V29" s="46"/>
      <c r="W29" s="45"/>
      <c r="X29" s="45"/>
      <c r="Y29" s="47"/>
      <c r="Z29" s="47"/>
      <c r="AA29" s="43"/>
      <c r="AB29" s="45"/>
      <c r="AC29" s="45"/>
      <c r="AD29" s="45"/>
      <c r="AE29" s="45"/>
      <c r="AF29" s="43"/>
      <c r="AG29" s="47"/>
      <c r="AH29" s="47"/>
      <c r="AI29" s="47"/>
      <c r="AJ29" s="47"/>
      <c r="AK29" s="43"/>
      <c r="AL29" s="47"/>
      <c r="AM29" s="47"/>
      <c r="AN29" s="47"/>
      <c r="AO29" s="47"/>
      <c r="AP29" s="43"/>
      <c r="AQ29" s="47"/>
      <c r="AR29" s="47"/>
      <c r="AS29" s="47">
        <v>1.268</v>
      </c>
      <c r="AT29" s="45">
        <v>1.2050000000000001</v>
      </c>
      <c r="AU29" s="43">
        <f>SUM(AQ29:AT29)</f>
        <v>2.4729999999999999</v>
      </c>
      <c r="AV29" s="45">
        <f>2.3</f>
        <v>2.2999999999999998</v>
      </c>
      <c r="AW29" s="45">
        <v>-3.8</v>
      </c>
      <c r="AX29" s="45">
        <v>1</v>
      </c>
      <c r="AY29" s="45">
        <f>-0.8</f>
        <v>-0.8</v>
      </c>
      <c r="AZ29" s="43">
        <f>SUM(AV29:AY29)</f>
        <v>-1.3</v>
      </c>
      <c r="BA29" s="47">
        <v>0.8</v>
      </c>
      <c r="BB29" s="47">
        <v>1.4</v>
      </c>
      <c r="BC29" s="47">
        <v>2.2000000000000002</v>
      </c>
      <c r="BD29" s="47">
        <v>-0.5</v>
      </c>
      <c r="BE29" s="43">
        <f>SUM(BA29:BD29)</f>
        <v>3.9000000000000004</v>
      </c>
      <c r="BF29" s="47">
        <v>0</v>
      </c>
      <c r="BG29" s="47">
        <v>0</v>
      </c>
      <c r="BH29" s="47">
        <v>0</v>
      </c>
      <c r="BI29" s="47">
        <v>0</v>
      </c>
      <c r="BJ29" s="50">
        <v>0</v>
      </c>
      <c r="BK29" s="47"/>
      <c r="BL29" s="47"/>
      <c r="BM29" s="47"/>
      <c r="BN29" s="47"/>
      <c r="BO29" s="50">
        <v>0</v>
      </c>
      <c r="BP29" s="47"/>
      <c r="BQ29" s="47"/>
      <c r="BR29" s="47"/>
      <c r="BS29" s="47"/>
      <c r="BT29" s="50">
        <v>0</v>
      </c>
      <c r="BU29" s="47"/>
      <c r="BV29" s="47"/>
      <c r="BW29" s="47"/>
      <c r="BX29" s="47"/>
      <c r="BY29" s="50">
        <v>0</v>
      </c>
      <c r="BZ29" s="47"/>
      <c r="CA29" s="47"/>
      <c r="CB29" s="47"/>
      <c r="CC29" s="47"/>
      <c r="CD29" s="50">
        <v>0</v>
      </c>
      <c r="CF29" s="43"/>
    </row>
    <row r="30" spans="2:84" s="28" customFormat="1">
      <c r="B30" s="43"/>
      <c r="C30" s="44"/>
      <c r="D30" s="45"/>
      <c r="E30" s="45"/>
      <c r="F30" s="45"/>
      <c r="G30" s="46"/>
      <c r="H30" s="45"/>
      <c r="I30" s="45"/>
      <c r="J30" s="45"/>
      <c r="K30" s="45"/>
      <c r="L30" s="46"/>
      <c r="M30" s="45"/>
      <c r="N30" s="45"/>
      <c r="O30" s="45"/>
      <c r="P30" s="45"/>
      <c r="Q30" s="46"/>
      <c r="R30" s="45"/>
      <c r="S30" s="45"/>
      <c r="T30" s="45"/>
      <c r="U30" s="45"/>
      <c r="V30" s="46"/>
      <c r="W30" s="45"/>
      <c r="X30" s="45"/>
      <c r="Y30" s="47"/>
      <c r="Z30" s="47"/>
      <c r="AA30" s="43"/>
      <c r="AB30" s="45"/>
      <c r="AC30" s="45"/>
      <c r="AD30" s="45"/>
      <c r="AE30" s="45"/>
      <c r="AF30" s="43"/>
      <c r="AG30" s="47"/>
      <c r="AH30" s="57"/>
      <c r="AI30" s="47"/>
      <c r="AJ30" s="47"/>
      <c r="AK30" s="43"/>
      <c r="AL30" s="47"/>
      <c r="AM30" s="47"/>
      <c r="AN30" s="47"/>
      <c r="AO30" s="47"/>
      <c r="AP30" s="43"/>
      <c r="AQ30" s="47"/>
      <c r="AR30" s="52"/>
      <c r="AS30" s="52"/>
      <c r="AT30" s="47"/>
      <c r="AU30" s="43"/>
      <c r="AZ30" s="43"/>
      <c r="BA30" s="47"/>
      <c r="BB30" s="47"/>
      <c r="BC30" s="47"/>
      <c r="BD30" s="47"/>
      <c r="BE30" s="43"/>
      <c r="BF30" s="47"/>
      <c r="BG30" s="47"/>
      <c r="BH30" s="47"/>
      <c r="BI30" s="47"/>
      <c r="BJ30" s="58"/>
      <c r="BK30" s="47"/>
      <c r="BL30" s="47"/>
      <c r="BM30" s="47"/>
      <c r="BN30" s="47"/>
      <c r="BO30" s="58"/>
      <c r="BP30" s="47"/>
      <c r="BQ30" s="47"/>
      <c r="BR30" s="47"/>
      <c r="BS30" s="47"/>
      <c r="BT30" s="58"/>
      <c r="BU30" s="47"/>
      <c r="BV30" s="47"/>
      <c r="BW30" s="47"/>
      <c r="BX30" s="47"/>
      <c r="BY30" s="43"/>
      <c r="BZ30" s="47"/>
      <c r="CA30" s="47"/>
      <c r="CB30" s="47"/>
      <c r="CC30" s="47"/>
      <c r="CD30" s="43"/>
      <c r="CF30" s="43"/>
    </row>
    <row r="31" spans="2:84" s="28" customFormat="1">
      <c r="B31" s="43" t="s">
        <v>57</v>
      </c>
      <c r="C31" s="44"/>
      <c r="D31" s="45"/>
      <c r="E31" s="45"/>
      <c r="F31" s="45"/>
      <c r="G31" s="41">
        <f>SUM(C32:F32)</f>
        <v>287.83799999999997</v>
      </c>
      <c r="H31" s="40">
        <f>H26-H27+H28</f>
        <v>65.394000000000005</v>
      </c>
      <c r="I31" s="40">
        <f>I26-I27+I28</f>
        <v>83.642999999999972</v>
      </c>
      <c r="J31" s="40">
        <f>J26-J27+J28</f>
        <v>133.804</v>
      </c>
      <c r="K31" s="40">
        <f>K26-K27+K28</f>
        <v>149.67800000000005</v>
      </c>
      <c r="L31" s="41">
        <f>SUM(H31:K31)</f>
        <v>432.51900000000006</v>
      </c>
      <c r="M31" s="40">
        <f>M26-M27</f>
        <v>95.176000000000002</v>
      </c>
      <c r="N31" s="40">
        <f>N26-N27</f>
        <v>63.552000000000007</v>
      </c>
      <c r="O31" s="40">
        <f>O26-O27</f>
        <v>62.162999999999982</v>
      </c>
      <c r="P31" s="40">
        <f>P26-P27</f>
        <v>72.697999999999979</v>
      </c>
      <c r="Q31" s="41">
        <f>SUM(M31:P31)</f>
        <v>293.58899999999994</v>
      </c>
      <c r="R31" s="40">
        <f>R26-R27</f>
        <v>69.086999999999975</v>
      </c>
      <c r="S31" s="40">
        <f>S26-S27</f>
        <v>59.612999999999992</v>
      </c>
      <c r="T31" s="40">
        <f>T26-T27</f>
        <v>55.818999999999981</v>
      </c>
      <c r="U31" s="40">
        <f>U26-U27</f>
        <v>54.187999999999988</v>
      </c>
      <c r="V31" s="41">
        <f>SUM(R31:U31)</f>
        <v>238.70699999999994</v>
      </c>
      <c r="W31" s="40">
        <f>W26-W27</f>
        <v>44.698999999999984</v>
      </c>
      <c r="X31" s="40">
        <f>X26-X27</f>
        <v>53.452000000000012</v>
      </c>
      <c r="Y31" s="40">
        <f>Y26-Y27</f>
        <v>51.04999999999999</v>
      </c>
      <c r="Z31" s="40">
        <f>Z26-Z27</f>
        <v>69.128936806148573</v>
      </c>
      <c r="AA31" s="41">
        <f>SUM(W31:Z31)</f>
        <v>218.32993680614857</v>
      </c>
      <c r="AB31" s="40">
        <f>AB26-AB27</f>
        <v>49.389000000000017</v>
      </c>
      <c r="AC31" s="40">
        <f>AC26-AC27</f>
        <v>54.942</v>
      </c>
      <c r="AD31" s="40">
        <f>AD26-AD27</f>
        <v>-207.84869999999992</v>
      </c>
      <c r="AE31" s="45"/>
      <c r="AF31" s="43"/>
      <c r="AJ31" s="47"/>
      <c r="AK31" s="43"/>
      <c r="AL31" s="47"/>
      <c r="AM31" s="52"/>
      <c r="AN31" s="52"/>
      <c r="AO31" s="47"/>
      <c r="AP31" s="43"/>
      <c r="AQ31" s="47"/>
      <c r="AR31" s="47"/>
      <c r="AS31" s="47"/>
      <c r="AT31" s="47"/>
      <c r="AU31" s="43"/>
      <c r="AV31" s="28">
        <f>AV32-599.7</f>
        <v>0</v>
      </c>
      <c r="AW31" s="28">
        <f>AV31/2</f>
        <v>0</v>
      </c>
      <c r="AZ31" s="43"/>
      <c r="BA31" s="47"/>
      <c r="BB31" s="47"/>
      <c r="BC31" s="47"/>
      <c r="BD31" s="47"/>
      <c r="BE31" s="59"/>
      <c r="BF31" s="47"/>
      <c r="BG31" s="47"/>
      <c r="BH31" s="47"/>
      <c r="BI31" s="47"/>
      <c r="BJ31" s="59"/>
      <c r="BK31" s="47"/>
      <c r="BL31" s="47"/>
      <c r="BM31" s="47"/>
      <c r="BN31" s="47"/>
      <c r="BO31" s="60"/>
      <c r="BP31" s="47"/>
      <c r="BQ31" s="47"/>
      <c r="BR31" s="47"/>
      <c r="BS31" s="47"/>
      <c r="BT31" s="61"/>
      <c r="BU31" s="47"/>
      <c r="BV31" s="47"/>
      <c r="BW31" s="47"/>
      <c r="BX31" s="47"/>
      <c r="BY31" s="43"/>
      <c r="BZ31" s="47"/>
      <c r="CA31" s="47"/>
      <c r="CB31" s="47"/>
      <c r="CC31" s="47"/>
      <c r="CD31" s="43"/>
      <c r="CF31" s="43"/>
    </row>
    <row r="32" spans="2:84" s="28" customFormat="1">
      <c r="B32" s="38" t="s">
        <v>58</v>
      </c>
      <c r="C32" s="39">
        <f>C26-C27+C28</f>
        <v>11.939999999999984</v>
      </c>
      <c r="D32" s="40">
        <f>D26-D27+D28</f>
        <v>49.289999999999985</v>
      </c>
      <c r="E32" s="40">
        <f>E26-E27+E28</f>
        <v>104.51400000000002</v>
      </c>
      <c r="F32" s="40">
        <f>F26-F27+F28</f>
        <v>122.09399999999995</v>
      </c>
      <c r="G32" s="41">
        <f t="shared" ref="G32:AA32" si="9">G31+G16</f>
        <v>350.23399999999998</v>
      </c>
      <c r="H32" s="28">
        <f t="shared" si="9"/>
        <v>80.218000000000004</v>
      </c>
      <c r="I32" s="28">
        <f t="shared" si="9"/>
        <v>98.467999999999975</v>
      </c>
      <c r="J32" s="28">
        <f t="shared" si="9"/>
        <v>148.62800000000001</v>
      </c>
      <c r="K32" s="28">
        <f t="shared" si="9"/>
        <v>161.66200000000006</v>
      </c>
      <c r="L32" s="41">
        <f t="shared" si="9"/>
        <v>488.97600000000006</v>
      </c>
      <c r="M32" s="28">
        <f t="shared" si="9"/>
        <v>107.157</v>
      </c>
      <c r="N32" s="28">
        <f t="shared" si="9"/>
        <v>75.534000000000006</v>
      </c>
      <c r="O32" s="28">
        <f t="shared" si="9"/>
        <v>74.141999999999982</v>
      </c>
      <c r="P32" s="28">
        <f t="shared" si="9"/>
        <v>84.804999999999978</v>
      </c>
      <c r="Q32" s="41">
        <f t="shared" si="9"/>
        <v>341.63799999999992</v>
      </c>
      <c r="R32" s="28">
        <f t="shared" si="9"/>
        <v>80.780999999999977</v>
      </c>
      <c r="S32" s="28">
        <f t="shared" si="9"/>
        <v>71.303999999999988</v>
      </c>
      <c r="T32" s="28">
        <f t="shared" si="9"/>
        <v>68.160999999999987</v>
      </c>
      <c r="U32" s="28">
        <f t="shared" si="9"/>
        <v>69.829999999999984</v>
      </c>
      <c r="V32" s="41">
        <f t="shared" si="9"/>
        <v>290.07599999999991</v>
      </c>
      <c r="W32" s="28">
        <f t="shared" si="9"/>
        <v>60.201999999999984</v>
      </c>
      <c r="X32" s="28">
        <f t="shared" si="9"/>
        <v>75.230000000000018</v>
      </c>
      <c r="Y32" s="28">
        <f t="shared" si="9"/>
        <v>84.170999999999992</v>
      </c>
      <c r="Z32" s="28">
        <f t="shared" si="9"/>
        <v>103.45693680614858</v>
      </c>
      <c r="AA32" s="41">
        <f t="shared" si="9"/>
        <v>323.05993680614858</v>
      </c>
      <c r="AB32" s="28">
        <f>AB31+AB16</f>
        <v>82.38900000000001</v>
      </c>
      <c r="AC32" s="28">
        <f>AC31+AC16</f>
        <v>88.24199999999999</v>
      </c>
      <c r="AD32" s="28">
        <f>AD31+AD16</f>
        <v>-172.34969999999993</v>
      </c>
      <c r="AE32" s="40">
        <f>AE26-AE27</f>
        <v>167.55999999999997</v>
      </c>
      <c r="AF32" s="41">
        <f>SUM(AB32:AE32)</f>
        <v>165.84130000000005</v>
      </c>
      <c r="AG32" s="40">
        <f>AG26-AG27</f>
        <v>205.08700000000005</v>
      </c>
      <c r="AH32" s="40">
        <f>AH26-AH27</f>
        <v>240.24499999999986</v>
      </c>
      <c r="AI32" s="40">
        <f>AI26-AI27</f>
        <v>212.09300000000002</v>
      </c>
      <c r="AJ32" s="40">
        <f>AJ26-AJ27</f>
        <v>298.77300000000002</v>
      </c>
      <c r="AK32" s="41">
        <f>SUM(AG32:AJ32)</f>
        <v>956.19799999999998</v>
      </c>
      <c r="AL32" s="40">
        <f>AL26-AL27</f>
        <v>360.32199999999989</v>
      </c>
      <c r="AM32" s="40">
        <f>AM26-AM27</f>
        <v>314.54200000000003</v>
      </c>
      <c r="AN32" s="40">
        <f>AN26-AN27</f>
        <v>357.50599999999997</v>
      </c>
      <c r="AO32" s="40">
        <f>AO26-AO27</f>
        <v>379.56700000000012</v>
      </c>
      <c r="AP32" s="41">
        <f>SUM(AL32:AO32)</f>
        <v>1411.9369999999999</v>
      </c>
      <c r="AQ32" s="40">
        <f>AQ26-AQ27-AQ29</f>
        <v>405.16200000000003</v>
      </c>
      <c r="AR32" s="40">
        <f>AR26-AR27-AR29</f>
        <v>420.55799999999982</v>
      </c>
      <c r="AS32" s="40">
        <f>AS26-AS27-AS29</f>
        <v>485.80699999999985</v>
      </c>
      <c r="AT32" s="40">
        <f t="shared" ref="AT32:AY32" si="10">AT26-AT27-AT29</f>
        <v>731.53600000000006</v>
      </c>
      <c r="AU32" s="41">
        <f>SUM(AQ32:AT32)</f>
        <v>2043.0629999999996</v>
      </c>
      <c r="AV32" s="40">
        <f>AV26-AV27-AV29</f>
        <v>599.69999999999993</v>
      </c>
      <c r="AW32" s="40">
        <f>AW26-AW27-AW29</f>
        <v>650.5999999999998</v>
      </c>
      <c r="AX32" s="40">
        <f t="shared" si="10"/>
        <v>718.8000000000003</v>
      </c>
      <c r="AY32" s="40">
        <f t="shared" si="10"/>
        <v>880.7</v>
      </c>
      <c r="AZ32" s="41">
        <f>SUM(AV32:AY32)</f>
        <v>2849.8</v>
      </c>
      <c r="BA32" s="40">
        <f>BA26-BA27-BA29</f>
        <v>809.30000000000041</v>
      </c>
      <c r="BB32" s="40">
        <f>BB26-BB27-BB29</f>
        <v>897.10000000000014</v>
      </c>
      <c r="BC32" s="40">
        <f>BC26-BC27-BC29</f>
        <v>961.30000000000007</v>
      </c>
      <c r="BD32" s="40">
        <f>BD26-BD27-BD29</f>
        <v>875.69999999999948</v>
      </c>
      <c r="BE32" s="41">
        <f>SUM(BA32:BD32)</f>
        <v>3543.4</v>
      </c>
      <c r="BF32" s="47">
        <f>BF26-BF27-BF29</f>
        <v>472.84447700000027</v>
      </c>
      <c r="BG32" s="47">
        <f>BG26-BG27-BG29</f>
        <v>759.77047445000051</v>
      </c>
      <c r="BH32" s="47">
        <f>BH26-BH27-BH29</f>
        <v>838.36099505000016</v>
      </c>
      <c r="BI32" s="47">
        <f>BI26-BI27-BI29</f>
        <v>956.11341690000029</v>
      </c>
      <c r="BJ32" s="41">
        <f>BJ26-BJ27-BJ29</f>
        <v>3027.0893634000004</v>
      </c>
      <c r="BK32" s="47"/>
      <c r="BL32" s="47"/>
      <c r="BM32" s="47"/>
      <c r="BN32" s="47"/>
      <c r="BO32" s="41">
        <f t="shared" ref="BO32:BT32" si="11">BO26-BO27-BO29</f>
        <v>3633.6434393675027</v>
      </c>
      <c r="BP32" s="47">
        <f t="shared" si="11"/>
        <v>0</v>
      </c>
      <c r="BQ32" s="47">
        <f t="shared" si="11"/>
        <v>0</v>
      </c>
      <c r="BR32" s="47">
        <f t="shared" si="11"/>
        <v>0</v>
      </c>
      <c r="BS32" s="47">
        <f t="shared" si="11"/>
        <v>0</v>
      </c>
      <c r="BT32" s="41">
        <f t="shared" si="11"/>
        <v>4196.8039205250552</v>
      </c>
      <c r="BU32" s="47"/>
      <c r="BV32" s="47"/>
      <c r="BW32" s="47"/>
      <c r="BX32" s="47"/>
      <c r="BY32" s="41">
        <f t="shared" ref="BY32:CD32" si="12">BY26-BY27-BY29</f>
        <v>4758.5713011182379</v>
      </c>
      <c r="BZ32" s="47">
        <f t="shared" si="12"/>
        <v>0</v>
      </c>
      <c r="CA32" s="47">
        <f t="shared" si="12"/>
        <v>0</v>
      </c>
      <c r="CB32" s="47">
        <f t="shared" si="12"/>
        <v>0</v>
      </c>
      <c r="CC32" s="47">
        <f t="shared" si="12"/>
        <v>0</v>
      </c>
      <c r="CD32" s="41">
        <f t="shared" si="12"/>
        <v>5209.9647093131598</v>
      </c>
      <c r="CF32" s="43"/>
    </row>
    <row r="33" spans="1:84" s="28" customFormat="1">
      <c r="B33" s="43" t="s">
        <v>59</v>
      </c>
      <c r="C33" s="44">
        <v>159.447</v>
      </c>
      <c r="D33" s="45">
        <v>159.441</v>
      </c>
      <c r="E33" s="45">
        <v>159.583</v>
      </c>
      <c r="F33" s="45">
        <v>160.25</v>
      </c>
      <c r="G33" s="46">
        <v>159.25800000000001</v>
      </c>
      <c r="H33" s="45">
        <v>159.73699999999999</v>
      </c>
      <c r="I33" s="45">
        <v>160.071</v>
      </c>
      <c r="J33" s="45">
        <v>160.232</v>
      </c>
      <c r="K33" s="45">
        <v>160.26499999999999</v>
      </c>
      <c r="L33" s="46">
        <v>159.25800000000001</v>
      </c>
      <c r="M33" s="45">
        <v>160.458</v>
      </c>
      <c r="N33" s="45">
        <v>160.988</v>
      </c>
      <c r="O33" s="45">
        <v>161.02000000000001</v>
      </c>
      <c r="P33" s="45">
        <v>161.024</v>
      </c>
      <c r="Q33" s="46">
        <v>160.875</v>
      </c>
      <c r="R33" s="45">
        <v>161.024</v>
      </c>
      <c r="S33" s="45">
        <v>160.709</v>
      </c>
      <c r="T33" s="45">
        <v>158.715</v>
      </c>
      <c r="U33" s="45">
        <v>158.495</v>
      </c>
      <c r="V33" s="46">
        <v>159.72999999999999</v>
      </c>
      <c r="W33" s="45">
        <v>158.27000000000001</v>
      </c>
      <c r="X33" s="45">
        <v>158.33099999999999</v>
      </c>
      <c r="Y33" s="45">
        <v>158.65199999999999</v>
      </c>
      <c r="Z33" s="45">
        <v>158.785</v>
      </c>
      <c r="AA33" s="46">
        <f>AVERAGE(W33:Z33)</f>
        <v>158.5095</v>
      </c>
      <c r="AB33" s="45">
        <v>158.387</v>
      </c>
      <c r="AC33" s="45">
        <v>161.01900000000001</v>
      </c>
      <c r="AD33" s="45">
        <v>163.29499999999999</v>
      </c>
      <c r="AE33" s="45">
        <v>330.452</v>
      </c>
      <c r="AF33" s="46">
        <f>AVERAGE(AB33:AE33)</f>
        <v>203.28825000000001</v>
      </c>
      <c r="AG33" s="45">
        <v>332.9</v>
      </c>
      <c r="AH33" s="45">
        <v>331.36900000000003</v>
      </c>
      <c r="AI33" s="45">
        <v>322.78300000000002</v>
      </c>
      <c r="AJ33" s="45">
        <v>317.39</v>
      </c>
      <c r="AK33" s="46">
        <f>AVERAGE(AG33:AJ33)</f>
        <v>326.1105</v>
      </c>
      <c r="AL33" s="45">
        <v>316.39699999999999</v>
      </c>
      <c r="AM33" s="45">
        <v>312.63099999999997</v>
      </c>
      <c r="AN33" s="45">
        <v>311.74299999999999</v>
      </c>
      <c r="AO33" s="45">
        <v>311.73899999999998</v>
      </c>
      <c r="AP33" s="46">
        <f>AVERAGE(AL33:AO33)</f>
        <v>313.1275</v>
      </c>
      <c r="AQ33" s="45">
        <v>312.35000000000002</v>
      </c>
      <c r="AR33" s="45">
        <v>314.447</v>
      </c>
      <c r="AS33" s="45">
        <v>340.22300000000001</v>
      </c>
      <c r="AT33" s="45">
        <v>340.86500000000001</v>
      </c>
      <c r="AU33" s="46">
        <v>327.46600000000001</v>
      </c>
      <c r="AV33" s="45">
        <v>341.5</v>
      </c>
      <c r="AW33" s="45">
        <v>341.3</v>
      </c>
      <c r="AX33" s="45">
        <f>341.3</f>
        <v>341.3</v>
      </c>
      <c r="AY33" s="45">
        <f>341.9</f>
        <v>341.9</v>
      </c>
      <c r="AZ33" s="46">
        <f>AVERAGE(AV33:AY33)</f>
        <v>341.5</v>
      </c>
      <c r="BA33" s="49">
        <v>343.4</v>
      </c>
      <c r="BB33" s="49">
        <v>350.9</v>
      </c>
      <c r="BC33" s="45">
        <v>351</v>
      </c>
      <c r="BD33" s="45">
        <v>349.9</v>
      </c>
      <c r="BE33" s="55">
        <f>AVERAGE(BA33:BD33)</f>
        <v>348.79999999999995</v>
      </c>
      <c r="BF33" s="45">
        <f>BD33+'BS &amp; CF'!AR126/2</f>
        <v>349.9</v>
      </c>
      <c r="BG33" s="45">
        <f>BF33+'BS &amp; CF'!AS126/2</f>
        <v>349.9</v>
      </c>
      <c r="BH33" s="45">
        <f>BG33+'BS &amp; CF'!AT126/2</f>
        <v>349.9</v>
      </c>
      <c r="BI33" s="45">
        <f>BH33+'BS &amp; CF'!AU126/2</f>
        <v>349.9</v>
      </c>
      <c r="BJ33" s="55">
        <f>AVERAGE(BF33:BI33)</f>
        <v>349.9</v>
      </c>
      <c r="BK33" s="47"/>
      <c r="BL33" s="47"/>
      <c r="BM33" s="47"/>
      <c r="BN33" s="47"/>
      <c r="BO33" s="46">
        <f>BJ33*1.01+'BS &amp; CF'!BA126</f>
        <v>353.399</v>
      </c>
      <c r="BP33" s="47"/>
      <c r="BQ33" s="47"/>
      <c r="BR33" s="47"/>
      <c r="BS33" s="47"/>
      <c r="BT33" s="46">
        <f>BO33*1.01+'BS &amp; CF'!BF126</f>
        <v>352.64049658172468</v>
      </c>
      <c r="BU33" s="47"/>
      <c r="BV33" s="47"/>
      <c r="BW33" s="47"/>
      <c r="BX33" s="47"/>
      <c r="BY33" s="46">
        <f>BT33*1.01+'BS &amp; CF'!BK126</f>
        <v>352.14741117578171</v>
      </c>
      <c r="BZ33" s="47"/>
      <c r="CA33" s="47"/>
      <c r="CB33" s="47"/>
      <c r="CC33" s="47"/>
      <c r="CD33" s="46">
        <f>BY33*1.01+'BS &amp; CF'!BP126</f>
        <v>351.85452370418625</v>
      </c>
      <c r="CF33" s="43"/>
    </row>
    <row r="34" spans="1:84" s="28" customFormat="1">
      <c r="B34" s="43"/>
      <c r="C34" s="44"/>
      <c r="D34" s="45"/>
      <c r="E34" s="45"/>
      <c r="F34" s="45"/>
      <c r="G34" s="46"/>
      <c r="H34" s="45"/>
      <c r="I34" s="45"/>
      <c r="J34" s="45"/>
      <c r="K34" s="45"/>
      <c r="L34" s="46"/>
      <c r="M34" s="45"/>
      <c r="N34" s="45"/>
      <c r="O34" s="45"/>
      <c r="P34" s="45"/>
      <c r="Q34" s="46"/>
      <c r="R34" s="45"/>
      <c r="S34" s="45"/>
      <c r="T34" s="45"/>
      <c r="U34" s="45"/>
      <c r="V34" s="46"/>
      <c r="W34" s="45"/>
      <c r="X34" s="45"/>
      <c r="Y34" s="47"/>
      <c r="Z34" s="47"/>
      <c r="AA34" s="43"/>
      <c r="AB34" s="45"/>
      <c r="AC34" s="45"/>
      <c r="AD34" s="45"/>
      <c r="AE34" s="45"/>
      <c r="AF34" s="43"/>
      <c r="AG34" s="47"/>
      <c r="AH34" s="47"/>
      <c r="AI34" s="47"/>
      <c r="AJ34" s="47" t="s">
        <v>39</v>
      </c>
      <c r="AK34" s="43"/>
      <c r="AL34" s="47"/>
      <c r="AM34" s="47"/>
      <c r="AN34" s="47"/>
      <c r="AO34" s="47"/>
      <c r="AP34" s="43"/>
      <c r="AQ34" s="47"/>
      <c r="AR34" s="47"/>
      <c r="AS34" s="52"/>
      <c r="AT34" s="47"/>
      <c r="AU34" s="59"/>
      <c r="AV34" s="62"/>
      <c r="AW34" s="63"/>
      <c r="AZ34" s="43"/>
      <c r="BA34" s="47"/>
      <c r="BB34" s="47"/>
      <c r="BC34" s="47"/>
      <c r="BD34" s="47"/>
      <c r="BE34" s="43"/>
      <c r="BF34" s="47"/>
      <c r="BG34" s="47"/>
      <c r="BH34" s="47"/>
      <c r="BI34" s="47"/>
      <c r="BJ34" s="64"/>
      <c r="BK34" s="47"/>
      <c r="BL34" s="47"/>
      <c r="BM34" s="47"/>
      <c r="BN34" s="47"/>
      <c r="BO34" s="64"/>
      <c r="BP34" s="47"/>
      <c r="BQ34" s="47"/>
      <c r="BR34" s="47"/>
      <c r="BS34" s="47"/>
      <c r="BT34" s="64"/>
      <c r="BU34" s="47"/>
      <c r="BV34" s="47"/>
      <c r="BW34" s="47"/>
      <c r="BX34" s="47"/>
      <c r="BY34" s="43"/>
      <c r="BZ34" s="47"/>
      <c r="CA34" s="47"/>
      <c r="CB34" s="47"/>
      <c r="CC34" s="47"/>
      <c r="CD34" s="43"/>
      <c r="CF34" s="43"/>
    </row>
    <row r="35" spans="1:84" s="12" customFormat="1" hidden="1">
      <c r="B35" s="65" t="s">
        <v>60</v>
      </c>
      <c r="C35" s="66">
        <f>C32/C33</f>
        <v>7.4883817193173802E-2</v>
      </c>
      <c r="D35" s="67">
        <f>D32/D33</f>
        <v>0.30914256684290731</v>
      </c>
      <c r="E35" s="67">
        <f>E32/E33</f>
        <v>0.65491938364362134</v>
      </c>
      <c r="F35" s="67">
        <f>F32/F33</f>
        <v>0.76189703588143498</v>
      </c>
      <c r="G35" s="68">
        <f>SUM(C35:F35)</f>
        <v>1.8008428035611375</v>
      </c>
      <c r="H35" s="67">
        <f>H31/H33</f>
        <v>0.40938542729611804</v>
      </c>
      <c r="I35" s="67">
        <f>I31/I33</f>
        <v>0.52253687426204609</v>
      </c>
      <c r="J35" s="67">
        <f>J31/J33</f>
        <v>0.83506415697239</v>
      </c>
      <c r="K35" s="67">
        <f>K31/K33</f>
        <v>0.93394066078058258</v>
      </c>
      <c r="L35" s="68">
        <f>SUM(H35:K35)</f>
        <v>2.7009271193111366</v>
      </c>
      <c r="M35" s="67">
        <f>M31/M33</f>
        <v>0.59315210210771663</v>
      </c>
      <c r="N35" s="67">
        <f>N31/N33</f>
        <v>0.39476234253484738</v>
      </c>
      <c r="O35" s="67">
        <f>O31/O33</f>
        <v>0.38605763259222442</v>
      </c>
      <c r="P35" s="67">
        <f>P31/P33</f>
        <v>0.45147307233704281</v>
      </c>
      <c r="Q35" s="68">
        <f>SUM(M35:P35)</f>
        <v>1.8254451495718313</v>
      </c>
      <c r="R35" s="67">
        <f>R31/R33</f>
        <v>0.42904784379968186</v>
      </c>
      <c r="S35" s="67">
        <f>S31/S33</f>
        <v>0.37093753305664268</v>
      </c>
      <c r="T35" s="67">
        <f>T31/T33</f>
        <v>0.35169328670888056</v>
      </c>
      <c r="U35" s="67">
        <f>U31/U33</f>
        <v>0.3418909113852171</v>
      </c>
      <c r="V35" s="68">
        <f>SUM(R35:U35)</f>
        <v>1.4935695749504221</v>
      </c>
      <c r="W35" s="67">
        <f>W31/W33</f>
        <v>0.28242244266127492</v>
      </c>
      <c r="X35" s="67">
        <f>X31/X33</f>
        <v>0.33759655405448091</v>
      </c>
      <c r="Y35" s="67">
        <f>Y31/Y33</f>
        <v>0.32177344124246776</v>
      </c>
      <c r="Z35" s="67">
        <f>Z31/Z33</f>
        <v>0.43536188434769391</v>
      </c>
      <c r="AA35" s="68">
        <f>SUM(W35:Z35)</f>
        <v>1.3771543223059175</v>
      </c>
      <c r="AB35" s="67">
        <f>AB31/AB33</f>
        <v>0.31182483410886003</v>
      </c>
      <c r="AC35" s="67">
        <f>AC31/AC33</f>
        <v>0.34121439084828498</v>
      </c>
      <c r="AD35" s="67">
        <f>AD31/AD33</f>
        <v>-1.2728417893995525</v>
      </c>
      <c r="AE35" s="67">
        <f>AE32/AE33</f>
        <v>0.50706305303039467</v>
      </c>
      <c r="AF35" s="68">
        <f>SUM(AB35:AE35)</f>
        <v>-0.11273951141201277</v>
      </c>
      <c r="AG35" s="67">
        <f>AG32/AG33</f>
        <v>0.6160618804445781</v>
      </c>
      <c r="AH35" s="67">
        <f>AH32/AH33</f>
        <v>0.72500746901490432</v>
      </c>
      <c r="AI35" s="67">
        <f>AI32/AI33</f>
        <v>0.65707611615233763</v>
      </c>
      <c r="AJ35" s="67">
        <f>AJ32/AJ33</f>
        <v>0.94134345757585314</v>
      </c>
      <c r="AK35" s="68">
        <f>SUM(AG35:AJ35)</f>
        <v>2.9394889231876729</v>
      </c>
      <c r="AL35" s="69"/>
      <c r="AM35" s="69"/>
      <c r="AN35" s="69"/>
      <c r="AO35" s="69"/>
      <c r="AP35" s="68">
        <f>AP32/AP33</f>
        <v>4.5091440387701489</v>
      </c>
      <c r="AQ35" s="69"/>
      <c r="AR35" s="69"/>
      <c r="AS35" s="69"/>
      <c r="AT35" s="69"/>
      <c r="AU35" s="68">
        <f>AU32/AU33</f>
        <v>6.2390080191531325</v>
      </c>
      <c r="AZ35" s="68">
        <f>AZ32/AZ33</f>
        <v>8.3449487554904831</v>
      </c>
      <c r="BA35" s="69"/>
      <c r="BB35" s="69"/>
      <c r="BC35" s="69"/>
      <c r="BD35" s="69"/>
      <c r="BE35" s="68">
        <f>BE32/BE33</f>
        <v>10.158830275229359</v>
      </c>
      <c r="BF35" s="69"/>
      <c r="BG35" s="69"/>
      <c r="BH35" s="69"/>
      <c r="BI35" s="69"/>
      <c r="BJ35" s="68">
        <f>BJ32/BJ33</f>
        <v>8.6512985521577601</v>
      </c>
      <c r="BK35" s="69"/>
      <c r="BL35" s="69"/>
      <c r="BM35" s="69"/>
      <c r="BN35" s="69"/>
      <c r="BO35" s="68"/>
      <c r="BP35" s="69"/>
      <c r="BQ35" s="69"/>
      <c r="BR35" s="69"/>
      <c r="BS35" s="69"/>
      <c r="BT35" s="68">
        <f>BT32/BT33</f>
        <v>11.901083287955394</v>
      </c>
      <c r="BU35" s="69"/>
      <c r="BV35" s="69"/>
      <c r="BW35" s="69"/>
      <c r="BX35" s="69"/>
      <c r="BY35" s="68"/>
      <c r="BZ35" s="69"/>
      <c r="CA35" s="69"/>
      <c r="CB35" s="69"/>
      <c r="CC35" s="69"/>
      <c r="CD35" s="68">
        <f>CD32/CD33</f>
        <v>14.807155680321223</v>
      </c>
      <c r="CF35" s="70"/>
    </row>
    <row r="36" spans="1:84" s="28" customFormat="1" hidden="1">
      <c r="B36" s="43" t="s">
        <v>61</v>
      </c>
      <c r="C36" s="44"/>
      <c r="D36" s="45"/>
      <c r="E36" s="45"/>
      <c r="F36" s="45"/>
      <c r="G36" s="46"/>
      <c r="H36" s="45"/>
      <c r="I36" s="45"/>
      <c r="J36" s="45"/>
      <c r="K36" s="45"/>
      <c r="L36" s="46"/>
      <c r="M36" s="45"/>
      <c r="N36" s="45"/>
      <c r="O36" s="45"/>
      <c r="P36" s="45"/>
      <c r="Q36" s="46"/>
      <c r="R36" s="45"/>
      <c r="S36" s="45"/>
      <c r="T36" s="45"/>
      <c r="U36" s="45"/>
      <c r="V36" s="46"/>
      <c r="W36" s="45">
        <v>26.690999999999999</v>
      </c>
      <c r="X36" s="45">
        <v>32.088999999999999</v>
      </c>
      <c r="Y36" s="45">
        <v>43.292999999999999</v>
      </c>
      <c r="Z36" s="45">
        <v>46.813000000000002</v>
      </c>
      <c r="AA36" s="43">
        <f>SUM(W36:Z36)</f>
        <v>148.88600000000002</v>
      </c>
      <c r="AB36" s="45">
        <v>40.048000000000002</v>
      </c>
      <c r="AC36" s="45">
        <v>40.232999999999997</v>
      </c>
      <c r="AD36" s="45"/>
      <c r="AE36" s="45">
        <v>0</v>
      </c>
      <c r="AF36" s="43"/>
      <c r="AG36" s="45">
        <f>'BS &amp; CF'!S104+'BS &amp; CF'!S105</f>
        <v>127.002</v>
      </c>
      <c r="AH36" s="45">
        <f>'BS &amp; CF'!T104+'BS &amp; CF'!T105</f>
        <v>122.276</v>
      </c>
      <c r="AI36" s="45">
        <f>'BS &amp; CF'!U104+'BS &amp; CF'!U105</f>
        <v>154.93600000000001</v>
      </c>
      <c r="AJ36" s="45">
        <f>'BS &amp; CF'!V104+'BS &amp; CF'!V105</f>
        <v>208.38899999999992</v>
      </c>
      <c r="AK36" s="43">
        <f>SUM(AG36:AJ36)</f>
        <v>612.60299999999995</v>
      </c>
      <c r="AL36" s="71"/>
      <c r="AM36" s="47"/>
      <c r="AN36" s="47"/>
      <c r="AO36" s="72"/>
      <c r="AP36" s="43">
        <f>'BS &amp; CF'!AB104+'BS &amp; CF'!AB105</f>
        <v>986.22199999999998</v>
      </c>
      <c r="AQ36" s="71"/>
      <c r="AR36" s="47"/>
      <c r="AS36" s="47"/>
      <c r="AT36" s="72"/>
      <c r="AU36" s="43">
        <f>'BS &amp; CF'!AG104+'BS &amp; CF'!AG105</f>
        <v>2015.806</v>
      </c>
      <c r="AX36" s="73"/>
      <c r="AZ36" s="43">
        <f>'BS &amp; CF'!AL104+'BS &amp; CF'!AL105</f>
        <v>1737.6</v>
      </c>
      <c r="BA36" s="47"/>
      <c r="BB36" s="47"/>
      <c r="BC36" s="47"/>
      <c r="BD36" s="47"/>
      <c r="BE36" s="43">
        <f>'BS &amp; CF'!AQ104+'BS &amp; CF'!AQ105</f>
        <v>2401</v>
      </c>
      <c r="BF36" s="47"/>
      <c r="BG36" s="47"/>
      <c r="BH36" s="47"/>
      <c r="BI36" s="47"/>
      <c r="BJ36" s="43">
        <f>'BS &amp; CF'!AV104+'BS &amp; CF'!AV105</f>
        <v>2746.2</v>
      </c>
      <c r="BK36" s="47"/>
      <c r="BL36" s="47"/>
      <c r="BM36" s="47"/>
      <c r="BN36" s="47"/>
      <c r="BO36" s="43"/>
      <c r="BP36" s="47"/>
      <c r="BQ36" s="47"/>
      <c r="BR36" s="47"/>
      <c r="BS36" s="47"/>
      <c r="BT36" s="43">
        <f>'BS &amp; CF'!BF104+'BS &amp; CF'!BF105</f>
        <v>2548.3000000000002</v>
      </c>
      <c r="BU36" s="47"/>
      <c r="BV36" s="47"/>
      <c r="BW36" s="47"/>
      <c r="BX36" s="47"/>
      <c r="BY36" s="43"/>
      <c r="BZ36" s="47"/>
      <c r="CA36" s="47"/>
      <c r="CB36" s="47"/>
      <c r="CC36" s="47"/>
      <c r="CD36" s="43">
        <f>'BS &amp; CF'!BZ104+'BS &amp; CF'!BZ105</f>
        <v>0</v>
      </c>
      <c r="CF36" s="43"/>
    </row>
    <row r="37" spans="1:84" s="28" customFormat="1" hidden="1">
      <c r="B37" s="43" t="s">
        <v>45</v>
      </c>
      <c r="C37" s="44"/>
      <c r="D37" s="45"/>
      <c r="E37" s="45"/>
      <c r="F37" s="45"/>
      <c r="G37" s="46"/>
      <c r="H37" s="45"/>
      <c r="I37" s="45"/>
      <c r="J37" s="45"/>
      <c r="K37" s="45"/>
      <c r="L37" s="46"/>
      <c r="M37" s="45"/>
      <c r="N37" s="45"/>
      <c r="O37" s="45"/>
      <c r="P37" s="45"/>
      <c r="Q37" s="46"/>
      <c r="R37" s="45"/>
      <c r="S37" s="45"/>
      <c r="T37" s="45"/>
      <c r="U37" s="45"/>
      <c r="V37" s="46"/>
      <c r="W37" s="45">
        <f>27.851+39.003-W31-W36+2.9</f>
        <v>-1.6359999999999837</v>
      </c>
      <c r="X37" s="45">
        <f>69.99+24.09-X36-X31+5.6-22+1.5+0.6</f>
        <v>-5.7610000000000134</v>
      </c>
      <c r="Y37" s="45">
        <f>30.137+40.362-Y36-Y31+24.6+1.4+0.4+0.2</f>
        <v>2.7560000000000073</v>
      </c>
      <c r="Z37" s="45">
        <f>57.995+73-Z36-Z31</f>
        <v>15.053063193851429</v>
      </c>
      <c r="AA37" s="43"/>
      <c r="AB37" s="45">
        <f>-3.15+90.029-AB36-AB31+5.95</f>
        <v>3.3919999999999719</v>
      </c>
      <c r="AC37" s="45">
        <f>33.969+52.701-AC36-AC31+10.2</f>
        <v>1.6950000000000038</v>
      </c>
      <c r="AD37" s="45">
        <v>0</v>
      </c>
      <c r="AE37" s="45">
        <v>0</v>
      </c>
      <c r="AF37" s="43"/>
      <c r="AG37" s="45">
        <v>0</v>
      </c>
      <c r="AH37" s="45">
        <v>0</v>
      </c>
      <c r="AI37" s="45">
        <v>0</v>
      </c>
      <c r="AJ37" s="45">
        <v>0</v>
      </c>
      <c r="AK37" s="43">
        <f>SUM(AG37:AJ37)</f>
        <v>0</v>
      </c>
      <c r="AL37" s="71"/>
      <c r="AM37" s="47"/>
      <c r="AN37" s="47"/>
      <c r="AO37" s="72"/>
      <c r="AP37" s="43"/>
      <c r="AQ37" s="71"/>
      <c r="AR37" s="47"/>
      <c r="AS37" s="47"/>
      <c r="AT37" s="72"/>
      <c r="AU37" s="43"/>
      <c r="AX37" s="74"/>
      <c r="AZ37" s="43"/>
      <c r="BA37" s="47"/>
      <c r="BB37" s="47"/>
      <c r="BC37" s="47"/>
      <c r="BD37" s="47"/>
      <c r="BE37" s="43"/>
      <c r="BF37" s="47"/>
      <c r="BG37" s="47"/>
      <c r="BH37" s="47"/>
      <c r="BI37" s="47"/>
      <c r="BJ37" s="43"/>
      <c r="BK37" s="47"/>
      <c r="BL37" s="47"/>
      <c r="BM37" s="47"/>
      <c r="BN37" s="47"/>
      <c r="BO37" s="43"/>
      <c r="BP37" s="47"/>
      <c r="BQ37" s="47"/>
      <c r="BR37" s="47"/>
      <c r="BS37" s="47"/>
      <c r="BT37" s="43"/>
      <c r="BU37" s="47"/>
      <c r="BV37" s="47"/>
      <c r="BW37" s="47"/>
      <c r="BX37" s="47"/>
      <c r="BY37" s="43"/>
      <c r="BZ37" s="47"/>
      <c r="CA37" s="47"/>
      <c r="CB37" s="47"/>
      <c r="CC37" s="47"/>
      <c r="CD37" s="43"/>
      <c r="CF37" s="43"/>
    </row>
    <row r="38" spans="1:84" s="12" customFormat="1">
      <c r="B38" s="75" t="s">
        <v>62</v>
      </c>
      <c r="C38" s="76"/>
      <c r="D38" s="77"/>
      <c r="E38" s="77"/>
      <c r="F38" s="77"/>
      <c r="G38" s="78"/>
      <c r="H38" s="77"/>
      <c r="I38" s="77"/>
      <c r="J38" s="77"/>
      <c r="K38" s="77"/>
      <c r="L38" s="78"/>
      <c r="M38" s="77"/>
      <c r="N38" s="77"/>
      <c r="O38" s="77"/>
      <c r="P38" s="77"/>
      <c r="Q38" s="78"/>
      <c r="R38" s="79"/>
      <c r="S38" s="79"/>
      <c r="T38" s="79"/>
      <c r="U38" s="79"/>
      <c r="V38" s="78"/>
      <c r="W38" s="79">
        <f>(W31+W36+W37)/W33</f>
        <v>0.44072787009540659</v>
      </c>
      <c r="X38" s="79">
        <f>(X31+X36+X37)/X33</f>
        <v>0.50388110982688172</v>
      </c>
      <c r="Y38" s="79">
        <f>(Y31+Y36+Y37)/Y33</f>
        <v>0.61202506114010535</v>
      </c>
      <c r="Z38" s="79">
        <f>(Z31+Z36+Z37)/Z33</f>
        <v>0.82498346821173285</v>
      </c>
      <c r="AA38" s="78">
        <f>SUM(W38:Z38)</f>
        <v>2.3816175092741267</v>
      </c>
      <c r="AB38" s="79">
        <f>(AB31+AB36+AB37)/AB33</f>
        <v>0.58608976746828956</v>
      </c>
      <c r="AC38" s="79">
        <f>(AC31+AC36+AC37)/AC33</f>
        <v>0.60160602164961896</v>
      </c>
      <c r="AD38" s="79">
        <f>(AD31+AD36+AD37)/AD33</f>
        <v>-1.2728417893995525</v>
      </c>
      <c r="AE38" s="79">
        <f t="shared" ref="AE38:AU38" si="13">(AE32)/AE33</f>
        <v>0.50706305303039467</v>
      </c>
      <c r="AF38" s="78">
        <f>(AF32)/AF33</f>
        <v>0.81579382969748637</v>
      </c>
      <c r="AG38" s="80">
        <f>(AG32)/AG33</f>
        <v>0.6160618804445781</v>
      </c>
      <c r="AH38" s="79">
        <f>(AH32)/AH33</f>
        <v>0.72500746901490432</v>
      </c>
      <c r="AI38" s="79">
        <f>(AI32)/AI33</f>
        <v>0.65707611615233763</v>
      </c>
      <c r="AJ38" s="80">
        <f t="shared" si="13"/>
        <v>0.94134345757585314</v>
      </c>
      <c r="AK38" s="81">
        <f t="shared" si="13"/>
        <v>2.9321288336315452</v>
      </c>
      <c r="AL38" s="80">
        <f t="shared" si="13"/>
        <v>1.1388287499565417</v>
      </c>
      <c r="AM38" s="80">
        <f t="shared" si="13"/>
        <v>1.0061126375823257</v>
      </c>
      <c r="AN38" s="80">
        <f t="shared" si="13"/>
        <v>1.1467972015410128</v>
      </c>
      <c r="AO38" s="80">
        <f t="shared" si="13"/>
        <v>1.2175794494753629</v>
      </c>
      <c r="AP38" s="81">
        <f t="shared" si="13"/>
        <v>4.5091440387701489</v>
      </c>
      <c r="AQ38" s="80">
        <f t="shared" si="13"/>
        <v>1.2971410276932929</v>
      </c>
      <c r="AR38" s="80">
        <f t="shared" si="13"/>
        <v>1.337452734483076</v>
      </c>
      <c r="AS38" s="80">
        <f t="shared" si="13"/>
        <v>1.4279075782648434</v>
      </c>
      <c r="AT38" s="80">
        <f t="shared" si="13"/>
        <v>2.1461164977337068</v>
      </c>
      <c r="AU38" s="81">
        <f t="shared" si="13"/>
        <v>6.2390080191531325</v>
      </c>
      <c r="AV38" s="80">
        <f>(AV32)/AV33</f>
        <v>1.7560761346998535</v>
      </c>
      <c r="AW38" s="80">
        <f>(AW32)/AW33</f>
        <v>1.9062408438324048</v>
      </c>
      <c r="AX38" s="80">
        <f>(AX32)/AX33</f>
        <v>2.1060650454145922</v>
      </c>
      <c r="AY38" s="80">
        <f>(AY32)/AY33</f>
        <v>2.5758993857853176</v>
      </c>
      <c r="AZ38" s="78">
        <f>SUM(AV38:AY38)</f>
        <v>8.3442814097321687</v>
      </c>
      <c r="BA38" s="80">
        <f>(BA32)/BA33</f>
        <v>2.3567268491555051</v>
      </c>
      <c r="BB38" s="80">
        <f>(BB32)/BB33</f>
        <v>2.5565688230265038</v>
      </c>
      <c r="BC38" s="80">
        <f>(BC32)/BC33</f>
        <v>2.7387464387464391</v>
      </c>
      <c r="BD38" s="80">
        <f>(BD32)/BD33</f>
        <v>2.5027150614461262</v>
      </c>
      <c r="BE38" s="81">
        <f>(BE32)/BE33</f>
        <v>10.158830275229359</v>
      </c>
      <c r="BF38" s="80">
        <f t="shared" ref="BF38:BI38" si="14">(BF32)/BF33</f>
        <v>1.3513703258073744</v>
      </c>
      <c r="BG38" s="80">
        <f t="shared" si="14"/>
        <v>2.1713931821949144</v>
      </c>
      <c r="BH38" s="80">
        <f t="shared" si="14"/>
        <v>2.3960017006287515</v>
      </c>
      <c r="BI38" s="80">
        <f t="shared" si="14"/>
        <v>2.7325333435267227</v>
      </c>
      <c r="BJ38" s="81">
        <f>(BJ32)/BJ33</f>
        <v>8.6512985521577601</v>
      </c>
      <c r="BK38" s="69"/>
      <c r="BL38" s="69"/>
      <c r="BM38" s="69"/>
      <c r="BN38" s="69"/>
      <c r="BO38" s="81">
        <f>(BO32)/BO33</f>
        <v>10.281985629182604</v>
      </c>
      <c r="BP38" s="69"/>
      <c r="BQ38" s="69"/>
      <c r="BR38" s="69"/>
      <c r="BS38" s="69"/>
      <c r="BT38" s="81">
        <f>(BT32)/BT33</f>
        <v>11.901083287955394</v>
      </c>
      <c r="BU38" s="69"/>
      <c r="BV38" s="69"/>
      <c r="BW38" s="69"/>
      <c r="BX38" s="69"/>
      <c r="BY38" s="81">
        <f>(BY32)/BY33</f>
        <v>13.513009467341783</v>
      </c>
      <c r="BZ38" s="69"/>
      <c r="CA38" s="69"/>
      <c r="CB38" s="69"/>
      <c r="CC38" s="69"/>
      <c r="CD38" s="81">
        <f>(CD32)/CD33</f>
        <v>14.807155680321223</v>
      </c>
      <c r="CF38" s="82" t="s">
        <v>63</v>
      </c>
    </row>
    <row r="39" spans="1:84" s="12" customFormat="1">
      <c r="B39" s="83" t="s">
        <v>64</v>
      </c>
      <c r="C39" s="84"/>
      <c r="D39" s="85"/>
      <c r="E39" s="85"/>
      <c r="F39" s="85"/>
      <c r="G39" s="86"/>
      <c r="H39" s="85"/>
      <c r="I39" s="85"/>
      <c r="J39" s="85"/>
      <c r="K39" s="85"/>
      <c r="L39" s="86"/>
      <c r="M39" s="85"/>
      <c r="N39" s="85"/>
      <c r="O39" s="85"/>
      <c r="P39" s="85"/>
      <c r="Q39" s="86"/>
      <c r="R39" s="87"/>
      <c r="S39" s="87"/>
      <c r="T39" s="87"/>
      <c r="U39" s="87"/>
      <c r="V39" s="86"/>
      <c r="W39" s="87"/>
      <c r="X39" s="87"/>
      <c r="Y39" s="87"/>
      <c r="Z39" s="87"/>
      <c r="AA39" s="86"/>
      <c r="AB39" s="87"/>
      <c r="AC39" s="87"/>
      <c r="AD39" s="87"/>
      <c r="AE39" s="87"/>
      <c r="AF39" s="86"/>
      <c r="AG39" s="88">
        <v>0.56000000000000005</v>
      </c>
      <c r="AH39" s="87">
        <v>0.54</v>
      </c>
      <c r="AI39" s="87">
        <v>0.66</v>
      </c>
      <c r="AJ39" s="88">
        <v>0.87</v>
      </c>
      <c r="AK39" s="89">
        <f>SUM(AG39:AJ39)</f>
        <v>2.6300000000000003</v>
      </c>
      <c r="AL39" s="88">
        <v>0.91</v>
      </c>
      <c r="AM39" s="88">
        <f>AM38-0.14</f>
        <v>0.86611263758232571</v>
      </c>
      <c r="AN39" s="88">
        <f>AN38</f>
        <v>1.1467972015410128</v>
      </c>
      <c r="AO39" s="88">
        <f>AO38</f>
        <v>1.2175794494753629</v>
      </c>
      <c r="AP39" s="89">
        <f>SUM(AL39:AO39)</f>
        <v>4.140489288598701</v>
      </c>
      <c r="AQ39" s="88">
        <f>AQ38</f>
        <v>1.2971410276932929</v>
      </c>
      <c r="AR39" s="88">
        <f>AR38</f>
        <v>1.337452734483076</v>
      </c>
      <c r="AS39" s="88">
        <f>AS38</f>
        <v>1.4279075782648434</v>
      </c>
      <c r="AT39" s="88">
        <f>AT38</f>
        <v>2.1461164977337068</v>
      </c>
      <c r="AU39" s="89">
        <f>SUM(AQ39:AT39)</f>
        <v>6.2086178381749191</v>
      </c>
      <c r="AV39" s="88">
        <f>AV38</f>
        <v>1.7560761346998535</v>
      </c>
      <c r="AW39" s="88">
        <f>AW38</f>
        <v>1.9062408438324048</v>
      </c>
      <c r="AX39" s="88">
        <f>AX38</f>
        <v>2.1060650454145922</v>
      </c>
      <c r="AY39" s="88">
        <f>AY38</f>
        <v>2.5758993857853176</v>
      </c>
      <c r="AZ39" s="89">
        <f>SUM(AV39:AY39)</f>
        <v>8.3442814097321687</v>
      </c>
      <c r="BA39" s="88">
        <f>BA38</f>
        <v>2.3567268491555051</v>
      </c>
      <c r="BB39" s="88">
        <f>BB38</f>
        <v>2.5565688230265038</v>
      </c>
      <c r="BC39" s="88">
        <f>BC38</f>
        <v>2.7387464387464391</v>
      </c>
      <c r="BD39" s="88">
        <f>BD38</f>
        <v>2.5027150614461262</v>
      </c>
      <c r="BE39" s="89">
        <f>BE38</f>
        <v>10.158830275229359</v>
      </c>
      <c r="BF39" s="88">
        <f t="shared" ref="BF39:BI39" si="15">BF38</f>
        <v>1.3513703258073744</v>
      </c>
      <c r="BG39" s="88">
        <f t="shared" si="15"/>
        <v>2.1713931821949144</v>
      </c>
      <c r="BH39" s="88">
        <f t="shared" si="15"/>
        <v>2.3960017006287515</v>
      </c>
      <c r="BI39" s="88">
        <f t="shared" si="15"/>
        <v>2.7325333435267227</v>
      </c>
      <c r="BJ39" s="89">
        <f>BJ38</f>
        <v>8.6512985521577601</v>
      </c>
      <c r="BK39" s="85"/>
      <c r="BL39" s="85"/>
      <c r="BM39" s="85"/>
      <c r="BN39" s="85"/>
      <c r="BO39" s="89">
        <f>BO38</f>
        <v>10.281985629182604</v>
      </c>
      <c r="BP39" s="85"/>
      <c r="BQ39" s="85"/>
      <c r="BR39" s="85"/>
      <c r="BS39" s="85"/>
      <c r="BT39" s="89">
        <f>BT38</f>
        <v>11.901083287955394</v>
      </c>
      <c r="BU39" s="85"/>
      <c r="BV39" s="85"/>
      <c r="BW39" s="85"/>
      <c r="BX39" s="85"/>
      <c r="BY39" s="89">
        <f>BY38</f>
        <v>13.513009467341783</v>
      </c>
      <c r="BZ39" s="85"/>
      <c r="CA39" s="85"/>
      <c r="CB39" s="85"/>
      <c r="CC39" s="85"/>
      <c r="CD39" s="89">
        <f>CD38</f>
        <v>14.807155680321223</v>
      </c>
      <c r="CF39" s="90"/>
    </row>
    <row r="40" spans="1:84" s="91" customFormat="1" ht="16.5" hidden="1" customHeight="1">
      <c r="B40" s="69"/>
      <c r="G40" s="92"/>
      <c r="L40" s="92"/>
      <c r="Q40" s="92"/>
      <c r="V40" s="92"/>
      <c r="AA40" s="92"/>
      <c r="AF40" s="92"/>
      <c r="AK40" s="92"/>
      <c r="AP40" s="92"/>
      <c r="AU40" s="92"/>
      <c r="AZ40" s="93"/>
      <c r="BA40" s="69"/>
      <c r="BB40" s="69"/>
      <c r="BC40" s="69"/>
      <c r="BD40" s="69"/>
      <c r="BE40" s="67"/>
      <c r="BF40" s="69"/>
      <c r="BG40" s="69"/>
      <c r="BH40" s="69"/>
      <c r="BI40" s="69"/>
      <c r="BJ40" s="67"/>
      <c r="BK40" s="67"/>
      <c r="BL40" s="67"/>
      <c r="BM40" s="67"/>
      <c r="BN40" s="67"/>
      <c r="BO40" s="67"/>
      <c r="BP40" s="69"/>
      <c r="BQ40" s="69"/>
      <c r="BR40" s="69"/>
      <c r="BS40" s="69"/>
      <c r="BT40" s="67"/>
      <c r="BU40" s="69"/>
      <c r="BV40" s="69"/>
      <c r="BW40" s="69"/>
      <c r="BX40" s="69"/>
      <c r="BY40" s="67"/>
      <c r="BZ40" s="69"/>
      <c r="CA40" s="69"/>
      <c r="CB40" s="69"/>
      <c r="CC40" s="69"/>
      <c r="CD40" s="67"/>
    </row>
    <row r="42" spans="1:84" s="91" customFormat="1" ht="4.5" customHeight="1">
      <c r="B42" s="69"/>
      <c r="G42" s="92"/>
      <c r="L42" s="92"/>
      <c r="Q42" s="92"/>
      <c r="V42" s="92"/>
      <c r="AA42" s="92"/>
      <c r="AF42" s="92"/>
      <c r="AK42" s="92"/>
      <c r="AP42" s="92"/>
      <c r="AU42" s="92"/>
    </row>
    <row r="43" spans="1:84" s="96" customFormat="1" hidden="1" outlineLevel="1">
      <c r="A43" s="94"/>
      <c r="B43" s="95" t="s">
        <v>65</v>
      </c>
      <c r="C43" s="94"/>
      <c r="D43" s="94"/>
      <c r="E43" s="94"/>
      <c r="F43" s="94"/>
      <c r="G43" s="94"/>
      <c r="H43" s="94"/>
      <c r="I43" s="94"/>
      <c r="J43" s="94"/>
      <c r="K43" s="94"/>
      <c r="L43" s="94"/>
      <c r="M43" s="94"/>
      <c r="N43" s="94"/>
      <c r="O43" s="94"/>
      <c r="P43" s="94"/>
      <c r="Q43" s="94"/>
      <c r="R43" s="94"/>
      <c r="S43" s="94"/>
      <c r="T43" s="94"/>
      <c r="U43" s="94"/>
      <c r="V43" s="94"/>
      <c r="W43" s="94"/>
      <c r="X43" s="94"/>
      <c r="Y43" s="94"/>
      <c r="Z43" s="94"/>
      <c r="AA43" s="94"/>
      <c r="AB43" s="69"/>
      <c r="AC43" s="69"/>
      <c r="AD43" s="69"/>
      <c r="AE43" s="69"/>
      <c r="AF43" s="69"/>
      <c r="AG43" s="69"/>
      <c r="AH43" s="69"/>
      <c r="AI43" s="69"/>
      <c r="AR43" s="97"/>
      <c r="AS43" s="97"/>
      <c r="AT43" s="98"/>
      <c r="AY43" s="98"/>
      <c r="AZ43" s="99"/>
      <c r="BA43" s="98"/>
      <c r="BB43" s="98"/>
      <c r="BC43" s="98"/>
      <c r="BD43" s="98">
        <v>2.6006385162393166</v>
      </c>
      <c r="BE43" s="99">
        <v>10.257177165938554</v>
      </c>
      <c r="BF43" s="98">
        <v>2.5158303885327635</v>
      </c>
      <c r="BG43" s="98">
        <v>3.2338903514957256</v>
      </c>
      <c r="BH43" s="98">
        <v>3.5769881360398865</v>
      </c>
      <c r="BI43" s="98">
        <v>4.0511698755982914</v>
      </c>
      <c r="BJ43" s="99">
        <v>13.377878751666664</v>
      </c>
      <c r="BK43" s="98"/>
      <c r="BL43" s="98"/>
      <c r="BM43" s="98"/>
      <c r="BN43" s="98"/>
      <c r="BO43" s="99">
        <v>16.407486586021182</v>
      </c>
      <c r="BP43" s="98"/>
      <c r="BQ43" s="98"/>
      <c r="BR43" s="98"/>
      <c r="BS43" s="98"/>
      <c r="BT43" s="99">
        <v>19.057892705096812</v>
      </c>
      <c r="BU43" s="98"/>
      <c r="BV43" s="98"/>
      <c r="BW43" s="98"/>
      <c r="BX43" s="98"/>
      <c r="BY43" s="99">
        <v>21.862441517442988</v>
      </c>
      <c r="BZ43" s="98"/>
      <c r="CA43" s="98"/>
      <c r="CB43" s="98"/>
      <c r="CC43" s="98"/>
      <c r="CD43" s="99">
        <v>24.015082981666694</v>
      </c>
      <c r="CF43" s="100"/>
    </row>
    <row r="44" spans="1:84" s="107" customFormat="1" hidden="1" outlineLevel="1">
      <c r="A44" s="101"/>
      <c r="B44" s="102" t="s">
        <v>66</v>
      </c>
      <c r="C44" s="101"/>
      <c r="D44" s="101"/>
      <c r="E44" s="101"/>
      <c r="F44" s="101"/>
      <c r="G44" s="101"/>
      <c r="H44" s="101"/>
      <c r="I44" s="101"/>
      <c r="J44" s="101"/>
      <c r="K44" s="101"/>
      <c r="L44" s="101"/>
      <c r="M44" s="101"/>
      <c r="N44" s="101"/>
      <c r="O44" s="101"/>
      <c r="P44" s="101"/>
      <c r="Q44" s="101"/>
      <c r="R44" s="101"/>
      <c r="S44" s="101"/>
      <c r="T44" s="101"/>
      <c r="U44" s="101"/>
      <c r="V44" s="101"/>
      <c r="W44" s="101"/>
      <c r="X44" s="101"/>
      <c r="Y44" s="101"/>
      <c r="Z44" s="101"/>
      <c r="AA44" s="101"/>
      <c r="AB44" s="103"/>
      <c r="AC44" s="103"/>
      <c r="AD44" s="103"/>
      <c r="AE44" s="103"/>
      <c r="AF44" s="103"/>
      <c r="AG44" s="103"/>
      <c r="AH44" s="69"/>
      <c r="AI44" s="69"/>
      <c r="AJ44" s="96"/>
      <c r="AK44" s="96"/>
      <c r="AL44" s="104"/>
      <c r="AM44" s="96"/>
      <c r="AN44" s="96"/>
      <c r="AO44" s="96"/>
      <c r="AP44" s="96"/>
      <c r="AQ44" s="96"/>
      <c r="AR44" s="103"/>
      <c r="AS44" s="103"/>
      <c r="AT44" s="105"/>
      <c r="AU44" s="96"/>
      <c r="AV44" s="96"/>
      <c r="AW44" s="96"/>
      <c r="AX44" s="96"/>
      <c r="AY44" s="105"/>
      <c r="AZ44" s="106"/>
      <c r="BA44" s="105"/>
      <c r="BB44" s="105"/>
      <c r="BC44" s="105"/>
      <c r="BD44" s="105">
        <f>ROUND(BD38,2)-ROUND(BD43,2)</f>
        <v>-0.10000000000000009</v>
      </c>
      <c r="BE44" s="106">
        <f t="shared" ref="BE44:CD44" si="16">ROUND(BE38,2)-ROUND(BE43,2)</f>
        <v>-9.9999999999999645E-2</v>
      </c>
      <c r="BF44" s="105">
        <f t="shared" si="16"/>
        <v>-1.17</v>
      </c>
      <c r="BG44" s="105">
        <f t="shared" si="16"/>
        <v>-1.06</v>
      </c>
      <c r="BH44" s="105">
        <f t="shared" si="16"/>
        <v>-1.1800000000000002</v>
      </c>
      <c r="BI44" s="105">
        <f t="shared" si="16"/>
        <v>-1.3199999999999998</v>
      </c>
      <c r="BJ44" s="106">
        <f t="shared" si="16"/>
        <v>-4.7300000000000004</v>
      </c>
      <c r="BK44" s="106">
        <f t="shared" si="16"/>
        <v>0</v>
      </c>
      <c r="BL44" s="106">
        <f t="shared" si="16"/>
        <v>0</v>
      </c>
      <c r="BM44" s="106">
        <f t="shared" si="16"/>
        <v>0</v>
      </c>
      <c r="BN44" s="106">
        <f t="shared" si="16"/>
        <v>0</v>
      </c>
      <c r="BO44" s="106">
        <f t="shared" si="16"/>
        <v>-6.1300000000000008</v>
      </c>
      <c r="BP44" s="106">
        <f t="shared" si="16"/>
        <v>0</v>
      </c>
      <c r="BQ44" s="106">
        <f t="shared" si="16"/>
        <v>0</v>
      </c>
      <c r="BR44" s="106">
        <f t="shared" si="16"/>
        <v>0</v>
      </c>
      <c r="BS44" s="106">
        <f t="shared" si="16"/>
        <v>0</v>
      </c>
      <c r="BT44" s="106">
        <f t="shared" si="16"/>
        <v>-7.1599999999999984</v>
      </c>
      <c r="BU44" s="106">
        <f t="shared" si="16"/>
        <v>0</v>
      </c>
      <c r="BV44" s="106">
        <f t="shared" si="16"/>
        <v>0</v>
      </c>
      <c r="BW44" s="106">
        <f t="shared" si="16"/>
        <v>0</v>
      </c>
      <c r="BX44" s="106">
        <f t="shared" si="16"/>
        <v>0</v>
      </c>
      <c r="BY44" s="106">
        <f t="shared" si="16"/>
        <v>-8.35</v>
      </c>
      <c r="BZ44" s="106">
        <f t="shared" si="16"/>
        <v>0</v>
      </c>
      <c r="CA44" s="106">
        <f t="shared" si="16"/>
        <v>0</v>
      </c>
      <c r="CB44" s="106">
        <f t="shared" si="16"/>
        <v>0</v>
      </c>
      <c r="CC44" s="106">
        <f t="shared" si="16"/>
        <v>0</v>
      </c>
      <c r="CD44" s="106">
        <f t="shared" si="16"/>
        <v>-9.2099999999999991</v>
      </c>
      <c r="CF44" s="100"/>
    </row>
    <row r="45" spans="1:84" s="96" customFormat="1" hidden="1" outlineLevel="1">
      <c r="A45" s="94"/>
      <c r="B45" s="108" t="s">
        <v>67</v>
      </c>
      <c r="C45" s="94"/>
      <c r="D45" s="94"/>
      <c r="E45" s="94"/>
      <c r="F45" s="94"/>
      <c r="G45" s="94"/>
      <c r="H45" s="94"/>
      <c r="I45" s="94"/>
      <c r="J45" s="94"/>
      <c r="K45" s="94"/>
      <c r="L45" s="94"/>
      <c r="M45" s="94"/>
      <c r="N45" s="94"/>
      <c r="O45" s="94"/>
      <c r="P45" s="94"/>
      <c r="Q45" s="94"/>
      <c r="R45" s="94"/>
      <c r="S45" s="94"/>
      <c r="T45" s="94"/>
      <c r="U45" s="94"/>
      <c r="V45" s="94"/>
      <c r="W45" s="94"/>
      <c r="X45" s="94"/>
      <c r="Y45" s="94"/>
      <c r="Z45" s="94"/>
      <c r="AA45" s="94"/>
      <c r="AB45" s="94"/>
      <c r="AC45" s="94"/>
      <c r="AD45" s="94"/>
      <c r="AE45" s="94"/>
      <c r="AF45" s="94"/>
      <c r="AG45" s="94"/>
      <c r="AH45" s="69"/>
      <c r="AI45" s="69"/>
      <c r="AO45" s="104"/>
      <c r="AR45" s="94"/>
      <c r="AS45" s="94"/>
      <c r="AT45" s="109"/>
      <c r="AY45" s="109"/>
      <c r="AZ45" s="108"/>
      <c r="BA45" s="109"/>
      <c r="BB45" s="109"/>
      <c r="BC45" s="109"/>
      <c r="BD45" s="109">
        <v>2722.6620000000003</v>
      </c>
      <c r="BE45" s="108">
        <v>10432.762000000001</v>
      </c>
      <c r="BF45" s="109">
        <v>2826.203</v>
      </c>
      <c r="BG45" s="109">
        <v>3084.7579999999998</v>
      </c>
      <c r="BH45" s="109">
        <v>3181.192</v>
      </c>
      <c r="BI45" s="109">
        <v>3404.0306400000004</v>
      </c>
      <c r="BJ45" s="108">
        <v>12496.183639999999</v>
      </c>
      <c r="BK45" s="109">
        <v>0</v>
      </c>
      <c r="BL45" s="109">
        <v>0</v>
      </c>
      <c r="BM45" s="109">
        <v>0</v>
      </c>
      <c r="BN45" s="109">
        <v>0</v>
      </c>
      <c r="BO45" s="108">
        <v>13815.920630799999</v>
      </c>
      <c r="BP45" s="109">
        <v>0</v>
      </c>
      <c r="BQ45" s="109">
        <v>0</v>
      </c>
      <c r="BR45" s="109">
        <v>0</v>
      </c>
      <c r="BS45" s="109">
        <v>0</v>
      </c>
      <c r="BT45" s="108">
        <v>15023.072101384001</v>
      </c>
      <c r="BU45" s="109">
        <v>0</v>
      </c>
      <c r="BV45" s="109">
        <v>0</v>
      </c>
      <c r="BW45" s="109">
        <v>0</v>
      </c>
      <c r="BX45" s="109">
        <v>0</v>
      </c>
      <c r="BY45" s="108">
        <v>16309.9662911376</v>
      </c>
      <c r="BZ45" s="109">
        <v>0</v>
      </c>
      <c r="CA45" s="109">
        <v>0</v>
      </c>
      <c r="CB45" s="109">
        <v>0</v>
      </c>
      <c r="CC45" s="109">
        <v>0</v>
      </c>
      <c r="CD45" s="108">
        <v>17310.681795970813</v>
      </c>
      <c r="CE45" s="96">
        <v>0</v>
      </c>
      <c r="CF45" s="100">
        <v>0</v>
      </c>
    </row>
    <row r="46" spans="1:84" s="111" customFormat="1" hidden="1" outlineLevel="1">
      <c r="A46" s="101"/>
      <c r="B46" s="102" t="s">
        <v>66</v>
      </c>
      <c r="C46" s="101"/>
      <c r="D46" s="101"/>
      <c r="E46" s="101"/>
      <c r="F46" s="101"/>
      <c r="G46" s="101"/>
      <c r="H46" s="101"/>
      <c r="I46" s="101"/>
      <c r="J46" s="101"/>
      <c r="K46" s="101"/>
      <c r="L46" s="101"/>
      <c r="M46" s="101"/>
      <c r="N46" s="101"/>
      <c r="O46" s="101"/>
      <c r="P46" s="101"/>
      <c r="Q46" s="101"/>
      <c r="R46" s="101"/>
      <c r="S46" s="101"/>
      <c r="T46" s="101"/>
      <c r="U46" s="101"/>
      <c r="V46" s="101"/>
      <c r="W46" s="101"/>
      <c r="X46" s="101"/>
      <c r="Y46" s="101"/>
      <c r="Z46" s="101"/>
      <c r="AA46" s="101"/>
      <c r="AB46" s="101"/>
      <c r="AC46" s="101"/>
      <c r="AD46" s="101"/>
      <c r="AE46" s="101"/>
      <c r="AF46" s="101"/>
      <c r="AG46" s="101"/>
      <c r="AH46" s="69"/>
      <c r="AI46" s="69"/>
      <c r="AJ46" s="96"/>
      <c r="AK46" s="96"/>
      <c r="AL46" s="96"/>
      <c r="AM46" s="96"/>
      <c r="AN46" s="96"/>
      <c r="AO46" s="104"/>
      <c r="AP46" s="96"/>
      <c r="AQ46" s="96"/>
      <c r="AR46" s="101"/>
      <c r="AS46" s="101"/>
      <c r="AT46" s="110"/>
      <c r="AU46" s="96"/>
      <c r="AV46" s="96"/>
      <c r="AW46" s="96"/>
      <c r="AX46" s="96"/>
      <c r="AY46" s="110"/>
      <c r="AZ46" s="102"/>
      <c r="BA46" s="110"/>
      <c r="BB46" s="110"/>
      <c r="BC46" s="110"/>
      <c r="BD46" s="110">
        <f>ROUND(BD10,0)-ROUND(BD45,0)</f>
        <v>61</v>
      </c>
      <c r="BE46" s="102">
        <f t="shared" ref="BE46:CD46" si="17">ROUND(BE10,0)-ROUND(BE45,0)</f>
        <v>61</v>
      </c>
      <c r="BF46" s="110">
        <f t="shared" si="17"/>
        <v>-447</v>
      </c>
      <c r="BG46" s="110">
        <f t="shared" si="17"/>
        <v>-342</v>
      </c>
      <c r="BH46" s="110">
        <f t="shared" si="17"/>
        <v>-353</v>
      </c>
      <c r="BI46" s="110">
        <f t="shared" si="17"/>
        <v>-388</v>
      </c>
      <c r="BJ46" s="102">
        <f t="shared" si="17"/>
        <v>-1529</v>
      </c>
      <c r="BK46" s="102">
        <f t="shared" si="17"/>
        <v>0</v>
      </c>
      <c r="BL46" s="102">
        <f t="shared" si="17"/>
        <v>0</v>
      </c>
      <c r="BM46" s="102">
        <f t="shared" si="17"/>
        <v>0</v>
      </c>
      <c r="BN46" s="102">
        <f t="shared" si="17"/>
        <v>0</v>
      </c>
      <c r="BO46" s="102">
        <f t="shared" si="17"/>
        <v>-2075</v>
      </c>
      <c r="BP46" s="102">
        <f t="shared" si="17"/>
        <v>0</v>
      </c>
      <c r="BQ46" s="102">
        <f t="shared" si="17"/>
        <v>0</v>
      </c>
      <c r="BR46" s="102">
        <f t="shared" si="17"/>
        <v>0</v>
      </c>
      <c r="BS46" s="102">
        <f t="shared" si="17"/>
        <v>0</v>
      </c>
      <c r="BT46" s="102">
        <f t="shared" si="17"/>
        <v>-2575</v>
      </c>
      <c r="BU46" s="102">
        <f t="shared" si="17"/>
        <v>0</v>
      </c>
      <c r="BV46" s="102">
        <f t="shared" si="17"/>
        <v>0</v>
      </c>
      <c r="BW46" s="102">
        <f t="shared" si="17"/>
        <v>0</v>
      </c>
      <c r="BX46" s="102">
        <f t="shared" si="17"/>
        <v>0</v>
      </c>
      <c r="BY46" s="102">
        <f t="shared" si="17"/>
        <v>-3125</v>
      </c>
      <c r="BZ46" s="102">
        <f t="shared" si="17"/>
        <v>0</v>
      </c>
      <c r="CA46" s="102">
        <f t="shared" si="17"/>
        <v>0</v>
      </c>
      <c r="CB46" s="102">
        <f t="shared" si="17"/>
        <v>0</v>
      </c>
      <c r="CC46" s="102">
        <f t="shared" si="17"/>
        <v>0</v>
      </c>
      <c r="CD46" s="102">
        <f t="shared" si="17"/>
        <v>-3548</v>
      </c>
      <c r="CF46" s="100"/>
    </row>
    <row r="47" spans="1:84" s="96" customFormat="1" hidden="1" outlineLevel="1">
      <c r="A47" s="94"/>
      <c r="B47" s="108" t="s">
        <v>68</v>
      </c>
      <c r="C47" s="94"/>
      <c r="D47" s="94"/>
      <c r="E47" s="94"/>
      <c r="F47" s="94"/>
      <c r="G47" s="94"/>
      <c r="H47" s="94"/>
      <c r="I47" s="94"/>
      <c r="J47" s="94"/>
      <c r="K47" s="94"/>
      <c r="L47" s="94"/>
      <c r="M47" s="94"/>
      <c r="N47" s="94"/>
      <c r="O47" s="94"/>
      <c r="P47" s="94"/>
      <c r="Q47" s="94"/>
      <c r="R47" s="94"/>
      <c r="S47" s="94"/>
      <c r="T47" s="94"/>
      <c r="U47" s="94"/>
      <c r="V47" s="94"/>
      <c r="W47" s="94"/>
      <c r="X47" s="94"/>
      <c r="Y47" s="94"/>
      <c r="Z47" s="94"/>
      <c r="AA47" s="94"/>
      <c r="AB47" s="69"/>
      <c r="AC47" s="69"/>
      <c r="AD47" s="69"/>
      <c r="AE47" s="69"/>
      <c r="AF47" s="69"/>
      <c r="AG47" s="69"/>
      <c r="AR47" s="101"/>
      <c r="AS47" s="101"/>
      <c r="AT47" s="112"/>
      <c r="AY47" s="112"/>
      <c r="AZ47" s="113"/>
      <c r="BA47" s="112"/>
      <c r="BB47" s="112"/>
      <c r="BC47" s="112"/>
      <c r="BD47" s="112">
        <f>BD38</f>
        <v>2.5027150614461262</v>
      </c>
      <c r="BE47" s="113">
        <f t="shared" ref="BE47:CD47" si="18">BE38</f>
        <v>10.158830275229359</v>
      </c>
      <c r="BF47" s="114">
        <f t="shared" si="18"/>
        <v>1.3513703258073744</v>
      </c>
      <c r="BG47" s="114">
        <f t="shared" si="18"/>
        <v>2.1713931821949144</v>
      </c>
      <c r="BH47" s="114">
        <f t="shared" si="18"/>
        <v>2.3960017006287515</v>
      </c>
      <c r="BI47" s="114">
        <f t="shared" si="18"/>
        <v>2.7325333435267227</v>
      </c>
      <c r="BJ47" s="113">
        <f t="shared" si="18"/>
        <v>8.6512985521577601</v>
      </c>
      <c r="BK47" s="113">
        <f t="shared" si="18"/>
        <v>0</v>
      </c>
      <c r="BL47" s="113">
        <f t="shared" si="18"/>
        <v>0</v>
      </c>
      <c r="BM47" s="113">
        <f t="shared" si="18"/>
        <v>0</v>
      </c>
      <c r="BN47" s="113">
        <f t="shared" si="18"/>
        <v>0</v>
      </c>
      <c r="BO47" s="113">
        <f t="shared" si="18"/>
        <v>10.281985629182604</v>
      </c>
      <c r="BP47" s="113">
        <f t="shared" si="18"/>
        <v>0</v>
      </c>
      <c r="BQ47" s="113">
        <f t="shared" si="18"/>
        <v>0</v>
      </c>
      <c r="BR47" s="113">
        <f t="shared" si="18"/>
        <v>0</v>
      </c>
      <c r="BS47" s="113">
        <f t="shared" si="18"/>
        <v>0</v>
      </c>
      <c r="BT47" s="113">
        <f t="shared" si="18"/>
        <v>11.901083287955394</v>
      </c>
      <c r="BU47" s="113">
        <f t="shared" si="18"/>
        <v>0</v>
      </c>
      <c r="BV47" s="113">
        <f t="shared" si="18"/>
        <v>0</v>
      </c>
      <c r="BW47" s="113">
        <f t="shared" si="18"/>
        <v>0</v>
      </c>
      <c r="BX47" s="113">
        <f t="shared" si="18"/>
        <v>0</v>
      </c>
      <c r="BY47" s="113">
        <f t="shared" si="18"/>
        <v>13.513009467341783</v>
      </c>
      <c r="BZ47" s="113">
        <f t="shared" si="18"/>
        <v>0</v>
      </c>
      <c r="CA47" s="113">
        <f t="shared" si="18"/>
        <v>0</v>
      </c>
      <c r="CB47" s="113">
        <f t="shared" si="18"/>
        <v>0</v>
      </c>
      <c r="CC47" s="113">
        <f t="shared" si="18"/>
        <v>0</v>
      </c>
      <c r="CD47" s="113">
        <f t="shared" si="18"/>
        <v>14.807155680321223</v>
      </c>
      <c r="CF47" s="100"/>
    </row>
    <row r="48" spans="1:84" s="96" customFormat="1" hidden="1" outlineLevel="1">
      <c r="A48" s="94"/>
      <c r="B48" s="108" t="s">
        <v>69</v>
      </c>
      <c r="C48" s="94"/>
      <c r="D48" s="94"/>
      <c r="E48" s="94"/>
      <c r="F48" s="94"/>
      <c r="G48" s="94"/>
      <c r="H48" s="94"/>
      <c r="I48" s="94"/>
      <c r="J48" s="94"/>
      <c r="K48" s="94"/>
      <c r="L48" s="94"/>
      <c r="M48" s="94"/>
      <c r="N48" s="94"/>
      <c r="O48" s="94"/>
      <c r="P48" s="94"/>
      <c r="Q48" s="94"/>
      <c r="R48" s="94"/>
      <c r="S48" s="94"/>
      <c r="T48" s="94"/>
      <c r="U48" s="94"/>
      <c r="V48" s="94"/>
      <c r="W48" s="94"/>
      <c r="X48" s="94"/>
      <c r="Y48" s="94"/>
      <c r="Z48" s="94"/>
      <c r="AA48" s="94"/>
      <c r="AB48" s="69"/>
      <c r="AC48" s="69"/>
      <c r="AD48" s="69"/>
      <c r="AE48" s="69"/>
      <c r="AF48" s="69"/>
      <c r="AG48" s="69"/>
      <c r="AR48" s="101"/>
      <c r="AS48" s="101"/>
      <c r="AT48" s="112"/>
      <c r="AY48" s="112"/>
      <c r="AZ48" s="113"/>
      <c r="BA48" s="112"/>
      <c r="BB48" s="112"/>
      <c r="BC48" s="112"/>
      <c r="BD48" s="112" t="e">
        <f ca="1">_xll.BDP("vrx us equity","best_eps","BEST_FPERIOD_OVERRIDE=1Fq")</f>
        <v>#NAME?</v>
      </c>
      <c r="BE48" s="113" t="e">
        <f ca="1">_xll.BDP("vrx us equity","best_eps","BEST_FPERIOD_OVERRIDE=15bc")</f>
        <v>#NAME?</v>
      </c>
      <c r="BF48" s="112" t="e">
        <f ca="1">_xll.BDP("vrx us equity","best_eps","BEST_FPERIOD_OVERRIDE=2Fq")</f>
        <v>#NAME?</v>
      </c>
      <c r="BG48" s="112" t="e">
        <f ca="1">_xll.BDP("vrx us equity","best_eps","BEST_FPERIOD_OVERRIDE=3Fq")</f>
        <v>#NAME?</v>
      </c>
      <c r="BH48" s="112" t="e">
        <f ca="1">_xll.BDP("vrx us equity","best_eps","BEST_FPERIOD_OVERRIDE=4Fq")</f>
        <v>#NAME?</v>
      </c>
      <c r="BI48" s="109"/>
      <c r="BJ48" s="113" t="e">
        <f ca="1">_xll.BDP("vrx us equity","best_eps","BEST_FPERIOD_OVERRIDE=16bc")</f>
        <v>#NAME?</v>
      </c>
      <c r="BK48" s="113" t="e">
        <f ca="1">_xll.BDP("vrx us equity","best_eps","BEST_FPERIOD_OVERRIDE=16bc")</f>
        <v>#NAME?</v>
      </c>
      <c r="BL48" s="113" t="e">
        <f ca="1">_xll.BDP("vrx us equity","best_eps","BEST_FPERIOD_OVERRIDE=16bc")</f>
        <v>#NAME?</v>
      </c>
      <c r="BM48" s="113" t="e">
        <f ca="1">_xll.BDP("vrx us equity","best_eps","BEST_FPERIOD_OVERRIDE=16bc")</f>
        <v>#NAME?</v>
      </c>
      <c r="BN48" s="113" t="e">
        <f ca="1">_xll.BDP("vrx us equity","best_eps","BEST_FPERIOD_OVERRIDE=16bc")</f>
        <v>#NAME?</v>
      </c>
      <c r="BO48" s="113" t="e">
        <f ca="1">_xll.BDP("vrx us equity","best_eps","BEST_FPERIOD_OVERRIDE=17bc")</f>
        <v>#NAME?</v>
      </c>
      <c r="BP48" s="113" t="e">
        <f ca="1">_xll.BDP("vrx us equity","best_eps","BEST_FPERIOD_OVERRIDE=16bc")</f>
        <v>#NAME?</v>
      </c>
      <c r="BQ48" s="113" t="e">
        <f ca="1">_xll.BDP("vrx us equity","best_eps","BEST_FPERIOD_OVERRIDE=16bc")</f>
        <v>#NAME?</v>
      </c>
      <c r="BR48" s="113" t="e">
        <f ca="1">_xll.BDP("vrx us equity","best_eps","BEST_FPERIOD_OVERRIDE=16bc")</f>
        <v>#NAME?</v>
      </c>
      <c r="BS48" s="113" t="e">
        <f ca="1">_xll.BDP("vrx us equity","best_eps","BEST_FPERIOD_OVERRIDE=16bc")</f>
        <v>#NAME?</v>
      </c>
      <c r="BT48" s="113" t="e">
        <f ca="1">_xll.BDP("vrx us equity","best_eps","BEST_FPERIOD_OVERRIDE=18bc")</f>
        <v>#NAME?</v>
      </c>
      <c r="BU48" s="113" t="e">
        <f ca="1">_xll.BDP("vrx us equity","best_eps","BEST_FPERIOD_OVERRIDE=16bc")</f>
        <v>#NAME?</v>
      </c>
      <c r="BV48" s="113" t="e">
        <f ca="1">_xll.BDP("vrx us equity","best_eps","BEST_FPERIOD_OVERRIDE=16bc")</f>
        <v>#NAME?</v>
      </c>
      <c r="BW48" s="113" t="e">
        <f ca="1">_xll.BDP("vrx us equity","best_eps","BEST_FPERIOD_OVERRIDE=16bc")</f>
        <v>#NAME?</v>
      </c>
      <c r="BX48" s="113" t="e">
        <f ca="1">_xll.BDP("vrx us equity","best_eps","BEST_FPERIOD_OVERRIDE=16bc")</f>
        <v>#NAME?</v>
      </c>
      <c r="BY48" s="113" t="e">
        <f ca="1">_xll.BDP("vrx us equity","best_eps","BEST_FPERIOD_OVERRIDE=19bc")</f>
        <v>#NAME?</v>
      </c>
      <c r="BZ48" s="113" t="e">
        <f ca="1">_xll.BDP("vrx us equity","best_eps","BEST_FPERIOD_OVERRIDE=16bc")</f>
        <v>#NAME?</v>
      </c>
      <c r="CA48" s="113" t="e">
        <f ca="1">_xll.BDP("vrx us equity","best_eps","BEST_FPERIOD_OVERRIDE=16bc")</f>
        <v>#NAME?</v>
      </c>
      <c r="CB48" s="113" t="e">
        <f ca="1">_xll.BDP("vrx us equity","best_eps","BEST_FPERIOD_OVERRIDE=16bc")</f>
        <v>#NAME?</v>
      </c>
      <c r="CC48" s="113" t="e">
        <f ca="1">_xll.BDP("vrx us equity","best_eps","BEST_FPERIOD_OVERRIDE=16bc")</f>
        <v>#NAME?</v>
      </c>
      <c r="CD48" s="113" t="e">
        <f ca="1">_xll.BDP("vrx us equity","best_eps","BEST_FPERIOD_OVERRIDE=20bc")</f>
        <v>#NAME?</v>
      </c>
      <c r="CF48" s="100"/>
    </row>
    <row r="49" spans="1:84" s="96" customFormat="1" hidden="1" outlineLevel="1">
      <c r="A49" s="94"/>
      <c r="B49" s="108" t="s">
        <v>70</v>
      </c>
      <c r="C49" s="94"/>
      <c r="D49" s="94"/>
      <c r="E49" s="94"/>
      <c r="F49" s="94"/>
      <c r="G49" s="94"/>
      <c r="H49" s="94"/>
      <c r="I49" s="94"/>
      <c r="J49" s="94"/>
      <c r="K49" s="94"/>
      <c r="L49" s="94"/>
      <c r="M49" s="94"/>
      <c r="N49" s="94"/>
      <c r="O49" s="94"/>
      <c r="P49" s="94"/>
      <c r="Q49" s="94"/>
      <c r="R49" s="94"/>
      <c r="S49" s="94"/>
      <c r="T49" s="94"/>
      <c r="U49" s="94"/>
      <c r="V49" s="94"/>
      <c r="W49" s="94"/>
      <c r="X49" s="94"/>
      <c r="Y49" s="94"/>
      <c r="Z49" s="94"/>
      <c r="AA49" s="94"/>
      <c r="AB49" s="94"/>
      <c r="AC49" s="94"/>
      <c r="AD49" s="94"/>
      <c r="AE49" s="94"/>
      <c r="AF49" s="94"/>
      <c r="AG49" s="94"/>
      <c r="AH49" s="69"/>
      <c r="AI49" s="69"/>
      <c r="AO49" s="104"/>
      <c r="AR49" s="94"/>
      <c r="AS49" s="94"/>
      <c r="AT49" s="109"/>
      <c r="AY49" s="109"/>
      <c r="AZ49" s="108"/>
      <c r="BA49" s="109"/>
      <c r="BB49" s="109"/>
      <c r="BC49" s="109"/>
      <c r="BD49" s="109">
        <f>BD10</f>
        <v>2784.1</v>
      </c>
      <c r="BE49" s="108">
        <f t="shared" ref="BE49:CD49" si="19">BE10</f>
        <v>10494.2</v>
      </c>
      <c r="BF49" s="109">
        <f t="shared" si="19"/>
        <v>2379.2960000000003</v>
      </c>
      <c r="BG49" s="109">
        <f t="shared" si="19"/>
        <v>2743.1110000000003</v>
      </c>
      <c r="BH49" s="109">
        <f t="shared" si="19"/>
        <v>2828.2669999999998</v>
      </c>
      <c r="BI49" s="109">
        <f t="shared" si="19"/>
        <v>3016.0770000000002</v>
      </c>
      <c r="BJ49" s="108">
        <f t="shared" si="19"/>
        <v>10966.751</v>
      </c>
      <c r="BK49" s="109">
        <f t="shared" si="19"/>
        <v>0</v>
      </c>
      <c r="BL49" s="109">
        <f t="shared" si="19"/>
        <v>0</v>
      </c>
      <c r="BM49" s="109">
        <f t="shared" si="19"/>
        <v>0</v>
      </c>
      <c r="BN49" s="109">
        <f t="shared" si="19"/>
        <v>0</v>
      </c>
      <c r="BO49" s="108">
        <f t="shared" si="19"/>
        <v>11740.723020000001</v>
      </c>
      <c r="BP49" s="109">
        <f t="shared" si="19"/>
        <v>0</v>
      </c>
      <c r="BQ49" s="109">
        <f t="shared" si="19"/>
        <v>0</v>
      </c>
      <c r="BR49" s="109">
        <f t="shared" si="19"/>
        <v>0</v>
      </c>
      <c r="BS49" s="109">
        <f t="shared" si="19"/>
        <v>0</v>
      </c>
      <c r="BT49" s="108">
        <f t="shared" si="19"/>
        <v>12447.6115627</v>
      </c>
      <c r="BU49" s="109">
        <f t="shared" si="19"/>
        <v>0</v>
      </c>
      <c r="BV49" s="109">
        <f t="shared" si="19"/>
        <v>0</v>
      </c>
      <c r="BW49" s="109">
        <f t="shared" si="19"/>
        <v>0</v>
      </c>
      <c r="BX49" s="109">
        <f t="shared" si="19"/>
        <v>0</v>
      </c>
      <c r="BY49" s="108">
        <f t="shared" si="19"/>
        <v>13185.359670699003</v>
      </c>
      <c r="BZ49" s="109">
        <f t="shared" si="19"/>
        <v>0</v>
      </c>
      <c r="CA49" s="109">
        <f t="shared" si="19"/>
        <v>0</v>
      </c>
      <c r="CB49" s="109">
        <f t="shared" si="19"/>
        <v>0</v>
      </c>
      <c r="CC49" s="109">
        <f t="shared" si="19"/>
        <v>0</v>
      </c>
      <c r="CD49" s="108">
        <f t="shared" si="19"/>
        <v>13762.726328055631</v>
      </c>
      <c r="CF49" s="100"/>
    </row>
    <row r="50" spans="1:84" s="96" customFormat="1" hidden="1" outlineLevel="1">
      <c r="A50" s="94"/>
      <c r="B50" s="115" t="s">
        <v>71</v>
      </c>
      <c r="C50" s="94"/>
      <c r="D50" s="94"/>
      <c r="E50" s="94"/>
      <c r="F50" s="94"/>
      <c r="G50" s="94"/>
      <c r="H50" s="94"/>
      <c r="I50" s="94"/>
      <c r="J50" s="94"/>
      <c r="K50" s="94"/>
      <c r="L50" s="94"/>
      <c r="M50" s="94"/>
      <c r="N50" s="94"/>
      <c r="O50" s="94"/>
      <c r="P50" s="94"/>
      <c r="Q50" s="94"/>
      <c r="R50" s="94"/>
      <c r="S50" s="94"/>
      <c r="T50" s="94"/>
      <c r="U50" s="94"/>
      <c r="V50" s="94"/>
      <c r="W50" s="94"/>
      <c r="X50" s="94"/>
      <c r="Y50" s="94"/>
      <c r="Z50" s="94"/>
      <c r="AA50" s="94"/>
      <c r="AB50" s="94"/>
      <c r="AC50" s="94"/>
      <c r="AD50" s="94"/>
      <c r="AE50" s="94"/>
      <c r="AF50" s="94"/>
      <c r="AG50" s="94"/>
      <c r="AR50" s="101"/>
      <c r="AS50" s="101"/>
      <c r="AT50" s="116"/>
      <c r="AY50" s="116"/>
      <c r="AZ50" s="115"/>
      <c r="BA50" s="116" t="s">
        <v>39</v>
      </c>
      <c r="BB50" s="116"/>
      <c r="BC50" s="116"/>
      <c r="BD50" s="116" t="e">
        <f ca="1">_xll.BDP("vrx us equity","best_sales","BEST_FPERIOD_OVERRIDE=1Fq")</f>
        <v>#NAME?</v>
      </c>
      <c r="BE50" s="115" t="e">
        <f ca="1">_xll.BDP("vrx us equity","best_sales","BEST_FPERIOD_OVERRIDE=15bc")</f>
        <v>#NAME?</v>
      </c>
      <c r="BF50" s="116" t="e">
        <f ca="1">_xll.BDP("vrx us equity","best_sales","BEST_FPERIOD_OVERRIDE=2Fq")</f>
        <v>#NAME?</v>
      </c>
      <c r="BG50" s="116" t="e">
        <f ca="1">_xll.BDP("vrx us equity","best_sales","BEST_FPERIOD_OVERRIDE=3Fq")</f>
        <v>#NAME?</v>
      </c>
      <c r="BH50" s="116" t="e">
        <f ca="1">_xll.BDP("vrx us equity","best_sales","BEST_FPERIOD_OVERRIDE=4Fq")</f>
        <v>#NAME?</v>
      </c>
      <c r="BI50" s="116"/>
      <c r="BJ50" s="115" t="e">
        <f ca="1">_xll.BDP("vrx us equity","best_sales","BEST_FPERIOD_OVERRIDE=16bc")</f>
        <v>#NAME?</v>
      </c>
      <c r="BK50" s="115" t="e">
        <f ca="1">_xll.BDP("vrx us equity","best_sales","BEST_FPERIOD_OVERRIDE=16bc")</f>
        <v>#NAME?</v>
      </c>
      <c r="BL50" s="115" t="e">
        <f ca="1">_xll.BDP("vrx us equity","best_sales","BEST_FPERIOD_OVERRIDE=16bc")</f>
        <v>#NAME?</v>
      </c>
      <c r="BM50" s="115" t="e">
        <f ca="1">_xll.BDP("vrx us equity","best_sales","BEST_FPERIOD_OVERRIDE=16bc")</f>
        <v>#NAME?</v>
      </c>
      <c r="BN50" s="115" t="e">
        <f ca="1">_xll.BDP("vrx us equity","best_sales","BEST_FPERIOD_OVERRIDE=16bc")</f>
        <v>#NAME?</v>
      </c>
      <c r="BO50" s="115" t="e">
        <f ca="1">_xll.BDP("vrx us equity","best_sales","BEST_FPERIOD_OVERRIDE=17bc")</f>
        <v>#NAME?</v>
      </c>
      <c r="BP50" s="115" t="e">
        <f ca="1">_xll.BDP("vrx us equity","best_sales","BEST_FPERIOD_OVERRIDE=16bc")</f>
        <v>#NAME?</v>
      </c>
      <c r="BQ50" s="115" t="e">
        <f ca="1">_xll.BDP("vrx us equity","best_sales","BEST_FPERIOD_OVERRIDE=16bc")</f>
        <v>#NAME?</v>
      </c>
      <c r="BR50" s="115" t="e">
        <f ca="1">_xll.BDP("vrx us equity","best_sales","BEST_FPERIOD_OVERRIDE=16bc")</f>
        <v>#NAME?</v>
      </c>
      <c r="BS50" s="115" t="e">
        <f ca="1">_xll.BDP("vrx us equity","best_sales","BEST_FPERIOD_OVERRIDE=16bc")</f>
        <v>#NAME?</v>
      </c>
      <c r="BT50" s="115" t="e">
        <f ca="1">_xll.BDP("vrx us equity","best_sales","BEST_FPERIOD_OVERRIDE=18bc")</f>
        <v>#NAME?</v>
      </c>
      <c r="BU50" s="115" t="e">
        <f ca="1">_xll.BDP("vrx us equity","best_sales","BEST_FPERIOD_OVERRIDE=16bc")</f>
        <v>#NAME?</v>
      </c>
      <c r="BV50" s="115" t="e">
        <f ca="1">_xll.BDP("vrx us equity","best_sales","BEST_FPERIOD_OVERRIDE=16bc")</f>
        <v>#NAME?</v>
      </c>
      <c r="BW50" s="115" t="e">
        <f ca="1">_xll.BDP("vrx us equity","best_sales","BEST_FPERIOD_OVERRIDE=16bc")</f>
        <v>#NAME?</v>
      </c>
      <c r="BX50" s="115" t="e">
        <f ca="1">_xll.BDP("vrx us equity","best_sales","BEST_FPERIOD_OVERRIDE=16bc")</f>
        <v>#NAME?</v>
      </c>
      <c r="BY50" s="115" t="e">
        <f ca="1">_xll.BDP("vrx us equity","best_sales","BEST_FPERIOD_OVERRIDE=17bc")</f>
        <v>#NAME?</v>
      </c>
      <c r="BZ50" s="115" t="e">
        <f ca="1">_xll.BDP("vrx us equity","best_sales","BEST_FPERIOD_OVERRIDE=16bc")</f>
        <v>#NAME?</v>
      </c>
      <c r="CA50" s="115" t="e">
        <f ca="1">_xll.BDP("vrx us equity","best_sales","BEST_FPERIOD_OVERRIDE=16bc")</f>
        <v>#NAME?</v>
      </c>
      <c r="CB50" s="115" t="e">
        <f ca="1">_xll.BDP("vrx us equity","best_sales","BEST_FPERIOD_OVERRIDE=16bc")</f>
        <v>#NAME?</v>
      </c>
      <c r="CC50" s="115" t="e">
        <f ca="1">_xll.BDP("vrx us equity","best_sales","BEST_FPERIOD_OVERRIDE=16bc")</f>
        <v>#NAME?</v>
      </c>
      <c r="CD50" s="115" t="e">
        <f ca="1">_xll.BDP("vrx us equity","best_sales","BEST_FPERIOD_OVERRIDE=18bc")</f>
        <v>#NAME?</v>
      </c>
      <c r="CF50" s="100"/>
    </row>
    <row r="51" spans="1:84" s="91" customFormat="1" ht="4.5" customHeight="1" collapsed="1">
      <c r="B51" s="69"/>
      <c r="G51" s="92"/>
      <c r="L51" s="92"/>
      <c r="Q51" s="92"/>
      <c r="V51" s="92"/>
      <c r="AA51" s="92"/>
      <c r="AF51" s="92"/>
      <c r="AK51" s="92"/>
      <c r="AP51" s="92"/>
      <c r="AU51" s="92" t="s">
        <v>39</v>
      </c>
    </row>
    <row r="52" spans="1:84" s="28" customFormat="1">
      <c r="B52" s="34" t="s">
        <v>72</v>
      </c>
      <c r="C52" s="35"/>
      <c r="D52" s="36"/>
      <c r="E52" s="36"/>
      <c r="F52" s="36"/>
      <c r="G52" s="34"/>
      <c r="H52" s="35"/>
      <c r="I52" s="36"/>
      <c r="J52" s="36"/>
      <c r="K52" s="36"/>
      <c r="L52" s="34"/>
      <c r="M52" s="35"/>
      <c r="N52" s="36"/>
      <c r="O52" s="36"/>
      <c r="P52" s="36"/>
      <c r="Q52" s="34"/>
      <c r="R52" s="35"/>
      <c r="S52" s="36"/>
      <c r="T52" s="36"/>
      <c r="U52" s="36"/>
      <c r="V52" s="34"/>
      <c r="W52" s="35"/>
      <c r="X52" s="36"/>
      <c r="Y52" s="36"/>
      <c r="Z52" s="36"/>
      <c r="AA52" s="34"/>
      <c r="AB52" s="35"/>
      <c r="AC52" s="36"/>
      <c r="AD52" s="36"/>
      <c r="AE52" s="36"/>
      <c r="AF52" s="34"/>
      <c r="AG52" s="35"/>
      <c r="AH52" s="36"/>
      <c r="AI52" s="36"/>
      <c r="AJ52" s="36"/>
      <c r="AK52" s="34"/>
      <c r="AL52" s="35"/>
      <c r="AM52" s="36"/>
      <c r="AN52" s="36"/>
      <c r="AO52" s="36"/>
      <c r="AP52" s="34"/>
      <c r="AQ52" s="35"/>
      <c r="AR52" s="36"/>
      <c r="AS52" s="36"/>
      <c r="AT52" s="36"/>
      <c r="AU52" s="34"/>
      <c r="AV52" s="35"/>
      <c r="AW52" s="36"/>
      <c r="AX52" s="36"/>
      <c r="AY52" s="36"/>
      <c r="AZ52" s="34"/>
      <c r="BA52" s="35"/>
      <c r="BB52" s="36"/>
      <c r="BC52" s="36"/>
      <c r="BD52" s="36"/>
      <c r="BE52" s="117"/>
      <c r="BF52" s="36"/>
      <c r="BG52" s="36"/>
      <c r="BH52" s="36"/>
      <c r="BI52" s="36"/>
      <c r="BJ52" s="118"/>
      <c r="BK52" s="35"/>
      <c r="BL52" s="36"/>
      <c r="BM52" s="36"/>
      <c r="BN52" s="36"/>
      <c r="BO52" s="117"/>
      <c r="BP52" s="35"/>
      <c r="BQ52" s="36"/>
      <c r="BR52" s="36"/>
      <c r="BS52" s="36"/>
      <c r="BT52" s="117"/>
      <c r="BU52" s="35"/>
      <c r="BV52" s="36"/>
      <c r="BW52" s="36"/>
      <c r="BX52" s="36"/>
      <c r="BY52" s="117"/>
      <c r="BZ52" s="35"/>
      <c r="CA52" s="36"/>
      <c r="CB52" s="36"/>
      <c r="CC52" s="36"/>
      <c r="CD52" s="117"/>
      <c r="CF52" s="37"/>
    </row>
    <row r="53" spans="1:84" s="119" customFormat="1">
      <c r="B53" s="70" t="s">
        <v>73</v>
      </c>
      <c r="C53" s="120">
        <f t="shared" ref="C53:BI53" si="20">C$12/C$10</f>
        <v>0.7598381841938594</v>
      </c>
      <c r="D53" s="92">
        <f t="shared" si="20"/>
        <v>0.72002852017112096</v>
      </c>
      <c r="E53" s="92">
        <f t="shared" si="20"/>
        <v>0.7985297878771439</v>
      </c>
      <c r="F53" s="92">
        <f t="shared" si="20"/>
        <v>0.81375385064704775</v>
      </c>
      <c r="G53" s="121">
        <f>G$12/G$10</f>
        <v>0.77778227753129792</v>
      </c>
      <c r="H53" s="120">
        <f t="shared" si="20"/>
        <v>0.77630904712887094</v>
      </c>
      <c r="I53" s="92">
        <f t="shared" si="20"/>
        <v>0.75546862020679884</v>
      </c>
      <c r="J53" s="92">
        <f t="shared" si="20"/>
        <v>0.79509034646626509</v>
      </c>
      <c r="K53" s="92">
        <f t="shared" si="20"/>
        <v>0.82837203557312256</v>
      </c>
      <c r="L53" s="121">
        <f>L$12/L$10</f>
        <v>0.79142928402686896</v>
      </c>
      <c r="M53" s="120">
        <f t="shared" si="20"/>
        <v>0.77159976518693951</v>
      </c>
      <c r="N53" s="92">
        <f t="shared" si="20"/>
        <v>0.73139533165539561</v>
      </c>
      <c r="O53" s="92">
        <f t="shared" si="20"/>
        <v>0.73287098311186405</v>
      </c>
      <c r="P53" s="92">
        <f t="shared" si="20"/>
        <v>0.69458939851689094</v>
      </c>
      <c r="Q53" s="121">
        <f t="shared" si="20"/>
        <v>0.7346046240113524</v>
      </c>
      <c r="R53" s="120">
        <f t="shared" si="20"/>
        <v>0.74227570528254461</v>
      </c>
      <c r="S53" s="92">
        <f t="shared" si="20"/>
        <v>0.76422257449152309</v>
      </c>
      <c r="T53" s="92">
        <f t="shared" si="20"/>
        <v>0.73787474667152608</v>
      </c>
      <c r="U53" s="92">
        <f t="shared" si="20"/>
        <v>0.71301295896328298</v>
      </c>
      <c r="V53" s="121">
        <f t="shared" si="20"/>
        <v>0.73960284107567831</v>
      </c>
      <c r="W53" s="120">
        <f>W$12/W$10</f>
        <v>0.74128629867469809</v>
      </c>
      <c r="X53" s="92">
        <f t="shared" si="20"/>
        <v>0.74135427700415957</v>
      </c>
      <c r="Y53" s="92">
        <f t="shared" si="20"/>
        <v>0.76158345214400314</v>
      </c>
      <c r="Z53" s="92">
        <f t="shared" si="20"/>
        <v>0.75630670433473135</v>
      </c>
      <c r="AA53" s="121">
        <f>AA$12/AA$10</f>
        <v>0.75097327011445225</v>
      </c>
      <c r="AB53" s="120">
        <f t="shared" si="20"/>
        <v>0.73157738976028419</v>
      </c>
      <c r="AC53" s="92">
        <f t="shared" si="20"/>
        <v>0.73235041571551229</v>
      </c>
      <c r="AD53" s="92">
        <f t="shared" si="20"/>
        <v>0.70162339688956965</v>
      </c>
      <c r="AE53" s="92">
        <f t="shared" si="20"/>
        <v>0.68842359745337789</v>
      </c>
      <c r="AF53" s="121">
        <f>AF$12/AF$10</f>
        <v>0.70765341670539816</v>
      </c>
      <c r="AG53" s="120">
        <f t="shared" si="20"/>
        <v>0.7313946614846043</v>
      </c>
      <c r="AH53" s="92">
        <f t="shared" si="20"/>
        <v>0.74183892994107181</v>
      </c>
      <c r="AI53" s="92">
        <f t="shared" si="20"/>
        <v>0.73316890016177028</v>
      </c>
      <c r="AJ53" s="92">
        <f t="shared" si="20"/>
        <v>0.75833644417265955</v>
      </c>
      <c r="AK53" s="122">
        <f>AK$12/AK$10</f>
        <v>0.74193921544592345</v>
      </c>
      <c r="AL53" s="120">
        <f t="shared" si="20"/>
        <v>0.73781542641481224</v>
      </c>
      <c r="AM53" s="92">
        <f t="shared" si="20"/>
        <v>0.75723030399102542</v>
      </c>
      <c r="AN53" s="92">
        <f t="shared" si="20"/>
        <v>0.76222996358042849</v>
      </c>
      <c r="AO53" s="92">
        <f t="shared" si="20"/>
        <v>0.75177457408701065</v>
      </c>
      <c r="AP53" s="122">
        <f>AP$12/AP$10</f>
        <v>0.75227300538596398</v>
      </c>
      <c r="AQ53" s="120">
        <f t="shared" si="20"/>
        <v>0.76941746891248686</v>
      </c>
      <c r="AR53" s="92">
        <f t="shared" si="20"/>
        <v>0.7639250129133881</v>
      </c>
      <c r="AS53" s="92">
        <f>AS$12/AS$10</f>
        <v>0.73020001543719359</v>
      </c>
      <c r="AT53" s="92">
        <f>AT$12/AT$10</f>
        <v>0.73444305700719603</v>
      </c>
      <c r="AU53" s="122">
        <f>AU$12/AU$10</f>
        <v>0.74538464938240989</v>
      </c>
      <c r="AV53" s="120">
        <f t="shared" si="20"/>
        <v>0.73555296363057998</v>
      </c>
      <c r="AW53" s="92">
        <f t="shared" si="20"/>
        <v>0.72176767429327315</v>
      </c>
      <c r="AX53" s="92">
        <f>AX$12/AX$10</f>
        <v>0.74039490321953128</v>
      </c>
      <c r="AY53" s="92">
        <f t="shared" si="20"/>
        <v>0.75495614035087721</v>
      </c>
      <c r="AZ53" s="122">
        <f>AZ$12/AZ$10</f>
        <v>0.73870635929085737</v>
      </c>
      <c r="BA53" s="92">
        <f t="shared" si="20"/>
        <v>0.7532064448400202</v>
      </c>
      <c r="BB53" s="92">
        <f t="shared" si="20"/>
        <v>0.76928707363489968</v>
      </c>
      <c r="BC53" s="92">
        <f>BC$12/BC$10</f>
        <v>0.78039328261805652</v>
      </c>
      <c r="BD53" s="92">
        <f t="shared" si="20"/>
        <v>0.75550447182213276</v>
      </c>
      <c r="BE53" s="122">
        <f>BE$12/BE$10</f>
        <v>0.76522269444073865</v>
      </c>
      <c r="BF53" s="92">
        <f t="shared" si="20"/>
        <v>0.74804910360039278</v>
      </c>
      <c r="BG53" s="92">
        <f t="shared" si="20"/>
        <v>0.76537285950149314</v>
      </c>
      <c r="BH53" s="92">
        <f t="shared" si="20"/>
        <v>0.76926006985903383</v>
      </c>
      <c r="BI53" s="123">
        <f t="shared" si="20"/>
        <v>0.76419677116996687</v>
      </c>
      <c r="BJ53" s="122">
        <f>BJ$12/BJ$10</f>
        <v>0.76229341990166455</v>
      </c>
      <c r="BO53" s="122">
        <f>BO$12/BO$10</f>
        <v>0.76484107324167172</v>
      </c>
      <c r="BT53" s="122">
        <f>BT$12/BT$10</f>
        <v>0.76914367692000118</v>
      </c>
      <c r="BY53" s="122">
        <f>BY$12/BY$10</f>
        <v>0.77444113789258129</v>
      </c>
      <c r="CD53" s="122">
        <f>CD$12/CD$10</f>
        <v>0.77912807614339785</v>
      </c>
      <c r="CF53" s="42"/>
    </row>
    <row r="54" spans="1:84" s="119" customFormat="1">
      <c r="B54" s="70" t="s">
        <v>74</v>
      </c>
      <c r="C54" s="120">
        <f t="shared" ref="C54:BA54" si="21">C$14/C10</f>
        <v>0.11689423203108507</v>
      </c>
      <c r="D54" s="92">
        <f t="shared" si="21"/>
        <v>0.10465982795896775</v>
      </c>
      <c r="E54" s="92">
        <f t="shared" si="21"/>
        <v>7.716482341179115E-2</v>
      </c>
      <c r="F54" s="92">
        <f t="shared" si="21"/>
        <v>9.1448955892272282E-2</v>
      </c>
      <c r="G54" s="120">
        <f t="shared" si="21"/>
        <v>9.5333909538613051E-2</v>
      </c>
      <c r="H54" s="120">
        <f t="shared" si="21"/>
        <v>0.10125020972869042</v>
      </c>
      <c r="I54" s="92">
        <f t="shared" si="21"/>
        <v>7.2790993884638819E-2</v>
      </c>
      <c r="J54" s="92">
        <f t="shared" si="21"/>
        <v>9.1002652373321558E-2</v>
      </c>
      <c r="K54" s="92">
        <f t="shared" si="21"/>
        <v>9.2310042646141038E-2</v>
      </c>
      <c r="L54" s="120">
        <f t="shared" si="21"/>
        <v>8.9188616095407056E-2</v>
      </c>
      <c r="M54" s="120">
        <f t="shared" si="21"/>
        <v>0.12032954798485862</v>
      </c>
      <c r="N54" s="92">
        <f t="shared" si="21"/>
        <v>0.1401143690248095</v>
      </c>
      <c r="O54" s="92">
        <f t="shared" si="21"/>
        <v>0.16239080946582668</v>
      </c>
      <c r="P54" s="92">
        <f t="shared" si="21"/>
        <v>0.14357319417742379</v>
      </c>
      <c r="Q54" s="120">
        <f t="shared" si="21"/>
        <v>0.14014532200308963</v>
      </c>
      <c r="R54" s="120">
        <f t="shared" si="21"/>
        <v>0.13636581645867107</v>
      </c>
      <c r="S54" s="92">
        <f t="shared" si="21"/>
        <v>0.11692415164297805</v>
      </c>
      <c r="T54" s="92">
        <f t="shared" si="21"/>
        <v>0.10308743214662404</v>
      </c>
      <c r="U54" s="92">
        <f t="shared" si="21"/>
        <v>8.8624542689646063E-2</v>
      </c>
      <c r="V54" s="120">
        <f t="shared" si="21"/>
        <v>0.11218498160274072</v>
      </c>
      <c r="W54" s="120">
        <f t="shared" si="21"/>
        <v>8.3822316076137077E-2</v>
      </c>
      <c r="X54" s="92">
        <f t="shared" si="21"/>
        <v>7.3774769421551659E-2</v>
      </c>
      <c r="Y54" s="92">
        <f t="shared" si="21"/>
        <v>7.0938204335530761E-2</v>
      </c>
      <c r="Z54" s="92">
        <f t="shared" si="21"/>
        <v>7.2797268650462765E-2</v>
      </c>
      <c r="AA54" s="120">
        <f t="shared" si="21"/>
        <v>7.487537023268287E-2</v>
      </c>
      <c r="AB54" s="120">
        <f t="shared" si="21"/>
        <v>7.2319985430373129E-2</v>
      </c>
      <c r="AC54" s="92">
        <f t="shared" si="21"/>
        <v>0.11333431066619197</v>
      </c>
      <c r="AD54" s="92">
        <f t="shared" si="21"/>
        <v>6.8652258879227143E-2</v>
      </c>
      <c r="AE54" s="92">
        <f t="shared" si="21"/>
        <v>3.5610730637977005E-2</v>
      </c>
      <c r="AF54" s="120">
        <f t="shared" si="21"/>
        <v>6.3971635888930942E-2</v>
      </c>
      <c r="AG54" s="120">
        <f t="shared" si="21"/>
        <v>2.4193576932742916E-2</v>
      </c>
      <c r="AH54" s="92">
        <f t="shared" si="21"/>
        <v>2.8248059115143578E-2</v>
      </c>
      <c r="AI54" s="92">
        <f t="shared" si="21"/>
        <v>2.8484551936250522E-2</v>
      </c>
      <c r="AJ54" s="92">
        <f t="shared" si="21"/>
        <v>2.418756254965844E-2</v>
      </c>
      <c r="AK54" s="120">
        <f t="shared" si="21"/>
        <v>2.6241233777567076E-2</v>
      </c>
      <c r="AL54" s="120">
        <f t="shared" si="21"/>
        <v>2.561724465397271E-2</v>
      </c>
      <c r="AM54" s="92">
        <f t="shared" si="21"/>
        <v>2.1596410150105473E-2</v>
      </c>
      <c r="AN54" s="92">
        <f t="shared" si="21"/>
        <v>2.1682086547379392E-2</v>
      </c>
      <c r="AO54" s="92">
        <f t="shared" si="21"/>
        <v>2.0445242945047768E-2</v>
      </c>
      <c r="AP54" s="122">
        <f t="shared" si="21"/>
        <v>2.2268206458758266E-2</v>
      </c>
      <c r="AQ54" s="120">
        <f t="shared" si="21"/>
        <v>2.2272559214867718E-2</v>
      </c>
      <c r="AR54" s="92">
        <f t="shared" si="21"/>
        <v>2.2330579085604357E-2</v>
      </c>
      <c r="AS54" s="92">
        <f t="shared" si="21"/>
        <v>3.1788295104658339E-2</v>
      </c>
      <c r="AT54" s="92">
        <f>AT$14/AT10</f>
        <v>2.8835759248787524E-2</v>
      </c>
      <c r="AU54" s="121">
        <f t="shared" si="21"/>
        <v>2.7173957315968771E-2</v>
      </c>
      <c r="AV54" s="120">
        <f t="shared" si="21"/>
        <v>3.2340154808609904E-2</v>
      </c>
      <c r="AW54" s="92">
        <f t="shared" si="21"/>
        <v>3.2384498554700894E-2</v>
      </c>
      <c r="AX54" s="92">
        <f t="shared" si="21"/>
        <v>2.8596440035016046E-2</v>
      </c>
      <c r="AY54" s="92">
        <f t="shared" si="21"/>
        <v>2.5789473684210529E-2</v>
      </c>
      <c r="AZ54" s="121">
        <f t="shared" si="21"/>
        <v>2.9612149815453501E-2</v>
      </c>
      <c r="BA54" s="92">
        <f t="shared" si="21"/>
        <v>2.5332055319731615E-2</v>
      </c>
      <c r="BB54" s="92">
        <f>BB$14/BB10</f>
        <v>2.9534475186649093E-2</v>
      </c>
      <c r="BC54" s="92">
        <f>BC$14/BC10</f>
        <v>3.6349935409789001E-2</v>
      </c>
      <c r="BD54" s="92">
        <f t="shared" ref="BD54" si="22">BD$14/BD10</f>
        <v>3.4301928810028373E-2</v>
      </c>
      <c r="BE54" s="124">
        <f>BE$14/BE10</f>
        <v>3.1731813763793332E-2</v>
      </c>
      <c r="BF54" s="125">
        <v>4.4999999999999998E-2</v>
      </c>
      <c r="BG54" s="125">
        <v>3.7999999999999999E-2</v>
      </c>
      <c r="BH54" s="125">
        <v>3.5999999999999997E-2</v>
      </c>
      <c r="BI54" s="126">
        <v>3.3000000000000002E-2</v>
      </c>
      <c r="BJ54" s="124">
        <f>BJ$14/BJ10</f>
        <v>3.7627797968605291E-2</v>
      </c>
      <c r="BK54" s="127"/>
      <c r="BL54" s="127"/>
      <c r="BM54" s="127"/>
      <c r="BN54" s="127"/>
      <c r="BO54" s="128">
        <v>3.5000000000000003E-2</v>
      </c>
      <c r="BP54" s="126"/>
      <c r="BQ54" s="126"/>
      <c r="BR54" s="126"/>
      <c r="BS54" s="126"/>
      <c r="BT54" s="126">
        <v>3.3000000000000002E-2</v>
      </c>
      <c r="BU54" s="127"/>
      <c r="BV54" s="127"/>
      <c r="BW54" s="127"/>
      <c r="BX54" s="127"/>
      <c r="BY54" s="128">
        <v>3.1E-2</v>
      </c>
      <c r="BZ54" s="126"/>
      <c r="CA54" s="126"/>
      <c r="CB54" s="126"/>
      <c r="CC54" s="126"/>
      <c r="CD54" s="126">
        <v>0.03</v>
      </c>
      <c r="CF54" s="42"/>
    </row>
    <row r="55" spans="1:84" s="119" customFormat="1">
      <c r="B55" s="70" t="s">
        <v>75</v>
      </c>
      <c r="C55" s="120">
        <f t="shared" ref="C55:BA55" si="23">C$15/C$10</f>
        <v>0.43138519122908126</v>
      </c>
      <c r="D55" s="92">
        <f t="shared" si="23"/>
        <v>0.2670362022172133</v>
      </c>
      <c r="E55" s="92">
        <f t="shared" si="23"/>
        <v>0.16431189887544662</v>
      </c>
      <c r="F55" s="92">
        <f t="shared" si="23"/>
        <v>0.1847302287093118</v>
      </c>
      <c r="G55" s="121">
        <f>G$15/G$10</f>
        <v>0.24425384435849917</v>
      </c>
      <c r="H55" s="120">
        <f t="shared" si="23"/>
        <v>0.25643583662475111</v>
      </c>
      <c r="I55" s="92">
        <f t="shared" si="23"/>
        <v>0.2637200066454119</v>
      </c>
      <c r="J55" s="92">
        <f t="shared" si="23"/>
        <v>0.17326076145217442</v>
      </c>
      <c r="K55" s="92">
        <f t="shared" si="23"/>
        <v>0.21145269918868315</v>
      </c>
      <c r="L55" s="121">
        <f>L$15/L$10</f>
        <v>0.22273193906937599</v>
      </c>
      <c r="M55" s="120">
        <f t="shared" si="23"/>
        <v>0.2007813607012004</v>
      </c>
      <c r="N55" s="92">
        <f t="shared" si="23"/>
        <v>0.22819132430661934</v>
      </c>
      <c r="O55" s="92">
        <f t="shared" si="23"/>
        <v>0.17819895177087194</v>
      </c>
      <c r="P55" s="92">
        <f t="shared" si="23"/>
        <v>0.15408835877113825</v>
      </c>
      <c r="Q55" s="121">
        <f>Q$15/Q$10</f>
        <v>0.19102700701693606</v>
      </c>
      <c r="R55" s="120">
        <f t="shared" si="23"/>
        <v>0.20910032710145901</v>
      </c>
      <c r="S55" s="92">
        <f t="shared" si="23"/>
        <v>0.24270936887073807</v>
      </c>
      <c r="T55" s="92">
        <f t="shared" si="23"/>
        <v>0.24260446520771553</v>
      </c>
      <c r="U55" s="92">
        <f t="shared" si="23"/>
        <v>0.23482060210693351</v>
      </c>
      <c r="V55" s="121">
        <f>V$15/V$10</f>
        <v>0.23153868707226041</v>
      </c>
      <c r="W55" s="120">
        <f t="shared" si="23"/>
        <v>0.24142765651775053</v>
      </c>
      <c r="X55" s="92">
        <f t="shared" si="23"/>
        <v>0.24451907923631386</v>
      </c>
      <c r="Y55" s="92">
        <f t="shared" si="23"/>
        <v>0.20959613782978784</v>
      </c>
      <c r="Z55" s="92">
        <f t="shared" si="23"/>
        <v>0.1700953732166785</v>
      </c>
      <c r="AA55" s="121">
        <f>AA$15/AA$10</f>
        <v>0.21295296368977248</v>
      </c>
      <c r="AB55" s="120">
        <f t="shared" si="23"/>
        <v>0.1981150545222756</v>
      </c>
      <c r="AC55" s="92">
        <f t="shared" si="23"/>
        <v>0.18887934825860228</v>
      </c>
      <c r="AD55" s="92">
        <f t="shared" si="23"/>
        <v>0.28898961429319092</v>
      </c>
      <c r="AE55" s="92">
        <f t="shared" si="23"/>
        <v>0.20530585116720176</v>
      </c>
      <c r="AF55" s="121">
        <f>AF$15/AF$10</f>
        <v>0.21540351385146259</v>
      </c>
      <c r="AG55" s="120">
        <f t="shared" si="23"/>
        <v>0.20559938834673092</v>
      </c>
      <c r="AH55" s="92">
        <f t="shared" si="23"/>
        <v>0.21605974528501598</v>
      </c>
      <c r="AI55" s="92">
        <f t="shared" si="23"/>
        <v>0.20674309147676964</v>
      </c>
      <c r="AJ55" s="92">
        <f t="shared" si="23"/>
        <v>0.19642008967932453</v>
      </c>
      <c r="AK55" s="121">
        <f>AK$15/AK$10</f>
        <v>0.20590059414267381</v>
      </c>
      <c r="AL55" s="120">
        <f t="shared" si="23"/>
        <v>0.19390190199076518</v>
      </c>
      <c r="AM55" s="92">
        <f t="shared" si="23"/>
        <v>0.21349364094184783</v>
      </c>
      <c r="AN55" s="92">
        <f t="shared" si="23"/>
        <v>0.20303458728255711</v>
      </c>
      <c r="AO55" s="92">
        <f t="shared" si="23"/>
        <v>0.20144115389645864</v>
      </c>
      <c r="AP55" s="122">
        <f>AP$15/AP$10</f>
        <v>0.20280542690433098</v>
      </c>
      <c r="AQ55" s="120">
        <f t="shared" si="23"/>
        <v>0.22669337439334294</v>
      </c>
      <c r="AR55" s="92">
        <f t="shared" si="23"/>
        <v>0.21881485213029839</v>
      </c>
      <c r="AS55" s="92">
        <f t="shared" si="23"/>
        <v>0.22806313163580419</v>
      </c>
      <c r="AT55" s="92">
        <f t="shared" si="23"/>
        <v>0.2179932036572135</v>
      </c>
      <c r="AU55" s="121">
        <f>AU$15/AU$10</f>
        <v>0.22245110367174184</v>
      </c>
      <c r="AV55" s="120">
        <f t="shared" si="23"/>
        <v>0.25235924080161171</v>
      </c>
      <c r="AW55" s="92">
        <f t="shared" si="23"/>
        <v>0.25064915976679242</v>
      </c>
      <c r="AX55" s="92">
        <f t="shared" si="23"/>
        <v>0.24355607431183735</v>
      </c>
      <c r="AY55" s="92">
        <f t="shared" si="23"/>
        <v>0.23026315789473684</v>
      </c>
      <c r="AZ55" s="121">
        <f>AZ$15/AZ$10</f>
        <v>0.24364978519997582</v>
      </c>
      <c r="BA55" s="92">
        <f t="shared" si="23"/>
        <v>0.25779360080332281</v>
      </c>
      <c r="BB55" s="92">
        <f>BB$15/BB$10</f>
        <v>0.2524886546625677</v>
      </c>
      <c r="BC55" s="92">
        <f>BC$15/BC$10</f>
        <v>0.24174680637290083</v>
      </c>
      <c r="BD55" s="92">
        <f t="shared" ref="BD55" si="24">BD$15/BD$10</f>
        <v>0.24348981717610718</v>
      </c>
      <c r="BE55" s="121">
        <f>BE$15/BE$10</f>
        <v>0.24835623487259625</v>
      </c>
      <c r="BF55" s="129">
        <v>0.3</v>
      </c>
      <c r="BG55" s="129">
        <v>0.25</v>
      </c>
      <c r="BH55" s="129">
        <v>0.24</v>
      </c>
      <c r="BI55" s="130">
        <v>0.22500000000000001</v>
      </c>
      <c r="BJ55" s="121">
        <f>BJ$15/BJ$10</f>
        <v>0.25139332104832141</v>
      </c>
      <c r="BO55" s="131">
        <v>0.25</v>
      </c>
      <c r="BP55" s="130"/>
      <c r="BQ55" s="130"/>
      <c r="BR55" s="130"/>
      <c r="BS55" s="130"/>
      <c r="BT55" s="130">
        <v>0.248</v>
      </c>
      <c r="BY55" s="131">
        <v>0.245</v>
      </c>
      <c r="BZ55" s="130"/>
      <c r="CA55" s="130"/>
      <c r="CB55" s="130"/>
      <c r="CC55" s="130"/>
      <c r="CD55" s="130">
        <v>0.245</v>
      </c>
      <c r="CF55" s="42"/>
    </row>
    <row r="56" spans="1:84" s="119" customFormat="1">
      <c r="B56" s="70" t="s">
        <v>76</v>
      </c>
      <c r="C56" s="120">
        <f>C$20/C$10</f>
        <v>0.12007234923913468</v>
      </c>
      <c r="D56" s="92">
        <f>D$20/D$10</f>
        <v>0.2771378628271769</v>
      </c>
      <c r="E56" s="92">
        <f>E$20/E$10</f>
        <v>0.4972099295507213</v>
      </c>
      <c r="F56" s="92">
        <f>F$20/F$10</f>
        <v>0.48388465095579486</v>
      </c>
      <c r="G56" s="121">
        <f t="shared" ref="G56:AD56" si="25">G$19/G$10</f>
        <v>0.37169716611444031</v>
      </c>
      <c r="H56" s="120">
        <f t="shared" si="25"/>
        <v>0.35140098765208166</v>
      </c>
      <c r="I56" s="92">
        <f t="shared" si="25"/>
        <v>0.36031581528919393</v>
      </c>
      <c r="J56" s="92">
        <f t="shared" si="25"/>
        <v>0.47963060175719735</v>
      </c>
      <c r="K56" s="92">
        <f t="shared" si="25"/>
        <v>0.48565568441855644</v>
      </c>
      <c r="L56" s="121">
        <f t="shared" si="25"/>
        <v>0.4267712504752324</v>
      </c>
      <c r="M56" s="120">
        <f t="shared" si="25"/>
        <v>0.40198376551081966</v>
      </c>
      <c r="N56" s="92">
        <f t="shared" si="25"/>
        <v>0.30407285730469347</v>
      </c>
      <c r="O56" s="92">
        <f t="shared" si="25"/>
        <v>0.32886335962729624</v>
      </c>
      <c r="P56" s="92">
        <f t="shared" si="25"/>
        <v>0.3375495350570879</v>
      </c>
      <c r="Q56" s="121">
        <f t="shared" si="25"/>
        <v>0.346422359275668</v>
      </c>
      <c r="R56" s="120">
        <f t="shared" si="25"/>
        <v>0.34072269278362372</v>
      </c>
      <c r="S56" s="92">
        <f t="shared" si="25"/>
        <v>0.34176630215750015</v>
      </c>
      <c r="T56" s="92">
        <f t="shared" si="25"/>
        <v>0.32402851636488128</v>
      </c>
      <c r="U56" s="92">
        <f t="shared" si="25"/>
        <v>0.30338409661920923</v>
      </c>
      <c r="V56" s="121">
        <f t="shared" si="25"/>
        <v>0.32803647226940025</v>
      </c>
      <c r="W56" s="120">
        <f t="shared" si="25"/>
        <v>0.32658854482197558</v>
      </c>
      <c r="X56" s="92">
        <f t="shared" si="25"/>
        <v>0.31053297853101514</v>
      </c>
      <c r="Y56" s="92">
        <f t="shared" si="25"/>
        <v>0.32520244867614323</v>
      </c>
      <c r="Z56" s="92">
        <f t="shared" si="25"/>
        <v>0.37100554649807299</v>
      </c>
      <c r="AA56" s="121">
        <f t="shared" si="25"/>
        <v>0.33549236376046704</v>
      </c>
      <c r="AB56" s="120">
        <f t="shared" si="25"/>
        <v>0.31089307259771903</v>
      </c>
      <c r="AC56" s="92">
        <f t="shared" si="25"/>
        <v>0.29065739596640766</v>
      </c>
      <c r="AD56" s="92">
        <f t="shared" si="25"/>
        <v>-0.60633081573172853</v>
      </c>
      <c r="AE56" s="92">
        <f t="shared" ref="AE56:BJ56" si="26">AE$20/AE$10</f>
        <v>0.44750701564819922</v>
      </c>
      <c r="AF56" s="121">
        <f t="shared" si="26"/>
        <v>0.29077556846321279</v>
      </c>
      <c r="AG56" s="120">
        <f t="shared" si="26"/>
        <v>0.5016016962051304</v>
      </c>
      <c r="AH56" s="92">
        <f t="shared" si="26"/>
        <v>0.49753112554091222</v>
      </c>
      <c r="AI56" s="92">
        <f t="shared" si="26"/>
        <v>0.49794125674875006</v>
      </c>
      <c r="AJ56" s="92">
        <f t="shared" si="26"/>
        <v>0.53772879194367662</v>
      </c>
      <c r="AK56" s="121">
        <f t="shared" si="26"/>
        <v>0.50979738752568271</v>
      </c>
      <c r="AL56" s="120">
        <f t="shared" si="26"/>
        <v>0.51829627977007431</v>
      </c>
      <c r="AM56" s="92">
        <f t="shared" si="26"/>
        <v>0.52214025289907207</v>
      </c>
      <c r="AN56" s="92">
        <f t="shared" si="26"/>
        <v>0.53751328975049195</v>
      </c>
      <c r="AO56" s="92">
        <f t="shared" si="26"/>
        <v>0.52988817724550419</v>
      </c>
      <c r="AP56" s="121">
        <f t="shared" si="26"/>
        <v>0.5271993720228747</v>
      </c>
      <c r="AQ56" s="120">
        <f t="shared" si="26"/>
        <v>0.52045153530427624</v>
      </c>
      <c r="AR56" s="92">
        <f t="shared" si="26"/>
        <v>0.52277958169748528</v>
      </c>
      <c r="AS56" s="92">
        <f t="shared" si="26"/>
        <v>0.47034858869673102</v>
      </c>
      <c r="AT56" s="92">
        <f t="shared" si="26"/>
        <v>0.48761409410119505</v>
      </c>
      <c r="AU56" s="121">
        <f t="shared" si="26"/>
        <v>0.49575958839469936</v>
      </c>
      <c r="AV56" s="120">
        <f t="shared" si="26"/>
        <v>0.45085356802035836</v>
      </c>
      <c r="AW56" s="92">
        <f t="shared" si="26"/>
        <v>0.43873401597177986</v>
      </c>
      <c r="AX56" s="92">
        <f t="shared" si="26"/>
        <v>0.46824238887267783</v>
      </c>
      <c r="AY56" s="92">
        <f t="shared" si="26"/>
        <v>0.49890350877192985</v>
      </c>
      <c r="AZ56" s="121">
        <f t="shared" si="26"/>
        <v>0.46544442427542815</v>
      </c>
      <c r="BA56" s="92">
        <f t="shared" si="26"/>
        <v>0.47008078871696574</v>
      </c>
      <c r="BB56" s="92">
        <f>BB$20/BB$10</f>
        <v>0.48726394378568294</v>
      </c>
      <c r="BC56" s="92">
        <f>BC$20/BC$10</f>
        <v>0.50229654083536679</v>
      </c>
      <c r="BD56" s="92">
        <f t="shared" si="26"/>
        <v>0.47771272583599711</v>
      </c>
      <c r="BE56" s="121">
        <f t="shared" si="26"/>
        <v>0.48513464580434906</v>
      </c>
      <c r="BF56" s="92">
        <f t="shared" si="26"/>
        <v>0.40304910360039276</v>
      </c>
      <c r="BG56" s="92">
        <f t="shared" si="26"/>
        <v>0.47737285950149316</v>
      </c>
      <c r="BH56" s="92">
        <f t="shared" si="26"/>
        <v>0.49326006985903392</v>
      </c>
      <c r="BI56" s="92">
        <f t="shared" si="26"/>
        <v>0.50619677116996686</v>
      </c>
      <c r="BJ56" s="121">
        <f t="shared" si="26"/>
        <v>0.47327230088473787</v>
      </c>
      <c r="BK56" s="120"/>
      <c r="BL56" s="92"/>
      <c r="BM56" s="92"/>
      <c r="BN56" s="92"/>
      <c r="BO56" s="121">
        <f>BO$20/BO$10</f>
        <v>0.4798410732416718</v>
      </c>
      <c r="BP56" s="120"/>
      <c r="BQ56" s="92"/>
      <c r="BR56" s="92"/>
      <c r="BS56" s="92"/>
      <c r="BT56" s="121">
        <f>BT$20/BT$10</f>
        <v>0.48814367692000116</v>
      </c>
      <c r="BU56" s="120"/>
      <c r="BV56" s="92"/>
      <c r="BW56" s="92"/>
      <c r="BX56" s="92"/>
      <c r="BY56" s="121">
        <f>BY$20/BY$10</f>
        <v>0.49844113789258127</v>
      </c>
      <c r="BZ56" s="120"/>
      <c r="CA56" s="92"/>
      <c r="CB56" s="92"/>
      <c r="CC56" s="92"/>
      <c r="CD56" s="121">
        <f>CD$20/CD$10</f>
        <v>0.50412807614339794</v>
      </c>
      <c r="CF56" s="42"/>
    </row>
    <row r="57" spans="1:84" s="119" customFormat="1">
      <c r="B57" s="70" t="s">
        <v>77</v>
      </c>
      <c r="C57" s="120">
        <f t="shared" ref="C57:BJ57" si="27">C$26/C$10</f>
        <v>7.1464843861440835E-2</v>
      </c>
      <c r="D57" s="92">
        <f t="shared" si="27"/>
        <v>0.23729242375454249</v>
      </c>
      <c r="E57" s="92">
        <f t="shared" si="27"/>
        <v>0.46983623836501881</v>
      </c>
      <c r="F57" s="92">
        <f t="shared" si="27"/>
        <v>0.46404556106448214</v>
      </c>
      <c r="G57" s="121">
        <f t="shared" si="27"/>
        <v>0.33977745403235343</v>
      </c>
      <c r="H57" s="120">
        <f t="shared" si="27"/>
        <v>0.33404225409594468</v>
      </c>
      <c r="I57" s="92">
        <f t="shared" si="27"/>
        <v>0.35094499339414398</v>
      </c>
      <c r="J57" s="92">
        <f t="shared" si="27"/>
        <v>0.47488534011162076</v>
      </c>
      <c r="K57" s="92">
        <f t="shared" si="27"/>
        <v>0.49074916788017492</v>
      </c>
      <c r="L57" s="121">
        <f t="shared" si="27"/>
        <v>0.42116280829384356</v>
      </c>
      <c r="M57" s="120">
        <f t="shared" si="27"/>
        <v>0.40637234064087774</v>
      </c>
      <c r="N57" s="92">
        <f t="shared" si="27"/>
        <v>0.33173912829328123</v>
      </c>
      <c r="O57" s="92">
        <f t="shared" si="27"/>
        <v>0.3476256022023399</v>
      </c>
      <c r="P57" s="92">
        <f t="shared" si="27"/>
        <v>0.35997763565739388</v>
      </c>
      <c r="Q57" s="121">
        <f t="shared" si="27"/>
        <v>0.36400385373829225</v>
      </c>
      <c r="R57" s="120">
        <f t="shared" si="27"/>
        <v>0.35725522546978861</v>
      </c>
      <c r="S57" s="92">
        <f t="shared" si="27"/>
        <v>0.35042854456057387</v>
      </c>
      <c r="T57" s="92">
        <f t="shared" si="27"/>
        <v>0.33364257354118682</v>
      </c>
      <c r="U57" s="92">
        <f t="shared" si="27"/>
        <v>0.30627672235200776</v>
      </c>
      <c r="V57" s="121">
        <f t="shared" si="27"/>
        <v>0.33771055154798468</v>
      </c>
      <c r="W57" s="120">
        <f t="shared" si="27"/>
        <v>0.32886757943445316</v>
      </c>
      <c r="X57" s="92">
        <f t="shared" si="27"/>
        <v>0.2953057586483066</v>
      </c>
      <c r="Y57" s="92">
        <f t="shared" si="27"/>
        <v>0.2754995929852298</v>
      </c>
      <c r="Z57" s="92">
        <f t="shared" si="27"/>
        <v>0.32891106934989395</v>
      </c>
      <c r="AA57" s="121">
        <f t="shared" si="27"/>
        <v>0.30713893933668929</v>
      </c>
      <c r="AB57" s="120">
        <f t="shared" si="27"/>
        <v>0.26630090832517594</v>
      </c>
      <c r="AC57" s="92">
        <f t="shared" si="27"/>
        <v>0.25274665438019644</v>
      </c>
      <c r="AD57" s="92">
        <f t="shared" si="27"/>
        <v>-0.70989979209380216</v>
      </c>
      <c r="AE57" s="92">
        <f t="shared" si="27"/>
        <v>0.35284240638676623</v>
      </c>
      <c r="AF57" s="121">
        <f t="shared" si="27"/>
        <v>0.12914060231406588</v>
      </c>
      <c r="AG57" s="120">
        <f t="shared" si="27"/>
        <v>0.39199435070244559</v>
      </c>
      <c r="AH57" s="92">
        <f t="shared" si="27"/>
        <v>0.40425050091321257</v>
      </c>
      <c r="AI57" s="92">
        <f t="shared" si="27"/>
        <v>0.36896440387982404</v>
      </c>
      <c r="AJ57" s="92">
        <f t="shared" si="27"/>
        <v>0.45329601294496502</v>
      </c>
      <c r="AK57" s="121">
        <f t="shared" si="27"/>
        <v>0.40653922242724211</v>
      </c>
      <c r="AL57" s="120">
        <f t="shared" si="27"/>
        <v>0.43793912648361227</v>
      </c>
      <c r="AM57" s="92">
        <f t="shared" si="27"/>
        <v>0.39622724335133946</v>
      </c>
      <c r="AN57" s="92">
        <f t="shared" si="27"/>
        <v>0.41577917524373964</v>
      </c>
      <c r="AO57" s="92">
        <f t="shared" si="27"/>
        <v>0.391229583906608</v>
      </c>
      <c r="AP57" s="121">
        <f t="shared" si="27"/>
        <v>0.4097801685320076</v>
      </c>
      <c r="AQ57" s="120">
        <f t="shared" si="27"/>
        <v>0.38868447285780477</v>
      </c>
      <c r="AR57" s="92">
        <f t="shared" si="27"/>
        <v>0.39476364392997737</v>
      </c>
      <c r="AS57" s="92">
        <f t="shared" si="27"/>
        <v>0.32655567021743731</v>
      </c>
      <c r="AT57" s="92">
        <f t="shared" si="27"/>
        <v>0.36794835826117128</v>
      </c>
      <c r="AU57" s="121">
        <f t="shared" si="27"/>
        <v>0.3658200171415546</v>
      </c>
      <c r="AV57" s="120">
        <f t="shared" si="27"/>
        <v>0.32716573003923233</v>
      </c>
      <c r="AW57" s="92">
        <f t="shared" si="27"/>
        <v>0.32688256332369792</v>
      </c>
      <c r="AX57" s="92">
        <f t="shared" si="27"/>
        <v>0.36256200758681073</v>
      </c>
      <c r="AY57" s="92">
        <f t="shared" si="27"/>
        <v>0.40232456140350881</v>
      </c>
      <c r="AZ57" s="121">
        <f t="shared" si="27"/>
        <v>0.3566406486355661</v>
      </c>
      <c r="BA57" s="92">
        <f t="shared" si="27"/>
        <v>0.37810945273631852</v>
      </c>
      <c r="BB57" s="92">
        <f>BB$26/BB$10</f>
        <v>0.34237300541648369</v>
      </c>
      <c r="BC57" s="92">
        <f>BC$26/BC$10</f>
        <v>0.35797330271278888</v>
      </c>
      <c r="BD57" s="92">
        <f t="shared" si="27"/>
        <v>0.33091483782910081</v>
      </c>
      <c r="BE57" s="121">
        <f t="shared" si="27"/>
        <v>0.35093670789579007</v>
      </c>
      <c r="BF57" s="92">
        <f t="shared" si="27"/>
        <v>0.23380345278603429</v>
      </c>
      <c r="BG57" s="92">
        <f t="shared" si="27"/>
        <v>0.32585178543631682</v>
      </c>
      <c r="BH57" s="92">
        <f t="shared" si="27"/>
        <v>0.3487319453927088</v>
      </c>
      <c r="BI57" s="92">
        <f t="shared" si="27"/>
        <v>0.37294781068255228</v>
      </c>
      <c r="BJ57" s="121">
        <f t="shared" si="27"/>
        <v>0.32473442717902512</v>
      </c>
      <c r="BK57" s="120"/>
      <c r="BL57" s="92"/>
      <c r="BM57" s="92"/>
      <c r="BN57" s="92"/>
      <c r="BO57" s="121">
        <f>BO$26/BO$10</f>
        <v>0.36410659098829523</v>
      </c>
      <c r="BP57" s="120"/>
      <c r="BQ57" s="92"/>
      <c r="BR57" s="92"/>
      <c r="BS57" s="92"/>
      <c r="BT57" s="121">
        <f>BT$26/BT$10</f>
        <v>0.39665572404938776</v>
      </c>
      <c r="BU57" s="120"/>
      <c r="BV57" s="92"/>
      <c r="BW57" s="92"/>
      <c r="BX57" s="92"/>
      <c r="BY57" s="121">
        <f>BY$26/BY$10</f>
        <v>0.42458600429588245</v>
      </c>
      <c r="BZ57" s="120"/>
      <c r="CA57" s="92"/>
      <c r="CB57" s="92"/>
      <c r="CC57" s="92"/>
      <c r="CD57" s="121">
        <f>CD$26/CD$10</f>
        <v>0.44536017792898458</v>
      </c>
      <c r="CF57" s="42"/>
    </row>
    <row r="58" spans="1:84" s="119" customFormat="1">
      <c r="B58" s="70" t="s">
        <v>78</v>
      </c>
      <c r="C58" s="120">
        <f t="shared" ref="C58:BA58" si="28">C$27/C$26</f>
        <v>4.6706586826347367E-2</v>
      </c>
      <c r="D58" s="92">
        <f t="shared" si="28"/>
        <v>4.4489677231753427E-2</v>
      </c>
      <c r="E58" s="92">
        <f t="shared" si="28"/>
        <v>7.50134026145408E-2</v>
      </c>
      <c r="F58" s="92">
        <f t="shared" si="28"/>
        <v>7.923366250580674E-2</v>
      </c>
      <c r="G58" s="121">
        <f>G$27/G$26</f>
        <v>7.0729343424680333E-2</v>
      </c>
      <c r="H58" s="120">
        <f t="shared" si="28"/>
        <v>5.633688097306689E-2</v>
      </c>
      <c r="I58" s="92">
        <f t="shared" si="28"/>
        <v>6.0301394258405583E-2</v>
      </c>
      <c r="J58" s="92">
        <f t="shared" si="28"/>
        <v>2.6908308121945546E-2</v>
      </c>
      <c r="K58" s="92">
        <f t="shared" si="28"/>
        <v>8.6105260369060358E-3</v>
      </c>
      <c r="L58" s="121">
        <f>L$27/L$26</f>
        <v>3.2160260121055648E-2</v>
      </c>
      <c r="M58" s="120">
        <f t="shared" si="28"/>
        <v>5.1805212401370843E-2</v>
      </c>
      <c r="N58" s="92">
        <f t="shared" si="28"/>
        <v>5.6420002375579044E-2</v>
      </c>
      <c r="O58" s="92">
        <f t="shared" si="28"/>
        <v>5.3302468665763075E-2</v>
      </c>
      <c r="P58" s="92">
        <f t="shared" si="28"/>
        <v>9.5370446061200601E-3</v>
      </c>
      <c r="Q58" s="121">
        <f t="shared" si="28"/>
        <v>4.3026314502801602E-2</v>
      </c>
      <c r="R58" s="120">
        <f t="shared" si="28"/>
        <v>7.2495871762857975E-2</v>
      </c>
      <c r="S58" s="92">
        <f t="shared" si="28"/>
        <v>8.587244874488216E-2</v>
      </c>
      <c r="T58" s="92">
        <f t="shared" si="28"/>
        <v>7.6134990648637033E-2</v>
      </c>
      <c r="U58" s="92">
        <f t="shared" si="28"/>
        <v>2.5185291789594982E-2</v>
      </c>
      <c r="V58" s="121">
        <f t="shared" si="28"/>
        <v>6.6482341116981578E-2</v>
      </c>
      <c r="W58" s="120">
        <f t="shared" si="28"/>
        <v>0.21579325953086903</v>
      </c>
      <c r="X58" s="92">
        <f t="shared" si="28"/>
        <v>6.4739641657334812E-2</v>
      </c>
      <c r="Y58" s="92">
        <f t="shared" si="28"/>
        <v>0.12809564474807858</v>
      </c>
      <c r="Z58" s="92">
        <f t="shared" si="28"/>
        <v>0.12809564474807858</v>
      </c>
      <c r="AA58" s="121">
        <f>AA$27/AA$26</f>
        <v>0.13356322650405741</v>
      </c>
      <c r="AB58" s="120">
        <f t="shared" si="28"/>
        <v>0.15558481081912834</v>
      </c>
      <c r="AC58" s="92">
        <f t="shared" si="28"/>
        <v>8.9489907527095569E-2</v>
      </c>
      <c r="AD58" s="92">
        <f t="shared" si="28"/>
        <v>-0.40582027437508772</v>
      </c>
      <c r="AE58" s="92">
        <f t="shared" si="28"/>
        <v>7.7109495483586699E-2</v>
      </c>
      <c r="AF58" s="121">
        <f>AF$27/AF$26</f>
        <v>0.58016694385753953</v>
      </c>
      <c r="AG58" s="120">
        <f t="shared" si="28"/>
        <v>7.4044977809081328E-2</v>
      </c>
      <c r="AH58" s="92">
        <f t="shared" si="28"/>
        <v>2.4762020743266569E-2</v>
      </c>
      <c r="AI58" s="92">
        <f t="shared" si="28"/>
        <v>4.3303126395510899E-2</v>
      </c>
      <c r="AJ58" s="92">
        <f t="shared" si="28"/>
        <v>4.2618233554328581E-2</v>
      </c>
      <c r="AK58" s="121">
        <f>AK$27/AK$26</f>
        <v>4.5327566548655225E-2</v>
      </c>
      <c r="AL58" s="120">
        <f t="shared" si="28"/>
        <v>3.8938869788568808E-2</v>
      </c>
      <c r="AM58" s="92">
        <f t="shared" si="28"/>
        <v>3.2005711788565337E-2</v>
      </c>
      <c r="AN58" s="92">
        <f t="shared" si="28"/>
        <v>2.7477713971714359E-2</v>
      </c>
      <c r="AO58" s="92">
        <f t="shared" si="28"/>
        <v>1.632686910256638E-2</v>
      </c>
      <c r="AP58" s="121">
        <f>AP$27/AP$26</f>
        <v>2.8486166663340973E-2</v>
      </c>
      <c r="AQ58" s="120">
        <f t="shared" si="28"/>
        <v>2.4300847916812151E-2</v>
      </c>
      <c r="AR58" s="92">
        <f t="shared" si="28"/>
        <v>2.7762173258709066E-2</v>
      </c>
      <c r="AS58" s="92">
        <f t="shared" si="28"/>
        <v>3.254671166187649E-2</v>
      </c>
      <c r="AT58" s="123">
        <f t="shared" si="28"/>
        <v>3.5049436627879418E-2</v>
      </c>
      <c r="AU58" s="121">
        <f>AU$27/AU$26</f>
        <v>3.0844242757044456E-2</v>
      </c>
      <c r="AV58" s="120">
        <f t="shared" si="28"/>
        <v>2.4469291848970998E-2</v>
      </c>
      <c r="AW58" s="92">
        <f t="shared" si="28"/>
        <v>3.0575539568345331E-2</v>
      </c>
      <c r="AX58" s="92">
        <f t="shared" si="28"/>
        <v>3.4473507712944322E-2</v>
      </c>
      <c r="AY58" s="92">
        <f t="shared" si="28"/>
        <v>4.0771830371743152E-2</v>
      </c>
      <c r="AZ58" s="121">
        <f>AZ$27/AZ$26</f>
        <v>3.3456618370601605E-2</v>
      </c>
      <c r="BA58" s="92">
        <f t="shared" si="28"/>
        <v>2.2090777402221144E-2</v>
      </c>
      <c r="BB58" s="92">
        <f>BB$27/BB$26</f>
        <v>3.9551042223409938E-2</v>
      </c>
      <c r="BC58" s="92">
        <f>BC$27/BC$26</f>
        <v>3.4182036888532476E-2</v>
      </c>
      <c r="BD58" s="92">
        <f t="shared" ref="BD58" si="29">BD$27/BD$26</f>
        <v>5.0037989797025964E-2</v>
      </c>
      <c r="BE58" s="121">
        <f>BE$27/BE$26</f>
        <v>3.6792657760399694E-2</v>
      </c>
      <c r="BF58" s="125">
        <v>0.15</v>
      </c>
      <c r="BG58" s="125">
        <v>0.15</v>
      </c>
      <c r="BH58" s="125">
        <v>0.15</v>
      </c>
      <c r="BI58" s="126">
        <v>0.15</v>
      </c>
      <c r="BJ58" s="121">
        <f>BJ$27/BJ$26</f>
        <v>0.15</v>
      </c>
      <c r="BK58" s="132"/>
      <c r="BL58" s="129"/>
      <c r="BM58" s="129"/>
      <c r="BN58" s="129"/>
      <c r="BO58" s="131">
        <v>0.15</v>
      </c>
      <c r="BP58" s="132"/>
      <c r="BQ58" s="129"/>
      <c r="BR58" s="129"/>
      <c r="BS58" s="129"/>
      <c r="BT58" s="131">
        <v>0.15</v>
      </c>
      <c r="BU58" s="132"/>
      <c r="BV58" s="129"/>
      <c r="BW58" s="129"/>
      <c r="BX58" s="129"/>
      <c r="BY58" s="131">
        <v>0.15</v>
      </c>
      <c r="BZ58" s="132"/>
      <c r="CA58" s="129"/>
      <c r="CB58" s="129"/>
      <c r="CC58" s="129"/>
      <c r="CD58" s="131">
        <v>0.15</v>
      </c>
      <c r="CF58" s="42"/>
    </row>
    <row r="59" spans="1:84" s="119" customFormat="1">
      <c r="B59" s="90" t="s">
        <v>79</v>
      </c>
      <c r="C59" s="133">
        <f>C$32/C$10</f>
        <v>6.8126964926595104E-2</v>
      </c>
      <c r="D59" s="134">
        <f>D$32/D$10</f>
        <v>0.22673536041216241</v>
      </c>
      <c r="E59" s="134">
        <f>E$32/E$10</f>
        <v>0.4050019762999017</v>
      </c>
      <c r="F59" s="134">
        <f>F$32/F$10</f>
        <v>0.4245064565702642</v>
      </c>
      <c r="G59" s="135">
        <f t="shared" ref="G59:AD59" si="30">G$31/G$10</f>
        <v>0.30675790745830595</v>
      </c>
      <c r="H59" s="133">
        <f t="shared" si="30"/>
        <v>0.29654049690961942</v>
      </c>
      <c r="I59" s="134">
        <f t="shared" si="30"/>
        <v>0.33085844481539195</v>
      </c>
      <c r="J59" s="134">
        <f t="shared" si="30"/>
        <v>0.46210697905730236</v>
      </c>
      <c r="K59" s="134">
        <f t="shared" si="30"/>
        <v>0.48652355939255265</v>
      </c>
      <c r="L59" s="135">
        <f t="shared" si="30"/>
        <v>0.40402361822986588</v>
      </c>
      <c r="M59" s="133">
        <f t="shared" si="30"/>
        <v>0.38532013521993486</v>
      </c>
      <c r="N59" s="134">
        <f t="shared" si="30"/>
        <v>0.31302240588690178</v>
      </c>
      <c r="O59" s="134">
        <f t="shared" si="30"/>
        <v>0.32909629943353269</v>
      </c>
      <c r="P59" s="134">
        <f t="shared" si="30"/>
        <v>0.35654451288892369</v>
      </c>
      <c r="Q59" s="135">
        <f t="shared" si="30"/>
        <v>0.34834210944711663</v>
      </c>
      <c r="R59" s="133">
        <f t="shared" si="30"/>
        <v>0.33135569645751989</v>
      </c>
      <c r="S59" s="134">
        <f t="shared" si="30"/>
        <v>0.32033638732905234</v>
      </c>
      <c r="T59" s="134">
        <f t="shared" si="30"/>
        <v>0.30824069932464138</v>
      </c>
      <c r="U59" s="134">
        <f t="shared" si="30"/>
        <v>0.29856305373121167</v>
      </c>
      <c r="V59" s="135">
        <f t="shared" si="30"/>
        <v>0.31525876346116755</v>
      </c>
      <c r="W59" s="133">
        <f t="shared" si="30"/>
        <v>0.2579001725142655</v>
      </c>
      <c r="X59" s="134">
        <f t="shared" si="30"/>
        <v>0.27618776965406783</v>
      </c>
      <c r="Y59" s="134">
        <f t="shared" si="30"/>
        <v>0.24020929499395355</v>
      </c>
      <c r="Z59" s="134">
        <f t="shared" si="30"/>
        <v>0.28677899385673927</v>
      </c>
      <c r="AA59" s="135">
        <f t="shared" si="30"/>
        <v>0.26611647161384711</v>
      </c>
      <c r="AB59" s="133">
        <f t="shared" si="30"/>
        <v>0.22486853188244141</v>
      </c>
      <c r="AC59" s="134">
        <f t="shared" si="30"/>
        <v>0.23012837965192989</v>
      </c>
      <c r="AD59" s="134">
        <f t="shared" si="30"/>
        <v>-0.99799152050012674</v>
      </c>
      <c r="AE59" s="134">
        <f t="shared" ref="AE59:BJ59" si="31">AE$32/AE$10</f>
        <v>0.32563490644506804</v>
      </c>
      <c r="AF59" s="135">
        <f t="shared" si="31"/>
        <v>0.14039938673107519</v>
      </c>
      <c r="AG59" s="134">
        <f t="shared" si="31"/>
        <v>0.36296913770339778</v>
      </c>
      <c r="AH59" s="134">
        <f t="shared" si="31"/>
        <v>0.39424044162412375</v>
      </c>
      <c r="AI59" s="134">
        <f t="shared" si="31"/>
        <v>0.35298709166317166</v>
      </c>
      <c r="AJ59" s="134">
        <f t="shared" si="31"/>
        <v>0.43397733759603058</v>
      </c>
      <c r="AK59" s="135">
        <f t="shared" si="31"/>
        <v>0.38811178876803271</v>
      </c>
      <c r="AL59" s="134">
        <f t="shared" si="31"/>
        <v>0.42088627186214733</v>
      </c>
      <c r="AM59" s="134">
        <f t="shared" si="31"/>
        <v>0.38354570839785879</v>
      </c>
      <c r="AN59" s="134">
        <f t="shared" si="31"/>
        <v>0.40435451399099687</v>
      </c>
      <c r="AO59" s="134">
        <f t="shared" si="31"/>
        <v>0.38484202970111325</v>
      </c>
      <c r="AP59" s="135">
        <f t="shared" si="31"/>
        <v>0.39810710235587282</v>
      </c>
      <c r="AQ59" s="134">
        <f t="shared" si="31"/>
        <v>0.37923911059526094</v>
      </c>
      <c r="AR59" s="134">
        <f t="shared" si="31"/>
        <v>0.38380414725095396</v>
      </c>
      <c r="AS59" s="134">
        <f t="shared" si="31"/>
        <v>0.31510490481153963</v>
      </c>
      <c r="AT59" s="134">
        <f t="shared" si="31"/>
        <v>0.35446808902404692</v>
      </c>
      <c r="AU59" s="135">
        <f t="shared" si="31"/>
        <v>0.35410795019763047</v>
      </c>
      <c r="AV59" s="134">
        <f t="shared" si="31"/>
        <v>0.31794083342169438</v>
      </c>
      <c r="AW59" s="134">
        <f t="shared" si="31"/>
        <v>0.31874969379256274</v>
      </c>
      <c r="AX59" s="134">
        <f t="shared" si="31"/>
        <v>0.34957688940764525</v>
      </c>
      <c r="AY59" s="134">
        <f t="shared" si="31"/>
        <v>0.38627192982456143</v>
      </c>
      <c r="AZ59" s="135">
        <f t="shared" si="31"/>
        <v>0.34486597688630727</v>
      </c>
      <c r="BA59" s="134">
        <f t="shared" si="31"/>
        <v>0.3693915742388974</v>
      </c>
      <c r="BB59" s="134">
        <f>BB$32/BB$10</f>
        <v>0.32831942614551313</v>
      </c>
      <c r="BC59" s="134">
        <f>BC$32/BC$10</f>
        <v>0.34494761016219322</v>
      </c>
      <c r="BD59" s="134">
        <f t="shared" si="31"/>
        <v>0.314536115800438</v>
      </c>
      <c r="BE59" s="135">
        <f t="shared" si="31"/>
        <v>0.3376531798517276</v>
      </c>
      <c r="BF59" s="134">
        <f t="shared" si="31"/>
        <v>0.19873293486812915</v>
      </c>
      <c r="BG59" s="134">
        <f t="shared" si="31"/>
        <v>0.27697401762086932</v>
      </c>
      <c r="BH59" s="134">
        <f t="shared" si="31"/>
        <v>0.29642215358380247</v>
      </c>
      <c r="BI59" s="134">
        <f t="shared" si="31"/>
        <v>0.31700563908016943</v>
      </c>
      <c r="BJ59" s="135">
        <f t="shared" si="31"/>
        <v>0.27602426310217132</v>
      </c>
      <c r="BK59" s="133"/>
      <c r="BL59" s="134"/>
      <c r="BM59" s="134"/>
      <c r="BN59" s="134"/>
      <c r="BO59" s="135">
        <f>BO$32/BO$10</f>
        <v>0.30949060234005099</v>
      </c>
      <c r="BP59" s="133"/>
      <c r="BQ59" s="134"/>
      <c r="BR59" s="134"/>
      <c r="BS59" s="134"/>
      <c r="BT59" s="135">
        <f>BT$32/BT$10</f>
        <v>0.33715736544197966</v>
      </c>
      <c r="BU59" s="133"/>
      <c r="BV59" s="134"/>
      <c r="BW59" s="134"/>
      <c r="BX59" s="134"/>
      <c r="BY59" s="135">
        <f>BY$32/BY$10</f>
        <v>0.3608981036515001</v>
      </c>
      <c r="BZ59" s="133"/>
      <c r="CA59" s="134"/>
      <c r="CB59" s="134"/>
      <c r="CC59" s="134"/>
      <c r="CD59" s="135">
        <f>CD$32/CD$10</f>
        <v>0.37855615123963687</v>
      </c>
      <c r="CF59" s="136"/>
    </row>
    <row r="60" spans="1:84" s="91" customFormat="1" ht="4.5" customHeight="1">
      <c r="B60" s="69"/>
      <c r="G60" s="92"/>
      <c r="L60" s="92"/>
      <c r="Q60" s="92"/>
      <c r="V60" s="92"/>
      <c r="AA60" s="92"/>
      <c r="AF60" s="92"/>
      <c r="AK60" s="92"/>
      <c r="AP60" s="92"/>
      <c r="AU60" s="92"/>
    </row>
    <row r="61" spans="1:84" s="28" customFormat="1">
      <c r="B61" s="34" t="s">
        <v>80</v>
      </c>
      <c r="C61" s="35"/>
      <c r="D61" s="36"/>
      <c r="E61" s="36"/>
      <c r="F61" s="36"/>
      <c r="G61" s="34"/>
      <c r="H61" s="35"/>
      <c r="I61" s="36"/>
      <c r="J61" s="36"/>
      <c r="K61" s="36"/>
      <c r="L61" s="34"/>
      <c r="M61" s="35"/>
      <c r="N61" s="36"/>
      <c r="O61" s="36"/>
      <c r="P61" s="36"/>
      <c r="Q61" s="34"/>
      <c r="R61" s="35"/>
      <c r="S61" s="36"/>
      <c r="T61" s="36"/>
      <c r="U61" s="36"/>
      <c r="V61" s="34"/>
      <c r="W61" s="35"/>
      <c r="X61" s="36"/>
      <c r="Y61" s="36"/>
      <c r="Z61" s="36"/>
      <c r="AA61" s="34"/>
      <c r="AB61" s="35"/>
      <c r="AC61" s="36"/>
      <c r="AD61" s="36"/>
      <c r="AE61" s="36"/>
      <c r="AF61" s="34"/>
      <c r="AG61" s="35"/>
      <c r="AH61" s="36"/>
      <c r="AI61" s="36"/>
      <c r="AJ61" s="36"/>
      <c r="AK61" s="34"/>
      <c r="AL61" s="35"/>
      <c r="AM61" s="36"/>
      <c r="AN61" s="36"/>
      <c r="AO61" s="36"/>
      <c r="AP61" s="34"/>
      <c r="AQ61" s="35"/>
      <c r="AR61" s="36"/>
      <c r="AS61" s="36"/>
      <c r="AT61" s="36"/>
      <c r="AU61" s="34"/>
      <c r="AV61" s="35"/>
      <c r="AW61" s="36"/>
      <c r="AX61" s="36"/>
      <c r="AY61" s="36"/>
      <c r="AZ61" s="34"/>
      <c r="BA61" s="35"/>
      <c r="BB61" s="36"/>
      <c r="BC61" s="36"/>
      <c r="BD61" s="36"/>
      <c r="BE61" s="34"/>
      <c r="BF61" s="36"/>
      <c r="BG61" s="36"/>
      <c r="BH61" s="36"/>
      <c r="BI61" s="36"/>
      <c r="BJ61" s="34"/>
      <c r="BK61" s="35"/>
      <c r="BL61" s="36"/>
      <c r="BM61" s="36"/>
      <c r="BN61" s="36"/>
      <c r="BO61" s="34"/>
      <c r="BP61" s="35"/>
      <c r="BQ61" s="36"/>
      <c r="BR61" s="36"/>
      <c r="BS61" s="36"/>
      <c r="BT61" s="34"/>
      <c r="BU61" s="35"/>
      <c r="BV61" s="36"/>
      <c r="BW61" s="36"/>
      <c r="BX61" s="36"/>
      <c r="BY61" s="34"/>
      <c r="BZ61" s="35"/>
      <c r="CA61" s="36"/>
      <c r="CB61" s="36"/>
      <c r="CC61" s="36"/>
      <c r="CD61" s="34"/>
      <c r="CF61" s="37"/>
    </row>
    <row r="62" spans="1:84" s="119" customFormat="1">
      <c r="B62" s="70" t="s">
        <v>81</v>
      </c>
      <c r="C62" s="120"/>
      <c r="D62" s="92"/>
      <c r="E62" s="92"/>
      <c r="F62" s="92"/>
      <c r="G62" s="121"/>
      <c r="H62" s="120">
        <f t="shared" ref="H62:AL62" si="32">H10/C10-1</f>
        <v>0.25825483136579175</v>
      </c>
      <c r="I62" s="92">
        <f t="shared" si="32"/>
        <v>0.16291457748746496</v>
      </c>
      <c r="J62" s="92">
        <f t="shared" si="32"/>
        <v>0.1220423315688719</v>
      </c>
      <c r="K62" s="92">
        <f t="shared" si="32"/>
        <v>6.9655858198836018E-2</v>
      </c>
      <c r="L62" s="121">
        <f t="shared" si="32"/>
        <v>0.14089604539161904</v>
      </c>
      <c r="M62" s="120">
        <f t="shared" si="32"/>
        <v>0.12008724713521923</v>
      </c>
      <c r="N62" s="92">
        <f t="shared" si="32"/>
        <v>-0.1969059278656361</v>
      </c>
      <c r="O62" s="92">
        <f t="shared" si="32"/>
        <v>-0.34764740012156703</v>
      </c>
      <c r="P62" s="92">
        <f t="shared" si="32"/>
        <v>-0.33724256292906185</v>
      </c>
      <c r="Q62" s="121">
        <f t="shared" si="32"/>
        <v>-0.21270885702302322</v>
      </c>
      <c r="R62" s="92">
        <f t="shared" si="32"/>
        <v>-0.15589562964312464</v>
      </c>
      <c r="S62" s="92">
        <f t="shared" si="32"/>
        <v>-8.339777468021492E-2</v>
      </c>
      <c r="T62" s="92">
        <f t="shared" si="32"/>
        <v>-4.1299168828418553E-2</v>
      </c>
      <c r="U62" s="92">
        <f t="shared" si="32"/>
        <v>-0.10985992859104643</v>
      </c>
      <c r="V62" s="121">
        <f t="shared" si="32"/>
        <v>-0.10161149856789953</v>
      </c>
      <c r="W62" s="92">
        <f t="shared" si="32"/>
        <v>-0.16872583909677796</v>
      </c>
      <c r="X62" s="92">
        <f t="shared" si="32"/>
        <v>3.9979580321878538E-2</v>
      </c>
      <c r="Y62" s="92">
        <f t="shared" si="32"/>
        <v>0.1735831552441065</v>
      </c>
      <c r="Z62" s="92">
        <f t="shared" si="32"/>
        <v>0.32814497289196476</v>
      </c>
      <c r="AA62" s="121">
        <f t="shared" si="32"/>
        <v>8.3536500003962066E-2</v>
      </c>
      <c r="AB62" s="92">
        <f t="shared" si="32"/>
        <v>0.26722979015572434</v>
      </c>
      <c r="AC62" s="92">
        <f t="shared" si="32"/>
        <v>0.23360115741338783</v>
      </c>
      <c r="AD62" s="92">
        <f t="shared" si="32"/>
        <v>-2.0026067766782729E-2</v>
      </c>
      <c r="AE62" s="92">
        <f t="shared" si="32"/>
        <v>1.1346508859047595</v>
      </c>
      <c r="AF62" s="121">
        <f t="shared" si="32"/>
        <v>0.43974623063515494</v>
      </c>
      <c r="AG62" s="92">
        <f t="shared" si="32"/>
        <v>1.5725681243881899</v>
      </c>
      <c r="AH62" s="92">
        <f t="shared" si="32"/>
        <v>1.5524597373766986</v>
      </c>
      <c r="AI62" s="92">
        <f t="shared" si="32"/>
        <v>1.8850081866066151</v>
      </c>
      <c r="AJ62" s="92">
        <f t="shared" si="32"/>
        <v>0.33793463981156857</v>
      </c>
      <c r="AK62" s="121">
        <f t="shared" si="32"/>
        <v>1.085756058824376</v>
      </c>
      <c r="AL62" s="92">
        <f t="shared" si="32"/>
        <v>0.51515682464169754</v>
      </c>
      <c r="AM62" s="92">
        <f>AM10/AH10-1</f>
        <v>0.34576221678506447</v>
      </c>
      <c r="AN62" s="92">
        <f>AN10/AI10-1</f>
        <v>0.47147716908656379</v>
      </c>
      <c r="AO62" s="92">
        <f>AO10/AJ10-1</f>
        <v>0.43262212525764299</v>
      </c>
      <c r="AP62" s="121">
        <f>AP10/AK10-1</f>
        <v>0.43954218786403332</v>
      </c>
      <c r="AQ62" s="92">
        <f t="shared" ref="AQ62:BJ62" si="33">AQ10/AL10-1</f>
        <v>0.24792811145387894</v>
      </c>
      <c r="AR62" s="92">
        <f t="shared" si="33"/>
        <v>0.33614847150922444</v>
      </c>
      <c r="AS62" s="92">
        <f t="shared" si="33"/>
        <v>0.74376343113081633</v>
      </c>
      <c r="AT62" s="92">
        <f t="shared" si="33"/>
        <v>1.0924380483284382</v>
      </c>
      <c r="AU62" s="121">
        <f>AU10/AP10-1</f>
        <v>0.62678698007627509</v>
      </c>
      <c r="AV62" s="92">
        <f t="shared" si="33"/>
        <v>0.76551801601527569</v>
      </c>
      <c r="AW62" s="92">
        <f t="shared" si="33"/>
        <v>0.86272201445204333</v>
      </c>
      <c r="AX62" s="92">
        <f t="shared" si="33"/>
        <v>0.33369569659039122</v>
      </c>
      <c r="AY62" s="92">
        <f t="shared" si="33"/>
        <v>0.10478123151126795</v>
      </c>
      <c r="AZ62" s="121">
        <f t="shared" si="33"/>
        <v>0.43224709490511071</v>
      </c>
      <c r="BA62" s="92">
        <f t="shared" si="33"/>
        <v>0.16154172410136791</v>
      </c>
      <c r="BB62" s="92">
        <f t="shared" si="33"/>
        <v>0.33868992210082816</v>
      </c>
      <c r="BC62" s="92">
        <f t="shared" si="33"/>
        <v>0.35531563077521633</v>
      </c>
      <c r="BD62" s="92">
        <f t="shared" si="33"/>
        <v>0.22109649122807018</v>
      </c>
      <c r="BE62" s="121">
        <f t="shared" si="33"/>
        <v>0.26994614872632661</v>
      </c>
      <c r="BF62" s="92">
        <f t="shared" si="33"/>
        <v>8.5990232324615556E-2</v>
      </c>
      <c r="BG62" s="92">
        <f t="shared" si="33"/>
        <v>3.9199970721710553E-3</v>
      </c>
      <c r="BH62" s="92">
        <f t="shared" si="33"/>
        <v>1.4879790440648577E-2</v>
      </c>
      <c r="BI62" s="92">
        <f t="shared" si="33"/>
        <v>8.3322078948313782E-2</v>
      </c>
      <c r="BJ62" s="121">
        <f t="shared" si="33"/>
        <v>4.5029730708391336E-2</v>
      </c>
      <c r="BO62" s="121">
        <f>BO10/BJ10-1</f>
        <v>7.0574413515908319E-2</v>
      </c>
      <c r="BT62" s="121">
        <f>BT10/BO10-1</f>
        <v>6.0208263281216423E-2</v>
      </c>
      <c r="BY62" s="121">
        <f>BY10/BT10-1</f>
        <v>5.9268246304351901E-2</v>
      </c>
      <c r="CD62" s="121">
        <f>CD10/BY10-1</f>
        <v>4.3788464765179835E-2</v>
      </c>
      <c r="CF62" s="42"/>
    </row>
    <row r="63" spans="1:84" s="119" customFormat="1">
      <c r="B63" s="70" t="s">
        <v>38</v>
      </c>
      <c r="C63" s="120"/>
      <c r="D63" s="92"/>
      <c r="E63" s="92"/>
      <c r="F63" s="92"/>
      <c r="G63" s="121"/>
      <c r="H63" s="120">
        <f t="shared" ref="H63:BJ63" si="34">H12/C12-1</f>
        <v>0.2855297739731173</v>
      </c>
      <c r="I63" s="92">
        <f t="shared" si="34"/>
        <v>0.22015371150025231</v>
      </c>
      <c r="J63" s="92">
        <f t="shared" si="34"/>
        <v>0.11720945129496707</v>
      </c>
      <c r="K63" s="92">
        <f t="shared" si="34"/>
        <v>8.8871038722991846E-2</v>
      </c>
      <c r="L63" s="121">
        <f t="shared" si="34"/>
        <v>0.16091426410399423</v>
      </c>
      <c r="M63" s="120">
        <f t="shared" si="34"/>
        <v>0.11329252193417982</v>
      </c>
      <c r="N63" s="92">
        <f t="shared" si="34"/>
        <v>-0.22249681915523034</v>
      </c>
      <c r="O63" s="92">
        <f t="shared" si="34"/>
        <v>-0.39869689861871249</v>
      </c>
      <c r="P63" s="92">
        <f t="shared" si="34"/>
        <v>-0.44427833170490538</v>
      </c>
      <c r="Q63" s="121">
        <f t="shared" si="34"/>
        <v>-0.26923639831548729</v>
      </c>
      <c r="R63" s="92">
        <f t="shared" si="34"/>
        <v>-0.18797517170455813</v>
      </c>
      <c r="S63" s="92">
        <f t="shared" si="34"/>
        <v>-4.2257884210030183E-2</v>
      </c>
      <c r="T63" s="92">
        <f t="shared" si="34"/>
        <v>-3.4753525196486446E-2</v>
      </c>
      <c r="U63" s="92">
        <f t="shared" si="34"/>
        <v>-8.6249505733491549E-2</v>
      </c>
      <c r="V63" s="121">
        <f t="shared" si="34"/>
        <v>-9.549890331396238E-2</v>
      </c>
      <c r="W63" s="92">
        <f t="shared" si="34"/>
        <v>-0.16983387502180747</v>
      </c>
      <c r="X63" s="92">
        <f t="shared" si="34"/>
        <v>8.8596380205039349E-3</v>
      </c>
      <c r="Y63" s="92">
        <f t="shared" si="34"/>
        <v>0.21129163829038844</v>
      </c>
      <c r="Z63" s="92">
        <f t="shared" si="34"/>
        <v>0.40878918776901152</v>
      </c>
      <c r="AA63" s="121">
        <f t="shared" si="34"/>
        <v>0.10019446046595526</v>
      </c>
      <c r="AB63" s="92">
        <f t="shared" si="34"/>
        <v>0.25063239906910884</v>
      </c>
      <c r="AC63" s="92">
        <f t="shared" si="34"/>
        <v>0.21861888233736182</v>
      </c>
      <c r="AD63" s="92">
        <f t="shared" si="34"/>
        <v>-9.718017472536955E-2</v>
      </c>
      <c r="AE63" s="92">
        <f t="shared" si="34"/>
        <v>0.94305304152268077</v>
      </c>
      <c r="AF63" s="121">
        <f t="shared" si="34"/>
        <v>0.35669454538962331</v>
      </c>
      <c r="AG63" s="92">
        <f t="shared" si="34"/>
        <v>1.5719255663430425</v>
      </c>
      <c r="AH63" s="92">
        <f t="shared" si="34"/>
        <v>1.5855300408933619</v>
      </c>
      <c r="AI63" s="92">
        <f t="shared" si="34"/>
        <v>2.014720273738237</v>
      </c>
      <c r="AJ63" s="92">
        <f t="shared" si="34"/>
        <v>0.47380856937990856</v>
      </c>
      <c r="AK63" s="121">
        <f t="shared" si="34"/>
        <v>1.1868109124667416</v>
      </c>
      <c r="AL63" s="92">
        <f t="shared" si="34"/>
        <v>0.5284580781450765</v>
      </c>
      <c r="AM63" s="92">
        <f t="shared" si="34"/>
        <v>0.37368354690787031</v>
      </c>
      <c r="AN63" s="92">
        <f t="shared" si="34"/>
        <v>0.52980300822198934</v>
      </c>
      <c r="AO63" s="92">
        <f t="shared" si="34"/>
        <v>0.42022567465843319</v>
      </c>
      <c r="AP63" s="121">
        <f t="shared" si="34"/>
        <v>0.45959224893308237</v>
      </c>
      <c r="AQ63" s="92">
        <f t="shared" si="34"/>
        <v>0.30137925356924611</v>
      </c>
      <c r="AR63" s="92">
        <f t="shared" si="34"/>
        <v>0.34796142332410596</v>
      </c>
      <c r="AS63" s="92">
        <f t="shared" si="34"/>
        <v>0.67048810092622535</v>
      </c>
      <c r="AT63" s="92">
        <f t="shared" si="34"/>
        <v>1.044198686393246</v>
      </c>
      <c r="AU63" s="121">
        <f>AU12/AP12-1</f>
        <v>0.61189094129715849</v>
      </c>
      <c r="AV63" s="92">
        <f t="shared" si="34"/>
        <v>0.68781196358686181</v>
      </c>
      <c r="AW63" s="92">
        <f t="shared" si="34"/>
        <v>0.75992736655994642</v>
      </c>
      <c r="AX63" s="92">
        <f t="shared" si="34"/>
        <v>0.35231645484165575</v>
      </c>
      <c r="AY63" s="92">
        <f t="shared" si="34"/>
        <v>0.1356379048262466</v>
      </c>
      <c r="AZ63" s="121">
        <f t="shared" si="34"/>
        <v>0.4194148456892397</v>
      </c>
      <c r="BA63" s="92">
        <f t="shared" si="34"/>
        <v>0.18941905722935015</v>
      </c>
      <c r="BB63" s="92">
        <f t="shared" si="34"/>
        <v>0.42682595710019022</v>
      </c>
      <c r="BC63" s="92">
        <f t="shared" si="34"/>
        <v>0.42853389385181284</v>
      </c>
      <c r="BD63" s="92">
        <f t="shared" si="34"/>
        <v>0.22198338465113565</v>
      </c>
      <c r="BE63" s="121">
        <f t="shared" si="34"/>
        <v>0.31553167439346042</v>
      </c>
      <c r="BF63" s="92">
        <f t="shared" si="34"/>
        <v>7.8554260089686023E-2</v>
      </c>
      <c r="BG63" s="92">
        <f t="shared" si="34"/>
        <v>-1.18805423406243E-3</v>
      </c>
      <c r="BH63" s="92">
        <f t="shared" si="34"/>
        <v>4.013564465696895E-4</v>
      </c>
      <c r="BI63" s="92">
        <f t="shared" si="34"/>
        <v>9.5786015498716681E-2</v>
      </c>
      <c r="BJ63" s="121">
        <f t="shared" si="34"/>
        <v>4.1029354079497926E-2</v>
      </c>
      <c r="BO63" s="121">
        <f>BO12/BJ12-1</f>
        <v>7.4152369732127354E-2</v>
      </c>
      <c r="BT63" s="121">
        <f>BT12/BO12-1</f>
        <v>6.6172451310573921E-2</v>
      </c>
      <c r="BY63" s="121">
        <f>BY12/BT12-1</f>
        <v>6.6563934174739714E-2</v>
      </c>
      <c r="CD63" s="121">
        <f>CD12/BY12-1</f>
        <v>5.0105500162578531E-2</v>
      </c>
      <c r="CF63" s="42"/>
    </row>
    <row r="64" spans="1:84" s="119" customFormat="1">
      <c r="B64" s="70" t="s">
        <v>40</v>
      </c>
      <c r="C64" s="120"/>
      <c r="D64" s="92"/>
      <c r="E64" s="92"/>
      <c r="F64" s="92"/>
      <c r="G64" s="121"/>
      <c r="H64" s="120">
        <f t="shared" ref="H64:BJ65" si="35">H14/C14-1</f>
        <v>8.9861863620832816E-2</v>
      </c>
      <c r="I64" s="92">
        <f t="shared" si="35"/>
        <v>-0.19119198312236274</v>
      </c>
      <c r="J64" s="92">
        <f t="shared" si="35"/>
        <v>0.32325616431476933</v>
      </c>
      <c r="K64" s="92">
        <f t="shared" si="35"/>
        <v>7.9727777355334206E-2</v>
      </c>
      <c r="L64" s="121">
        <f t="shared" si="35"/>
        <v>6.735305296577021E-2</v>
      </c>
      <c r="M64" s="120">
        <f t="shared" si="35"/>
        <v>0.3311537083482623</v>
      </c>
      <c r="N64" s="92">
        <f t="shared" si="35"/>
        <v>0.54586457993696325</v>
      </c>
      <c r="O64" s="92">
        <f t="shared" si="35"/>
        <v>0.16409867172675519</v>
      </c>
      <c r="P64" s="92">
        <f t="shared" si="35"/>
        <v>3.081094404732565E-2</v>
      </c>
      <c r="Q64" s="121">
        <f t="shared" si="35"/>
        <v>0.23709925742833482</v>
      </c>
      <c r="R64" s="92">
        <f t="shared" si="35"/>
        <v>-4.3402193661260968E-2</v>
      </c>
      <c r="S64" s="92">
        <f t="shared" si="35"/>
        <v>-0.23510387738601601</v>
      </c>
      <c r="T64" s="92">
        <f t="shared" si="35"/>
        <v>-0.39140640281671779</v>
      </c>
      <c r="U64" s="92">
        <f t="shared" si="35"/>
        <v>-0.45053631208580991</v>
      </c>
      <c r="V64" s="121">
        <f t="shared" si="35"/>
        <v>-0.28084865006730597</v>
      </c>
      <c r="W64" s="92">
        <f t="shared" si="35"/>
        <v>-0.48902644907146875</v>
      </c>
      <c r="X64" s="92">
        <f t="shared" si="35"/>
        <v>-0.34381175605496583</v>
      </c>
      <c r="Y64" s="92">
        <f t="shared" si="35"/>
        <v>-0.19241482751232042</v>
      </c>
      <c r="Z64" s="92">
        <f t="shared" si="35"/>
        <v>9.0954305253341694E-2</v>
      </c>
      <c r="AA64" s="121">
        <f t="shared" si="35"/>
        <v>-0.27681766811075548</v>
      </c>
      <c r="AB64" s="92">
        <f t="shared" si="35"/>
        <v>9.3337004405286361E-2</v>
      </c>
      <c r="AC64" s="92">
        <f t="shared" si="35"/>
        <v>0.89508334500630382</v>
      </c>
      <c r="AD64" s="92">
        <f t="shared" si="35"/>
        <v>-5.1605200318387001E-2</v>
      </c>
      <c r="AE64" s="92">
        <f t="shared" si="35"/>
        <v>4.4221563710963974E-2</v>
      </c>
      <c r="AF64" s="121">
        <f t="shared" si="35"/>
        <v>0.23008302132508551</v>
      </c>
      <c r="AG64" s="92">
        <f t="shared" si="35"/>
        <v>-0.13938554520271973</v>
      </c>
      <c r="AH64" s="92">
        <f t="shared" si="35"/>
        <v>-0.36381107251090261</v>
      </c>
      <c r="AI64" s="92">
        <f t="shared" si="35"/>
        <v>0.19702056231640785</v>
      </c>
      <c r="AJ64" s="92">
        <f t="shared" si="35"/>
        <v>-9.1246452739576323E-2</v>
      </c>
      <c r="AK64" s="121">
        <f t="shared" si="35"/>
        <v>-0.14442062357736496</v>
      </c>
      <c r="AL64" s="92">
        <f t="shared" si="35"/>
        <v>0.60431602048280886</v>
      </c>
      <c r="AM64" s="92">
        <f t="shared" si="35"/>
        <v>2.887184849541069E-2</v>
      </c>
      <c r="AN64" s="92">
        <f t="shared" si="35"/>
        <v>0.12007011393514566</v>
      </c>
      <c r="AO64" s="92">
        <f t="shared" si="35"/>
        <v>0.2109656497717991</v>
      </c>
      <c r="AP64" s="121">
        <f t="shared" si="35"/>
        <v>0.22158976659293761</v>
      </c>
      <c r="AQ64" s="92">
        <f t="shared" si="35"/>
        <v>8.4993844329944057E-2</v>
      </c>
      <c r="AR64" s="92">
        <f t="shared" si="35"/>
        <v>0.38157077522443705</v>
      </c>
      <c r="AS64" s="92">
        <f t="shared" si="35"/>
        <v>1.5565466875326011</v>
      </c>
      <c r="AT64" s="92">
        <f t="shared" si="35"/>
        <v>1.9511529878502354</v>
      </c>
      <c r="AU64" s="121">
        <f>AU14/AP14-1</f>
        <v>0.98517289843878575</v>
      </c>
      <c r="AV64" s="92">
        <f t="shared" si="35"/>
        <v>1.56356377390208</v>
      </c>
      <c r="AW64" s="92">
        <f t="shared" si="35"/>
        <v>1.7013772528505453</v>
      </c>
      <c r="AX64" s="92">
        <f t="shared" si="35"/>
        <v>0.19977963231243256</v>
      </c>
      <c r="AY64" s="92">
        <f t="shared" si="35"/>
        <v>-1.1930767938161502E-2</v>
      </c>
      <c r="AZ64" s="121">
        <f t="shared" si="35"/>
        <v>0.56075594930572858</v>
      </c>
      <c r="BA64" s="92">
        <f t="shared" si="35"/>
        <v>-9.0163934426229497E-2</v>
      </c>
      <c r="BB64" s="92">
        <f>BB14/AW14-1</f>
        <v>0.22087745839636908</v>
      </c>
      <c r="BC64" s="92">
        <f>BC14/AX14-1</f>
        <v>0.72278911564625825</v>
      </c>
      <c r="BD64" s="92">
        <f t="shared" si="35"/>
        <v>0.62414965986394555</v>
      </c>
      <c r="BE64" s="121">
        <f t="shared" si="35"/>
        <v>0.36085002043318348</v>
      </c>
      <c r="BF64" s="92">
        <f t="shared" si="35"/>
        <v>0.92915891891891911</v>
      </c>
      <c r="BG64" s="92">
        <f t="shared" si="35"/>
        <v>0.29167556381660487</v>
      </c>
      <c r="BH64" s="92">
        <f t="shared" si="35"/>
        <v>5.1096939782822037E-3</v>
      </c>
      <c r="BI64" s="92">
        <f t="shared" si="35"/>
        <v>4.2204617801047339E-2</v>
      </c>
      <c r="BJ64" s="121">
        <f t="shared" si="35"/>
        <v>0.23920327627627636</v>
      </c>
      <c r="BO64" s="121">
        <f>BO14/BJ14-1</f>
        <v>-4.1908775974630608E-3</v>
      </c>
      <c r="BT64" s="121">
        <f>BT14/BO14-1</f>
        <v>-3.7506604913883912E-4</v>
      </c>
      <c r="BY64" s="121">
        <f>BY14/BT14-1</f>
        <v>-4.9298292292451196E-3</v>
      </c>
      <c r="CD64" s="121">
        <f>CD14/BY14-1</f>
        <v>1.0117869127593604E-2</v>
      </c>
      <c r="CF64" s="42"/>
    </row>
    <row r="65" spans="2:84" s="119" customFormat="1">
      <c r="B65" s="70" t="s">
        <v>42</v>
      </c>
      <c r="C65" s="120"/>
      <c r="D65" s="92"/>
      <c r="E65" s="92"/>
      <c r="F65" s="92"/>
      <c r="G65" s="121"/>
      <c r="H65" s="120">
        <f>H15/C15-1</f>
        <v>-0.25203359566166261</v>
      </c>
      <c r="I65" s="92">
        <f>I15/D15-1</f>
        <v>0.14847289452378076</v>
      </c>
      <c r="J65" s="92">
        <f>J15/E15-1</f>
        <v>0.18315173812556007</v>
      </c>
      <c r="K65" s="92">
        <f>K15/F15-1</f>
        <v>0.224388774914833</v>
      </c>
      <c r="L65" s="121">
        <f>L15/G15-1</f>
        <v>4.0368429549411333E-2</v>
      </c>
      <c r="M65" s="120">
        <f t="shared" si="35"/>
        <v>-0.1230061892130857</v>
      </c>
      <c r="N65" s="92">
        <f t="shared" si="35"/>
        <v>-0.30509974501274939</v>
      </c>
      <c r="O65" s="92">
        <f t="shared" si="35"/>
        <v>-0.32905437729229792</v>
      </c>
      <c r="P65" s="92">
        <f t="shared" si="35"/>
        <v>-0.51703995203910658</v>
      </c>
      <c r="Q65" s="121">
        <f t="shared" si="35"/>
        <v>-0.32477635977034147</v>
      </c>
      <c r="R65" s="120">
        <f>R15/M15-1</f>
        <v>-0.12092188571198126</v>
      </c>
      <c r="S65" s="92">
        <f>S15/N15-1</f>
        <v>-2.5081482440803771E-2</v>
      </c>
      <c r="T65" s="92">
        <f>T15/O15-1</f>
        <v>0.3051990493166965</v>
      </c>
      <c r="U65" s="92">
        <f>U15/P15-1</f>
        <v>0.35651537335285499</v>
      </c>
      <c r="V65" s="121">
        <f>V15/Q15-1</f>
        <v>8.891249122676248E-2</v>
      </c>
      <c r="W65" s="120">
        <f t="shared" si="35"/>
        <v>-4.0209188705644938E-2</v>
      </c>
      <c r="X65" s="92">
        <f t="shared" si="35"/>
        <v>4.7733965062988437E-2</v>
      </c>
      <c r="Y65" s="92">
        <f t="shared" si="35"/>
        <v>1.3907541028383985E-2</v>
      </c>
      <c r="Z65" s="92">
        <f t="shared" si="35"/>
        <v>-3.7940824514887672E-2</v>
      </c>
      <c r="AA65" s="121">
        <f t="shared" si="35"/>
        <v>-3.43950352506317E-3</v>
      </c>
      <c r="AB65" s="120">
        <f t="shared" si="35"/>
        <v>3.9886244144919258E-2</v>
      </c>
      <c r="AC65" s="92">
        <f t="shared" si="35"/>
        <v>-4.7101832090104212E-2</v>
      </c>
      <c r="AD65" s="92">
        <f t="shared" si="35"/>
        <v>0.35118085488505746</v>
      </c>
      <c r="AE65" s="92">
        <f t="shared" si="35"/>
        <v>1.5765328520559971</v>
      </c>
      <c r="AF65" s="121">
        <f t="shared" si="35"/>
        <v>0.45631406935946361</v>
      </c>
      <c r="AG65" s="120">
        <f t="shared" si="35"/>
        <v>1.6697538666605385</v>
      </c>
      <c r="AH65" s="92">
        <f t="shared" si="35"/>
        <v>1.9197675965760412</v>
      </c>
      <c r="AI65" s="92">
        <f t="shared" si="35"/>
        <v>1.0639340721418247</v>
      </c>
      <c r="AJ65" s="92">
        <f t="shared" si="35"/>
        <v>0.28002801889382156</v>
      </c>
      <c r="AK65" s="121">
        <f t="shared" si="35"/>
        <v>0.99373911813140392</v>
      </c>
      <c r="AL65" s="120">
        <f t="shared" si="35"/>
        <v>0.42895264657524845</v>
      </c>
      <c r="AM65" s="92">
        <f t="shared" si="35"/>
        <v>0.32977883096366489</v>
      </c>
      <c r="AN65" s="92">
        <f t="shared" si="35"/>
        <v>0.4450821915602714</v>
      </c>
      <c r="AO65" s="92">
        <f t="shared" si="35"/>
        <v>0.46924408028041875</v>
      </c>
      <c r="AP65" s="121">
        <f t="shared" si="35"/>
        <v>0.41790250374053017</v>
      </c>
      <c r="AQ65" s="120">
        <f t="shared" si="35"/>
        <v>0.45896987951807144</v>
      </c>
      <c r="AR65" s="92">
        <f t="shared" si="35"/>
        <v>0.3694512348358503</v>
      </c>
      <c r="AS65" s="92">
        <f t="shared" si="35"/>
        <v>0.95872119257315691</v>
      </c>
      <c r="AT65" s="92">
        <f t="shared" si="35"/>
        <v>1.2643698409502728</v>
      </c>
      <c r="AU65" s="121">
        <f>AU15/AP15-1</f>
        <v>0.78437315352264458</v>
      </c>
      <c r="AV65" s="120">
        <f t="shared" si="35"/>
        <v>0.96540718199422848</v>
      </c>
      <c r="AW65" s="92">
        <f t="shared" si="35"/>
        <v>1.1337203725252221</v>
      </c>
      <c r="AX65" s="92">
        <f t="shared" si="35"/>
        <v>0.42429723672684649</v>
      </c>
      <c r="AY65" s="92">
        <f t="shared" si="35"/>
        <v>0.16696489102770706</v>
      </c>
      <c r="AZ65" s="121">
        <f t="shared" si="35"/>
        <v>0.5687343927134183</v>
      </c>
      <c r="BA65" s="120">
        <f t="shared" si="35"/>
        <v>0.1865546218487395</v>
      </c>
      <c r="BB65" s="92">
        <f>BB15/AW15-1</f>
        <v>0.34851446442533218</v>
      </c>
      <c r="BC65" s="92">
        <f>BC15/AX15-1</f>
        <v>0.34524760383386588</v>
      </c>
      <c r="BD65" s="92">
        <f t="shared" si="35"/>
        <v>0.2912380952380953</v>
      </c>
      <c r="BE65" s="121">
        <f t="shared" si="35"/>
        <v>0.29447700407271271</v>
      </c>
      <c r="BF65" s="92">
        <f t="shared" si="35"/>
        <v>0.2637903682719549</v>
      </c>
      <c r="BG65" s="92">
        <f t="shared" si="35"/>
        <v>-5.9751413248295693E-3</v>
      </c>
      <c r="BH65" s="92">
        <f t="shared" si="35"/>
        <v>7.5465043788034425E-3</v>
      </c>
      <c r="BI65" s="92">
        <f t="shared" si="35"/>
        <v>1.0581575453607606E-3</v>
      </c>
      <c r="BJ65" s="121">
        <f t="shared" si="35"/>
        <v>5.7809137474581052E-2</v>
      </c>
      <c r="BO65" s="121">
        <f>BO15/BJ15-1</f>
        <v>6.4640867398112478E-2</v>
      </c>
      <c r="BT65" s="121">
        <f>BT15/BO15-1</f>
        <v>5.1726597174966527E-2</v>
      </c>
      <c r="BY65" s="121">
        <f>BY15/BT15-1</f>
        <v>4.6454517518412342E-2</v>
      </c>
      <c r="CD65" s="121">
        <f>CD15/BY15-1</f>
        <v>4.3788464765179835E-2</v>
      </c>
      <c r="CF65" s="42"/>
    </row>
    <row r="66" spans="2:84" s="119" customFormat="1">
      <c r="B66" s="70" t="s">
        <v>82</v>
      </c>
      <c r="C66" s="120"/>
      <c r="D66" s="92"/>
      <c r="E66" s="92"/>
      <c r="F66" s="92"/>
      <c r="G66" s="121"/>
      <c r="H66" s="120">
        <f>H19/C20-1</f>
        <v>2.6823797757080441</v>
      </c>
      <c r="I66" s="92">
        <f>I19/D20-1</f>
        <v>0.51194250336116287</v>
      </c>
      <c r="J66" s="92">
        <f>J19/E20-1</f>
        <v>8.2371462640967952E-2</v>
      </c>
      <c r="K66" s="92">
        <f>K19/F20-1</f>
        <v>7.3570833213578046E-2</v>
      </c>
      <c r="L66" s="121">
        <f t="shared" ref="L66:AD66" si="36">L19/G19-1</f>
        <v>0.30994173844230644</v>
      </c>
      <c r="M66" s="120">
        <f t="shared" si="36"/>
        <v>0.28131936199865759</v>
      </c>
      <c r="N66" s="92">
        <f t="shared" si="36"/>
        <v>-0.32226369524645926</v>
      </c>
      <c r="O66" s="92">
        <f t="shared" si="36"/>
        <v>-0.55270813231757376</v>
      </c>
      <c r="P66" s="92">
        <f t="shared" si="36"/>
        <v>-0.53935787860331597</v>
      </c>
      <c r="Q66" s="121">
        <f t="shared" si="36"/>
        <v>-0.36093339257689827</v>
      </c>
      <c r="R66" s="92">
        <f t="shared" si="36"/>
        <v>-0.28453450429037608</v>
      </c>
      <c r="S66" s="92">
        <f t="shared" si="36"/>
        <v>3.0225965821656819E-2</v>
      </c>
      <c r="T66" s="92">
        <f t="shared" si="36"/>
        <v>-5.5393679872502877E-2</v>
      </c>
      <c r="U66" s="92">
        <f t="shared" si="36"/>
        <v>-0.19995641118779517</v>
      </c>
      <c r="V66" s="121">
        <f t="shared" si="36"/>
        <v>-0.14929222422774868</v>
      </c>
      <c r="W66" s="92">
        <f t="shared" si="36"/>
        <v>-0.20320945945945945</v>
      </c>
      <c r="X66" s="92">
        <f t="shared" si="36"/>
        <v>-5.5062027326613805E-2</v>
      </c>
      <c r="Y66" s="92">
        <f t="shared" si="36"/>
        <v>0.17783496370019436</v>
      </c>
      <c r="Z66" s="92">
        <f t="shared" si="36"/>
        <v>0.62417594391878417</v>
      </c>
      <c r="AA66" s="121">
        <f t="shared" si="36"/>
        <v>0.1081640376516817</v>
      </c>
      <c r="AB66" s="92">
        <f t="shared" si="36"/>
        <v>0.2063281746873018</v>
      </c>
      <c r="AC66" s="92">
        <f t="shared" si="36"/>
        <v>0.15464483602056567</v>
      </c>
      <c r="AD66" s="92">
        <f t="shared" si="36"/>
        <v>-2.8271338243166984</v>
      </c>
      <c r="AE66" s="92">
        <f>AE20/Z19-1</f>
        <v>1.5748166204490563</v>
      </c>
      <c r="AF66" s="121">
        <f>AF20/AA19-1</f>
        <v>0.2478466691856076</v>
      </c>
      <c r="AG66" s="92">
        <f>AG20/AB19-1</f>
        <v>3.1506377868576365</v>
      </c>
      <c r="AH66" s="92">
        <f>AH20/AC19-1</f>
        <v>3.3691582724482272</v>
      </c>
      <c r="AI66" s="92">
        <f>AI20/AD19-1</f>
        <v>-3.3692752617820751</v>
      </c>
      <c r="AJ66" s="92">
        <f t="shared" ref="AJ66:BF66" si="37">AJ20/AE20-1</f>
        <v>0.60767530431535022</v>
      </c>
      <c r="AK66" s="121">
        <f t="shared" si="37"/>
        <v>2.6568168206987965</v>
      </c>
      <c r="AL66" s="92">
        <f t="shared" si="37"/>
        <v>0.56558510750904967</v>
      </c>
      <c r="AM66" s="92">
        <f t="shared" si="37"/>
        <v>0.41232696436876104</v>
      </c>
      <c r="AN66" s="92">
        <f t="shared" si="37"/>
        <v>0.58841735491612335</v>
      </c>
      <c r="AO66" s="92">
        <f t="shared" si="37"/>
        <v>0.41173308554001786</v>
      </c>
      <c r="AP66" s="121">
        <f t="shared" si="37"/>
        <v>0.48868110353766792</v>
      </c>
      <c r="AQ66" s="92">
        <f t="shared" si="37"/>
        <v>0.2531174289803142</v>
      </c>
      <c r="AR66" s="92">
        <f t="shared" si="37"/>
        <v>0.33778450357541479</v>
      </c>
      <c r="AS66" s="92">
        <f t="shared" si="37"/>
        <v>0.52587235421484424</v>
      </c>
      <c r="AT66" s="92">
        <f t="shared" si="37"/>
        <v>0.9255049031332212</v>
      </c>
      <c r="AU66" s="121">
        <f t="shared" si="37"/>
        <v>0.52977276993698141</v>
      </c>
      <c r="AV66" s="92">
        <f t="shared" si="37"/>
        <v>0.52942213237846336</v>
      </c>
      <c r="AW66" s="92">
        <f t="shared" si="37"/>
        <v>0.5632582806428299</v>
      </c>
      <c r="AX66" s="92">
        <f t="shared" si="37"/>
        <v>0.32772346725027002</v>
      </c>
      <c r="AY66" s="92">
        <f t="shared" si="37"/>
        <v>0.13035951891898878</v>
      </c>
      <c r="AZ66" s="121">
        <f t="shared" si="37"/>
        <v>0.34466672982938773</v>
      </c>
      <c r="BA66" s="92">
        <f t="shared" si="37"/>
        <v>0.21107714016933254</v>
      </c>
      <c r="BB66" s="92">
        <f>BB20/AW20-1</f>
        <v>0.48676716917922991</v>
      </c>
      <c r="BC66" s="92">
        <f>BC20/AX20-1</f>
        <v>0.45388450353136656</v>
      </c>
      <c r="BD66" s="92">
        <f t="shared" si="37"/>
        <v>0.16923076923076885</v>
      </c>
      <c r="BE66" s="121">
        <f t="shared" si="37"/>
        <v>0.3236701159586084</v>
      </c>
      <c r="BF66" s="92">
        <f t="shared" si="37"/>
        <v>-6.8867734731527408E-2</v>
      </c>
      <c r="BG66" s="92">
        <f>BG20/BB20-1</f>
        <v>-1.6458808772720102E-2</v>
      </c>
      <c r="BH66" s="92">
        <f>BH20/BC20-1</f>
        <v>-3.3782126018002678E-3</v>
      </c>
      <c r="BI66" s="92">
        <f>BI20/BD20-1</f>
        <v>0.14791611954887274</v>
      </c>
      <c r="BJ66" s="121">
        <f t="shared" ref="BJ66" si="38">BJ20/BE20-1</f>
        <v>1.9477024415155864E-2</v>
      </c>
      <c r="BO66" s="121">
        <f>BO20/BJ20-1</f>
        <v>8.5433427238870152E-2</v>
      </c>
      <c r="BT66" s="121">
        <f>BT20/BO20-1</f>
        <v>7.8552855933626597E-2</v>
      </c>
      <c r="BY66" s="121">
        <f>BY20/BT20-1</f>
        <v>8.1613662093892314E-2</v>
      </c>
      <c r="CD66" s="121">
        <f>CD20/BY20-1</f>
        <v>5.5697514991514874E-2</v>
      </c>
      <c r="CF66" s="42"/>
    </row>
    <row r="67" spans="2:84" s="119" customFormat="1">
      <c r="B67" s="70" t="s">
        <v>52</v>
      </c>
      <c r="C67" s="120"/>
      <c r="D67" s="92"/>
      <c r="E67" s="92"/>
      <c r="F67" s="92"/>
      <c r="G67" s="121"/>
      <c r="H67" s="120">
        <f t="shared" ref="H67:BF67" si="39">H26/C26-1</f>
        <v>4.8813572854291509</v>
      </c>
      <c r="I67" s="92">
        <f t="shared" si="39"/>
        <v>0.7198991955025682</v>
      </c>
      <c r="J67" s="92">
        <f t="shared" si="39"/>
        <v>0.13410037527320684</v>
      </c>
      <c r="K67" s="92">
        <f t="shared" si="39"/>
        <v>0.13120944660063327</v>
      </c>
      <c r="L67" s="121">
        <f t="shared" si="39"/>
        <v>0.41416970651243235</v>
      </c>
      <c r="M67" s="120">
        <f t="shared" si="39"/>
        <v>0.36261946133796674</v>
      </c>
      <c r="N67" s="92">
        <f t="shared" si="39"/>
        <v>-0.24085616708558255</v>
      </c>
      <c r="O67" s="92">
        <f t="shared" si="39"/>
        <v>-0.5224648010239703</v>
      </c>
      <c r="P67" s="92">
        <f t="shared" si="39"/>
        <v>-0.51384969995628538</v>
      </c>
      <c r="Q67" s="121">
        <f t="shared" si="39"/>
        <v>-0.31955765225665234</v>
      </c>
      <c r="R67" s="92">
        <f t="shared" si="39"/>
        <v>-0.25792021997290215</v>
      </c>
      <c r="S67" s="92">
        <f t="shared" si="39"/>
        <v>-3.1758522389832677E-2</v>
      </c>
      <c r="T67" s="92">
        <f t="shared" si="39"/>
        <v>-7.9862327338074746E-2</v>
      </c>
      <c r="U67" s="92">
        <f t="shared" si="39"/>
        <v>-0.24264966347856876</v>
      </c>
      <c r="V67" s="121">
        <f t="shared" si="39"/>
        <v>-0.16650531798728119</v>
      </c>
      <c r="W67" s="92">
        <f t="shared" si="39"/>
        <v>-0.23477922322015921</v>
      </c>
      <c r="X67" s="92">
        <f t="shared" si="39"/>
        <v>-0.12361032309508813</v>
      </c>
      <c r="Y67" s="92">
        <f t="shared" si="39"/>
        <v>-3.0933977722239603E-2</v>
      </c>
      <c r="Z67" s="92">
        <f t="shared" si="39"/>
        <v>0.42629704252716394</v>
      </c>
      <c r="AA67" s="121">
        <f t="shared" si="39"/>
        <v>-1.4551811252722757E-2</v>
      </c>
      <c r="AB67" s="92">
        <f t="shared" si="39"/>
        <v>2.614080948788633E-2</v>
      </c>
      <c r="AC67" s="92">
        <f t="shared" si="39"/>
        <v>5.5816069428891169E-2</v>
      </c>
      <c r="AD67" s="92">
        <f t="shared" si="39"/>
        <v>-3.5251699402220313</v>
      </c>
      <c r="AE67" s="92">
        <f t="shared" si="39"/>
        <v>1.2899665762754622</v>
      </c>
      <c r="AF67" s="121">
        <f t="shared" si="39"/>
        <v>-0.39463978157516655</v>
      </c>
      <c r="AG67" s="92">
        <f t="shared" si="39"/>
        <v>2.7868146147138777</v>
      </c>
      <c r="AH67" s="92">
        <f t="shared" si="39"/>
        <v>3.0824798647708045</v>
      </c>
      <c r="AI67" s="92">
        <f t="shared" si="39"/>
        <v>-2.4994585681172721</v>
      </c>
      <c r="AJ67" s="92">
        <f t="shared" si="39"/>
        <v>0.71884225600352525</v>
      </c>
      <c r="AK67" s="121">
        <f t="shared" si="39"/>
        <v>5.5660344704386882</v>
      </c>
      <c r="AL67" s="92">
        <f t="shared" si="39"/>
        <v>0.6927449466560105</v>
      </c>
      <c r="AM67" s="92">
        <f t="shared" si="39"/>
        <v>0.31905254825549623</v>
      </c>
      <c r="AN67" s="92">
        <f t="shared" si="39"/>
        <v>0.65818045675776848</v>
      </c>
      <c r="AO67" s="92">
        <f t="shared" si="39"/>
        <v>0.23646390427880704</v>
      </c>
      <c r="AP67" s="121">
        <f t="shared" si="39"/>
        <v>0.45101827280006557</v>
      </c>
      <c r="AQ67" s="92">
        <f t="shared" si="39"/>
        <v>0.10757466239554514</v>
      </c>
      <c r="AR67" s="92">
        <f t="shared" si="39"/>
        <v>0.33121295492734038</v>
      </c>
      <c r="AS67" s="92">
        <f t="shared" si="39"/>
        <v>0.3695631476005623</v>
      </c>
      <c r="AT67" s="92">
        <f t="shared" si="39"/>
        <v>0.96792158956324292</v>
      </c>
      <c r="AU67" s="121">
        <f>AU26/AP26-1</f>
        <v>0.45226950115492737</v>
      </c>
      <c r="AV67" s="92">
        <f t="shared" si="39"/>
        <v>0.48608197893814098</v>
      </c>
      <c r="AW67" s="92">
        <f t="shared" si="39"/>
        <v>0.5424200181705956</v>
      </c>
      <c r="AX67" s="92">
        <f t="shared" si="39"/>
        <v>0.48075024679170886</v>
      </c>
      <c r="AY67" s="92">
        <f t="shared" si="39"/>
        <v>0.2079973029777864</v>
      </c>
      <c r="AZ67" s="121">
        <f t="shared" si="39"/>
        <v>0.39630831829443047</v>
      </c>
      <c r="BA67" s="92">
        <f t="shared" si="39"/>
        <v>0.34240803759520411</v>
      </c>
      <c r="BB67" s="92">
        <f>BB26/AW26-1</f>
        <v>0.40212829736211075</v>
      </c>
      <c r="BC67" s="92">
        <f>BC26/AX26-1</f>
        <v>0.33816230717639129</v>
      </c>
      <c r="BD67" s="92">
        <f t="shared" si="39"/>
        <v>4.3606235691697748E-3</v>
      </c>
      <c r="BE67" s="121">
        <f t="shared" si="39"/>
        <v>0.2496352346374402</v>
      </c>
      <c r="BF67" s="92">
        <f t="shared" si="39"/>
        <v>-0.32847945436986958</v>
      </c>
      <c r="BG67" s="92">
        <f>BG26/BB26-1</f>
        <v>-4.4524193479422269E-2</v>
      </c>
      <c r="BH67" s="92">
        <f>BH26/BC26-1</f>
        <v>-1.1320115276663878E-2</v>
      </c>
      <c r="BI67" s="92">
        <f>BI26/BD26-1</f>
        <v>0.22092620644741223</v>
      </c>
      <c r="BJ67" s="121">
        <f t="shared" ref="BJ67" si="40">BJ26/BE26-1</f>
        <v>-3.299619745845539E-2</v>
      </c>
      <c r="BO67" s="121">
        <f>BO26/BJ26-1</f>
        <v>0.20037534514218169</v>
      </c>
      <c r="BT67" s="121">
        <f>BT26/BO26-1</f>
        <v>0.15498506954649893</v>
      </c>
      <c r="BY67" s="121">
        <f>BY26/BT26-1</f>
        <v>0.13385599881037602</v>
      </c>
      <c r="CD67" s="121">
        <f>CD26/BY26-1</f>
        <v>9.4859019573553027E-2</v>
      </c>
      <c r="CF67" s="42"/>
    </row>
    <row r="68" spans="2:84" s="119" customFormat="1">
      <c r="B68" s="70" t="s">
        <v>83</v>
      </c>
      <c r="C68" s="120"/>
      <c r="D68" s="92"/>
      <c r="E68" s="92"/>
      <c r="F68" s="92"/>
      <c r="G68" s="121"/>
      <c r="H68" s="120">
        <f>H31/C32-1</f>
        <v>4.4768844221105608</v>
      </c>
      <c r="I68" s="92">
        <f>I31/D32-1</f>
        <v>0.69695678636640279</v>
      </c>
      <c r="J68" s="92">
        <f>J31/E32-1</f>
        <v>0.28024953594733693</v>
      </c>
      <c r="K68" s="92">
        <f>K31/F32-1</f>
        <v>0.22592428784379348</v>
      </c>
      <c r="L68" s="121">
        <f t="shared" ref="L68:AD68" si="41">L31/G31-1</f>
        <v>0.502647322452213</v>
      </c>
      <c r="M68" s="120">
        <f t="shared" si="41"/>
        <v>0.45542404501942069</v>
      </c>
      <c r="N68" s="92">
        <f t="shared" si="41"/>
        <v>-0.24019941895914743</v>
      </c>
      <c r="O68" s="92">
        <f t="shared" si="41"/>
        <v>-0.53541747630863068</v>
      </c>
      <c r="P68" s="92">
        <f t="shared" si="41"/>
        <v>-0.51430403933777868</v>
      </c>
      <c r="Q68" s="121">
        <f t="shared" si="41"/>
        <v>-0.32121132250837559</v>
      </c>
      <c r="R68" s="92">
        <f t="shared" si="41"/>
        <v>-0.27411322182062736</v>
      </c>
      <c r="S68" s="92">
        <f t="shared" si="41"/>
        <v>-6.1980740181269089E-2</v>
      </c>
      <c r="T68" s="92">
        <f t="shared" si="41"/>
        <v>-0.10205427665974942</v>
      </c>
      <c r="U68" s="92">
        <f t="shared" si="41"/>
        <v>-0.25461498253046844</v>
      </c>
      <c r="V68" s="121">
        <f t="shared" si="41"/>
        <v>-0.18693479660341505</v>
      </c>
      <c r="W68" s="92">
        <f t="shared" si="41"/>
        <v>-0.35300418313141402</v>
      </c>
      <c r="X68" s="92">
        <f t="shared" si="41"/>
        <v>-0.10334994044923052</v>
      </c>
      <c r="Y68" s="92">
        <f t="shared" si="41"/>
        <v>-8.5436858417384687E-2</v>
      </c>
      <c r="Z68" s="92">
        <f t="shared" si="41"/>
        <v>0.27572408662708692</v>
      </c>
      <c r="AA68" s="121">
        <f t="shared" si="41"/>
        <v>-8.536433030389301E-2</v>
      </c>
      <c r="AB68" s="92">
        <f t="shared" si="41"/>
        <v>0.10492404751784234</v>
      </c>
      <c r="AC68" s="92">
        <f t="shared" si="41"/>
        <v>2.7875477063533438E-2</v>
      </c>
      <c r="AD68" s="92">
        <f t="shared" si="41"/>
        <v>-5.0714730656219382</v>
      </c>
      <c r="AE68" s="92">
        <f>AE32/Z31-1</f>
        <v>1.4238764219659834</v>
      </c>
      <c r="AF68" s="121">
        <f>AF32/AA31-1</f>
        <v>-0.2404097100653324</v>
      </c>
      <c r="AG68" s="92">
        <f>AG32/AB31-1</f>
        <v>3.152483346494158</v>
      </c>
      <c r="AH68" s="92">
        <f>AH32/AC31-1</f>
        <v>3.3727021222379943</v>
      </c>
      <c r="AI68" s="92">
        <f>AI32/AD31-1</f>
        <v>-2.0204201421514787</v>
      </c>
      <c r="AJ68" s="92">
        <f t="shared" ref="AJ68:BF68" si="42">AJ32/AE32-1</f>
        <v>0.78308068751492055</v>
      </c>
      <c r="AK68" s="121">
        <f t="shared" si="42"/>
        <v>4.7657411030907237</v>
      </c>
      <c r="AL68" s="92">
        <f t="shared" si="42"/>
        <v>0.75692267184170525</v>
      </c>
      <c r="AM68" s="92">
        <f t="shared" si="42"/>
        <v>0.30925513538263116</v>
      </c>
      <c r="AN68" s="92">
        <f t="shared" si="42"/>
        <v>0.68560961465017667</v>
      </c>
      <c r="AO68" s="92">
        <f t="shared" si="42"/>
        <v>0.27041934846857019</v>
      </c>
      <c r="AP68" s="121">
        <f t="shared" si="42"/>
        <v>0.47661572184840373</v>
      </c>
      <c r="AQ68" s="92">
        <f t="shared" si="42"/>
        <v>0.12444424709010327</v>
      </c>
      <c r="AR68" s="92">
        <f t="shared" si="42"/>
        <v>0.3370487883970974</v>
      </c>
      <c r="AS68" s="92">
        <f t="shared" si="42"/>
        <v>0.35887789295843953</v>
      </c>
      <c r="AT68" s="92">
        <f t="shared" si="42"/>
        <v>0.92729083402930135</v>
      </c>
      <c r="AU68" s="121">
        <f t="shared" si="42"/>
        <v>0.44699303155877335</v>
      </c>
      <c r="AV68" s="92">
        <f t="shared" si="42"/>
        <v>0.48014868126823318</v>
      </c>
      <c r="AW68" s="92">
        <f t="shared" si="42"/>
        <v>0.5469923292387735</v>
      </c>
      <c r="AX68" s="92">
        <f t="shared" si="42"/>
        <v>0.47959992342638236</v>
      </c>
      <c r="AY68" s="92">
        <f t="shared" si="42"/>
        <v>0.2039052076726231</v>
      </c>
      <c r="AZ68" s="121">
        <f t="shared" si="42"/>
        <v>0.39486643338947491</v>
      </c>
      <c r="BA68" s="92">
        <f t="shared" si="42"/>
        <v>0.34950808737702266</v>
      </c>
      <c r="BB68" s="92">
        <f>BB32/AW32-1</f>
        <v>0.37888103289271502</v>
      </c>
      <c r="BC68" s="92">
        <f>BC32/AX32-1</f>
        <v>0.33736783528102343</v>
      </c>
      <c r="BD68" s="92">
        <f t="shared" si="42"/>
        <v>-5.6773021460208017E-3</v>
      </c>
      <c r="BE68" s="121">
        <f t="shared" si="42"/>
        <v>0.24338550073689369</v>
      </c>
      <c r="BF68" s="92">
        <f t="shared" si="42"/>
        <v>-0.41573646731743474</v>
      </c>
      <c r="BG68" s="92">
        <f>BG32/BB32-1</f>
        <v>-0.15308162473525766</v>
      </c>
      <c r="BH68" s="92">
        <f>BH32/BC32-1</f>
        <v>-0.12788828144179742</v>
      </c>
      <c r="BI68" s="92">
        <f>BI32/BD32-1</f>
        <v>9.182758581706163E-2</v>
      </c>
      <c r="BJ68" s="121">
        <f t="shared" ref="BJ68" si="43">BJ32/BE32-1</f>
        <v>-0.14571051436473437</v>
      </c>
      <c r="BO68" s="121">
        <f>BO32/BJ32-1</f>
        <v>0.20037534514218169</v>
      </c>
      <c r="BT68" s="121">
        <f>BT32/BO32-1</f>
        <v>0.15498506954649915</v>
      </c>
      <c r="BY68" s="121">
        <f>BY32/BT32-1</f>
        <v>0.1338559988103758</v>
      </c>
      <c r="CD68" s="121">
        <f>CD32/BY32-1</f>
        <v>9.4859019573552805E-2</v>
      </c>
      <c r="CF68" s="42"/>
    </row>
    <row r="69" spans="2:84" s="119" customFormat="1">
      <c r="B69" s="90" t="s">
        <v>84</v>
      </c>
      <c r="C69" s="133"/>
      <c r="D69" s="134"/>
      <c r="E69" s="134"/>
      <c r="F69" s="134"/>
      <c r="G69" s="135"/>
      <c r="H69" s="133"/>
      <c r="I69" s="134"/>
      <c r="J69" s="134"/>
      <c r="K69" s="134"/>
      <c r="L69" s="135"/>
      <c r="M69" s="133"/>
      <c r="N69" s="134"/>
      <c r="O69" s="134"/>
      <c r="P69" s="134"/>
      <c r="Q69" s="135"/>
      <c r="R69" s="134"/>
      <c r="S69" s="134"/>
      <c r="T69" s="134"/>
      <c r="U69" s="134"/>
      <c r="V69" s="135"/>
      <c r="W69" s="134"/>
      <c r="X69" s="134"/>
      <c r="Y69" s="134"/>
      <c r="Z69" s="134"/>
      <c r="AA69" s="135"/>
      <c r="AB69" s="134"/>
      <c r="AC69" s="134"/>
      <c r="AD69" s="134"/>
      <c r="AE69" s="134">
        <f t="shared" ref="AE69:AL69" si="44">AE38/Z38-1</f>
        <v>-0.38536580117232555</v>
      </c>
      <c r="AF69" s="135">
        <f t="shared" si="44"/>
        <v>-0.65746228077315183</v>
      </c>
      <c r="AG69" s="134">
        <f t="shared" si="44"/>
        <v>5.1139116633545756E-2</v>
      </c>
      <c r="AH69" s="134">
        <f t="shared" si="44"/>
        <v>0.20512003358429731</v>
      </c>
      <c r="AI69" s="134">
        <f t="shared" si="44"/>
        <v>-1.5162276424490315</v>
      </c>
      <c r="AJ69" s="134">
        <f t="shared" si="44"/>
        <v>0.85646233136104</v>
      </c>
      <c r="AK69" s="135" t="s">
        <v>85</v>
      </c>
      <c r="AL69" s="134">
        <f t="shared" si="44"/>
        <v>0.84856227289166375</v>
      </c>
      <c r="AM69" s="134">
        <f>AM38/AH38-1</f>
        <v>0.38772727258847395</v>
      </c>
      <c r="AN69" s="134">
        <f>AN38/AI38-1</f>
        <v>0.74530343342313388</v>
      </c>
      <c r="AO69" s="134">
        <f>AO38/AJ38-1</f>
        <v>0.29344867665078644</v>
      </c>
      <c r="AP69" s="135">
        <f>AP38/AK38-1</f>
        <v>0.53783967029355062</v>
      </c>
      <c r="AQ69" s="134">
        <f t="shared" ref="AQ69:BF69" si="45">AQ38/AL38-1</f>
        <v>0.13901324298564854</v>
      </c>
      <c r="AR69" s="134">
        <f t="shared" si="45"/>
        <v>0.32932704005881064</v>
      </c>
      <c r="AS69" s="134">
        <f t="shared" si="45"/>
        <v>0.24512649346029747</v>
      </c>
      <c r="AT69" s="134">
        <f t="shared" si="45"/>
        <v>0.76260900153861577</v>
      </c>
      <c r="AU69" s="135">
        <f>AU38/AP38-1</f>
        <v>0.38363466891042086</v>
      </c>
      <c r="AV69" s="134">
        <f t="shared" si="45"/>
        <v>0.35380509690814832</v>
      </c>
      <c r="AW69" s="134">
        <f t="shared" si="45"/>
        <v>0.42527716657528436</v>
      </c>
      <c r="AX69" s="134">
        <f t="shared" si="45"/>
        <v>0.47493092513300361</v>
      </c>
      <c r="AY69" s="134">
        <f t="shared" si="45"/>
        <v>0.20026074470116617</v>
      </c>
      <c r="AZ69" s="135">
        <f t="shared" si="45"/>
        <v>0.33743719900921065</v>
      </c>
      <c r="BA69" s="134">
        <f t="shared" si="45"/>
        <v>0.34204138567051046</v>
      </c>
      <c r="BB69" s="134">
        <f>BB38/AW38-1</f>
        <v>0.34115729987541665</v>
      </c>
      <c r="BC69" s="134">
        <f>BC38/AX38-1</f>
        <v>0.30040923698408362</v>
      </c>
      <c r="BD69" s="134">
        <f t="shared" si="45"/>
        <v>-2.8411173488781083E-2</v>
      </c>
      <c r="BE69" s="135">
        <f t="shared" si="45"/>
        <v>0.2174601713912514</v>
      </c>
      <c r="BF69" s="134">
        <f t="shared" si="45"/>
        <v>-0.42659017684140355</v>
      </c>
      <c r="BG69" s="134">
        <f>BG38/BB38-1</f>
        <v>-0.15066116638925953</v>
      </c>
      <c r="BH69" s="134">
        <f>BH38/BC38-1</f>
        <v>-0.12514657555321784</v>
      </c>
      <c r="BI69" s="134">
        <f>BI38/BD38-1</f>
        <v>9.1827585817061408E-2</v>
      </c>
      <c r="BJ69" s="135">
        <f t="shared" ref="BJ69" si="46">BJ38/BE38-1</f>
        <v>-0.14839619151305916</v>
      </c>
      <c r="BO69" s="135">
        <f>BO38/BJ38-1</f>
        <v>0.18849044073483356</v>
      </c>
      <c r="BT69" s="135">
        <f>BT38/BO38-1</f>
        <v>0.15746935632524384</v>
      </c>
      <c r="BY69" s="135">
        <f>BY38/BT38-1</f>
        <v>0.13544365167310057</v>
      </c>
      <c r="CD69" s="135">
        <f>CD38/BY38-1</f>
        <v>9.5770391940235733E-2</v>
      </c>
      <c r="CF69" s="136"/>
    </row>
    <row r="70" spans="2:84" s="91" customFormat="1" ht="4.5" customHeight="1">
      <c r="B70" s="69"/>
      <c r="G70" s="92"/>
      <c r="L70" s="92"/>
      <c r="Q70" s="92"/>
      <c r="V70" s="92"/>
      <c r="AA70" s="92"/>
      <c r="AF70" s="92"/>
      <c r="AK70" s="92"/>
      <c r="AP70" s="92"/>
      <c r="AU70" s="92"/>
    </row>
    <row r="71" spans="2:84" s="28" customFormat="1" hidden="1">
      <c r="B71" s="34" t="s">
        <v>86</v>
      </c>
      <c r="C71" s="35"/>
      <c r="D71" s="36"/>
      <c r="E71" s="36"/>
      <c r="F71" s="36"/>
      <c r="G71" s="91"/>
      <c r="H71" s="91"/>
      <c r="I71" s="91"/>
      <c r="J71" s="91"/>
      <c r="K71" s="91"/>
      <c r="L71" s="91"/>
      <c r="M71" s="91"/>
      <c r="N71" s="91"/>
      <c r="O71" s="91"/>
      <c r="P71" s="91"/>
      <c r="Q71" s="91"/>
      <c r="R71" s="91"/>
      <c r="S71" s="91"/>
      <c r="T71" s="91"/>
      <c r="U71" s="91"/>
      <c r="V71" s="91"/>
      <c r="W71" s="91"/>
      <c r="X71" s="91"/>
      <c r="Y71" s="91"/>
      <c r="Z71" s="91"/>
      <c r="AA71" s="91"/>
      <c r="AB71" s="91"/>
      <c r="AC71" s="91"/>
      <c r="AD71" s="91"/>
      <c r="AE71" s="91"/>
      <c r="AF71" s="91"/>
      <c r="AG71" s="91"/>
      <c r="AH71" s="91"/>
      <c r="AI71" s="91"/>
      <c r="AJ71" s="91"/>
      <c r="AK71" s="91"/>
      <c r="AL71" s="91"/>
      <c r="AM71" s="91"/>
      <c r="AN71" s="91"/>
      <c r="AO71" s="91"/>
      <c r="AP71" s="91"/>
      <c r="AQ71" s="35"/>
      <c r="AR71" s="36"/>
      <c r="AS71" s="36"/>
      <c r="AT71" s="36"/>
      <c r="AU71" s="34"/>
      <c r="AV71" s="35"/>
      <c r="AW71" s="36"/>
      <c r="AX71" s="36"/>
      <c r="AY71" s="36"/>
      <c r="AZ71" s="34"/>
      <c r="BA71" s="45"/>
      <c r="BB71" s="45"/>
      <c r="BC71" s="45"/>
      <c r="BD71" s="45"/>
      <c r="BE71" s="45"/>
      <c r="BF71" s="45"/>
      <c r="BG71" s="45"/>
      <c r="BH71" s="45"/>
      <c r="BI71" s="45"/>
      <c r="BJ71" s="45"/>
      <c r="BK71" s="45"/>
      <c r="BL71" s="45"/>
      <c r="BM71" s="45"/>
      <c r="BN71" s="45"/>
      <c r="BO71" s="45"/>
      <c r="BP71" s="45"/>
      <c r="BQ71" s="45"/>
      <c r="BR71" s="45"/>
      <c r="BS71" s="45"/>
      <c r="BT71" s="45"/>
      <c r="BU71" s="45"/>
      <c r="BV71" s="45"/>
      <c r="BW71" s="45"/>
      <c r="BX71" s="45"/>
      <c r="BY71" s="45"/>
      <c r="BZ71" s="45"/>
      <c r="CA71" s="45"/>
      <c r="CB71" s="45"/>
      <c r="CC71" s="45"/>
      <c r="CD71" s="45"/>
      <c r="CE71" s="45"/>
      <c r="CF71" s="45"/>
    </row>
    <row r="72" spans="2:84" s="91" customFormat="1" hidden="1">
      <c r="B72" s="70" t="s">
        <v>87</v>
      </c>
      <c r="AQ72" s="137"/>
      <c r="AR72" s="138"/>
      <c r="AS72" s="138">
        <v>2.5000000000000001E-2</v>
      </c>
      <c r="AT72" s="138">
        <v>2.5000000000000001E-2</v>
      </c>
      <c r="AU72" s="139"/>
      <c r="AV72" s="138">
        <v>0.06</v>
      </c>
      <c r="AW72" s="138">
        <v>0.06</v>
      </c>
      <c r="AX72" s="138">
        <v>0.03</v>
      </c>
      <c r="AY72" s="138">
        <v>0.03</v>
      </c>
      <c r="AZ72" s="139"/>
      <c r="BA72" s="28"/>
      <c r="BB72" s="28"/>
      <c r="BC72" s="28"/>
      <c r="BD72" s="28"/>
      <c r="BE72" s="45"/>
      <c r="BF72" s="28"/>
      <c r="BG72" s="28"/>
      <c r="BH72" s="28"/>
      <c r="BI72" s="28"/>
      <c r="BJ72" s="45"/>
      <c r="BK72" s="28"/>
      <c r="BL72" s="28"/>
      <c r="BM72" s="28"/>
      <c r="BN72" s="28"/>
      <c r="BO72" s="45"/>
      <c r="BP72" s="28"/>
      <c r="BQ72" s="28"/>
      <c r="BR72" s="28"/>
      <c r="BS72" s="28"/>
      <c r="BT72" s="45"/>
      <c r="BU72" s="28"/>
      <c r="BV72" s="28"/>
      <c r="BW72" s="28"/>
      <c r="BX72" s="28"/>
      <c r="BY72" s="45"/>
      <c r="BZ72" s="28"/>
      <c r="CA72" s="28"/>
      <c r="CB72" s="28"/>
      <c r="CC72" s="28"/>
      <c r="CD72" s="45"/>
    </row>
    <row r="73" spans="2:84" s="91" customFormat="1" hidden="1">
      <c r="B73" s="70" t="s">
        <v>88</v>
      </c>
      <c r="AQ73" s="140"/>
      <c r="AR73" s="141"/>
      <c r="AS73" s="141" t="e">
        <f>AS72*(AS10-Sales!#REF!)</f>
        <v>#REF!</v>
      </c>
      <c r="AT73" s="141" t="e">
        <f>AT72*(AT10-Sales!#REF!)</f>
        <v>#REF!</v>
      </c>
      <c r="AU73" s="139"/>
      <c r="AV73" s="141" t="e">
        <f>AV72*(AV10-Sales!#REF!)</f>
        <v>#REF!</v>
      </c>
      <c r="AW73" s="141" t="e">
        <f>AW72*(AW10-Sales!#REF!)</f>
        <v>#REF!</v>
      </c>
      <c r="AX73" s="141" t="e">
        <f>AX72*(AX10-Sales!#REF!)</f>
        <v>#REF!</v>
      </c>
      <c r="AY73" s="141" t="e">
        <f>AY72*(AY10-Sales!#REF!)</f>
        <v>#REF!</v>
      </c>
      <c r="AZ73" s="139" t="e">
        <f>SUM(AV73:AY73)</f>
        <v>#REF!</v>
      </c>
      <c r="BA73" s="28"/>
      <c r="BB73" s="28"/>
      <c r="BC73" s="28"/>
      <c r="BD73" s="28"/>
      <c r="BE73" s="45"/>
      <c r="BF73" s="28"/>
      <c r="BG73" s="28"/>
      <c r="BH73" s="28"/>
      <c r="BI73" s="28"/>
      <c r="BJ73" s="45"/>
      <c r="BK73" s="28"/>
      <c r="BL73" s="28"/>
      <c r="BM73" s="28"/>
      <c r="BN73" s="28"/>
      <c r="BO73" s="45"/>
      <c r="BP73" s="28"/>
      <c r="BQ73" s="28"/>
      <c r="BR73" s="28"/>
      <c r="BS73" s="28"/>
      <c r="BT73" s="45"/>
      <c r="BU73" s="28"/>
      <c r="BV73" s="28"/>
      <c r="BW73" s="28"/>
      <c r="BX73" s="28"/>
      <c r="BY73" s="45"/>
      <c r="BZ73" s="28"/>
      <c r="CA73" s="28"/>
      <c r="CB73" s="28"/>
      <c r="CC73" s="28"/>
      <c r="CD73" s="45"/>
    </row>
    <row r="74" spans="2:84" s="91" customFormat="1" hidden="1">
      <c r="B74" s="70" t="s">
        <v>89</v>
      </c>
      <c r="AQ74" s="137"/>
      <c r="AR74" s="138"/>
      <c r="AS74" s="138">
        <v>0.23</v>
      </c>
      <c r="AT74" s="138">
        <v>0.22</v>
      </c>
      <c r="AU74" s="139"/>
      <c r="AV74" s="138">
        <v>0.27</v>
      </c>
      <c r="AW74" s="138">
        <v>0.27</v>
      </c>
      <c r="AX74" s="138">
        <v>0.24</v>
      </c>
      <c r="AY74" s="138">
        <v>0.24</v>
      </c>
      <c r="AZ74" s="139"/>
      <c r="BA74" s="28"/>
      <c r="BB74" s="28"/>
      <c r="BC74" s="28"/>
      <c r="BD74" s="28"/>
      <c r="BE74" s="45"/>
      <c r="BF74" s="28"/>
      <c r="BG74" s="28"/>
      <c r="BH74" s="28"/>
      <c r="BI74" s="28"/>
      <c r="BJ74" s="45"/>
      <c r="BK74" s="28"/>
      <c r="BL74" s="28"/>
      <c r="BM74" s="28"/>
      <c r="BN74" s="28"/>
      <c r="BO74" s="45"/>
      <c r="BP74" s="28"/>
      <c r="BQ74" s="28"/>
      <c r="BR74" s="28"/>
      <c r="BS74" s="28"/>
      <c r="BT74" s="45"/>
      <c r="BU74" s="28"/>
      <c r="BV74" s="28"/>
      <c r="BW74" s="28"/>
      <c r="BX74" s="28"/>
      <c r="BY74" s="45"/>
      <c r="BZ74" s="28"/>
      <c r="CA74" s="28"/>
      <c r="CB74" s="28"/>
      <c r="CC74" s="28"/>
      <c r="CD74" s="45"/>
    </row>
    <row r="75" spans="2:84" s="91" customFormat="1" hidden="1">
      <c r="B75" s="70" t="s">
        <v>90</v>
      </c>
      <c r="AQ75" s="140"/>
      <c r="AR75" s="141"/>
      <c r="AS75" s="141" t="e">
        <f>AS74*(AS10-Sales!#REF!)</f>
        <v>#REF!</v>
      </c>
      <c r="AT75" s="141" t="e">
        <f>AT74*(AT10-Sales!#REF!)</f>
        <v>#REF!</v>
      </c>
      <c r="AU75" s="139"/>
      <c r="AV75" s="141" t="e">
        <f>AV74*(AV10-Sales!AV11-Sales!#REF!-Sales!#REF!)</f>
        <v>#REF!</v>
      </c>
      <c r="AW75" s="141" t="e">
        <f>AW74*(AW10-Sales!AW11-Sales!#REF!-Sales!#REF!)</f>
        <v>#REF!</v>
      </c>
      <c r="AX75" s="141" t="e">
        <f>AX74*(AX10-Sales!AX11-Sales!#REF!-Sales!#REF!)</f>
        <v>#REF!</v>
      </c>
      <c r="AY75" s="141" t="e">
        <f>AY74*(AY10-Sales!AY11-Sales!#REF!-Sales!#REF!)</f>
        <v>#REF!</v>
      </c>
      <c r="AZ75" s="139" t="e">
        <f>SUM(AV75:AY75)</f>
        <v>#REF!</v>
      </c>
      <c r="BA75" s="28"/>
      <c r="BB75" s="28"/>
      <c r="BC75" s="28"/>
      <c r="BD75" s="28"/>
      <c r="BE75" s="45"/>
      <c r="BF75" s="28"/>
      <c r="BG75" s="28"/>
      <c r="BH75" s="28"/>
      <c r="BI75" s="28"/>
      <c r="BJ75" s="45"/>
      <c r="BK75" s="28"/>
      <c r="BL75" s="28"/>
      <c r="BM75" s="28"/>
      <c r="BN75" s="28"/>
      <c r="BO75" s="45"/>
      <c r="BP75" s="28"/>
      <c r="BQ75" s="28"/>
      <c r="BR75" s="28"/>
      <c r="BS75" s="28"/>
      <c r="BT75" s="45"/>
      <c r="BU75" s="28"/>
      <c r="BV75" s="28"/>
      <c r="BW75" s="28"/>
      <c r="BX75" s="28"/>
      <c r="BY75" s="45"/>
      <c r="BZ75" s="28"/>
      <c r="CA75" s="28"/>
      <c r="CB75" s="28"/>
      <c r="CC75" s="28"/>
      <c r="CD75" s="45"/>
    </row>
    <row r="76" spans="2:84" s="91" customFormat="1" ht="4.5" hidden="1" customHeight="1">
      <c r="B76" s="70"/>
      <c r="AQ76" s="44"/>
      <c r="AR76" s="45"/>
      <c r="AS76" s="45"/>
      <c r="AT76" s="45"/>
      <c r="AU76" s="139"/>
      <c r="AV76" s="28"/>
      <c r="AW76" s="28"/>
      <c r="AX76" s="28"/>
      <c r="AY76" s="45"/>
      <c r="AZ76" s="139"/>
      <c r="BA76" s="28"/>
      <c r="BB76" s="28"/>
      <c r="BC76" s="28"/>
      <c r="BD76" s="28"/>
      <c r="BE76" s="45"/>
      <c r="BF76" s="28"/>
      <c r="BG76" s="28"/>
      <c r="BH76" s="28"/>
      <c r="BI76" s="28"/>
      <c r="BJ76" s="45"/>
      <c r="BK76" s="28"/>
      <c r="BL76" s="28"/>
      <c r="BM76" s="28"/>
      <c r="BN76" s="28"/>
      <c r="BO76" s="45"/>
      <c r="BP76" s="28"/>
      <c r="BQ76" s="28"/>
      <c r="BR76" s="28"/>
      <c r="BS76" s="28"/>
      <c r="BT76" s="45"/>
      <c r="BU76" s="28"/>
      <c r="BV76" s="28"/>
      <c r="BW76" s="28"/>
      <c r="BX76" s="28"/>
      <c r="BY76" s="45"/>
      <c r="BZ76" s="28"/>
      <c r="CA76" s="28"/>
      <c r="CB76" s="28"/>
      <c r="CC76" s="28"/>
      <c r="CD76" s="45"/>
    </row>
    <row r="77" spans="2:84" s="91" customFormat="1" hidden="1">
      <c r="B77" s="70" t="s">
        <v>91</v>
      </c>
      <c r="AQ77" s="142"/>
      <c r="AR77" s="143"/>
      <c r="AS77" s="143"/>
      <c r="AT77" s="143"/>
      <c r="AU77" s="139">
        <f>SUM(AQ77:AT77)</f>
        <v>0</v>
      </c>
      <c r="AV77" s="143"/>
      <c r="AW77" s="143"/>
      <c r="AX77" s="143"/>
      <c r="AY77" s="143"/>
      <c r="AZ77" s="139"/>
      <c r="BA77" s="28"/>
      <c r="BB77" s="28"/>
      <c r="BC77" s="28"/>
      <c r="BD77" s="28"/>
      <c r="BE77" s="45"/>
      <c r="BF77" s="28"/>
      <c r="BG77" s="28"/>
      <c r="BH77" s="28"/>
      <c r="BI77" s="28"/>
      <c r="BJ77" s="45"/>
      <c r="BK77" s="28"/>
      <c r="BL77" s="28"/>
      <c r="BM77" s="28"/>
      <c r="BN77" s="28"/>
      <c r="BO77" s="45"/>
      <c r="BP77" s="28"/>
      <c r="BQ77" s="28"/>
      <c r="BR77" s="28"/>
      <c r="BS77" s="28"/>
      <c r="BT77" s="45"/>
      <c r="BU77" s="28"/>
      <c r="BV77" s="28"/>
      <c r="BW77" s="28"/>
      <c r="BX77" s="28"/>
      <c r="BY77" s="45"/>
      <c r="BZ77" s="28"/>
      <c r="CA77" s="28"/>
      <c r="CB77" s="28"/>
      <c r="CC77" s="28"/>
      <c r="CD77" s="45"/>
    </row>
    <row r="78" spans="2:84" s="91" customFormat="1" hidden="1">
      <c r="B78" s="70" t="s">
        <v>92</v>
      </c>
      <c r="AQ78" s="142"/>
      <c r="AR78" s="143"/>
      <c r="AS78" s="143"/>
      <c r="AT78" s="143"/>
      <c r="AU78" s="139">
        <f>SUM(AQ78:AT78)</f>
        <v>0</v>
      </c>
      <c r="AV78" s="143"/>
      <c r="AW78" s="143"/>
      <c r="AX78" s="143"/>
      <c r="AY78" s="143"/>
      <c r="AZ78" s="139"/>
      <c r="BA78" s="28"/>
      <c r="BB78" s="28"/>
      <c r="BC78" s="28"/>
      <c r="BD78" s="28"/>
      <c r="BE78" s="45"/>
      <c r="BF78" s="28"/>
      <c r="BG78" s="28"/>
      <c r="BH78" s="28"/>
      <c r="BI78" s="28"/>
      <c r="BJ78" s="45"/>
      <c r="BK78" s="28"/>
      <c r="BL78" s="28"/>
      <c r="BM78" s="28"/>
      <c r="BN78" s="28"/>
      <c r="BO78" s="45"/>
      <c r="BP78" s="28"/>
      <c r="BQ78" s="28"/>
      <c r="BR78" s="28"/>
      <c r="BS78" s="28"/>
      <c r="BT78" s="45"/>
      <c r="BU78" s="28"/>
      <c r="BV78" s="28"/>
      <c r="BW78" s="28"/>
      <c r="BX78" s="28"/>
      <c r="BY78" s="45"/>
      <c r="BZ78" s="28"/>
      <c r="CA78" s="28"/>
      <c r="CB78" s="28"/>
      <c r="CC78" s="28"/>
      <c r="CD78" s="45"/>
    </row>
    <row r="79" spans="2:84" s="91" customFormat="1" ht="4.5" hidden="1" customHeight="1">
      <c r="B79" s="70"/>
      <c r="AQ79" s="44"/>
      <c r="AR79" s="45"/>
      <c r="AS79" s="45"/>
      <c r="AT79" s="45"/>
      <c r="AU79" s="46"/>
      <c r="AV79" s="28"/>
      <c r="AW79" s="28"/>
      <c r="AX79" s="28"/>
      <c r="AY79" s="28"/>
      <c r="AZ79" s="46"/>
      <c r="BA79" s="28"/>
      <c r="BB79" s="28"/>
      <c r="BC79" s="28"/>
      <c r="BD79" s="28"/>
      <c r="BE79" s="45"/>
      <c r="BF79" s="28"/>
      <c r="BG79" s="28"/>
      <c r="BH79" s="28"/>
      <c r="BI79" s="28"/>
      <c r="BJ79" s="45"/>
      <c r="BK79" s="28"/>
      <c r="BL79" s="28"/>
      <c r="BM79" s="28"/>
      <c r="BN79" s="28"/>
      <c r="BO79" s="45"/>
      <c r="BP79" s="28"/>
      <c r="BQ79" s="28"/>
      <c r="BR79" s="28"/>
      <c r="BS79" s="28"/>
      <c r="BT79" s="45"/>
      <c r="BU79" s="28"/>
      <c r="BV79" s="28"/>
      <c r="BW79" s="28"/>
      <c r="BX79" s="28"/>
      <c r="BY79" s="45"/>
      <c r="BZ79" s="28"/>
      <c r="CA79" s="28"/>
      <c r="CB79" s="28"/>
      <c r="CC79" s="28"/>
      <c r="CD79" s="45"/>
    </row>
    <row r="80" spans="2:84" s="94" customFormat="1" hidden="1">
      <c r="B80" s="144" t="s">
        <v>93</v>
      </c>
      <c r="AQ80" s="142"/>
      <c r="AR80" s="143"/>
      <c r="AS80" s="143"/>
      <c r="AT80" s="143"/>
      <c r="AU80" s="139">
        <f>SUM(AQ80:AT80)</f>
        <v>0</v>
      </c>
      <c r="AV80" s="143"/>
      <c r="AW80" s="143"/>
      <c r="AX80" s="143"/>
      <c r="AY80" s="143"/>
      <c r="AZ80" s="139"/>
      <c r="BA80" s="145"/>
      <c r="BB80" s="145"/>
      <c r="BC80" s="145"/>
      <c r="BD80" s="145"/>
      <c r="BE80" s="141"/>
      <c r="BF80" s="145"/>
      <c r="BG80" s="145"/>
      <c r="BH80" s="145"/>
      <c r="BI80" s="145"/>
      <c r="BJ80" s="141"/>
      <c r="BK80" s="145"/>
      <c r="BL80" s="145"/>
      <c r="BM80" s="145"/>
      <c r="BN80" s="145"/>
      <c r="BO80" s="141"/>
      <c r="BP80" s="145"/>
      <c r="BQ80" s="145"/>
      <c r="BR80" s="145"/>
      <c r="BS80" s="145"/>
      <c r="BT80" s="141"/>
      <c r="BU80" s="145"/>
      <c r="BV80" s="145"/>
      <c r="BW80" s="145"/>
      <c r="BX80" s="145"/>
      <c r="BY80" s="141"/>
      <c r="BZ80" s="145"/>
      <c r="CA80" s="145"/>
      <c r="CB80" s="145"/>
      <c r="CC80" s="145"/>
      <c r="CD80" s="141"/>
    </row>
    <row r="81" spans="1:16325" s="146" customFormat="1" ht="15" hidden="1">
      <c r="B81" s="147" t="s">
        <v>94</v>
      </c>
      <c r="AQ81" s="148"/>
      <c r="AR81" s="149"/>
      <c r="AS81" s="149"/>
      <c r="AT81" s="149"/>
      <c r="AU81" s="150">
        <f>SUM(AQ81:AT81)</f>
        <v>0</v>
      </c>
      <c r="AV81" s="149"/>
      <c r="AW81" s="149"/>
      <c r="AX81" s="149"/>
      <c r="AY81" s="149"/>
      <c r="AZ81" s="150"/>
      <c r="BA81" s="151"/>
      <c r="BB81" s="151"/>
      <c r="BC81" s="151"/>
      <c r="BD81" s="151"/>
      <c r="BE81" s="152"/>
      <c r="BF81" s="151"/>
      <c r="BG81" s="151"/>
      <c r="BH81" s="151"/>
      <c r="BI81" s="151"/>
      <c r="BJ81" s="152"/>
      <c r="BK81" s="151"/>
      <c r="BL81" s="151"/>
      <c r="BM81" s="151"/>
      <c r="BN81" s="151"/>
      <c r="BO81" s="152"/>
      <c r="BP81" s="151"/>
      <c r="BQ81" s="151"/>
      <c r="BR81" s="151"/>
      <c r="BS81" s="151"/>
      <c r="BT81" s="152"/>
      <c r="BU81" s="151"/>
      <c r="BV81" s="151"/>
      <c r="BW81" s="151"/>
      <c r="BX81" s="151"/>
      <c r="BY81" s="152"/>
      <c r="BZ81" s="151"/>
      <c r="CA81" s="151"/>
      <c r="CB81" s="151"/>
      <c r="CC81" s="151"/>
      <c r="CD81" s="152"/>
    </row>
    <row r="82" spans="1:16325" s="153" customFormat="1" hidden="1">
      <c r="B82" s="83" t="s">
        <v>95</v>
      </c>
      <c r="AQ82" s="154"/>
      <c r="AR82" s="155"/>
      <c r="AS82" s="155"/>
      <c r="AT82" s="155"/>
      <c r="AU82" s="156">
        <f>AU81+AU80</f>
        <v>0</v>
      </c>
      <c r="AV82" s="155"/>
      <c r="AW82" s="155"/>
      <c r="AX82" s="155"/>
      <c r="AY82" s="155"/>
      <c r="AZ82" s="156"/>
      <c r="BA82" s="157"/>
      <c r="BB82" s="157"/>
      <c r="BC82" s="157"/>
      <c r="BD82" s="157"/>
      <c r="BE82" s="40"/>
      <c r="BF82" s="157"/>
      <c r="BG82" s="157"/>
      <c r="BH82" s="157"/>
      <c r="BI82" s="157"/>
      <c r="BJ82" s="40"/>
      <c r="BK82" s="157"/>
      <c r="BL82" s="157"/>
      <c r="BM82" s="157"/>
      <c r="BN82" s="157"/>
      <c r="BO82" s="40"/>
      <c r="BP82" s="157"/>
      <c r="BQ82" s="157"/>
      <c r="BR82" s="157"/>
      <c r="BS82" s="157"/>
      <c r="BT82" s="40"/>
      <c r="BU82" s="157"/>
      <c r="BV82" s="157"/>
      <c r="BW82" s="157"/>
      <c r="BX82" s="157"/>
      <c r="BY82" s="40"/>
      <c r="BZ82" s="157"/>
      <c r="CA82" s="157"/>
      <c r="CB82" s="157"/>
      <c r="CC82" s="157"/>
      <c r="CD82" s="40"/>
    </row>
    <row r="83" spans="1:16325" s="153" customFormat="1" hidden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  <c r="AA83" s="6"/>
      <c r="AB83" s="6"/>
      <c r="AC83" s="6"/>
      <c r="AD83" s="6"/>
      <c r="AE83" s="6"/>
      <c r="AF83" s="6"/>
      <c r="AG83" s="6"/>
      <c r="AH83" s="6"/>
      <c r="AI83" s="6"/>
      <c r="AJ83" s="6"/>
      <c r="AK83" s="6"/>
      <c r="AL83" s="6"/>
      <c r="AM83" s="6"/>
      <c r="AN83" s="6"/>
      <c r="AO83" s="6"/>
      <c r="AP83" s="6"/>
      <c r="AQ83" s="6"/>
      <c r="AR83" s="6"/>
      <c r="AS83" s="6"/>
      <c r="AT83" s="6"/>
      <c r="AU83" s="6"/>
      <c r="AV83" s="6"/>
      <c r="AW83" s="6"/>
      <c r="AX83" s="6"/>
      <c r="AY83" s="6"/>
      <c r="AZ83" s="6"/>
      <c r="BA83" s="6"/>
      <c r="BB83" s="6"/>
      <c r="BC83" s="6"/>
      <c r="BD83" s="6"/>
      <c r="BE83" s="6"/>
      <c r="BF83" s="6"/>
      <c r="BG83" s="6"/>
      <c r="BH83" s="6"/>
      <c r="BI83" s="6"/>
      <c r="BJ83" s="6"/>
      <c r="BK83" s="6"/>
      <c r="BL83" s="6"/>
      <c r="BM83" s="6"/>
      <c r="BN83" s="6"/>
      <c r="BO83" s="6"/>
      <c r="BP83" s="6"/>
      <c r="BQ83" s="6"/>
      <c r="BR83" s="6"/>
      <c r="BS83" s="6"/>
      <c r="BT83" s="6"/>
      <c r="BU83" s="6"/>
      <c r="BV83" s="6"/>
      <c r="BW83" s="6"/>
      <c r="BX83" s="6"/>
      <c r="BY83" s="6"/>
      <c r="BZ83" s="6"/>
      <c r="CA83" s="6"/>
      <c r="CB83" s="6"/>
      <c r="CC83" s="6"/>
      <c r="CD83" s="6"/>
      <c r="CE83" s="6"/>
      <c r="CF83" s="6"/>
      <c r="CG83" s="6"/>
      <c r="CH83" s="6"/>
      <c r="CI83" s="6"/>
      <c r="CJ83" s="6"/>
      <c r="CK83" s="6"/>
      <c r="CL83" s="6"/>
      <c r="CM83" s="6"/>
      <c r="CN83" s="6"/>
      <c r="CO83" s="6"/>
      <c r="CP83" s="6"/>
      <c r="CQ83" s="6"/>
      <c r="CR83" s="6"/>
      <c r="CS83" s="6"/>
      <c r="CT83" s="6"/>
      <c r="CU83" s="6"/>
      <c r="CV83" s="6"/>
      <c r="CW83" s="6"/>
      <c r="CX83" s="6"/>
      <c r="CY83" s="6"/>
      <c r="CZ83" s="6"/>
      <c r="DA83" s="6"/>
      <c r="DB83" s="6"/>
      <c r="DC83" s="6"/>
      <c r="DD83" s="6"/>
      <c r="DE83" s="6"/>
      <c r="DF83" s="6"/>
      <c r="DG83" s="6"/>
      <c r="DH83" s="6"/>
      <c r="DI83" s="6"/>
      <c r="DJ83" s="6"/>
      <c r="DK83" s="6"/>
      <c r="DL83" s="6"/>
      <c r="DM83" s="6"/>
      <c r="DN83" s="6"/>
      <c r="DO83" s="6"/>
      <c r="DP83" s="6"/>
      <c r="DQ83" s="6"/>
      <c r="DR83" s="6"/>
      <c r="DS83" s="6"/>
      <c r="DT83" s="6"/>
      <c r="DU83" s="6"/>
      <c r="DV83" s="6"/>
      <c r="DW83" s="6"/>
      <c r="DX83" s="6"/>
      <c r="DY83" s="6"/>
      <c r="DZ83" s="6"/>
      <c r="EA83" s="6"/>
      <c r="EB83" s="6"/>
      <c r="EC83" s="6"/>
      <c r="ED83" s="6"/>
      <c r="EE83" s="6"/>
      <c r="EF83" s="6"/>
      <c r="EG83" s="6"/>
      <c r="EH83" s="6"/>
      <c r="EI83" s="6"/>
      <c r="EJ83" s="6"/>
      <c r="EK83" s="6"/>
      <c r="EL83" s="6"/>
      <c r="EM83" s="6"/>
      <c r="EN83" s="6"/>
      <c r="EO83" s="6"/>
      <c r="EP83" s="6"/>
      <c r="EQ83" s="6"/>
      <c r="ER83" s="6"/>
      <c r="ES83" s="6"/>
      <c r="ET83" s="6"/>
      <c r="EU83" s="6"/>
      <c r="EV83" s="6"/>
      <c r="EW83" s="6"/>
      <c r="EX83" s="6"/>
      <c r="EY83" s="6"/>
      <c r="EZ83" s="6"/>
      <c r="FA83" s="6"/>
      <c r="FB83" s="6"/>
      <c r="FC83" s="6"/>
      <c r="FD83" s="6"/>
      <c r="FE83" s="6"/>
      <c r="FF83" s="6"/>
      <c r="FG83" s="6"/>
      <c r="FH83" s="6"/>
      <c r="FI83" s="6"/>
      <c r="FJ83" s="6"/>
      <c r="FK83" s="6"/>
      <c r="FL83" s="6"/>
      <c r="FM83" s="6"/>
      <c r="FN83" s="6"/>
      <c r="FO83" s="6"/>
      <c r="FP83" s="6"/>
      <c r="FQ83" s="6"/>
      <c r="FR83" s="6"/>
      <c r="FS83" s="6"/>
      <c r="FT83" s="6"/>
      <c r="FU83" s="6"/>
      <c r="FV83" s="6"/>
      <c r="FW83" s="6"/>
      <c r="FX83" s="6"/>
      <c r="FY83" s="6"/>
      <c r="FZ83" s="6"/>
      <c r="GA83" s="6"/>
      <c r="GB83" s="6"/>
      <c r="GC83" s="6"/>
      <c r="GD83" s="6"/>
      <c r="GE83" s="6"/>
      <c r="GF83" s="6"/>
      <c r="GG83" s="6"/>
      <c r="GH83" s="6"/>
      <c r="GI83" s="6"/>
      <c r="GJ83" s="6"/>
      <c r="GK83" s="6"/>
      <c r="GL83" s="6"/>
      <c r="GM83" s="6"/>
      <c r="GN83" s="6"/>
      <c r="GO83" s="6"/>
      <c r="GP83" s="6"/>
      <c r="GQ83" s="6"/>
      <c r="GR83" s="6"/>
      <c r="GS83" s="6"/>
      <c r="GT83" s="6"/>
      <c r="GU83" s="6"/>
      <c r="GV83" s="6"/>
      <c r="GW83" s="6"/>
      <c r="GX83" s="6"/>
      <c r="GY83" s="6"/>
      <c r="GZ83" s="6"/>
      <c r="HA83" s="6"/>
      <c r="HB83" s="6"/>
      <c r="HC83" s="6"/>
      <c r="HD83" s="6"/>
      <c r="HE83" s="6"/>
      <c r="HF83" s="6"/>
      <c r="HG83" s="6"/>
      <c r="HH83" s="6"/>
      <c r="HI83" s="6"/>
      <c r="HJ83" s="6"/>
      <c r="HK83" s="6"/>
      <c r="HL83" s="6"/>
      <c r="HM83" s="6"/>
      <c r="HN83" s="6"/>
      <c r="HO83" s="6"/>
      <c r="HP83" s="6"/>
      <c r="HQ83" s="6"/>
      <c r="HR83" s="6"/>
      <c r="HS83" s="6"/>
      <c r="HT83" s="6"/>
      <c r="HU83" s="6"/>
      <c r="HV83" s="6"/>
      <c r="HW83" s="6"/>
      <c r="HX83" s="6"/>
      <c r="HY83" s="6"/>
      <c r="HZ83" s="6"/>
      <c r="IA83" s="6"/>
      <c r="IB83" s="6"/>
      <c r="IC83" s="6"/>
      <c r="ID83" s="6"/>
      <c r="IE83" s="6"/>
      <c r="IF83" s="6"/>
      <c r="IG83" s="6"/>
      <c r="IH83" s="6"/>
      <c r="II83" s="6"/>
      <c r="IJ83" s="6"/>
      <c r="IK83" s="6"/>
      <c r="IL83" s="6"/>
      <c r="IM83" s="6"/>
      <c r="IN83" s="6"/>
      <c r="IO83" s="6"/>
      <c r="IP83" s="6"/>
      <c r="IQ83" s="6"/>
      <c r="IR83" s="6"/>
      <c r="IS83" s="6"/>
      <c r="IT83" s="6"/>
      <c r="IU83" s="6"/>
      <c r="IV83" s="6"/>
      <c r="IW83" s="6"/>
      <c r="IX83" s="6"/>
      <c r="IY83" s="6"/>
      <c r="IZ83" s="6"/>
      <c r="JA83" s="6"/>
      <c r="JB83" s="6"/>
      <c r="JC83" s="6"/>
      <c r="JD83" s="6"/>
      <c r="JE83" s="6"/>
      <c r="JF83" s="6"/>
      <c r="JG83" s="6"/>
      <c r="JH83" s="6"/>
      <c r="JI83" s="6"/>
      <c r="JJ83" s="6"/>
      <c r="JK83" s="6"/>
      <c r="JL83" s="6"/>
      <c r="JM83" s="6"/>
      <c r="JN83" s="6"/>
      <c r="JO83" s="6"/>
      <c r="JP83" s="6"/>
      <c r="JQ83" s="6"/>
      <c r="JR83" s="6"/>
      <c r="JS83" s="6"/>
      <c r="JT83" s="6"/>
      <c r="JU83" s="6"/>
      <c r="JV83" s="6"/>
      <c r="JW83" s="6"/>
      <c r="JX83" s="6"/>
      <c r="JY83" s="6"/>
      <c r="JZ83" s="6"/>
      <c r="KA83" s="6"/>
      <c r="KB83" s="6"/>
      <c r="KC83" s="6"/>
      <c r="KD83" s="6"/>
      <c r="KE83" s="6"/>
      <c r="KF83" s="6"/>
      <c r="KG83" s="6"/>
      <c r="KH83" s="6"/>
      <c r="KI83" s="6"/>
      <c r="KJ83" s="6"/>
      <c r="KK83" s="6"/>
      <c r="KL83" s="6"/>
      <c r="KM83" s="6"/>
      <c r="KN83" s="6"/>
      <c r="KO83" s="6"/>
      <c r="KP83" s="6"/>
      <c r="KQ83" s="6"/>
      <c r="KR83" s="6"/>
      <c r="KS83" s="6"/>
      <c r="KT83" s="6"/>
      <c r="KU83" s="6"/>
      <c r="KV83" s="6"/>
      <c r="KW83" s="6"/>
      <c r="KX83" s="6"/>
      <c r="KY83" s="6"/>
      <c r="KZ83" s="6"/>
      <c r="LA83" s="6"/>
      <c r="LB83" s="6"/>
      <c r="LC83" s="6"/>
      <c r="LD83" s="6"/>
      <c r="LE83" s="6"/>
      <c r="LF83" s="6"/>
      <c r="LG83" s="6"/>
      <c r="LH83" s="6"/>
      <c r="LI83" s="6"/>
      <c r="LJ83" s="6"/>
      <c r="LK83" s="6"/>
      <c r="LL83" s="6"/>
      <c r="LM83" s="6"/>
      <c r="LN83" s="6"/>
      <c r="LO83" s="6"/>
      <c r="LP83" s="6"/>
      <c r="LQ83" s="6"/>
      <c r="LR83" s="6"/>
      <c r="LS83" s="6"/>
      <c r="LT83" s="6"/>
      <c r="LU83" s="6"/>
      <c r="LV83" s="6"/>
      <c r="LW83" s="6"/>
      <c r="LX83" s="6"/>
      <c r="LY83" s="6"/>
      <c r="LZ83" s="6"/>
      <c r="MA83" s="6"/>
      <c r="MB83" s="6"/>
      <c r="MC83" s="6"/>
      <c r="MD83" s="6"/>
      <c r="ME83" s="6"/>
      <c r="MF83" s="6"/>
      <c r="MG83" s="6"/>
      <c r="MH83" s="6"/>
      <c r="MI83" s="6"/>
      <c r="MJ83" s="6"/>
      <c r="MK83" s="6"/>
      <c r="ML83" s="6"/>
      <c r="MM83" s="6"/>
      <c r="MN83" s="6"/>
      <c r="MO83" s="6"/>
      <c r="MP83" s="6"/>
      <c r="MQ83" s="6"/>
      <c r="MR83" s="6"/>
      <c r="MS83" s="6"/>
      <c r="MT83" s="6"/>
      <c r="MU83" s="6"/>
      <c r="MV83" s="6"/>
      <c r="MW83" s="6"/>
      <c r="MX83" s="6"/>
      <c r="MY83" s="6"/>
      <c r="MZ83" s="6"/>
      <c r="NA83" s="6"/>
      <c r="NB83" s="6"/>
      <c r="NC83" s="6"/>
      <c r="ND83" s="6"/>
      <c r="NE83" s="6"/>
      <c r="NF83" s="6"/>
      <c r="NG83" s="6"/>
      <c r="NH83" s="6"/>
      <c r="NI83" s="6"/>
      <c r="NJ83" s="6"/>
      <c r="NK83" s="6"/>
      <c r="NL83" s="6"/>
      <c r="NM83" s="6"/>
      <c r="NN83" s="6"/>
      <c r="NO83" s="6"/>
      <c r="NP83" s="6"/>
      <c r="NQ83" s="6"/>
      <c r="NR83" s="6"/>
      <c r="NS83" s="6"/>
      <c r="NT83" s="6"/>
      <c r="NU83" s="6"/>
      <c r="NV83" s="6"/>
      <c r="NW83" s="6"/>
      <c r="NX83" s="6"/>
      <c r="NY83" s="6"/>
      <c r="NZ83" s="6"/>
      <c r="OA83" s="6"/>
      <c r="OB83" s="6"/>
      <c r="OC83" s="6"/>
      <c r="OD83" s="6"/>
      <c r="OE83" s="6"/>
      <c r="OF83" s="6"/>
      <c r="OG83" s="6"/>
      <c r="OH83" s="6"/>
      <c r="OI83" s="6"/>
      <c r="OJ83" s="6"/>
      <c r="OK83" s="6"/>
      <c r="OL83" s="6"/>
      <c r="OM83" s="6"/>
      <c r="ON83" s="6"/>
      <c r="OO83" s="6"/>
      <c r="OP83" s="6"/>
      <c r="OQ83" s="6"/>
      <c r="OR83" s="6"/>
      <c r="OS83" s="6"/>
      <c r="OT83" s="6"/>
      <c r="OU83" s="6"/>
      <c r="OV83" s="6"/>
      <c r="OW83" s="6"/>
      <c r="OX83" s="6"/>
      <c r="OY83" s="6"/>
      <c r="OZ83" s="6"/>
      <c r="PA83" s="6"/>
      <c r="PB83" s="6"/>
      <c r="PC83" s="6"/>
      <c r="PD83" s="6"/>
      <c r="PE83" s="6"/>
      <c r="PF83" s="6"/>
      <c r="PG83" s="6"/>
      <c r="PH83" s="6"/>
      <c r="PI83" s="6"/>
      <c r="PJ83" s="6"/>
      <c r="PK83" s="6"/>
      <c r="PL83" s="6"/>
      <c r="PM83" s="6"/>
      <c r="PN83" s="6"/>
      <c r="PO83" s="6"/>
      <c r="PP83" s="6"/>
      <c r="PQ83" s="6"/>
      <c r="PR83" s="6"/>
      <c r="PS83" s="6"/>
      <c r="PT83" s="6"/>
      <c r="PU83" s="6"/>
      <c r="PV83" s="6"/>
      <c r="PW83" s="6"/>
      <c r="PX83" s="6"/>
      <c r="PY83" s="6"/>
      <c r="PZ83" s="6"/>
      <c r="QA83" s="6"/>
      <c r="QB83" s="6"/>
      <c r="QC83" s="6"/>
      <c r="QD83" s="6"/>
      <c r="QE83" s="6"/>
      <c r="QF83" s="6"/>
      <c r="QG83" s="6"/>
      <c r="QH83" s="6"/>
      <c r="QI83" s="6"/>
      <c r="QJ83" s="6"/>
      <c r="QK83" s="6"/>
      <c r="QL83" s="6"/>
      <c r="QM83" s="6"/>
      <c r="QN83" s="6"/>
      <c r="QO83" s="6"/>
      <c r="QP83" s="6"/>
      <c r="QQ83" s="6"/>
      <c r="QR83" s="6"/>
      <c r="QS83" s="6"/>
      <c r="QT83" s="6"/>
      <c r="QU83" s="6"/>
      <c r="QV83" s="6"/>
      <c r="QW83" s="6"/>
      <c r="QX83" s="6"/>
      <c r="QY83" s="6"/>
      <c r="QZ83" s="6"/>
      <c r="RA83" s="6"/>
      <c r="RB83" s="6"/>
      <c r="RC83" s="6"/>
      <c r="RD83" s="6"/>
      <c r="RE83" s="6"/>
      <c r="RF83" s="6"/>
      <c r="RG83" s="6"/>
      <c r="RH83" s="6"/>
      <c r="RI83" s="6"/>
      <c r="RJ83" s="6"/>
      <c r="RK83" s="6"/>
      <c r="RL83" s="6"/>
      <c r="RM83" s="6"/>
      <c r="RN83" s="6"/>
      <c r="RO83" s="6"/>
      <c r="RP83" s="6"/>
      <c r="RQ83" s="6"/>
      <c r="RR83" s="6"/>
      <c r="RS83" s="6"/>
      <c r="RT83" s="6"/>
      <c r="RU83" s="6"/>
      <c r="RV83" s="6"/>
      <c r="RW83" s="6"/>
      <c r="RX83" s="6"/>
      <c r="RY83" s="6"/>
      <c r="RZ83" s="6"/>
      <c r="SA83" s="6"/>
      <c r="SB83" s="6"/>
      <c r="SC83" s="6"/>
      <c r="SD83" s="6"/>
      <c r="SE83" s="6"/>
      <c r="SF83" s="6"/>
      <c r="SG83" s="6"/>
      <c r="SH83" s="6"/>
      <c r="SI83" s="6"/>
      <c r="SJ83" s="6"/>
      <c r="SK83" s="6"/>
      <c r="SL83" s="6"/>
      <c r="SM83" s="6"/>
      <c r="SN83" s="6"/>
      <c r="SO83" s="6"/>
      <c r="SP83" s="6"/>
      <c r="SQ83" s="6"/>
      <c r="SR83" s="6"/>
      <c r="SS83" s="6"/>
      <c r="ST83" s="6"/>
      <c r="SU83" s="6"/>
      <c r="SV83" s="6"/>
      <c r="SW83" s="6"/>
      <c r="SX83" s="6"/>
      <c r="SY83" s="6"/>
      <c r="SZ83" s="6"/>
      <c r="TA83" s="6"/>
      <c r="TB83" s="6"/>
      <c r="TC83" s="6"/>
      <c r="TD83" s="6"/>
      <c r="TE83" s="6"/>
      <c r="TF83" s="6"/>
      <c r="TG83" s="6"/>
      <c r="TH83" s="6"/>
      <c r="TI83" s="6"/>
      <c r="TJ83" s="6"/>
      <c r="TK83" s="6"/>
      <c r="TL83" s="6"/>
      <c r="TM83" s="6"/>
      <c r="TN83" s="6"/>
      <c r="TO83" s="6"/>
      <c r="TP83" s="6"/>
      <c r="TQ83" s="6"/>
      <c r="TR83" s="6"/>
      <c r="TS83" s="6"/>
      <c r="TT83" s="6"/>
      <c r="TU83" s="6"/>
      <c r="TV83" s="6"/>
      <c r="TW83" s="6"/>
      <c r="TX83" s="6"/>
      <c r="TY83" s="6"/>
      <c r="TZ83" s="6"/>
      <c r="UA83" s="6"/>
      <c r="UB83" s="6"/>
      <c r="UC83" s="6"/>
      <c r="UD83" s="6"/>
      <c r="UE83" s="6"/>
      <c r="UF83" s="6"/>
      <c r="UG83" s="6"/>
      <c r="UH83" s="6"/>
      <c r="UI83" s="6"/>
      <c r="UJ83" s="6"/>
      <c r="UK83" s="6"/>
      <c r="UL83" s="6"/>
      <c r="UM83" s="6"/>
      <c r="UN83" s="6"/>
      <c r="UO83" s="6"/>
      <c r="UP83" s="6"/>
      <c r="UQ83" s="6"/>
      <c r="UR83" s="6"/>
      <c r="US83" s="6"/>
      <c r="UT83" s="6"/>
      <c r="UU83" s="6"/>
      <c r="UV83" s="6"/>
      <c r="UW83" s="6"/>
      <c r="UX83" s="6"/>
      <c r="UY83" s="6"/>
      <c r="UZ83" s="6"/>
      <c r="VA83" s="6"/>
      <c r="VB83" s="6"/>
      <c r="VC83" s="6"/>
      <c r="VD83" s="6"/>
      <c r="VE83" s="6"/>
      <c r="VF83" s="6"/>
      <c r="VG83" s="6"/>
      <c r="VH83" s="6"/>
      <c r="VI83" s="6"/>
      <c r="VJ83" s="6"/>
      <c r="VK83" s="6"/>
      <c r="VL83" s="6"/>
      <c r="VM83" s="6"/>
      <c r="VN83" s="6"/>
      <c r="VO83" s="6"/>
      <c r="VP83" s="6"/>
      <c r="VQ83" s="6"/>
      <c r="VR83" s="6"/>
      <c r="VS83" s="6"/>
      <c r="VT83" s="6"/>
      <c r="VU83" s="6"/>
      <c r="VV83" s="6"/>
      <c r="VW83" s="6"/>
      <c r="VX83" s="6"/>
      <c r="VY83" s="6"/>
      <c r="VZ83" s="6"/>
      <c r="WA83" s="6"/>
      <c r="WB83" s="6"/>
      <c r="WC83" s="6"/>
      <c r="WD83" s="6"/>
      <c r="WE83" s="6"/>
      <c r="WF83" s="6"/>
      <c r="WG83" s="6"/>
      <c r="WH83" s="6"/>
      <c r="WI83" s="6"/>
      <c r="WJ83" s="6"/>
      <c r="WK83" s="6"/>
      <c r="WL83" s="6"/>
      <c r="WM83" s="6"/>
      <c r="WN83" s="6"/>
      <c r="WO83" s="6"/>
      <c r="WP83" s="6"/>
      <c r="WQ83" s="6"/>
      <c r="WR83" s="6"/>
      <c r="WS83" s="6"/>
      <c r="WT83" s="6"/>
      <c r="WU83" s="6"/>
      <c r="WV83" s="6"/>
      <c r="WW83" s="6"/>
      <c r="WX83" s="6"/>
      <c r="WY83" s="6"/>
      <c r="WZ83" s="6"/>
      <c r="XA83" s="6"/>
      <c r="XB83" s="6"/>
      <c r="XC83" s="6"/>
      <c r="XD83" s="6"/>
      <c r="XE83" s="6"/>
      <c r="XF83" s="6"/>
      <c r="XG83" s="6"/>
      <c r="XH83" s="6"/>
      <c r="XI83" s="6"/>
      <c r="XJ83" s="6"/>
      <c r="XK83" s="6"/>
      <c r="XL83" s="6"/>
      <c r="XM83" s="6"/>
      <c r="XN83" s="6"/>
      <c r="XO83" s="6"/>
      <c r="XP83" s="6"/>
      <c r="XQ83" s="6"/>
      <c r="XR83" s="6"/>
      <c r="XS83" s="6"/>
      <c r="XT83" s="6"/>
      <c r="XU83" s="6"/>
      <c r="XV83" s="6"/>
      <c r="XW83" s="6"/>
      <c r="XX83" s="6"/>
      <c r="XY83" s="6"/>
      <c r="XZ83" s="6"/>
      <c r="YA83" s="6"/>
      <c r="YB83" s="6"/>
      <c r="YC83" s="6"/>
      <c r="YD83" s="6"/>
      <c r="YE83" s="6"/>
      <c r="YF83" s="6"/>
      <c r="YG83" s="6"/>
      <c r="YH83" s="6"/>
      <c r="YI83" s="6"/>
      <c r="YJ83" s="6"/>
      <c r="YK83" s="6"/>
      <c r="YL83" s="6"/>
      <c r="YM83" s="6"/>
      <c r="YN83" s="6"/>
      <c r="YO83" s="6"/>
      <c r="YP83" s="6"/>
      <c r="YQ83" s="6"/>
      <c r="YR83" s="6"/>
      <c r="YS83" s="6"/>
      <c r="YT83" s="6"/>
      <c r="YU83" s="6"/>
      <c r="YV83" s="6"/>
      <c r="YW83" s="6"/>
      <c r="YX83" s="6"/>
      <c r="YY83" s="6"/>
      <c r="YZ83" s="6"/>
      <c r="ZA83" s="6"/>
      <c r="ZB83" s="6"/>
      <c r="ZC83" s="6"/>
      <c r="ZD83" s="6"/>
      <c r="ZE83" s="6"/>
      <c r="ZF83" s="6"/>
      <c r="ZG83" s="6"/>
      <c r="ZH83" s="6"/>
      <c r="ZI83" s="6"/>
      <c r="ZJ83" s="6"/>
      <c r="ZK83" s="6"/>
      <c r="ZL83" s="6"/>
      <c r="ZM83" s="6"/>
      <c r="ZN83" s="6"/>
      <c r="ZO83" s="6"/>
      <c r="ZP83" s="6"/>
      <c r="ZQ83" s="6"/>
      <c r="ZR83" s="6"/>
      <c r="ZS83" s="6"/>
      <c r="ZT83" s="6"/>
      <c r="ZU83" s="6"/>
      <c r="ZV83" s="6"/>
      <c r="ZW83" s="6"/>
      <c r="ZX83" s="6"/>
      <c r="ZY83" s="6"/>
      <c r="ZZ83" s="6"/>
      <c r="AAA83" s="6"/>
      <c r="AAB83" s="6"/>
      <c r="AAC83" s="6"/>
      <c r="AAD83" s="6"/>
      <c r="AAE83" s="6"/>
      <c r="AAF83" s="6"/>
      <c r="AAG83" s="6"/>
      <c r="AAH83" s="6"/>
      <c r="AAI83" s="6"/>
      <c r="AAJ83" s="6"/>
      <c r="AAK83" s="6"/>
      <c r="AAL83" s="6"/>
      <c r="AAM83" s="6"/>
      <c r="AAN83" s="6"/>
      <c r="AAO83" s="6"/>
      <c r="AAP83" s="6"/>
      <c r="AAQ83" s="6"/>
      <c r="AAR83" s="6"/>
      <c r="AAS83" s="6"/>
      <c r="AAT83" s="6"/>
      <c r="AAU83" s="6"/>
      <c r="AAV83" s="6"/>
      <c r="AAW83" s="6"/>
      <c r="AAX83" s="6"/>
      <c r="AAY83" s="6"/>
      <c r="AAZ83" s="6"/>
      <c r="ABA83" s="6"/>
      <c r="ABB83" s="6"/>
      <c r="ABC83" s="6"/>
      <c r="ABD83" s="6"/>
      <c r="ABE83" s="6"/>
      <c r="ABF83" s="6"/>
      <c r="ABG83" s="6"/>
      <c r="ABH83" s="6"/>
      <c r="ABI83" s="6"/>
      <c r="ABJ83" s="6"/>
      <c r="ABK83" s="6"/>
      <c r="ABL83" s="6"/>
      <c r="ABM83" s="6"/>
      <c r="ABN83" s="6"/>
      <c r="ABO83" s="6"/>
      <c r="ABP83" s="6"/>
      <c r="ABQ83" s="6"/>
      <c r="ABR83" s="6"/>
      <c r="ABS83" s="6"/>
      <c r="ABT83" s="6"/>
      <c r="ABU83" s="6"/>
      <c r="ABV83" s="6"/>
      <c r="ABW83" s="6"/>
      <c r="ABX83" s="6"/>
      <c r="ABY83" s="6"/>
      <c r="ABZ83" s="6"/>
      <c r="ACA83" s="6"/>
      <c r="ACB83" s="6"/>
      <c r="ACC83" s="6"/>
      <c r="ACD83" s="6"/>
      <c r="ACE83" s="6"/>
      <c r="ACF83" s="6"/>
      <c r="ACG83" s="6"/>
      <c r="ACH83" s="6"/>
      <c r="ACI83" s="6"/>
      <c r="ACJ83" s="6"/>
      <c r="ACK83" s="6"/>
      <c r="ACL83" s="6"/>
      <c r="ACM83" s="6"/>
      <c r="ACN83" s="6"/>
      <c r="ACO83" s="6"/>
      <c r="ACP83" s="6"/>
      <c r="ACQ83" s="6"/>
      <c r="ACR83" s="6"/>
      <c r="ACS83" s="6"/>
      <c r="ACT83" s="6"/>
      <c r="ACU83" s="6"/>
      <c r="ACV83" s="6"/>
      <c r="ACW83" s="6"/>
      <c r="ACX83" s="6"/>
      <c r="ACY83" s="6"/>
      <c r="ACZ83" s="6"/>
      <c r="ADA83" s="6"/>
      <c r="ADB83" s="6"/>
      <c r="ADC83" s="6"/>
      <c r="ADD83" s="6"/>
      <c r="ADE83" s="6"/>
      <c r="ADF83" s="6"/>
      <c r="ADG83" s="6"/>
      <c r="ADH83" s="6"/>
      <c r="ADI83" s="6"/>
      <c r="ADJ83" s="6"/>
      <c r="ADK83" s="6"/>
      <c r="ADL83" s="6"/>
      <c r="ADM83" s="6"/>
      <c r="ADN83" s="6"/>
      <c r="ADO83" s="6"/>
      <c r="ADP83" s="6"/>
      <c r="ADQ83" s="6"/>
      <c r="ADR83" s="6"/>
      <c r="ADS83" s="6"/>
      <c r="ADT83" s="6"/>
      <c r="ADU83" s="6"/>
      <c r="ADV83" s="6"/>
      <c r="ADW83" s="6"/>
      <c r="ADX83" s="6"/>
      <c r="ADY83" s="6"/>
      <c r="ADZ83" s="6"/>
      <c r="AEA83" s="6"/>
      <c r="AEB83" s="6"/>
      <c r="AEC83" s="6"/>
      <c r="AED83" s="6"/>
      <c r="AEE83" s="6"/>
      <c r="AEF83" s="6"/>
      <c r="AEG83" s="6"/>
      <c r="AEH83" s="6"/>
      <c r="AEI83" s="6"/>
      <c r="AEJ83" s="6"/>
      <c r="AEK83" s="6"/>
      <c r="AEL83" s="6"/>
      <c r="AEM83" s="6"/>
      <c r="AEN83" s="6"/>
      <c r="AEO83" s="6"/>
      <c r="AEP83" s="6"/>
      <c r="AEQ83" s="6"/>
      <c r="AER83" s="6"/>
      <c r="AES83" s="6"/>
      <c r="AET83" s="6"/>
      <c r="AEU83" s="6"/>
      <c r="AEV83" s="6"/>
      <c r="AEW83" s="6"/>
      <c r="AEX83" s="6"/>
      <c r="AEY83" s="6"/>
      <c r="AEZ83" s="6"/>
      <c r="AFA83" s="6"/>
      <c r="AFB83" s="6"/>
      <c r="AFC83" s="6"/>
      <c r="AFD83" s="6"/>
      <c r="AFE83" s="6"/>
      <c r="AFF83" s="6"/>
      <c r="AFG83" s="6"/>
      <c r="AFH83" s="6"/>
      <c r="AFI83" s="6"/>
      <c r="AFJ83" s="6"/>
      <c r="AFK83" s="6"/>
      <c r="AFL83" s="6"/>
      <c r="AFM83" s="6"/>
      <c r="AFN83" s="6"/>
      <c r="AFO83" s="6"/>
      <c r="AFP83" s="6"/>
      <c r="AFQ83" s="6"/>
      <c r="AFR83" s="6"/>
      <c r="AFS83" s="6"/>
      <c r="AFT83" s="6"/>
      <c r="AFU83" s="6"/>
      <c r="AFV83" s="6"/>
      <c r="AFW83" s="6"/>
      <c r="AFX83" s="6"/>
      <c r="AFY83" s="6"/>
      <c r="AFZ83" s="6"/>
      <c r="AGA83" s="6"/>
      <c r="AGB83" s="6"/>
      <c r="AGC83" s="6"/>
      <c r="AGD83" s="6"/>
      <c r="AGE83" s="6"/>
      <c r="AGF83" s="6"/>
      <c r="AGG83" s="6"/>
      <c r="AGH83" s="6"/>
      <c r="AGI83" s="6"/>
      <c r="AGJ83" s="6"/>
      <c r="AGK83" s="6"/>
      <c r="AGL83" s="6"/>
      <c r="AGM83" s="6"/>
      <c r="AGN83" s="6"/>
      <c r="AGO83" s="6"/>
      <c r="AGP83" s="6"/>
      <c r="AGQ83" s="6"/>
      <c r="AGR83" s="6"/>
      <c r="AGS83" s="6"/>
      <c r="AGT83" s="6"/>
      <c r="AGU83" s="6"/>
      <c r="AGV83" s="6"/>
      <c r="AGW83" s="6"/>
      <c r="AGX83" s="6"/>
      <c r="AGY83" s="6"/>
      <c r="AGZ83" s="6"/>
      <c r="AHA83" s="6"/>
      <c r="AHB83" s="6"/>
      <c r="AHC83" s="6"/>
      <c r="AHD83" s="6"/>
      <c r="AHE83" s="6"/>
      <c r="AHF83" s="6"/>
      <c r="AHG83" s="6"/>
      <c r="AHH83" s="6"/>
      <c r="AHI83" s="6"/>
      <c r="AHJ83" s="6"/>
      <c r="AHK83" s="6"/>
      <c r="AHL83" s="6"/>
      <c r="AHM83" s="6"/>
      <c r="AHN83" s="6"/>
      <c r="AHO83" s="6"/>
      <c r="AHP83" s="6"/>
      <c r="AHQ83" s="6"/>
      <c r="AHR83" s="6"/>
      <c r="AHS83" s="6"/>
      <c r="AHT83" s="6"/>
      <c r="AHU83" s="6"/>
      <c r="AHV83" s="6"/>
      <c r="AHW83" s="6"/>
      <c r="AHX83" s="6"/>
      <c r="AHY83" s="6"/>
      <c r="AHZ83" s="6"/>
      <c r="AIA83" s="6"/>
      <c r="AIB83" s="6"/>
      <c r="AIC83" s="6"/>
      <c r="AID83" s="6"/>
      <c r="AIE83" s="6"/>
      <c r="AIF83" s="6"/>
      <c r="AIG83" s="6"/>
      <c r="AIH83" s="6"/>
      <c r="AII83" s="6"/>
      <c r="AIJ83" s="6"/>
      <c r="AIK83" s="6"/>
      <c r="AIL83" s="6"/>
      <c r="AIM83" s="6"/>
      <c r="AIN83" s="6"/>
      <c r="AIO83" s="6"/>
      <c r="AIP83" s="6"/>
      <c r="AIQ83" s="6"/>
      <c r="AIR83" s="6"/>
      <c r="AIS83" s="6"/>
      <c r="AIT83" s="6"/>
      <c r="AIU83" s="6"/>
      <c r="AIV83" s="6"/>
      <c r="AIW83" s="6"/>
      <c r="AIX83" s="6"/>
      <c r="AIY83" s="6"/>
      <c r="AIZ83" s="6"/>
      <c r="AJA83" s="6"/>
      <c r="AJB83" s="6"/>
      <c r="AJC83" s="6"/>
      <c r="AJD83" s="6"/>
      <c r="AJE83" s="6"/>
      <c r="AJF83" s="6"/>
      <c r="AJG83" s="6"/>
      <c r="AJH83" s="6"/>
      <c r="AJI83" s="6"/>
      <c r="AJJ83" s="6"/>
      <c r="AJK83" s="6"/>
      <c r="AJL83" s="6"/>
      <c r="AJM83" s="6"/>
      <c r="AJN83" s="6"/>
      <c r="AJO83" s="6"/>
      <c r="AJP83" s="6"/>
      <c r="AJQ83" s="6"/>
      <c r="AJR83" s="6"/>
      <c r="AJS83" s="6"/>
      <c r="AJT83" s="6"/>
      <c r="AJU83" s="6"/>
      <c r="AJV83" s="6"/>
      <c r="AJW83" s="6"/>
      <c r="AJX83" s="6"/>
      <c r="AJY83" s="6"/>
      <c r="AJZ83" s="6"/>
      <c r="AKA83" s="6"/>
      <c r="AKB83" s="6"/>
      <c r="AKC83" s="6"/>
      <c r="AKD83" s="6"/>
      <c r="AKE83" s="6"/>
      <c r="AKF83" s="6"/>
      <c r="AKG83" s="6"/>
      <c r="AKH83" s="6"/>
      <c r="AKI83" s="6"/>
      <c r="AKJ83" s="6"/>
      <c r="AKK83" s="6"/>
      <c r="AKL83" s="6"/>
      <c r="AKM83" s="6"/>
      <c r="AKN83" s="6"/>
      <c r="AKO83" s="6"/>
      <c r="AKP83" s="6"/>
      <c r="AKQ83" s="6"/>
      <c r="AKR83" s="6"/>
      <c r="AKS83" s="6"/>
      <c r="AKT83" s="6"/>
      <c r="AKU83" s="6"/>
      <c r="AKV83" s="6"/>
      <c r="AKW83" s="6"/>
      <c r="AKX83" s="6"/>
      <c r="AKY83" s="6"/>
      <c r="AKZ83" s="6"/>
      <c r="ALA83" s="6"/>
      <c r="ALB83" s="6"/>
      <c r="ALC83" s="6"/>
      <c r="ALD83" s="6"/>
      <c r="ALE83" s="6"/>
      <c r="ALF83" s="6"/>
      <c r="ALG83" s="6"/>
      <c r="ALH83" s="6"/>
      <c r="ALI83" s="6"/>
      <c r="ALJ83" s="6"/>
      <c r="ALK83" s="6"/>
      <c r="ALL83" s="6"/>
      <c r="ALM83" s="6"/>
      <c r="ALN83" s="6"/>
      <c r="ALO83" s="6"/>
      <c r="ALP83" s="6"/>
      <c r="ALQ83" s="6"/>
      <c r="ALR83" s="6"/>
      <c r="ALS83" s="6"/>
      <c r="ALT83" s="6"/>
      <c r="ALU83" s="6"/>
      <c r="ALV83" s="6"/>
      <c r="ALW83" s="6"/>
      <c r="ALX83" s="6"/>
      <c r="ALY83" s="6"/>
      <c r="ALZ83" s="6"/>
      <c r="AMA83" s="6"/>
      <c r="AMB83" s="6"/>
      <c r="AMC83" s="6"/>
      <c r="AMD83" s="6"/>
      <c r="AME83" s="6"/>
      <c r="AMF83" s="6"/>
      <c r="AMG83" s="6"/>
      <c r="AMH83" s="6"/>
      <c r="AMI83" s="6"/>
      <c r="AMJ83" s="6"/>
      <c r="AMK83" s="6"/>
      <c r="AML83" s="6"/>
      <c r="AMM83" s="6"/>
      <c r="AMN83" s="6"/>
      <c r="AMO83" s="6"/>
      <c r="AMP83" s="6"/>
      <c r="AMQ83" s="6"/>
      <c r="AMR83" s="6"/>
      <c r="AMS83" s="6"/>
      <c r="AMT83" s="6"/>
      <c r="AMU83" s="6"/>
      <c r="AMV83" s="6"/>
      <c r="AMW83" s="6"/>
      <c r="AMX83" s="6"/>
      <c r="AMY83" s="6"/>
      <c r="AMZ83" s="6"/>
      <c r="ANA83" s="6"/>
      <c r="ANB83" s="6"/>
      <c r="ANC83" s="6"/>
      <c r="AND83" s="6"/>
      <c r="ANE83" s="6"/>
      <c r="ANF83" s="6"/>
      <c r="ANG83" s="6"/>
      <c r="ANH83" s="6"/>
      <c r="ANI83" s="6"/>
      <c r="ANJ83" s="6"/>
      <c r="ANK83" s="6"/>
      <c r="ANL83" s="6"/>
      <c r="ANM83" s="6"/>
      <c r="ANN83" s="6"/>
      <c r="ANO83" s="6"/>
      <c r="ANP83" s="6"/>
      <c r="ANQ83" s="6"/>
      <c r="ANR83" s="6"/>
      <c r="ANS83" s="6"/>
      <c r="ANT83" s="6"/>
      <c r="ANU83" s="6"/>
      <c r="ANV83" s="6"/>
      <c r="ANW83" s="6"/>
      <c r="ANX83" s="6"/>
      <c r="ANY83" s="6"/>
      <c r="ANZ83" s="6"/>
      <c r="AOA83" s="6"/>
      <c r="AOB83" s="6"/>
      <c r="AOC83" s="6"/>
      <c r="AOD83" s="6"/>
      <c r="AOE83" s="6"/>
      <c r="AOF83" s="6"/>
      <c r="AOG83" s="6"/>
      <c r="AOH83" s="6"/>
      <c r="AOI83" s="6"/>
      <c r="AOJ83" s="6"/>
      <c r="AOK83" s="6"/>
      <c r="AOL83" s="6"/>
      <c r="AOM83" s="6"/>
      <c r="AON83" s="6"/>
      <c r="AOO83" s="6"/>
      <c r="AOP83" s="6"/>
      <c r="AOQ83" s="6"/>
      <c r="AOR83" s="6"/>
      <c r="AOS83" s="6"/>
      <c r="AOT83" s="6"/>
      <c r="AOU83" s="6"/>
      <c r="AOV83" s="6"/>
      <c r="AOW83" s="6"/>
      <c r="AOX83" s="6"/>
      <c r="AOY83" s="6"/>
      <c r="AOZ83" s="6"/>
      <c r="APA83" s="6"/>
      <c r="APB83" s="6"/>
      <c r="APC83" s="6"/>
      <c r="APD83" s="6"/>
      <c r="APE83" s="6"/>
      <c r="APF83" s="6"/>
      <c r="APG83" s="6"/>
      <c r="APH83" s="6"/>
      <c r="API83" s="6"/>
      <c r="APJ83" s="6"/>
      <c r="APK83" s="6"/>
      <c r="APL83" s="6"/>
      <c r="APM83" s="6"/>
      <c r="APN83" s="6"/>
      <c r="APO83" s="6"/>
      <c r="APP83" s="6"/>
      <c r="APQ83" s="6"/>
      <c r="APR83" s="6"/>
      <c r="APS83" s="6"/>
      <c r="APT83" s="6"/>
      <c r="APU83" s="6"/>
      <c r="APV83" s="6"/>
      <c r="APW83" s="6"/>
      <c r="APX83" s="6"/>
      <c r="APY83" s="6"/>
      <c r="APZ83" s="6"/>
      <c r="AQA83" s="6"/>
      <c r="AQB83" s="6"/>
      <c r="AQC83" s="6"/>
      <c r="AQD83" s="6"/>
      <c r="AQE83" s="6"/>
      <c r="AQF83" s="6"/>
      <c r="AQG83" s="6"/>
      <c r="AQH83" s="6"/>
      <c r="AQI83" s="6"/>
      <c r="AQJ83" s="6"/>
      <c r="AQK83" s="6"/>
      <c r="AQL83" s="6"/>
      <c r="AQM83" s="6"/>
      <c r="AQN83" s="6"/>
      <c r="AQO83" s="6"/>
      <c r="AQP83" s="6"/>
      <c r="AQQ83" s="6"/>
      <c r="AQR83" s="6"/>
      <c r="AQS83" s="6"/>
      <c r="AQT83" s="6"/>
      <c r="AQU83" s="6"/>
      <c r="AQV83" s="6"/>
      <c r="AQW83" s="6"/>
      <c r="AQX83" s="6"/>
      <c r="AQY83" s="6"/>
      <c r="AQZ83" s="6"/>
      <c r="ARA83" s="6"/>
      <c r="ARB83" s="6"/>
      <c r="ARC83" s="6"/>
      <c r="ARD83" s="6"/>
      <c r="ARE83" s="6"/>
      <c r="ARF83" s="6"/>
      <c r="ARG83" s="6"/>
      <c r="ARH83" s="6"/>
      <c r="ARI83" s="6"/>
      <c r="ARJ83" s="6"/>
      <c r="ARK83" s="6"/>
      <c r="ARL83" s="6"/>
      <c r="ARM83" s="6"/>
      <c r="ARN83" s="6"/>
      <c r="ARO83" s="6"/>
      <c r="ARP83" s="6"/>
      <c r="ARQ83" s="6"/>
      <c r="ARR83" s="6"/>
      <c r="ARS83" s="6"/>
      <c r="ART83" s="6"/>
      <c r="ARU83" s="6"/>
      <c r="ARV83" s="6"/>
      <c r="ARW83" s="6"/>
      <c r="ARX83" s="6"/>
      <c r="ARY83" s="6"/>
      <c r="ARZ83" s="6"/>
      <c r="ASA83" s="6"/>
      <c r="ASB83" s="6"/>
      <c r="ASC83" s="6"/>
      <c r="ASD83" s="6"/>
      <c r="ASE83" s="6"/>
      <c r="ASF83" s="6"/>
      <c r="ASG83" s="6"/>
      <c r="ASH83" s="6"/>
      <c r="ASI83" s="6"/>
      <c r="ASJ83" s="6"/>
      <c r="ASK83" s="6"/>
      <c r="ASL83" s="6"/>
      <c r="ASM83" s="6"/>
      <c r="ASN83" s="6"/>
      <c r="ASO83" s="6"/>
      <c r="ASP83" s="6"/>
      <c r="ASQ83" s="6"/>
      <c r="ASR83" s="6"/>
      <c r="ASS83" s="6"/>
      <c r="AST83" s="6"/>
      <c r="ASU83" s="6"/>
      <c r="ASV83" s="6"/>
      <c r="ASW83" s="6"/>
      <c r="ASX83" s="6"/>
      <c r="ASY83" s="6"/>
      <c r="ASZ83" s="6"/>
      <c r="ATA83" s="6"/>
      <c r="ATB83" s="6"/>
      <c r="ATC83" s="6"/>
      <c r="ATD83" s="6"/>
      <c r="ATE83" s="6"/>
      <c r="ATF83" s="6"/>
      <c r="ATG83" s="6"/>
      <c r="ATH83" s="6"/>
      <c r="ATI83" s="6"/>
      <c r="ATJ83" s="6"/>
      <c r="ATK83" s="6"/>
      <c r="ATL83" s="6"/>
      <c r="ATM83" s="6"/>
      <c r="ATN83" s="6"/>
      <c r="ATO83" s="6"/>
      <c r="ATP83" s="6"/>
      <c r="ATQ83" s="6"/>
      <c r="ATR83" s="6"/>
      <c r="ATS83" s="6"/>
      <c r="ATT83" s="6"/>
      <c r="ATU83" s="6"/>
      <c r="ATV83" s="6"/>
      <c r="ATW83" s="6"/>
      <c r="ATX83" s="6"/>
      <c r="ATY83" s="6"/>
      <c r="ATZ83" s="6"/>
      <c r="AUA83" s="6"/>
      <c r="AUB83" s="6"/>
      <c r="AUC83" s="6"/>
      <c r="AUD83" s="6"/>
      <c r="AUE83" s="6"/>
      <c r="AUF83" s="6"/>
      <c r="AUG83" s="6"/>
      <c r="AUH83" s="6"/>
      <c r="AUI83" s="6"/>
      <c r="AUJ83" s="6"/>
      <c r="AUK83" s="6"/>
      <c r="AUL83" s="6"/>
      <c r="AUM83" s="6"/>
      <c r="AUN83" s="6"/>
      <c r="AUO83" s="6"/>
      <c r="AUP83" s="6"/>
      <c r="AUQ83" s="6"/>
      <c r="AUR83" s="6"/>
      <c r="AUS83" s="6"/>
      <c r="AUT83" s="6"/>
      <c r="AUU83" s="6"/>
      <c r="AUV83" s="6"/>
      <c r="AUW83" s="6"/>
      <c r="AUX83" s="6"/>
      <c r="AUY83" s="6"/>
      <c r="AUZ83" s="6"/>
      <c r="AVA83" s="6"/>
      <c r="AVB83" s="6"/>
      <c r="AVC83" s="6"/>
      <c r="AVD83" s="6"/>
      <c r="AVE83" s="6"/>
      <c r="AVF83" s="6"/>
      <c r="AVG83" s="6"/>
      <c r="AVH83" s="6"/>
      <c r="AVI83" s="6"/>
      <c r="AVJ83" s="6"/>
      <c r="AVK83" s="6"/>
      <c r="AVL83" s="6"/>
      <c r="AVM83" s="6"/>
      <c r="AVN83" s="6"/>
      <c r="AVO83" s="6"/>
      <c r="AVP83" s="6"/>
      <c r="AVQ83" s="6"/>
      <c r="AVR83" s="6"/>
      <c r="AVS83" s="6"/>
      <c r="AVT83" s="6"/>
      <c r="AVU83" s="6"/>
      <c r="AVV83" s="6"/>
      <c r="AVW83" s="6"/>
      <c r="AVX83" s="6"/>
      <c r="AVY83" s="6"/>
      <c r="AVZ83" s="6"/>
      <c r="AWA83" s="6"/>
      <c r="AWB83" s="6"/>
      <c r="AWC83" s="6"/>
      <c r="AWD83" s="6"/>
      <c r="AWE83" s="6"/>
      <c r="AWF83" s="6"/>
      <c r="AWG83" s="6"/>
      <c r="AWH83" s="6"/>
      <c r="AWI83" s="6"/>
      <c r="AWJ83" s="6"/>
      <c r="AWK83" s="6"/>
      <c r="AWL83" s="6"/>
      <c r="AWM83" s="6"/>
      <c r="AWN83" s="6"/>
      <c r="AWO83" s="6"/>
      <c r="AWP83" s="6"/>
      <c r="AWQ83" s="6"/>
      <c r="AWR83" s="6"/>
      <c r="AWS83" s="6"/>
      <c r="AWT83" s="6"/>
      <c r="AWU83" s="6"/>
      <c r="AWV83" s="6"/>
      <c r="AWW83" s="6"/>
      <c r="AWX83" s="6"/>
      <c r="AWY83" s="6"/>
      <c r="AWZ83" s="6"/>
      <c r="AXA83" s="6"/>
      <c r="AXB83" s="6"/>
      <c r="AXC83" s="6"/>
      <c r="AXD83" s="6"/>
      <c r="AXE83" s="6"/>
      <c r="AXF83" s="6"/>
      <c r="AXG83" s="6"/>
      <c r="AXH83" s="6"/>
      <c r="AXI83" s="6"/>
      <c r="AXJ83" s="6"/>
      <c r="AXK83" s="6"/>
      <c r="AXL83" s="6"/>
      <c r="AXM83" s="6"/>
      <c r="AXN83" s="6"/>
      <c r="AXO83" s="6"/>
      <c r="AXP83" s="6"/>
      <c r="AXQ83" s="6"/>
      <c r="AXR83" s="6"/>
      <c r="AXS83" s="6"/>
      <c r="AXT83" s="6"/>
      <c r="AXU83" s="6"/>
      <c r="AXV83" s="6"/>
      <c r="AXW83" s="6"/>
      <c r="AXX83" s="6"/>
      <c r="AXY83" s="6"/>
      <c r="AXZ83" s="6"/>
      <c r="AYA83" s="6"/>
      <c r="AYB83" s="6"/>
      <c r="AYC83" s="6"/>
      <c r="AYD83" s="6"/>
      <c r="AYE83" s="6"/>
      <c r="AYF83" s="6"/>
      <c r="AYG83" s="6"/>
      <c r="AYH83" s="6"/>
      <c r="AYI83" s="6"/>
      <c r="AYJ83" s="6"/>
      <c r="AYK83" s="6"/>
      <c r="AYL83" s="6"/>
      <c r="AYM83" s="6"/>
      <c r="AYN83" s="6"/>
      <c r="AYO83" s="6"/>
      <c r="AYP83" s="6"/>
      <c r="AYQ83" s="6"/>
      <c r="AYR83" s="6"/>
      <c r="AYS83" s="6"/>
      <c r="AYT83" s="6"/>
      <c r="AYU83" s="6"/>
      <c r="AYV83" s="6"/>
      <c r="AYW83" s="6"/>
      <c r="AYX83" s="6"/>
      <c r="AYY83" s="6"/>
      <c r="AYZ83" s="6"/>
      <c r="AZA83" s="6"/>
      <c r="AZB83" s="6"/>
      <c r="AZC83" s="6"/>
      <c r="AZD83" s="6"/>
      <c r="AZE83" s="6"/>
      <c r="AZF83" s="6"/>
      <c r="AZG83" s="6"/>
      <c r="AZH83" s="6"/>
      <c r="AZI83" s="6"/>
      <c r="AZJ83" s="6"/>
      <c r="AZK83" s="6"/>
      <c r="AZL83" s="6"/>
      <c r="AZM83" s="6"/>
      <c r="AZN83" s="6"/>
      <c r="AZO83" s="6"/>
      <c r="AZP83" s="6"/>
      <c r="AZQ83" s="6"/>
      <c r="AZR83" s="6"/>
      <c r="AZS83" s="6"/>
      <c r="AZT83" s="6"/>
      <c r="AZU83" s="6"/>
      <c r="AZV83" s="6"/>
      <c r="AZW83" s="6"/>
      <c r="AZX83" s="6"/>
      <c r="AZY83" s="6"/>
      <c r="AZZ83" s="6"/>
      <c r="BAA83" s="6"/>
      <c r="BAB83" s="6"/>
      <c r="BAC83" s="6"/>
      <c r="BAD83" s="6"/>
      <c r="BAE83" s="6"/>
      <c r="BAF83" s="6"/>
      <c r="BAG83" s="6"/>
      <c r="BAH83" s="6"/>
      <c r="BAI83" s="6"/>
      <c r="BAJ83" s="6"/>
      <c r="BAK83" s="6"/>
      <c r="BAL83" s="6"/>
      <c r="BAM83" s="6"/>
      <c r="BAN83" s="6"/>
      <c r="BAO83" s="6"/>
      <c r="BAP83" s="6"/>
      <c r="BAQ83" s="6"/>
      <c r="BAR83" s="6"/>
      <c r="BAS83" s="6"/>
      <c r="BAT83" s="6"/>
      <c r="BAU83" s="6"/>
      <c r="BAV83" s="6"/>
      <c r="BAW83" s="6"/>
      <c r="BAX83" s="6"/>
      <c r="BAY83" s="6"/>
      <c r="BAZ83" s="6"/>
      <c r="BBA83" s="6"/>
      <c r="BBB83" s="6"/>
      <c r="BBC83" s="6"/>
      <c r="BBD83" s="6"/>
      <c r="BBE83" s="6"/>
      <c r="BBF83" s="6"/>
      <c r="BBG83" s="6"/>
      <c r="BBH83" s="6"/>
      <c r="BBI83" s="6"/>
      <c r="BBJ83" s="6"/>
      <c r="BBK83" s="6"/>
      <c r="BBL83" s="6"/>
      <c r="BBM83" s="6"/>
      <c r="BBN83" s="6"/>
      <c r="BBO83" s="6"/>
      <c r="BBP83" s="6"/>
      <c r="BBQ83" s="6"/>
      <c r="BBR83" s="6"/>
      <c r="BBS83" s="6"/>
      <c r="BBT83" s="6"/>
      <c r="BBU83" s="6"/>
      <c r="BBV83" s="6"/>
      <c r="BBW83" s="6"/>
      <c r="BBX83" s="6"/>
      <c r="BBY83" s="6"/>
      <c r="BBZ83" s="6"/>
      <c r="BCA83" s="6"/>
      <c r="BCB83" s="6"/>
      <c r="BCC83" s="6"/>
      <c r="BCD83" s="6"/>
      <c r="BCE83" s="6"/>
      <c r="BCF83" s="6"/>
      <c r="BCG83" s="6"/>
      <c r="BCH83" s="6"/>
      <c r="BCI83" s="6"/>
      <c r="BCJ83" s="6"/>
      <c r="BCK83" s="6"/>
      <c r="BCL83" s="6"/>
      <c r="BCM83" s="6"/>
      <c r="BCN83" s="6"/>
      <c r="BCO83" s="6"/>
      <c r="BCP83" s="6"/>
      <c r="BCQ83" s="6"/>
      <c r="BCR83" s="6"/>
      <c r="BCS83" s="6"/>
      <c r="BCT83" s="6"/>
      <c r="BCU83" s="6"/>
      <c r="BCV83" s="6"/>
      <c r="BCW83" s="6"/>
      <c r="BCX83" s="6"/>
      <c r="BCY83" s="6"/>
      <c r="BCZ83" s="6"/>
      <c r="BDA83" s="6"/>
      <c r="BDB83" s="6"/>
      <c r="BDC83" s="6"/>
      <c r="BDD83" s="6"/>
      <c r="BDE83" s="6"/>
      <c r="BDF83" s="6"/>
      <c r="BDG83" s="6"/>
      <c r="BDH83" s="6"/>
      <c r="BDI83" s="6"/>
      <c r="BDJ83" s="6"/>
      <c r="BDK83" s="6"/>
      <c r="BDL83" s="6"/>
      <c r="BDM83" s="6"/>
      <c r="BDN83" s="6"/>
      <c r="BDO83" s="6"/>
      <c r="BDP83" s="6"/>
      <c r="BDQ83" s="6"/>
      <c r="BDR83" s="6"/>
      <c r="BDS83" s="6"/>
      <c r="BDT83" s="6"/>
      <c r="BDU83" s="6"/>
      <c r="BDV83" s="6"/>
      <c r="BDW83" s="6"/>
      <c r="BDX83" s="6"/>
      <c r="BDY83" s="6"/>
      <c r="BDZ83" s="6"/>
      <c r="BEA83" s="6"/>
      <c r="BEB83" s="6"/>
      <c r="BEC83" s="6"/>
      <c r="BED83" s="6"/>
      <c r="BEE83" s="6"/>
      <c r="BEF83" s="6"/>
      <c r="BEG83" s="6"/>
      <c r="BEH83" s="6"/>
      <c r="BEI83" s="6"/>
      <c r="BEJ83" s="6"/>
      <c r="BEK83" s="6"/>
      <c r="BEL83" s="6"/>
      <c r="BEM83" s="6"/>
      <c r="BEN83" s="6"/>
      <c r="BEO83" s="6"/>
      <c r="BEP83" s="6"/>
      <c r="BEQ83" s="6"/>
      <c r="BER83" s="6"/>
      <c r="BES83" s="6"/>
      <c r="BET83" s="6"/>
      <c r="BEU83" s="6"/>
      <c r="BEV83" s="6"/>
      <c r="BEW83" s="6"/>
      <c r="BEX83" s="6"/>
      <c r="BEY83" s="6"/>
      <c r="BEZ83" s="6"/>
      <c r="BFA83" s="6"/>
      <c r="BFB83" s="6"/>
      <c r="BFC83" s="6"/>
      <c r="BFD83" s="6"/>
      <c r="BFE83" s="6"/>
      <c r="BFF83" s="6"/>
      <c r="BFG83" s="6"/>
      <c r="BFH83" s="6"/>
      <c r="BFI83" s="6"/>
      <c r="BFJ83" s="6"/>
      <c r="BFK83" s="6"/>
      <c r="BFL83" s="6"/>
      <c r="BFM83" s="6"/>
      <c r="BFN83" s="6"/>
      <c r="BFO83" s="6"/>
      <c r="BFP83" s="6"/>
      <c r="BFQ83" s="6"/>
      <c r="BFR83" s="6"/>
      <c r="BFS83" s="6"/>
      <c r="BFT83" s="6"/>
      <c r="BFU83" s="6"/>
      <c r="BFV83" s="6"/>
      <c r="BFW83" s="6"/>
      <c r="BFX83" s="6"/>
      <c r="BFY83" s="6"/>
      <c r="BFZ83" s="6"/>
      <c r="BGA83" s="6"/>
      <c r="BGB83" s="6"/>
      <c r="BGC83" s="6"/>
      <c r="BGD83" s="6"/>
      <c r="BGE83" s="6"/>
      <c r="BGF83" s="6"/>
      <c r="BGG83" s="6"/>
      <c r="BGH83" s="6"/>
      <c r="BGI83" s="6"/>
      <c r="BGJ83" s="6"/>
      <c r="BGK83" s="6"/>
      <c r="BGL83" s="6"/>
      <c r="BGM83" s="6"/>
      <c r="BGN83" s="6"/>
      <c r="BGO83" s="6"/>
      <c r="BGP83" s="6"/>
      <c r="BGQ83" s="6"/>
      <c r="BGR83" s="6"/>
      <c r="BGS83" s="6"/>
      <c r="BGT83" s="6"/>
      <c r="BGU83" s="6"/>
      <c r="BGV83" s="6"/>
      <c r="BGW83" s="6"/>
      <c r="BGX83" s="6"/>
      <c r="BGY83" s="6"/>
      <c r="BGZ83" s="6"/>
      <c r="BHA83" s="6"/>
      <c r="BHB83" s="6"/>
      <c r="BHC83" s="6"/>
      <c r="BHD83" s="6"/>
      <c r="BHE83" s="6"/>
      <c r="BHF83" s="6"/>
      <c r="BHG83" s="6"/>
      <c r="BHH83" s="6"/>
      <c r="BHI83" s="6"/>
      <c r="BHJ83" s="6"/>
      <c r="BHK83" s="6"/>
      <c r="BHL83" s="6"/>
      <c r="BHM83" s="6"/>
      <c r="BHN83" s="6"/>
      <c r="BHO83" s="6"/>
      <c r="BHP83" s="6"/>
      <c r="BHQ83" s="6"/>
      <c r="BHR83" s="6"/>
      <c r="BHS83" s="6"/>
      <c r="BHT83" s="6"/>
      <c r="BHU83" s="6"/>
      <c r="BHV83" s="6"/>
      <c r="BHW83" s="6"/>
      <c r="BHX83" s="6"/>
      <c r="BHY83" s="6"/>
      <c r="BHZ83" s="6"/>
      <c r="BIA83" s="6"/>
      <c r="BIB83" s="6"/>
      <c r="BIC83" s="6"/>
      <c r="BID83" s="6"/>
      <c r="BIE83" s="6"/>
      <c r="BIF83" s="6"/>
      <c r="BIG83" s="6"/>
      <c r="BIH83" s="6"/>
      <c r="BII83" s="6"/>
      <c r="BIJ83" s="6"/>
      <c r="BIK83" s="6"/>
      <c r="BIL83" s="6"/>
      <c r="BIM83" s="6"/>
      <c r="BIN83" s="6"/>
      <c r="BIO83" s="6"/>
      <c r="BIP83" s="6"/>
      <c r="BIQ83" s="6"/>
      <c r="BIR83" s="6"/>
      <c r="BIS83" s="6"/>
      <c r="BIT83" s="6"/>
      <c r="BIU83" s="6"/>
      <c r="BIV83" s="6"/>
      <c r="BIW83" s="6"/>
      <c r="BIX83" s="6"/>
      <c r="BIY83" s="6"/>
      <c r="BIZ83" s="6"/>
      <c r="BJA83" s="6"/>
      <c r="BJB83" s="6"/>
      <c r="BJC83" s="6"/>
      <c r="BJD83" s="6"/>
      <c r="BJE83" s="6"/>
      <c r="BJF83" s="6"/>
      <c r="BJG83" s="6"/>
      <c r="BJH83" s="6"/>
      <c r="BJI83" s="6"/>
      <c r="BJJ83" s="6"/>
      <c r="BJK83" s="6"/>
      <c r="BJL83" s="6"/>
      <c r="BJM83" s="6"/>
      <c r="BJN83" s="6"/>
      <c r="BJO83" s="6"/>
      <c r="BJP83" s="6"/>
      <c r="BJQ83" s="6"/>
      <c r="BJR83" s="6"/>
      <c r="BJS83" s="6"/>
      <c r="BJT83" s="6"/>
      <c r="BJU83" s="6"/>
      <c r="BJV83" s="6"/>
      <c r="BJW83" s="6"/>
      <c r="BJX83" s="6"/>
      <c r="BJY83" s="6"/>
      <c r="BJZ83" s="6"/>
      <c r="BKA83" s="6"/>
      <c r="BKB83" s="6"/>
      <c r="BKC83" s="6"/>
      <c r="BKD83" s="6"/>
      <c r="BKE83" s="6"/>
      <c r="BKF83" s="6"/>
      <c r="BKG83" s="6"/>
      <c r="BKH83" s="6"/>
      <c r="BKI83" s="6"/>
      <c r="BKJ83" s="6"/>
      <c r="BKK83" s="6"/>
      <c r="BKL83" s="6"/>
      <c r="BKM83" s="6"/>
      <c r="BKN83" s="6"/>
      <c r="BKO83" s="6"/>
      <c r="BKP83" s="6"/>
      <c r="BKQ83" s="6"/>
      <c r="BKR83" s="6"/>
      <c r="BKS83" s="6"/>
      <c r="BKT83" s="6"/>
      <c r="BKU83" s="6"/>
      <c r="BKV83" s="6"/>
      <c r="BKW83" s="6"/>
      <c r="BKX83" s="6"/>
      <c r="BKY83" s="6"/>
      <c r="BKZ83" s="6"/>
      <c r="BLA83" s="6"/>
      <c r="BLB83" s="6"/>
      <c r="BLC83" s="6"/>
      <c r="BLD83" s="6"/>
      <c r="BLE83" s="6"/>
      <c r="BLF83" s="6"/>
      <c r="BLG83" s="6"/>
      <c r="BLH83" s="6"/>
      <c r="BLI83" s="6"/>
      <c r="BLJ83" s="6"/>
      <c r="BLK83" s="6"/>
      <c r="BLL83" s="6"/>
      <c r="BLM83" s="6"/>
      <c r="BLN83" s="6"/>
      <c r="BLO83" s="6"/>
      <c r="BLP83" s="6"/>
      <c r="BLQ83" s="6"/>
      <c r="BLR83" s="6"/>
      <c r="BLS83" s="6"/>
      <c r="BLT83" s="6"/>
      <c r="BLU83" s="6"/>
      <c r="BLV83" s="6"/>
      <c r="BLW83" s="6"/>
      <c r="BLX83" s="6"/>
      <c r="BLY83" s="6"/>
      <c r="BLZ83" s="6"/>
      <c r="BMA83" s="6"/>
      <c r="BMB83" s="6"/>
      <c r="BMC83" s="6"/>
      <c r="BMD83" s="6"/>
      <c r="BME83" s="6"/>
      <c r="BMF83" s="6"/>
      <c r="BMG83" s="6"/>
      <c r="BMH83" s="6"/>
      <c r="BMI83" s="6"/>
      <c r="BMJ83" s="6"/>
      <c r="BMK83" s="6"/>
      <c r="BML83" s="6"/>
      <c r="BMM83" s="6"/>
      <c r="BMN83" s="6"/>
      <c r="BMO83" s="6"/>
      <c r="BMP83" s="6"/>
      <c r="BMQ83" s="6"/>
      <c r="BMR83" s="6"/>
      <c r="BMS83" s="6"/>
      <c r="BMT83" s="6"/>
      <c r="BMU83" s="6"/>
      <c r="BMV83" s="6"/>
      <c r="BMW83" s="6"/>
      <c r="BMX83" s="6"/>
      <c r="BMY83" s="6"/>
      <c r="BMZ83" s="6"/>
      <c r="BNA83" s="6"/>
      <c r="BNB83" s="6"/>
      <c r="BNC83" s="6"/>
      <c r="BND83" s="6"/>
      <c r="BNE83" s="6"/>
      <c r="BNF83" s="6"/>
      <c r="BNG83" s="6"/>
      <c r="BNH83" s="6"/>
      <c r="BNI83" s="6"/>
      <c r="BNJ83" s="6"/>
      <c r="BNK83" s="6"/>
      <c r="BNL83" s="6"/>
      <c r="BNM83" s="6"/>
      <c r="BNN83" s="6"/>
      <c r="BNO83" s="6"/>
      <c r="BNP83" s="6"/>
      <c r="BNQ83" s="6"/>
      <c r="BNR83" s="6"/>
      <c r="BNS83" s="6"/>
      <c r="BNT83" s="6"/>
      <c r="BNU83" s="6"/>
      <c r="BNV83" s="6"/>
      <c r="BNW83" s="6"/>
      <c r="BNX83" s="6"/>
      <c r="BNY83" s="6"/>
      <c r="BNZ83" s="6"/>
      <c r="BOA83" s="6"/>
      <c r="BOB83" s="6"/>
      <c r="BOC83" s="6"/>
      <c r="BOD83" s="6"/>
      <c r="BOE83" s="6"/>
      <c r="BOF83" s="6"/>
      <c r="BOG83" s="6"/>
      <c r="BOH83" s="6"/>
      <c r="BOI83" s="6"/>
      <c r="BOJ83" s="6"/>
      <c r="BOK83" s="6"/>
      <c r="BOL83" s="6"/>
      <c r="BOM83" s="6"/>
      <c r="BON83" s="6"/>
      <c r="BOO83" s="6"/>
      <c r="BOP83" s="6"/>
      <c r="BOQ83" s="6"/>
      <c r="BOR83" s="6"/>
      <c r="BOS83" s="6"/>
      <c r="BOT83" s="6"/>
      <c r="BOU83" s="6"/>
      <c r="BOV83" s="6"/>
      <c r="BOW83" s="6"/>
      <c r="BOX83" s="6"/>
      <c r="BOY83" s="6"/>
      <c r="BOZ83" s="6"/>
      <c r="BPA83" s="6"/>
      <c r="BPB83" s="6"/>
      <c r="BPC83" s="6"/>
      <c r="BPD83" s="6"/>
      <c r="BPE83" s="6"/>
      <c r="BPF83" s="6"/>
      <c r="BPG83" s="6"/>
      <c r="BPH83" s="6"/>
      <c r="BPI83" s="6"/>
      <c r="BPJ83" s="6"/>
      <c r="BPK83" s="6"/>
      <c r="BPL83" s="6"/>
      <c r="BPM83" s="6"/>
      <c r="BPN83" s="6"/>
      <c r="BPO83" s="6"/>
      <c r="BPP83" s="6"/>
      <c r="BPQ83" s="6"/>
      <c r="BPR83" s="6"/>
      <c r="BPS83" s="6"/>
      <c r="BPT83" s="6"/>
      <c r="BPU83" s="6"/>
      <c r="BPV83" s="6"/>
      <c r="BPW83" s="6"/>
      <c r="BPX83" s="6"/>
      <c r="BPY83" s="6"/>
      <c r="BPZ83" s="6"/>
      <c r="BQA83" s="6"/>
      <c r="BQB83" s="6"/>
      <c r="BQC83" s="6"/>
      <c r="BQD83" s="6"/>
      <c r="BQE83" s="6"/>
      <c r="BQF83" s="6"/>
      <c r="BQG83" s="6"/>
      <c r="BQH83" s="6"/>
      <c r="BQI83" s="6"/>
      <c r="BQJ83" s="6"/>
      <c r="BQK83" s="6"/>
      <c r="BQL83" s="6"/>
      <c r="BQM83" s="6"/>
      <c r="BQN83" s="6"/>
      <c r="BQO83" s="6"/>
      <c r="BQP83" s="6"/>
      <c r="BQQ83" s="6"/>
      <c r="BQR83" s="6"/>
      <c r="BQS83" s="6"/>
      <c r="BQT83" s="6"/>
      <c r="BQU83" s="6"/>
      <c r="BQV83" s="6"/>
      <c r="BQW83" s="6"/>
      <c r="BQX83" s="6"/>
      <c r="BQY83" s="6"/>
      <c r="BQZ83" s="6"/>
      <c r="BRA83" s="6"/>
      <c r="BRB83" s="6"/>
      <c r="BRC83" s="6"/>
      <c r="BRD83" s="6"/>
      <c r="BRE83" s="6"/>
      <c r="BRF83" s="6"/>
      <c r="BRG83" s="6"/>
      <c r="BRH83" s="6"/>
      <c r="BRI83" s="6"/>
      <c r="BRJ83" s="6"/>
      <c r="BRK83" s="6"/>
      <c r="BRL83" s="6"/>
      <c r="BRM83" s="6"/>
      <c r="BRN83" s="6"/>
      <c r="BRO83" s="6"/>
      <c r="BRP83" s="6"/>
      <c r="BRQ83" s="6"/>
      <c r="BRR83" s="6"/>
      <c r="BRS83" s="6"/>
      <c r="BRT83" s="6"/>
      <c r="BRU83" s="6"/>
      <c r="BRV83" s="6"/>
      <c r="BRW83" s="6"/>
      <c r="BRX83" s="6"/>
      <c r="BRY83" s="6"/>
      <c r="BRZ83" s="6"/>
      <c r="BSA83" s="6"/>
      <c r="BSB83" s="6"/>
      <c r="BSC83" s="6"/>
      <c r="BSD83" s="6"/>
      <c r="BSE83" s="6"/>
      <c r="BSF83" s="6"/>
      <c r="BSG83" s="6"/>
      <c r="BSH83" s="6"/>
      <c r="BSI83" s="6"/>
      <c r="BSJ83" s="6"/>
      <c r="BSK83" s="6"/>
      <c r="BSL83" s="6"/>
      <c r="BSM83" s="6"/>
      <c r="BSN83" s="6"/>
      <c r="BSO83" s="6"/>
      <c r="BSP83" s="6"/>
      <c r="BSQ83" s="6"/>
      <c r="BSR83" s="6"/>
      <c r="BSS83" s="6"/>
      <c r="BST83" s="6"/>
      <c r="BSU83" s="6"/>
      <c r="BSV83" s="6"/>
      <c r="BSW83" s="6"/>
      <c r="BSX83" s="6"/>
      <c r="BSY83" s="6"/>
      <c r="BSZ83" s="6"/>
      <c r="BTA83" s="6"/>
      <c r="BTB83" s="6"/>
      <c r="BTC83" s="6"/>
      <c r="BTD83" s="6"/>
      <c r="BTE83" s="6"/>
      <c r="BTF83" s="6"/>
      <c r="BTG83" s="6"/>
      <c r="BTH83" s="6"/>
      <c r="BTI83" s="6"/>
      <c r="BTJ83" s="6"/>
      <c r="BTK83" s="6"/>
      <c r="BTL83" s="6"/>
      <c r="BTM83" s="6"/>
      <c r="BTN83" s="6"/>
      <c r="BTO83" s="6"/>
      <c r="BTP83" s="6"/>
      <c r="BTQ83" s="6"/>
      <c r="BTR83" s="6"/>
      <c r="BTS83" s="6"/>
      <c r="BTT83" s="6"/>
      <c r="BTU83" s="6"/>
      <c r="BTV83" s="6"/>
      <c r="BTW83" s="6"/>
      <c r="BTX83" s="6"/>
      <c r="BTY83" s="6"/>
      <c r="BTZ83" s="6"/>
      <c r="BUA83" s="6"/>
      <c r="BUB83" s="6"/>
      <c r="BUC83" s="6"/>
      <c r="BUD83" s="6"/>
      <c r="BUE83" s="6"/>
      <c r="BUF83" s="6"/>
      <c r="BUG83" s="6"/>
      <c r="BUH83" s="6"/>
      <c r="BUI83" s="6"/>
      <c r="BUJ83" s="6"/>
      <c r="BUK83" s="6"/>
      <c r="BUL83" s="6"/>
      <c r="BUM83" s="6"/>
      <c r="BUN83" s="6"/>
      <c r="BUO83" s="6"/>
      <c r="BUP83" s="6"/>
      <c r="BUQ83" s="6"/>
      <c r="BUR83" s="6"/>
      <c r="BUS83" s="6"/>
      <c r="BUT83" s="6"/>
      <c r="BUU83" s="6"/>
      <c r="BUV83" s="6"/>
      <c r="BUW83" s="6"/>
      <c r="BUX83" s="6"/>
      <c r="BUY83" s="6"/>
      <c r="BUZ83" s="6"/>
      <c r="BVA83" s="6"/>
      <c r="BVB83" s="6"/>
      <c r="BVC83" s="6"/>
      <c r="BVD83" s="6"/>
      <c r="BVE83" s="6"/>
      <c r="BVF83" s="6"/>
      <c r="BVG83" s="6"/>
      <c r="BVH83" s="6"/>
      <c r="BVI83" s="6"/>
      <c r="BVJ83" s="6"/>
      <c r="BVK83" s="6"/>
      <c r="BVL83" s="6"/>
      <c r="BVM83" s="6"/>
      <c r="BVN83" s="6"/>
      <c r="BVO83" s="6"/>
      <c r="BVP83" s="6"/>
      <c r="BVQ83" s="6"/>
      <c r="BVR83" s="6"/>
      <c r="BVS83" s="6"/>
      <c r="BVT83" s="6"/>
      <c r="BVU83" s="6"/>
      <c r="BVV83" s="6"/>
      <c r="BVW83" s="6"/>
      <c r="BVX83" s="6"/>
      <c r="BVY83" s="6"/>
      <c r="BVZ83" s="6"/>
      <c r="BWA83" s="6"/>
      <c r="BWB83" s="6"/>
      <c r="BWC83" s="6"/>
      <c r="BWD83" s="6"/>
      <c r="BWE83" s="6"/>
      <c r="BWF83" s="6"/>
      <c r="BWG83" s="6"/>
      <c r="BWH83" s="6"/>
      <c r="BWI83" s="6"/>
      <c r="BWJ83" s="6"/>
      <c r="BWK83" s="6"/>
      <c r="BWL83" s="6"/>
      <c r="BWM83" s="6"/>
      <c r="BWN83" s="6"/>
      <c r="BWO83" s="6"/>
      <c r="BWP83" s="6"/>
      <c r="BWQ83" s="6"/>
      <c r="BWR83" s="6"/>
      <c r="BWS83" s="6"/>
      <c r="BWT83" s="6"/>
      <c r="BWU83" s="6"/>
      <c r="BWV83" s="6"/>
      <c r="BWW83" s="6"/>
      <c r="BWX83" s="6"/>
      <c r="BWY83" s="6"/>
      <c r="BWZ83" s="6"/>
      <c r="BXA83" s="6"/>
      <c r="BXB83" s="6"/>
      <c r="BXC83" s="6"/>
      <c r="BXD83" s="6"/>
      <c r="BXE83" s="6"/>
      <c r="BXF83" s="6"/>
      <c r="BXG83" s="6"/>
      <c r="BXH83" s="6"/>
      <c r="BXI83" s="6"/>
      <c r="BXJ83" s="6"/>
      <c r="BXK83" s="6"/>
      <c r="BXL83" s="6"/>
      <c r="BXM83" s="6"/>
      <c r="BXN83" s="6"/>
      <c r="BXO83" s="6"/>
      <c r="BXP83" s="6"/>
      <c r="BXQ83" s="6"/>
      <c r="BXR83" s="6"/>
      <c r="BXS83" s="6"/>
      <c r="BXT83" s="6"/>
      <c r="BXU83" s="6"/>
      <c r="BXV83" s="6"/>
      <c r="BXW83" s="6"/>
      <c r="BXX83" s="6"/>
      <c r="BXY83" s="6"/>
      <c r="BXZ83" s="6"/>
      <c r="BYA83" s="6"/>
      <c r="BYB83" s="6"/>
      <c r="BYC83" s="6"/>
      <c r="BYD83" s="6"/>
      <c r="BYE83" s="6"/>
      <c r="BYF83" s="6"/>
      <c r="BYG83" s="6"/>
      <c r="BYH83" s="6"/>
      <c r="BYI83" s="6"/>
      <c r="BYJ83" s="6"/>
      <c r="BYK83" s="6"/>
      <c r="BYL83" s="6"/>
      <c r="BYM83" s="6"/>
      <c r="BYN83" s="6"/>
      <c r="BYO83" s="6"/>
      <c r="BYP83" s="6"/>
      <c r="BYQ83" s="6"/>
      <c r="BYR83" s="6"/>
      <c r="BYS83" s="6"/>
      <c r="BYT83" s="6"/>
      <c r="BYU83" s="6"/>
      <c r="BYV83" s="6"/>
      <c r="BYW83" s="6"/>
      <c r="BYX83" s="6"/>
      <c r="BYY83" s="6"/>
      <c r="BYZ83" s="6"/>
      <c r="BZA83" s="6"/>
      <c r="BZB83" s="6"/>
      <c r="BZC83" s="6"/>
      <c r="BZD83" s="6"/>
      <c r="BZE83" s="6"/>
      <c r="BZF83" s="6"/>
      <c r="BZG83" s="6"/>
      <c r="BZH83" s="6"/>
      <c r="BZI83" s="6"/>
      <c r="BZJ83" s="6"/>
      <c r="BZK83" s="6"/>
      <c r="BZL83" s="6"/>
      <c r="BZM83" s="6"/>
      <c r="BZN83" s="6"/>
      <c r="BZO83" s="6"/>
      <c r="BZP83" s="6"/>
      <c r="BZQ83" s="6"/>
      <c r="BZR83" s="6"/>
      <c r="BZS83" s="6"/>
      <c r="BZT83" s="6"/>
      <c r="BZU83" s="6"/>
      <c r="BZV83" s="6"/>
      <c r="BZW83" s="6"/>
      <c r="BZX83" s="6"/>
      <c r="BZY83" s="6"/>
      <c r="BZZ83" s="6"/>
      <c r="CAA83" s="6"/>
      <c r="CAB83" s="6"/>
      <c r="CAC83" s="6"/>
      <c r="CAD83" s="6"/>
      <c r="CAE83" s="6"/>
      <c r="CAF83" s="6"/>
      <c r="CAG83" s="6"/>
      <c r="CAH83" s="6"/>
      <c r="CAI83" s="6"/>
      <c r="CAJ83" s="6"/>
      <c r="CAK83" s="6"/>
      <c r="CAL83" s="6"/>
      <c r="CAM83" s="6"/>
      <c r="CAN83" s="6"/>
      <c r="CAO83" s="6"/>
      <c r="CAP83" s="6"/>
      <c r="CAQ83" s="6"/>
      <c r="CAR83" s="6"/>
      <c r="CAS83" s="6"/>
      <c r="CAT83" s="6"/>
      <c r="CAU83" s="6"/>
      <c r="CAV83" s="6"/>
      <c r="CAW83" s="6"/>
      <c r="CAX83" s="6"/>
      <c r="CAY83" s="6"/>
      <c r="CAZ83" s="6"/>
      <c r="CBA83" s="6"/>
      <c r="CBB83" s="6"/>
      <c r="CBC83" s="6"/>
      <c r="CBD83" s="6"/>
      <c r="CBE83" s="6"/>
      <c r="CBF83" s="6"/>
      <c r="CBG83" s="6"/>
      <c r="CBH83" s="6"/>
      <c r="CBI83" s="6"/>
      <c r="CBJ83" s="6"/>
      <c r="CBK83" s="6"/>
      <c r="CBL83" s="6"/>
      <c r="CBM83" s="6"/>
      <c r="CBN83" s="6"/>
      <c r="CBO83" s="6"/>
      <c r="CBP83" s="6"/>
      <c r="CBQ83" s="6"/>
      <c r="CBR83" s="6"/>
      <c r="CBS83" s="6"/>
      <c r="CBT83" s="6"/>
      <c r="CBU83" s="6"/>
      <c r="CBV83" s="6"/>
      <c r="CBW83" s="6"/>
      <c r="CBX83" s="6"/>
      <c r="CBY83" s="6"/>
      <c r="CBZ83" s="6"/>
      <c r="CCA83" s="6"/>
      <c r="CCB83" s="6"/>
      <c r="CCC83" s="6"/>
      <c r="CCD83" s="6"/>
      <c r="CCE83" s="6"/>
      <c r="CCF83" s="6"/>
      <c r="CCG83" s="6"/>
      <c r="CCH83" s="6"/>
      <c r="CCI83" s="6"/>
      <c r="CCJ83" s="6"/>
      <c r="CCK83" s="6"/>
      <c r="CCL83" s="6"/>
      <c r="CCM83" s="6"/>
      <c r="CCN83" s="6"/>
      <c r="CCO83" s="6"/>
      <c r="CCP83" s="6"/>
      <c r="CCQ83" s="6"/>
      <c r="CCR83" s="6"/>
      <c r="CCS83" s="6"/>
      <c r="CCT83" s="6"/>
      <c r="CCU83" s="6"/>
      <c r="CCV83" s="6"/>
      <c r="CCW83" s="6"/>
      <c r="CCX83" s="6"/>
      <c r="CCY83" s="6"/>
      <c r="CCZ83" s="6"/>
      <c r="CDA83" s="6"/>
      <c r="CDB83" s="6"/>
      <c r="CDC83" s="6"/>
      <c r="CDD83" s="6"/>
      <c r="CDE83" s="6"/>
      <c r="CDF83" s="6"/>
      <c r="CDG83" s="6"/>
      <c r="CDH83" s="6"/>
      <c r="CDI83" s="6"/>
      <c r="CDJ83" s="6"/>
      <c r="CDK83" s="6"/>
      <c r="CDL83" s="6"/>
      <c r="CDM83" s="6"/>
      <c r="CDN83" s="6"/>
      <c r="CDO83" s="6"/>
      <c r="CDP83" s="6"/>
      <c r="CDQ83" s="6"/>
      <c r="CDR83" s="6"/>
      <c r="CDS83" s="6"/>
      <c r="CDT83" s="6"/>
      <c r="CDU83" s="6"/>
      <c r="CDV83" s="6"/>
      <c r="CDW83" s="6"/>
      <c r="CDX83" s="6"/>
      <c r="CDY83" s="6"/>
      <c r="CDZ83" s="6"/>
      <c r="CEA83" s="6"/>
      <c r="CEB83" s="6"/>
      <c r="CEC83" s="6"/>
      <c r="CED83" s="6"/>
      <c r="CEE83" s="6"/>
      <c r="CEF83" s="6"/>
      <c r="CEG83" s="6"/>
      <c r="CEH83" s="6"/>
      <c r="CEI83" s="6"/>
      <c r="CEJ83" s="6"/>
      <c r="CEK83" s="6"/>
      <c r="CEL83" s="6"/>
      <c r="CEM83" s="6"/>
      <c r="CEN83" s="6"/>
      <c r="CEO83" s="6"/>
      <c r="CEP83" s="6"/>
      <c r="CEQ83" s="6"/>
      <c r="CER83" s="6"/>
      <c r="CES83" s="6"/>
      <c r="CET83" s="6"/>
      <c r="CEU83" s="6"/>
      <c r="CEV83" s="6"/>
      <c r="CEW83" s="6"/>
      <c r="CEX83" s="6"/>
      <c r="CEY83" s="6"/>
      <c r="CEZ83" s="6"/>
      <c r="CFA83" s="6"/>
      <c r="CFB83" s="6"/>
      <c r="CFC83" s="6"/>
      <c r="CFD83" s="6"/>
      <c r="CFE83" s="6"/>
      <c r="CFF83" s="6"/>
      <c r="CFG83" s="6"/>
      <c r="CFH83" s="6"/>
      <c r="CFI83" s="6"/>
      <c r="CFJ83" s="6"/>
      <c r="CFK83" s="6"/>
      <c r="CFL83" s="6"/>
      <c r="CFM83" s="6"/>
      <c r="CFN83" s="6"/>
      <c r="CFO83" s="6"/>
      <c r="CFP83" s="6"/>
      <c r="CFQ83" s="6"/>
      <c r="CFR83" s="6"/>
      <c r="CFS83" s="6"/>
      <c r="CFT83" s="6"/>
      <c r="CFU83" s="6"/>
      <c r="CFV83" s="6"/>
      <c r="CFW83" s="6"/>
      <c r="CFX83" s="6"/>
      <c r="CFY83" s="6"/>
      <c r="CFZ83" s="6"/>
      <c r="CGA83" s="6"/>
      <c r="CGB83" s="6"/>
      <c r="CGC83" s="6"/>
      <c r="CGD83" s="6"/>
      <c r="CGE83" s="6"/>
      <c r="CGF83" s="6"/>
      <c r="CGG83" s="6"/>
      <c r="CGH83" s="6"/>
      <c r="CGI83" s="6"/>
      <c r="CGJ83" s="6"/>
      <c r="CGK83" s="6"/>
      <c r="CGL83" s="6"/>
      <c r="CGM83" s="6"/>
      <c r="CGN83" s="6"/>
      <c r="CGO83" s="6"/>
      <c r="CGP83" s="6"/>
      <c r="CGQ83" s="6"/>
      <c r="CGR83" s="6"/>
      <c r="CGS83" s="6"/>
      <c r="CGT83" s="6"/>
      <c r="CGU83" s="6"/>
      <c r="CGV83" s="6"/>
      <c r="CGW83" s="6"/>
      <c r="CGX83" s="6"/>
      <c r="CGY83" s="6"/>
      <c r="CGZ83" s="6"/>
      <c r="CHA83" s="6"/>
      <c r="CHB83" s="6"/>
      <c r="CHC83" s="6"/>
      <c r="CHD83" s="6"/>
      <c r="CHE83" s="6"/>
      <c r="CHF83" s="6"/>
      <c r="CHG83" s="6"/>
      <c r="CHH83" s="6"/>
      <c r="CHI83" s="6"/>
      <c r="CHJ83" s="6"/>
      <c r="CHK83" s="6"/>
      <c r="CHL83" s="6"/>
      <c r="CHM83" s="6"/>
      <c r="CHN83" s="6"/>
      <c r="CHO83" s="6"/>
      <c r="CHP83" s="6"/>
      <c r="CHQ83" s="6"/>
      <c r="CHR83" s="6"/>
      <c r="CHS83" s="6"/>
      <c r="CHT83" s="6"/>
      <c r="CHU83" s="6"/>
      <c r="CHV83" s="6"/>
      <c r="CHW83" s="6"/>
      <c r="CHX83" s="6"/>
      <c r="CHY83" s="6"/>
      <c r="CHZ83" s="6"/>
      <c r="CIA83" s="6"/>
      <c r="CIB83" s="6"/>
      <c r="CIC83" s="6"/>
      <c r="CID83" s="6"/>
      <c r="CIE83" s="6"/>
      <c r="CIF83" s="6"/>
      <c r="CIG83" s="6"/>
      <c r="CIH83" s="6"/>
      <c r="CII83" s="6"/>
      <c r="CIJ83" s="6"/>
      <c r="CIK83" s="6"/>
      <c r="CIL83" s="6"/>
      <c r="CIM83" s="6"/>
      <c r="CIN83" s="6"/>
      <c r="CIO83" s="6"/>
      <c r="CIP83" s="6"/>
      <c r="CIQ83" s="6"/>
      <c r="CIR83" s="6"/>
      <c r="CIS83" s="6"/>
      <c r="CIT83" s="6"/>
      <c r="CIU83" s="6"/>
      <c r="CIV83" s="6"/>
      <c r="CIW83" s="6"/>
      <c r="CIX83" s="6"/>
      <c r="CIY83" s="6"/>
      <c r="CIZ83" s="6"/>
      <c r="CJA83" s="6"/>
      <c r="CJB83" s="6"/>
      <c r="CJC83" s="6"/>
      <c r="CJD83" s="6"/>
      <c r="CJE83" s="6"/>
      <c r="CJF83" s="6"/>
      <c r="CJG83" s="6"/>
      <c r="CJH83" s="6"/>
      <c r="CJI83" s="6"/>
      <c r="CJJ83" s="6"/>
      <c r="CJK83" s="6"/>
      <c r="CJL83" s="6"/>
      <c r="CJM83" s="6"/>
      <c r="CJN83" s="6"/>
      <c r="CJO83" s="6"/>
      <c r="CJP83" s="6"/>
      <c r="CJQ83" s="6"/>
      <c r="CJR83" s="6"/>
      <c r="CJS83" s="6"/>
      <c r="CJT83" s="6"/>
      <c r="CJU83" s="6"/>
      <c r="CJV83" s="6"/>
      <c r="CJW83" s="6"/>
      <c r="CJX83" s="6"/>
      <c r="CJY83" s="6"/>
      <c r="CJZ83" s="6"/>
      <c r="CKA83" s="6"/>
      <c r="CKB83" s="6"/>
      <c r="CKC83" s="6"/>
      <c r="CKD83" s="6"/>
      <c r="CKE83" s="6"/>
      <c r="CKF83" s="6"/>
      <c r="CKG83" s="6"/>
      <c r="CKH83" s="6"/>
      <c r="CKI83" s="6"/>
      <c r="CKJ83" s="6"/>
      <c r="CKK83" s="6"/>
      <c r="CKL83" s="6"/>
      <c r="CKM83" s="6"/>
      <c r="CKN83" s="6"/>
      <c r="CKO83" s="6"/>
      <c r="CKP83" s="6"/>
      <c r="CKQ83" s="6"/>
      <c r="CKR83" s="6"/>
      <c r="CKS83" s="6"/>
      <c r="CKT83" s="6"/>
      <c r="CKU83" s="6"/>
      <c r="CKV83" s="6"/>
      <c r="CKW83" s="6"/>
      <c r="CKX83" s="6"/>
      <c r="CKY83" s="6"/>
      <c r="CKZ83" s="6"/>
      <c r="CLA83" s="6"/>
      <c r="CLB83" s="6"/>
      <c r="CLC83" s="6"/>
      <c r="CLD83" s="6"/>
      <c r="CLE83" s="6"/>
      <c r="CLF83" s="6"/>
      <c r="CLG83" s="6"/>
      <c r="CLH83" s="6"/>
      <c r="CLI83" s="6"/>
      <c r="CLJ83" s="6"/>
      <c r="CLK83" s="6"/>
      <c r="CLL83" s="6"/>
      <c r="CLM83" s="6"/>
      <c r="CLN83" s="6"/>
      <c r="CLO83" s="6"/>
      <c r="CLP83" s="6"/>
      <c r="CLQ83" s="6"/>
      <c r="CLR83" s="6"/>
      <c r="CLS83" s="6"/>
      <c r="CLT83" s="6"/>
      <c r="CLU83" s="6"/>
      <c r="CLV83" s="6"/>
      <c r="CLW83" s="6"/>
      <c r="CLX83" s="6"/>
      <c r="CLY83" s="6"/>
      <c r="CLZ83" s="6"/>
      <c r="CMA83" s="6"/>
      <c r="CMB83" s="6"/>
      <c r="CMC83" s="6"/>
      <c r="CMD83" s="6"/>
      <c r="CME83" s="6"/>
      <c r="CMF83" s="6"/>
      <c r="CMG83" s="6"/>
      <c r="CMH83" s="6"/>
      <c r="CMI83" s="6"/>
      <c r="CMJ83" s="6"/>
      <c r="CMK83" s="6"/>
      <c r="CML83" s="6"/>
      <c r="CMM83" s="6"/>
      <c r="CMN83" s="6"/>
      <c r="CMO83" s="6"/>
      <c r="CMP83" s="6"/>
      <c r="CMQ83" s="6"/>
      <c r="CMR83" s="6"/>
      <c r="CMS83" s="6"/>
      <c r="CMT83" s="6"/>
      <c r="CMU83" s="6"/>
      <c r="CMV83" s="6"/>
      <c r="CMW83" s="6"/>
      <c r="CMX83" s="6"/>
      <c r="CMY83" s="6"/>
      <c r="CMZ83" s="6"/>
      <c r="CNA83" s="6"/>
      <c r="CNB83" s="6"/>
      <c r="CNC83" s="6"/>
      <c r="CND83" s="6"/>
      <c r="CNE83" s="6"/>
      <c r="CNF83" s="6"/>
      <c r="CNG83" s="6"/>
      <c r="CNH83" s="6"/>
      <c r="CNI83" s="6"/>
      <c r="CNJ83" s="6"/>
      <c r="CNK83" s="6"/>
      <c r="CNL83" s="6"/>
      <c r="CNM83" s="6"/>
      <c r="CNN83" s="6"/>
      <c r="CNO83" s="6"/>
      <c r="CNP83" s="6"/>
      <c r="CNQ83" s="6"/>
      <c r="CNR83" s="6"/>
      <c r="CNS83" s="6"/>
      <c r="CNT83" s="6"/>
      <c r="CNU83" s="6"/>
      <c r="CNV83" s="6"/>
      <c r="CNW83" s="6"/>
      <c r="CNX83" s="6"/>
      <c r="CNY83" s="6"/>
      <c r="CNZ83" s="6"/>
      <c r="COA83" s="6"/>
      <c r="COB83" s="6"/>
      <c r="COC83" s="6"/>
      <c r="COD83" s="6"/>
      <c r="COE83" s="6"/>
      <c r="COF83" s="6"/>
      <c r="COG83" s="6"/>
      <c r="COH83" s="6"/>
      <c r="COI83" s="6"/>
      <c r="COJ83" s="6"/>
      <c r="COK83" s="6"/>
      <c r="COL83" s="6"/>
      <c r="COM83" s="6"/>
      <c r="CON83" s="6"/>
      <c r="COO83" s="6"/>
      <c r="COP83" s="6"/>
      <c r="COQ83" s="6"/>
      <c r="COR83" s="6"/>
      <c r="COS83" s="6"/>
      <c r="COT83" s="6"/>
      <c r="COU83" s="6"/>
      <c r="COV83" s="6"/>
      <c r="COW83" s="6"/>
      <c r="COX83" s="6"/>
      <c r="COY83" s="6"/>
      <c r="COZ83" s="6"/>
      <c r="CPA83" s="6"/>
      <c r="CPB83" s="6"/>
      <c r="CPC83" s="6"/>
      <c r="CPD83" s="6"/>
      <c r="CPE83" s="6"/>
      <c r="CPF83" s="6"/>
      <c r="CPG83" s="6"/>
      <c r="CPH83" s="6"/>
      <c r="CPI83" s="6"/>
      <c r="CPJ83" s="6"/>
      <c r="CPK83" s="6"/>
      <c r="CPL83" s="6"/>
      <c r="CPM83" s="6"/>
      <c r="CPN83" s="6"/>
      <c r="CPO83" s="6"/>
      <c r="CPP83" s="6"/>
      <c r="CPQ83" s="6"/>
      <c r="CPR83" s="6"/>
      <c r="CPS83" s="6"/>
      <c r="CPT83" s="6"/>
      <c r="CPU83" s="6"/>
      <c r="CPV83" s="6"/>
      <c r="CPW83" s="6"/>
      <c r="CPX83" s="6"/>
      <c r="CPY83" s="6"/>
      <c r="CPZ83" s="6"/>
      <c r="CQA83" s="6"/>
      <c r="CQB83" s="6"/>
      <c r="CQC83" s="6"/>
      <c r="CQD83" s="6"/>
      <c r="CQE83" s="6"/>
      <c r="CQF83" s="6"/>
      <c r="CQG83" s="6"/>
      <c r="CQH83" s="6"/>
      <c r="CQI83" s="6"/>
      <c r="CQJ83" s="6"/>
      <c r="CQK83" s="6"/>
      <c r="CQL83" s="6"/>
      <c r="CQM83" s="6"/>
      <c r="CQN83" s="6"/>
      <c r="CQO83" s="6"/>
      <c r="CQP83" s="6"/>
      <c r="CQQ83" s="6"/>
      <c r="CQR83" s="6"/>
      <c r="CQS83" s="6"/>
      <c r="CQT83" s="6"/>
      <c r="CQU83" s="6"/>
      <c r="CQV83" s="6"/>
      <c r="CQW83" s="6"/>
      <c r="CQX83" s="6"/>
      <c r="CQY83" s="6"/>
      <c r="CQZ83" s="6"/>
      <c r="CRA83" s="6"/>
      <c r="CRB83" s="6"/>
      <c r="CRC83" s="6"/>
      <c r="CRD83" s="6"/>
      <c r="CRE83" s="6"/>
      <c r="CRF83" s="6"/>
      <c r="CRG83" s="6"/>
      <c r="CRH83" s="6"/>
      <c r="CRI83" s="6"/>
      <c r="CRJ83" s="6"/>
      <c r="CRK83" s="6"/>
      <c r="CRL83" s="6"/>
      <c r="CRM83" s="6"/>
      <c r="CRN83" s="6"/>
      <c r="CRO83" s="6"/>
      <c r="CRP83" s="6"/>
      <c r="CRQ83" s="6"/>
      <c r="CRR83" s="6"/>
      <c r="CRS83" s="6"/>
      <c r="CRT83" s="6"/>
      <c r="CRU83" s="6"/>
      <c r="CRV83" s="6"/>
      <c r="CRW83" s="6"/>
      <c r="CRX83" s="6"/>
      <c r="CRY83" s="6"/>
      <c r="CRZ83" s="6"/>
      <c r="CSA83" s="6"/>
      <c r="CSB83" s="6"/>
      <c r="CSC83" s="6"/>
      <c r="CSD83" s="6"/>
      <c r="CSE83" s="6"/>
      <c r="CSF83" s="6"/>
      <c r="CSG83" s="6"/>
      <c r="CSH83" s="6"/>
      <c r="CSI83" s="6"/>
      <c r="CSJ83" s="6"/>
      <c r="CSK83" s="6"/>
      <c r="CSL83" s="6"/>
      <c r="CSM83" s="6"/>
      <c r="CSN83" s="6"/>
      <c r="CSO83" s="6"/>
      <c r="CSP83" s="6"/>
      <c r="CSQ83" s="6"/>
      <c r="CSR83" s="6"/>
      <c r="CSS83" s="6"/>
      <c r="CST83" s="6"/>
      <c r="CSU83" s="6"/>
      <c r="CSV83" s="6"/>
      <c r="CSW83" s="6"/>
      <c r="CSX83" s="6"/>
      <c r="CSY83" s="6"/>
      <c r="CSZ83" s="6"/>
      <c r="CTA83" s="6"/>
      <c r="CTB83" s="6"/>
      <c r="CTC83" s="6"/>
      <c r="CTD83" s="6"/>
      <c r="CTE83" s="6"/>
      <c r="CTF83" s="6"/>
      <c r="CTG83" s="6"/>
      <c r="CTH83" s="6"/>
      <c r="CTI83" s="6"/>
      <c r="CTJ83" s="6"/>
      <c r="CTK83" s="6"/>
      <c r="CTL83" s="6"/>
      <c r="CTM83" s="6"/>
      <c r="CTN83" s="6"/>
      <c r="CTO83" s="6"/>
      <c r="CTP83" s="6"/>
      <c r="CTQ83" s="6"/>
      <c r="CTR83" s="6"/>
      <c r="CTS83" s="6"/>
      <c r="CTT83" s="6"/>
      <c r="CTU83" s="6"/>
      <c r="CTV83" s="6"/>
      <c r="CTW83" s="6"/>
      <c r="CTX83" s="6"/>
      <c r="CTY83" s="6"/>
      <c r="CTZ83" s="6"/>
      <c r="CUA83" s="6"/>
      <c r="CUB83" s="6"/>
      <c r="CUC83" s="6"/>
      <c r="CUD83" s="6"/>
      <c r="CUE83" s="6"/>
      <c r="CUF83" s="6"/>
      <c r="CUG83" s="6"/>
      <c r="CUH83" s="6"/>
      <c r="CUI83" s="6"/>
      <c r="CUJ83" s="6"/>
      <c r="CUK83" s="6"/>
      <c r="CUL83" s="6"/>
      <c r="CUM83" s="6"/>
      <c r="CUN83" s="6"/>
      <c r="CUO83" s="6"/>
      <c r="CUP83" s="6"/>
      <c r="CUQ83" s="6"/>
      <c r="CUR83" s="6"/>
      <c r="CUS83" s="6"/>
      <c r="CUT83" s="6"/>
      <c r="CUU83" s="6"/>
      <c r="CUV83" s="6"/>
      <c r="CUW83" s="6"/>
      <c r="CUX83" s="6"/>
      <c r="CUY83" s="6"/>
      <c r="CUZ83" s="6"/>
      <c r="CVA83" s="6"/>
      <c r="CVB83" s="6"/>
      <c r="CVC83" s="6"/>
      <c r="CVD83" s="6"/>
      <c r="CVE83" s="6"/>
      <c r="CVF83" s="6"/>
      <c r="CVG83" s="6"/>
      <c r="CVH83" s="6"/>
      <c r="CVI83" s="6"/>
      <c r="CVJ83" s="6"/>
      <c r="CVK83" s="6"/>
      <c r="CVL83" s="6"/>
      <c r="CVM83" s="6"/>
      <c r="CVN83" s="6"/>
      <c r="CVO83" s="6"/>
      <c r="CVP83" s="6"/>
      <c r="CVQ83" s="6"/>
      <c r="CVR83" s="6"/>
      <c r="CVS83" s="6"/>
      <c r="CVT83" s="6"/>
      <c r="CVU83" s="6"/>
      <c r="CVV83" s="6"/>
      <c r="CVW83" s="6"/>
      <c r="CVX83" s="6"/>
      <c r="CVY83" s="6"/>
      <c r="CVZ83" s="6"/>
      <c r="CWA83" s="6"/>
      <c r="CWB83" s="6"/>
      <c r="CWC83" s="6"/>
      <c r="CWD83" s="6"/>
      <c r="CWE83" s="6"/>
      <c r="CWF83" s="6"/>
      <c r="CWG83" s="6"/>
      <c r="CWH83" s="6"/>
      <c r="CWI83" s="6"/>
      <c r="CWJ83" s="6"/>
      <c r="CWK83" s="6"/>
      <c r="CWL83" s="6"/>
      <c r="CWM83" s="6"/>
      <c r="CWN83" s="6"/>
      <c r="CWO83" s="6"/>
      <c r="CWP83" s="6"/>
      <c r="CWQ83" s="6"/>
      <c r="CWR83" s="6"/>
      <c r="CWS83" s="6"/>
      <c r="CWT83" s="6"/>
      <c r="CWU83" s="6"/>
      <c r="CWV83" s="6"/>
      <c r="CWW83" s="6"/>
      <c r="CWX83" s="6"/>
      <c r="CWY83" s="6"/>
      <c r="CWZ83" s="6"/>
      <c r="CXA83" s="6"/>
      <c r="CXB83" s="6"/>
      <c r="CXC83" s="6"/>
      <c r="CXD83" s="6"/>
      <c r="CXE83" s="6"/>
      <c r="CXF83" s="6"/>
      <c r="CXG83" s="6"/>
      <c r="CXH83" s="6"/>
      <c r="CXI83" s="6"/>
      <c r="CXJ83" s="6"/>
      <c r="CXK83" s="6"/>
      <c r="CXL83" s="6"/>
      <c r="CXM83" s="6"/>
      <c r="CXN83" s="6"/>
      <c r="CXO83" s="6"/>
      <c r="CXP83" s="6"/>
      <c r="CXQ83" s="6"/>
      <c r="CXR83" s="6"/>
      <c r="CXS83" s="6"/>
      <c r="CXT83" s="6"/>
      <c r="CXU83" s="6"/>
      <c r="CXV83" s="6"/>
      <c r="CXW83" s="6"/>
      <c r="CXX83" s="6"/>
      <c r="CXY83" s="6"/>
      <c r="CXZ83" s="6"/>
      <c r="CYA83" s="6"/>
      <c r="CYB83" s="6"/>
      <c r="CYC83" s="6"/>
      <c r="CYD83" s="6"/>
      <c r="CYE83" s="6"/>
      <c r="CYF83" s="6"/>
      <c r="CYG83" s="6"/>
      <c r="CYH83" s="6"/>
      <c r="CYI83" s="6"/>
      <c r="CYJ83" s="6"/>
      <c r="CYK83" s="6"/>
      <c r="CYL83" s="6"/>
      <c r="CYM83" s="6"/>
      <c r="CYN83" s="6"/>
      <c r="CYO83" s="6"/>
      <c r="CYP83" s="6"/>
      <c r="CYQ83" s="6"/>
      <c r="CYR83" s="6"/>
      <c r="CYS83" s="6"/>
      <c r="CYT83" s="6"/>
      <c r="CYU83" s="6"/>
      <c r="CYV83" s="6"/>
      <c r="CYW83" s="6"/>
      <c r="CYX83" s="6"/>
      <c r="CYY83" s="6"/>
      <c r="CYZ83" s="6"/>
      <c r="CZA83" s="6"/>
      <c r="CZB83" s="6"/>
      <c r="CZC83" s="6"/>
      <c r="CZD83" s="6"/>
      <c r="CZE83" s="6"/>
      <c r="CZF83" s="6"/>
      <c r="CZG83" s="6"/>
      <c r="CZH83" s="6"/>
      <c r="CZI83" s="6"/>
      <c r="CZJ83" s="6"/>
      <c r="CZK83" s="6"/>
      <c r="CZL83" s="6"/>
      <c r="CZM83" s="6"/>
      <c r="CZN83" s="6"/>
      <c r="CZO83" s="6"/>
      <c r="CZP83" s="6"/>
      <c r="CZQ83" s="6"/>
      <c r="CZR83" s="6"/>
      <c r="CZS83" s="6"/>
      <c r="CZT83" s="6"/>
      <c r="CZU83" s="6"/>
      <c r="CZV83" s="6"/>
      <c r="CZW83" s="6"/>
      <c r="CZX83" s="6"/>
      <c r="CZY83" s="6"/>
      <c r="CZZ83" s="6"/>
      <c r="DAA83" s="6"/>
      <c r="DAB83" s="6"/>
      <c r="DAC83" s="6"/>
      <c r="DAD83" s="6"/>
      <c r="DAE83" s="6"/>
      <c r="DAF83" s="6"/>
      <c r="DAG83" s="6"/>
      <c r="DAH83" s="6"/>
      <c r="DAI83" s="6"/>
      <c r="DAJ83" s="6"/>
      <c r="DAK83" s="6"/>
      <c r="DAL83" s="6"/>
      <c r="DAM83" s="6"/>
      <c r="DAN83" s="6"/>
      <c r="DAO83" s="6"/>
      <c r="DAP83" s="6"/>
      <c r="DAQ83" s="6"/>
      <c r="DAR83" s="6"/>
      <c r="DAS83" s="6"/>
      <c r="DAT83" s="6"/>
      <c r="DAU83" s="6"/>
      <c r="DAV83" s="6"/>
      <c r="DAW83" s="6"/>
      <c r="DAX83" s="6"/>
      <c r="DAY83" s="6"/>
      <c r="DAZ83" s="6"/>
      <c r="DBA83" s="6"/>
      <c r="DBB83" s="6"/>
      <c r="DBC83" s="6"/>
      <c r="DBD83" s="6"/>
      <c r="DBE83" s="6"/>
      <c r="DBF83" s="6"/>
      <c r="DBG83" s="6"/>
      <c r="DBH83" s="6"/>
      <c r="DBI83" s="6"/>
      <c r="DBJ83" s="6"/>
      <c r="DBK83" s="6"/>
      <c r="DBL83" s="6"/>
      <c r="DBM83" s="6"/>
      <c r="DBN83" s="6"/>
      <c r="DBO83" s="6"/>
      <c r="DBP83" s="6"/>
      <c r="DBQ83" s="6"/>
      <c r="DBR83" s="6"/>
      <c r="DBS83" s="6"/>
      <c r="DBT83" s="6"/>
      <c r="DBU83" s="6"/>
      <c r="DBV83" s="6"/>
      <c r="DBW83" s="6"/>
      <c r="DBX83" s="6"/>
      <c r="DBY83" s="6"/>
      <c r="DBZ83" s="6"/>
      <c r="DCA83" s="6"/>
      <c r="DCB83" s="6"/>
      <c r="DCC83" s="6"/>
      <c r="DCD83" s="6"/>
      <c r="DCE83" s="6"/>
      <c r="DCF83" s="6"/>
      <c r="DCG83" s="6"/>
      <c r="DCH83" s="6"/>
      <c r="DCI83" s="6"/>
      <c r="DCJ83" s="6"/>
      <c r="DCK83" s="6"/>
      <c r="DCL83" s="6"/>
      <c r="DCM83" s="6"/>
      <c r="DCN83" s="6"/>
      <c r="DCO83" s="6"/>
      <c r="DCP83" s="6"/>
      <c r="DCQ83" s="6"/>
      <c r="DCR83" s="6"/>
      <c r="DCS83" s="6"/>
      <c r="DCT83" s="6"/>
      <c r="DCU83" s="6"/>
      <c r="DCV83" s="6"/>
      <c r="DCW83" s="6"/>
      <c r="DCX83" s="6"/>
      <c r="DCY83" s="6"/>
      <c r="DCZ83" s="6"/>
      <c r="DDA83" s="6"/>
      <c r="DDB83" s="6"/>
      <c r="DDC83" s="6"/>
      <c r="DDD83" s="6"/>
      <c r="DDE83" s="6"/>
      <c r="DDF83" s="6"/>
      <c r="DDG83" s="6"/>
      <c r="DDH83" s="6"/>
      <c r="DDI83" s="6"/>
      <c r="DDJ83" s="6"/>
      <c r="DDK83" s="6"/>
      <c r="DDL83" s="6"/>
      <c r="DDM83" s="6"/>
      <c r="DDN83" s="6"/>
      <c r="DDO83" s="6"/>
      <c r="DDP83" s="6"/>
      <c r="DDQ83" s="6"/>
      <c r="DDR83" s="6"/>
      <c r="DDS83" s="6"/>
      <c r="DDT83" s="6"/>
      <c r="DDU83" s="6"/>
      <c r="DDV83" s="6"/>
      <c r="DDW83" s="6"/>
      <c r="DDX83" s="6"/>
      <c r="DDY83" s="6"/>
      <c r="DDZ83" s="6"/>
      <c r="DEA83" s="6"/>
      <c r="DEB83" s="6"/>
      <c r="DEC83" s="6"/>
      <c r="DED83" s="6"/>
      <c r="DEE83" s="6"/>
      <c r="DEF83" s="6"/>
      <c r="DEG83" s="6"/>
      <c r="DEH83" s="6"/>
      <c r="DEI83" s="6"/>
      <c r="DEJ83" s="6"/>
      <c r="DEK83" s="6"/>
      <c r="DEL83" s="6"/>
      <c r="DEM83" s="6"/>
      <c r="DEN83" s="6"/>
      <c r="DEO83" s="6"/>
      <c r="DEP83" s="6"/>
      <c r="DEQ83" s="6"/>
      <c r="DER83" s="6"/>
      <c r="DES83" s="6"/>
      <c r="DET83" s="6"/>
      <c r="DEU83" s="6"/>
      <c r="DEV83" s="6"/>
      <c r="DEW83" s="6"/>
      <c r="DEX83" s="6"/>
      <c r="DEY83" s="6"/>
      <c r="DEZ83" s="6"/>
      <c r="DFA83" s="6"/>
      <c r="DFB83" s="6"/>
      <c r="DFC83" s="6"/>
      <c r="DFD83" s="6"/>
      <c r="DFE83" s="6"/>
      <c r="DFF83" s="6"/>
      <c r="DFG83" s="6"/>
      <c r="DFH83" s="6"/>
      <c r="DFI83" s="6"/>
      <c r="DFJ83" s="6"/>
      <c r="DFK83" s="6"/>
      <c r="DFL83" s="6"/>
      <c r="DFM83" s="6"/>
      <c r="DFN83" s="6"/>
      <c r="DFO83" s="6"/>
      <c r="DFP83" s="6"/>
      <c r="DFQ83" s="6"/>
      <c r="DFR83" s="6"/>
      <c r="DFS83" s="6"/>
      <c r="DFT83" s="6"/>
      <c r="DFU83" s="6"/>
      <c r="DFV83" s="6"/>
      <c r="DFW83" s="6"/>
      <c r="DFX83" s="6"/>
      <c r="DFY83" s="6"/>
      <c r="DFZ83" s="6"/>
      <c r="DGA83" s="6"/>
      <c r="DGB83" s="6"/>
      <c r="DGC83" s="6"/>
      <c r="DGD83" s="6"/>
      <c r="DGE83" s="6"/>
      <c r="DGF83" s="6"/>
      <c r="DGG83" s="6"/>
      <c r="DGH83" s="6"/>
      <c r="DGI83" s="6"/>
      <c r="DGJ83" s="6"/>
      <c r="DGK83" s="6"/>
      <c r="DGL83" s="6"/>
      <c r="DGM83" s="6"/>
      <c r="DGN83" s="6"/>
      <c r="DGO83" s="6"/>
      <c r="DGP83" s="6"/>
      <c r="DGQ83" s="6"/>
      <c r="DGR83" s="6"/>
      <c r="DGS83" s="6"/>
      <c r="DGT83" s="6"/>
      <c r="DGU83" s="6"/>
      <c r="DGV83" s="6"/>
      <c r="DGW83" s="6"/>
      <c r="DGX83" s="6"/>
      <c r="DGY83" s="6"/>
      <c r="DGZ83" s="6"/>
      <c r="DHA83" s="6"/>
      <c r="DHB83" s="6"/>
      <c r="DHC83" s="6"/>
      <c r="DHD83" s="6"/>
      <c r="DHE83" s="6"/>
      <c r="DHF83" s="6"/>
      <c r="DHG83" s="6"/>
      <c r="DHH83" s="6"/>
      <c r="DHI83" s="6"/>
      <c r="DHJ83" s="6"/>
      <c r="DHK83" s="6"/>
      <c r="DHL83" s="6"/>
      <c r="DHM83" s="6"/>
      <c r="DHN83" s="6"/>
      <c r="DHO83" s="6"/>
      <c r="DHP83" s="6"/>
      <c r="DHQ83" s="6"/>
      <c r="DHR83" s="6"/>
      <c r="DHS83" s="6"/>
      <c r="DHT83" s="6"/>
      <c r="DHU83" s="6"/>
      <c r="DHV83" s="6"/>
      <c r="DHW83" s="6"/>
      <c r="DHX83" s="6"/>
      <c r="DHY83" s="6"/>
      <c r="DHZ83" s="6"/>
      <c r="DIA83" s="6"/>
      <c r="DIB83" s="6"/>
      <c r="DIC83" s="6"/>
      <c r="DID83" s="6"/>
      <c r="DIE83" s="6"/>
      <c r="DIF83" s="6"/>
      <c r="DIG83" s="6"/>
      <c r="DIH83" s="6"/>
      <c r="DII83" s="6"/>
      <c r="DIJ83" s="6"/>
      <c r="DIK83" s="6"/>
      <c r="DIL83" s="6"/>
      <c r="DIM83" s="6"/>
      <c r="DIN83" s="6"/>
      <c r="DIO83" s="6"/>
      <c r="DIP83" s="6"/>
      <c r="DIQ83" s="6"/>
      <c r="DIR83" s="6"/>
      <c r="DIS83" s="6"/>
      <c r="DIT83" s="6"/>
      <c r="DIU83" s="6"/>
      <c r="DIV83" s="6"/>
      <c r="DIW83" s="6"/>
      <c r="DIX83" s="6"/>
      <c r="DIY83" s="6"/>
      <c r="DIZ83" s="6"/>
      <c r="DJA83" s="6"/>
      <c r="DJB83" s="6"/>
      <c r="DJC83" s="6"/>
      <c r="DJD83" s="6"/>
      <c r="DJE83" s="6"/>
      <c r="DJF83" s="6"/>
      <c r="DJG83" s="6"/>
      <c r="DJH83" s="6"/>
      <c r="DJI83" s="6"/>
      <c r="DJJ83" s="6"/>
      <c r="DJK83" s="6"/>
      <c r="DJL83" s="6"/>
      <c r="DJM83" s="6"/>
      <c r="DJN83" s="6"/>
      <c r="DJO83" s="6"/>
      <c r="DJP83" s="6"/>
      <c r="DJQ83" s="6"/>
      <c r="DJR83" s="6"/>
      <c r="DJS83" s="6"/>
      <c r="DJT83" s="6"/>
      <c r="DJU83" s="6"/>
      <c r="DJV83" s="6"/>
      <c r="DJW83" s="6"/>
      <c r="DJX83" s="6"/>
      <c r="DJY83" s="6"/>
      <c r="DJZ83" s="6"/>
      <c r="DKA83" s="6"/>
      <c r="DKB83" s="6"/>
      <c r="DKC83" s="6"/>
      <c r="DKD83" s="6"/>
      <c r="DKE83" s="6"/>
      <c r="DKF83" s="6"/>
      <c r="DKG83" s="6"/>
      <c r="DKH83" s="6"/>
      <c r="DKI83" s="6"/>
      <c r="DKJ83" s="6"/>
      <c r="DKK83" s="6"/>
      <c r="DKL83" s="6"/>
      <c r="DKM83" s="6"/>
      <c r="DKN83" s="6"/>
      <c r="DKO83" s="6"/>
      <c r="DKP83" s="6"/>
      <c r="DKQ83" s="6"/>
      <c r="DKR83" s="6"/>
      <c r="DKS83" s="6"/>
      <c r="DKT83" s="6"/>
      <c r="DKU83" s="6"/>
      <c r="DKV83" s="6"/>
      <c r="DKW83" s="6"/>
      <c r="DKX83" s="6"/>
      <c r="DKY83" s="6"/>
      <c r="DKZ83" s="6"/>
      <c r="DLA83" s="6"/>
      <c r="DLB83" s="6"/>
      <c r="DLC83" s="6"/>
      <c r="DLD83" s="6"/>
      <c r="DLE83" s="6"/>
      <c r="DLF83" s="6"/>
      <c r="DLG83" s="6"/>
      <c r="DLH83" s="6"/>
      <c r="DLI83" s="6"/>
      <c r="DLJ83" s="6"/>
      <c r="DLK83" s="6"/>
      <c r="DLL83" s="6"/>
      <c r="DLM83" s="6"/>
      <c r="DLN83" s="6"/>
      <c r="DLO83" s="6"/>
      <c r="DLP83" s="6"/>
      <c r="DLQ83" s="6"/>
      <c r="DLR83" s="6"/>
      <c r="DLS83" s="6"/>
      <c r="DLT83" s="6"/>
      <c r="DLU83" s="6"/>
      <c r="DLV83" s="6"/>
      <c r="DLW83" s="6"/>
      <c r="DLX83" s="6"/>
      <c r="DLY83" s="6"/>
      <c r="DLZ83" s="6"/>
      <c r="DMA83" s="6"/>
      <c r="DMB83" s="6"/>
      <c r="DMC83" s="6"/>
      <c r="DMD83" s="6"/>
      <c r="DME83" s="6"/>
      <c r="DMF83" s="6"/>
      <c r="DMG83" s="6"/>
      <c r="DMH83" s="6"/>
      <c r="DMI83" s="6"/>
      <c r="DMJ83" s="6"/>
      <c r="DMK83" s="6"/>
      <c r="DML83" s="6"/>
      <c r="DMM83" s="6"/>
      <c r="DMN83" s="6"/>
      <c r="DMO83" s="6"/>
      <c r="DMP83" s="6"/>
      <c r="DMQ83" s="6"/>
      <c r="DMR83" s="6"/>
      <c r="DMS83" s="6"/>
      <c r="DMT83" s="6"/>
      <c r="DMU83" s="6"/>
      <c r="DMV83" s="6"/>
      <c r="DMW83" s="6"/>
      <c r="DMX83" s="6"/>
      <c r="DMY83" s="6"/>
      <c r="DMZ83" s="6"/>
      <c r="DNA83" s="6"/>
      <c r="DNB83" s="6"/>
      <c r="DNC83" s="6"/>
      <c r="DND83" s="6"/>
      <c r="DNE83" s="6"/>
      <c r="DNF83" s="6"/>
      <c r="DNG83" s="6"/>
      <c r="DNH83" s="6"/>
      <c r="DNI83" s="6"/>
      <c r="DNJ83" s="6"/>
      <c r="DNK83" s="6"/>
      <c r="DNL83" s="6"/>
      <c r="DNM83" s="6"/>
      <c r="DNN83" s="6"/>
      <c r="DNO83" s="6"/>
      <c r="DNP83" s="6"/>
      <c r="DNQ83" s="6"/>
      <c r="DNR83" s="6"/>
      <c r="DNS83" s="6"/>
      <c r="DNT83" s="6"/>
      <c r="DNU83" s="6"/>
      <c r="DNV83" s="6"/>
      <c r="DNW83" s="6"/>
      <c r="DNX83" s="6"/>
      <c r="DNY83" s="6"/>
      <c r="DNZ83" s="6"/>
      <c r="DOA83" s="6"/>
      <c r="DOB83" s="6"/>
      <c r="DOC83" s="6"/>
      <c r="DOD83" s="6"/>
      <c r="DOE83" s="6"/>
      <c r="DOF83" s="6"/>
      <c r="DOG83" s="6"/>
      <c r="DOH83" s="6"/>
      <c r="DOI83" s="6"/>
      <c r="DOJ83" s="6"/>
      <c r="DOK83" s="6"/>
      <c r="DOL83" s="6"/>
      <c r="DOM83" s="6"/>
      <c r="DON83" s="6"/>
      <c r="DOO83" s="6"/>
      <c r="DOP83" s="6"/>
      <c r="DOQ83" s="6"/>
      <c r="DOR83" s="6"/>
      <c r="DOS83" s="6"/>
      <c r="DOT83" s="6"/>
      <c r="DOU83" s="6"/>
      <c r="DOV83" s="6"/>
      <c r="DOW83" s="6"/>
      <c r="DOX83" s="6"/>
      <c r="DOY83" s="6"/>
      <c r="DOZ83" s="6"/>
      <c r="DPA83" s="6"/>
      <c r="DPB83" s="6"/>
      <c r="DPC83" s="6"/>
      <c r="DPD83" s="6"/>
      <c r="DPE83" s="6"/>
      <c r="DPF83" s="6"/>
      <c r="DPG83" s="6"/>
      <c r="DPH83" s="6"/>
      <c r="DPI83" s="6"/>
      <c r="DPJ83" s="6"/>
      <c r="DPK83" s="6"/>
      <c r="DPL83" s="6"/>
      <c r="DPM83" s="6"/>
      <c r="DPN83" s="6"/>
      <c r="DPO83" s="6"/>
      <c r="DPP83" s="6"/>
      <c r="DPQ83" s="6"/>
      <c r="DPR83" s="6"/>
      <c r="DPS83" s="6"/>
      <c r="DPT83" s="6"/>
      <c r="DPU83" s="6"/>
      <c r="DPV83" s="6"/>
      <c r="DPW83" s="6"/>
      <c r="DPX83" s="6"/>
      <c r="DPY83" s="6"/>
      <c r="DPZ83" s="6"/>
      <c r="DQA83" s="6"/>
      <c r="DQB83" s="6"/>
      <c r="DQC83" s="6"/>
      <c r="DQD83" s="6"/>
      <c r="DQE83" s="6"/>
      <c r="DQF83" s="6"/>
      <c r="DQG83" s="6"/>
      <c r="DQH83" s="6"/>
      <c r="DQI83" s="6"/>
      <c r="DQJ83" s="6"/>
      <c r="DQK83" s="6"/>
      <c r="DQL83" s="6"/>
      <c r="DQM83" s="6"/>
      <c r="DQN83" s="6"/>
      <c r="DQO83" s="6"/>
      <c r="DQP83" s="6"/>
      <c r="DQQ83" s="6"/>
      <c r="DQR83" s="6"/>
      <c r="DQS83" s="6"/>
      <c r="DQT83" s="6"/>
      <c r="DQU83" s="6"/>
      <c r="DQV83" s="6"/>
      <c r="DQW83" s="6"/>
      <c r="DQX83" s="6"/>
      <c r="DQY83" s="6"/>
      <c r="DQZ83" s="6"/>
      <c r="DRA83" s="6"/>
      <c r="DRB83" s="6"/>
      <c r="DRC83" s="6"/>
      <c r="DRD83" s="6"/>
      <c r="DRE83" s="6"/>
      <c r="DRF83" s="6"/>
      <c r="DRG83" s="6"/>
      <c r="DRH83" s="6"/>
      <c r="DRI83" s="6"/>
      <c r="DRJ83" s="6"/>
      <c r="DRK83" s="6"/>
      <c r="DRL83" s="6"/>
      <c r="DRM83" s="6"/>
      <c r="DRN83" s="6"/>
      <c r="DRO83" s="6"/>
      <c r="DRP83" s="6"/>
      <c r="DRQ83" s="6"/>
      <c r="DRR83" s="6"/>
      <c r="DRS83" s="6"/>
      <c r="DRT83" s="6"/>
      <c r="DRU83" s="6"/>
      <c r="DRV83" s="6"/>
      <c r="DRW83" s="6"/>
      <c r="DRX83" s="6"/>
      <c r="DRY83" s="6"/>
      <c r="DRZ83" s="6"/>
      <c r="DSA83" s="6"/>
      <c r="DSB83" s="6"/>
      <c r="DSC83" s="6"/>
      <c r="DSD83" s="6"/>
      <c r="DSE83" s="6"/>
      <c r="DSF83" s="6"/>
      <c r="DSG83" s="6"/>
      <c r="DSH83" s="6"/>
      <c r="DSI83" s="6"/>
      <c r="DSJ83" s="6"/>
      <c r="DSK83" s="6"/>
      <c r="DSL83" s="6"/>
      <c r="DSM83" s="6"/>
      <c r="DSN83" s="6"/>
      <c r="DSO83" s="6"/>
      <c r="DSP83" s="6"/>
      <c r="DSQ83" s="6"/>
      <c r="DSR83" s="6"/>
      <c r="DSS83" s="6"/>
      <c r="DST83" s="6"/>
      <c r="DSU83" s="6"/>
      <c r="DSV83" s="6"/>
      <c r="DSW83" s="6"/>
      <c r="DSX83" s="6"/>
      <c r="DSY83" s="6"/>
      <c r="DSZ83" s="6"/>
      <c r="DTA83" s="6"/>
      <c r="DTB83" s="6"/>
      <c r="DTC83" s="6"/>
      <c r="DTD83" s="6"/>
      <c r="DTE83" s="6"/>
      <c r="DTF83" s="6"/>
      <c r="DTG83" s="6"/>
      <c r="DTH83" s="6"/>
      <c r="DTI83" s="6"/>
      <c r="DTJ83" s="6"/>
      <c r="DTK83" s="6"/>
      <c r="DTL83" s="6"/>
      <c r="DTM83" s="6"/>
      <c r="DTN83" s="6"/>
      <c r="DTO83" s="6"/>
      <c r="DTP83" s="6"/>
      <c r="DTQ83" s="6"/>
      <c r="DTR83" s="6"/>
      <c r="DTS83" s="6"/>
      <c r="DTT83" s="6"/>
      <c r="DTU83" s="6"/>
      <c r="DTV83" s="6"/>
      <c r="DTW83" s="6"/>
      <c r="DTX83" s="6"/>
      <c r="DTY83" s="6"/>
      <c r="DTZ83" s="6"/>
      <c r="DUA83" s="6"/>
      <c r="DUB83" s="6"/>
      <c r="DUC83" s="6"/>
      <c r="DUD83" s="6"/>
      <c r="DUE83" s="6"/>
      <c r="DUF83" s="6"/>
      <c r="DUG83" s="6"/>
      <c r="DUH83" s="6"/>
      <c r="DUI83" s="6"/>
      <c r="DUJ83" s="6"/>
      <c r="DUK83" s="6"/>
      <c r="DUL83" s="6"/>
      <c r="DUM83" s="6"/>
      <c r="DUN83" s="6"/>
      <c r="DUO83" s="6"/>
      <c r="DUP83" s="6"/>
      <c r="DUQ83" s="6"/>
      <c r="DUR83" s="6"/>
      <c r="DUS83" s="6"/>
      <c r="DUT83" s="6"/>
      <c r="DUU83" s="6"/>
      <c r="DUV83" s="6"/>
      <c r="DUW83" s="6"/>
      <c r="DUX83" s="6"/>
      <c r="DUY83" s="6"/>
      <c r="DUZ83" s="6"/>
      <c r="DVA83" s="6"/>
      <c r="DVB83" s="6"/>
      <c r="DVC83" s="6"/>
      <c r="DVD83" s="6"/>
      <c r="DVE83" s="6"/>
      <c r="DVF83" s="6"/>
      <c r="DVG83" s="6"/>
      <c r="DVH83" s="6"/>
      <c r="DVI83" s="6"/>
      <c r="DVJ83" s="6"/>
      <c r="DVK83" s="6"/>
      <c r="DVL83" s="6"/>
      <c r="DVM83" s="6"/>
      <c r="DVN83" s="6"/>
      <c r="DVO83" s="6"/>
      <c r="DVP83" s="6"/>
      <c r="DVQ83" s="6"/>
      <c r="DVR83" s="6"/>
      <c r="DVS83" s="6"/>
      <c r="DVT83" s="6"/>
      <c r="DVU83" s="6"/>
      <c r="DVV83" s="6"/>
      <c r="DVW83" s="6"/>
      <c r="DVX83" s="6"/>
      <c r="DVY83" s="6"/>
      <c r="DVZ83" s="6"/>
      <c r="DWA83" s="6"/>
      <c r="DWB83" s="6"/>
      <c r="DWC83" s="6"/>
      <c r="DWD83" s="6"/>
      <c r="DWE83" s="6"/>
      <c r="DWF83" s="6"/>
      <c r="DWG83" s="6"/>
      <c r="DWH83" s="6"/>
      <c r="DWI83" s="6"/>
      <c r="DWJ83" s="6"/>
      <c r="DWK83" s="6"/>
      <c r="DWL83" s="6"/>
      <c r="DWM83" s="6"/>
      <c r="DWN83" s="6"/>
      <c r="DWO83" s="6"/>
      <c r="DWP83" s="6"/>
      <c r="DWQ83" s="6"/>
      <c r="DWR83" s="6"/>
      <c r="DWS83" s="6"/>
      <c r="DWT83" s="6"/>
      <c r="DWU83" s="6"/>
      <c r="DWV83" s="6"/>
      <c r="DWW83" s="6"/>
      <c r="DWX83" s="6"/>
      <c r="DWY83" s="6"/>
      <c r="DWZ83" s="6"/>
      <c r="DXA83" s="6"/>
      <c r="DXB83" s="6"/>
      <c r="DXC83" s="6"/>
      <c r="DXD83" s="6"/>
      <c r="DXE83" s="6"/>
      <c r="DXF83" s="6"/>
      <c r="DXG83" s="6"/>
      <c r="DXH83" s="6"/>
      <c r="DXI83" s="6"/>
      <c r="DXJ83" s="6"/>
      <c r="DXK83" s="6"/>
      <c r="DXL83" s="6"/>
      <c r="DXM83" s="6"/>
      <c r="DXN83" s="6"/>
      <c r="DXO83" s="6"/>
      <c r="DXP83" s="6"/>
      <c r="DXQ83" s="6"/>
      <c r="DXR83" s="6"/>
      <c r="DXS83" s="6"/>
      <c r="DXT83" s="6"/>
      <c r="DXU83" s="6"/>
      <c r="DXV83" s="6"/>
      <c r="DXW83" s="6"/>
      <c r="DXX83" s="6"/>
      <c r="DXY83" s="6"/>
      <c r="DXZ83" s="6"/>
      <c r="DYA83" s="6"/>
      <c r="DYB83" s="6"/>
      <c r="DYC83" s="6"/>
      <c r="DYD83" s="6"/>
      <c r="DYE83" s="6"/>
      <c r="DYF83" s="6"/>
      <c r="DYG83" s="6"/>
      <c r="DYH83" s="6"/>
      <c r="DYI83" s="6"/>
      <c r="DYJ83" s="6"/>
      <c r="DYK83" s="6"/>
      <c r="DYL83" s="6"/>
      <c r="DYM83" s="6"/>
      <c r="DYN83" s="6"/>
      <c r="DYO83" s="6"/>
      <c r="DYP83" s="6"/>
      <c r="DYQ83" s="6"/>
      <c r="DYR83" s="6"/>
      <c r="DYS83" s="6"/>
      <c r="DYT83" s="6"/>
      <c r="DYU83" s="6"/>
      <c r="DYV83" s="6"/>
      <c r="DYW83" s="6"/>
      <c r="DYX83" s="6"/>
      <c r="DYY83" s="6"/>
      <c r="DYZ83" s="6"/>
      <c r="DZA83" s="6"/>
      <c r="DZB83" s="6"/>
      <c r="DZC83" s="6"/>
      <c r="DZD83" s="6"/>
      <c r="DZE83" s="6"/>
      <c r="DZF83" s="6"/>
      <c r="DZG83" s="6"/>
      <c r="DZH83" s="6"/>
      <c r="DZI83" s="6"/>
      <c r="DZJ83" s="6"/>
      <c r="DZK83" s="6"/>
      <c r="DZL83" s="6"/>
      <c r="DZM83" s="6"/>
      <c r="DZN83" s="6"/>
      <c r="DZO83" s="6"/>
      <c r="DZP83" s="6"/>
      <c r="DZQ83" s="6"/>
      <c r="DZR83" s="6"/>
      <c r="DZS83" s="6"/>
      <c r="DZT83" s="6"/>
      <c r="DZU83" s="6"/>
      <c r="DZV83" s="6"/>
      <c r="DZW83" s="6"/>
      <c r="DZX83" s="6"/>
      <c r="DZY83" s="6"/>
      <c r="DZZ83" s="6"/>
      <c r="EAA83" s="6"/>
      <c r="EAB83" s="6"/>
      <c r="EAC83" s="6"/>
      <c r="EAD83" s="6"/>
      <c r="EAE83" s="6"/>
      <c r="EAF83" s="6"/>
      <c r="EAG83" s="6"/>
      <c r="EAH83" s="6"/>
      <c r="EAI83" s="6"/>
      <c r="EAJ83" s="6"/>
      <c r="EAK83" s="6"/>
      <c r="EAL83" s="6"/>
      <c r="EAM83" s="6"/>
      <c r="EAN83" s="6"/>
      <c r="EAO83" s="6"/>
      <c r="EAP83" s="6"/>
      <c r="EAQ83" s="6"/>
      <c r="EAR83" s="6"/>
      <c r="EAS83" s="6"/>
      <c r="EAT83" s="6"/>
      <c r="EAU83" s="6"/>
      <c r="EAV83" s="6"/>
      <c r="EAW83" s="6"/>
      <c r="EAX83" s="6"/>
      <c r="EAY83" s="6"/>
      <c r="EAZ83" s="6"/>
      <c r="EBA83" s="6"/>
      <c r="EBB83" s="6"/>
      <c r="EBC83" s="6"/>
      <c r="EBD83" s="6"/>
      <c r="EBE83" s="6"/>
      <c r="EBF83" s="6"/>
      <c r="EBG83" s="6"/>
      <c r="EBH83" s="6"/>
      <c r="EBI83" s="6"/>
      <c r="EBJ83" s="6"/>
      <c r="EBK83" s="6"/>
      <c r="EBL83" s="6"/>
      <c r="EBM83" s="6"/>
      <c r="EBN83" s="6"/>
      <c r="EBO83" s="6"/>
      <c r="EBP83" s="6"/>
      <c r="EBQ83" s="6"/>
      <c r="EBR83" s="6"/>
      <c r="EBS83" s="6"/>
      <c r="EBT83" s="6"/>
      <c r="EBU83" s="6"/>
      <c r="EBV83" s="6"/>
      <c r="EBW83" s="6"/>
      <c r="EBX83" s="6"/>
      <c r="EBY83" s="6"/>
      <c r="EBZ83" s="6"/>
      <c r="ECA83" s="6"/>
      <c r="ECB83" s="6"/>
      <c r="ECC83" s="6"/>
      <c r="ECD83" s="6"/>
      <c r="ECE83" s="6"/>
      <c r="ECF83" s="6"/>
      <c r="ECG83" s="6"/>
      <c r="ECH83" s="6"/>
      <c r="ECI83" s="6"/>
      <c r="ECJ83" s="6"/>
      <c r="ECK83" s="6"/>
      <c r="ECL83" s="6"/>
      <c r="ECM83" s="6"/>
      <c r="ECN83" s="6"/>
      <c r="ECO83" s="6"/>
      <c r="ECP83" s="6"/>
      <c r="ECQ83" s="6"/>
      <c r="ECR83" s="6"/>
      <c r="ECS83" s="6"/>
      <c r="ECT83" s="6"/>
      <c r="ECU83" s="6"/>
      <c r="ECV83" s="6"/>
      <c r="ECW83" s="6"/>
      <c r="ECX83" s="6"/>
      <c r="ECY83" s="6"/>
      <c r="ECZ83" s="6"/>
      <c r="EDA83" s="6"/>
      <c r="EDB83" s="6"/>
      <c r="EDC83" s="6"/>
      <c r="EDD83" s="6"/>
      <c r="EDE83" s="6"/>
      <c r="EDF83" s="6"/>
      <c r="EDG83" s="6"/>
      <c r="EDH83" s="6"/>
      <c r="EDI83" s="6"/>
      <c r="EDJ83" s="6"/>
      <c r="EDK83" s="6"/>
      <c r="EDL83" s="6"/>
      <c r="EDM83" s="6"/>
      <c r="EDN83" s="6"/>
      <c r="EDO83" s="6"/>
      <c r="EDP83" s="6"/>
      <c r="EDQ83" s="6"/>
      <c r="EDR83" s="6"/>
      <c r="EDS83" s="6"/>
      <c r="EDT83" s="6"/>
      <c r="EDU83" s="6"/>
      <c r="EDV83" s="6"/>
      <c r="EDW83" s="6"/>
      <c r="EDX83" s="6"/>
      <c r="EDY83" s="6"/>
      <c r="EDZ83" s="6"/>
      <c r="EEA83" s="6"/>
      <c r="EEB83" s="6"/>
      <c r="EEC83" s="6"/>
      <c r="EED83" s="6"/>
      <c r="EEE83" s="6"/>
      <c r="EEF83" s="6"/>
      <c r="EEG83" s="6"/>
      <c r="EEH83" s="6"/>
      <c r="EEI83" s="6"/>
      <c r="EEJ83" s="6"/>
      <c r="EEK83" s="6"/>
      <c r="EEL83" s="6"/>
      <c r="EEM83" s="6"/>
      <c r="EEN83" s="6"/>
      <c r="EEO83" s="6"/>
      <c r="EEP83" s="6"/>
      <c r="EEQ83" s="6"/>
      <c r="EER83" s="6"/>
      <c r="EES83" s="6"/>
      <c r="EET83" s="6"/>
      <c r="EEU83" s="6"/>
      <c r="EEV83" s="6"/>
      <c r="EEW83" s="6"/>
      <c r="EEX83" s="6"/>
      <c r="EEY83" s="6"/>
      <c r="EEZ83" s="6"/>
      <c r="EFA83" s="6"/>
      <c r="EFB83" s="6"/>
      <c r="EFC83" s="6"/>
      <c r="EFD83" s="6"/>
      <c r="EFE83" s="6"/>
      <c r="EFF83" s="6"/>
      <c r="EFG83" s="6"/>
      <c r="EFH83" s="6"/>
      <c r="EFI83" s="6"/>
      <c r="EFJ83" s="6"/>
      <c r="EFK83" s="6"/>
      <c r="EFL83" s="6"/>
      <c r="EFM83" s="6"/>
      <c r="EFN83" s="6"/>
      <c r="EFO83" s="6"/>
      <c r="EFP83" s="6"/>
      <c r="EFQ83" s="6"/>
      <c r="EFR83" s="6"/>
      <c r="EFS83" s="6"/>
      <c r="EFT83" s="6"/>
      <c r="EFU83" s="6"/>
      <c r="EFV83" s="6"/>
      <c r="EFW83" s="6"/>
      <c r="EFX83" s="6"/>
      <c r="EFY83" s="6"/>
      <c r="EFZ83" s="6"/>
      <c r="EGA83" s="6"/>
      <c r="EGB83" s="6"/>
      <c r="EGC83" s="6"/>
      <c r="EGD83" s="6"/>
      <c r="EGE83" s="6"/>
      <c r="EGF83" s="6"/>
      <c r="EGG83" s="6"/>
      <c r="EGH83" s="6"/>
      <c r="EGI83" s="6"/>
      <c r="EGJ83" s="6"/>
      <c r="EGK83" s="6"/>
      <c r="EGL83" s="6"/>
      <c r="EGM83" s="6"/>
      <c r="EGN83" s="6"/>
      <c r="EGO83" s="6"/>
      <c r="EGP83" s="6"/>
      <c r="EGQ83" s="6"/>
      <c r="EGR83" s="6"/>
      <c r="EGS83" s="6"/>
      <c r="EGT83" s="6"/>
      <c r="EGU83" s="6"/>
      <c r="EGV83" s="6"/>
      <c r="EGW83" s="6"/>
      <c r="EGX83" s="6"/>
      <c r="EGY83" s="6"/>
      <c r="EGZ83" s="6"/>
      <c r="EHA83" s="6"/>
      <c r="EHB83" s="6"/>
      <c r="EHC83" s="6"/>
      <c r="EHD83" s="6"/>
      <c r="EHE83" s="6"/>
      <c r="EHF83" s="6"/>
      <c r="EHG83" s="6"/>
      <c r="EHH83" s="6"/>
      <c r="EHI83" s="6"/>
      <c r="EHJ83" s="6"/>
      <c r="EHK83" s="6"/>
      <c r="EHL83" s="6"/>
      <c r="EHM83" s="6"/>
      <c r="EHN83" s="6"/>
      <c r="EHO83" s="6"/>
      <c r="EHP83" s="6"/>
      <c r="EHQ83" s="6"/>
      <c r="EHR83" s="6"/>
      <c r="EHS83" s="6"/>
      <c r="EHT83" s="6"/>
      <c r="EHU83" s="6"/>
      <c r="EHV83" s="6"/>
      <c r="EHW83" s="6"/>
      <c r="EHX83" s="6"/>
      <c r="EHY83" s="6"/>
      <c r="EHZ83" s="6"/>
      <c r="EIA83" s="6"/>
      <c r="EIB83" s="6"/>
      <c r="EIC83" s="6"/>
      <c r="EID83" s="6"/>
      <c r="EIE83" s="6"/>
      <c r="EIF83" s="6"/>
      <c r="EIG83" s="6"/>
      <c r="EIH83" s="6"/>
      <c r="EII83" s="6"/>
      <c r="EIJ83" s="6"/>
      <c r="EIK83" s="6"/>
      <c r="EIL83" s="6"/>
      <c r="EIM83" s="6"/>
      <c r="EIN83" s="6"/>
      <c r="EIO83" s="6"/>
      <c r="EIP83" s="6"/>
      <c r="EIQ83" s="6"/>
      <c r="EIR83" s="6"/>
      <c r="EIS83" s="6"/>
      <c r="EIT83" s="6"/>
      <c r="EIU83" s="6"/>
      <c r="EIV83" s="6"/>
      <c r="EIW83" s="6"/>
      <c r="EIX83" s="6"/>
      <c r="EIY83" s="6"/>
      <c r="EIZ83" s="6"/>
      <c r="EJA83" s="6"/>
      <c r="EJB83" s="6"/>
      <c r="EJC83" s="6"/>
      <c r="EJD83" s="6"/>
      <c r="EJE83" s="6"/>
      <c r="EJF83" s="6"/>
      <c r="EJG83" s="6"/>
      <c r="EJH83" s="6"/>
      <c r="EJI83" s="6"/>
      <c r="EJJ83" s="6"/>
      <c r="EJK83" s="6"/>
      <c r="EJL83" s="6"/>
      <c r="EJM83" s="6"/>
      <c r="EJN83" s="6"/>
      <c r="EJO83" s="6"/>
      <c r="EJP83" s="6"/>
      <c r="EJQ83" s="6"/>
      <c r="EJR83" s="6"/>
      <c r="EJS83" s="6"/>
      <c r="EJT83" s="6"/>
      <c r="EJU83" s="6"/>
      <c r="EJV83" s="6"/>
      <c r="EJW83" s="6"/>
      <c r="EJX83" s="6"/>
      <c r="EJY83" s="6"/>
      <c r="EJZ83" s="6"/>
      <c r="EKA83" s="6"/>
      <c r="EKB83" s="6"/>
      <c r="EKC83" s="6"/>
      <c r="EKD83" s="6"/>
      <c r="EKE83" s="6"/>
      <c r="EKF83" s="6"/>
      <c r="EKG83" s="6"/>
      <c r="EKH83" s="6"/>
      <c r="EKI83" s="6"/>
      <c r="EKJ83" s="6"/>
      <c r="EKK83" s="6"/>
      <c r="EKL83" s="6"/>
      <c r="EKM83" s="6"/>
      <c r="EKN83" s="6"/>
      <c r="EKO83" s="6"/>
      <c r="EKP83" s="6"/>
      <c r="EKQ83" s="6"/>
      <c r="EKR83" s="6"/>
      <c r="EKS83" s="6"/>
      <c r="EKT83" s="6"/>
      <c r="EKU83" s="6"/>
      <c r="EKV83" s="6"/>
      <c r="EKW83" s="6"/>
      <c r="EKX83" s="6"/>
      <c r="EKY83" s="6"/>
      <c r="EKZ83" s="6"/>
      <c r="ELA83" s="6"/>
      <c r="ELB83" s="6"/>
      <c r="ELC83" s="6"/>
      <c r="ELD83" s="6"/>
      <c r="ELE83" s="6"/>
      <c r="ELF83" s="6"/>
      <c r="ELG83" s="6"/>
      <c r="ELH83" s="6"/>
      <c r="ELI83" s="6"/>
      <c r="ELJ83" s="6"/>
      <c r="ELK83" s="6"/>
      <c r="ELL83" s="6"/>
      <c r="ELM83" s="6"/>
      <c r="ELN83" s="6"/>
      <c r="ELO83" s="6"/>
      <c r="ELP83" s="6"/>
      <c r="ELQ83" s="6"/>
      <c r="ELR83" s="6"/>
      <c r="ELS83" s="6"/>
      <c r="ELT83" s="6"/>
      <c r="ELU83" s="6"/>
      <c r="ELV83" s="6"/>
      <c r="ELW83" s="6"/>
      <c r="ELX83" s="6"/>
      <c r="ELY83" s="6"/>
      <c r="ELZ83" s="6"/>
      <c r="EMA83" s="6"/>
      <c r="EMB83" s="6"/>
      <c r="EMC83" s="6"/>
      <c r="EMD83" s="6"/>
      <c r="EME83" s="6"/>
      <c r="EMF83" s="6"/>
      <c r="EMG83" s="6"/>
      <c r="EMH83" s="6"/>
      <c r="EMI83" s="6"/>
      <c r="EMJ83" s="6"/>
      <c r="EMK83" s="6"/>
      <c r="EML83" s="6"/>
      <c r="EMM83" s="6"/>
      <c r="EMN83" s="6"/>
      <c r="EMO83" s="6"/>
      <c r="EMP83" s="6"/>
      <c r="EMQ83" s="6"/>
      <c r="EMR83" s="6"/>
      <c r="EMS83" s="6"/>
      <c r="EMT83" s="6"/>
      <c r="EMU83" s="6"/>
      <c r="EMV83" s="6"/>
      <c r="EMW83" s="6"/>
      <c r="EMX83" s="6"/>
      <c r="EMY83" s="6"/>
      <c r="EMZ83" s="6"/>
      <c r="ENA83" s="6"/>
      <c r="ENB83" s="6"/>
      <c r="ENC83" s="6"/>
      <c r="END83" s="6"/>
      <c r="ENE83" s="6"/>
      <c r="ENF83" s="6"/>
      <c r="ENG83" s="6"/>
      <c r="ENH83" s="6"/>
      <c r="ENI83" s="6"/>
      <c r="ENJ83" s="6"/>
      <c r="ENK83" s="6"/>
      <c r="ENL83" s="6"/>
      <c r="ENM83" s="6"/>
      <c r="ENN83" s="6"/>
      <c r="ENO83" s="6"/>
      <c r="ENP83" s="6"/>
      <c r="ENQ83" s="6"/>
      <c r="ENR83" s="6"/>
      <c r="ENS83" s="6"/>
      <c r="ENT83" s="6"/>
      <c r="ENU83" s="6"/>
      <c r="ENV83" s="6"/>
      <c r="ENW83" s="6"/>
      <c r="ENX83" s="6"/>
      <c r="ENY83" s="6"/>
      <c r="ENZ83" s="6"/>
      <c r="EOA83" s="6"/>
      <c r="EOB83" s="6"/>
      <c r="EOC83" s="6"/>
      <c r="EOD83" s="6"/>
      <c r="EOE83" s="6"/>
      <c r="EOF83" s="6"/>
      <c r="EOG83" s="6"/>
      <c r="EOH83" s="6"/>
      <c r="EOI83" s="6"/>
      <c r="EOJ83" s="6"/>
      <c r="EOK83" s="6"/>
      <c r="EOL83" s="6"/>
      <c r="EOM83" s="6"/>
      <c r="EON83" s="6"/>
      <c r="EOO83" s="6"/>
      <c r="EOP83" s="6"/>
      <c r="EOQ83" s="6"/>
      <c r="EOR83" s="6"/>
      <c r="EOS83" s="6"/>
      <c r="EOT83" s="6"/>
      <c r="EOU83" s="6"/>
      <c r="EOV83" s="6"/>
      <c r="EOW83" s="6"/>
      <c r="EOX83" s="6"/>
      <c r="EOY83" s="6"/>
      <c r="EOZ83" s="6"/>
      <c r="EPA83" s="6"/>
      <c r="EPB83" s="6"/>
      <c r="EPC83" s="6"/>
      <c r="EPD83" s="6"/>
      <c r="EPE83" s="6"/>
      <c r="EPF83" s="6"/>
      <c r="EPG83" s="6"/>
      <c r="EPH83" s="6"/>
      <c r="EPI83" s="6"/>
      <c r="EPJ83" s="6"/>
      <c r="EPK83" s="6"/>
      <c r="EPL83" s="6"/>
      <c r="EPM83" s="6"/>
      <c r="EPN83" s="6"/>
      <c r="EPO83" s="6"/>
      <c r="EPP83" s="6"/>
      <c r="EPQ83" s="6"/>
      <c r="EPR83" s="6"/>
      <c r="EPS83" s="6"/>
      <c r="EPT83" s="6"/>
      <c r="EPU83" s="6"/>
      <c r="EPV83" s="6"/>
      <c r="EPW83" s="6"/>
      <c r="EPX83" s="6"/>
      <c r="EPY83" s="6"/>
      <c r="EPZ83" s="6"/>
      <c r="EQA83" s="6"/>
      <c r="EQB83" s="6"/>
      <c r="EQC83" s="6"/>
      <c r="EQD83" s="6"/>
      <c r="EQE83" s="6"/>
      <c r="EQF83" s="6"/>
      <c r="EQG83" s="6"/>
      <c r="EQH83" s="6"/>
      <c r="EQI83" s="6"/>
      <c r="EQJ83" s="6"/>
      <c r="EQK83" s="6"/>
      <c r="EQL83" s="6"/>
      <c r="EQM83" s="6"/>
      <c r="EQN83" s="6"/>
      <c r="EQO83" s="6"/>
      <c r="EQP83" s="6"/>
      <c r="EQQ83" s="6"/>
      <c r="EQR83" s="6"/>
      <c r="EQS83" s="6"/>
      <c r="EQT83" s="6"/>
      <c r="EQU83" s="6"/>
      <c r="EQV83" s="6"/>
      <c r="EQW83" s="6"/>
      <c r="EQX83" s="6"/>
      <c r="EQY83" s="6"/>
      <c r="EQZ83" s="6"/>
      <c r="ERA83" s="6"/>
      <c r="ERB83" s="6"/>
      <c r="ERC83" s="6"/>
      <c r="ERD83" s="6"/>
      <c r="ERE83" s="6"/>
      <c r="ERF83" s="6"/>
      <c r="ERG83" s="6"/>
      <c r="ERH83" s="6"/>
      <c r="ERI83" s="6"/>
      <c r="ERJ83" s="6"/>
      <c r="ERK83" s="6"/>
      <c r="ERL83" s="6"/>
      <c r="ERM83" s="6"/>
      <c r="ERN83" s="6"/>
      <c r="ERO83" s="6"/>
      <c r="ERP83" s="6"/>
      <c r="ERQ83" s="6"/>
      <c r="ERR83" s="6"/>
      <c r="ERS83" s="6"/>
      <c r="ERT83" s="6"/>
      <c r="ERU83" s="6"/>
      <c r="ERV83" s="6"/>
      <c r="ERW83" s="6"/>
      <c r="ERX83" s="6"/>
      <c r="ERY83" s="6"/>
      <c r="ERZ83" s="6"/>
      <c r="ESA83" s="6"/>
      <c r="ESB83" s="6"/>
      <c r="ESC83" s="6"/>
      <c r="ESD83" s="6"/>
      <c r="ESE83" s="6"/>
      <c r="ESF83" s="6"/>
      <c r="ESG83" s="6"/>
      <c r="ESH83" s="6"/>
      <c r="ESI83" s="6"/>
      <c r="ESJ83" s="6"/>
      <c r="ESK83" s="6"/>
      <c r="ESL83" s="6"/>
      <c r="ESM83" s="6"/>
      <c r="ESN83" s="6"/>
      <c r="ESO83" s="6"/>
      <c r="ESP83" s="6"/>
      <c r="ESQ83" s="6"/>
      <c r="ESR83" s="6"/>
      <c r="ESS83" s="6"/>
      <c r="EST83" s="6"/>
      <c r="ESU83" s="6"/>
      <c r="ESV83" s="6"/>
      <c r="ESW83" s="6"/>
      <c r="ESX83" s="6"/>
      <c r="ESY83" s="6"/>
      <c r="ESZ83" s="6"/>
      <c r="ETA83" s="6"/>
      <c r="ETB83" s="6"/>
      <c r="ETC83" s="6"/>
      <c r="ETD83" s="6"/>
      <c r="ETE83" s="6"/>
      <c r="ETF83" s="6"/>
      <c r="ETG83" s="6"/>
      <c r="ETH83" s="6"/>
      <c r="ETI83" s="6"/>
      <c r="ETJ83" s="6"/>
      <c r="ETK83" s="6"/>
      <c r="ETL83" s="6"/>
      <c r="ETM83" s="6"/>
      <c r="ETN83" s="6"/>
      <c r="ETO83" s="6"/>
      <c r="ETP83" s="6"/>
      <c r="ETQ83" s="6"/>
      <c r="ETR83" s="6"/>
      <c r="ETS83" s="6"/>
      <c r="ETT83" s="6"/>
      <c r="ETU83" s="6"/>
      <c r="ETV83" s="6"/>
      <c r="ETW83" s="6"/>
      <c r="ETX83" s="6"/>
      <c r="ETY83" s="6"/>
      <c r="ETZ83" s="6"/>
      <c r="EUA83" s="6"/>
      <c r="EUB83" s="6"/>
      <c r="EUC83" s="6"/>
      <c r="EUD83" s="6"/>
      <c r="EUE83" s="6"/>
      <c r="EUF83" s="6"/>
      <c r="EUG83" s="6"/>
      <c r="EUH83" s="6"/>
      <c r="EUI83" s="6"/>
      <c r="EUJ83" s="6"/>
      <c r="EUK83" s="6"/>
      <c r="EUL83" s="6"/>
      <c r="EUM83" s="6"/>
      <c r="EUN83" s="6"/>
      <c r="EUO83" s="6"/>
      <c r="EUP83" s="6"/>
      <c r="EUQ83" s="6"/>
      <c r="EUR83" s="6"/>
      <c r="EUS83" s="6"/>
      <c r="EUT83" s="6"/>
      <c r="EUU83" s="6"/>
      <c r="EUV83" s="6"/>
      <c r="EUW83" s="6"/>
      <c r="EUX83" s="6"/>
      <c r="EUY83" s="6"/>
      <c r="EUZ83" s="6"/>
      <c r="EVA83" s="6"/>
      <c r="EVB83" s="6"/>
      <c r="EVC83" s="6"/>
      <c r="EVD83" s="6"/>
      <c r="EVE83" s="6"/>
      <c r="EVF83" s="6"/>
      <c r="EVG83" s="6"/>
      <c r="EVH83" s="6"/>
      <c r="EVI83" s="6"/>
      <c r="EVJ83" s="6"/>
      <c r="EVK83" s="6"/>
      <c r="EVL83" s="6"/>
      <c r="EVM83" s="6"/>
      <c r="EVN83" s="6"/>
      <c r="EVO83" s="6"/>
      <c r="EVP83" s="6"/>
      <c r="EVQ83" s="6"/>
      <c r="EVR83" s="6"/>
      <c r="EVS83" s="6"/>
      <c r="EVT83" s="6"/>
      <c r="EVU83" s="6"/>
      <c r="EVV83" s="6"/>
      <c r="EVW83" s="6"/>
      <c r="EVX83" s="6"/>
      <c r="EVY83" s="6"/>
      <c r="EVZ83" s="6"/>
      <c r="EWA83" s="6"/>
      <c r="EWB83" s="6"/>
      <c r="EWC83" s="6"/>
      <c r="EWD83" s="6"/>
      <c r="EWE83" s="6"/>
      <c r="EWF83" s="6"/>
      <c r="EWG83" s="6"/>
      <c r="EWH83" s="6"/>
      <c r="EWI83" s="6"/>
      <c r="EWJ83" s="6"/>
      <c r="EWK83" s="6"/>
      <c r="EWL83" s="6"/>
      <c r="EWM83" s="6"/>
      <c r="EWN83" s="6"/>
      <c r="EWO83" s="6"/>
      <c r="EWP83" s="6"/>
      <c r="EWQ83" s="6"/>
      <c r="EWR83" s="6"/>
      <c r="EWS83" s="6"/>
      <c r="EWT83" s="6"/>
      <c r="EWU83" s="6"/>
      <c r="EWV83" s="6"/>
      <c r="EWW83" s="6"/>
      <c r="EWX83" s="6"/>
      <c r="EWY83" s="6"/>
      <c r="EWZ83" s="6"/>
      <c r="EXA83" s="6"/>
      <c r="EXB83" s="6"/>
      <c r="EXC83" s="6"/>
      <c r="EXD83" s="6"/>
      <c r="EXE83" s="6"/>
      <c r="EXF83" s="6"/>
      <c r="EXG83" s="6"/>
      <c r="EXH83" s="6"/>
      <c r="EXI83" s="6"/>
      <c r="EXJ83" s="6"/>
      <c r="EXK83" s="6"/>
      <c r="EXL83" s="6"/>
      <c r="EXM83" s="6"/>
      <c r="EXN83" s="6"/>
      <c r="EXO83" s="6"/>
      <c r="EXP83" s="6"/>
      <c r="EXQ83" s="6"/>
      <c r="EXR83" s="6"/>
      <c r="EXS83" s="6"/>
      <c r="EXT83" s="6"/>
      <c r="EXU83" s="6"/>
      <c r="EXV83" s="6"/>
      <c r="EXW83" s="6"/>
      <c r="EXX83" s="6"/>
      <c r="EXY83" s="6"/>
      <c r="EXZ83" s="6"/>
      <c r="EYA83" s="6"/>
      <c r="EYB83" s="6"/>
      <c r="EYC83" s="6"/>
      <c r="EYD83" s="6"/>
      <c r="EYE83" s="6"/>
      <c r="EYF83" s="6"/>
      <c r="EYG83" s="6"/>
      <c r="EYH83" s="6"/>
      <c r="EYI83" s="6"/>
      <c r="EYJ83" s="6"/>
      <c r="EYK83" s="6"/>
      <c r="EYL83" s="6"/>
      <c r="EYM83" s="6"/>
      <c r="EYN83" s="6"/>
      <c r="EYO83" s="6"/>
      <c r="EYP83" s="6"/>
      <c r="EYQ83" s="6"/>
      <c r="EYR83" s="6"/>
      <c r="EYS83" s="6"/>
      <c r="EYT83" s="6"/>
      <c r="EYU83" s="6"/>
      <c r="EYV83" s="6"/>
      <c r="EYW83" s="6"/>
      <c r="EYX83" s="6"/>
      <c r="EYY83" s="6"/>
      <c r="EYZ83" s="6"/>
      <c r="EZA83" s="6"/>
      <c r="EZB83" s="6"/>
      <c r="EZC83" s="6"/>
      <c r="EZD83" s="6"/>
      <c r="EZE83" s="6"/>
      <c r="EZF83" s="6"/>
      <c r="EZG83" s="6"/>
      <c r="EZH83" s="6"/>
      <c r="EZI83" s="6"/>
      <c r="EZJ83" s="6"/>
      <c r="EZK83" s="6"/>
      <c r="EZL83" s="6"/>
      <c r="EZM83" s="6"/>
      <c r="EZN83" s="6"/>
      <c r="EZO83" s="6"/>
      <c r="EZP83" s="6"/>
      <c r="EZQ83" s="6"/>
      <c r="EZR83" s="6"/>
      <c r="EZS83" s="6"/>
      <c r="EZT83" s="6"/>
      <c r="EZU83" s="6"/>
      <c r="EZV83" s="6"/>
      <c r="EZW83" s="6"/>
      <c r="EZX83" s="6"/>
      <c r="EZY83" s="6"/>
      <c r="EZZ83" s="6"/>
      <c r="FAA83" s="6"/>
      <c r="FAB83" s="6"/>
      <c r="FAC83" s="6"/>
      <c r="FAD83" s="6"/>
      <c r="FAE83" s="6"/>
      <c r="FAF83" s="6"/>
      <c r="FAG83" s="6"/>
      <c r="FAH83" s="6"/>
      <c r="FAI83" s="6"/>
      <c r="FAJ83" s="6"/>
      <c r="FAK83" s="6"/>
      <c r="FAL83" s="6"/>
      <c r="FAM83" s="6"/>
      <c r="FAN83" s="6"/>
      <c r="FAO83" s="6"/>
      <c r="FAP83" s="6"/>
      <c r="FAQ83" s="6"/>
      <c r="FAR83" s="6"/>
      <c r="FAS83" s="6"/>
      <c r="FAT83" s="6"/>
      <c r="FAU83" s="6"/>
      <c r="FAV83" s="6"/>
      <c r="FAW83" s="6"/>
      <c r="FAX83" s="6"/>
      <c r="FAY83" s="6"/>
      <c r="FAZ83" s="6"/>
      <c r="FBA83" s="6"/>
      <c r="FBB83" s="6"/>
      <c r="FBC83" s="6"/>
      <c r="FBD83" s="6"/>
      <c r="FBE83" s="6"/>
      <c r="FBF83" s="6"/>
      <c r="FBG83" s="6"/>
      <c r="FBH83" s="6"/>
      <c r="FBI83" s="6"/>
      <c r="FBJ83" s="6"/>
      <c r="FBK83" s="6"/>
      <c r="FBL83" s="6"/>
      <c r="FBM83" s="6"/>
      <c r="FBN83" s="6"/>
      <c r="FBO83" s="6"/>
      <c r="FBP83" s="6"/>
      <c r="FBQ83" s="6"/>
      <c r="FBR83" s="6"/>
      <c r="FBS83" s="6"/>
      <c r="FBT83" s="6"/>
      <c r="FBU83" s="6"/>
      <c r="FBV83" s="6"/>
      <c r="FBW83" s="6"/>
      <c r="FBX83" s="6"/>
      <c r="FBY83" s="6"/>
      <c r="FBZ83" s="6"/>
      <c r="FCA83" s="6"/>
      <c r="FCB83" s="6"/>
      <c r="FCC83" s="6"/>
      <c r="FCD83" s="6"/>
      <c r="FCE83" s="6"/>
      <c r="FCF83" s="6"/>
      <c r="FCG83" s="6"/>
      <c r="FCH83" s="6"/>
      <c r="FCI83" s="6"/>
      <c r="FCJ83" s="6"/>
      <c r="FCK83" s="6"/>
      <c r="FCL83" s="6"/>
      <c r="FCM83" s="6"/>
      <c r="FCN83" s="6"/>
      <c r="FCO83" s="6"/>
      <c r="FCP83" s="6"/>
      <c r="FCQ83" s="6"/>
      <c r="FCR83" s="6"/>
      <c r="FCS83" s="6"/>
      <c r="FCT83" s="6"/>
      <c r="FCU83" s="6"/>
      <c r="FCV83" s="6"/>
      <c r="FCW83" s="6"/>
      <c r="FCX83" s="6"/>
      <c r="FCY83" s="6"/>
      <c r="FCZ83" s="6"/>
      <c r="FDA83" s="6"/>
      <c r="FDB83" s="6"/>
      <c r="FDC83" s="6"/>
      <c r="FDD83" s="6"/>
      <c r="FDE83" s="6"/>
      <c r="FDF83" s="6"/>
      <c r="FDG83" s="6"/>
      <c r="FDH83" s="6"/>
      <c r="FDI83" s="6"/>
      <c r="FDJ83" s="6"/>
      <c r="FDK83" s="6"/>
      <c r="FDL83" s="6"/>
      <c r="FDM83" s="6"/>
      <c r="FDN83" s="6"/>
      <c r="FDO83" s="6"/>
      <c r="FDP83" s="6"/>
      <c r="FDQ83" s="6"/>
      <c r="FDR83" s="6"/>
      <c r="FDS83" s="6"/>
      <c r="FDT83" s="6"/>
      <c r="FDU83" s="6"/>
      <c r="FDV83" s="6"/>
      <c r="FDW83" s="6"/>
      <c r="FDX83" s="6"/>
      <c r="FDY83" s="6"/>
      <c r="FDZ83" s="6"/>
      <c r="FEA83" s="6"/>
      <c r="FEB83" s="6"/>
      <c r="FEC83" s="6"/>
      <c r="FED83" s="6"/>
      <c r="FEE83" s="6"/>
      <c r="FEF83" s="6"/>
      <c r="FEG83" s="6"/>
      <c r="FEH83" s="6"/>
      <c r="FEI83" s="6"/>
      <c r="FEJ83" s="6"/>
      <c r="FEK83" s="6"/>
      <c r="FEL83" s="6"/>
      <c r="FEM83" s="6"/>
      <c r="FEN83" s="6"/>
      <c r="FEO83" s="6"/>
      <c r="FEP83" s="6"/>
      <c r="FEQ83" s="6"/>
      <c r="FER83" s="6"/>
      <c r="FES83" s="6"/>
      <c r="FET83" s="6"/>
      <c r="FEU83" s="6"/>
      <c r="FEV83" s="6"/>
      <c r="FEW83" s="6"/>
      <c r="FEX83" s="6"/>
      <c r="FEY83" s="6"/>
      <c r="FEZ83" s="6"/>
      <c r="FFA83" s="6"/>
      <c r="FFB83" s="6"/>
      <c r="FFC83" s="6"/>
      <c r="FFD83" s="6"/>
      <c r="FFE83" s="6"/>
      <c r="FFF83" s="6"/>
      <c r="FFG83" s="6"/>
      <c r="FFH83" s="6"/>
      <c r="FFI83" s="6"/>
      <c r="FFJ83" s="6"/>
      <c r="FFK83" s="6"/>
      <c r="FFL83" s="6"/>
      <c r="FFM83" s="6"/>
      <c r="FFN83" s="6"/>
      <c r="FFO83" s="6"/>
      <c r="FFP83" s="6"/>
      <c r="FFQ83" s="6"/>
      <c r="FFR83" s="6"/>
      <c r="FFS83" s="6"/>
      <c r="FFT83" s="6"/>
      <c r="FFU83" s="6"/>
      <c r="FFV83" s="6"/>
      <c r="FFW83" s="6"/>
      <c r="FFX83" s="6"/>
      <c r="FFY83" s="6"/>
      <c r="FFZ83" s="6"/>
      <c r="FGA83" s="6"/>
      <c r="FGB83" s="6"/>
      <c r="FGC83" s="6"/>
      <c r="FGD83" s="6"/>
      <c r="FGE83" s="6"/>
      <c r="FGF83" s="6"/>
      <c r="FGG83" s="6"/>
      <c r="FGH83" s="6"/>
      <c r="FGI83" s="6"/>
      <c r="FGJ83" s="6"/>
      <c r="FGK83" s="6"/>
      <c r="FGL83" s="6"/>
      <c r="FGM83" s="6"/>
      <c r="FGN83" s="6"/>
      <c r="FGO83" s="6"/>
      <c r="FGP83" s="6"/>
      <c r="FGQ83" s="6"/>
      <c r="FGR83" s="6"/>
      <c r="FGS83" s="6"/>
      <c r="FGT83" s="6"/>
      <c r="FGU83" s="6"/>
      <c r="FGV83" s="6"/>
      <c r="FGW83" s="6"/>
      <c r="FGX83" s="6"/>
      <c r="FGY83" s="6"/>
      <c r="FGZ83" s="6"/>
      <c r="FHA83" s="6"/>
      <c r="FHB83" s="6"/>
      <c r="FHC83" s="6"/>
      <c r="FHD83" s="6"/>
      <c r="FHE83" s="6"/>
      <c r="FHF83" s="6"/>
      <c r="FHG83" s="6"/>
      <c r="FHH83" s="6"/>
      <c r="FHI83" s="6"/>
      <c r="FHJ83" s="6"/>
      <c r="FHK83" s="6"/>
      <c r="FHL83" s="6"/>
      <c r="FHM83" s="6"/>
      <c r="FHN83" s="6"/>
      <c r="FHO83" s="6"/>
      <c r="FHP83" s="6"/>
      <c r="FHQ83" s="6"/>
      <c r="FHR83" s="6"/>
      <c r="FHS83" s="6"/>
      <c r="FHT83" s="6"/>
      <c r="FHU83" s="6"/>
      <c r="FHV83" s="6"/>
      <c r="FHW83" s="6"/>
      <c r="FHX83" s="6"/>
      <c r="FHY83" s="6"/>
      <c r="FHZ83" s="6"/>
      <c r="FIA83" s="6"/>
      <c r="FIB83" s="6"/>
      <c r="FIC83" s="6"/>
      <c r="FID83" s="6"/>
      <c r="FIE83" s="6"/>
      <c r="FIF83" s="6"/>
      <c r="FIG83" s="6"/>
      <c r="FIH83" s="6"/>
      <c r="FII83" s="6"/>
      <c r="FIJ83" s="6"/>
      <c r="FIK83" s="6"/>
      <c r="FIL83" s="6"/>
      <c r="FIM83" s="6"/>
      <c r="FIN83" s="6"/>
      <c r="FIO83" s="6"/>
      <c r="FIP83" s="6"/>
      <c r="FIQ83" s="6"/>
      <c r="FIR83" s="6"/>
      <c r="FIS83" s="6"/>
      <c r="FIT83" s="6"/>
      <c r="FIU83" s="6"/>
      <c r="FIV83" s="6"/>
      <c r="FIW83" s="6"/>
      <c r="FIX83" s="6"/>
      <c r="FIY83" s="6"/>
      <c r="FIZ83" s="6"/>
      <c r="FJA83" s="6"/>
      <c r="FJB83" s="6"/>
      <c r="FJC83" s="6"/>
      <c r="FJD83" s="6"/>
      <c r="FJE83" s="6"/>
      <c r="FJF83" s="6"/>
      <c r="FJG83" s="6"/>
      <c r="FJH83" s="6"/>
      <c r="FJI83" s="6"/>
      <c r="FJJ83" s="6"/>
      <c r="FJK83" s="6"/>
      <c r="FJL83" s="6"/>
      <c r="FJM83" s="6"/>
      <c r="FJN83" s="6"/>
      <c r="FJO83" s="6"/>
      <c r="FJP83" s="6"/>
      <c r="FJQ83" s="6"/>
      <c r="FJR83" s="6"/>
      <c r="FJS83" s="6"/>
      <c r="FJT83" s="6"/>
      <c r="FJU83" s="6"/>
      <c r="FJV83" s="6"/>
      <c r="FJW83" s="6"/>
      <c r="FJX83" s="6"/>
      <c r="FJY83" s="6"/>
      <c r="FJZ83" s="6"/>
      <c r="FKA83" s="6"/>
      <c r="FKB83" s="6"/>
      <c r="FKC83" s="6"/>
      <c r="FKD83" s="6"/>
      <c r="FKE83" s="6"/>
      <c r="FKF83" s="6"/>
      <c r="FKG83" s="6"/>
      <c r="FKH83" s="6"/>
      <c r="FKI83" s="6"/>
      <c r="FKJ83" s="6"/>
      <c r="FKK83" s="6"/>
      <c r="FKL83" s="6"/>
      <c r="FKM83" s="6"/>
      <c r="FKN83" s="6"/>
      <c r="FKO83" s="6"/>
      <c r="FKP83" s="6"/>
      <c r="FKQ83" s="6"/>
      <c r="FKR83" s="6"/>
      <c r="FKS83" s="6"/>
      <c r="FKT83" s="6"/>
      <c r="FKU83" s="6"/>
      <c r="FKV83" s="6"/>
      <c r="FKW83" s="6"/>
      <c r="FKX83" s="6"/>
      <c r="FKY83" s="6"/>
      <c r="FKZ83" s="6"/>
      <c r="FLA83" s="6"/>
      <c r="FLB83" s="6"/>
      <c r="FLC83" s="6"/>
      <c r="FLD83" s="6"/>
      <c r="FLE83" s="6"/>
      <c r="FLF83" s="6"/>
      <c r="FLG83" s="6"/>
      <c r="FLH83" s="6"/>
      <c r="FLI83" s="6"/>
      <c r="FLJ83" s="6"/>
      <c r="FLK83" s="6"/>
      <c r="FLL83" s="6"/>
      <c r="FLM83" s="6"/>
      <c r="FLN83" s="6"/>
      <c r="FLO83" s="6"/>
      <c r="FLP83" s="6"/>
      <c r="FLQ83" s="6"/>
      <c r="FLR83" s="6"/>
      <c r="FLS83" s="6"/>
      <c r="FLT83" s="6"/>
      <c r="FLU83" s="6"/>
      <c r="FLV83" s="6"/>
      <c r="FLW83" s="6"/>
      <c r="FLX83" s="6"/>
      <c r="FLY83" s="6"/>
      <c r="FLZ83" s="6"/>
      <c r="FMA83" s="6"/>
      <c r="FMB83" s="6"/>
      <c r="FMC83" s="6"/>
      <c r="FMD83" s="6"/>
      <c r="FME83" s="6"/>
      <c r="FMF83" s="6"/>
      <c r="FMG83" s="6"/>
      <c r="FMH83" s="6"/>
      <c r="FMI83" s="6"/>
      <c r="FMJ83" s="6"/>
      <c r="FMK83" s="6"/>
      <c r="FML83" s="6"/>
      <c r="FMM83" s="6"/>
      <c r="FMN83" s="6"/>
      <c r="FMO83" s="6"/>
      <c r="FMP83" s="6"/>
      <c r="FMQ83" s="6"/>
      <c r="FMR83" s="6"/>
      <c r="FMS83" s="6"/>
      <c r="FMT83" s="6"/>
      <c r="FMU83" s="6"/>
      <c r="FMV83" s="6"/>
      <c r="FMW83" s="6"/>
      <c r="FMX83" s="6"/>
      <c r="FMY83" s="6"/>
      <c r="FMZ83" s="6"/>
      <c r="FNA83" s="6"/>
      <c r="FNB83" s="6"/>
      <c r="FNC83" s="6"/>
      <c r="FND83" s="6"/>
      <c r="FNE83" s="6"/>
      <c r="FNF83" s="6"/>
      <c r="FNG83" s="6"/>
      <c r="FNH83" s="6"/>
      <c r="FNI83" s="6"/>
      <c r="FNJ83" s="6"/>
      <c r="FNK83" s="6"/>
      <c r="FNL83" s="6"/>
      <c r="FNM83" s="6"/>
      <c r="FNN83" s="6"/>
      <c r="FNO83" s="6"/>
      <c r="FNP83" s="6"/>
      <c r="FNQ83" s="6"/>
      <c r="FNR83" s="6"/>
      <c r="FNS83" s="6"/>
      <c r="FNT83" s="6"/>
      <c r="FNU83" s="6"/>
      <c r="FNV83" s="6"/>
      <c r="FNW83" s="6"/>
      <c r="FNX83" s="6"/>
      <c r="FNY83" s="6"/>
      <c r="FNZ83" s="6"/>
      <c r="FOA83" s="6"/>
      <c r="FOB83" s="6"/>
      <c r="FOC83" s="6"/>
      <c r="FOD83" s="6"/>
      <c r="FOE83" s="6"/>
      <c r="FOF83" s="6"/>
      <c r="FOG83" s="6"/>
      <c r="FOH83" s="6"/>
      <c r="FOI83" s="6"/>
      <c r="FOJ83" s="6"/>
      <c r="FOK83" s="6"/>
      <c r="FOL83" s="6"/>
      <c r="FOM83" s="6"/>
      <c r="FON83" s="6"/>
      <c r="FOO83" s="6"/>
      <c r="FOP83" s="6"/>
      <c r="FOQ83" s="6"/>
      <c r="FOR83" s="6"/>
      <c r="FOS83" s="6"/>
      <c r="FOT83" s="6"/>
      <c r="FOU83" s="6"/>
      <c r="FOV83" s="6"/>
      <c r="FOW83" s="6"/>
      <c r="FOX83" s="6"/>
      <c r="FOY83" s="6"/>
      <c r="FOZ83" s="6"/>
      <c r="FPA83" s="6"/>
      <c r="FPB83" s="6"/>
      <c r="FPC83" s="6"/>
      <c r="FPD83" s="6"/>
      <c r="FPE83" s="6"/>
      <c r="FPF83" s="6"/>
      <c r="FPG83" s="6"/>
      <c r="FPH83" s="6"/>
      <c r="FPI83" s="6"/>
      <c r="FPJ83" s="6"/>
      <c r="FPK83" s="6"/>
      <c r="FPL83" s="6"/>
      <c r="FPM83" s="6"/>
      <c r="FPN83" s="6"/>
      <c r="FPO83" s="6"/>
      <c r="FPP83" s="6"/>
      <c r="FPQ83" s="6"/>
      <c r="FPR83" s="6"/>
      <c r="FPS83" s="6"/>
      <c r="FPT83" s="6"/>
      <c r="FPU83" s="6"/>
      <c r="FPV83" s="6"/>
      <c r="FPW83" s="6"/>
      <c r="FPX83" s="6"/>
      <c r="FPY83" s="6"/>
      <c r="FPZ83" s="6"/>
      <c r="FQA83" s="6"/>
      <c r="FQB83" s="6"/>
      <c r="FQC83" s="6"/>
      <c r="FQD83" s="6"/>
      <c r="FQE83" s="6"/>
      <c r="FQF83" s="6"/>
      <c r="FQG83" s="6"/>
      <c r="FQH83" s="6"/>
      <c r="FQI83" s="6"/>
      <c r="FQJ83" s="6"/>
      <c r="FQK83" s="6"/>
      <c r="FQL83" s="6"/>
      <c r="FQM83" s="6"/>
      <c r="FQN83" s="6"/>
      <c r="FQO83" s="6"/>
      <c r="FQP83" s="6"/>
      <c r="FQQ83" s="6"/>
      <c r="FQR83" s="6"/>
      <c r="FQS83" s="6"/>
      <c r="FQT83" s="6"/>
      <c r="FQU83" s="6"/>
      <c r="FQV83" s="6"/>
      <c r="FQW83" s="6"/>
      <c r="FQX83" s="6"/>
      <c r="FQY83" s="6"/>
      <c r="FQZ83" s="6"/>
      <c r="FRA83" s="6"/>
      <c r="FRB83" s="6"/>
      <c r="FRC83" s="6"/>
      <c r="FRD83" s="6"/>
      <c r="FRE83" s="6"/>
      <c r="FRF83" s="6"/>
      <c r="FRG83" s="6"/>
      <c r="FRH83" s="6"/>
      <c r="FRI83" s="6"/>
      <c r="FRJ83" s="6"/>
      <c r="FRK83" s="6"/>
      <c r="FRL83" s="6"/>
      <c r="FRM83" s="6"/>
      <c r="FRN83" s="6"/>
      <c r="FRO83" s="6"/>
      <c r="FRP83" s="6"/>
      <c r="FRQ83" s="6"/>
      <c r="FRR83" s="6"/>
      <c r="FRS83" s="6"/>
      <c r="FRT83" s="6"/>
      <c r="FRU83" s="6"/>
      <c r="FRV83" s="6"/>
      <c r="FRW83" s="6"/>
      <c r="FRX83" s="6"/>
      <c r="FRY83" s="6"/>
      <c r="FRZ83" s="6"/>
      <c r="FSA83" s="6"/>
      <c r="FSB83" s="6"/>
      <c r="FSC83" s="6"/>
      <c r="FSD83" s="6"/>
      <c r="FSE83" s="6"/>
      <c r="FSF83" s="6"/>
      <c r="FSG83" s="6"/>
      <c r="FSH83" s="6"/>
      <c r="FSI83" s="6"/>
      <c r="FSJ83" s="6"/>
      <c r="FSK83" s="6"/>
      <c r="FSL83" s="6"/>
      <c r="FSM83" s="6"/>
      <c r="FSN83" s="6"/>
      <c r="FSO83" s="6"/>
      <c r="FSP83" s="6"/>
      <c r="FSQ83" s="6"/>
      <c r="FSR83" s="6"/>
      <c r="FSS83" s="6"/>
      <c r="FST83" s="6"/>
      <c r="FSU83" s="6"/>
      <c r="FSV83" s="6"/>
      <c r="FSW83" s="6"/>
      <c r="FSX83" s="6"/>
      <c r="FSY83" s="6"/>
      <c r="FSZ83" s="6"/>
      <c r="FTA83" s="6"/>
      <c r="FTB83" s="6"/>
      <c r="FTC83" s="6"/>
      <c r="FTD83" s="6"/>
      <c r="FTE83" s="6"/>
      <c r="FTF83" s="6"/>
      <c r="FTG83" s="6"/>
      <c r="FTH83" s="6"/>
      <c r="FTI83" s="6"/>
      <c r="FTJ83" s="6"/>
      <c r="FTK83" s="6"/>
      <c r="FTL83" s="6"/>
      <c r="FTM83" s="6"/>
      <c r="FTN83" s="6"/>
      <c r="FTO83" s="6"/>
      <c r="FTP83" s="6"/>
      <c r="FTQ83" s="6"/>
      <c r="FTR83" s="6"/>
      <c r="FTS83" s="6"/>
      <c r="FTT83" s="6"/>
      <c r="FTU83" s="6"/>
      <c r="FTV83" s="6"/>
      <c r="FTW83" s="6"/>
      <c r="FTX83" s="6"/>
      <c r="FTY83" s="6"/>
      <c r="FTZ83" s="6"/>
      <c r="FUA83" s="6"/>
      <c r="FUB83" s="6"/>
      <c r="FUC83" s="6"/>
      <c r="FUD83" s="6"/>
      <c r="FUE83" s="6"/>
      <c r="FUF83" s="6"/>
      <c r="FUG83" s="6"/>
      <c r="FUH83" s="6"/>
      <c r="FUI83" s="6"/>
      <c r="FUJ83" s="6"/>
      <c r="FUK83" s="6"/>
      <c r="FUL83" s="6"/>
      <c r="FUM83" s="6"/>
      <c r="FUN83" s="6"/>
      <c r="FUO83" s="6"/>
      <c r="FUP83" s="6"/>
      <c r="FUQ83" s="6"/>
      <c r="FUR83" s="6"/>
      <c r="FUS83" s="6"/>
      <c r="FUT83" s="6"/>
      <c r="FUU83" s="6"/>
      <c r="FUV83" s="6"/>
      <c r="FUW83" s="6"/>
      <c r="FUX83" s="6"/>
      <c r="FUY83" s="6"/>
      <c r="FUZ83" s="6"/>
      <c r="FVA83" s="6"/>
      <c r="FVB83" s="6"/>
      <c r="FVC83" s="6"/>
      <c r="FVD83" s="6"/>
      <c r="FVE83" s="6"/>
      <c r="FVF83" s="6"/>
      <c r="FVG83" s="6"/>
      <c r="FVH83" s="6"/>
      <c r="FVI83" s="6"/>
      <c r="FVJ83" s="6"/>
      <c r="FVK83" s="6"/>
      <c r="FVL83" s="6"/>
      <c r="FVM83" s="6"/>
      <c r="FVN83" s="6"/>
      <c r="FVO83" s="6"/>
      <c r="FVP83" s="6"/>
      <c r="FVQ83" s="6"/>
      <c r="FVR83" s="6"/>
      <c r="FVS83" s="6"/>
      <c r="FVT83" s="6"/>
      <c r="FVU83" s="6"/>
      <c r="FVV83" s="6"/>
      <c r="FVW83" s="6"/>
      <c r="FVX83" s="6"/>
      <c r="FVY83" s="6"/>
      <c r="FVZ83" s="6"/>
      <c r="FWA83" s="6"/>
      <c r="FWB83" s="6"/>
      <c r="FWC83" s="6"/>
      <c r="FWD83" s="6"/>
      <c r="FWE83" s="6"/>
      <c r="FWF83" s="6"/>
      <c r="FWG83" s="6"/>
      <c r="FWH83" s="6"/>
      <c r="FWI83" s="6"/>
      <c r="FWJ83" s="6"/>
      <c r="FWK83" s="6"/>
      <c r="FWL83" s="6"/>
      <c r="FWM83" s="6"/>
      <c r="FWN83" s="6"/>
      <c r="FWO83" s="6"/>
      <c r="FWP83" s="6"/>
      <c r="FWQ83" s="6"/>
      <c r="FWR83" s="6"/>
      <c r="FWS83" s="6"/>
      <c r="FWT83" s="6"/>
      <c r="FWU83" s="6"/>
      <c r="FWV83" s="6"/>
      <c r="FWW83" s="6"/>
      <c r="FWX83" s="6"/>
      <c r="FWY83" s="6"/>
      <c r="FWZ83" s="6"/>
      <c r="FXA83" s="6"/>
      <c r="FXB83" s="6"/>
      <c r="FXC83" s="6"/>
      <c r="FXD83" s="6"/>
      <c r="FXE83" s="6"/>
      <c r="FXF83" s="6"/>
      <c r="FXG83" s="6"/>
      <c r="FXH83" s="6"/>
      <c r="FXI83" s="6"/>
      <c r="FXJ83" s="6"/>
      <c r="FXK83" s="6"/>
      <c r="FXL83" s="6"/>
      <c r="FXM83" s="6"/>
      <c r="FXN83" s="6"/>
      <c r="FXO83" s="6"/>
      <c r="FXP83" s="6"/>
      <c r="FXQ83" s="6"/>
      <c r="FXR83" s="6"/>
      <c r="FXS83" s="6"/>
      <c r="FXT83" s="6"/>
      <c r="FXU83" s="6"/>
      <c r="FXV83" s="6"/>
      <c r="FXW83" s="6"/>
      <c r="FXX83" s="6"/>
      <c r="FXY83" s="6"/>
      <c r="FXZ83" s="6"/>
      <c r="FYA83" s="6"/>
      <c r="FYB83" s="6"/>
      <c r="FYC83" s="6"/>
      <c r="FYD83" s="6"/>
      <c r="FYE83" s="6"/>
      <c r="FYF83" s="6"/>
      <c r="FYG83" s="6"/>
      <c r="FYH83" s="6"/>
      <c r="FYI83" s="6"/>
      <c r="FYJ83" s="6"/>
      <c r="FYK83" s="6"/>
      <c r="FYL83" s="6"/>
      <c r="FYM83" s="6"/>
      <c r="FYN83" s="6"/>
      <c r="FYO83" s="6"/>
      <c r="FYP83" s="6"/>
      <c r="FYQ83" s="6"/>
      <c r="FYR83" s="6"/>
      <c r="FYS83" s="6"/>
      <c r="FYT83" s="6"/>
      <c r="FYU83" s="6"/>
      <c r="FYV83" s="6"/>
      <c r="FYW83" s="6"/>
      <c r="FYX83" s="6"/>
      <c r="FYY83" s="6"/>
      <c r="FYZ83" s="6"/>
      <c r="FZA83" s="6"/>
      <c r="FZB83" s="6"/>
      <c r="FZC83" s="6"/>
      <c r="FZD83" s="6"/>
      <c r="FZE83" s="6"/>
      <c r="FZF83" s="6"/>
      <c r="FZG83" s="6"/>
      <c r="FZH83" s="6"/>
      <c r="FZI83" s="6"/>
      <c r="FZJ83" s="6"/>
      <c r="FZK83" s="6"/>
      <c r="FZL83" s="6"/>
      <c r="FZM83" s="6"/>
      <c r="FZN83" s="6"/>
      <c r="FZO83" s="6"/>
      <c r="FZP83" s="6"/>
      <c r="FZQ83" s="6"/>
      <c r="FZR83" s="6"/>
      <c r="FZS83" s="6"/>
      <c r="FZT83" s="6"/>
      <c r="FZU83" s="6"/>
      <c r="FZV83" s="6"/>
      <c r="FZW83" s="6"/>
      <c r="FZX83" s="6"/>
      <c r="FZY83" s="6"/>
      <c r="FZZ83" s="6"/>
      <c r="GAA83" s="6"/>
      <c r="GAB83" s="6"/>
      <c r="GAC83" s="6"/>
      <c r="GAD83" s="6"/>
      <c r="GAE83" s="6"/>
      <c r="GAF83" s="6"/>
      <c r="GAG83" s="6"/>
      <c r="GAH83" s="6"/>
      <c r="GAI83" s="6"/>
      <c r="GAJ83" s="6"/>
      <c r="GAK83" s="6"/>
      <c r="GAL83" s="6"/>
      <c r="GAM83" s="6"/>
      <c r="GAN83" s="6"/>
      <c r="GAO83" s="6"/>
      <c r="GAP83" s="6"/>
      <c r="GAQ83" s="6"/>
      <c r="GAR83" s="6"/>
      <c r="GAS83" s="6"/>
      <c r="GAT83" s="6"/>
      <c r="GAU83" s="6"/>
      <c r="GAV83" s="6"/>
      <c r="GAW83" s="6"/>
      <c r="GAX83" s="6"/>
      <c r="GAY83" s="6"/>
      <c r="GAZ83" s="6"/>
      <c r="GBA83" s="6"/>
      <c r="GBB83" s="6"/>
      <c r="GBC83" s="6"/>
      <c r="GBD83" s="6"/>
      <c r="GBE83" s="6"/>
      <c r="GBF83" s="6"/>
      <c r="GBG83" s="6"/>
      <c r="GBH83" s="6"/>
      <c r="GBI83" s="6"/>
      <c r="GBJ83" s="6"/>
      <c r="GBK83" s="6"/>
      <c r="GBL83" s="6"/>
      <c r="GBM83" s="6"/>
      <c r="GBN83" s="6"/>
      <c r="GBO83" s="6"/>
      <c r="GBP83" s="6"/>
      <c r="GBQ83" s="6"/>
      <c r="GBR83" s="6"/>
      <c r="GBS83" s="6"/>
      <c r="GBT83" s="6"/>
      <c r="GBU83" s="6"/>
      <c r="GBV83" s="6"/>
      <c r="GBW83" s="6"/>
      <c r="GBX83" s="6"/>
      <c r="GBY83" s="6"/>
      <c r="GBZ83" s="6"/>
      <c r="GCA83" s="6"/>
      <c r="GCB83" s="6"/>
      <c r="GCC83" s="6"/>
      <c r="GCD83" s="6"/>
      <c r="GCE83" s="6"/>
      <c r="GCF83" s="6"/>
      <c r="GCG83" s="6"/>
      <c r="GCH83" s="6"/>
      <c r="GCI83" s="6"/>
      <c r="GCJ83" s="6"/>
      <c r="GCK83" s="6"/>
      <c r="GCL83" s="6"/>
      <c r="GCM83" s="6"/>
      <c r="GCN83" s="6"/>
      <c r="GCO83" s="6"/>
      <c r="GCP83" s="6"/>
      <c r="GCQ83" s="6"/>
      <c r="GCR83" s="6"/>
      <c r="GCS83" s="6"/>
      <c r="GCT83" s="6"/>
      <c r="GCU83" s="6"/>
      <c r="GCV83" s="6"/>
      <c r="GCW83" s="6"/>
      <c r="GCX83" s="6"/>
      <c r="GCY83" s="6"/>
      <c r="GCZ83" s="6"/>
      <c r="GDA83" s="6"/>
      <c r="GDB83" s="6"/>
      <c r="GDC83" s="6"/>
      <c r="GDD83" s="6"/>
      <c r="GDE83" s="6"/>
      <c r="GDF83" s="6"/>
      <c r="GDG83" s="6"/>
      <c r="GDH83" s="6"/>
      <c r="GDI83" s="6"/>
      <c r="GDJ83" s="6"/>
      <c r="GDK83" s="6"/>
      <c r="GDL83" s="6"/>
      <c r="GDM83" s="6"/>
      <c r="GDN83" s="6"/>
      <c r="GDO83" s="6"/>
      <c r="GDP83" s="6"/>
      <c r="GDQ83" s="6"/>
      <c r="GDR83" s="6"/>
      <c r="GDS83" s="6"/>
      <c r="GDT83" s="6"/>
      <c r="GDU83" s="6"/>
      <c r="GDV83" s="6"/>
      <c r="GDW83" s="6"/>
      <c r="GDX83" s="6"/>
      <c r="GDY83" s="6"/>
      <c r="GDZ83" s="6"/>
      <c r="GEA83" s="6"/>
      <c r="GEB83" s="6"/>
      <c r="GEC83" s="6"/>
      <c r="GED83" s="6"/>
      <c r="GEE83" s="6"/>
      <c r="GEF83" s="6"/>
      <c r="GEG83" s="6"/>
      <c r="GEH83" s="6"/>
      <c r="GEI83" s="6"/>
      <c r="GEJ83" s="6"/>
      <c r="GEK83" s="6"/>
      <c r="GEL83" s="6"/>
      <c r="GEM83" s="6"/>
      <c r="GEN83" s="6"/>
      <c r="GEO83" s="6"/>
      <c r="GEP83" s="6"/>
      <c r="GEQ83" s="6"/>
      <c r="GER83" s="6"/>
      <c r="GES83" s="6"/>
      <c r="GET83" s="6"/>
      <c r="GEU83" s="6"/>
      <c r="GEV83" s="6"/>
      <c r="GEW83" s="6"/>
      <c r="GEX83" s="6"/>
      <c r="GEY83" s="6"/>
      <c r="GEZ83" s="6"/>
      <c r="GFA83" s="6"/>
      <c r="GFB83" s="6"/>
      <c r="GFC83" s="6"/>
      <c r="GFD83" s="6"/>
      <c r="GFE83" s="6"/>
      <c r="GFF83" s="6"/>
      <c r="GFG83" s="6"/>
      <c r="GFH83" s="6"/>
      <c r="GFI83" s="6"/>
      <c r="GFJ83" s="6"/>
      <c r="GFK83" s="6"/>
      <c r="GFL83" s="6"/>
      <c r="GFM83" s="6"/>
      <c r="GFN83" s="6"/>
      <c r="GFO83" s="6"/>
      <c r="GFP83" s="6"/>
      <c r="GFQ83" s="6"/>
      <c r="GFR83" s="6"/>
      <c r="GFS83" s="6"/>
      <c r="GFT83" s="6"/>
      <c r="GFU83" s="6"/>
      <c r="GFV83" s="6"/>
      <c r="GFW83" s="6"/>
      <c r="GFX83" s="6"/>
      <c r="GFY83" s="6"/>
      <c r="GFZ83" s="6"/>
      <c r="GGA83" s="6"/>
      <c r="GGB83" s="6"/>
      <c r="GGC83" s="6"/>
      <c r="GGD83" s="6"/>
      <c r="GGE83" s="6"/>
      <c r="GGF83" s="6"/>
      <c r="GGG83" s="6"/>
      <c r="GGH83" s="6"/>
      <c r="GGI83" s="6"/>
      <c r="GGJ83" s="6"/>
      <c r="GGK83" s="6"/>
      <c r="GGL83" s="6"/>
      <c r="GGM83" s="6"/>
      <c r="GGN83" s="6"/>
      <c r="GGO83" s="6"/>
      <c r="GGP83" s="6"/>
      <c r="GGQ83" s="6"/>
      <c r="GGR83" s="6"/>
      <c r="GGS83" s="6"/>
      <c r="GGT83" s="6"/>
      <c r="GGU83" s="6"/>
      <c r="GGV83" s="6"/>
      <c r="GGW83" s="6"/>
      <c r="GGX83" s="6"/>
      <c r="GGY83" s="6"/>
      <c r="GGZ83" s="6"/>
      <c r="GHA83" s="6"/>
      <c r="GHB83" s="6"/>
      <c r="GHC83" s="6"/>
      <c r="GHD83" s="6"/>
      <c r="GHE83" s="6"/>
      <c r="GHF83" s="6"/>
      <c r="GHG83" s="6"/>
      <c r="GHH83" s="6"/>
      <c r="GHI83" s="6"/>
      <c r="GHJ83" s="6"/>
      <c r="GHK83" s="6"/>
      <c r="GHL83" s="6"/>
      <c r="GHM83" s="6"/>
      <c r="GHN83" s="6"/>
      <c r="GHO83" s="6"/>
      <c r="GHP83" s="6"/>
      <c r="GHQ83" s="6"/>
      <c r="GHR83" s="6"/>
      <c r="GHS83" s="6"/>
      <c r="GHT83" s="6"/>
      <c r="GHU83" s="6"/>
      <c r="GHV83" s="6"/>
      <c r="GHW83" s="6"/>
      <c r="GHX83" s="6"/>
      <c r="GHY83" s="6"/>
      <c r="GHZ83" s="6"/>
      <c r="GIA83" s="6"/>
      <c r="GIB83" s="6"/>
      <c r="GIC83" s="6"/>
      <c r="GID83" s="6"/>
      <c r="GIE83" s="6"/>
      <c r="GIF83" s="6"/>
      <c r="GIG83" s="6"/>
      <c r="GIH83" s="6"/>
      <c r="GII83" s="6"/>
      <c r="GIJ83" s="6"/>
      <c r="GIK83" s="6"/>
      <c r="GIL83" s="6"/>
      <c r="GIM83" s="6"/>
      <c r="GIN83" s="6"/>
      <c r="GIO83" s="6"/>
      <c r="GIP83" s="6"/>
      <c r="GIQ83" s="6"/>
      <c r="GIR83" s="6"/>
      <c r="GIS83" s="6"/>
      <c r="GIT83" s="6"/>
      <c r="GIU83" s="6"/>
      <c r="GIV83" s="6"/>
      <c r="GIW83" s="6"/>
      <c r="GIX83" s="6"/>
      <c r="GIY83" s="6"/>
      <c r="GIZ83" s="6"/>
      <c r="GJA83" s="6"/>
      <c r="GJB83" s="6"/>
      <c r="GJC83" s="6"/>
      <c r="GJD83" s="6"/>
      <c r="GJE83" s="6"/>
      <c r="GJF83" s="6"/>
      <c r="GJG83" s="6"/>
      <c r="GJH83" s="6"/>
      <c r="GJI83" s="6"/>
      <c r="GJJ83" s="6"/>
      <c r="GJK83" s="6"/>
      <c r="GJL83" s="6"/>
      <c r="GJM83" s="6"/>
      <c r="GJN83" s="6"/>
      <c r="GJO83" s="6"/>
      <c r="GJP83" s="6"/>
      <c r="GJQ83" s="6"/>
      <c r="GJR83" s="6"/>
      <c r="GJS83" s="6"/>
      <c r="GJT83" s="6"/>
      <c r="GJU83" s="6"/>
      <c r="GJV83" s="6"/>
      <c r="GJW83" s="6"/>
      <c r="GJX83" s="6"/>
      <c r="GJY83" s="6"/>
      <c r="GJZ83" s="6"/>
      <c r="GKA83" s="6"/>
      <c r="GKB83" s="6"/>
      <c r="GKC83" s="6"/>
      <c r="GKD83" s="6"/>
      <c r="GKE83" s="6"/>
      <c r="GKF83" s="6"/>
      <c r="GKG83" s="6"/>
      <c r="GKH83" s="6"/>
      <c r="GKI83" s="6"/>
      <c r="GKJ83" s="6"/>
      <c r="GKK83" s="6"/>
      <c r="GKL83" s="6"/>
      <c r="GKM83" s="6"/>
      <c r="GKN83" s="6"/>
      <c r="GKO83" s="6"/>
      <c r="GKP83" s="6"/>
      <c r="GKQ83" s="6"/>
      <c r="GKR83" s="6"/>
      <c r="GKS83" s="6"/>
      <c r="GKT83" s="6"/>
      <c r="GKU83" s="6"/>
      <c r="GKV83" s="6"/>
      <c r="GKW83" s="6"/>
      <c r="GKX83" s="6"/>
      <c r="GKY83" s="6"/>
      <c r="GKZ83" s="6"/>
      <c r="GLA83" s="6"/>
      <c r="GLB83" s="6"/>
      <c r="GLC83" s="6"/>
      <c r="GLD83" s="6"/>
      <c r="GLE83" s="6"/>
      <c r="GLF83" s="6"/>
      <c r="GLG83" s="6"/>
      <c r="GLH83" s="6"/>
      <c r="GLI83" s="6"/>
      <c r="GLJ83" s="6"/>
      <c r="GLK83" s="6"/>
      <c r="GLL83" s="6"/>
      <c r="GLM83" s="6"/>
      <c r="GLN83" s="6"/>
      <c r="GLO83" s="6"/>
      <c r="GLP83" s="6"/>
      <c r="GLQ83" s="6"/>
      <c r="GLR83" s="6"/>
      <c r="GLS83" s="6"/>
      <c r="GLT83" s="6"/>
      <c r="GLU83" s="6"/>
      <c r="GLV83" s="6"/>
      <c r="GLW83" s="6"/>
      <c r="GLX83" s="6"/>
      <c r="GLY83" s="6"/>
      <c r="GLZ83" s="6"/>
      <c r="GMA83" s="6"/>
      <c r="GMB83" s="6"/>
      <c r="GMC83" s="6"/>
      <c r="GMD83" s="6"/>
      <c r="GME83" s="6"/>
      <c r="GMF83" s="6"/>
      <c r="GMG83" s="6"/>
      <c r="GMH83" s="6"/>
      <c r="GMI83" s="6"/>
      <c r="GMJ83" s="6"/>
      <c r="GMK83" s="6"/>
      <c r="GML83" s="6"/>
      <c r="GMM83" s="6"/>
      <c r="GMN83" s="6"/>
      <c r="GMO83" s="6"/>
      <c r="GMP83" s="6"/>
      <c r="GMQ83" s="6"/>
      <c r="GMR83" s="6"/>
      <c r="GMS83" s="6"/>
      <c r="GMT83" s="6"/>
      <c r="GMU83" s="6"/>
      <c r="GMV83" s="6"/>
      <c r="GMW83" s="6"/>
      <c r="GMX83" s="6"/>
      <c r="GMY83" s="6"/>
      <c r="GMZ83" s="6"/>
      <c r="GNA83" s="6"/>
      <c r="GNB83" s="6"/>
      <c r="GNC83" s="6"/>
      <c r="GND83" s="6"/>
      <c r="GNE83" s="6"/>
      <c r="GNF83" s="6"/>
      <c r="GNG83" s="6"/>
      <c r="GNH83" s="6"/>
      <c r="GNI83" s="6"/>
      <c r="GNJ83" s="6"/>
      <c r="GNK83" s="6"/>
      <c r="GNL83" s="6"/>
      <c r="GNM83" s="6"/>
      <c r="GNN83" s="6"/>
      <c r="GNO83" s="6"/>
      <c r="GNP83" s="6"/>
      <c r="GNQ83" s="6"/>
      <c r="GNR83" s="6"/>
      <c r="GNS83" s="6"/>
      <c r="GNT83" s="6"/>
      <c r="GNU83" s="6"/>
      <c r="GNV83" s="6"/>
      <c r="GNW83" s="6"/>
      <c r="GNX83" s="6"/>
      <c r="GNY83" s="6"/>
      <c r="GNZ83" s="6"/>
      <c r="GOA83" s="6"/>
      <c r="GOB83" s="6"/>
      <c r="GOC83" s="6"/>
      <c r="GOD83" s="6"/>
      <c r="GOE83" s="6"/>
      <c r="GOF83" s="6"/>
      <c r="GOG83" s="6"/>
      <c r="GOH83" s="6"/>
      <c r="GOI83" s="6"/>
      <c r="GOJ83" s="6"/>
      <c r="GOK83" s="6"/>
      <c r="GOL83" s="6"/>
      <c r="GOM83" s="6"/>
      <c r="GON83" s="6"/>
      <c r="GOO83" s="6"/>
      <c r="GOP83" s="6"/>
      <c r="GOQ83" s="6"/>
      <c r="GOR83" s="6"/>
      <c r="GOS83" s="6"/>
      <c r="GOT83" s="6"/>
      <c r="GOU83" s="6"/>
      <c r="GOV83" s="6"/>
      <c r="GOW83" s="6"/>
      <c r="GOX83" s="6"/>
      <c r="GOY83" s="6"/>
      <c r="GOZ83" s="6"/>
      <c r="GPA83" s="6"/>
      <c r="GPB83" s="6"/>
      <c r="GPC83" s="6"/>
      <c r="GPD83" s="6"/>
      <c r="GPE83" s="6"/>
      <c r="GPF83" s="6"/>
      <c r="GPG83" s="6"/>
      <c r="GPH83" s="6"/>
      <c r="GPI83" s="6"/>
      <c r="GPJ83" s="6"/>
      <c r="GPK83" s="6"/>
      <c r="GPL83" s="6"/>
      <c r="GPM83" s="6"/>
      <c r="GPN83" s="6"/>
      <c r="GPO83" s="6"/>
      <c r="GPP83" s="6"/>
      <c r="GPQ83" s="6"/>
      <c r="GPR83" s="6"/>
      <c r="GPS83" s="6"/>
      <c r="GPT83" s="6"/>
      <c r="GPU83" s="6"/>
      <c r="GPV83" s="6"/>
      <c r="GPW83" s="6"/>
      <c r="GPX83" s="6"/>
      <c r="GPY83" s="6"/>
      <c r="GPZ83" s="6"/>
      <c r="GQA83" s="6"/>
      <c r="GQB83" s="6"/>
      <c r="GQC83" s="6"/>
      <c r="GQD83" s="6"/>
      <c r="GQE83" s="6"/>
      <c r="GQF83" s="6"/>
      <c r="GQG83" s="6"/>
      <c r="GQH83" s="6"/>
      <c r="GQI83" s="6"/>
      <c r="GQJ83" s="6"/>
      <c r="GQK83" s="6"/>
      <c r="GQL83" s="6"/>
      <c r="GQM83" s="6"/>
      <c r="GQN83" s="6"/>
      <c r="GQO83" s="6"/>
      <c r="GQP83" s="6"/>
      <c r="GQQ83" s="6"/>
      <c r="GQR83" s="6"/>
      <c r="GQS83" s="6"/>
      <c r="GQT83" s="6"/>
      <c r="GQU83" s="6"/>
      <c r="GQV83" s="6"/>
      <c r="GQW83" s="6"/>
      <c r="GQX83" s="6"/>
      <c r="GQY83" s="6"/>
      <c r="GQZ83" s="6"/>
      <c r="GRA83" s="6"/>
      <c r="GRB83" s="6"/>
      <c r="GRC83" s="6"/>
      <c r="GRD83" s="6"/>
      <c r="GRE83" s="6"/>
      <c r="GRF83" s="6"/>
      <c r="GRG83" s="6"/>
      <c r="GRH83" s="6"/>
      <c r="GRI83" s="6"/>
      <c r="GRJ83" s="6"/>
      <c r="GRK83" s="6"/>
      <c r="GRL83" s="6"/>
      <c r="GRM83" s="6"/>
      <c r="GRN83" s="6"/>
      <c r="GRO83" s="6"/>
      <c r="GRP83" s="6"/>
      <c r="GRQ83" s="6"/>
      <c r="GRR83" s="6"/>
      <c r="GRS83" s="6"/>
      <c r="GRT83" s="6"/>
      <c r="GRU83" s="6"/>
      <c r="GRV83" s="6"/>
      <c r="GRW83" s="6"/>
      <c r="GRX83" s="6"/>
      <c r="GRY83" s="6"/>
      <c r="GRZ83" s="6"/>
      <c r="GSA83" s="6"/>
      <c r="GSB83" s="6"/>
      <c r="GSC83" s="6"/>
      <c r="GSD83" s="6"/>
      <c r="GSE83" s="6"/>
      <c r="GSF83" s="6"/>
      <c r="GSG83" s="6"/>
      <c r="GSH83" s="6"/>
      <c r="GSI83" s="6"/>
      <c r="GSJ83" s="6"/>
      <c r="GSK83" s="6"/>
      <c r="GSL83" s="6"/>
      <c r="GSM83" s="6"/>
      <c r="GSN83" s="6"/>
      <c r="GSO83" s="6"/>
      <c r="GSP83" s="6"/>
      <c r="GSQ83" s="6"/>
      <c r="GSR83" s="6"/>
      <c r="GSS83" s="6"/>
      <c r="GST83" s="6"/>
      <c r="GSU83" s="6"/>
      <c r="GSV83" s="6"/>
      <c r="GSW83" s="6"/>
      <c r="GSX83" s="6"/>
      <c r="GSY83" s="6"/>
      <c r="GSZ83" s="6"/>
      <c r="GTA83" s="6"/>
      <c r="GTB83" s="6"/>
      <c r="GTC83" s="6"/>
      <c r="GTD83" s="6"/>
      <c r="GTE83" s="6"/>
      <c r="GTF83" s="6"/>
      <c r="GTG83" s="6"/>
      <c r="GTH83" s="6"/>
      <c r="GTI83" s="6"/>
      <c r="GTJ83" s="6"/>
      <c r="GTK83" s="6"/>
      <c r="GTL83" s="6"/>
      <c r="GTM83" s="6"/>
      <c r="GTN83" s="6"/>
      <c r="GTO83" s="6"/>
      <c r="GTP83" s="6"/>
      <c r="GTQ83" s="6"/>
      <c r="GTR83" s="6"/>
      <c r="GTS83" s="6"/>
      <c r="GTT83" s="6"/>
      <c r="GTU83" s="6"/>
      <c r="GTV83" s="6"/>
      <c r="GTW83" s="6"/>
      <c r="GTX83" s="6"/>
      <c r="GTY83" s="6"/>
      <c r="GTZ83" s="6"/>
      <c r="GUA83" s="6"/>
      <c r="GUB83" s="6"/>
      <c r="GUC83" s="6"/>
      <c r="GUD83" s="6"/>
      <c r="GUE83" s="6"/>
      <c r="GUF83" s="6"/>
      <c r="GUG83" s="6"/>
      <c r="GUH83" s="6"/>
      <c r="GUI83" s="6"/>
      <c r="GUJ83" s="6"/>
      <c r="GUK83" s="6"/>
      <c r="GUL83" s="6"/>
      <c r="GUM83" s="6"/>
      <c r="GUN83" s="6"/>
      <c r="GUO83" s="6"/>
      <c r="GUP83" s="6"/>
      <c r="GUQ83" s="6"/>
      <c r="GUR83" s="6"/>
      <c r="GUS83" s="6"/>
      <c r="GUT83" s="6"/>
      <c r="GUU83" s="6"/>
      <c r="GUV83" s="6"/>
      <c r="GUW83" s="6"/>
      <c r="GUX83" s="6"/>
      <c r="GUY83" s="6"/>
      <c r="GUZ83" s="6"/>
      <c r="GVA83" s="6"/>
      <c r="GVB83" s="6"/>
      <c r="GVC83" s="6"/>
      <c r="GVD83" s="6"/>
      <c r="GVE83" s="6"/>
      <c r="GVF83" s="6"/>
      <c r="GVG83" s="6"/>
      <c r="GVH83" s="6"/>
      <c r="GVI83" s="6"/>
      <c r="GVJ83" s="6"/>
      <c r="GVK83" s="6"/>
      <c r="GVL83" s="6"/>
      <c r="GVM83" s="6"/>
      <c r="GVN83" s="6"/>
      <c r="GVO83" s="6"/>
      <c r="GVP83" s="6"/>
      <c r="GVQ83" s="6"/>
      <c r="GVR83" s="6"/>
      <c r="GVS83" s="6"/>
      <c r="GVT83" s="6"/>
      <c r="GVU83" s="6"/>
      <c r="GVV83" s="6"/>
      <c r="GVW83" s="6"/>
      <c r="GVX83" s="6"/>
      <c r="GVY83" s="6"/>
      <c r="GVZ83" s="6"/>
      <c r="GWA83" s="6"/>
      <c r="GWB83" s="6"/>
      <c r="GWC83" s="6"/>
      <c r="GWD83" s="6"/>
      <c r="GWE83" s="6"/>
      <c r="GWF83" s="6"/>
      <c r="GWG83" s="6"/>
      <c r="GWH83" s="6"/>
      <c r="GWI83" s="6"/>
      <c r="GWJ83" s="6"/>
      <c r="GWK83" s="6"/>
      <c r="GWL83" s="6"/>
      <c r="GWM83" s="6"/>
      <c r="GWN83" s="6"/>
      <c r="GWO83" s="6"/>
      <c r="GWP83" s="6"/>
      <c r="GWQ83" s="6"/>
      <c r="GWR83" s="6"/>
      <c r="GWS83" s="6"/>
      <c r="GWT83" s="6"/>
      <c r="GWU83" s="6"/>
      <c r="GWV83" s="6"/>
      <c r="GWW83" s="6"/>
      <c r="GWX83" s="6"/>
      <c r="GWY83" s="6"/>
      <c r="GWZ83" s="6"/>
      <c r="GXA83" s="6"/>
      <c r="GXB83" s="6"/>
      <c r="GXC83" s="6"/>
      <c r="GXD83" s="6"/>
      <c r="GXE83" s="6"/>
      <c r="GXF83" s="6"/>
      <c r="GXG83" s="6"/>
      <c r="GXH83" s="6"/>
      <c r="GXI83" s="6"/>
      <c r="GXJ83" s="6"/>
      <c r="GXK83" s="6"/>
      <c r="GXL83" s="6"/>
      <c r="GXM83" s="6"/>
      <c r="GXN83" s="6"/>
      <c r="GXO83" s="6"/>
      <c r="GXP83" s="6"/>
      <c r="GXQ83" s="6"/>
      <c r="GXR83" s="6"/>
      <c r="GXS83" s="6"/>
      <c r="GXT83" s="6"/>
      <c r="GXU83" s="6"/>
      <c r="GXV83" s="6"/>
      <c r="GXW83" s="6"/>
      <c r="GXX83" s="6"/>
      <c r="GXY83" s="6"/>
      <c r="GXZ83" s="6"/>
      <c r="GYA83" s="6"/>
      <c r="GYB83" s="6"/>
      <c r="GYC83" s="6"/>
      <c r="GYD83" s="6"/>
      <c r="GYE83" s="6"/>
      <c r="GYF83" s="6"/>
      <c r="GYG83" s="6"/>
      <c r="GYH83" s="6"/>
      <c r="GYI83" s="6"/>
      <c r="GYJ83" s="6"/>
      <c r="GYK83" s="6"/>
      <c r="GYL83" s="6"/>
      <c r="GYM83" s="6"/>
      <c r="GYN83" s="6"/>
      <c r="GYO83" s="6"/>
      <c r="GYP83" s="6"/>
      <c r="GYQ83" s="6"/>
      <c r="GYR83" s="6"/>
      <c r="GYS83" s="6"/>
      <c r="GYT83" s="6"/>
      <c r="GYU83" s="6"/>
      <c r="GYV83" s="6"/>
      <c r="GYW83" s="6"/>
      <c r="GYX83" s="6"/>
      <c r="GYY83" s="6"/>
      <c r="GYZ83" s="6"/>
      <c r="GZA83" s="6"/>
      <c r="GZB83" s="6"/>
      <c r="GZC83" s="6"/>
      <c r="GZD83" s="6"/>
      <c r="GZE83" s="6"/>
      <c r="GZF83" s="6"/>
      <c r="GZG83" s="6"/>
      <c r="GZH83" s="6"/>
      <c r="GZI83" s="6"/>
      <c r="GZJ83" s="6"/>
      <c r="GZK83" s="6"/>
      <c r="GZL83" s="6"/>
      <c r="GZM83" s="6"/>
      <c r="GZN83" s="6"/>
      <c r="GZO83" s="6"/>
      <c r="GZP83" s="6"/>
      <c r="GZQ83" s="6"/>
      <c r="GZR83" s="6"/>
      <c r="GZS83" s="6"/>
      <c r="GZT83" s="6"/>
      <c r="GZU83" s="6"/>
      <c r="GZV83" s="6"/>
      <c r="GZW83" s="6"/>
      <c r="GZX83" s="6"/>
      <c r="GZY83" s="6"/>
      <c r="GZZ83" s="6"/>
      <c r="HAA83" s="6"/>
      <c r="HAB83" s="6"/>
      <c r="HAC83" s="6"/>
      <c r="HAD83" s="6"/>
      <c r="HAE83" s="6"/>
      <c r="HAF83" s="6"/>
      <c r="HAG83" s="6"/>
      <c r="HAH83" s="6"/>
      <c r="HAI83" s="6"/>
      <c r="HAJ83" s="6"/>
      <c r="HAK83" s="6"/>
      <c r="HAL83" s="6"/>
      <c r="HAM83" s="6"/>
      <c r="HAN83" s="6"/>
      <c r="HAO83" s="6"/>
      <c r="HAP83" s="6"/>
      <c r="HAQ83" s="6"/>
      <c r="HAR83" s="6"/>
      <c r="HAS83" s="6"/>
      <c r="HAT83" s="6"/>
      <c r="HAU83" s="6"/>
      <c r="HAV83" s="6"/>
      <c r="HAW83" s="6"/>
      <c r="HAX83" s="6"/>
      <c r="HAY83" s="6"/>
      <c r="HAZ83" s="6"/>
      <c r="HBA83" s="6"/>
      <c r="HBB83" s="6"/>
      <c r="HBC83" s="6"/>
      <c r="HBD83" s="6"/>
      <c r="HBE83" s="6"/>
      <c r="HBF83" s="6"/>
      <c r="HBG83" s="6"/>
      <c r="HBH83" s="6"/>
      <c r="HBI83" s="6"/>
      <c r="HBJ83" s="6"/>
      <c r="HBK83" s="6"/>
      <c r="HBL83" s="6"/>
      <c r="HBM83" s="6"/>
      <c r="HBN83" s="6"/>
      <c r="HBO83" s="6"/>
      <c r="HBP83" s="6"/>
      <c r="HBQ83" s="6"/>
      <c r="HBR83" s="6"/>
      <c r="HBS83" s="6"/>
      <c r="HBT83" s="6"/>
      <c r="HBU83" s="6"/>
      <c r="HBV83" s="6"/>
      <c r="HBW83" s="6"/>
      <c r="HBX83" s="6"/>
      <c r="HBY83" s="6"/>
      <c r="HBZ83" s="6"/>
      <c r="HCA83" s="6"/>
      <c r="HCB83" s="6"/>
      <c r="HCC83" s="6"/>
      <c r="HCD83" s="6"/>
      <c r="HCE83" s="6"/>
      <c r="HCF83" s="6"/>
      <c r="HCG83" s="6"/>
      <c r="HCH83" s="6"/>
      <c r="HCI83" s="6"/>
      <c r="HCJ83" s="6"/>
      <c r="HCK83" s="6"/>
      <c r="HCL83" s="6"/>
      <c r="HCM83" s="6"/>
      <c r="HCN83" s="6"/>
      <c r="HCO83" s="6"/>
      <c r="HCP83" s="6"/>
      <c r="HCQ83" s="6"/>
      <c r="HCR83" s="6"/>
      <c r="HCS83" s="6"/>
      <c r="HCT83" s="6"/>
      <c r="HCU83" s="6"/>
      <c r="HCV83" s="6"/>
      <c r="HCW83" s="6"/>
      <c r="HCX83" s="6"/>
      <c r="HCY83" s="6"/>
      <c r="HCZ83" s="6"/>
      <c r="HDA83" s="6"/>
      <c r="HDB83" s="6"/>
      <c r="HDC83" s="6"/>
      <c r="HDD83" s="6"/>
      <c r="HDE83" s="6"/>
      <c r="HDF83" s="6"/>
      <c r="HDG83" s="6"/>
      <c r="HDH83" s="6"/>
      <c r="HDI83" s="6"/>
      <c r="HDJ83" s="6"/>
      <c r="HDK83" s="6"/>
      <c r="HDL83" s="6"/>
      <c r="HDM83" s="6"/>
      <c r="HDN83" s="6"/>
      <c r="HDO83" s="6"/>
      <c r="HDP83" s="6"/>
      <c r="HDQ83" s="6"/>
      <c r="HDR83" s="6"/>
      <c r="HDS83" s="6"/>
      <c r="HDT83" s="6"/>
      <c r="HDU83" s="6"/>
      <c r="HDV83" s="6"/>
      <c r="HDW83" s="6"/>
      <c r="HDX83" s="6"/>
      <c r="HDY83" s="6"/>
      <c r="HDZ83" s="6"/>
      <c r="HEA83" s="6"/>
      <c r="HEB83" s="6"/>
      <c r="HEC83" s="6"/>
      <c r="HED83" s="6"/>
      <c r="HEE83" s="6"/>
      <c r="HEF83" s="6"/>
      <c r="HEG83" s="6"/>
      <c r="HEH83" s="6"/>
      <c r="HEI83" s="6"/>
      <c r="HEJ83" s="6"/>
      <c r="HEK83" s="6"/>
      <c r="HEL83" s="6"/>
      <c r="HEM83" s="6"/>
      <c r="HEN83" s="6"/>
      <c r="HEO83" s="6"/>
      <c r="HEP83" s="6"/>
      <c r="HEQ83" s="6"/>
      <c r="HER83" s="6"/>
      <c r="HES83" s="6"/>
      <c r="HET83" s="6"/>
      <c r="HEU83" s="6"/>
      <c r="HEV83" s="6"/>
      <c r="HEW83" s="6"/>
      <c r="HEX83" s="6"/>
      <c r="HEY83" s="6"/>
      <c r="HEZ83" s="6"/>
      <c r="HFA83" s="6"/>
      <c r="HFB83" s="6"/>
      <c r="HFC83" s="6"/>
      <c r="HFD83" s="6"/>
      <c r="HFE83" s="6"/>
      <c r="HFF83" s="6"/>
      <c r="HFG83" s="6"/>
      <c r="HFH83" s="6"/>
      <c r="HFI83" s="6"/>
      <c r="HFJ83" s="6"/>
      <c r="HFK83" s="6"/>
      <c r="HFL83" s="6"/>
      <c r="HFM83" s="6"/>
      <c r="HFN83" s="6"/>
      <c r="HFO83" s="6"/>
      <c r="HFP83" s="6"/>
      <c r="HFQ83" s="6"/>
      <c r="HFR83" s="6"/>
      <c r="HFS83" s="6"/>
      <c r="HFT83" s="6"/>
      <c r="HFU83" s="6"/>
      <c r="HFV83" s="6"/>
      <c r="HFW83" s="6"/>
      <c r="HFX83" s="6"/>
      <c r="HFY83" s="6"/>
      <c r="HFZ83" s="6"/>
      <c r="HGA83" s="6"/>
      <c r="HGB83" s="6"/>
      <c r="HGC83" s="6"/>
      <c r="HGD83" s="6"/>
      <c r="HGE83" s="6"/>
      <c r="HGF83" s="6"/>
      <c r="HGG83" s="6"/>
      <c r="HGH83" s="6"/>
      <c r="HGI83" s="6"/>
      <c r="HGJ83" s="6"/>
      <c r="HGK83" s="6"/>
      <c r="HGL83" s="6"/>
      <c r="HGM83" s="6"/>
      <c r="HGN83" s="6"/>
      <c r="HGO83" s="6"/>
      <c r="HGP83" s="6"/>
      <c r="HGQ83" s="6"/>
      <c r="HGR83" s="6"/>
      <c r="HGS83" s="6"/>
      <c r="HGT83" s="6"/>
      <c r="HGU83" s="6"/>
      <c r="HGV83" s="6"/>
      <c r="HGW83" s="6"/>
      <c r="HGX83" s="6"/>
      <c r="HGY83" s="6"/>
      <c r="HGZ83" s="6"/>
      <c r="HHA83" s="6"/>
      <c r="HHB83" s="6"/>
      <c r="HHC83" s="6"/>
      <c r="HHD83" s="6"/>
      <c r="HHE83" s="6"/>
      <c r="HHF83" s="6"/>
      <c r="HHG83" s="6"/>
      <c r="HHH83" s="6"/>
      <c r="HHI83" s="6"/>
      <c r="HHJ83" s="6"/>
      <c r="HHK83" s="6"/>
      <c r="HHL83" s="6"/>
      <c r="HHM83" s="6"/>
      <c r="HHN83" s="6"/>
      <c r="HHO83" s="6"/>
      <c r="HHP83" s="6"/>
      <c r="HHQ83" s="6"/>
      <c r="HHR83" s="6"/>
      <c r="HHS83" s="6"/>
      <c r="HHT83" s="6"/>
      <c r="HHU83" s="6"/>
      <c r="HHV83" s="6"/>
      <c r="HHW83" s="6"/>
      <c r="HHX83" s="6"/>
      <c r="HHY83" s="6"/>
      <c r="HHZ83" s="6"/>
      <c r="HIA83" s="6"/>
      <c r="HIB83" s="6"/>
      <c r="HIC83" s="6"/>
      <c r="HID83" s="6"/>
      <c r="HIE83" s="6"/>
      <c r="HIF83" s="6"/>
      <c r="HIG83" s="6"/>
      <c r="HIH83" s="6"/>
      <c r="HII83" s="6"/>
      <c r="HIJ83" s="6"/>
      <c r="HIK83" s="6"/>
      <c r="HIL83" s="6"/>
      <c r="HIM83" s="6"/>
      <c r="HIN83" s="6"/>
      <c r="HIO83" s="6"/>
      <c r="HIP83" s="6"/>
      <c r="HIQ83" s="6"/>
      <c r="HIR83" s="6"/>
      <c r="HIS83" s="6"/>
      <c r="HIT83" s="6"/>
      <c r="HIU83" s="6"/>
      <c r="HIV83" s="6"/>
      <c r="HIW83" s="6"/>
      <c r="HIX83" s="6"/>
      <c r="HIY83" s="6"/>
      <c r="HIZ83" s="6"/>
      <c r="HJA83" s="6"/>
      <c r="HJB83" s="6"/>
      <c r="HJC83" s="6"/>
      <c r="HJD83" s="6"/>
      <c r="HJE83" s="6"/>
      <c r="HJF83" s="6"/>
      <c r="HJG83" s="6"/>
      <c r="HJH83" s="6"/>
      <c r="HJI83" s="6"/>
      <c r="HJJ83" s="6"/>
      <c r="HJK83" s="6"/>
      <c r="HJL83" s="6"/>
      <c r="HJM83" s="6"/>
      <c r="HJN83" s="6"/>
      <c r="HJO83" s="6"/>
      <c r="HJP83" s="6"/>
      <c r="HJQ83" s="6"/>
      <c r="HJR83" s="6"/>
      <c r="HJS83" s="6"/>
      <c r="HJT83" s="6"/>
      <c r="HJU83" s="6"/>
      <c r="HJV83" s="6"/>
      <c r="HJW83" s="6"/>
      <c r="HJX83" s="6"/>
      <c r="HJY83" s="6"/>
      <c r="HJZ83" s="6"/>
      <c r="HKA83" s="6"/>
      <c r="HKB83" s="6"/>
      <c r="HKC83" s="6"/>
      <c r="HKD83" s="6"/>
      <c r="HKE83" s="6"/>
      <c r="HKF83" s="6"/>
      <c r="HKG83" s="6"/>
      <c r="HKH83" s="6"/>
      <c r="HKI83" s="6"/>
      <c r="HKJ83" s="6"/>
      <c r="HKK83" s="6"/>
      <c r="HKL83" s="6"/>
      <c r="HKM83" s="6"/>
      <c r="HKN83" s="6"/>
      <c r="HKO83" s="6"/>
      <c r="HKP83" s="6"/>
      <c r="HKQ83" s="6"/>
      <c r="HKR83" s="6"/>
      <c r="HKS83" s="6"/>
      <c r="HKT83" s="6"/>
      <c r="HKU83" s="6"/>
      <c r="HKV83" s="6"/>
      <c r="HKW83" s="6"/>
      <c r="HKX83" s="6"/>
      <c r="HKY83" s="6"/>
      <c r="HKZ83" s="6"/>
      <c r="HLA83" s="6"/>
      <c r="HLB83" s="6"/>
      <c r="HLC83" s="6"/>
      <c r="HLD83" s="6"/>
      <c r="HLE83" s="6"/>
      <c r="HLF83" s="6"/>
      <c r="HLG83" s="6"/>
      <c r="HLH83" s="6"/>
      <c r="HLI83" s="6"/>
      <c r="HLJ83" s="6"/>
      <c r="HLK83" s="6"/>
      <c r="HLL83" s="6"/>
      <c r="HLM83" s="6"/>
      <c r="HLN83" s="6"/>
      <c r="HLO83" s="6"/>
      <c r="HLP83" s="6"/>
      <c r="HLQ83" s="6"/>
      <c r="HLR83" s="6"/>
      <c r="HLS83" s="6"/>
      <c r="HLT83" s="6"/>
      <c r="HLU83" s="6"/>
      <c r="HLV83" s="6"/>
      <c r="HLW83" s="6"/>
      <c r="HLX83" s="6"/>
      <c r="HLY83" s="6"/>
      <c r="HLZ83" s="6"/>
      <c r="HMA83" s="6"/>
      <c r="HMB83" s="6"/>
      <c r="HMC83" s="6"/>
      <c r="HMD83" s="6"/>
      <c r="HME83" s="6"/>
      <c r="HMF83" s="6"/>
      <c r="HMG83" s="6"/>
      <c r="HMH83" s="6"/>
      <c r="HMI83" s="6"/>
      <c r="HMJ83" s="6"/>
      <c r="HMK83" s="6"/>
      <c r="HML83" s="6"/>
      <c r="HMM83" s="6"/>
      <c r="HMN83" s="6"/>
      <c r="HMO83" s="6"/>
      <c r="HMP83" s="6"/>
      <c r="HMQ83" s="6"/>
      <c r="HMR83" s="6"/>
      <c r="HMS83" s="6"/>
      <c r="HMT83" s="6"/>
      <c r="HMU83" s="6"/>
      <c r="HMV83" s="6"/>
      <c r="HMW83" s="6"/>
      <c r="HMX83" s="6"/>
      <c r="HMY83" s="6"/>
      <c r="HMZ83" s="6"/>
      <c r="HNA83" s="6"/>
      <c r="HNB83" s="6"/>
      <c r="HNC83" s="6"/>
      <c r="HND83" s="6"/>
      <c r="HNE83" s="6"/>
      <c r="HNF83" s="6"/>
      <c r="HNG83" s="6"/>
      <c r="HNH83" s="6"/>
      <c r="HNI83" s="6"/>
      <c r="HNJ83" s="6"/>
      <c r="HNK83" s="6"/>
      <c r="HNL83" s="6"/>
      <c r="HNM83" s="6"/>
      <c r="HNN83" s="6"/>
      <c r="HNO83" s="6"/>
      <c r="HNP83" s="6"/>
      <c r="HNQ83" s="6"/>
      <c r="HNR83" s="6"/>
      <c r="HNS83" s="6"/>
      <c r="HNT83" s="6"/>
      <c r="HNU83" s="6"/>
      <c r="HNV83" s="6"/>
      <c r="HNW83" s="6"/>
      <c r="HNX83" s="6"/>
      <c r="HNY83" s="6"/>
      <c r="HNZ83" s="6"/>
      <c r="HOA83" s="6"/>
      <c r="HOB83" s="6"/>
      <c r="HOC83" s="6"/>
      <c r="HOD83" s="6"/>
      <c r="HOE83" s="6"/>
      <c r="HOF83" s="6"/>
      <c r="HOG83" s="6"/>
      <c r="HOH83" s="6"/>
      <c r="HOI83" s="6"/>
      <c r="HOJ83" s="6"/>
      <c r="HOK83" s="6"/>
      <c r="HOL83" s="6"/>
      <c r="HOM83" s="6"/>
      <c r="HON83" s="6"/>
      <c r="HOO83" s="6"/>
      <c r="HOP83" s="6"/>
      <c r="HOQ83" s="6"/>
      <c r="HOR83" s="6"/>
      <c r="HOS83" s="6"/>
      <c r="HOT83" s="6"/>
      <c r="HOU83" s="6"/>
      <c r="HOV83" s="6"/>
      <c r="HOW83" s="6"/>
      <c r="HOX83" s="6"/>
      <c r="HOY83" s="6"/>
      <c r="HOZ83" s="6"/>
      <c r="HPA83" s="6"/>
      <c r="HPB83" s="6"/>
      <c r="HPC83" s="6"/>
      <c r="HPD83" s="6"/>
      <c r="HPE83" s="6"/>
      <c r="HPF83" s="6"/>
      <c r="HPG83" s="6"/>
      <c r="HPH83" s="6"/>
      <c r="HPI83" s="6"/>
      <c r="HPJ83" s="6"/>
      <c r="HPK83" s="6"/>
      <c r="HPL83" s="6"/>
      <c r="HPM83" s="6"/>
      <c r="HPN83" s="6"/>
      <c r="HPO83" s="6"/>
      <c r="HPP83" s="6"/>
      <c r="HPQ83" s="6"/>
      <c r="HPR83" s="6"/>
      <c r="HPS83" s="6"/>
      <c r="HPT83" s="6"/>
      <c r="HPU83" s="6"/>
      <c r="HPV83" s="6"/>
      <c r="HPW83" s="6"/>
      <c r="HPX83" s="6"/>
      <c r="HPY83" s="6"/>
      <c r="HPZ83" s="6"/>
      <c r="HQA83" s="6"/>
      <c r="HQB83" s="6"/>
      <c r="HQC83" s="6"/>
      <c r="HQD83" s="6"/>
      <c r="HQE83" s="6"/>
      <c r="HQF83" s="6"/>
      <c r="HQG83" s="6"/>
      <c r="HQH83" s="6"/>
      <c r="HQI83" s="6"/>
      <c r="HQJ83" s="6"/>
      <c r="HQK83" s="6"/>
      <c r="HQL83" s="6"/>
      <c r="HQM83" s="6"/>
      <c r="HQN83" s="6"/>
      <c r="HQO83" s="6"/>
      <c r="HQP83" s="6"/>
      <c r="HQQ83" s="6"/>
      <c r="HQR83" s="6"/>
      <c r="HQS83" s="6"/>
      <c r="HQT83" s="6"/>
      <c r="HQU83" s="6"/>
      <c r="HQV83" s="6"/>
      <c r="HQW83" s="6"/>
      <c r="HQX83" s="6"/>
      <c r="HQY83" s="6"/>
      <c r="HQZ83" s="6"/>
      <c r="HRA83" s="6"/>
      <c r="HRB83" s="6"/>
      <c r="HRC83" s="6"/>
      <c r="HRD83" s="6"/>
      <c r="HRE83" s="6"/>
      <c r="HRF83" s="6"/>
      <c r="HRG83" s="6"/>
      <c r="HRH83" s="6"/>
      <c r="HRI83" s="6"/>
      <c r="HRJ83" s="6"/>
      <c r="HRK83" s="6"/>
      <c r="HRL83" s="6"/>
      <c r="HRM83" s="6"/>
      <c r="HRN83" s="6"/>
      <c r="HRO83" s="6"/>
      <c r="HRP83" s="6"/>
      <c r="HRQ83" s="6"/>
      <c r="HRR83" s="6"/>
      <c r="HRS83" s="6"/>
      <c r="HRT83" s="6"/>
      <c r="HRU83" s="6"/>
      <c r="HRV83" s="6"/>
      <c r="HRW83" s="6"/>
      <c r="HRX83" s="6"/>
      <c r="HRY83" s="6"/>
      <c r="HRZ83" s="6"/>
      <c r="HSA83" s="6"/>
      <c r="HSB83" s="6"/>
      <c r="HSC83" s="6"/>
      <c r="HSD83" s="6"/>
      <c r="HSE83" s="6"/>
      <c r="HSF83" s="6"/>
      <c r="HSG83" s="6"/>
      <c r="HSH83" s="6"/>
      <c r="HSI83" s="6"/>
      <c r="HSJ83" s="6"/>
      <c r="HSK83" s="6"/>
      <c r="HSL83" s="6"/>
      <c r="HSM83" s="6"/>
      <c r="HSN83" s="6"/>
      <c r="HSO83" s="6"/>
      <c r="HSP83" s="6"/>
      <c r="HSQ83" s="6"/>
      <c r="HSR83" s="6"/>
      <c r="HSS83" s="6"/>
      <c r="HST83" s="6"/>
      <c r="HSU83" s="6"/>
      <c r="HSV83" s="6"/>
      <c r="HSW83" s="6"/>
      <c r="HSX83" s="6"/>
      <c r="HSY83" s="6"/>
      <c r="HSZ83" s="6"/>
      <c r="HTA83" s="6"/>
      <c r="HTB83" s="6"/>
      <c r="HTC83" s="6"/>
      <c r="HTD83" s="6"/>
      <c r="HTE83" s="6"/>
      <c r="HTF83" s="6"/>
      <c r="HTG83" s="6"/>
      <c r="HTH83" s="6"/>
      <c r="HTI83" s="6"/>
      <c r="HTJ83" s="6"/>
      <c r="HTK83" s="6"/>
      <c r="HTL83" s="6"/>
      <c r="HTM83" s="6"/>
      <c r="HTN83" s="6"/>
      <c r="HTO83" s="6"/>
      <c r="HTP83" s="6"/>
      <c r="HTQ83" s="6"/>
      <c r="HTR83" s="6"/>
      <c r="HTS83" s="6"/>
      <c r="HTT83" s="6"/>
      <c r="HTU83" s="6"/>
      <c r="HTV83" s="6"/>
      <c r="HTW83" s="6"/>
      <c r="HTX83" s="6"/>
      <c r="HTY83" s="6"/>
      <c r="HTZ83" s="6"/>
      <c r="HUA83" s="6"/>
      <c r="HUB83" s="6"/>
      <c r="HUC83" s="6"/>
      <c r="HUD83" s="6"/>
      <c r="HUE83" s="6"/>
      <c r="HUF83" s="6"/>
      <c r="HUG83" s="6"/>
      <c r="HUH83" s="6"/>
      <c r="HUI83" s="6"/>
      <c r="HUJ83" s="6"/>
      <c r="HUK83" s="6"/>
      <c r="HUL83" s="6"/>
      <c r="HUM83" s="6"/>
      <c r="HUN83" s="6"/>
      <c r="HUO83" s="6"/>
      <c r="HUP83" s="6"/>
      <c r="HUQ83" s="6"/>
      <c r="HUR83" s="6"/>
      <c r="HUS83" s="6"/>
      <c r="HUT83" s="6"/>
      <c r="HUU83" s="6"/>
      <c r="HUV83" s="6"/>
      <c r="HUW83" s="6"/>
      <c r="HUX83" s="6"/>
      <c r="HUY83" s="6"/>
      <c r="HUZ83" s="6"/>
      <c r="HVA83" s="6"/>
      <c r="HVB83" s="6"/>
      <c r="HVC83" s="6"/>
      <c r="HVD83" s="6"/>
      <c r="HVE83" s="6"/>
      <c r="HVF83" s="6"/>
      <c r="HVG83" s="6"/>
      <c r="HVH83" s="6"/>
      <c r="HVI83" s="6"/>
      <c r="HVJ83" s="6"/>
      <c r="HVK83" s="6"/>
      <c r="HVL83" s="6"/>
      <c r="HVM83" s="6"/>
      <c r="HVN83" s="6"/>
      <c r="HVO83" s="6"/>
      <c r="HVP83" s="6"/>
      <c r="HVQ83" s="6"/>
      <c r="HVR83" s="6"/>
      <c r="HVS83" s="6"/>
      <c r="HVT83" s="6"/>
      <c r="HVU83" s="6"/>
      <c r="HVV83" s="6"/>
      <c r="HVW83" s="6"/>
      <c r="HVX83" s="6"/>
      <c r="HVY83" s="6"/>
      <c r="HVZ83" s="6"/>
      <c r="HWA83" s="6"/>
      <c r="HWB83" s="6"/>
      <c r="HWC83" s="6"/>
      <c r="HWD83" s="6"/>
      <c r="HWE83" s="6"/>
      <c r="HWF83" s="6"/>
      <c r="HWG83" s="6"/>
      <c r="HWH83" s="6"/>
      <c r="HWI83" s="6"/>
      <c r="HWJ83" s="6"/>
      <c r="HWK83" s="6"/>
      <c r="HWL83" s="6"/>
      <c r="HWM83" s="6"/>
      <c r="HWN83" s="6"/>
      <c r="HWO83" s="6"/>
      <c r="HWP83" s="6"/>
      <c r="HWQ83" s="6"/>
      <c r="HWR83" s="6"/>
      <c r="HWS83" s="6"/>
      <c r="HWT83" s="6"/>
      <c r="HWU83" s="6"/>
      <c r="HWV83" s="6"/>
      <c r="HWW83" s="6"/>
      <c r="HWX83" s="6"/>
      <c r="HWY83" s="6"/>
      <c r="HWZ83" s="6"/>
      <c r="HXA83" s="6"/>
      <c r="HXB83" s="6"/>
      <c r="HXC83" s="6"/>
      <c r="HXD83" s="6"/>
      <c r="HXE83" s="6"/>
      <c r="HXF83" s="6"/>
      <c r="HXG83" s="6"/>
      <c r="HXH83" s="6"/>
      <c r="HXI83" s="6"/>
      <c r="HXJ83" s="6"/>
      <c r="HXK83" s="6"/>
      <c r="HXL83" s="6"/>
      <c r="HXM83" s="6"/>
      <c r="HXN83" s="6"/>
      <c r="HXO83" s="6"/>
      <c r="HXP83" s="6"/>
      <c r="HXQ83" s="6"/>
      <c r="HXR83" s="6"/>
      <c r="HXS83" s="6"/>
      <c r="HXT83" s="6"/>
      <c r="HXU83" s="6"/>
      <c r="HXV83" s="6"/>
      <c r="HXW83" s="6"/>
      <c r="HXX83" s="6"/>
      <c r="HXY83" s="6"/>
      <c r="HXZ83" s="6"/>
      <c r="HYA83" s="6"/>
      <c r="HYB83" s="6"/>
      <c r="HYC83" s="6"/>
      <c r="HYD83" s="6"/>
      <c r="HYE83" s="6"/>
      <c r="HYF83" s="6"/>
      <c r="HYG83" s="6"/>
      <c r="HYH83" s="6"/>
      <c r="HYI83" s="6"/>
      <c r="HYJ83" s="6"/>
      <c r="HYK83" s="6"/>
      <c r="HYL83" s="6"/>
      <c r="HYM83" s="6"/>
      <c r="HYN83" s="6"/>
      <c r="HYO83" s="6"/>
      <c r="HYP83" s="6"/>
      <c r="HYQ83" s="6"/>
      <c r="HYR83" s="6"/>
      <c r="HYS83" s="6"/>
      <c r="HYT83" s="6"/>
      <c r="HYU83" s="6"/>
      <c r="HYV83" s="6"/>
      <c r="HYW83" s="6"/>
      <c r="HYX83" s="6"/>
      <c r="HYY83" s="6"/>
      <c r="HYZ83" s="6"/>
      <c r="HZA83" s="6"/>
      <c r="HZB83" s="6"/>
      <c r="HZC83" s="6"/>
      <c r="HZD83" s="6"/>
      <c r="HZE83" s="6"/>
      <c r="HZF83" s="6"/>
      <c r="HZG83" s="6"/>
      <c r="HZH83" s="6"/>
      <c r="HZI83" s="6"/>
      <c r="HZJ83" s="6"/>
      <c r="HZK83" s="6"/>
      <c r="HZL83" s="6"/>
      <c r="HZM83" s="6"/>
      <c r="HZN83" s="6"/>
      <c r="HZO83" s="6"/>
      <c r="HZP83" s="6"/>
      <c r="HZQ83" s="6"/>
      <c r="HZR83" s="6"/>
      <c r="HZS83" s="6"/>
      <c r="HZT83" s="6"/>
      <c r="HZU83" s="6"/>
      <c r="HZV83" s="6"/>
      <c r="HZW83" s="6"/>
      <c r="HZX83" s="6"/>
      <c r="HZY83" s="6"/>
      <c r="HZZ83" s="6"/>
      <c r="IAA83" s="6"/>
      <c r="IAB83" s="6"/>
      <c r="IAC83" s="6"/>
      <c r="IAD83" s="6"/>
      <c r="IAE83" s="6"/>
      <c r="IAF83" s="6"/>
      <c r="IAG83" s="6"/>
      <c r="IAH83" s="6"/>
      <c r="IAI83" s="6"/>
      <c r="IAJ83" s="6"/>
      <c r="IAK83" s="6"/>
      <c r="IAL83" s="6"/>
      <c r="IAM83" s="6"/>
      <c r="IAN83" s="6"/>
      <c r="IAO83" s="6"/>
      <c r="IAP83" s="6"/>
      <c r="IAQ83" s="6"/>
      <c r="IAR83" s="6"/>
      <c r="IAS83" s="6"/>
      <c r="IAT83" s="6"/>
      <c r="IAU83" s="6"/>
      <c r="IAV83" s="6"/>
      <c r="IAW83" s="6"/>
      <c r="IAX83" s="6"/>
      <c r="IAY83" s="6"/>
      <c r="IAZ83" s="6"/>
      <c r="IBA83" s="6"/>
      <c r="IBB83" s="6"/>
      <c r="IBC83" s="6"/>
      <c r="IBD83" s="6"/>
      <c r="IBE83" s="6"/>
      <c r="IBF83" s="6"/>
      <c r="IBG83" s="6"/>
      <c r="IBH83" s="6"/>
      <c r="IBI83" s="6"/>
      <c r="IBJ83" s="6"/>
      <c r="IBK83" s="6"/>
      <c r="IBL83" s="6"/>
      <c r="IBM83" s="6"/>
      <c r="IBN83" s="6"/>
      <c r="IBO83" s="6"/>
      <c r="IBP83" s="6"/>
      <c r="IBQ83" s="6"/>
      <c r="IBR83" s="6"/>
      <c r="IBS83" s="6"/>
      <c r="IBT83" s="6"/>
      <c r="IBU83" s="6"/>
      <c r="IBV83" s="6"/>
      <c r="IBW83" s="6"/>
      <c r="IBX83" s="6"/>
      <c r="IBY83" s="6"/>
      <c r="IBZ83" s="6"/>
      <c r="ICA83" s="6"/>
      <c r="ICB83" s="6"/>
      <c r="ICC83" s="6"/>
      <c r="ICD83" s="6"/>
      <c r="ICE83" s="6"/>
      <c r="ICF83" s="6"/>
      <c r="ICG83" s="6"/>
      <c r="ICH83" s="6"/>
      <c r="ICI83" s="6"/>
      <c r="ICJ83" s="6"/>
      <c r="ICK83" s="6"/>
      <c r="ICL83" s="6"/>
      <c r="ICM83" s="6"/>
      <c r="ICN83" s="6"/>
      <c r="ICO83" s="6"/>
      <c r="ICP83" s="6"/>
      <c r="ICQ83" s="6"/>
      <c r="ICR83" s="6"/>
      <c r="ICS83" s="6"/>
      <c r="ICT83" s="6"/>
      <c r="ICU83" s="6"/>
      <c r="ICV83" s="6"/>
      <c r="ICW83" s="6"/>
      <c r="ICX83" s="6"/>
      <c r="ICY83" s="6"/>
      <c r="ICZ83" s="6"/>
      <c r="IDA83" s="6"/>
      <c r="IDB83" s="6"/>
      <c r="IDC83" s="6"/>
      <c r="IDD83" s="6"/>
      <c r="IDE83" s="6"/>
      <c r="IDF83" s="6"/>
      <c r="IDG83" s="6"/>
      <c r="IDH83" s="6"/>
      <c r="IDI83" s="6"/>
      <c r="IDJ83" s="6"/>
      <c r="IDK83" s="6"/>
      <c r="IDL83" s="6"/>
      <c r="IDM83" s="6"/>
      <c r="IDN83" s="6"/>
      <c r="IDO83" s="6"/>
      <c r="IDP83" s="6"/>
      <c r="IDQ83" s="6"/>
      <c r="IDR83" s="6"/>
      <c r="IDS83" s="6"/>
      <c r="IDT83" s="6"/>
      <c r="IDU83" s="6"/>
      <c r="IDV83" s="6"/>
      <c r="IDW83" s="6"/>
      <c r="IDX83" s="6"/>
      <c r="IDY83" s="6"/>
      <c r="IDZ83" s="6"/>
      <c r="IEA83" s="6"/>
      <c r="IEB83" s="6"/>
      <c r="IEC83" s="6"/>
      <c r="IED83" s="6"/>
      <c r="IEE83" s="6"/>
      <c r="IEF83" s="6"/>
      <c r="IEG83" s="6"/>
      <c r="IEH83" s="6"/>
      <c r="IEI83" s="6"/>
      <c r="IEJ83" s="6"/>
      <c r="IEK83" s="6"/>
      <c r="IEL83" s="6"/>
      <c r="IEM83" s="6"/>
      <c r="IEN83" s="6"/>
      <c r="IEO83" s="6"/>
      <c r="IEP83" s="6"/>
      <c r="IEQ83" s="6"/>
      <c r="IER83" s="6"/>
      <c r="IES83" s="6"/>
      <c r="IET83" s="6"/>
      <c r="IEU83" s="6"/>
      <c r="IEV83" s="6"/>
      <c r="IEW83" s="6"/>
      <c r="IEX83" s="6"/>
      <c r="IEY83" s="6"/>
      <c r="IEZ83" s="6"/>
      <c r="IFA83" s="6"/>
      <c r="IFB83" s="6"/>
      <c r="IFC83" s="6"/>
      <c r="IFD83" s="6"/>
      <c r="IFE83" s="6"/>
      <c r="IFF83" s="6"/>
      <c r="IFG83" s="6"/>
      <c r="IFH83" s="6"/>
      <c r="IFI83" s="6"/>
      <c r="IFJ83" s="6"/>
      <c r="IFK83" s="6"/>
      <c r="IFL83" s="6"/>
      <c r="IFM83" s="6"/>
      <c r="IFN83" s="6"/>
      <c r="IFO83" s="6"/>
      <c r="IFP83" s="6"/>
      <c r="IFQ83" s="6"/>
      <c r="IFR83" s="6"/>
      <c r="IFS83" s="6"/>
      <c r="IFT83" s="6"/>
      <c r="IFU83" s="6"/>
      <c r="IFV83" s="6"/>
      <c r="IFW83" s="6"/>
      <c r="IFX83" s="6"/>
      <c r="IFY83" s="6"/>
      <c r="IFZ83" s="6"/>
      <c r="IGA83" s="6"/>
      <c r="IGB83" s="6"/>
      <c r="IGC83" s="6"/>
      <c r="IGD83" s="6"/>
      <c r="IGE83" s="6"/>
      <c r="IGF83" s="6"/>
      <c r="IGG83" s="6"/>
      <c r="IGH83" s="6"/>
      <c r="IGI83" s="6"/>
      <c r="IGJ83" s="6"/>
      <c r="IGK83" s="6"/>
      <c r="IGL83" s="6"/>
      <c r="IGM83" s="6"/>
      <c r="IGN83" s="6"/>
      <c r="IGO83" s="6"/>
      <c r="IGP83" s="6"/>
      <c r="IGQ83" s="6"/>
      <c r="IGR83" s="6"/>
      <c r="IGS83" s="6"/>
      <c r="IGT83" s="6"/>
      <c r="IGU83" s="6"/>
      <c r="IGV83" s="6"/>
      <c r="IGW83" s="6"/>
      <c r="IGX83" s="6"/>
      <c r="IGY83" s="6"/>
      <c r="IGZ83" s="6"/>
      <c r="IHA83" s="6"/>
      <c r="IHB83" s="6"/>
      <c r="IHC83" s="6"/>
      <c r="IHD83" s="6"/>
      <c r="IHE83" s="6"/>
      <c r="IHF83" s="6"/>
      <c r="IHG83" s="6"/>
      <c r="IHH83" s="6"/>
      <c r="IHI83" s="6"/>
      <c r="IHJ83" s="6"/>
      <c r="IHK83" s="6"/>
      <c r="IHL83" s="6"/>
      <c r="IHM83" s="6"/>
      <c r="IHN83" s="6"/>
      <c r="IHO83" s="6"/>
      <c r="IHP83" s="6"/>
      <c r="IHQ83" s="6"/>
      <c r="IHR83" s="6"/>
      <c r="IHS83" s="6"/>
      <c r="IHT83" s="6"/>
      <c r="IHU83" s="6"/>
      <c r="IHV83" s="6"/>
      <c r="IHW83" s="6"/>
      <c r="IHX83" s="6"/>
      <c r="IHY83" s="6"/>
      <c r="IHZ83" s="6"/>
      <c r="IIA83" s="6"/>
      <c r="IIB83" s="6"/>
      <c r="IIC83" s="6"/>
      <c r="IID83" s="6"/>
      <c r="IIE83" s="6"/>
      <c r="IIF83" s="6"/>
      <c r="IIG83" s="6"/>
      <c r="IIH83" s="6"/>
      <c r="III83" s="6"/>
      <c r="IIJ83" s="6"/>
      <c r="IIK83" s="6"/>
      <c r="IIL83" s="6"/>
      <c r="IIM83" s="6"/>
      <c r="IIN83" s="6"/>
      <c r="IIO83" s="6"/>
      <c r="IIP83" s="6"/>
      <c r="IIQ83" s="6"/>
      <c r="IIR83" s="6"/>
      <c r="IIS83" s="6"/>
      <c r="IIT83" s="6"/>
      <c r="IIU83" s="6"/>
      <c r="IIV83" s="6"/>
      <c r="IIW83" s="6"/>
      <c r="IIX83" s="6"/>
      <c r="IIY83" s="6"/>
      <c r="IIZ83" s="6"/>
      <c r="IJA83" s="6"/>
      <c r="IJB83" s="6"/>
      <c r="IJC83" s="6"/>
      <c r="IJD83" s="6"/>
      <c r="IJE83" s="6"/>
      <c r="IJF83" s="6"/>
      <c r="IJG83" s="6"/>
      <c r="IJH83" s="6"/>
      <c r="IJI83" s="6"/>
      <c r="IJJ83" s="6"/>
      <c r="IJK83" s="6"/>
      <c r="IJL83" s="6"/>
      <c r="IJM83" s="6"/>
      <c r="IJN83" s="6"/>
      <c r="IJO83" s="6"/>
      <c r="IJP83" s="6"/>
      <c r="IJQ83" s="6"/>
      <c r="IJR83" s="6"/>
      <c r="IJS83" s="6"/>
      <c r="IJT83" s="6"/>
      <c r="IJU83" s="6"/>
      <c r="IJV83" s="6"/>
      <c r="IJW83" s="6"/>
      <c r="IJX83" s="6"/>
      <c r="IJY83" s="6"/>
      <c r="IJZ83" s="6"/>
      <c r="IKA83" s="6"/>
      <c r="IKB83" s="6"/>
      <c r="IKC83" s="6"/>
      <c r="IKD83" s="6"/>
      <c r="IKE83" s="6"/>
      <c r="IKF83" s="6"/>
      <c r="IKG83" s="6"/>
      <c r="IKH83" s="6"/>
      <c r="IKI83" s="6"/>
      <c r="IKJ83" s="6"/>
      <c r="IKK83" s="6"/>
      <c r="IKL83" s="6"/>
      <c r="IKM83" s="6"/>
      <c r="IKN83" s="6"/>
      <c r="IKO83" s="6"/>
      <c r="IKP83" s="6"/>
      <c r="IKQ83" s="6"/>
      <c r="IKR83" s="6"/>
      <c r="IKS83" s="6"/>
      <c r="IKT83" s="6"/>
      <c r="IKU83" s="6"/>
      <c r="IKV83" s="6"/>
      <c r="IKW83" s="6"/>
      <c r="IKX83" s="6"/>
      <c r="IKY83" s="6"/>
      <c r="IKZ83" s="6"/>
      <c r="ILA83" s="6"/>
      <c r="ILB83" s="6"/>
      <c r="ILC83" s="6"/>
      <c r="ILD83" s="6"/>
      <c r="ILE83" s="6"/>
      <c r="ILF83" s="6"/>
      <c r="ILG83" s="6"/>
      <c r="ILH83" s="6"/>
      <c r="ILI83" s="6"/>
      <c r="ILJ83" s="6"/>
      <c r="ILK83" s="6"/>
      <c r="ILL83" s="6"/>
      <c r="ILM83" s="6"/>
      <c r="ILN83" s="6"/>
      <c r="ILO83" s="6"/>
      <c r="ILP83" s="6"/>
      <c r="ILQ83" s="6"/>
      <c r="ILR83" s="6"/>
      <c r="ILS83" s="6"/>
      <c r="ILT83" s="6"/>
      <c r="ILU83" s="6"/>
      <c r="ILV83" s="6"/>
      <c r="ILW83" s="6"/>
      <c r="ILX83" s="6"/>
      <c r="ILY83" s="6"/>
      <c r="ILZ83" s="6"/>
      <c r="IMA83" s="6"/>
      <c r="IMB83" s="6"/>
      <c r="IMC83" s="6"/>
      <c r="IMD83" s="6"/>
      <c r="IME83" s="6"/>
      <c r="IMF83" s="6"/>
      <c r="IMG83" s="6"/>
      <c r="IMH83" s="6"/>
      <c r="IMI83" s="6"/>
      <c r="IMJ83" s="6"/>
      <c r="IMK83" s="6"/>
      <c r="IML83" s="6"/>
      <c r="IMM83" s="6"/>
      <c r="IMN83" s="6"/>
      <c r="IMO83" s="6"/>
      <c r="IMP83" s="6"/>
      <c r="IMQ83" s="6"/>
      <c r="IMR83" s="6"/>
      <c r="IMS83" s="6"/>
      <c r="IMT83" s="6"/>
      <c r="IMU83" s="6"/>
      <c r="IMV83" s="6"/>
      <c r="IMW83" s="6"/>
      <c r="IMX83" s="6"/>
      <c r="IMY83" s="6"/>
      <c r="IMZ83" s="6"/>
      <c r="INA83" s="6"/>
      <c r="INB83" s="6"/>
      <c r="INC83" s="6"/>
      <c r="IND83" s="6"/>
      <c r="INE83" s="6"/>
      <c r="INF83" s="6"/>
      <c r="ING83" s="6"/>
      <c r="INH83" s="6"/>
      <c r="INI83" s="6"/>
      <c r="INJ83" s="6"/>
      <c r="INK83" s="6"/>
      <c r="INL83" s="6"/>
      <c r="INM83" s="6"/>
      <c r="INN83" s="6"/>
      <c r="INO83" s="6"/>
      <c r="INP83" s="6"/>
      <c r="INQ83" s="6"/>
      <c r="INR83" s="6"/>
      <c r="INS83" s="6"/>
      <c r="INT83" s="6"/>
      <c r="INU83" s="6"/>
      <c r="INV83" s="6"/>
      <c r="INW83" s="6"/>
      <c r="INX83" s="6"/>
      <c r="INY83" s="6"/>
      <c r="INZ83" s="6"/>
      <c r="IOA83" s="6"/>
      <c r="IOB83" s="6"/>
      <c r="IOC83" s="6"/>
      <c r="IOD83" s="6"/>
      <c r="IOE83" s="6"/>
      <c r="IOF83" s="6"/>
      <c r="IOG83" s="6"/>
      <c r="IOH83" s="6"/>
      <c r="IOI83" s="6"/>
      <c r="IOJ83" s="6"/>
      <c r="IOK83" s="6"/>
      <c r="IOL83" s="6"/>
      <c r="IOM83" s="6"/>
      <c r="ION83" s="6"/>
      <c r="IOO83" s="6"/>
      <c r="IOP83" s="6"/>
      <c r="IOQ83" s="6"/>
      <c r="IOR83" s="6"/>
      <c r="IOS83" s="6"/>
      <c r="IOT83" s="6"/>
      <c r="IOU83" s="6"/>
      <c r="IOV83" s="6"/>
      <c r="IOW83" s="6"/>
      <c r="IOX83" s="6"/>
      <c r="IOY83" s="6"/>
      <c r="IOZ83" s="6"/>
      <c r="IPA83" s="6"/>
      <c r="IPB83" s="6"/>
      <c r="IPC83" s="6"/>
      <c r="IPD83" s="6"/>
      <c r="IPE83" s="6"/>
      <c r="IPF83" s="6"/>
      <c r="IPG83" s="6"/>
      <c r="IPH83" s="6"/>
      <c r="IPI83" s="6"/>
      <c r="IPJ83" s="6"/>
      <c r="IPK83" s="6"/>
      <c r="IPL83" s="6"/>
      <c r="IPM83" s="6"/>
      <c r="IPN83" s="6"/>
      <c r="IPO83" s="6"/>
      <c r="IPP83" s="6"/>
      <c r="IPQ83" s="6"/>
      <c r="IPR83" s="6"/>
      <c r="IPS83" s="6"/>
      <c r="IPT83" s="6"/>
      <c r="IPU83" s="6"/>
      <c r="IPV83" s="6"/>
      <c r="IPW83" s="6"/>
      <c r="IPX83" s="6"/>
      <c r="IPY83" s="6"/>
      <c r="IPZ83" s="6"/>
      <c r="IQA83" s="6"/>
      <c r="IQB83" s="6"/>
      <c r="IQC83" s="6"/>
      <c r="IQD83" s="6"/>
      <c r="IQE83" s="6"/>
      <c r="IQF83" s="6"/>
      <c r="IQG83" s="6"/>
      <c r="IQH83" s="6"/>
      <c r="IQI83" s="6"/>
      <c r="IQJ83" s="6"/>
      <c r="IQK83" s="6"/>
      <c r="IQL83" s="6"/>
      <c r="IQM83" s="6"/>
      <c r="IQN83" s="6"/>
      <c r="IQO83" s="6"/>
      <c r="IQP83" s="6"/>
      <c r="IQQ83" s="6"/>
      <c r="IQR83" s="6"/>
      <c r="IQS83" s="6"/>
      <c r="IQT83" s="6"/>
      <c r="IQU83" s="6"/>
      <c r="IQV83" s="6"/>
      <c r="IQW83" s="6"/>
      <c r="IQX83" s="6"/>
      <c r="IQY83" s="6"/>
      <c r="IQZ83" s="6"/>
      <c r="IRA83" s="6"/>
      <c r="IRB83" s="6"/>
      <c r="IRC83" s="6"/>
      <c r="IRD83" s="6"/>
      <c r="IRE83" s="6"/>
      <c r="IRF83" s="6"/>
      <c r="IRG83" s="6"/>
      <c r="IRH83" s="6"/>
      <c r="IRI83" s="6"/>
      <c r="IRJ83" s="6"/>
      <c r="IRK83" s="6"/>
      <c r="IRL83" s="6"/>
      <c r="IRM83" s="6"/>
      <c r="IRN83" s="6"/>
      <c r="IRO83" s="6"/>
      <c r="IRP83" s="6"/>
      <c r="IRQ83" s="6"/>
      <c r="IRR83" s="6"/>
      <c r="IRS83" s="6"/>
      <c r="IRT83" s="6"/>
      <c r="IRU83" s="6"/>
      <c r="IRV83" s="6"/>
      <c r="IRW83" s="6"/>
      <c r="IRX83" s="6"/>
      <c r="IRY83" s="6"/>
      <c r="IRZ83" s="6"/>
      <c r="ISA83" s="6"/>
      <c r="ISB83" s="6"/>
      <c r="ISC83" s="6"/>
      <c r="ISD83" s="6"/>
      <c r="ISE83" s="6"/>
      <c r="ISF83" s="6"/>
      <c r="ISG83" s="6"/>
      <c r="ISH83" s="6"/>
      <c r="ISI83" s="6"/>
      <c r="ISJ83" s="6"/>
      <c r="ISK83" s="6"/>
      <c r="ISL83" s="6"/>
      <c r="ISM83" s="6"/>
      <c r="ISN83" s="6"/>
      <c r="ISO83" s="6"/>
      <c r="ISP83" s="6"/>
      <c r="ISQ83" s="6"/>
      <c r="ISR83" s="6"/>
      <c r="ISS83" s="6"/>
      <c r="IST83" s="6"/>
      <c r="ISU83" s="6"/>
      <c r="ISV83" s="6"/>
      <c r="ISW83" s="6"/>
      <c r="ISX83" s="6"/>
      <c r="ISY83" s="6"/>
      <c r="ISZ83" s="6"/>
      <c r="ITA83" s="6"/>
      <c r="ITB83" s="6"/>
      <c r="ITC83" s="6"/>
      <c r="ITD83" s="6"/>
      <c r="ITE83" s="6"/>
      <c r="ITF83" s="6"/>
      <c r="ITG83" s="6"/>
      <c r="ITH83" s="6"/>
      <c r="ITI83" s="6"/>
      <c r="ITJ83" s="6"/>
      <c r="ITK83" s="6"/>
      <c r="ITL83" s="6"/>
      <c r="ITM83" s="6"/>
      <c r="ITN83" s="6"/>
      <c r="ITO83" s="6"/>
      <c r="ITP83" s="6"/>
      <c r="ITQ83" s="6"/>
      <c r="ITR83" s="6"/>
      <c r="ITS83" s="6"/>
      <c r="ITT83" s="6"/>
      <c r="ITU83" s="6"/>
      <c r="ITV83" s="6"/>
      <c r="ITW83" s="6"/>
      <c r="ITX83" s="6"/>
      <c r="ITY83" s="6"/>
      <c r="ITZ83" s="6"/>
      <c r="IUA83" s="6"/>
      <c r="IUB83" s="6"/>
      <c r="IUC83" s="6"/>
      <c r="IUD83" s="6"/>
      <c r="IUE83" s="6"/>
      <c r="IUF83" s="6"/>
      <c r="IUG83" s="6"/>
      <c r="IUH83" s="6"/>
      <c r="IUI83" s="6"/>
      <c r="IUJ83" s="6"/>
      <c r="IUK83" s="6"/>
      <c r="IUL83" s="6"/>
      <c r="IUM83" s="6"/>
      <c r="IUN83" s="6"/>
      <c r="IUO83" s="6"/>
      <c r="IUP83" s="6"/>
      <c r="IUQ83" s="6"/>
      <c r="IUR83" s="6"/>
      <c r="IUS83" s="6"/>
      <c r="IUT83" s="6"/>
      <c r="IUU83" s="6"/>
      <c r="IUV83" s="6"/>
      <c r="IUW83" s="6"/>
      <c r="IUX83" s="6"/>
      <c r="IUY83" s="6"/>
      <c r="IUZ83" s="6"/>
      <c r="IVA83" s="6"/>
      <c r="IVB83" s="6"/>
      <c r="IVC83" s="6"/>
      <c r="IVD83" s="6"/>
      <c r="IVE83" s="6"/>
      <c r="IVF83" s="6"/>
      <c r="IVG83" s="6"/>
      <c r="IVH83" s="6"/>
      <c r="IVI83" s="6"/>
      <c r="IVJ83" s="6"/>
      <c r="IVK83" s="6"/>
      <c r="IVL83" s="6"/>
      <c r="IVM83" s="6"/>
      <c r="IVN83" s="6"/>
      <c r="IVO83" s="6"/>
      <c r="IVP83" s="6"/>
      <c r="IVQ83" s="6"/>
      <c r="IVR83" s="6"/>
      <c r="IVS83" s="6"/>
      <c r="IVT83" s="6"/>
      <c r="IVU83" s="6"/>
      <c r="IVV83" s="6"/>
      <c r="IVW83" s="6"/>
      <c r="IVX83" s="6"/>
      <c r="IVY83" s="6"/>
      <c r="IVZ83" s="6"/>
      <c r="IWA83" s="6"/>
      <c r="IWB83" s="6"/>
      <c r="IWC83" s="6"/>
      <c r="IWD83" s="6"/>
      <c r="IWE83" s="6"/>
      <c r="IWF83" s="6"/>
      <c r="IWG83" s="6"/>
      <c r="IWH83" s="6"/>
      <c r="IWI83" s="6"/>
      <c r="IWJ83" s="6"/>
      <c r="IWK83" s="6"/>
      <c r="IWL83" s="6"/>
      <c r="IWM83" s="6"/>
      <c r="IWN83" s="6"/>
      <c r="IWO83" s="6"/>
      <c r="IWP83" s="6"/>
      <c r="IWQ83" s="6"/>
      <c r="IWR83" s="6"/>
      <c r="IWS83" s="6"/>
      <c r="IWT83" s="6"/>
      <c r="IWU83" s="6"/>
      <c r="IWV83" s="6"/>
      <c r="IWW83" s="6"/>
      <c r="IWX83" s="6"/>
      <c r="IWY83" s="6"/>
      <c r="IWZ83" s="6"/>
      <c r="IXA83" s="6"/>
      <c r="IXB83" s="6"/>
      <c r="IXC83" s="6"/>
      <c r="IXD83" s="6"/>
      <c r="IXE83" s="6"/>
      <c r="IXF83" s="6"/>
      <c r="IXG83" s="6"/>
      <c r="IXH83" s="6"/>
      <c r="IXI83" s="6"/>
      <c r="IXJ83" s="6"/>
      <c r="IXK83" s="6"/>
      <c r="IXL83" s="6"/>
      <c r="IXM83" s="6"/>
      <c r="IXN83" s="6"/>
      <c r="IXO83" s="6"/>
      <c r="IXP83" s="6"/>
      <c r="IXQ83" s="6"/>
      <c r="IXR83" s="6"/>
      <c r="IXS83" s="6"/>
      <c r="IXT83" s="6"/>
      <c r="IXU83" s="6"/>
      <c r="IXV83" s="6"/>
      <c r="IXW83" s="6"/>
      <c r="IXX83" s="6"/>
      <c r="IXY83" s="6"/>
      <c r="IXZ83" s="6"/>
      <c r="IYA83" s="6"/>
      <c r="IYB83" s="6"/>
      <c r="IYC83" s="6"/>
      <c r="IYD83" s="6"/>
      <c r="IYE83" s="6"/>
      <c r="IYF83" s="6"/>
      <c r="IYG83" s="6"/>
      <c r="IYH83" s="6"/>
      <c r="IYI83" s="6"/>
      <c r="IYJ83" s="6"/>
      <c r="IYK83" s="6"/>
      <c r="IYL83" s="6"/>
      <c r="IYM83" s="6"/>
      <c r="IYN83" s="6"/>
      <c r="IYO83" s="6"/>
      <c r="IYP83" s="6"/>
      <c r="IYQ83" s="6"/>
      <c r="IYR83" s="6"/>
      <c r="IYS83" s="6"/>
      <c r="IYT83" s="6"/>
      <c r="IYU83" s="6"/>
      <c r="IYV83" s="6"/>
      <c r="IYW83" s="6"/>
      <c r="IYX83" s="6"/>
      <c r="IYY83" s="6"/>
      <c r="IYZ83" s="6"/>
      <c r="IZA83" s="6"/>
      <c r="IZB83" s="6"/>
      <c r="IZC83" s="6"/>
      <c r="IZD83" s="6"/>
      <c r="IZE83" s="6"/>
      <c r="IZF83" s="6"/>
      <c r="IZG83" s="6"/>
      <c r="IZH83" s="6"/>
      <c r="IZI83" s="6"/>
      <c r="IZJ83" s="6"/>
      <c r="IZK83" s="6"/>
      <c r="IZL83" s="6"/>
      <c r="IZM83" s="6"/>
      <c r="IZN83" s="6"/>
      <c r="IZO83" s="6"/>
      <c r="IZP83" s="6"/>
      <c r="IZQ83" s="6"/>
      <c r="IZR83" s="6"/>
      <c r="IZS83" s="6"/>
      <c r="IZT83" s="6"/>
      <c r="IZU83" s="6"/>
      <c r="IZV83" s="6"/>
      <c r="IZW83" s="6"/>
      <c r="IZX83" s="6"/>
      <c r="IZY83" s="6"/>
      <c r="IZZ83" s="6"/>
      <c r="JAA83" s="6"/>
      <c r="JAB83" s="6"/>
      <c r="JAC83" s="6"/>
      <c r="JAD83" s="6"/>
      <c r="JAE83" s="6"/>
      <c r="JAF83" s="6"/>
      <c r="JAG83" s="6"/>
      <c r="JAH83" s="6"/>
      <c r="JAI83" s="6"/>
      <c r="JAJ83" s="6"/>
      <c r="JAK83" s="6"/>
      <c r="JAL83" s="6"/>
      <c r="JAM83" s="6"/>
      <c r="JAN83" s="6"/>
      <c r="JAO83" s="6"/>
      <c r="JAP83" s="6"/>
      <c r="JAQ83" s="6"/>
      <c r="JAR83" s="6"/>
      <c r="JAS83" s="6"/>
      <c r="JAT83" s="6"/>
      <c r="JAU83" s="6"/>
      <c r="JAV83" s="6"/>
      <c r="JAW83" s="6"/>
      <c r="JAX83" s="6"/>
      <c r="JAY83" s="6"/>
      <c r="JAZ83" s="6"/>
      <c r="JBA83" s="6"/>
      <c r="JBB83" s="6"/>
      <c r="JBC83" s="6"/>
      <c r="JBD83" s="6"/>
      <c r="JBE83" s="6"/>
      <c r="JBF83" s="6"/>
      <c r="JBG83" s="6"/>
      <c r="JBH83" s="6"/>
      <c r="JBI83" s="6"/>
      <c r="JBJ83" s="6"/>
      <c r="JBK83" s="6"/>
      <c r="JBL83" s="6"/>
      <c r="JBM83" s="6"/>
      <c r="JBN83" s="6"/>
      <c r="JBO83" s="6"/>
      <c r="JBP83" s="6"/>
      <c r="JBQ83" s="6"/>
      <c r="JBR83" s="6"/>
      <c r="JBS83" s="6"/>
      <c r="JBT83" s="6"/>
      <c r="JBU83" s="6"/>
      <c r="JBV83" s="6"/>
      <c r="JBW83" s="6"/>
      <c r="JBX83" s="6"/>
      <c r="JBY83" s="6"/>
      <c r="JBZ83" s="6"/>
      <c r="JCA83" s="6"/>
      <c r="JCB83" s="6"/>
      <c r="JCC83" s="6"/>
      <c r="JCD83" s="6"/>
      <c r="JCE83" s="6"/>
      <c r="JCF83" s="6"/>
      <c r="JCG83" s="6"/>
      <c r="JCH83" s="6"/>
      <c r="JCI83" s="6"/>
      <c r="JCJ83" s="6"/>
      <c r="JCK83" s="6"/>
      <c r="JCL83" s="6"/>
      <c r="JCM83" s="6"/>
      <c r="JCN83" s="6"/>
      <c r="JCO83" s="6"/>
      <c r="JCP83" s="6"/>
      <c r="JCQ83" s="6"/>
      <c r="JCR83" s="6"/>
      <c r="JCS83" s="6"/>
      <c r="JCT83" s="6"/>
      <c r="JCU83" s="6"/>
      <c r="JCV83" s="6"/>
      <c r="JCW83" s="6"/>
      <c r="JCX83" s="6"/>
      <c r="JCY83" s="6"/>
      <c r="JCZ83" s="6"/>
      <c r="JDA83" s="6"/>
      <c r="JDB83" s="6"/>
      <c r="JDC83" s="6"/>
      <c r="JDD83" s="6"/>
      <c r="JDE83" s="6"/>
      <c r="JDF83" s="6"/>
      <c r="JDG83" s="6"/>
      <c r="JDH83" s="6"/>
      <c r="JDI83" s="6"/>
      <c r="JDJ83" s="6"/>
      <c r="JDK83" s="6"/>
      <c r="JDL83" s="6"/>
      <c r="JDM83" s="6"/>
      <c r="JDN83" s="6"/>
      <c r="JDO83" s="6"/>
      <c r="JDP83" s="6"/>
      <c r="JDQ83" s="6"/>
      <c r="JDR83" s="6"/>
      <c r="JDS83" s="6"/>
      <c r="JDT83" s="6"/>
      <c r="JDU83" s="6"/>
      <c r="JDV83" s="6"/>
      <c r="JDW83" s="6"/>
      <c r="JDX83" s="6"/>
      <c r="JDY83" s="6"/>
      <c r="JDZ83" s="6"/>
      <c r="JEA83" s="6"/>
      <c r="JEB83" s="6"/>
      <c r="JEC83" s="6"/>
      <c r="JED83" s="6"/>
      <c r="JEE83" s="6"/>
      <c r="JEF83" s="6"/>
      <c r="JEG83" s="6"/>
      <c r="JEH83" s="6"/>
      <c r="JEI83" s="6"/>
      <c r="JEJ83" s="6"/>
      <c r="JEK83" s="6"/>
      <c r="JEL83" s="6"/>
      <c r="JEM83" s="6"/>
      <c r="JEN83" s="6"/>
      <c r="JEO83" s="6"/>
      <c r="JEP83" s="6"/>
      <c r="JEQ83" s="6"/>
      <c r="JER83" s="6"/>
      <c r="JES83" s="6"/>
      <c r="JET83" s="6"/>
      <c r="JEU83" s="6"/>
      <c r="JEV83" s="6"/>
      <c r="JEW83" s="6"/>
      <c r="JEX83" s="6"/>
      <c r="JEY83" s="6"/>
      <c r="JEZ83" s="6"/>
      <c r="JFA83" s="6"/>
      <c r="JFB83" s="6"/>
      <c r="JFC83" s="6"/>
      <c r="JFD83" s="6"/>
      <c r="JFE83" s="6"/>
      <c r="JFF83" s="6"/>
      <c r="JFG83" s="6"/>
      <c r="JFH83" s="6"/>
      <c r="JFI83" s="6"/>
      <c r="JFJ83" s="6"/>
      <c r="JFK83" s="6"/>
      <c r="JFL83" s="6"/>
      <c r="JFM83" s="6"/>
      <c r="JFN83" s="6"/>
      <c r="JFO83" s="6"/>
      <c r="JFP83" s="6"/>
      <c r="JFQ83" s="6"/>
      <c r="JFR83" s="6"/>
      <c r="JFS83" s="6"/>
      <c r="JFT83" s="6"/>
      <c r="JFU83" s="6"/>
      <c r="JFV83" s="6"/>
      <c r="JFW83" s="6"/>
      <c r="JFX83" s="6"/>
      <c r="JFY83" s="6"/>
      <c r="JFZ83" s="6"/>
      <c r="JGA83" s="6"/>
      <c r="JGB83" s="6"/>
      <c r="JGC83" s="6"/>
      <c r="JGD83" s="6"/>
      <c r="JGE83" s="6"/>
      <c r="JGF83" s="6"/>
      <c r="JGG83" s="6"/>
      <c r="JGH83" s="6"/>
      <c r="JGI83" s="6"/>
      <c r="JGJ83" s="6"/>
      <c r="JGK83" s="6"/>
      <c r="JGL83" s="6"/>
      <c r="JGM83" s="6"/>
      <c r="JGN83" s="6"/>
      <c r="JGO83" s="6"/>
      <c r="JGP83" s="6"/>
      <c r="JGQ83" s="6"/>
      <c r="JGR83" s="6"/>
      <c r="JGS83" s="6"/>
      <c r="JGT83" s="6"/>
      <c r="JGU83" s="6"/>
      <c r="JGV83" s="6"/>
      <c r="JGW83" s="6"/>
      <c r="JGX83" s="6"/>
      <c r="JGY83" s="6"/>
      <c r="JGZ83" s="6"/>
      <c r="JHA83" s="6"/>
      <c r="JHB83" s="6"/>
      <c r="JHC83" s="6"/>
      <c r="JHD83" s="6"/>
      <c r="JHE83" s="6"/>
      <c r="JHF83" s="6"/>
      <c r="JHG83" s="6"/>
      <c r="JHH83" s="6"/>
      <c r="JHI83" s="6"/>
      <c r="JHJ83" s="6"/>
      <c r="JHK83" s="6"/>
      <c r="JHL83" s="6"/>
      <c r="JHM83" s="6"/>
      <c r="JHN83" s="6"/>
      <c r="JHO83" s="6"/>
      <c r="JHP83" s="6"/>
      <c r="JHQ83" s="6"/>
      <c r="JHR83" s="6"/>
      <c r="JHS83" s="6"/>
      <c r="JHT83" s="6"/>
      <c r="JHU83" s="6"/>
      <c r="JHV83" s="6"/>
      <c r="JHW83" s="6"/>
      <c r="JHX83" s="6"/>
      <c r="JHY83" s="6"/>
      <c r="JHZ83" s="6"/>
      <c r="JIA83" s="6"/>
      <c r="JIB83" s="6"/>
      <c r="JIC83" s="6"/>
      <c r="JID83" s="6"/>
      <c r="JIE83" s="6"/>
      <c r="JIF83" s="6"/>
      <c r="JIG83" s="6"/>
      <c r="JIH83" s="6"/>
      <c r="JII83" s="6"/>
      <c r="JIJ83" s="6"/>
      <c r="JIK83" s="6"/>
      <c r="JIL83" s="6"/>
      <c r="JIM83" s="6"/>
      <c r="JIN83" s="6"/>
      <c r="JIO83" s="6"/>
      <c r="JIP83" s="6"/>
      <c r="JIQ83" s="6"/>
      <c r="JIR83" s="6"/>
      <c r="JIS83" s="6"/>
      <c r="JIT83" s="6"/>
      <c r="JIU83" s="6"/>
      <c r="JIV83" s="6"/>
      <c r="JIW83" s="6"/>
      <c r="JIX83" s="6"/>
      <c r="JIY83" s="6"/>
      <c r="JIZ83" s="6"/>
      <c r="JJA83" s="6"/>
      <c r="JJB83" s="6"/>
      <c r="JJC83" s="6"/>
      <c r="JJD83" s="6"/>
      <c r="JJE83" s="6"/>
      <c r="JJF83" s="6"/>
      <c r="JJG83" s="6"/>
      <c r="JJH83" s="6"/>
      <c r="JJI83" s="6"/>
      <c r="JJJ83" s="6"/>
      <c r="JJK83" s="6"/>
      <c r="JJL83" s="6"/>
      <c r="JJM83" s="6"/>
      <c r="JJN83" s="6"/>
      <c r="JJO83" s="6"/>
      <c r="JJP83" s="6"/>
      <c r="JJQ83" s="6"/>
      <c r="JJR83" s="6"/>
      <c r="JJS83" s="6"/>
      <c r="JJT83" s="6"/>
      <c r="JJU83" s="6"/>
      <c r="JJV83" s="6"/>
      <c r="JJW83" s="6"/>
      <c r="JJX83" s="6"/>
      <c r="JJY83" s="6"/>
      <c r="JJZ83" s="6"/>
      <c r="JKA83" s="6"/>
      <c r="JKB83" s="6"/>
      <c r="JKC83" s="6"/>
      <c r="JKD83" s="6"/>
      <c r="JKE83" s="6"/>
      <c r="JKF83" s="6"/>
      <c r="JKG83" s="6"/>
      <c r="JKH83" s="6"/>
      <c r="JKI83" s="6"/>
      <c r="JKJ83" s="6"/>
      <c r="JKK83" s="6"/>
      <c r="JKL83" s="6"/>
      <c r="JKM83" s="6"/>
      <c r="JKN83" s="6"/>
      <c r="JKO83" s="6"/>
      <c r="JKP83" s="6"/>
      <c r="JKQ83" s="6"/>
      <c r="JKR83" s="6"/>
      <c r="JKS83" s="6"/>
      <c r="JKT83" s="6"/>
      <c r="JKU83" s="6"/>
      <c r="JKV83" s="6"/>
      <c r="JKW83" s="6"/>
      <c r="JKX83" s="6"/>
      <c r="JKY83" s="6"/>
      <c r="JKZ83" s="6"/>
      <c r="JLA83" s="6"/>
      <c r="JLB83" s="6"/>
      <c r="JLC83" s="6"/>
      <c r="JLD83" s="6"/>
      <c r="JLE83" s="6"/>
      <c r="JLF83" s="6"/>
      <c r="JLG83" s="6"/>
      <c r="JLH83" s="6"/>
      <c r="JLI83" s="6"/>
      <c r="JLJ83" s="6"/>
      <c r="JLK83" s="6"/>
      <c r="JLL83" s="6"/>
      <c r="JLM83" s="6"/>
      <c r="JLN83" s="6"/>
      <c r="JLO83" s="6"/>
      <c r="JLP83" s="6"/>
      <c r="JLQ83" s="6"/>
      <c r="JLR83" s="6"/>
      <c r="JLS83" s="6"/>
      <c r="JLT83" s="6"/>
      <c r="JLU83" s="6"/>
      <c r="JLV83" s="6"/>
      <c r="JLW83" s="6"/>
      <c r="JLX83" s="6"/>
      <c r="JLY83" s="6"/>
      <c r="JLZ83" s="6"/>
      <c r="JMA83" s="6"/>
      <c r="JMB83" s="6"/>
      <c r="JMC83" s="6"/>
      <c r="JMD83" s="6"/>
      <c r="JME83" s="6"/>
      <c r="JMF83" s="6"/>
      <c r="JMG83" s="6"/>
      <c r="JMH83" s="6"/>
      <c r="JMI83" s="6"/>
      <c r="JMJ83" s="6"/>
      <c r="JMK83" s="6"/>
      <c r="JML83" s="6"/>
      <c r="JMM83" s="6"/>
      <c r="JMN83" s="6"/>
      <c r="JMO83" s="6"/>
      <c r="JMP83" s="6"/>
      <c r="JMQ83" s="6"/>
      <c r="JMR83" s="6"/>
      <c r="JMS83" s="6"/>
      <c r="JMT83" s="6"/>
      <c r="JMU83" s="6"/>
      <c r="JMV83" s="6"/>
      <c r="JMW83" s="6"/>
      <c r="JMX83" s="6"/>
      <c r="JMY83" s="6"/>
      <c r="JMZ83" s="6"/>
      <c r="JNA83" s="6"/>
      <c r="JNB83" s="6"/>
      <c r="JNC83" s="6"/>
      <c r="JND83" s="6"/>
      <c r="JNE83" s="6"/>
      <c r="JNF83" s="6"/>
      <c r="JNG83" s="6"/>
      <c r="JNH83" s="6"/>
      <c r="JNI83" s="6"/>
      <c r="JNJ83" s="6"/>
      <c r="JNK83" s="6"/>
      <c r="JNL83" s="6"/>
      <c r="JNM83" s="6"/>
      <c r="JNN83" s="6"/>
      <c r="JNO83" s="6"/>
      <c r="JNP83" s="6"/>
      <c r="JNQ83" s="6"/>
      <c r="JNR83" s="6"/>
      <c r="JNS83" s="6"/>
      <c r="JNT83" s="6"/>
      <c r="JNU83" s="6"/>
      <c r="JNV83" s="6"/>
      <c r="JNW83" s="6"/>
      <c r="JNX83" s="6"/>
      <c r="JNY83" s="6"/>
      <c r="JNZ83" s="6"/>
      <c r="JOA83" s="6"/>
      <c r="JOB83" s="6"/>
      <c r="JOC83" s="6"/>
      <c r="JOD83" s="6"/>
      <c r="JOE83" s="6"/>
      <c r="JOF83" s="6"/>
      <c r="JOG83" s="6"/>
      <c r="JOH83" s="6"/>
      <c r="JOI83" s="6"/>
      <c r="JOJ83" s="6"/>
      <c r="JOK83" s="6"/>
      <c r="JOL83" s="6"/>
      <c r="JOM83" s="6"/>
      <c r="JON83" s="6"/>
      <c r="JOO83" s="6"/>
      <c r="JOP83" s="6"/>
      <c r="JOQ83" s="6"/>
      <c r="JOR83" s="6"/>
      <c r="JOS83" s="6"/>
      <c r="JOT83" s="6"/>
      <c r="JOU83" s="6"/>
      <c r="JOV83" s="6"/>
      <c r="JOW83" s="6"/>
      <c r="JOX83" s="6"/>
      <c r="JOY83" s="6"/>
      <c r="JOZ83" s="6"/>
      <c r="JPA83" s="6"/>
      <c r="JPB83" s="6"/>
      <c r="JPC83" s="6"/>
      <c r="JPD83" s="6"/>
      <c r="JPE83" s="6"/>
      <c r="JPF83" s="6"/>
      <c r="JPG83" s="6"/>
      <c r="JPH83" s="6"/>
      <c r="JPI83" s="6"/>
      <c r="JPJ83" s="6"/>
      <c r="JPK83" s="6"/>
      <c r="JPL83" s="6"/>
      <c r="JPM83" s="6"/>
      <c r="JPN83" s="6"/>
      <c r="JPO83" s="6"/>
      <c r="JPP83" s="6"/>
      <c r="JPQ83" s="6"/>
      <c r="JPR83" s="6"/>
      <c r="JPS83" s="6"/>
      <c r="JPT83" s="6"/>
      <c r="JPU83" s="6"/>
      <c r="JPV83" s="6"/>
      <c r="JPW83" s="6"/>
      <c r="JPX83" s="6"/>
      <c r="JPY83" s="6"/>
      <c r="JPZ83" s="6"/>
      <c r="JQA83" s="6"/>
      <c r="JQB83" s="6"/>
      <c r="JQC83" s="6"/>
      <c r="JQD83" s="6"/>
      <c r="JQE83" s="6"/>
      <c r="JQF83" s="6"/>
      <c r="JQG83" s="6"/>
      <c r="JQH83" s="6"/>
      <c r="JQI83" s="6"/>
      <c r="JQJ83" s="6"/>
      <c r="JQK83" s="6"/>
      <c r="JQL83" s="6"/>
      <c r="JQM83" s="6"/>
      <c r="JQN83" s="6"/>
      <c r="JQO83" s="6"/>
      <c r="JQP83" s="6"/>
      <c r="JQQ83" s="6"/>
      <c r="JQR83" s="6"/>
      <c r="JQS83" s="6"/>
      <c r="JQT83" s="6"/>
      <c r="JQU83" s="6"/>
      <c r="JQV83" s="6"/>
      <c r="JQW83" s="6"/>
      <c r="JQX83" s="6"/>
      <c r="JQY83" s="6"/>
      <c r="JQZ83" s="6"/>
      <c r="JRA83" s="6"/>
      <c r="JRB83" s="6"/>
      <c r="JRC83" s="6"/>
      <c r="JRD83" s="6"/>
      <c r="JRE83" s="6"/>
      <c r="JRF83" s="6"/>
      <c r="JRG83" s="6"/>
      <c r="JRH83" s="6"/>
      <c r="JRI83" s="6"/>
      <c r="JRJ83" s="6"/>
      <c r="JRK83" s="6"/>
      <c r="JRL83" s="6"/>
      <c r="JRM83" s="6"/>
      <c r="JRN83" s="6"/>
      <c r="JRO83" s="6"/>
      <c r="JRP83" s="6"/>
      <c r="JRQ83" s="6"/>
      <c r="JRR83" s="6"/>
      <c r="JRS83" s="6"/>
      <c r="JRT83" s="6"/>
      <c r="JRU83" s="6"/>
      <c r="JRV83" s="6"/>
      <c r="JRW83" s="6"/>
      <c r="JRX83" s="6"/>
      <c r="JRY83" s="6"/>
      <c r="JRZ83" s="6"/>
      <c r="JSA83" s="6"/>
      <c r="JSB83" s="6"/>
      <c r="JSC83" s="6"/>
      <c r="JSD83" s="6"/>
      <c r="JSE83" s="6"/>
      <c r="JSF83" s="6"/>
      <c r="JSG83" s="6"/>
      <c r="JSH83" s="6"/>
      <c r="JSI83" s="6"/>
      <c r="JSJ83" s="6"/>
      <c r="JSK83" s="6"/>
      <c r="JSL83" s="6"/>
      <c r="JSM83" s="6"/>
      <c r="JSN83" s="6"/>
      <c r="JSO83" s="6"/>
      <c r="JSP83" s="6"/>
      <c r="JSQ83" s="6"/>
      <c r="JSR83" s="6"/>
      <c r="JSS83" s="6"/>
      <c r="JST83" s="6"/>
      <c r="JSU83" s="6"/>
      <c r="JSV83" s="6"/>
      <c r="JSW83" s="6"/>
      <c r="JSX83" s="6"/>
      <c r="JSY83" s="6"/>
      <c r="JSZ83" s="6"/>
      <c r="JTA83" s="6"/>
      <c r="JTB83" s="6"/>
      <c r="JTC83" s="6"/>
      <c r="JTD83" s="6"/>
      <c r="JTE83" s="6"/>
      <c r="JTF83" s="6"/>
      <c r="JTG83" s="6"/>
      <c r="JTH83" s="6"/>
      <c r="JTI83" s="6"/>
      <c r="JTJ83" s="6"/>
      <c r="JTK83" s="6"/>
      <c r="JTL83" s="6"/>
      <c r="JTM83" s="6"/>
      <c r="JTN83" s="6"/>
      <c r="JTO83" s="6"/>
      <c r="JTP83" s="6"/>
      <c r="JTQ83" s="6"/>
      <c r="JTR83" s="6"/>
      <c r="JTS83" s="6"/>
      <c r="JTT83" s="6"/>
      <c r="JTU83" s="6"/>
      <c r="JTV83" s="6"/>
      <c r="JTW83" s="6"/>
      <c r="JTX83" s="6"/>
      <c r="JTY83" s="6"/>
      <c r="JTZ83" s="6"/>
      <c r="JUA83" s="6"/>
      <c r="JUB83" s="6"/>
      <c r="JUC83" s="6"/>
      <c r="JUD83" s="6"/>
      <c r="JUE83" s="6"/>
      <c r="JUF83" s="6"/>
      <c r="JUG83" s="6"/>
      <c r="JUH83" s="6"/>
      <c r="JUI83" s="6"/>
      <c r="JUJ83" s="6"/>
      <c r="JUK83" s="6"/>
      <c r="JUL83" s="6"/>
      <c r="JUM83" s="6"/>
      <c r="JUN83" s="6"/>
      <c r="JUO83" s="6"/>
      <c r="JUP83" s="6"/>
      <c r="JUQ83" s="6"/>
      <c r="JUR83" s="6"/>
      <c r="JUS83" s="6"/>
      <c r="JUT83" s="6"/>
      <c r="JUU83" s="6"/>
      <c r="JUV83" s="6"/>
      <c r="JUW83" s="6"/>
      <c r="JUX83" s="6"/>
      <c r="JUY83" s="6"/>
      <c r="JUZ83" s="6"/>
      <c r="JVA83" s="6"/>
      <c r="JVB83" s="6"/>
      <c r="JVC83" s="6"/>
      <c r="JVD83" s="6"/>
      <c r="JVE83" s="6"/>
      <c r="JVF83" s="6"/>
      <c r="JVG83" s="6"/>
      <c r="JVH83" s="6"/>
      <c r="JVI83" s="6"/>
      <c r="JVJ83" s="6"/>
      <c r="JVK83" s="6"/>
      <c r="JVL83" s="6"/>
      <c r="JVM83" s="6"/>
      <c r="JVN83" s="6"/>
      <c r="JVO83" s="6"/>
      <c r="JVP83" s="6"/>
      <c r="JVQ83" s="6"/>
      <c r="JVR83" s="6"/>
      <c r="JVS83" s="6"/>
      <c r="JVT83" s="6"/>
      <c r="JVU83" s="6"/>
      <c r="JVV83" s="6"/>
      <c r="JVW83" s="6"/>
      <c r="JVX83" s="6"/>
      <c r="JVY83" s="6"/>
      <c r="JVZ83" s="6"/>
      <c r="JWA83" s="6"/>
      <c r="JWB83" s="6"/>
      <c r="JWC83" s="6"/>
      <c r="JWD83" s="6"/>
      <c r="JWE83" s="6"/>
      <c r="JWF83" s="6"/>
      <c r="JWG83" s="6"/>
      <c r="JWH83" s="6"/>
      <c r="JWI83" s="6"/>
      <c r="JWJ83" s="6"/>
      <c r="JWK83" s="6"/>
      <c r="JWL83" s="6"/>
      <c r="JWM83" s="6"/>
      <c r="JWN83" s="6"/>
      <c r="JWO83" s="6"/>
      <c r="JWP83" s="6"/>
      <c r="JWQ83" s="6"/>
      <c r="JWR83" s="6"/>
      <c r="JWS83" s="6"/>
      <c r="JWT83" s="6"/>
      <c r="JWU83" s="6"/>
      <c r="JWV83" s="6"/>
      <c r="JWW83" s="6"/>
      <c r="JWX83" s="6"/>
      <c r="JWY83" s="6"/>
      <c r="JWZ83" s="6"/>
      <c r="JXA83" s="6"/>
      <c r="JXB83" s="6"/>
      <c r="JXC83" s="6"/>
      <c r="JXD83" s="6"/>
      <c r="JXE83" s="6"/>
      <c r="JXF83" s="6"/>
      <c r="JXG83" s="6"/>
      <c r="JXH83" s="6"/>
      <c r="JXI83" s="6"/>
      <c r="JXJ83" s="6"/>
      <c r="JXK83" s="6"/>
      <c r="JXL83" s="6"/>
      <c r="JXM83" s="6"/>
      <c r="JXN83" s="6"/>
      <c r="JXO83" s="6"/>
      <c r="JXP83" s="6"/>
      <c r="JXQ83" s="6"/>
      <c r="JXR83" s="6"/>
      <c r="JXS83" s="6"/>
      <c r="JXT83" s="6"/>
      <c r="JXU83" s="6"/>
      <c r="JXV83" s="6"/>
      <c r="JXW83" s="6"/>
      <c r="JXX83" s="6"/>
      <c r="JXY83" s="6"/>
      <c r="JXZ83" s="6"/>
      <c r="JYA83" s="6"/>
      <c r="JYB83" s="6"/>
      <c r="JYC83" s="6"/>
      <c r="JYD83" s="6"/>
      <c r="JYE83" s="6"/>
      <c r="JYF83" s="6"/>
      <c r="JYG83" s="6"/>
      <c r="JYH83" s="6"/>
      <c r="JYI83" s="6"/>
      <c r="JYJ83" s="6"/>
      <c r="JYK83" s="6"/>
      <c r="JYL83" s="6"/>
      <c r="JYM83" s="6"/>
      <c r="JYN83" s="6"/>
      <c r="JYO83" s="6"/>
      <c r="JYP83" s="6"/>
      <c r="JYQ83" s="6"/>
      <c r="JYR83" s="6"/>
      <c r="JYS83" s="6"/>
      <c r="JYT83" s="6"/>
      <c r="JYU83" s="6"/>
      <c r="JYV83" s="6"/>
      <c r="JYW83" s="6"/>
      <c r="JYX83" s="6"/>
      <c r="JYY83" s="6"/>
      <c r="JYZ83" s="6"/>
      <c r="JZA83" s="6"/>
      <c r="JZB83" s="6"/>
      <c r="JZC83" s="6"/>
      <c r="JZD83" s="6"/>
      <c r="JZE83" s="6"/>
      <c r="JZF83" s="6"/>
      <c r="JZG83" s="6"/>
      <c r="JZH83" s="6"/>
      <c r="JZI83" s="6"/>
      <c r="JZJ83" s="6"/>
      <c r="JZK83" s="6"/>
      <c r="JZL83" s="6"/>
      <c r="JZM83" s="6"/>
      <c r="JZN83" s="6"/>
      <c r="JZO83" s="6"/>
      <c r="JZP83" s="6"/>
      <c r="JZQ83" s="6"/>
      <c r="JZR83" s="6"/>
      <c r="JZS83" s="6"/>
      <c r="JZT83" s="6"/>
      <c r="JZU83" s="6"/>
      <c r="JZV83" s="6"/>
      <c r="JZW83" s="6"/>
      <c r="JZX83" s="6"/>
      <c r="JZY83" s="6"/>
      <c r="JZZ83" s="6"/>
      <c r="KAA83" s="6"/>
      <c r="KAB83" s="6"/>
      <c r="KAC83" s="6"/>
      <c r="KAD83" s="6"/>
      <c r="KAE83" s="6"/>
      <c r="KAF83" s="6"/>
      <c r="KAG83" s="6"/>
      <c r="KAH83" s="6"/>
      <c r="KAI83" s="6"/>
      <c r="KAJ83" s="6"/>
      <c r="KAK83" s="6"/>
      <c r="KAL83" s="6"/>
      <c r="KAM83" s="6"/>
      <c r="KAN83" s="6"/>
      <c r="KAO83" s="6"/>
      <c r="KAP83" s="6"/>
      <c r="KAQ83" s="6"/>
      <c r="KAR83" s="6"/>
      <c r="KAS83" s="6"/>
      <c r="KAT83" s="6"/>
      <c r="KAU83" s="6"/>
      <c r="KAV83" s="6"/>
      <c r="KAW83" s="6"/>
      <c r="KAX83" s="6"/>
      <c r="KAY83" s="6"/>
      <c r="KAZ83" s="6"/>
      <c r="KBA83" s="6"/>
      <c r="KBB83" s="6"/>
      <c r="KBC83" s="6"/>
      <c r="KBD83" s="6"/>
      <c r="KBE83" s="6"/>
      <c r="KBF83" s="6"/>
      <c r="KBG83" s="6"/>
      <c r="KBH83" s="6"/>
      <c r="KBI83" s="6"/>
      <c r="KBJ83" s="6"/>
      <c r="KBK83" s="6"/>
      <c r="KBL83" s="6"/>
      <c r="KBM83" s="6"/>
      <c r="KBN83" s="6"/>
      <c r="KBO83" s="6"/>
      <c r="KBP83" s="6"/>
      <c r="KBQ83" s="6"/>
      <c r="KBR83" s="6"/>
      <c r="KBS83" s="6"/>
      <c r="KBT83" s="6"/>
      <c r="KBU83" s="6"/>
      <c r="KBV83" s="6"/>
      <c r="KBW83" s="6"/>
      <c r="KBX83" s="6"/>
      <c r="KBY83" s="6"/>
      <c r="KBZ83" s="6"/>
      <c r="KCA83" s="6"/>
      <c r="KCB83" s="6"/>
      <c r="KCC83" s="6"/>
      <c r="KCD83" s="6"/>
      <c r="KCE83" s="6"/>
      <c r="KCF83" s="6"/>
      <c r="KCG83" s="6"/>
      <c r="KCH83" s="6"/>
      <c r="KCI83" s="6"/>
      <c r="KCJ83" s="6"/>
      <c r="KCK83" s="6"/>
      <c r="KCL83" s="6"/>
      <c r="KCM83" s="6"/>
      <c r="KCN83" s="6"/>
      <c r="KCO83" s="6"/>
      <c r="KCP83" s="6"/>
      <c r="KCQ83" s="6"/>
      <c r="KCR83" s="6"/>
      <c r="KCS83" s="6"/>
      <c r="KCT83" s="6"/>
      <c r="KCU83" s="6"/>
      <c r="KCV83" s="6"/>
      <c r="KCW83" s="6"/>
      <c r="KCX83" s="6"/>
      <c r="KCY83" s="6"/>
      <c r="KCZ83" s="6"/>
      <c r="KDA83" s="6"/>
      <c r="KDB83" s="6"/>
      <c r="KDC83" s="6"/>
      <c r="KDD83" s="6"/>
      <c r="KDE83" s="6"/>
      <c r="KDF83" s="6"/>
      <c r="KDG83" s="6"/>
      <c r="KDH83" s="6"/>
      <c r="KDI83" s="6"/>
      <c r="KDJ83" s="6"/>
      <c r="KDK83" s="6"/>
      <c r="KDL83" s="6"/>
      <c r="KDM83" s="6"/>
      <c r="KDN83" s="6"/>
      <c r="KDO83" s="6"/>
      <c r="KDP83" s="6"/>
      <c r="KDQ83" s="6"/>
      <c r="KDR83" s="6"/>
      <c r="KDS83" s="6"/>
      <c r="KDT83" s="6"/>
      <c r="KDU83" s="6"/>
      <c r="KDV83" s="6"/>
      <c r="KDW83" s="6"/>
      <c r="KDX83" s="6"/>
      <c r="KDY83" s="6"/>
      <c r="KDZ83" s="6"/>
      <c r="KEA83" s="6"/>
      <c r="KEB83" s="6"/>
      <c r="KEC83" s="6"/>
      <c r="KED83" s="6"/>
      <c r="KEE83" s="6"/>
      <c r="KEF83" s="6"/>
      <c r="KEG83" s="6"/>
      <c r="KEH83" s="6"/>
      <c r="KEI83" s="6"/>
      <c r="KEJ83" s="6"/>
      <c r="KEK83" s="6"/>
      <c r="KEL83" s="6"/>
      <c r="KEM83" s="6"/>
      <c r="KEN83" s="6"/>
      <c r="KEO83" s="6"/>
      <c r="KEP83" s="6"/>
      <c r="KEQ83" s="6"/>
      <c r="KER83" s="6"/>
      <c r="KES83" s="6"/>
      <c r="KET83" s="6"/>
      <c r="KEU83" s="6"/>
      <c r="KEV83" s="6"/>
      <c r="KEW83" s="6"/>
      <c r="KEX83" s="6"/>
      <c r="KEY83" s="6"/>
      <c r="KEZ83" s="6"/>
      <c r="KFA83" s="6"/>
      <c r="KFB83" s="6"/>
      <c r="KFC83" s="6"/>
      <c r="KFD83" s="6"/>
      <c r="KFE83" s="6"/>
      <c r="KFF83" s="6"/>
      <c r="KFG83" s="6"/>
      <c r="KFH83" s="6"/>
      <c r="KFI83" s="6"/>
      <c r="KFJ83" s="6"/>
      <c r="KFK83" s="6"/>
      <c r="KFL83" s="6"/>
      <c r="KFM83" s="6"/>
      <c r="KFN83" s="6"/>
      <c r="KFO83" s="6"/>
      <c r="KFP83" s="6"/>
      <c r="KFQ83" s="6"/>
      <c r="KFR83" s="6"/>
      <c r="KFS83" s="6"/>
      <c r="KFT83" s="6"/>
      <c r="KFU83" s="6"/>
      <c r="KFV83" s="6"/>
      <c r="KFW83" s="6"/>
      <c r="KFX83" s="6"/>
      <c r="KFY83" s="6"/>
      <c r="KFZ83" s="6"/>
      <c r="KGA83" s="6"/>
      <c r="KGB83" s="6"/>
      <c r="KGC83" s="6"/>
      <c r="KGD83" s="6"/>
      <c r="KGE83" s="6"/>
      <c r="KGF83" s="6"/>
      <c r="KGG83" s="6"/>
      <c r="KGH83" s="6"/>
      <c r="KGI83" s="6"/>
      <c r="KGJ83" s="6"/>
      <c r="KGK83" s="6"/>
      <c r="KGL83" s="6"/>
      <c r="KGM83" s="6"/>
      <c r="KGN83" s="6"/>
      <c r="KGO83" s="6"/>
      <c r="KGP83" s="6"/>
      <c r="KGQ83" s="6"/>
      <c r="KGR83" s="6"/>
      <c r="KGS83" s="6"/>
      <c r="KGT83" s="6"/>
      <c r="KGU83" s="6"/>
      <c r="KGV83" s="6"/>
      <c r="KGW83" s="6"/>
      <c r="KGX83" s="6"/>
      <c r="KGY83" s="6"/>
      <c r="KGZ83" s="6"/>
      <c r="KHA83" s="6"/>
      <c r="KHB83" s="6"/>
      <c r="KHC83" s="6"/>
      <c r="KHD83" s="6"/>
      <c r="KHE83" s="6"/>
      <c r="KHF83" s="6"/>
      <c r="KHG83" s="6"/>
      <c r="KHH83" s="6"/>
      <c r="KHI83" s="6"/>
      <c r="KHJ83" s="6"/>
      <c r="KHK83" s="6"/>
      <c r="KHL83" s="6"/>
      <c r="KHM83" s="6"/>
      <c r="KHN83" s="6"/>
      <c r="KHO83" s="6"/>
      <c r="KHP83" s="6"/>
      <c r="KHQ83" s="6"/>
      <c r="KHR83" s="6"/>
      <c r="KHS83" s="6"/>
      <c r="KHT83" s="6"/>
      <c r="KHU83" s="6"/>
      <c r="KHV83" s="6"/>
      <c r="KHW83" s="6"/>
      <c r="KHX83" s="6"/>
      <c r="KHY83" s="6"/>
      <c r="KHZ83" s="6"/>
      <c r="KIA83" s="6"/>
      <c r="KIB83" s="6"/>
      <c r="KIC83" s="6"/>
      <c r="KID83" s="6"/>
      <c r="KIE83" s="6"/>
      <c r="KIF83" s="6"/>
      <c r="KIG83" s="6"/>
      <c r="KIH83" s="6"/>
      <c r="KII83" s="6"/>
      <c r="KIJ83" s="6"/>
      <c r="KIK83" s="6"/>
      <c r="KIL83" s="6"/>
      <c r="KIM83" s="6"/>
      <c r="KIN83" s="6"/>
      <c r="KIO83" s="6"/>
      <c r="KIP83" s="6"/>
      <c r="KIQ83" s="6"/>
      <c r="KIR83" s="6"/>
      <c r="KIS83" s="6"/>
      <c r="KIT83" s="6"/>
      <c r="KIU83" s="6"/>
      <c r="KIV83" s="6"/>
      <c r="KIW83" s="6"/>
      <c r="KIX83" s="6"/>
      <c r="KIY83" s="6"/>
      <c r="KIZ83" s="6"/>
      <c r="KJA83" s="6"/>
      <c r="KJB83" s="6"/>
      <c r="KJC83" s="6"/>
      <c r="KJD83" s="6"/>
      <c r="KJE83" s="6"/>
      <c r="KJF83" s="6"/>
      <c r="KJG83" s="6"/>
      <c r="KJH83" s="6"/>
      <c r="KJI83" s="6"/>
      <c r="KJJ83" s="6"/>
      <c r="KJK83" s="6"/>
      <c r="KJL83" s="6"/>
      <c r="KJM83" s="6"/>
      <c r="KJN83" s="6"/>
      <c r="KJO83" s="6"/>
      <c r="KJP83" s="6"/>
      <c r="KJQ83" s="6"/>
      <c r="KJR83" s="6"/>
      <c r="KJS83" s="6"/>
      <c r="KJT83" s="6"/>
      <c r="KJU83" s="6"/>
      <c r="KJV83" s="6"/>
      <c r="KJW83" s="6"/>
      <c r="KJX83" s="6"/>
      <c r="KJY83" s="6"/>
      <c r="KJZ83" s="6"/>
      <c r="KKA83" s="6"/>
      <c r="KKB83" s="6"/>
      <c r="KKC83" s="6"/>
      <c r="KKD83" s="6"/>
      <c r="KKE83" s="6"/>
      <c r="KKF83" s="6"/>
      <c r="KKG83" s="6"/>
      <c r="KKH83" s="6"/>
      <c r="KKI83" s="6"/>
      <c r="KKJ83" s="6"/>
      <c r="KKK83" s="6"/>
      <c r="KKL83" s="6"/>
      <c r="KKM83" s="6"/>
      <c r="KKN83" s="6"/>
      <c r="KKO83" s="6"/>
      <c r="KKP83" s="6"/>
      <c r="KKQ83" s="6"/>
      <c r="KKR83" s="6"/>
      <c r="KKS83" s="6"/>
      <c r="KKT83" s="6"/>
      <c r="KKU83" s="6"/>
      <c r="KKV83" s="6"/>
      <c r="KKW83" s="6"/>
      <c r="KKX83" s="6"/>
      <c r="KKY83" s="6"/>
      <c r="KKZ83" s="6"/>
      <c r="KLA83" s="6"/>
      <c r="KLB83" s="6"/>
      <c r="KLC83" s="6"/>
      <c r="KLD83" s="6"/>
      <c r="KLE83" s="6"/>
      <c r="KLF83" s="6"/>
      <c r="KLG83" s="6"/>
      <c r="KLH83" s="6"/>
      <c r="KLI83" s="6"/>
      <c r="KLJ83" s="6"/>
      <c r="KLK83" s="6"/>
      <c r="KLL83" s="6"/>
      <c r="KLM83" s="6"/>
      <c r="KLN83" s="6"/>
      <c r="KLO83" s="6"/>
      <c r="KLP83" s="6"/>
      <c r="KLQ83" s="6"/>
      <c r="KLR83" s="6"/>
      <c r="KLS83" s="6"/>
      <c r="KLT83" s="6"/>
      <c r="KLU83" s="6"/>
      <c r="KLV83" s="6"/>
      <c r="KLW83" s="6"/>
      <c r="KLX83" s="6"/>
      <c r="KLY83" s="6"/>
      <c r="KLZ83" s="6"/>
      <c r="KMA83" s="6"/>
      <c r="KMB83" s="6"/>
      <c r="KMC83" s="6"/>
      <c r="KMD83" s="6"/>
      <c r="KME83" s="6"/>
      <c r="KMF83" s="6"/>
      <c r="KMG83" s="6"/>
      <c r="KMH83" s="6"/>
      <c r="KMI83" s="6"/>
      <c r="KMJ83" s="6"/>
      <c r="KMK83" s="6"/>
      <c r="KML83" s="6"/>
      <c r="KMM83" s="6"/>
      <c r="KMN83" s="6"/>
      <c r="KMO83" s="6"/>
      <c r="KMP83" s="6"/>
      <c r="KMQ83" s="6"/>
      <c r="KMR83" s="6"/>
      <c r="KMS83" s="6"/>
      <c r="KMT83" s="6"/>
      <c r="KMU83" s="6"/>
      <c r="KMV83" s="6"/>
      <c r="KMW83" s="6"/>
      <c r="KMX83" s="6"/>
      <c r="KMY83" s="6"/>
      <c r="KMZ83" s="6"/>
      <c r="KNA83" s="6"/>
      <c r="KNB83" s="6"/>
      <c r="KNC83" s="6"/>
      <c r="KND83" s="6"/>
      <c r="KNE83" s="6"/>
      <c r="KNF83" s="6"/>
      <c r="KNG83" s="6"/>
      <c r="KNH83" s="6"/>
      <c r="KNI83" s="6"/>
      <c r="KNJ83" s="6"/>
      <c r="KNK83" s="6"/>
      <c r="KNL83" s="6"/>
      <c r="KNM83" s="6"/>
      <c r="KNN83" s="6"/>
      <c r="KNO83" s="6"/>
      <c r="KNP83" s="6"/>
      <c r="KNQ83" s="6"/>
      <c r="KNR83" s="6"/>
      <c r="KNS83" s="6"/>
      <c r="KNT83" s="6"/>
      <c r="KNU83" s="6"/>
      <c r="KNV83" s="6"/>
      <c r="KNW83" s="6"/>
      <c r="KNX83" s="6"/>
      <c r="KNY83" s="6"/>
      <c r="KNZ83" s="6"/>
      <c r="KOA83" s="6"/>
      <c r="KOB83" s="6"/>
      <c r="KOC83" s="6"/>
      <c r="KOD83" s="6"/>
      <c r="KOE83" s="6"/>
      <c r="KOF83" s="6"/>
      <c r="KOG83" s="6"/>
      <c r="KOH83" s="6"/>
      <c r="KOI83" s="6"/>
      <c r="KOJ83" s="6"/>
      <c r="KOK83" s="6"/>
      <c r="KOL83" s="6"/>
      <c r="KOM83" s="6"/>
      <c r="KON83" s="6"/>
      <c r="KOO83" s="6"/>
      <c r="KOP83" s="6"/>
      <c r="KOQ83" s="6"/>
      <c r="KOR83" s="6"/>
      <c r="KOS83" s="6"/>
      <c r="KOT83" s="6"/>
      <c r="KOU83" s="6"/>
      <c r="KOV83" s="6"/>
      <c r="KOW83" s="6"/>
      <c r="KOX83" s="6"/>
      <c r="KOY83" s="6"/>
      <c r="KOZ83" s="6"/>
      <c r="KPA83" s="6"/>
      <c r="KPB83" s="6"/>
      <c r="KPC83" s="6"/>
      <c r="KPD83" s="6"/>
      <c r="KPE83" s="6"/>
      <c r="KPF83" s="6"/>
      <c r="KPG83" s="6"/>
      <c r="KPH83" s="6"/>
      <c r="KPI83" s="6"/>
      <c r="KPJ83" s="6"/>
      <c r="KPK83" s="6"/>
      <c r="KPL83" s="6"/>
      <c r="KPM83" s="6"/>
      <c r="KPN83" s="6"/>
      <c r="KPO83" s="6"/>
      <c r="KPP83" s="6"/>
      <c r="KPQ83" s="6"/>
      <c r="KPR83" s="6"/>
      <c r="KPS83" s="6"/>
      <c r="KPT83" s="6"/>
      <c r="KPU83" s="6"/>
      <c r="KPV83" s="6"/>
      <c r="KPW83" s="6"/>
      <c r="KPX83" s="6"/>
      <c r="KPY83" s="6"/>
      <c r="KPZ83" s="6"/>
      <c r="KQA83" s="6"/>
      <c r="KQB83" s="6"/>
      <c r="KQC83" s="6"/>
      <c r="KQD83" s="6"/>
      <c r="KQE83" s="6"/>
      <c r="KQF83" s="6"/>
      <c r="KQG83" s="6"/>
      <c r="KQH83" s="6"/>
      <c r="KQI83" s="6"/>
      <c r="KQJ83" s="6"/>
      <c r="KQK83" s="6"/>
      <c r="KQL83" s="6"/>
      <c r="KQM83" s="6"/>
      <c r="KQN83" s="6"/>
      <c r="KQO83" s="6"/>
      <c r="KQP83" s="6"/>
      <c r="KQQ83" s="6"/>
      <c r="KQR83" s="6"/>
      <c r="KQS83" s="6"/>
      <c r="KQT83" s="6"/>
      <c r="KQU83" s="6"/>
      <c r="KQV83" s="6"/>
      <c r="KQW83" s="6"/>
      <c r="KQX83" s="6"/>
      <c r="KQY83" s="6"/>
      <c r="KQZ83" s="6"/>
      <c r="KRA83" s="6"/>
      <c r="KRB83" s="6"/>
      <c r="KRC83" s="6"/>
      <c r="KRD83" s="6"/>
      <c r="KRE83" s="6"/>
      <c r="KRF83" s="6"/>
      <c r="KRG83" s="6"/>
      <c r="KRH83" s="6"/>
      <c r="KRI83" s="6"/>
      <c r="KRJ83" s="6"/>
      <c r="KRK83" s="6"/>
      <c r="KRL83" s="6"/>
      <c r="KRM83" s="6"/>
      <c r="KRN83" s="6"/>
      <c r="KRO83" s="6"/>
      <c r="KRP83" s="6"/>
      <c r="KRQ83" s="6"/>
      <c r="KRR83" s="6"/>
      <c r="KRS83" s="6"/>
      <c r="KRT83" s="6"/>
      <c r="KRU83" s="6"/>
      <c r="KRV83" s="6"/>
      <c r="KRW83" s="6"/>
      <c r="KRX83" s="6"/>
      <c r="KRY83" s="6"/>
      <c r="KRZ83" s="6"/>
      <c r="KSA83" s="6"/>
      <c r="KSB83" s="6"/>
      <c r="KSC83" s="6"/>
      <c r="KSD83" s="6"/>
      <c r="KSE83" s="6"/>
      <c r="KSF83" s="6"/>
      <c r="KSG83" s="6"/>
      <c r="KSH83" s="6"/>
      <c r="KSI83" s="6"/>
      <c r="KSJ83" s="6"/>
      <c r="KSK83" s="6"/>
      <c r="KSL83" s="6"/>
      <c r="KSM83" s="6"/>
      <c r="KSN83" s="6"/>
      <c r="KSO83" s="6"/>
      <c r="KSP83" s="6"/>
      <c r="KSQ83" s="6"/>
      <c r="KSR83" s="6"/>
      <c r="KSS83" s="6"/>
      <c r="KST83" s="6"/>
      <c r="KSU83" s="6"/>
      <c r="KSV83" s="6"/>
      <c r="KSW83" s="6"/>
      <c r="KSX83" s="6"/>
      <c r="KSY83" s="6"/>
      <c r="KSZ83" s="6"/>
      <c r="KTA83" s="6"/>
      <c r="KTB83" s="6"/>
      <c r="KTC83" s="6"/>
      <c r="KTD83" s="6"/>
      <c r="KTE83" s="6"/>
      <c r="KTF83" s="6"/>
      <c r="KTG83" s="6"/>
      <c r="KTH83" s="6"/>
      <c r="KTI83" s="6"/>
      <c r="KTJ83" s="6"/>
      <c r="KTK83" s="6"/>
      <c r="KTL83" s="6"/>
      <c r="KTM83" s="6"/>
      <c r="KTN83" s="6"/>
      <c r="KTO83" s="6"/>
      <c r="KTP83" s="6"/>
      <c r="KTQ83" s="6"/>
      <c r="KTR83" s="6"/>
      <c r="KTS83" s="6"/>
      <c r="KTT83" s="6"/>
      <c r="KTU83" s="6"/>
      <c r="KTV83" s="6"/>
      <c r="KTW83" s="6"/>
      <c r="KTX83" s="6"/>
      <c r="KTY83" s="6"/>
      <c r="KTZ83" s="6"/>
      <c r="KUA83" s="6"/>
      <c r="KUB83" s="6"/>
      <c r="KUC83" s="6"/>
      <c r="KUD83" s="6"/>
      <c r="KUE83" s="6"/>
      <c r="KUF83" s="6"/>
      <c r="KUG83" s="6"/>
      <c r="KUH83" s="6"/>
      <c r="KUI83" s="6"/>
      <c r="KUJ83" s="6"/>
      <c r="KUK83" s="6"/>
      <c r="KUL83" s="6"/>
      <c r="KUM83" s="6"/>
      <c r="KUN83" s="6"/>
      <c r="KUO83" s="6"/>
      <c r="KUP83" s="6"/>
      <c r="KUQ83" s="6"/>
      <c r="KUR83" s="6"/>
      <c r="KUS83" s="6"/>
      <c r="KUT83" s="6"/>
      <c r="KUU83" s="6"/>
      <c r="KUV83" s="6"/>
      <c r="KUW83" s="6"/>
      <c r="KUX83" s="6"/>
      <c r="KUY83" s="6"/>
      <c r="KUZ83" s="6"/>
      <c r="KVA83" s="6"/>
      <c r="KVB83" s="6"/>
      <c r="KVC83" s="6"/>
      <c r="KVD83" s="6"/>
      <c r="KVE83" s="6"/>
      <c r="KVF83" s="6"/>
      <c r="KVG83" s="6"/>
      <c r="KVH83" s="6"/>
      <c r="KVI83" s="6"/>
      <c r="KVJ83" s="6"/>
      <c r="KVK83" s="6"/>
      <c r="KVL83" s="6"/>
      <c r="KVM83" s="6"/>
      <c r="KVN83" s="6"/>
      <c r="KVO83" s="6"/>
      <c r="KVP83" s="6"/>
      <c r="KVQ83" s="6"/>
      <c r="KVR83" s="6"/>
      <c r="KVS83" s="6"/>
      <c r="KVT83" s="6"/>
      <c r="KVU83" s="6"/>
      <c r="KVV83" s="6"/>
      <c r="KVW83" s="6"/>
      <c r="KVX83" s="6"/>
      <c r="KVY83" s="6"/>
      <c r="KVZ83" s="6"/>
      <c r="KWA83" s="6"/>
      <c r="KWB83" s="6"/>
      <c r="KWC83" s="6"/>
      <c r="KWD83" s="6"/>
      <c r="KWE83" s="6"/>
      <c r="KWF83" s="6"/>
      <c r="KWG83" s="6"/>
      <c r="KWH83" s="6"/>
      <c r="KWI83" s="6"/>
      <c r="KWJ83" s="6"/>
      <c r="KWK83" s="6"/>
      <c r="KWL83" s="6"/>
      <c r="KWM83" s="6"/>
      <c r="KWN83" s="6"/>
      <c r="KWO83" s="6"/>
      <c r="KWP83" s="6"/>
      <c r="KWQ83" s="6"/>
      <c r="KWR83" s="6"/>
      <c r="KWS83" s="6"/>
      <c r="KWT83" s="6"/>
      <c r="KWU83" s="6"/>
      <c r="KWV83" s="6"/>
      <c r="KWW83" s="6"/>
      <c r="KWX83" s="6"/>
      <c r="KWY83" s="6"/>
      <c r="KWZ83" s="6"/>
      <c r="KXA83" s="6"/>
      <c r="KXB83" s="6"/>
      <c r="KXC83" s="6"/>
      <c r="KXD83" s="6"/>
      <c r="KXE83" s="6"/>
      <c r="KXF83" s="6"/>
      <c r="KXG83" s="6"/>
      <c r="KXH83" s="6"/>
      <c r="KXI83" s="6"/>
      <c r="KXJ83" s="6"/>
      <c r="KXK83" s="6"/>
      <c r="KXL83" s="6"/>
      <c r="KXM83" s="6"/>
      <c r="KXN83" s="6"/>
      <c r="KXO83" s="6"/>
      <c r="KXP83" s="6"/>
      <c r="KXQ83" s="6"/>
      <c r="KXR83" s="6"/>
      <c r="KXS83" s="6"/>
      <c r="KXT83" s="6"/>
      <c r="KXU83" s="6"/>
      <c r="KXV83" s="6"/>
      <c r="KXW83" s="6"/>
      <c r="KXX83" s="6"/>
      <c r="KXY83" s="6"/>
      <c r="KXZ83" s="6"/>
      <c r="KYA83" s="6"/>
      <c r="KYB83" s="6"/>
      <c r="KYC83" s="6"/>
      <c r="KYD83" s="6"/>
      <c r="KYE83" s="6"/>
      <c r="KYF83" s="6"/>
      <c r="KYG83" s="6"/>
      <c r="KYH83" s="6"/>
      <c r="KYI83" s="6"/>
      <c r="KYJ83" s="6"/>
      <c r="KYK83" s="6"/>
      <c r="KYL83" s="6"/>
      <c r="KYM83" s="6"/>
      <c r="KYN83" s="6"/>
      <c r="KYO83" s="6"/>
      <c r="KYP83" s="6"/>
      <c r="KYQ83" s="6"/>
      <c r="KYR83" s="6"/>
      <c r="KYS83" s="6"/>
      <c r="KYT83" s="6"/>
      <c r="KYU83" s="6"/>
      <c r="KYV83" s="6"/>
      <c r="KYW83" s="6"/>
      <c r="KYX83" s="6"/>
      <c r="KYY83" s="6"/>
      <c r="KYZ83" s="6"/>
      <c r="KZA83" s="6"/>
      <c r="KZB83" s="6"/>
      <c r="KZC83" s="6"/>
      <c r="KZD83" s="6"/>
      <c r="KZE83" s="6"/>
      <c r="KZF83" s="6"/>
      <c r="KZG83" s="6"/>
      <c r="KZH83" s="6"/>
      <c r="KZI83" s="6"/>
      <c r="KZJ83" s="6"/>
      <c r="KZK83" s="6"/>
      <c r="KZL83" s="6"/>
      <c r="KZM83" s="6"/>
      <c r="KZN83" s="6"/>
      <c r="KZO83" s="6"/>
      <c r="KZP83" s="6"/>
      <c r="KZQ83" s="6"/>
      <c r="KZR83" s="6"/>
      <c r="KZS83" s="6"/>
      <c r="KZT83" s="6"/>
      <c r="KZU83" s="6"/>
      <c r="KZV83" s="6"/>
      <c r="KZW83" s="6"/>
      <c r="KZX83" s="6"/>
      <c r="KZY83" s="6"/>
      <c r="KZZ83" s="6"/>
      <c r="LAA83" s="6"/>
      <c r="LAB83" s="6"/>
      <c r="LAC83" s="6"/>
      <c r="LAD83" s="6"/>
      <c r="LAE83" s="6"/>
      <c r="LAF83" s="6"/>
      <c r="LAG83" s="6"/>
      <c r="LAH83" s="6"/>
      <c r="LAI83" s="6"/>
      <c r="LAJ83" s="6"/>
      <c r="LAK83" s="6"/>
      <c r="LAL83" s="6"/>
      <c r="LAM83" s="6"/>
      <c r="LAN83" s="6"/>
      <c r="LAO83" s="6"/>
      <c r="LAP83" s="6"/>
      <c r="LAQ83" s="6"/>
      <c r="LAR83" s="6"/>
      <c r="LAS83" s="6"/>
      <c r="LAT83" s="6"/>
      <c r="LAU83" s="6"/>
      <c r="LAV83" s="6"/>
      <c r="LAW83" s="6"/>
      <c r="LAX83" s="6"/>
      <c r="LAY83" s="6"/>
      <c r="LAZ83" s="6"/>
      <c r="LBA83" s="6"/>
      <c r="LBB83" s="6"/>
      <c r="LBC83" s="6"/>
      <c r="LBD83" s="6"/>
      <c r="LBE83" s="6"/>
      <c r="LBF83" s="6"/>
      <c r="LBG83" s="6"/>
      <c r="LBH83" s="6"/>
      <c r="LBI83" s="6"/>
      <c r="LBJ83" s="6"/>
      <c r="LBK83" s="6"/>
      <c r="LBL83" s="6"/>
      <c r="LBM83" s="6"/>
      <c r="LBN83" s="6"/>
      <c r="LBO83" s="6"/>
      <c r="LBP83" s="6"/>
      <c r="LBQ83" s="6"/>
      <c r="LBR83" s="6"/>
      <c r="LBS83" s="6"/>
      <c r="LBT83" s="6"/>
      <c r="LBU83" s="6"/>
      <c r="LBV83" s="6"/>
      <c r="LBW83" s="6"/>
      <c r="LBX83" s="6"/>
      <c r="LBY83" s="6"/>
      <c r="LBZ83" s="6"/>
      <c r="LCA83" s="6"/>
      <c r="LCB83" s="6"/>
      <c r="LCC83" s="6"/>
      <c r="LCD83" s="6"/>
      <c r="LCE83" s="6"/>
      <c r="LCF83" s="6"/>
      <c r="LCG83" s="6"/>
      <c r="LCH83" s="6"/>
      <c r="LCI83" s="6"/>
      <c r="LCJ83" s="6"/>
      <c r="LCK83" s="6"/>
      <c r="LCL83" s="6"/>
      <c r="LCM83" s="6"/>
      <c r="LCN83" s="6"/>
      <c r="LCO83" s="6"/>
      <c r="LCP83" s="6"/>
      <c r="LCQ83" s="6"/>
      <c r="LCR83" s="6"/>
      <c r="LCS83" s="6"/>
      <c r="LCT83" s="6"/>
      <c r="LCU83" s="6"/>
      <c r="LCV83" s="6"/>
      <c r="LCW83" s="6"/>
      <c r="LCX83" s="6"/>
      <c r="LCY83" s="6"/>
      <c r="LCZ83" s="6"/>
      <c r="LDA83" s="6"/>
      <c r="LDB83" s="6"/>
      <c r="LDC83" s="6"/>
      <c r="LDD83" s="6"/>
      <c r="LDE83" s="6"/>
      <c r="LDF83" s="6"/>
      <c r="LDG83" s="6"/>
      <c r="LDH83" s="6"/>
      <c r="LDI83" s="6"/>
      <c r="LDJ83" s="6"/>
      <c r="LDK83" s="6"/>
      <c r="LDL83" s="6"/>
      <c r="LDM83" s="6"/>
      <c r="LDN83" s="6"/>
      <c r="LDO83" s="6"/>
      <c r="LDP83" s="6"/>
      <c r="LDQ83" s="6"/>
      <c r="LDR83" s="6"/>
      <c r="LDS83" s="6"/>
      <c r="LDT83" s="6"/>
      <c r="LDU83" s="6"/>
      <c r="LDV83" s="6"/>
      <c r="LDW83" s="6"/>
      <c r="LDX83" s="6"/>
      <c r="LDY83" s="6"/>
      <c r="LDZ83" s="6"/>
      <c r="LEA83" s="6"/>
      <c r="LEB83" s="6"/>
      <c r="LEC83" s="6"/>
      <c r="LED83" s="6"/>
      <c r="LEE83" s="6"/>
      <c r="LEF83" s="6"/>
      <c r="LEG83" s="6"/>
      <c r="LEH83" s="6"/>
      <c r="LEI83" s="6"/>
      <c r="LEJ83" s="6"/>
      <c r="LEK83" s="6"/>
      <c r="LEL83" s="6"/>
      <c r="LEM83" s="6"/>
      <c r="LEN83" s="6"/>
      <c r="LEO83" s="6"/>
      <c r="LEP83" s="6"/>
      <c r="LEQ83" s="6"/>
      <c r="LER83" s="6"/>
      <c r="LES83" s="6"/>
      <c r="LET83" s="6"/>
      <c r="LEU83" s="6"/>
      <c r="LEV83" s="6"/>
      <c r="LEW83" s="6"/>
      <c r="LEX83" s="6"/>
      <c r="LEY83" s="6"/>
      <c r="LEZ83" s="6"/>
      <c r="LFA83" s="6"/>
      <c r="LFB83" s="6"/>
      <c r="LFC83" s="6"/>
      <c r="LFD83" s="6"/>
      <c r="LFE83" s="6"/>
      <c r="LFF83" s="6"/>
      <c r="LFG83" s="6"/>
      <c r="LFH83" s="6"/>
      <c r="LFI83" s="6"/>
      <c r="LFJ83" s="6"/>
      <c r="LFK83" s="6"/>
      <c r="LFL83" s="6"/>
      <c r="LFM83" s="6"/>
      <c r="LFN83" s="6"/>
      <c r="LFO83" s="6"/>
      <c r="LFP83" s="6"/>
      <c r="LFQ83" s="6"/>
      <c r="LFR83" s="6"/>
      <c r="LFS83" s="6"/>
      <c r="LFT83" s="6"/>
      <c r="LFU83" s="6"/>
      <c r="LFV83" s="6"/>
      <c r="LFW83" s="6"/>
      <c r="LFX83" s="6"/>
      <c r="LFY83" s="6"/>
      <c r="LFZ83" s="6"/>
      <c r="LGA83" s="6"/>
      <c r="LGB83" s="6"/>
      <c r="LGC83" s="6"/>
      <c r="LGD83" s="6"/>
      <c r="LGE83" s="6"/>
      <c r="LGF83" s="6"/>
      <c r="LGG83" s="6"/>
      <c r="LGH83" s="6"/>
      <c r="LGI83" s="6"/>
      <c r="LGJ83" s="6"/>
      <c r="LGK83" s="6"/>
      <c r="LGL83" s="6"/>
      <c r="LGM83" s="6"/>
      <c r="LGN83" s="6"/>
      <c r="LGO83" s="6"/>
      <c r="LGP83" s="6"/>
      <c r="LGQ83" s="6"/>
      <c r="LGR83" s="6"/>
      <c r="LGS83" s="6"/>
      <c r="LGT83" s="6"/>
      <c r="LGU83" s="6"/>
      <c r="LGV83" s="6"/>
      <c r="LGW83" s="6"/>
      <c r="LGX83" s="6"/>
      <c r="LGY83" s="6"/>
      <c r="LGZ83" s="6"/>
      <c r="LHA83" s="6"/>
      <c r="LHB83" s="6"/>
      <c r="LHC83" s="6"/>
      <c r="LHD83" s="6"/>
      <c r="LHE83" s="6"/>
      <c r="LHF83" s="6"/>
      <c r="LHG83" s="6"/>
      <c r="LHH83" s="6"/>
      <c r="LHI83" s="6"/>
      <c r="LHJ83" s="6"/>
      <c r="LHK83" s="6"/>
      <c r="LHL83" s="6"/>
      <c r="LHM83" s="6"/>
      <c r="LHN83" s="6"/>
      <c r="LHO83" s="6"/>
      <c r="LHP83" s="6"/>
      <c r="LHQ83" s="6"/>
      <c r="LHR83" s="6"/>
      <c r="LHS83" s="6"/>
      <c r="LHT83" s="6"/>
      <c r="LHU83" s="6"/>
      <c r="LHV83" s="6"/>
      <c r="LHW83" s="6"/>
      <c r="LHX83" s="6"/>
      <c r="LHY83" s="6"/>
      <c r="LHZ83" s="6"/>
      <c r="LIA83" s="6"/>
      <c r="LIB83" s="6"/>
      <c r="LIC83" s="6"/>
      <c r="LID83" s="6"/>
      <c r="LIE83" s="6"/>
      <c r="LIF83" s="6"/>
      <c r="LIG83" s="6"/>
      <c r="LIH83" s="6"/>
      <c r="LII83" s="6"/>
      <c r="LIJ83" s="6"/>
      <c r="LIK83" s="6"/>
      <c r="LIL83" s="6"/>
      <c r="LIM83" s="6"/>
      <c r="LIN83" s="6"/>
      <c r="LIO83" s="6"/>
      <c r="LIP83" s="6"/>
      <c r="LIQ83" s="6"/>
      <c r="LIR83" s="6"/>
      <c r="LIS83" s="6"/>
      <c r="LIT83" s="6"/>
      <c r="LIU83" s="6"/>
      <c r="LIV83" s="6"/>
      <c r="LIW83" s="6"/>
      <c r="LIX83" s="6"/>
      <c r="LIY83" s="6"/>
      <c r="LIZ83" s="6"/>
      <c r="LJA83" s="6"/>
      <c r="LJB83" s="6"/>
      <c r="LJC83" s="6"/>
      <c r="LJD83" s="6"/>
      <c r="LJE83" s="6"/>
      <c r="LJF83" s="6"/>
      <c r="LJG83" s="6"/>
      <c r="LJH83" s="6"/>
      <c r="LJI83" s="6"/>
      <c r="LJJ83" s="6"/>
      <c r="LJK83" s="6"/>
      <c r="LJL83" s="6"/>
      <c r="LJM83" s="6"/>
      <c r="LJN83" s="6"/>
      <c r="LJO83" s="6"/>
      <c r="LJP83" s="6"/>
      <c r="LJQ83" s="6"/>
      <c r="LJR83" s="6"/>
      <c r="LJS83" s="6"/>
      <c r="LJT83" s="6"/>
      <c r="LJU83" s="6"/>
      <c r="LJV83" s="6"/>
      <c r="LJW83" s="6"/>
      <c r="LJX83" s="6"/>
      <c r="LJY83" s="6"/>
      <c r="LJZ83" s="6"/>
      <c r="LKA83" s="6"/>
      <c r="LKB83" s="6"/>
      <c r="LKC83" s="6"/>
      <c r="LKD83" s="6"/>
      <c r="LKE83" s="6"/>
      <c r="LKF83" s="6"/>
      <c r="LKG83" s="6"/>
      <c r="LKH83" s="6"/>
      <c r="LKI83" s="6"/>
      <c r="LKJ83" s="6"/>
      <c r="LKK83" s="6"/>
      <c r="LKL83" s="6"/>
      <c r="LKM83" s="6"/>
      <c r="LKN83" s="6"/>
      <c r="LKO83" s="6"/>
      <c r="LKP83" s="6"/>
      <c r="LKQ83" s="6"/>
      <c r="LKR83" s="6"/>
      <c r="LKS83" s="6"/>
      <c r="LKT83" s="6"/>
      <c r="LKU83" s="6"/>
      <c r="LKV83" s="6"/>
      <c r="LKW83" s="6"/>
      <c r="LKX83" s="6"/>
      <c r="LKY83" s="6"/>
      <c r="LKZ83" s="6"/>
      <c r="LLA83" s="6"/>
      <c r="LLB83" s="6"/>
      <c r="LLC83" s="6"/>
      <c r="LLD83" s="6"/>
      <c r="LLE83" s="6"/>
      <c r="LLF83" s="6"/>
      <c r="LLG83" s="6"/>
      <c r="LLH83" s="6"/>
      <c r="LLI83" s="6"/>
      <c r="LLJ83" s="6"/>
      <c r="LLK83" s="6"/>
      <c r="LLL83" s="6"/>
      <c r="LLM83" s="6"/>
      <c r="LLN83" s="6"/>
      <c r="LLO83" s="6"/>
      <c r="LLP83" s="6"/>
      <c r="LLQ83" s="6"/>
      <c r="LLR83" s="6"/>
      <c r="LLS83" s="6"/>
      <c r="LLT83" s="6"/>
      <c r="LLU83" s="6"/>
      <c r="LLV83" s="6"/>
      <c r="LLW83" s="6"/>
      <c r="LLX83" s="6"/>
      <c r="LLY83" s="6"/>
      <c r="LLZ83" s="6"/>
      <c r="LMA83" s="6"/>
      <c r="LMB83" s="6"/>
      <c r="LMC83" s="6"/>
      <c r="LMD83" s="6"/>
      <c r="LME83" s="6"/>
      <c r="LMF83" s="6"/>
      <c r="LMG83" s="6"/>
      <c r="LMH83" s="6"/>
      <c r="LMI83" s="6"/>
      <c r="LMJ83" s="6"/>
      <c r="LMK83" s="6"/>
      <c r="LML83" s="6"/>
      <c r="LMM83" s="6"/>
      <c r="LMN83" s="6"/>
      <c r="LMO83" s="6"/>
      <c r="LMP83" s="6"/>
      <c r="LMQ83" s="6"/>
      <c r="LMR83" s="6"/>
      <c r="LMS83" s="6"/>
      <c r="LMT83" s="6"/>
      <c r="LMU83" s="6"/>
      <c r="LMV83" s="6"/>
      <c r="LMW83" s="6"/>
      <c r="LMX83" s="6"/>
      <c r="LMY83" s="6"/>
      <c r="LMZ83" s="6"/>
      <c r="LNA83" s="6"/>
      <c r="LNB83" s="6"/>
      <c r="LNC83" s="6"/>
      <c r="LND83" s="6"/>
      <c r="LNE83" s="6"/>
      <c r="LNF83" s="6"/>
      <c r="LNG83" s="6"/>
      <c r="LNH83" s="6"/>
      <c r="LNI83" s="6"/>
      <c r="LNJ83" s="6"/>
      <c r="LNK83" s="6"/>
      <c r="LNL83" s="6"/>
      <c r="LNM83" s="6"/>
      <c r="LNN83" s="6"/>
      <c r="LNO83" s="6"/>
      <c r="LNP83" s="6"/>
      <c r="LNQ83" s="6"/>
      <c r="LNR83" s="6"/>
      <c r="LNS83" s="6"/>
      <c r="LNT83" s="6"/>
      <c r="LNU83" s="6"/>
      <c r="LNV83" s="6"/>
      <c r="LNW83" s="6"/>
      <c r="LNX83" s="6"/>
      <c r="LNY83" s="6"/>
      <c r="LNZ83" s="6"/>
      <c r="LOA83" s="6"/>
      <c r="LOB83" s="6"/>
      <c r="LOC83" s="6"/>
      <c r="LOD83" s="6"/>
      <c r="LOE83" s="6"/>
      <c r="LOF83" s="6"/>
      <c r="LOG83" s="6"/>
      <c r="LOH83" s="6"/>
      <c r="LOI83" s="6"/>
      <c r="LOJ83" s="6"/>
      <c r="LOK83" s="6"/>
      <c r="LOL83" s="6"/>
      <c r="LOM83" s="6"/>
      <c r="LON83" s="6"/>
      <c r="LOO83" s="6"/>
      <c r="LOP83" s="6"/>
      <c r="LOQ83" s="6"/>
      <c r="LOR83" s="6"/>
      <c r="LOS83" s="6"/>
      <c r="LOT83" s="6"/>
      <c r="LOU83" s="6"/>
      <c r="LOV83" s="6"/>
      <c r="LOW83" s="6"/>
      <c r="LOX83" s="6"/>
      <c r="LOY83" s="6"/>
      <c r="LOZ83" s="6"/>
      <c r="LPA83" s="6"/>
      <c r="LPB83" s="6"/>
      <c r="LPC83" s="6"/>
      <c r="LPD83" s="6"/>
      <c r="LPE83" s="6"/>
      <c r="LPF83" s="6"/>
      <c r="LPG83" s="6"/>
      <c r="LPH83" s="6"/>
      <c r="LPI83" s="6"/>
      <c r="LPJ83" s="6"/>
      <c r="LPK83" s="6"/>
      <c r="LPL83" s="6"/>
      <c r="LPM83" s="6"/>
      <c r="LPN83" s="6"/>
      <c r="LPO83" s="6"/>
      <c r="LPP83" s="6"/>
      <c r="LPQ83" s="6"/>
      <c r="LPR83" s="6"/>
      <c r="LPS83" s="6"/>
      <c r="LPT83" s="6"/>
      <c r="LPU83" s="6"/>
      <c r="LPV83" s="6"/>
      <c r="LPW83" s="6"/>
      <c r="LPX83" s="6"/>
      <c r="LPY83" s="6"/>
      <c r="LPZ83" s="6"/>
      <c r="LQA83" s="6"/>
      <c r="LQB83" s="6"/>
      <c r="LQC83" s="6"/>
      <c r="LQD83" s="6"/>
      <c r="LQE83" s="6"/>
      <c r="LQF83" s="6"/>
      <c r="LQG83" s="6"/>
      <c r="LQH83" s="6"/>
      <c r="LQI83" s="6"/>
      <c r="LQJ83" s="6"/>
      <c r="LQK83" s="6"/>
      <c r="LQL83" s="6"/>
      <c r="LQM83" s="6"/>
      <c r="LQN83" s="6"/>
      <c r="LQO83" s="6"/>
      <c r="LQP83" s="6"/>
      <c r="LQQ83" s="6"/>
      <c r="LQR83" s="6"/>
      <c r="LQS83" s="6"/>
      <c r="LQT83" s="6"/>
      <c r="LQU83" s="6"/>
      <c r="LQV83" s="6"/>
      <c r="LQW83" s="6"/>
      <c r="LQX83" s="6"/>
      <c r="LQY83" s="6"/>
      <c r="LQZ83" s="6"/>
      <c r="LRA83" s="6"/>
      <c r="LRB83" s="6"/>
      <c r="LRC83" s="6"/>
      <c r="LRD83" s="6"/>
      <c r="LRE83" s="6"/>
      <c r="LRF83" s="6"/>
      <c r="LRG83" s="6"/>
      <c r="LRH83" s="6"/>
      <c r="LRI83" s="6"/>
      <c r="LRJ83" s="6"/>
      <c r="LRK83" s="6"/>
      <c r="LRL83" s="6"/>
      <c r="LRM83" s="6"/>
      <c r="LRN83" s="6"/>
      <c r="LRO83" s="6"/>
      <c r="LRP83" s="6"/>
      <c r="LRQ83" s="6"/>
      <c r="LRR83" s="6"/>
      <c r="LRS83" s="6"/>
      <c r="LRT83" s="6"/>
      <c r="LRU83" s="6"/>
      <c r="LRV83" s="6"/>
      <c r="LRW83" s="6"/>
      <c r="LRX83" s="6"/>
      <c r="LRY83" s="6"/>
      <c r="LRZ83" s="6"/>
      <c r="LSA83" s="6"/>
      <c r="LSB83" s="6"/>
      <c r="LSC83" s="6"/>
      <c r="LSD83" s="6"/>
      <c r="LSE83" s="6"/>
      <c r="LSF83" s="6"/>
      <c r="LSG83" s="6"/>
      <c r="LSH83" s="6"/>
      <c r="LSI83" s="6"/>
      <c r="LSJ83" s="6"/>
      <c r="LSK83" s="6"/>
      <c r="LSL83" s="6"/>
      <c r="LSM83" s="6"/>
      <c r="LSN83" s="6"/>
      <c r="LSO83" s="6"/>
      <c r="LSP83" s="6"/>
      <c r="LSQ83" s="6"/>
      <c r="LSR83" s="6"/>
      <c r="LSS83" s="6"/>
      <c r="LST83" s="6"/>
      <c r="LSU83" s="6"/>
      <c r="LSV83" s="6"/>
      <c r="LSW83" s="6"/>
      <c r="LSX83" s="6"/>
      <c r="LSY83" s="6"/>
      <c r="LSZ83" s="6"/>
      <c r="LTA83" s="6"/>
      <c r="LTB83" s="6"/>
      <c r="LTC83" s="6"/>
      <c r="LTD83" s="6"/>
      <c r="LTE83" s="6"/>
      <c r="LTF83" s="6"/>
      <c r="LTG83" s="6"/>
      <c r="LTH83" s="6"/>
      <c r="LTI83" s="6"/>
      <c r="LTJ83" s="6"/>
      <c r="LTK83" s="6"/>
      <c r="LTL83" s="6"/>
      <c r="LTM83" s="6"/>
      <c r="LTN83" s="6"/>
      <c r="LTO83" s="6"/>
      <c r="LTP83" s="6"/>
      <c r="LTQ83" s="6"/>
      <c r="LTR83" s="6"/>
      <c r="LTS83" s="6"/>
      <c r="LTT83" s="6"/>
      <c r="LTU83" s="6"/>
      <c r="LTV83" s="6"/>
      <c r="LTW83" s="6"/>
      <c r="LTX83" s="6"/>
      <c r="LTY83" s="6"/>
      <c r="LTZ83" s="6"/>
      <c r="LUA83" s="6"/>
      <c r="LUB83" s="6"/>
      <c r="LUC83" s="6"/>
      <c r="LUD83" s="6"/>
      <c r="LUE83" s="6"/>
      <c r="LUF83" s="6"/>
      <c r="LUG83" s="6"/>
      <c r="LUH83" s="6"/>
      <c r="LUI83" s="6"/>
      <c r="LUJ83" s="6"/>
      <c r="LUK83" s="6"/>
      <c r="LUL83" s="6"/>
      <c r="LUM83" s="6"/>
      <c r="LUN83" s="6"/>
      <c r="LUO83" s="6"/>
      <c r="LUP83" s="6"/>
      <c r="LUQ83" s="6"/>
      <c r="LUR83" s="6"/>
      <c r="LUS83" s="6"/>
      <c r="LUT83" s="6"/>
      <c r="LUU83" s="6"/>
      <c r="LUV83" s="6"/>
      <c r="LUW83" s="6"/>
      <c r="LUX83" s="6"/>
      <c r="LUY83" s="6"/>
      <c r="LUZ83" s="6"/>
      <c r="LVA83" s="6"/>
      <c r="LVB83" s="6"/>
      <c r="LVC83" s="6"/>
      <c r="LVD83" s="6"/>
      <c r="LVE83" s="6"/>
      <c r="LVF83" s="6"/>
      <c r="LVG83" s="6"/>
      <c r="LVH83" s="6"/>
      <c r="LVI83" s="6"/>
      <c r="LVJ83" s="6"/>
      <c r="LVK83" s="6"/>
      <c r="LVL83" s="6"/>
      <c r="LVM83" s="6"/>
      <c r="LVN83" s="6"/>
      <c r="LVO83" s="6"/>
      <c r="LVP83" s="6"/>
      <c r="LVQ83" s="6"/>
      <c r="LVR83" s="6"/>
      <c r="LVS83" s="6"/>
      <c r="LVT83" s="6"/>
      <c r="LVU83" s="6"/>
      <c r="LVV83" s="6"/>
      <c r="LVW83" s="6"/>
      <c r="LVX83" s="6"/>
      <c r="LVY83" s="6"/>
      <c r="LVZ83" s="6"/>
      <c r="LWA83" s="6"/>
      <c r="LWB83" s="6"/>
      <c r="LWC83" s="6"/>
      <c r="LWD83" s="6"/>
      <c r="LWE83" s="6"/>
      <c r="LWF83" s="6"/>
      <c r="LWG83" s="6"/>
      <c r="LWH83" s="6"/>
      <c r="LWI83" s="6"/>
      <c r="LWJ83" s="6"/>
      <c r="LWK83" s="6"/>
      <c r="LWL83" s="6"/>
      <c r="LWM83" s="6"/>
      <c r="LWN83" s="6"/>
      <c r="LWO83" s="6"/>
      <c r="LWP83" s="6"/>
      <c r="LWQ83" s="6"/>
      <c r="LWR83" s="6"/>
      <c r="LWS83" s="6"/>
      <c r="LWT83" s="6"/>
      <c r="LWU83" s="6"/>
      <c r="LWV83" s="6"/>
      <c r="LWW83" s="6"/>
      <c r="LWX83" s="6"/>
      <c r="LWY83" s="6"/>
      <c r="LWZ83" s="6"/>
      <c r="LXA83" s="6"/>
      <c r="LXB83" s="6"/>
      <c r="LXC83" s="6"/>
      <c r="LXD83" s="6"/>
      <c r="LXE83" s="6"/>
      <c r="LXF83" s="6"/>
      <c r="LXG83" s="6"/>
      <c r="LXH83" s="6"/>
      <c r="LXI83" s="6"/>
      <c r="LXJ83" s="6"/>
      <c r="LXK83" s="6"/>
      <c r="LXL83" s="6"/>
      <c r="LXM83" s="6"/>
      <c r="LXN83" s="6"/>
      <c r="LXO83" s="6"/>
      <c r="LXP83" s="6"/>
      <c r="LXQ83" s="6"/>
      <c r="LXR83" s="6"/>
      <c r="LXS83" s="6"/>
      <c r="LXT83" s="6"/>
      <c r="LXU83" s="6"/>
      <c r="LXV83" s="6"/>
      <c r="LXW83" s="6"/>
      <c r="LXX83" s="6"/>
      <c r="LXY83" s="6"/>
      <c r="LXZ83" s="6"/>
      <c r="LYA83" s="6"/>
      <c r="LYB83" s="6"/>
      <c r="LYC83" s="6"/>
      <c r="LYD83" s="6"/>
      <c r="LYE83" s="6"/>
      <c r="LYF83" s="6"/>
      <c r="LYG83" s="6"/>
      <c r="LYH83" s="6"/>
      <c r="LYI83" s="6"/>
      <c r="LYJ83" s="6"/>
      <c r="LYK83" s="6"/>
      <c r="LYL83" s="6"/>
      <c r="LYM83" s="6"/>
      <c r="LYN83" s="6"/>
      <c r="LYO83" s="6"/>
      <c r="LYP83" s="6"/>
      <c r="LYQ83" s="6"/>
      <c r="LYR83" s="6"/>
      <c r="LYS83" s="6"/>
      <c r="LYT83" s="6"/>
      <c r="LYU83" s="6"/>
      <c r="LYV83" s="6"/>
      <c r="LYW83" s="6"/>
      <c r="LYX83" s="6"/>
      <c r="LYY83" s="6"/>
      <c r="LYZ83" s="6"/>
      <c r="LZA83" s="6"/>
      <c r="LZB83" s="6"/>
      <c r="LZC83" s="6"/>
      <c r="LZD83" s="6"/>
      <c r="LZE83" s="6"/>
      <c r="LZF83" s="6"/>
      <c r="LZG83" s="6"/>
      <c r="LZH83" s="6"/>
      <c r="LZI83" s="6"/>
      <c r="LZJ83" s="6"/>
      <c r="LZK83" s="6"/>
      <c r="LZL83" s="6"/>
      <c r="LZM83" s="6"/>
      <c r="LZN83" s="6"/>
      <c r="LZO83" s="6"/>
      <c r="LZP83" s="6"/>
      <c r="LZQ83" s="6"/>
      <c r="LZR83" s="6"/>
      <c r="LZS83" s="6"/>
      <c r="LZT83" s="6"/>
      <c r="LZU83" s="6"/>
      <c r="LZV83" s="6"/>
      <c r="LZW83" s="6"/>
      <c r="LZX83" s="6"/>
      <c r="LZY83" s="6"/>
      <c r="LZZ83" s="6"/>
      <c r="MAA83" s="6"/>
      <c r="MAB83" s="6"/>
      <c r="MAC83" s="6"/>
      <c r="MAD83" s="6"/>
      <c r="MAE83" s="6"/>
      <c r="MAF83" s="6"/>
      <c r="MAG83" s="6"/>
      <c r="MAH83" s="6"/>
      <c r="MAI83" s="6"/>
      <c r="MAJ83" s="6"/>
      <c r="MAK83" s="6"/>
      <c r="MAL83" s="6"/>
      <c r="MAM83" s="6"/>
      <c r="MAN83" s="6"/>
      <c r="MAO83" s="6"/>
      <c r="MAP83" s="6"/>
      <c r="MAQ83" s="6"/>
      <c r="MAR83" s="6"/>
      <c r="MAS83" s="6"/>
      <c r="MAT83" s="6"/>
      <c r="MAU83" s="6"/>
      <c r="MAV83" s="6"/>
      <c r="MAW83" s="6"/>
      <c r="MAX83" s="6"/>
      <c r="MAY83" s="6"/>
      <c r="MAZ83" s="6"/>
      <c r="MBA83" s="6"/>
      <c r="MBB83" s="6"/>
      <c r="MBC83" s="6"/>
      <c r="MBD83" s="6"/>
      <c r="MBE83" s="6"/>
      <c r="MBF83" s="6"/>
      <c r="MBG83" s="6"/>
      <c r="MBH83" s="6"/>
      <c r="MBI83" s="6"/>
      <c r="MBJ83" s="6"/>
      <c r="MBK83" s="6"/>
      <c r="MBL83" s="6"/>
      <c r="MBM83" s="6"/>
      <c r="MBN83" s="6"/>
      <c r="MBO83" s="6"/>
      <c r="MBP83" s="6"/>
      <c r="MBQ83" s="6"/>
      <c r="MBR83" s="6"/>
      <c r="MBS83" s="6"/>
      <c r="MBT83" s="6"/>
      <c r="MBU83" s="6"/>
      <c r="MBV83" s="6"/>
      <c r="MBW83" s="6"/>
      <c r="MBX83" s="6"/>
      <c r="MBY83" s="6"/>
      <c r="MBZ83" s="6"/>
      <c r="MCA83" s="6"/>
      <c r="MCB83" s="6"/>
      <c r="MCC83" s="6"/>
      <c r="MCD83" s="6"/>
      <c r="MCE83" s="6"/>
      <c r="MCF83" s="6"/>
      <c r="MCG83" s="6"/>
      <c r="MCH83" s="6"/>
      <c r="MCI83" s="6"/>
      <c r="MCJ83" s="6"/>
      <c r="MCK83" s="6"/>
      <c r="MCL83" s="6"/>
      <c r="MCM83" s="6"/>
      <c r="MCN83" s="6"/>
      <c r="MCO83" s="6"/>
      <c r="MCP83" s="6"/>
      <c r="MCQ83" s="6"/>
      <c r="MCR83" s="6"/>
      <c r="MCS83" s="6"/>
      <c r="MCT83" s="6"/>
      <c r="MCU83" s="6"/>
      <c r="MCV83" s="6"/>
      <c r="MCW83" s="6"/>
      <c r="MCX83" s="6"/>
      <c r="MCY83" s="6"/>
      <c r="MCZ83" s="6"/>
      <c r="MDA83" s="6"/>
      <c r="MDB83" s="6"/>
      <c r="MDC83" s="6"/>
      <c r="MDD83" s="6"/>
      <c r="MDE83" s="6"/>
      <c r="MDF83" s="6"/>
      <c r="MDG83" s="6"/>
      <c r="MDH83" s="6"/>
      <c r="MDI83" s="6"/>
      <c r="MDJ83" s="6"/>
      <c r="MDK83" s="6"/>
      <c r="MDL83" s="6"/>
      <c r="MDM83" s="6"/>
      <c r="MDN83" s="6"/>
      <c r="MDO83" s="6"/>
      <c r="MDP83" s="6"/>
      <c r="MDQ83" s="6"/>
      <c r="MDR83" s="6"/>
      <c r="MDS83" s="6"/>
      <c r="MDT83" s="6"/>
      <c r="MDU83" s="6"/>
      <c r="MDV83" s="6"/>
      <c r="MDW83" s="6"/>
      <c r="MDX83" s="6"/>
      <c r="MDY83" s="6"/>
      <c r="MDZ83" s="6"/>
      <c r="MEA83" s="6"/>
      <c r="MEB83" s="6"/>
      <c r="MEC83" s="6"/>
      <c r="MED83" s="6"/>
      <c r="MEE83" s="6"/>
      <c r="MEF83" s="6"/>
      <c r="MEG83" s="6"/>
      <c r="MEH83" s="6"/>
      <c r="MEI83" s="6"/>
      <c r="MEJ83" s="6"/>
      <c r="MEK83" s="6"/>
      <c r="MEL83" s="6"/>
      <c r="MEM83" s="6"/>
      <c r="MEN83" s="6"/>
      <c r="MEO83" s="6"/>
      <c r="MEP83" s="6"/>
      <c r="MEQ83" s="6"/>
      <c r="MER83" s="6"/>
      <c r="MES83" s="6"/>
      <c r="MET83" s="6"/>
      <c r="MEU83" s="6"/>
      <c r="MEV83" s="6"/>
      <c r="MEW83" s="6"/>
      <c r="MEX83" s="6"/>
      <c r="MEY83" s="6"/>
      <c r="MEZ83" s="6"/>
      <c r="MFA83" s="6"/>
      <c r="MFB83" s="6"/>
      <c r="MFC83" s="6"/>
      <c r="MFD83" s="6"/>
      <c r="MFE83" s="6"/>
      <c r="MFF83" s="6"/>
      <c r="MFG83" s="6"/>
      <c r="MFH83" s="6"/>
      <c r="MFI83" s="6"/>
      <c r="MFJ83" s="6"/>
      <c r="MFK83" s="6"/>
      <c r="MFL83" s="6"/>
      <c r="MFM83" s="6"/>
      <c r="MFN83" s="6"/>
      <c r="MFO83" s="6"/>
      <c r="MFP83" s="6"/>
      <c r="MFQ83" s="6"/>
      <c r="MFR83" s="6"/>
      <c r="MFS83" s="6"/>
      <c r="MFT83" s="6"/>
      <c r="MFU83" s="6"/>
      <c r="MFV83" s="6"/>
      <c r="MFW83" s="6"/>
      <c r="MFX83" s="6"/>
      <c r="MFY83" s="6"/>
      <c r="MFZ83" s="6"/>
      <c r="MGA83" s="6"/>
      <c r="MGB83" s="6"/>
      <c r="MGC83" s="6"/>
      <c r="MGD83" s="6"/>
      <c r="MGE83" s="6"/>
      <c r="MGF83" s="6"/>
      <c r="MGG83" s="6"/>
      <c r="MGH83" s="6"/>
      <c r="MGI83" s="6"/>
      <c r="MGJ83" s="6"/>
      <c r="MGK83" s="6"/>
      <c r="MGL83" s="6"/>
      <c r="MGM83" s="6"/>
      <c r="MGN83" s="6"/>
      <c r="MGO83" s="6"/>
      <c r="MGP83" s="6"/>
      <c r="MGQ83" s="6"/>
      <c r="MGR83" s="6"/>
      <c r="MGS83" s="6"/>
      <c r="MGT83" s="6"/>
      <c r="MGU83" s="6"/>
      <c r="MGV83" s="6"/>
      <c r="MGW83" s="6"/>
      <c r="MGX83" s="6"/>
      <c r="MGY83" s="6"/>
      <c r="MGZ83" s="6"/>
      <c r="MHA83" s="6"/>
      <c r="MHB83" s="6"/>
      <c r="MHC83" s="6"/>
      <c r="MHD83" s="6"/>
      <c r="MHE83" s="6"/>
      <c r="MHF83" s="6"/>
      <c r="MHG83" s="6"/>
      <c r="MHH83" s="6"/>
      <c r="MHI83" s="6"/>
      <c r="MHJ83" s="6"/>
      <c r="MHK83" s="6"/>
      <c r="MHL83" s="6"/>
      <c r="MHM83" s="6"/>
      <c r="MHN83" s="6"/>
      <c r="MHO83" s="6"/>
      <c r="MHP83" s="6"/>
      <c r="MHQ83" s="6"/>
      <c r="MHR83" s="6"/>
      <c r="MHS83" s="6"/>
      <c r="MHT83" s="6"/>
      <c r="MHU83" s="6"/>
      <c r="MHV83" s="6"/>
      <c r="MHW83" s="6"/>
      <c r="MHX83" s="6"/>
      <c r="MHY83" s="6"/>
      <c r="MHZ83" s="6"/>
      <c r="MIA83" s="6"/>
      <c r="MIB83" s="6"/>
      <c r="MIC83" s="6"/>
      <c r="MID83" s="6"/>
      <c r="MIE83" s="6"/>
      <c r="MIF83" s="6"/>
      <c r="MIG83" s="6"/>
      <c r="MIH83" s="6"/>
      <c r="MII83" s="6"/>
      <c r="MIJ83" s="6"/>
      <c r="MIK83" s="6"/>
      <c r="MIL83" s="6"/>
      <c r="MIM83" s="6"/>
      <c r="MIN83" s="6"/>
      <c r="MIO83" s="6"/>
      <c r="MIP83" s="6"/>
      <c r="MIQ83" s="6"/>
      <c r="MIR83" s="6"/>
      <c r="MIS83" s="6"/>
      <c r="MIT83" s="6"/>
      <c r="MIU83" s="6"/>
      <c r="MIV83" s="6"/>
      <c r="MIW83" s="6"/>
      <c r="MIX83" s="6"/>
      <c r="MIY83" s="6"/>
      <c r="MIZ83" s="6"/>
      <c r="MJA83" s="6"/>
      <c r="MJB83" s="6"/>
      <c r="MJC83" s="6"/>
      <c r="MJD83" s="6"/>
      <c r="MJE83" s="6"/>
      <c r="MJF83" s="6"/>
      <c r="MJG83" s="6"/>
      <c r="MJH83" s="6"/>
      <c r="MJI83" s="6"/>
      <c r="MJJ83" s="6"/>
      <c r="MJK83" s="6"/>
      <c r="MJL83" s="6"/>
      <c r="MJM83" s="6"/>
      <c r="MJN83" s="6"/>
      <c r="MJO83" s="6"/>
      <c r="MJP83" s="6"/>
      <c r="MJQ83" s="6"/>
      <c r="MJR83" s="6"/>
      <c r="MJS83" s="6"/>
      <c r="MJT83" s="6"/>
      <c r="MJU83" s="6"/>
      <c r="MJV83" s="6"/>
      <c r="MJW83" s="6"/>
      <c r="MJX83" s="6"/>
      <c r="MJY83" s="6"/>
      <c r="MJZ83" s="6"/>
      <c r="MKA83" s="6"/>
      <c r="MKB83" s="6"/>
      <c r="MKC83" s="6"/>
      <c r="MKD83" s="6"/>
      <c r="MKE83" s="6"/>
      <c r="MKF83" s="6"/>
      <c r="MKG83" s="6"/>
      <c r="MKH83" s="6"/>
      <c r="MKI83" s="6"/>
      <c r="MKJ83" s="6"/>
      <c r="MKK83" s="6"/>
      <c r="MKL83" s="6"/>
      <c r="MKM83" s="6"/>
      <c r="MKN83" s="6"/>
      <c r="MKO83" s="6"/>
      <c r="MKP83" s="6"/>
      <c r="MKQ83" s="6"/>
      <c r="MKR83" s="6"/>
      <c r="MKS83" s="6"/>
      <c r="MKT83" s="6"/>
      <c r="MKU83" s="6"/>
      <c r="MKV83" s="6"/>
      <c r="MKW83" s="6"/>
      <c r="MKX83" s="6"/>
      <c r="MKY83" s="6"/>
      <c r="MKZ83" s="6"/>
      <c r="MLA83" s="6"/>
      <c r="MLB83" s="6"/>
      <c r="MLC83" s="6"/>
      <c r="MLD83" s="6"/>
      <c r="MLE83" s="6"/>
      <c r="MLF83" s="6"/>
      <c r="MLG83" s="6"/>
      <c r="MLH83" s="6"/>
      <c r="MLI83" s="6"/>
      <c r="MLJ83" s="6"/>
      <c r="MLK83" s="6"/>
      <c r="MLL83" s="6"/>
      <c r="MLM83" s="6"/>
      <c r="MLN83" s="6"/>
      <c r="MLO83" s="6"/>
      <c r="MLP83" s="6"/>
      <c r="MLQ83" s="6"/>
      <c r="MLR83" s="6"/>
      <c r="MLS83" s="6"/>
      <c r="MLT83" s="6"/>
      <c r="MLU83" s="6"/>
      <c r="MLV83" s="6"/>
      <c r="MLW83" s="6"/>
      <c r="MLX83" s="6"/>
      <c r="MLY83" s="6"/>
      <c r="MLZ83" s="6"/>
      <c r="MMA83" s="6"/>
      <c r="MMB83" s="6"/>
      <c r="MMC83" s="6"/>
      <c r="MMD83" s="6"/>
      <c r="MME83" s="6"/>
      <c r="MMF83" s="6"/>
      <c r="MMG83" s="6"/>
      <c r="MMH83" s="6"/>
      <c r="MMI83" s="6"/>
      <c r="MMJ83" s="6"/>
      <c r="MMK83" s="6"/>
      <c r="MML83" s="6"/>
      <c r="MMM83" s="6"/>
      <c r="MMN83" s="6"/>
      <c r="MMO83" s="6"/>
      <c r="MMP83" s="6"/>
      <c r="MMQ83" s="6"/>
      <c r="MMR83" s="6"/>
      <c r="MMS83" s="6"/>
      <c r="MMT83" s="6"/>
      <c r="MMU83" s="6"/>
      <c r="MMV83" s="6"/>
      <c r="MMW83" s="6"/>
      <c r="MMX83" s="6"/>
      <c r="MMY83" s="6"/>
      <c r="MMZ83" s="6"/>
      <c r="MNA83" s="6"/>
      <c r="MNB83" s="6"/>
      <c r="MNC83" s="6"/>
      <c r="MND83" s="6"/>
      <c r="MNE83" s="6"/>
      <c r="MNF83" s="6"/>
      <c r="MNG83" s="6"/>
      <c r="MNH83" s="6"/>
      <c r="MNI83" s="6"/>
      <c r="MNJ83" s="6"/>
      <c r="MNK83" s="6"/>
      <c r="MNL83" s="6"/>
      <c r="MNM83" s="6"/>
      <c r="MNN83" s="6"/>
      <c r="MNO83" s="6"/>
      <c r="MNP83" s="6"/>
      <c r="MNQ83" s="6"/>
      <c r="MNR83" s="6"/>
      <c r="MNS83" s="6"/>
      <c r="MNT83" s="6"/>
      <c r="MNU83" s="6"/>
      <c r="MNV83" s="6"/>
      <c r="MNW83" s="6"/>
      <c r="MNX83" s="6"/>
      <c r="MNY83" s="6"/>
      <c r="MNZ83" s="6"/>
      <c r="MOA83" s="6"/>
      <c r="MOB83" s="6"/>
      <c r="MOC83" s="6"/>
      <c r="MOD83" s="6"/>
      <c r="MOE83" s="6"/>
      <c r="MOF83" s="6"/>
      <c r="MOG83" s="6"/>
      <c r="MOH83" s="6"/>
      <c r="MOI83" s="6"/>
      <c r="MOJ83" s="6"/>
      <c r="MOK83" s="6"/>
      <c r="MOL83" s="6"/>
      <c r="MOM83" s="6"/>
      <c r="MON83" s="6"/>
      <c r="MOO83" s="6"/>
      <c r="MOP83" s="6"/>
      <c r="MOQ83" s="6"/>
      <c r="MOR83" s="6"/>
      <c r="MOS83" s="6"/>
      <c r="MOT83" s="6"/>
      <c r="MOU83" s="6"/>
      <c r="MOV83" s="6"/>
      <c r="MOW83" s="6"/>
      <c r="MOX83" s="6"/>
      <c r="MOY83" s="6"/>
      <c r="MOZ83" s="6"/>
      <c r="MPA83" s="6"/>
      <c r="MPB83" s="6"/>
      <c r="MPC83" s="6"/>
      <c r="MPD83" s="6"/>
      <c r="MPE83" s="6"/>
      <c r="MPF83" s="6"/>
      <c r="MPG83" s="6"/>
      <c r="MPH83" s="6"/>
      <c r="MPI83" s="6"/>
      <c r="MPJ83" s="6"/>
      <c r="MPK83" s="6"/>
      <c r="MPL83" s="6"/>
      <c r="MPM83" s="6"/>
      <c r="MPN83" s="6"/>
      <c r="MPO83" s="6"/>
      <c r="MPP83" s="6"/>
      <c r="MPQ83" s="6"/>
      <c r="MPR83" s="6"/>
      <c r="MPS83" s="6"/>
      <c r="MPT83" s="6"/>
      <c r="MPU83" s="6"/>
      <c r="MPV83" s="6"/>
      <c r="MPW83" s="6"/>
      <c r="MPX83" s="6"/>
      <c r="MPY83" s="6"/>
      <c r="MPZ83" s="6"/>
      <c r="MQA83" s="6"/>
      <c r="MQB83" s="6"/>
      <c r="MQC83" s="6"/>
      <c r="MQD83" s="6"/>
      <c r="MQE83" s="6"/>
      <c r="MQF83" s="6"/>
      <c r="MQG83" s="6"/>
      <c r="MQH83" s="6"/>
      <c r="MQI83" s="6"/>
      <c r="MQJ83" s="6"/>
      <c r="MQK83" s="6"/>
      <c r="MQL83" s="6"/>
      <c r="MQM83" s="6"/>
      <c r="MQN83" s="6"/>
      <c r="MQO83" s="6"/>
      <c r="MQP83" s="6"/>
      <c r="MQQ83" s="6"/>
      <c r="MQR83" s="6"/>
      <c r="MQS83" s="6"/>
      <c r="MQT83" s="6"/>
      <c r="MQU83" s="6"/>
      <c r="MQV83" s="6"/>
      <c r="MQW83" s="6"/>
      <c r="MQX83" s="6"/>
      <c r="MQY83" s="6"/>
      <c r="MQZ83" s="6"/>
      <c r="MRA83" s="6"/>
      <c r="MRB83" s="6"/>
      <c r="MRC83" s="6"/>
      <c r="MRD83" s="6"/>
      <c r="MRE83" s="6"/>
      <c r="MRF83" s="6"/>
      <c r="MRG83" s="6"/>
      <c r="MRH83" s="6"/>
      <c r="MRI83" s="6"/>
      <c r="MRJ83" s="6"/>
      <c r="MRK83" s="6"/>
      <c r="MRL83" s="6"/>
      <c r="MRM83" s="6"/>
      <c r="MRN83" s="6"/>
      <c r="MRO83" s="6"/>
      <c r="MRP83" s="6"/>
      <c r="MRQ83" s="6"/>
      <c r="MRR83" s="6"/>
      <c r="MRS83" s="6"/>
      <c r="MRT83" s="6"/>
      <c r="MRU83" s="6"/>
      <c r="MRV83" s="6"/>
      <c r="MRW83" s="6"/>
      <c r="MRX83" s="6"/>
      <c r="MRY83" s="6"/>
      <c r="MRZ83" s="6"/>
      <c r="MSA83" s="6"/>
      <c r="MSB83" s="6"/>
      <c r="MSC83" s="6"/>
      <c r="MSD83" s="6"/>
      <c r="MSE83" s="6"/>
      <c r="MSF83" s="6"/>
      <c r="MSG83" s="6"/>
      <c r="MSH83" s="6"/>
      <c r="MSI83" s="6"/>
      <c r="MSJ83" s="6"/>
      <c r="MSK83" s="6"/>
      <c r="MSL83" s="6"/>
      <c r="MSM83" s="6"/>
      <c r="MSN83" s="6"/>
      <c r="MSO83" s="6"/>
      <c r="MSP83" s="6"/>
      <c r="MSQ83" s="6"/>
      <c r="MSR83" s="6"/>
      <c r="MSS83" s="6"/>
      <c r="MST83" s="6"/>
      <c r="MSU83" s="6"/>
      <c r="MSV83" s="6"/>
      <c r="MSW83" s="6"/>
      <c r="MSX83" s="6"/>
      <c r="MSY83" s="6"/>
      <c r="MSZ83" s="6"/>
      <c r="MTA83" s="6"/>
      <c r="MTB83" s="6"/>
      <c r="MTC83" s="6"/>
      <c r="MTD83" s="6"/>
      <c r="MTE83" s="6"/>
      <c r="MTF83" s="6"/>
      <c r="MTG83" s="6"/>
      <c r="MTH83" s="6"/>
      <c r="MTI83" s="6"/>
      <c r="MTJ83" s="6"/>
      <c r="MTK83" s="6"/>
      <c r="MTL83" s="6"/>
      <c r="MTM83" s="6"/>
      <c r="MTN83" s="6"/>
      <c r="MTO83" s="6"/>
      <c r="MTP83" s="6"/>
      <c r="MTQ83" s="6"/>
      <c r="MTR83" s="6"/>
      <c r="MTS83" s="6"/>
      <c r="MTT83" s="6"/>
      <c r="MTU83" s="6"/>
      <c r="MTV83" s="6"/>
      <c r="MTW83" s="6"/>
      <c r="MTX83" s="6"/>
      <c r="MTY83" s="6"/>
      <c r="MTZ83" s="6"/>
      <c r="MUA83" s="6"/>
      <c r="MUB83" s="6"/>
      <c r="MUC83" s="6"/>
      <c r="MUD83" s="6"/>
      <c r="MUE83" s="6"/>
      <c r="MUF83" s="6"/>
      <c r="MUG83" s="6"/>
      <c r="MUH83" s="6"/>
      <c r="MUI83" s="6"/>
      <c r="MUJ83" s="6"/>
      <c r="MUK83" s="6"/>
      <c r="MUL83" s="6"/>
      <c r="MUM83" s="6"/>
      <c r="MUN83" s="6"/>
      <c r="MUO83" s="6"/>
      <c r="MUP83" s="6"/>
      <c r="MUQ83" s="6"/>
      <c r="MUR83" s="6"/>
      <c r="MUS83" s="6"/>
      <c r="MUT83" s="6"/>
      <c r="MUU83" s="6"/>
      <c r="MUV83" s="6"/>
      <c r="MUW83" s="6"/>
      <c r="MUX83" s="6"/>
      <c r="MUY83" s="6"/>
      <c r="MUZ83" s="6"/>
      <c r="MVA83" s="6"/>
      <c r="MVB83" s="6"/>
      <c r="MVC83" s="6"/>
      <c r="MVD83" s="6"/>
      <c r="MVE83" s="6"/>
      <c r="MVF83" s="6"/>
      <c r="MVG83" s="6"/>
      <c r="MVH83" s="6"/>
      <c r="MVI83" s="6"/>
      <c r="MVJ83" s="6"/>
      <c r="MVK83" s="6"/>
      <c r="MVL83" s="6"/>
      <c r="MVM83" s="6"/>
      <c r="MVN83" s="6"/>
      <c r="MVO83" s="6"/>
      <c r="MVP83" s="6"/>
      <c r="MVQ83" s="6"/>
      <c r="MVR83" s="6"/>
      <c r="MVS83" s="6"/>
      <c r="MVT83" s="6"/>
      <c r="MVU83" s="6"/>
      <c r="MVV83" s="6"/>
      <c r="MVW83" s="6"/>
      <c r="MVX83" s="6"/>
      <c r="MVY83" s="6"/>
      <c r="MVZ83" s="6"/>
      <c r="MWA83" s="6"/>
      <c r="MWB83" s="6"/>
      <c r="MWC83" s="6"/>
      <c r="MWD83" s="6"/>
      <c r="MWE83" s="6"/>
      <c r="MWF83" s="6"/>
      <c r="MWG83" s="6"/>
      <c r="MWH83" s="6"/>
      <c r="MWI83" s="6"/>
      <c r="MWJ83" s="6"/>
      <c r="MWK83" s="6"/>
      <c r="MWL83" s="6"/>
      <c r="MWM83" s="6"/>
      <c r="MWN83" s="6"/>
      <c r="MWO83" s="6"/>
      <c r="MWP83" s="6"/>
      <c r="MWQ83" s="6"/>
      <c r="MWR83" s="6"/>
      <c r="MWS83" s="6"/>
      <c r="MWT83" s="6"/>
      <c r="MWU83" s="6"/>
      <c r="MWV83" s="6"/>
      <c r="MWW83" s="6"/>
      <c r="MWX83" s="6"/>
      <c r="MWY83" s="6"/>
      <c r="MWZ83" s="6"/>
      <c r="MXA83" s="6"/>
      <c r="MXB83" s="6"/>
      <c r="MXC83" s="6"/>
      <c r="MXD83" s="6"/>
      <c r="MXE83" s="6"/>
      <c r="MXF83" s="6"/>
      <c r="MXG83" s="6"/>
      <c r="MXH83" s="6"/>
      <c r="MXI83" s="6"/>
      <c r="MXJ83" s="6"/>
      <c r="MXK83" s="6"/>
      <c r="MXL83" s="6"/>
      <c r="MXM83" s="6"/>
      <c r="MXN83" s="6"/>
      <c r="MXO83" s="6"/>
      <c r="MXP83" s="6"/>
      <c r="MXQ83" s="6"/>
      <c r="MXR83" s="6"/>
      <c r="MXS83" s="6"/>
      <c r="MXT83" s="6"/>
      <c r="MXU83" s="6"/>
      <c r="MXV83" s="6"/>
      <c r="MXW83" s="6"/>
      <c r="MXX83" s="6"/>
      <c r="MXY83" s="6"/>
      <c r="MXZ83" s="6"/>
      <c r="MYA83" s="6"/>
      <c r="MYB83" s="6"/>
      <c r="MYC83" s="6"/>
      <c r="MYD83" s="6"/>
      <c r="MYE83" s="6"/>
      <c r="MYF83" s="6"/>
      <c r="MYG83" s="6"/>
      <c r="MYH83" s="6"/>
      <c r="MYI83" s="6"/>
      <c r="MYJ83" s="6"/>
      <c r="MYK83" s="6"/>
      <c r="MYL83" s="6"/>
      <c r="MYM83" s="6"/>
      <c r="MYN83" s="6"/>
      <c r="MYO83" s="6"/>
      <c r="MYP83" s="6"/>
      <c r="MYQ83" s="6"/>
      <c r="MYR83" s="6"/>
      <c r="MYS83" s="6"/>
      <c r="MYT83" s="6"/>
      <c r="MYU83" s="6"/>
      <c r="MYV83" s="6"/>
      <c r="MYW83" s="6"/>
      <c r="MYX83" s="6"/>
      <c r="MYY83" s="6"/>
      <c r="MYZ83" s="6"/>
      <c r="MZA83" s="6"/>
      <c r="MZB83" s="6"/>
      <c r="MZC83" s="6"/>
      <c r="MZD83" s="6"/>
      <c r="MZE83" s="6"/>
      <c r="MZF83" s="6"/>
      <c r="MZG83" s="6"/>
      <c r="MZH83" s="6"/>
      <c r="MZI83" s="6"/>
      <c r="MZJ83" s="6"/>
      <c r="MZK83" s="6"/>
      <c r="MZL83" s="6"/>
      <c r="MZM83" s="6"/>
      <c r="MZN83" s="6"/>
      <c r="MZO83" s="6"/>
      <c r="MZP83" s="6"/>
      <c r="MZQ83" s="6"/>
      <c r="MZR83" s="6"/>
      <c r="MZS83" s="6"/>
      <c r="MZT83" s="6"/>
      <c r="MZU83" s="6"/>
      <c r="MZV83" s="6"/>
      <c r="MZW83" s="6"/>
      <c r="MZX83" s="6"/>
      <c r="MZY83" s="6"/>
      <c r="MZZ83" s="6"/>
      <c r="NAA83" s="6"/>
      <c r="NAB83" s="6"/>
      <c r="NAC83" s="6"/>
      <c r="NAD83" s="6"/>
      <c r="NAE83" s="6"/>
      <c r="NAF83" s="6"/>
      <c r="NAG83" s="6"/>
      <c r="NAH83" s="6"/>
      <c r="NAI83" s="6"/>
      <c r="NAJ83" s="6"/>
      <c r="NAK83" s="6"/>
      <c r="NAL83" s="6"/>
      <c r="NAM83" s="6"/>
      <c r="NAN83" s="6"/>
      <c r="NAO83" s="6"/>
      <c r="NAP83" s="6"/>
      <c r="NAQ83" s="6"/>
      <c r="NAR83" s="6"/>
      <c r="NAS83" s="6"/>
      <c r="NAT83" s="6"/>
      <c r="NAU83" s="6"/>
      <c r="NAV83" s="6"/>
      <c r="NAW83" s="6"/>
      <c r="NAX83" s="6"/>
      <c r="NAY83" s="6"/>
      <c r="NAZ83" s="6"/>
      <c r="NBA83" s="6"/>
      <c r="NBB83" s="6"/>
      <c r="NBC83" s="6"/>
      <c r="NBD83" s="6"/>
      <c r="NBE83" s="6"/>
      <c r="NBF83" s="6"/>
      <c r="NBG83" s="6"/>
      <c r="NBH83" s="6"/>
      <c r="NBI83" s="6"/>
      <c r="NBJ83" s="6"/>
      <c r="NBK83" s="6"/>
      <c r="NBL83" s="6"/>
      <c r="NBM83" s="6"/>
      <c r="NBN83" s="6"/>
      <c r="NBO83" s="6"/>
      <c r="NBP83" s="6"/>
      <c r="NBQ83" s="6"/>
      <c r="NBR83" s="6"/>
      <c r="NBS83" s="6"/>
      <c r="NBT83" s="6"/>
      <c r="NBU83" s="6"/>
      <c r="NBV83" s="6"/>
      <c r="NBW83" s="6"/>
      <c r="NBX83" s="6"/>
      <c r="NBY83" s="6"/>
      <c r="NBZ83" s="6"/>
      <c r="NCA83" s="6"/>
      <c r="NCB83" s="6"/>
      <c r="NCC83" s="6"/>
      <c r="NCD83" s="6"/>
      <c r="NCE83" s="6"/>
      <c r="NCF83" s="6"/>
      <c r="NCG83" s="6"/>
      <c r="NCH83" s="6"/>
      <c r="NCI83" s="6"/>
      <c r="NCJ83" s="6"/>
      <c r="NCK83" s="6"/>
      <c r="NCL83" s="6"/>
      <c r="NCM83" s="6"/>
      <c r="NCN83" s="6"/>
      <c r="NCO83" s="6"/>
      <c r="NCP83" s="6"/>
      <c r="NCQ83" s="6"/>
      <c r="NCR83" s="6"/>
      <c r="NCS83" s="6"/>
      <c r="NCT83" s="6"/>
      <c r="NCU83" s="6"/>
      <c r="NCV83" s="6"/>
      <c r="NCW83" s="6"/>
      <c r="NCX83" s="6"/>
      <c r="NCY83" s="6"/>
      <c r="NCZ83" s="6"/>
      <c r="NDA83" s="6"/>
      <c r="NDB83" s="6"/>
      <c r="NDC83" s="6"/>
      <c r="NDD83" s="6"/>
      <c r="NDE83" s="6"/>
      <c r="NDF83" s="6"/>
      <c r="NDG83" s="6"/>
      <c r="NDH83" s="6"/>
      <c r="NDI83" s="6"/>
      <c r="NDJ83" s="6"/>
      <c r="NDK83" s="6"/>
      <c r="NDL83" s="6"/>
      <c r="NDM83" s="6"/>
      <c r="NDN83" s="6"/>
      <c r="NDO83" s="6"/>
      <c r="NDP83" s="6"/>
      <c r="NDQ83" s="6"/>
      <c r="NDR83" s="6"/>
      <c r="NDS83" s="6"/>
      <c r="NDT83" s="6"/>
      <c r="NDU83" s="6"/>
      <c r="NDV83" s="6"/>
      <c r="NDW83" s="6"/>
      <c r="NDX83" s="6"/>
      <c r="NDY83" s="6"/>
      <c r="NDZ83" s="6"/>
      <c r="NEA83" s="6"/>
      <c r="NEB83" s="6"/>
      <c r="NEC83" s="6"/>
      <c r="NED83" s="6"/>
      <c r="NEE83" s="6"/>
      <c r="NEF83" s="6"/>
      <c r="NEG83" s="6"/>
      <c r="NEH83" s="6"/>
      <c r="NEI83" s="6"/>
      <c r="NEJ83" s="6"/>
      <c r="NEK83" s="6"/>
      <c r="NEL83" s="6"/>
      <c r="NEM83" s="6"/>
      <c r="NEN83" s="6"/>
      <c r="NEO83" s="6"/>
      <c r="NEP83" s="6"/>
      <c r="NEQ83" s="6"/>
      <c r="NER83" s="6"/>
      <c r="NES83" s="6"/>
      <c r="NET83" s="6"/>
      <c r="NEU83" s="6"/>
      <c r="NEV83" s="6"/>
      <c r="NEW83" s="6"/>
      <c r="NEX83" s="6"/>
      <c r="NEY83" s="6"/>
      <c r="NEZ83" s="6"/>
      <c r="NFA83" s="6"/>
      <c r="NFB83" s="6"/>
      <c r="NFC83" s="6"/>
      <c r="NFD83" s="6"/>
      <c r="NFE83" s="6"/>
      <c r="NFF83" s="6"/>
      <c r="NFG83" s="6"/>
      <c r="NFH83" s="6"/>
      <c r="NFI83" s="6"/>
      <c r="NFJ83" s="6"/>
      <c r="NFK83" s="6"/>
      <c r="NFL83" s="6"/>
      <c r="NFM83" s="6"/>
      <c r="NFN83" s="6"/>
      <c r="NFO83" s="6"/>
      <c r="NFP83" s="6"/>
      <c r="NFQ83" s="6"/>
      <c r="NFR83" s="6"/>
      <c r="NFS83" s="6"/>
      <c r="NFT83" s="6"/>
      <c r="NFU83" s="6"/>
      <c r="NFV83" s="6"/>
      <c r="NFW83" s="6"/>
      <c r="NFX83" s="6"/>
      <c r="NFY83" s="6"/>
      <c r="NFZ83" s="6"/>
      <c r="NGA83" s="6"/>
      <c r="NGB83" s="6"/>
      <c r="NGC83" s="6"/>
      <c r="NGD83" s="6"/>
      <c r="NGE83" s="6"/>
      <c r="NGF83" s="6"/>
      <c r="NGG83" s="6"/>
      <c r="NGH83" s="6"/>
      <c r="NGI83" s="6"/>
      <c r="NGJ83" s="6"/>
      <c r="NGK83" s="6"/>
      <c r="NGL83" s="6"/>
      <c r="NGM83" s="6"/>
      <c r="NGN83" s="6"/>
      <c r="NGO83" s="6"/>
      <c r="NGP83" s="6"/>
      <c r="NGQ83" s="6"/>
      <c r="NGR83" s="6"/>
      <c r="NGS83" s="6"/>
      <c r="NGT83" s="6"/>
      <c r="NGU83" s="6"/>
      <c r="NGV83" s="6"/>
      <c r="NGW83" s="6"/>
      <c r="NGX83" s="6"/>
      <c r="NGY83" s="6"/>
      <c r="NGZ83" s="6"/>
      <c r="NHA83" s="6"/>
      <c r="NHB83" s="6"/>
      <c r="NHC83" s="6"/>
      <c r="NHD83" s="6"/>
      <c r="NHE83" s="6"/>
      <c r="NHF83" s="6"/>
      <c r="NHG83" s="6"/>
      <c r="NHH83" s="6"/>
      <c r="NHI83" s="6"/>
      <c r="NHJ83" s="6"/>
      <c r="NHK83" s="6"/>
      <c r="NHL83" s="6"/>
      <c r="NHM83" s="6"/>
      <c r="NHN83" s="6"/>
      <c r="NHO83" s="6"/>
      <c r="NHP83" s="6"/>
      <c r="NHQ83" s="6"/>
      <c r="NHR83" s="6"/>
      <c r="NHS83" s="6"/>
      <c r="NHT83" s="6"/>
      <c r="NHU83" s="6"/>
      <c r="NHV83" s="6"/>
      <c r="NHW83" s="6"/>
      <c r="NHX83" s="6"/>
      <c r="NHY83" s="6"/>
      <c r="NHZ83" s="6"/>
      <c r="NIA83" s="6"/>
      <c r="NIB83" s="6"/>
      <c r="NIC83" s="6"/>
      <c r="NID83" s="6"/>
      <c r="NIE83" s="6"/>
      <c r="NIF83" s="6"/>
      <c r="NIG83" s="6"/>
      <c r="NIH83" s="6"/>
      <c r="NII83" s="6"/>
      <c r="NIJ83" s="6"/>
      <c r="NIK83" s="6"/>
      <c r="NIL83" s="6"/>
      <c r="NIM83" s="6"/>
      <c r="NIN83" s="6"/>
      <c r="NIO83" s="6"/>
      <c r="NIP83" s="6"/>
      <c r="NIQ83" s="6"/>
      <c r="NIR83" s="6"/>
      <c r="NIS83" s="6"/>
      <c r="NIT83" s="6"/>
      <c r="NIU83" s="6"/>
      <c r="NIV83" s="6"/>
      <c r="NIW83" s="6"/>
      <c r="NIX83" s="6"/>
      <c r="NIY83" s="6"/>
      <c r="NIZ83" s="6"/>
      <c r="NJA83" s="6"/>
      <c r="NJB83" s="6"/>
      <c r="NJC83" s="6"/>
      <c r="NJD83" s="6"/>
      <c r="NJE83" s="6"/>
      <c r="NJF83" s="6"/>
      <c r="NJG83" s="6"/>
      <c r="NJH83" s="6"/>
      <c r="NJI83" s="6"/>
      <c r="NJJ83" s="6"/>
      <c r="NJK83" s="6"/>
      <c r="NJL83" s="6"/>
      <c r="NJM83" s="6"/>
      <c r="NJN83" s="6"/>
      <c r="NJO83" s="6"/>
      <c r="NJP83" s="6"/>
      <c r="NJQ83" s="6"/>
      <c r="NJR83" s="6"/>
      <c r="NJS83" s="6"/>
      <c r="NJT83" s="6"/>
      <c r="NJU83" s="6"/>
      <c r="NJV83" s="6"/>
      <c r="NJW83" s="6"/>
      <c r="NJX83" s="6"/>
      <c r="NJY83" s="6"/>
      <c r="NJZ83" s="6"/>
      <c r="NKA83" s="6"/>
      <c r="NKB83" s="6"/>
      <c r="NKC83" s="6"/>
      <c r="NKD83" s="6"/>
      <c r="NKE83" s="6"/>
      <c r="NKF83" s="6"/>
      <c r="NKG83" s="6"/>
      <c r="NKH83" s="6"/>
      <c r="NKI83" s="6"/>
      <c r="NKJ83" s="6"/>
      <c r="NKK83" s="6"/>
      <c r="NKL83" s="6"/>
      <c r="NKM83" s="6"/>
      <c r="NKN83" s="6"/>
      <c r="NKO83" s="6"/>
      <c r="NKP83" s="6"/>
      <c r="NKQ83" s="6"/>
      <c r="NKR83" s="6"/>
      <c r="NKS83" s="6"/>
      <c r="NKT83" s="6"/>
      <c r="NKU83" s="6"/>
      <c r="NKV83" s="6"/>
      <c r="NKW83" s="6"/>
      <c r="NKX83" s="6"/>
      <c r="NKY83" s="6"/>
      <c r="NKZ83" s="6"/>
      <c r="NLA83" s="6"/>
      <c r="NLB83" s="6"/>
      <c r="NLC83" s="6"/>
      <c r="NLD83" s="6"/>
      <c r="NLE83" s="6"/>
      <c r="NLF83" s="6"/>
      <c r="NLG83" s="6"/>
      <c r="NLH83" s="6"/>
      <c r="NLI83" s="6"/>
      <c r="NLJ83" s="6"/>
      <c r="NLK83" s="6"/>
      <c r="NLL83" s="6"/>
      <c r="NLM83" s="6"/>
      <c r="NLN83" s="6"/>
      <c r="NLO83" s="6"/>
      <c r="NLP83" s="6"/>
      <c r="NLQ83" s="6"/>
      <c r="NLR83" s="6"/>
      <c r="NLS83" s="6"/>
      <c r="NLT83" s="6"/>
      <c r="NLU83" s="6"/>
      <c r="NLV83" s="6"/>
      <c r="NLW83" s="6"/>
      <c r="NLX83" s="6"/>
      <c r="NLY83" s="6"/>
      <c r="NLZ83" s="6"/>
      <c r="NMA83" s="6"/>
      <c r="NMB83" s="6"/>
      <c r="NMC83" s="6"/>
      <c r="NMD83" s="6"/>
      <c r="NME83" s="6"/>
      <c r="NMF83" s="6"/>
      <c r="NMG83" s="6"/>
      <c r="NMH83" s="6"/>
      <c r="NMI83" s="6"/>
      <c r="NMJ83" s="6"/>
      <c r="NMK83" s="6"/>
      <c r="NML83" s="6"/>
      <c r="NMM83" s="6"/>
      <c r="NMN83" s="6"/>
      <c r="NMO83" s="6"/>
      <c r="NMP83" s="6"/>
      <c r="NMQ83" s="6"/>
      <c r="NMR83" s="6"/>
      <c r="NMS83" s="6"/>
      <c r="NMT83" s="6"/>
      <c r="NMU83" s="6"/>
      <c r="NMV83" s="6"/>
      <c r="NMW83" s="6"/>
      <c r="NMX83" s="6"/>
      <c r="NMY83" s="6"/>
      <c r="NMZ83" s="6"/>
      <c r="NNA83" s="6"/>
      <c r="NNB83" s="6"/>
      <c r="NNC83" s="6"/>
      <c r="NND83" s="6"/>
      <c r="NNE83" s="6"/>
      <c r="NNF83" s="6"/>
      <c r="NNG83" s="6"/>
      <c r="NNH83" s="6"/>
      <c r="NNI83" s="6"/>
      <c r="NNJ83" s="6"/>
      <c r="NNK83" s="6"/>
      <c r="NNL83" s="6"/>
      <c r="NNM83" s="6"/>
      <c r="NNN83" s="6"/>
      <c r="NNO83" s="6"/>
      <c r="NNP83" s="6"/>
      <c r="NNQ83" s="6"/>
      <c r="NNR83" s="6"/>
      <c r="NNS83" s="6"/>
      <c r="NNT83" s="6"/>
      <c r="NNU83" s="6"/>
      <c r="NNV83" s="6"/>
      <c r="NNW83" s="6"/>
      <c r="NNX83" s="6"/>
      <c r="NNY83" s="6"/>
      <c r="NNZ83" s="6"/>
      <c r="NOA83" s="6"/>
      <c r="NOB83" s="6"/>
      <c r="NOC83" s="6"/>
      <c r="NOD83" s="6"/>
      <c r="NOE83" s="6"/>
      <c r="NOF83" s="6"/>
      <c r="NOG83" s="6"/>
      <c r="NOH83" s="6"/>
      <c r="NOI83" s="6"/>
      <c r="NOJ83" s="6"/>
      <c r="NOK83" s="6"/>
      <c r="NOL83" s="6"/>
      <c r="NOM83" s="6"/>
      <c r="NON83" s="6"/>
      <c r="NOO83" s="6"/>
      <c r="NOP83" s="6"/>
      <c r="NOQ83" s="6"/>
      <c r="NOR83" s="6"/>
      <c r="NOS83" s="6"/>
      <c r="NOT83" s="6"/>
      <c r="NOU83" s="6"/>
      <c r="NOV83" s="6"/>
      <c r="NOW83" s="6"/>
      <c r="NOX83" s="6"/>
      <c r="NOY83" s="6"/>
      <c r="NOZ83" s="6"/>
      <c r="NPA83" s="6"/>
      <c r="NPB83" s="6"/>
      <c r="NPC83" s="6"/>
      <c r="NPD83" s="6"/>
      <c r="NPE83" s="6"/>
      <c r="NPF83" s="6"/>
      <c r="NPG83" s="6"/>
      <c r="NPH83" s="6"/>
      <c r="NPI83" s="6"/>
      <c r="NPJ83" s="6"/>
      <c r="NPK83" s="6"/>
      <c r="NPL83" s="6"/>
      <c r="NPM83" s="6"/>
      <c r="NPN83" s="6"/>
      <c r="NPO83" s="6"/>
      <c r="NPP83" s="6"/>
      <c r="NPQ83" s="6"/>
      <c r="NPR83" s="6"/>
      <c r="NPS83" s="6"/>
      <c r="NPT83" s="6"/>
      <c r="NPU83" s="6"/>
      <c r="NPV83" s="6"/>
      <c r="NPW83" s="6"/>
      <c r="NPX83" s="6"/>
      <c r="NPY83" s="6"/>
      <c r="NPZ83" s="6"/>
      <c r="NQA83" s="6"/>
      <c r="NQB83" s="6"/>
      <c r="NQC83" s="6"/>
      <c r="NQD83" s="6"/>
      <c r="NQE83" s="6"/>
      <c r="NQF83" s="6"/>
      <c r="NQG83" s="6"/>
      <c r="NQH83" s="6"/>
      <c r="NQI83" s="6"/>
      <c r="NQJ83" s="6"/>
      <c r="NQK83" s="6"/>
      <c r="NQL83" s="6"/>
      <c r="NQM83" s="6"/>
      <c r="NQN83" s="6"/>
      <c r="NQO83" s="6"/>
      <c r="NQP83" s="6"/>
      <c r="NQQ83" s="6"/>
      <c r="NQR83" s="6"/>
      <c r="NQS83" s="6"/>
      <c r="NQT83" s="6"/>
      <c r="NQU83" s="6"/>
      <c r="NQV83" s="6"/>
      <c r="NQW83" s="6"/>
      <c r="NQX83" s="6"/>
      <c r="NQY83" s="6"/>
      <c r="NQZ83" s="6"/>
      <c r="NRA83" s="6"/>
      <c r="NRB83" s="6"/>
      <c r="NRC83" s="6"/>
      <c r="NRD83" s="6"/>
      <c r="NRE83" s="6"/>
      <c r="NRF83" s="6"/>
      <c r="NRG83" s="6"/>
      <c r="NRH83" s="6"/>
      <c r="NRI83" s="6"/>
      <c r="NRJ83" s="6"/>
      <c r="NRK83" s="6"/>
      <c r="NRL83" s="6"/>
      <c r="NRM83" s="6"/>
      <c r="NRN83" s="6"/>
      <c r="NRO83" s="6"/>
      <c r="NRP83" s="6"/>
      <c r="NRQ83" s="6"/>
      <c r="NRR83" s="6"/>
      <c r="NRS83" s="6"/>
      <c r="NRT83" s="6"/>
      <c r="NRU83" s="6"/>
      <c r="NRV83" s="6"/>
      <c r="NRW83" s="6"/>
      <c r="NRX83" s="6"/>
      <c r="NRY83" s="6"/>
      <c r="NRZ83" s="6"/>
      <c r="NSA83" s="6"/>
      <c r="NSB83" s="6"/>
      <c r="NSC83" s="6"/>
      <c r="NSD83" s="6"/>
      <c r="NSE83" s="6"/>
      <c r="NSF83" s="6"/>
      <c r="NSG83" s="6"/>
      <c r="NSH83" s="6"/>
      <c r="NSI83" s="6"/>
      <c r="NSJ83" s="6"/>
      <c r="NSK83" s="6"/>
      <c r="NSL83" s="6"/>
      <c r="NSM83" s="6"/>
      <c r="NSN83" s="6"/>
      <c r="NSO83" s="6"/>
      <c r="NSP83" s="6"/>
      <c r="NSQ83" s="6"/>
      <c r="NSR83" s="6"/>
      <c r="NSS83" s="6"/>
      <c r="NST83" s="6"/>
      <c r="NSU83" s="6"/>
      <c r="NSV83" s="6"/>
      <c r="NSW83" s="6"/>
      <c r="NSX83" s="6"/>
      <c r="NSY83" s="6"/>
      <c r="NSZ83" s="6"/>
      <c r="NTA83" s="6"/>
      <c r="NTB83" s="6"/>
      <c r="NTC83" s="6"/>
      <c r="NTD83" s="6"/>
      <c r="NTE83" s="6"/>
      <c r="NTF83" s="6"/>
      <c r="NTG83" s="6"/>
      <c r="NTH83" s="6"/>
      <c r="NTI83" s="6"/>
      <c r="NTJ83" s="6"/>
      <c r="NTK83" s="6"/>
      <c r="NTL83" s="6"/>
      <c r="NTM83" s="6"/>
      <c r="NTN83" s="6"/>
      <c r="NTO83" s="6"/>
      <c r="NTP83" s="6"/>
      <c r="NTQ83" s="6"/>
      <c r="NTR83" s="6"/>
      <c r="NTS83" s="6"/>
      <c r="NTT83" s="6"/>
      <c r="NTU83" s="6"/>
      <c r="NTV83" s="6"/>
      <c r="NTW83" s="6"/>
      <c r="NTX83" s="6"/>
      <c r="NTY83" s="6"/>
      <c r="NTZ83" s="6"/>
      <c r="NUA83" s="6"/>
      <c r="NUB83" s="6"/>
      <c r="NUC83" s="6"/>
      <c r="NUD83" s="6"/>
      <c r="NUE83" s="6"/>
      <c r="NUF83" s="6"/>
      <c r="NUG83" s="6"/>
      <c r="NUH83" s="6"/>
      <c r="NUI83" s="6"/>
      <c r="NUJ83" s="6"/>
      <c r="NUK83" s="6"/>
      <c r="NUL83" s="6"/>
      <c r="NUM83" s="6"/>
      <c r="NUN83" s="6"/>
      <c r="NUO83" s="6"/>
      <c r="NUP83" s="6"/>
      <c r="NUQ83" s="6"/>
      <c r="NUR83" s="6"/>
      <c r="NUS83" s="6"/>
      <c r="NUT83" s="6"/>
      <c r="NUU83" s="6"/>
      <c r="NUV83" s="6"/>
      <c r="NUW83" s="6"/>
      <c r="NUX83" s="6"/>
      <c r="NUY83" s="6"/>
      <c r="NUZ83" s="6"/>
      <c r="NVA83" s="6"/>
      <c r="NVB83" s="6"/>
      <c r="NVC83" s="6"/>
      <c r="NVD83" s="6"/>
      <c r="NVE83" s="6"/>
      <c r="NVF83" s="6"/>
      <c r="NVG83" s="6"/>
      <c r="NVH83" s="6"/>
      <c r="NVI83" s="6"/>
      <c r="NVJ83" s="6"/>
      <c r="NVK83" s="6"/>
      <c r="NVL83" s="6"/>
      <c r="NVM83" s="6"/>
      <c r="NVN83" s="6"/>
      <c r="NVO83" s="6"/>
      <c r="NVP83" s="6"/>
      <c r="NVQ83" s="6"/>
      <c r="NVR83" s="6"/>
      <c r="NVS83" s="6"/>
      <c r="NVT83" s="6"/>
      <c r="NVU83" s="6"/>
      <c r="NVV83" s="6"/>
      <c r="NVW83" s="6"/>
      <c r="NVX83" s="6"/>
      <c r="NVY83" s="6"/>
      <c r="NVZ83" s="6"/>
      <c r="NWA83" s="6"/>
      <c r="NWB83" s="6"/>
      <c r="NWC83" s="6"/>
      <c r="NWD83" s="6"/>
      <c r="NWE83" s="6"/>
      <c r="NWF83" s="6"/>
      <c r="NWG83" s="6"/>
      <c r="NWH83" s="6"/>
      <c r="NWI83" s="6"/>
      <c r="NWJ83" s="6"/>
      <c r="NWK83" s="6"/>
      <c r="NWL83" s="6"/>
      <c r="NWM83" s="6"/>
      <c r="NWN83" s="6"/>
      <c r="NWO83" s="6"/>
      <c r="NWP83" s="6"/>
      <c r="NWQ83" s="6"/>
      <c r="NWR83" s="6"/>
      <c r="NWS83" s="6"/>
      <c r="NWT83" s="6"/>
      <c r="NWU83" s="6"/>
      <c r="NWV83" s="6"/>
      <c r="NWW83" s="6"/>
      <c r="NWX83" s="6"/>
      <c r="NWY83" s="6"/>
      <c r="NWZ83" s="6"/>
      <c r="NXA83" s="6"/>
      <c r="NXB83" s="6"/>
      <c r="NXC83" s="6"/>
      <c r="NXD83" s="6"/>
      <c r="NXE83" s="6"/>
      <c r="NXF83" s="6"/>
      <c r="NXG83" s="6"/>
      <c r="NXH83" s="6"/>
      <c r="NXI83" s="6"/>
      <c r="NXJ83" s="6"/>
      <c r="NXK83" s="6"/>
      <c r="NXL83" s="6"/>
      <c r="NXM83" s="6"/>
      <c r="NXN83" s="6"/>
      <c r="NXO83" s="6"/>
      <c r="NXP83" s="6"/>
      <c r="NXQ83" s="6"/>
      <c r="NXR83" s="6"/>
      <c r="NXS83" s="6"/>
      <c r="NXT83" s="6"/>
      <c r="NXU83" s="6"/>
      <c r="NXV83" s="6"/>
      <c r="NXW83" s="6"/>
      <c r="NXX83" s="6"/>
      <c r="NXY83" s="6"/>
      <c r="NXZ83" s="6"/>
      <c r="NYA83" s="6"/>
      <c r="NYB83" s="6"/>
      <c r="NYC83" s="6"/>
      <c r="NYD83" s="6"/>
      <c r="NYE83" s="6"/>
      <c r="NYF83" s="6"/>
      <c r="NYG83" s="6"/>
      <c r="NYH83" s="6"/>
      <c r="NYI83" s="6"/>
      <c r="NYJ83" s="6"/>
      <c r="NYK83" s="6"/>
      <c r="NYL83" s="6"/>
      <c r="NYM83" s="6"/>
      <c r="NYN83" s="6"/>
      <c r="NYO83" s="6"/>
      <c r="NYP83" s="6"/>
      <c r="NYQ83" s="6"/>
      <c r="NYR83" s="6"/>
      <c r="NYS83" s="6"/>
      <c r="NYT83" s="6"/>
      <c r="NYU83" s="6"/>
      <c r="NYV83" s="6"/>
      <c r="NYW83" s="6"/>
      <c r="NYX83" s="6"/>
      <c r="NYY83" s="6"/>
      <c r="NYZ83" s="6"/>
      <c r="NZA83" s="6"/>
      <c r="NZB83" s="6"/>
      <c r="NZC83" s="6"/>
      <c r="NZD83" s="6"/>
      <c r="NZE83" s="6"/>
      <c r="NZF83" s="6"/>
      <c r="NZG83" s="6"/>
      <c r="NZH83" s="6"/>
      <c r="NZI83" s="6"/>
      <c r="NZJ83" s="6"/>
      <c r="NZK83" s="6"/>
      <c r="NZL83" s="6"/>
      <c r="NZM83" s="6"/>
      <c r="NZN83" s="6"/>
      <c r="NZO83" s="6"/>
      <c r="NZP83" s="6"/>
      <c r="NZQ83" s="6"/>
      <c r="NZR83" s="6"/>
      <c r="NZS83" s="6"/>
      <c r="NZT83" s="6"/>
      <c r="NZU83" s="6"/>
      <c r="NZV83" s="6"/>
      <c r="NZW83" s="6"/>
      <c r="NZX83" s="6"/>
      <c r="NZY83" s="6"/>
      <c r="NZZ83" s="6"/>
      <c r="OAA83" s="6"/>
      <c r="OAB83" s="6"/>
      <c r="OAC83" s="6"/>
      <c r="OAD83" s="6"/>
      <c r="OAE83" s="6"/>
      <c r="OAF83" s="6"/>
      <c r="OAG83" s="6"/>
      <c r="OAH83" s="6"/>
      <c r="OAI83" s="6"/>
      <c r="OAJ83" s="6"/>
      <c r="OAK83" s="6"/>
      <c r="OAL83" s="6"/>
      <c r="OAM83" s="6"/>
      <c r="OAN83" s="6"/>
      <c r="OAO83" s="6"/>
      <c r="OAP83" s="6"/>
      <c r="OAQ83" s="6"/>
      <c r="OAR83" s="6"/>
      <c r="OAS83" s="6"/>
      <c r="OAT83" s="6"/>
      <c r="OAU83" s="6"/>
      <c r="OAV83" s="6"/>
      <c r="OAW83" s="6"/>
      <c r="OAX83" s="6"/>
      <c r="OAY83" s="6"/>
      <c r="OAZ83" s="6"/>
      <c r="OBA83" s="6"/>
      <c r="OBB83" s="6"/>
      <c r="OBC83" s="6"/>
      <c r="OBD83" s="6"/>
      <c r="OBE83" s="6"/>
      <c r="OBF83" s="6"/>
      <c r="OBG83" s="6"/>
      <c r="OBH83" s="6"/>
      <c r="OBI83" s="6"/>
      <c r="OBJ83" s="6"/>
      <c r="OBK83" s="6"/>
      <c r="OBL83" s="6"/>
      <c r="OBM83" s="6"/>
      <c r="OBN83" s="6"/>
      <c r="OBO83" s="6"/>
      <c r="OBP83" s="6"/>
      <c r="OBQ83" s="6"/>
      <c r="OBR83" s="6"/>
      <c r="OBS83" s="6"/>
      <c r="OBT83" s="6"/>
      <c r="OBU83" s="6"/>
      <c r="OBV83" s="6"/>
      <c r="OBW83" s="6"/>
      <c r="OBX83" s="6"/>
      <c r="OBY83" s="6"/>
      <c r="OBZ83" s="6"/>
      <c r="OCA83" s="6"/>
      <c r="OCB83" s="6"/>
      <c r="OCC83" s="6"/>
      <c r="OCD83" s="6"/>
      <c r="OCE83" s="6"/>
      <c r="OCF83" s="6"/>
      <c r="OCG83" s="6"/>
      <c r="OCH83" s="6"/>
      <c r="OCI83" s="6"/>
      <c r="OCJ83" s="6"/>
      <c r="OCK83" s="6"/>
      <c r="OCL83" s="6"/>
      <c r="OCM83" s="6"/>
      <c r="OCN83" s="6"/>
      <c r="OCO83" s="6"/>
      <c r="OCP83" s="6"/>
      <c r="OCQ83" s="6"/>
      <c r="OCR83" s="6"/>
      <c r="OCS83" s="6"/>
      <c r="OCT83" s="6"/>
      <c r="OCU83" s="6"/>
      <c r="OCV83" s="6"/>
      <c r="OCW83" s="6"/>
      <c r="OCX83" s="6"/>
      <c r="OCY83" s="6"/>
      <c r="OCZ83" s="6"/>
      <c r="ODA83" s="6"/>
      <c r="ODB83" s="6"/>
      <c r="ODC83" s="6"/>
      <c r="ODD83" s="6"/>
      <c r="ODE83" s="6"/>
      <c r="ODF83" s="6"/>
      <c r="ODG83" s="6"/>
      <c r="ODH83" s="6"/>
      <c r="ODI83" s="6"/>
      <c r="ODJ83" s="6"/>
      <c r="ODK83" s="6"/>
      <c r="ODL83" s="6"/>
      <c r="ODM83" s="6"/>
      <c r="ODN83" s="6"/>
      <c r="ODO83" s="6"/>
      <c r="ODP83" s="6"/>
      <c r="ODQ83" s="6"/>
      <c r="ODR83" s="6"/>
      <c r="ODS83" s="6"/>
      <c r="ODT83" s="6"/>
      <c r="ODU83" s="6"/>
      <c r="ODV83" s="6"/>
      <c r="ODW83" s="6"/>
      <c r="ODX83" s="6"/>
      <c r="ODY83" s="6"/>
      <c r="ODZ83" s="6"/>
      <c r="OEA83" s="6"/>
      <c r="OEB83" s="6"/>
      <c r="OEC83" s="6"/>
      <c r="OED83" s="6"/>
      <c r="OEE83" s="6"/>
      <c r="OEF83" s="6"/>
      <c r="OEG83" s="6"/>
      <c r="OEH83" s="6"/>
      <c r="OEI83" s="6"/>
      <c r="OEJ83" s="6"/>
      <c r="OEK83" s="6"/>
      <c r="OEL83" s="6"/>
      <c r="OEM83" s="6"/>
      <c r="OEN83" s="6"/>
      <c r="OEO83" s="6"/>
      <c r="OEP83" s="6"/>
      <c r="OEQ83" s="6"/>
      <c r="OER83" s="6"/>
      <c r="OES83" s="6"/>
      <c r="OET83" s="6"/>
      <c r="OEU83" s="6"/>
      <c r="OEV83" s="6"/>
      <c r="OEW83" s="6"/>
      <c r="OEX83" s="6"/>
      <c r="OEY83" s="6"/>
      <c r="OEZ83" s="6"/>
      <c r="OFA83" s="6"/>
      <c r="OFB83" s="6"/>
      <c r="OFC83" s="6"/>
      <c r="OFD83" s="6"/>
      <c r="OFE83" s="6"/>
      <c r="OFF83" s="6"/>
      <c r="OFG83" s="6"/>
      <c r="OFH83" s="6"/>
      <c r="OFI83" s="6"/>
      <c r="OFJ83" s="6"/>
      <c r="OFK83" s="6"/>
      <c r="OFL83" s="6"/>
      <c r="OFM83" s="6"/>
      <c r="OFN83" s="6"/>
      <c r="OFO83" s="6"/>
      <c r="OFP83" s="6"/>
      <c r="OFQ83" s="6"/>
      <c r="OFR83" s="6"/>
      <c r="OFS83" s="6"/>
      <c r="OFT83" s="6"/>
      <c r="OFU83" s="6"/>
      <c r="OFV83" s="6"/>
      <c r="OFW83" s="6"/>
      <c r="OFX83" s="6"/>
      <c r="OFY83" s="6"/>
      <c r="OFZ83" s="6"/>
      <c r="OGA83" s="6"/>
      <c r="OGB83" s="6"/>
      <c r="OGC83" s="6"/>
      <c r="OGD83" s="6"/>
      <c r="OGE83" s="6"/>
      <c r="OGF83" s="6"/>
      <c r="OGG83" s="6"/>
      <c r="OGH83" s="6"/>
      <c r="OGI83" s="6"/>
      <c r="OGJ83" s="6"/>
      <c r="OGK83" s="6"/>
      <c r="OGL83" s="6"/>
      <c r="OGM83" s="6"/>
      <c r="OGN83" s="6"/>
      <c r="OGO83" s="6"/>
      <c r="OGP83" s="6"/>
      <c r="OGQ83" s="6"/>
      <c r="OGR83" s="6"/>
      <c r="OGS83" s="6"/>
      <c r="OGT83" s="6"/>
      <c r="OGU83" s="6"/>
      <c r="OGV83" s="6"/>
      <c r="OGW83" s="6"/>
      <c r="OGX83" s="6"/>
      <c r="OGY83" s="6"/>
      <c r="OGZ83" s="6"/>
      <c r="OHA83" s="6"/>
      <c r="OHB83" s="6"/>
      <c r="OHC83" s="6"/>
      <c r="OHD83" s="6"/>
      <c r="OHE83" s="6"/>
      <c r="OHF83" s="6"/>
      <c r="OHG83" s="6"/>
      <c r="OHH83" s="6"/>
      <c r="OHI83" s="6"/>
      <c r="OHJ83" s="6"/>
      <c r="OHK83" s="6"/>
      <c r="OHL83" s="6"/>
      <c r="OHM83" s="6"/>
      <c r="OHN83" s="6"/>
      <c r="OHO83" s="6"/>
      <c r="OHP83" s="6"/>
      <c r="OHQ83" s="6"/>
      <c r="OHR83" s="6"/>
      <c r="OHS83" s="6"/>
      <c r="OHT83" s="6"/>
      <c r="OHU83" s="6"/>
      <c r="OHV83" s="6"/>
      <c r="OHW83" s="6"/>
      <c r="OHX83" s="6"/>
      <c r="OHY83" s="6"/>
      <c r="OHZ83" s="6"/>
      <c r="OIA83" s="6"/>
      <c r="OIB83" s="6"/>
      <c r="OIC83" s="6"/>
      <c r="OID83" s="6"/>
      <c r="OIE83" s="6"/>
      <c r="OIF83" s="6"/>
      <c r="OIG83" s="6"/>
      <c r="OIH83" s="6"/>
      <c r="OII83" s="6"/>
      <c r="OIJ83" s="6"/>
      <c r="OIK83" s="6"/>
      <c r="OIL83" s="6"/>
      <c r="OIM83" s="6"/>
      <c r="OIN83" s="6"/>
      <c r="OIO83" s="6"/>
      <c r="OIP83" s="6"/>
      <c r="OIQ83" s="6"/>
      <c r="OIR83" s="6"/>
      <c r="OIS83" s="6"/>
      <c r="OIT83" s="6"/>
      <c r="OIU83" s="6"/>
      <c r="OIV83" s="6"/>
      <c r="OIW83" s="6"/>
      <c r="OIX83" s="6"/>
      <c r="OIY83" s="6"/>
      <c r="OIZ83" s="6"/>
      <c r="OJA83" s="6"/>
      <c r="OJB83" s="6"/>
      <c r="OJC83" s="6"/>
      <c r="OJD83" s="6"/>
      <c r="OJE83" s="6"/>
      <c r="OJF83" s="6"/>
      <c r="OJG83" s="6"/>
      <c r="OJH83" s="6"/>
      <c r="OJI83" s="6"/>
      <c r="OJJ83" s="6"/>
      <c r="OJK83" s="6"/>
      <c r="OJL83" s="6"/>
      <c r="OJM83" s="6"/>
      <c r="OJN83" s="6"/>
      <c r="OJO83" s="6"/>
      <c r="OJP83" s="6"/>
      <c r="OJQ83" s="6"/>
      <c r="OJR83" s="6"/>
      <c r="OJS83" s="6"/>
      <c r="OJT83" s="6"/>
      <c r="OJU83" s="6"/>
      <c r="OJV83" s="6"/>
      <c r="OJW83" s="6"/>
      <c r="OJX83" s="6"/>
      <c r="OJY83" s="6"/>
      <c r="OJZ83" s="6"/>
      <c r="OKA83" s="6"/>
      <c r="OKB83" s="6"/>
      <c r="OKC83" s="6"/>
      <c r="OKD83" s="6"/>
      <c r="OKE83" s="6"/>
      <c r="OKF83" s="6"/>
      <c r="OKG83" s="6"/>
      <c r="OKH83" s="6"/>
      <c r="OKI83" s="6"/>
      <c r="OKJ83" s="6"/>
      <c r="OKK83" s="6"/>
      <c r="OKL83" s="6"/>
      <c r="OKM83" s="6"/>
      <c r="OKN83" s="6"/>
      <c r="OKO83" s="6"/>
      <c r="OKP83" s="6"/>
      <c r="OKQ83" s="6"/>
      <c r="OKR83" s="6"/>
      <c r="OKS83" s="6"/>
      <c r="OKT83" s="6"/>
      <c r="OKU83" s="6"/>
      <c r="OKV83" s="6"/>
      <c r="OKW83" s="6"/>
      <c r="OKX83" s="6"/>
      <c r="OKY83" s="6"/>
      <c r="OKZ83" s="6"/>
      <c r="OLA83" s="6"/>
      <c r="OLB83" s="6"/>
      <c r="OLC83" s="6"/>
      <c r="OLD83" s="6"/>
      <c r="OLE83" s="6"/>
      <c r="OLF83" s="6"/>
      <c r="OLG83" s="6"/>
      <c r="OLH83" s="6"/>
      <c r="OLI83" s="6"/>
      <c r="OLJ83" s="6"/>
      <c r="OLK83" s="6"/>
      <c r="OLL83" s="6"/>
      <c r="OLM83" s="6"/>
      <c r="OLN83" s="6"/>
      <c r="OLO83" s="6"/>
      <c r="OLP83" s="6"/>
      <c r="OLQ83" s="6"/>
      <c r="OLR83" s="6"/>
      <c r="OLS83" s="6"/>
      <c r="OLT83" s="6"/>
      <c r="OLU83" s="6"/>
      <c r="OLV83" s="6"/>
      <c r="OLW83" s="6"/>
      <c r="OLX83" s="6"/>
      <c r="OLY83" s="6"/>
      <c r="OLZ83" s="6"/>
      <c r="OMA83" s="6"/>
      <c r="OMB83" s="6"/>
      <c r="OMC83" s="6"/>
      <c r="OMD83" s="6"/>
      <c r="OME83" s="6"/>
      <c r="OMF83" s="6"/>
      <c r="OMG83" s="6"/>
      <c r="OMH83" s="6"/>
      <c r="OMI83" s="6"/>
      <c r="OMJ83" s="6"/>
      <c r="OMK83" s="6"/>
      <c r="OML83" s="6"/>
      <c r="OMM83" s="6"/>
      <c r="OMN83" s="6"/>
      <c r="OMO83" s="6"/>
      <c r="OMP83" s="6"/>
      <c r="OMQ83" s="6"/>
      <c r="OMR83" s="6"/>
      <c r="OMS83" s="6"/>
      <c r="OMT83" s="6"/>
      <c r="OMU83" s="6"/>
      <c r="OMV83" s="6"/>
      <c r="OMW83" s="6"/>
      <c r="OMX83" s="6"/>
      <c r="OMY83" s="6"/>
      <c r="OMZ83" s="6"/>
      <c r="ONA83" s="6"/>
      <c r="ONB83" s="6"/>
      <c r="ONC83" s="6"/>
      <c r="OND83" s="6"/>
      <c r="ONE83" s="6"/>
      <c r="ONF83" s="6"/>
      <c r="ONG83" s="6"/>
      <c r="ONH83" s="6"/>
      <c r="ONI83" s="6"/>
      <c r="ONJ83" s="6"/>
      <c r="ONK83" s="6"/>
      <c r="ONL83" s="6"/>
      <c r="ONM83" s="6"/>
      <c r="ONN83" s="6"/>
      <c r="ONO83" s="6"/>
      <c r="ONP83" s="6"/>
      <c r="ONQ83" s="6"/>
      <c r="ONR83" s="6"/>
      <c r="ONS83" s="6"/>
      <c r="ONT83" s="6"/>
      <c r="ONU83" s="6"/>
      <c r="ONV83" s="6"/>
      <c r="ONW83" s="6"/>
      <c r="ONX83" s="6"/>
      <c r="ONY83" s="6"/>
      <c r="ONZ83" s="6"/>
      <c r="OOA83" s="6"/>
      <c r="OOB83" s="6"/>
      <c r="OOC83" s="6"/>
      <c r="OOD83" s="6"/>
      <c r="OOE83" s="6"/>
      <c r="OOF83" s="6"/>
      <c r="OOG83" s="6"/>
      <c r="OOH83" s="6"/>
      <c r="OOI83" s="6"/>
      <c r="OOJ83" s="6"/>
      <c r="OOK83" s="6"/>
      <c r="OOL83" s="6"/>
      <c r="OOM83" s="6"/>
      <c r="OON83" s="6"/>
      <c r="OOO83" s="6"/>
      <c r="OOP83" s="6"/>
      <c r="OOQ83" s="6"/>
      <c r="OOR83" s="6"/>
      <c r="OOS83" s="6"/>
      <c r="OOT83" s="6"/>
      <c r="OOU83" s="6"/>
      <c r="OOV83" s="6"/>
      <c r="OOW83" s="6"/>
      <c r="OOX83" s="6"/>
      <c r="OOY83" s="6"/>
      <c r="OOZ83" s="6"/>
      <c r="OPA83" s="6"/>
      <c r="OPB83" s="6"/>
      <c r="OPC83" s="6"/>
      <c r="OPD83" s="6"/>
      <c r="OPE83" s="6"/>
      <c r="OPF83" s="6"/>
      <c r="OPG83" s="6"/>
      <c r="OPH83" s="6"/>
      <c r="OPI83" s="6"/>
      <c r="OPJ83" s="6"/>
      <c r="OPK83" s="6"/>
      <c r="OPL83" s="6"/>
      <c r="OPM83" s="6"/>
      <c r="OPN83" s="6"/>
      <c r="OPO83" s="6"/>
      <c r="OPP83" s="6"/>
      <c r="OPQ83" s="6"/>
      <c r="OPR83" s="6"/>
      <c r="OPS83" s="6"/>
      <c r="OPT83" s="6"/>
      <c r="OPU83" s="6"/>
      <c r="OPV83" s="6"/>
      <c r="OPW83" s="6"/>
      <c r="OPX83" s="6"/>
      <c r="OPY83" s="6"/>
      <c r="OPZ83" s="6"/>
      <c r="OQA83" s="6"/>
      <c r="OQB83" s="6"/>
      <c r="OQC83" s="6"/>
      <c r="OQD83" s="6"/>
      <c r="OQE83" s="6"/>
      <c r="OQF83" s="6"/>
      <c r="OQG83" s="6"/>
      <c r="OQH83" s="6"/>
      <c r="OQI83" s="6"/>
      <c r="OQJ83" s="6"/>
      <c r="OQK83" s="6"/>
      <c r="OQL83" s="6"/>
      <c r="OQM83" s="6"/>
      <c r="OQN83" s="6"/>
      <c r="OQO83" s="6"/>
      <c r="OQP83" s="6"/>
      <c r="OQQ83" s="6"/>
      <c r="OQR83" s="6"/>
      <c r="OQS83" s="6"/>
      <c r="OQT83" s="6"/>
      <c r="OQU83" s="6"/>
      <c r="OQV83" s="6"/>
      <c r="OQW83" s="6"/>
      <c r="OQX83" s="6"/>
      <c r="OQY83" s="6"/>
      <c r="OQZ83" s="6"/>
      <c r="ORA83" s="6"/>
      <c r="ORB83" s="6"/>
      <c r="ORC83" s="6"/>
      <c r="ORD83" s="6"/>
      <c r="ORE83" s="6"/>
      <c r="ORF83" s="6"/>
      <c r="ORG83" s="6"/>
      <c r="ORH83" s="6"/>
      <c r="ORI83" s="6"/>
      <c r="ORJ83" s="6"/>
      <c r="ORK83" s="6"/>
      <c r="ORL83" s="6"/>
      <c r="ORM83" s="6"/>
      <c r="ORN83" s="6"/>
      <c r="ORO83" s="6"/>
      <c r="ORP83" s="6"/>
      <c r="ORQ83" s="6"/>
      <c r="ORR83" s="6"/>
      <c r="ORS83" s="6"/>
      <c r="ORT83" s="6"/>
      <c r="ORU83" s="6"/>
      <c r="ORV83" s="6"/>
      <c r="ORW83" s="6"/>
      <c r="ORX83" s="6"/>
      <c r="ORY83" s="6"/>
      <c r="ORZ83" s="6"/>
      <c r="OSA83" s="6"/>
      <c r="OSB83" s="6"/>
      <c r="OSC83" s="6"/>
      <c r="OSD83" s="6"/>
      <c r="OSE83" s="6"/>
      <c r="OSF83" s="6"/>
      <c r="OSG83" s="6"/>
      <c r="OSH83" s="6"/>
      <c r="OSI83" s="6"/>
      <c r="OSJ83" s="6"/>
      <c r="OSK83" s="6"/>
      <c r="OSL83" s="6"/>
      <c r="OSM83" s="6"/>
      <c r="OSN83" s="6"/>
      <c r="OSO83" s="6"/>
      <c r="OSP83" s="6"/>
      <c r="OSQ83" s="6"/>
      <c r="OSR83" s="6"/>
      <c r="OSS83" s="6"/>
      <c r="OST83" s="6"/>
      <c r="OSU83" s="6"/>
      <c r="OSV83" s="6"/>
      <c r="OSW83" s="6"/>
      <c r="OSX83" s="6"/>
      <c r="OSY83" s="6"/>
      <c r="OSZ83" s="6"/>
      <c r="OTA83" s="6"/>
      <c r="OTB83" s="6"/>
      <c r="OTC83" s="6"/>
      <c r="OTD83" s="6"/>
      <c r="OTE83" s="6"/>
      <c r="OTF83" s="6"/>
      <c r="OTG83" s="6"/>
      <c r="OTH83" s="6"/>
      <c r="OTI83" s="6"/>
      <c r="OTJ83" s="6"/>
      <c r="OTK83" s="6"/>
      <c r="OTL83" s="6"/>
      <c r="OTM83" s="6"/>
      <c r="OTN83" s="6"/>
      <c r="OTO83" s="6"/>
      <c r="OTP83" s="6"/>
      <c r="OTQ83" s="6"/>
      <c r="OTR83" s="6"/>
      <c r="OTS83" s="6"/>
      <c r="OTT83" s="6"/>
      <c r="OTU83" s="6"/>
      <c r="OTV83" s="6"/>
      <c r="OTW83" s="6"/>
      <c r="OTX83" s="6"/>
      <c r="OTY83" s="6"/>
      <c r="OTZ83" s="6"/>
      <c r="OUA83" s="6"/>
      <c r="OUB83" s="6"/>
      <c r="OUC83" s="6"/>
      <c r="OUD83" s="6"/>
      <c r="OUE83" s="6"/>
      <c r="OUF83" s="6"/>
      <c r="OUG83" s="6"/>
      <c r="OUH83" s="6"/>
      <c r="OUI83" s="6"/>
      <c r="OUJ83" s="6"/>
      <c r="OUK83" s="6"/>
      <c r="OUL83" s="6"/>
      <c r="OUM83" s="6"/>
      <c r="OUN83" s="6"/>
      <c r="OUO83" s="6"/>
      <c r="OUP83" s="6"/>
      <c r="OUQ83" s="6"/>
      <c r="OUR83" s="6"/>
      <c r="OUS83" s="6"/>
      <c r="OUT83" s="6"/>
      <c r="OUU83" s="6"/>
      <c r="OUV83" s="6"/>
      <c r="OUW83" s="6"/>
      <c r="OUX83" s="6"/>
      <c r="OUY83" s="6"/>
      <c r="OUZ83" s="6"/>
      <c r="OVA83" s="6"/>
      <c r="OVB83" s="6"/>
      <c r="OVC83" s="6"/>
      <c r="OVD83" s="6"/>
      <c r="OVE83" s="6"/>
      <c r="OVF83" s="6"/>
      <c r="OVG83" s="6"/>
      <c r="OVH83" s="6"/>
      <c r="OVI83" s="6"/>
      <c r="OVJ83" s="6"/>
      <c r="OVK83" s="6"/>
      <c r="OVL83" s="6"/>
      <c r="OVM83" s="6"/>
      <c r="OVN83" s="6"/>
      <c r="OVO83" s="6"/>
      <c r="OVP83" s="6"/>
      <c r="OVQ83" s="6"/>
      <c r="OVR83" s="6"/>
      <c r="OVS83" s="6"/>
      <c r="OVT83" s="6"/>
      <c r="OVU83" s="6"/>
      <c r="OVV83" s="6"/>
      <c r="OVW83" s="6"/>
      <c r="OVX83" s="6"/>
      <c r="OVY83" s="6"/>
      <c r="OVZ83" s="6"/>
      <c r="OWA83" s="6"/>
      <c r="OWB83" s="6"/>
      <c r="OWC83" s="6"/>
      <c r="OWD83" s="6"/>
      <c r="OWE83" s="6"/>
      <c r="OWF83" s="6"/>
      <c r="OWG83" s="6"/>
      <c r="OWH83" s="6"/>
      <c r="OWI83" s="6"/>
      <c r="OWJ83" s="6"/>
      <c r="OWK83" s="6"/>
      <c r="OWL83" s="6"/>
      <c r="OWM83" s="6"/>
      <c r="OWN83" s="6"/>
      <c r="OWO83" s="6"/>
      <c r="OWP83" s="6"/>
      <c r="OWQ83" s="6"/>
      <c r="OWR83" s="6"/>
      <c r="OWS83" s="6"/>
      <c r="OWT83" s="6"/>
      <c r="OWU83" s="6"/>
      <c r="OWV83" s="6"/>
      <c r="OWW83" s="6"/>
      <c r="OWX83" s="6"/>
      <c r="OWY83" s="6"/>
      <c r="OWZ83" s="6"/>
      <c r="OXA83" s="6"/>
      <c r="OXB83" s="6"/>
      <c r="OXC83" s="6"/>
      <c r="OXD83" s="6"/>
      <c r="OXE83" s="6"/>
      <c r="OXF83" s="6"/>
      <c r="OXG83" s="6"/>
      <c r="OXH83" s="6"/>
      <c r="OXI83" s="6"/>
      <c r="OXJ83" s="6"/>
      <c r="OXK83" s="6"/>
      <c r="OXL83" s="6"/>
      <c r="OXM83" s="6"/>
      <c r="OXN83" s="6"/>
      <c r="OXO83" s="6"/>
      <c r="OXP83" s="6"/>
      <c r="OXQ83" s="6"/>
      <c r="OXR83" s="6"/>
      <c r="OXS83" s="6"/>
      <c r="OXT83" s="6"/>
      <c r="OXU83" s="6"/>
      <c r="OXV83" s="6"/>
      <c r="OXW83" s="6"/>
      <c r="OXX83" s="6"/>
      <c r="OXY83" s="6"/>
      <c r="OXZ83" s="6"/>
      <c r="OYA83" s="6"/>
      <c r="OYB83" s="6"/>
      <c r="OYC83" s="6"/>
      <c r="OYD83" s="6"/>
      <c r="OYE83" s="6"/>
      <c r="OYF83" s="6"/>
      <c r="OYG83" s="6"/>
      <c r="OYH83" s="6"/>
      <c r="OYI83" s="6"/>
      <c r="OYJ83" s="6"/>
      <c r="OYK83" s="6"/>
      <c r="OYL83" s="6"/>
      <c r="OYM83" s="6"/>
      <c r="OYN83" s="6"/>
      <c r="OYO83" s="6"/>
      <c r="OYP83" s="6"/>
      <c r="OYQ83" s="6"/>
      <c r="OYR83" s="6"/>
      <c r="OYS83" s="6"/>
      <c r="OYT83" s="6"/>
      <c r="OYU83" s="6"/>
      <c r="OYV83" s="6"/>
      <c r="OYW83" s="6"/>
      <c r="OYX83" s="6"/>
      <c r="OYY83" s="6"/>
      <c r="OYZ83" s="6"/>
      <c r="OZA83" s="6"/>
      <c r="OZB83" s="6"/>
      <c r="OZC83" s="6"/>
      <c r="OZD83" s="6"/>
      <c r="OZE83" s="6"/>
      <c r="OZF83" s="6"/>
      <c r="OZG83" s="6"/>
      <c r="OZH83" s="6"/>
      <c r="OZI83" s="6"/>
      <c r="OZJ83" s="6"/>
      <c r="OZK83" s="6"/>
      <c r="OZL83" s="6"/>
      <c r="OZM83" s="6"/>
      <c r="OZN83" s="6"/>
      <c r="OZO83" s="6"/>
      <c r="OZP83" s="6"/>
      <c r="OZQ83" s="6"/>
      <c r="OZR83" s="6"/>
      <c r="OZS83" s="6"/>
      <c r="OZT83" s="6"/>
      <c r="OZU83" s="6"/>
      <c r="OZV83" s="6"/>
      <c r="OZW83" s="6"/>
      <c r="OZX83" s="6"/>
      <c r="OZY83" s="6"/>
      <c r="OZZ83" s="6"/>
      <c r="PAA83" s="6"/>
      <c r="PAB83" s="6"/>
      <c r="PAC83" s="6"/>
      <c r="PAD83" s="6"/>
      <c r="PAE83" s="6"/>
      <c r="PAF83" s="6"/>
      <c r="PAG83" s="6"/>
      <c r="PAH83" s="6"/>
      <c r="PAI83" s="6"/>
      <c r="PAJ83" s="6"/>
      <c r="PAK83" s="6"/>
      <c r="PAL83" s="6"/>
      <c r="PAM83" s="6"/>
      <c r="PAN83" s="6"/>
      <c r="PAO83" s="6"/>
      <c r="PAP83" s="6"/>
      <c r="PAQ83" s="6"/>
      <c r="PAR83" s="6"/>
      <c r="PAS83" s="6"/>
      <c r="PAT83" s="6"/>
      <c r="PAU83" s="6"/>
      <c r="PAV83" s="6"/>
      <c r="PAW83" s="6"/>
      <c r="PAX83" s="6"/>
      <c r="PAY83" s="6"/>
      <c r="PAZ83" s="6"/>
      <c r="PBA83" s="6"/>
      <c r="PBB83" s="6"/>
      <c r="PBC83" s="6"/>
      <c r="PBD83" s="6"/>
      <c r="PBE83" s="6"/>
      <c r="PBF83" s="6"/>
      <c r="PBG83" s="6"/>
      <c r="PBH83" s="6"/>
      <c r="PBI83" s="6"/>
      <c r="PBJ83" s="6"/>
      <c r="PBK83" s="6"/>
      <c r="PBL83" s="6"/>
      <c r="PBM83" s="6"/>
      <c r="PBN83" s="6"/>
      <c r="PBO83" s="6"/>
      <c r="PBP83" s="6"/>
      <c r="PBQ83" s="6"/>
      <c r="PBR83" s="6"/>
      <c r="PBS83" s="6"/>
      <c r="PBT83" s="6"/>
      <c r="PBU83" s="6"/>
      <c r="PBV83" s="6"/>
      <c r="PBW83" s="6"/>
      <c r="PBX83" s="6"/>
      <c r="PBY83" s="6"/>
      <c r="PBZ83" s="6"/>
      <c r="PCA83" s="6"/>
      <c r="PCB83" s="6"/>
      <c r="PCC83" s="6"/>
      <c r="PCD83" s="6"/>
      <c r="PCE83" s="6"/>
      <c r="PCF83" s="6"/>
      <c r="PCG83" s="6"/>
      <c r="PCH83" s="6"/>
      <c r="PCI83" s="6"/>
      <c r="PCJ83" s="6"/>
      <c r="PCK83" s="6"/>
      <c r="PCL83" s="6"/>
      <c r="PCM83" s="6"/>
      <c r="PCN83" s="6"/>
      <c r="PCO83" s="6"/>
      <c r="PCP83" s="6"/>
      <c r="PCQ83" s="6"/>
      <c r="PCR83" s="6"/>
      <c r="PCS83" s="6"/>
      <c r="PCT83" s="6"/>
      <c r="PCU83" s="6"/>
      <c r="PCV83" s="6"/>
      <c r="PCW83" s="6"/>
      <c r="PCX83" s="6"/>
      <c r="PCY83" s="6"/>
      <c r="PCZ83" s="6"/>
      <c r="PDA83" s="6"/>
      <c r="PDB83" s="6"/>
      <c r="PDC83" s="6"/>
      <c r="PDD83" s="6"/>
      <c r="PDE83" s="6"/>
      <c r="PDF83" s="6"/>
      <c r="PDG83" s="6"/>
      <c r="PDH83" s="6"/>
      <c r="PDI83" s="6"/>
      <c r="PDJ83" s="6"/>
      <c r="PDK83" s="6"/>
      <c r="PDL83" s="6"/>
      <c r="PDM83" s="6"/>
      <c r="PDN83" s="6"/>
      <c r="PDO83" s="6"/>
      <c r="PDP83" s="6"/>
      <c r="PDQ83" s="6"/>
      <c r="PDR83" s="6"/>
      <c r="PDS83" s="6"/>
      <c r="PDT83" s="6"/>
      <c r="PDU83" s="6"/>
      <c r="PDV83" s="6"/>
      <c r="PDW83" s="6"/>
      <c r="PDX83" s="6"/>
      <c r="PDY83" s="6"/>
      <c r="PDZ83" s="6"/>
      <c r="PEA83" s="6"/>
      <c r="PEB83" s="6"/>
      <c r="PEC83" s="6"/>
      <c r="PED83" s="6"/>
      <c r="PEE83" s="6"/>
      <c r="PEF83" s="6"/>
      <c r="PEG83" s="6"/>
      <c r="PEH83" s="6"/>
      <c r="PEI83" s="6"/>
      <c r="PEJ83" s="6"/>
      <c r="PEK83" s="6"/>
      <c r="PEL83" s="6"/>
      <c r="PEM83" s="6"/>
      <c r="PEN83" s="6"/>
      <c r="PEO83" s="6"/>
      <c r="PEP83" s="6"/>
      <c r="PEQ83" s="6"/>
      <c r="PER83" s="6"/>
      <c r="PES83" s="6"/>
      <c r="PET83" s="6"/>
      <c r="PEU83" s="6"/>
      <c r="PEV83" s="6"/>
      <c r="PEW83" s="6"/>
      <c r="PEX83" s="6"/>
      <c r="PEY83" s="6"/>
      <c r="PEZ83" s="6"/>
      <c r="PFA83" s="6"/>
      <c r="PFB83" s="6"/>
      <c r="PFC83" s="6"/>
      <c r="PFD83" s="6"/>
      <c r="PFE83" s="6"/>
      <c r="PFF83" s="6"/>
      <c r="PFG83" s="6"/>
      <c r="PFH83" s="6"/>
      <c r="PFI83" s="6"/>
      <c r="PFJ83" s="6"/>
      <c r="PFK83" s="6"/>
      <c r="PFL83" s="6"/>
      <c r="PFM83" s="6"/>
      <c r="PFN83" s="6"/>
      <c r="PFO83" s="6"/>
      <c r="PFP83" s="6"/>
      <c r="PFQ83" s="6"/>
      <c r="PFR83" s="6"/>
      <c r="PFS83" s="6"/>
      <c r="PFT83" s="6"/>
      <c r="PFU83" s="6"/>
      <c r="PFV83" s="6"/>
      <c r="PFW83" s="6"/>
      <c r="PFX83" s="6"/>
      <c r="PFY83" s="6"/>
      <c r="PFZ83" s="6"/>
      <c r="PGA83" s="6"/>
      <c r="PGB83" s="6"/>
      <c r="PGC83" s="6"/>
      <c r="PGD83" s="6"/>
      <c r="PGE83" s="6"/>
      <c r="PGF83" s="6"/>
      <c r="PGG83" s="6"/>
      <c r="PGH83" s="6"/>
      <c r="PGI83" s="6"/>
      <c r="PGJ83" s="6"/>
      <c r="PGK83" s="6"/>
      <c r="PGL83" s="6"/>
      <c r="PGM83" s="6"/>
      <c r="PGN83" s="6"/>
      <c r="PGO83" s="6"/>
      <c r="PGP83" s="6"/>
      <c r="PGQ83" s="6"/>
      <c r="PGR83" s="6"/>
      <c r="PGS83" s="6"/>
      <c r="PGT83" s="6"/>
      <c r="PGU83" s="6"/>
      <c r="PGV83" s="6"/>
      <c r="PGW83" s="6"/>
      <c r="PGX83" s="6"/>
      <c r="PGY83" s="6"/>
      <c r="PGZ83" s="6"/>
      <c r="PHA83" s="6"/>
      <c r="PHB83" s="6"/>
      <c r="PHC83" s="6"/>
      <c r="PHD83" s="6"/>
      <c r="PHE83" s="6"/>
      <c r="PHF83" s="6"/>
      <c r="PHG83" s="6"/>
      <c r="PHH83" s="6"/>
      <c r="PHI83" s="6"/>
      <c r="PHJ83" s="6"/>
      <c r="PHK83" s="6"/>
      <c r="PHL83" s="6"/>
      <c r="PHM83" s="6"/>
      <c r="PHN83" s="6"/>
      <c r="PHO83" s="6"/>
      <c r="PHP83" s="6"/>
      <c r="PHQ83" s="6"/>
      <c r="PHR83" s="6"/>
      <c r="PHS83" s="6"/>
      <c r="PHT83" s="6"/>
      <c r="PHU83" s="6"/>
      <c r="PHV83" s="6"/>
      <c r="PHW83" s="6"/>
      <c r="PHX83" s="6"/>
      <c r="PHY83" s="6"/>
      <c r="PHZ83" s="6"/>
      <c r="PIA83" s="6"/>
      <c r="PIB83" s="6"/>
      <c r="PIC83" s="6"/>
      <c r="PID83" s="6"/>
      <c r="PIE83" s="6"/>
      <c r="PIF83" s="6"/>
      <c r="PIG83" s="6"/>
      <c r="PIH83" s="6"/>
      <c r="PII83" s="6"/>
      <c r="PIJ83" s="6"/>
      <c r="PIK83" s="6"/>
      <c r="PIL83" s="6"/>
      <c r="PIM83" s="6"/>
      <c r="PIN83" s="6"/>
      <c r="PIO83" s="6"/>
      <c r="PIP83" s="6"/>
      <c r="PIQ83" s="6"/>
      <c r="PIR83" s="6"/>
      <c r="PIS83" s="6"/>
      <c r="PIT83" s="6"/>
      <c r="PIU83" s="6"/>
      <c r="PIV83" s="6"/>
      <c r="PIW83" s="6"/>
      <c r="PIX83" s="6"/>
      <c r="PIY83" s="6"/>
      <c r="PIZ83" s="6"/>
      <c r="PJA83" s="6"/>
      <c r="PJB83" s="6"/>
      <c r="PJC83" s="6"/>
      <c r="PJD83" s="6"/>
      <c r="PJE83" s="6"/>
      <c r="PJF83" s="6"/>
      <c r="PJG83" s="6"/>
      <c r="PJH83" s="6"/>
      <c r="PJI83" s="6"/>
      <c r="PJJ83" s="6"/>
      <c r="PJK83" s="6"/>
      <c r="PJL83" s="6"/>
      <c r="PJM83" s="6"/>
      <c r="PJN83" s="6"/>
      <c r="PJO83" s="6"/>
      <c r="PJP83" s="6"/>
      <c r="PJQ83" s="6"/>
      <c r="PJR83" s="6"/>
      <c r="PJS83" s="6"/>
      <c r="PJT83" s="6"/>
      <c r="PJU83" s="6"/>
      <c r="PJV83" s="6"/>
      <c r="PJW83" s="6"/>
      <c r="PJX83" s="6"/>
      <c r="PJY83" s="6"/>
      <c r="PJZ83" s="6"/>
      <c r="PKA83" s="6"/>
      <c r="PKB83" s="6"/>
      <c r="PKC83" s="6"/>
      <c r="PKD83" s="6"/>
      <c r="PKE83" s="6"/>
      <c r="PKF83" s="6"/>
      <c r="PKG83" s="6"/>
      <c r="PKH83" s="6"/>
      <c r="PKI83" s="6"/>
      <c r="PKJ83" s="6"/>
      <c r="PKK83" s="6"/>
      <c r="PKL83" s="6"/>
      <c r="PKM83" s="6"/>
      <c r="PKN83" s="6"/>
      <c r="PKO83" s="6"/>
      <c r="PKP83" s="6"/>
      <c r="PKQ83" s="6"/>
      <c r="PKR83" s="6"/>
      <c r="PKS83" s="6"/>
      <c r="PKT83" s="6"/>
      <c r="PKU83" s="6"/>
      <c r="PKV83" s="6"/>
      <c r="PKW83" s="6"/>
      <c r="PKX83" s="6"/>
      <c r="PKY83" s="6"/>
      <c r="PKZ83" s="6"/>
      <c r="PLA83" s="6"/>
      <c r="PLB83" s="6"/>
      <c r="PLC83" s="6"/>
      <c r="PLD83" s="6"/>
      <c r="PLE83" s="6"/>
      <c r="PLF83" s="6"/>
      <c r="PLG83" s="6"/>
      <c r="PLH83" s="6"/>
      <c r="PLI83" s="6"/>
      <c r="PLJ83" s="6"/>
      <c r="PLK83" s="6"/>
      <c r="PLL83" s="6"/>
      <c r="PLM83" s="6"/>
      <c r="PLN83" s="6"/>
      <c r="PLO83" s="6"/>
      <c r="PLP83" s="6"/>
      <c r="PLQ83" s="6"/>
      <c r="PLR83" s="6"/>
      <c r="PLS83" s="6"/>
      <c r="PLT83" s="6"/>
      <c r="PLU83" s="6"/>
      <c r="PLV83" s="6"/>
      <c r="PLW83" s="6"/>
      <c r="PLX83" s="6"/>
      <c r="PLY83" s="6"/>
      <c r="PLZ83" s="6"/>
      <c r="PMA83" s="6"/>
      <c r="PMB83" s="6"/>
      <c r="PMC83" s="6"/>
      <c r="PMD83" s="6"/>
      <c r="PME83" s="6"/>
      <c r="PMF83" s="6"/>
      <c r="PMG83" s="6"/>
      <c r="PMH83" s="6"/>
      <c r="PMI83" s="6"/>
      <c r="PMJ83" s="6"/>
      <c r="PMK83" s="6"/>
      <c r="PML83" s="6"/>
      <c r="PMM83" s="6"/>
      <c r="PMN83" s="6"/>
      <c r="PMO83" s="6"/>
      <c r="PMP83" s="6"/>
      <c r="PMQ83" s="6"/>
      <c r="PMR83" s="6"/>
      <c r="PMS83" s="6"/>
      <c r="PMT83" s="6"/>
      <c r="PMU83" s="6"/>
      <c r="PMV83" s="6"/>
      <c r="PMW83" s="6"/>
      <c r="PMX83" s="6"/>
      <c r="PMY83" s="6"/>
      <c r="PMZ83" s="6"/>
      <c r="PNA83" s="6"/>
      <c r="PNB83" s="6"/>
      <c r="PNC83" s="6"/>
      <c r="PND83" s="6"/>
      <c r="PNE83" s="6"/>
      <c r="PNF83" s="6"/>
      <c r="PNG83" s="6"/>
      <c r="PNH83" s="6"/>
      <c r="PNI83" s="6"/>
      <c r="PNJ83" s="6"/>
      <c r="PNK83" s="6"/>
      <c r="PNL83" s="6"/>
      <c r="PNM83" s="6"/>
      <c r="PNN83" s="6"/>
      <c r="PNO83" s="6"/>
      <c r="PNP83" s="6"/>
      <c r="PNQ83" s="6"/>
      <c r="PNR83" s="6"/>
      <c r="PNS83" s="6"/>
      <c r="PNT83" s="6"/>
      <c r="PNU83" s="6"/>
      <c r="PNV83" s="6"/>
      <c r="PNW83" s="6"/>
      <c r="PNX83" s="6"/>
      <c r="PNY83" s="6"/>
      <c r="PNZ83" s="6"/>
      <c r="POA83" s="6"/>
      <c r="POB83" s="6"/>
      <c r="POC83" s="6"/>
      <c r="POD83" s="6"/>
      <c r="POE83" s="6"/>
      <c r="POF83" s="6"/>
      <c r="POG83" s="6"/>
      <c r="POH83" s="6"/>
      <c r="POI83" s="6"/>
      <c r="POJ83" s="6"/>
      <c r="POK83" s="6"/>
      <c r="POL83" s="6"/>
      <c r="POM83" s="6"/>
      <c r="PON83" s="6"/>
      <c r="POO83" s="6"/>
      <c r="POP83" s="6"/>
      <c r="POQ83" s="6"/>
      <c r="POR83" s="6"/>
      <c r="POS83" s="6"/>
      <c r="POT83" s="6"/>
      <c r="POU83" s="6"/>
      <c r="POV83" s="6"/>
      <c r="POW83" s="6"/>
      <c r="POX83" s="6"/>
      <c r="POY83" s="6"/>
      <c r="POZ83" s="6"/>
      <c r="PPA83" s="6"/>
      <c r="PPB83" s="6"/>
      <c r="PPC83" s="6"/>
      <c r="PPD83" s="6"/>
      <c r="PPE83" s="6"/>
      <c r="PPF83" s="6"/>
      <c r="PPG83" s="6"/>
      <c r="PPH83" s="6"/>
      <c r="PPI83" s="6"/>
      <c r="PPJ83" s="6"/>
      <c r="PPK83" s="6"/>
      <c r="PPL83" s="6"/>
      <c r="PPM83" s="6"/>
      <c r="PPN83" s="6"/>
      <c r="PPO83" s="6"/>
      <c r="PPP83" s="6"/>
      <c r="PPQ83" s="6"/>
      <c r="PPR83" s="6"/>
      <c r="PPS83" s="6"/>
      <c r="PPT83" s="6"/>
      <c r="PPU83" s="6"/>
      <c r="PPV83" s="6"/>
      <c r="PPW83" s="6"/>
      <c r="PPX83" s="6"/>
      <c r="PPY83" s="6"/>
      <c r="PPZ83" s="6"/>
      <c r="PQA83" s="6"/>
      <c r="PQB83" s="6"/>
      <c r="PQC83" s="6"/>
      <c r="PQD83" s="6"/>
      <c r="PQE83" s="6"/>
      <c r="PQF83" s="6"/>
      <c r="PQG83" s="6"/>
      <c r="PQH83" s="6"/>
      <c r="PQI83" s="6"/>
      <c r="PQJ83" s="6"/>
      <c r="PQK83" s="6"/>
      <c r="PQL83" s="6"/>
      <c r="PQM83" s="6"/>
      <c r="PQN83" s="6"/>
      <c r="PQO83" s="6"/>
      <c r="PQP83" s="6"/>
      <c r="PQQ83" s="6"/>
      <c r="PQR83" s="6"/>
      <c r="PQS83" s="6"/>
      <c r="PQT83" s="6"/>
      <c r="PQU83" s="6"/>
      <c r="PQV83" s="6"/>
      <c r="PQW83" s="6"/>
      <c r="PQX83" s="6"/>
      <c r="PQY83" s="6"/>
      <c r="PQZ83" s="6"/>
      <c r="PRA83" s="6"/>
      <c r="PRB83" s="6"/>
      <c r="PRC83" s="6"/>
      <c r="PRD83" s="6"/>
      <c r="PRE83" s="6"/>
      <c r="PRF83" s="6"/>
      <c r="PRG83" s="6"/>
      <c r="PRH83" s="6"/>
      <c r="PRI83" s="6"/>
      <c r="PRJ83" s="6"/>
      <c r="PRK83" s="6"/>
      <c r="PRL83" s="6"/>
      <c r="PRM83" s="6"/>
      <c r="PRN83" s="6"/>
      <c r="PRO83" s="6"/>
      <c r="PRP83" s="6"/>
      <c r="PRQ83" s="6"/>
      <c r="PRR83" s="6"/>
      <c r="PRS83" s="6"/>
      <c r="PRT83" s="6"/>
      <c r="PRU83" s="6"/>
      <c r="PRV83" s="6"/>
      <c r="PRW83" s="6"/>
      <c r="PRX83" s="6"/>
      <c r="PRY83" s="6"/>
      <c r="PRZ83" s="6"/>
      <c r="PSA83" s="6"/>
      <c r="PSB83" s="6"/>
      <c r="PSC83" s="6"/>
      <c r="PSD83" s="6"/>
      <c r="PSE83" s="6"/>
      <c r="PSF83" s="6"/>
      <c r="PSG83" s="6"/>
      <c r="PSH83" s="6"/>
      <c r="PSI83" s="6"/>
      <c r="PSJ83" s="6"/>
      <c r="PSK83" s="6"/>
      <c r="PSL83" s="6"/>
      <c r="PSM83" s="6"/>
      <c r="PSN83" s="6"/>
      <c r="PSO83" s="6"/>
      <c r="PSP83" s="6"/>
      <c r="PSQ83" s="6"/>
      <c r="PSR83" s="6"/>
      <c r="PSS83" s="6"/>
      <c r="PST83" s="6"/>
      <c r="PSU83" s="6"/>
      <c r="PSV83" s="6"/>
      <c r="PSW83" s="6"/>
      <c r="PSX83" s="6"/>
      <c r="PSY83" s="6"/>
      <c r="PSZ83" s="6"/>
      <c r="PTA83" s="6"/>
      <c r="PTB83" s="6"/>
      <c r="PTC83" s="6"/>
      <c r="PTD83" s="6"/>
      <c r="PTE83" s="6"/>
      <c r="PTF83" s="6"/>
      <c r="PTG83" s="6"/>
      <c r="PTH83" s="6"/>
      <c r="PTI83" s="6"/>
      <c r="PTJ83" s="6"/>
      <c r="PTK83" s="6"/>
      <c r="PTL83" s="6"/>
      <c r="PTM83" s="6"/>
      <c r="PTN83" s="6"/>
      <c r="PTO83" s="6"/>
      <c r="PTP83" s="6"/>
      <c r="PTQ83" s="6"/>
      <c r="PTR83" s="6"/>
      <c r="PTS83" s="6"/>
      <c r="PTT83" s="6"/>
      <c r="PTU83" s="6"/>
      <c r="PTV83" s="6"/>
      <c r="PTW83" s="6"/>
      <c r="PTX83" s="6"/>
      <c r="PTY83" s="6"/>
      <c r="PTZ83" s="6"/>
      <c r="PUA83" s="6"/>
      <c r="PUB83" s="6"/>
      <c r="PUC83" s="6"/>
      <c r="PUD83" s="6"/>
      <c r="PUE83" s="6"/>
      <c r="PUF83" s="6"/>
      <c r="PUG83" s="6"/>
      <c r="PUH83" s="6"/>
      <c r="PUI83" s="6"/>
      <c r="PUJ83" s="6"/>
      <c r="PUK83" s="6"/>
      <c r="PUL83" s="6"/>
      <c r="PUM83" s="6"/>
      <c r="PUN83" s="6"/>
      <c r="PUO83" s="6"/>
      <c r="PUP83" s="6"/>
      <c r="PUQ83" s="6"/>
      <c r="PUR83" s="6"/>
      <c r="PUS83" s="6"/>
      <c r="PUT83" s="6"/>
      <c r="PUU83" s="6"/>
      <c r="PUV83" s="6"/>
      <c r="PUW83" s="6"/>
      <c r="PUX83" s="6"/>
      <c r="PUY83" s="6"/>
      <c r="PUZ83" s="6"/>
      <c r="PVA83" s="6"/>
      <c r="PVB83" s="6"/>
      <c r="PVC83" s="6"/>
      <c r="PVD83" s="6"/>
      <c r="PVE83" s="6"/>
      <c r="PVF83" s="6"/>
      <c r="PVG83" s="6"/>
      <c r="PVH83" s="6"/>
      <c r="PVI83" s="6"/>
      <c r="PVJ83" s="6"/>
      <c r="PVK83" s="6"/>
      <c r="PVL83" s="6"/>
      <c r="PVM83" s="6"/>
      <c r="PVN83" s="6"/>
      <c r="PVO83" s="6"/>
      <c r="PVP83" s="6"/>
      <c r="PVQ83" s="6"/>
      <c r="PVR83" s="6"/>
      <c r="PVS83" s="6"/>
      <c r="PVT83" s="6"/>
      <c r="PVU83" s="6"/>
      <c r="PVV83" s="6"/>
      <c r="PVW83" s="6"/>
      <c r="PVX83" s="6"/>
      <c r="PVY83" s="6"/>
      <c r="PVZ83" s="6"/>
      <c r="PWA83" s="6"/>
      <c r="PWB83" s="6"/>
      <c r="PWC83" s="6"/>
      <c r="PWD83" s="6"/>
      <c r="PWE83" s="6"/>
      <c r="PWF83" s="6"/>
      <c r="PWG83" s="6"/>
      <c r="PWH83" s="6"/>
      <c r="PWI83" s="6"/>
      <c r="PWJ83" s="6"/>
      <c r="PWK83" s="6"/>
      <c r="PWL83" s="6"/>
      <c r="PWM83" s="6"/>
      <c r="PWN83" s="6"/>
      <c r="PWO83" s="6"/>
      <c r="PWP83" s="6"/>
      <c r="PWQ83" s="6"/>
      <c r="PWR83" s="6"/>
      <c r="PWS83" s="6"/>
      <c r="PWT83" s="6"/>
      <c r="PWU83" s="6"/>
      <c r="PWV83" s="6"/>
      <c r="PWW83" s="6"/>
      <c r="PWX83" s="6"/>
      <c r="PWY83" s="6"/>
      <c r="PWZ83" s="6"/>
      <c r="PXA83" s="6"/>
      <c r="PXB83" s="6"/>
      <c r="PXC83" s="6"/>
      <c r="PXD83" s="6"/>
      <c r="PXE83" s="6"/>
      <c r="PXF83" s="6"/>
      <c r="PXG83" s="6"/>
      <c r="PXH83" s="6"/>
      <c r="PXI83" s="6"/>
      <c r="PXJ83" s="6"/>
      <c r="PXK83" s="6"/>
      <c r="PXL83" s="6"/>
      <c r="PXM83" s="6"/>
      <c r="PXN83" s="6"/>
      <c r="PXO83" s="6"/>
      <c r="PXP83" s="6"/>
      <c r="PXQ83" s="6"/>
      <c r="PXR83" s="6"/>
      <c r="PXS83" s="6"/>
      <c r="PXT83" s="6"/>
      <c r="PXU83" s="6"/>
      <c r="PXV83" s="6"/>
      <c r="PXW83" s="6"/>
      <c r="PXX83" s="6"/>
      <c r="PXY83" s="6"/>
      <c r="PXZ83" s="6"/>
      <c r="PYA83" s="6"/>
      <c r="PYB83" s="6"/>
      <c r="PYC83" s="6"/>
      <c r="PYD83" s="6"/>
      <c r="PYE83" s="6"/>
      <c r="PYF83" s="6"/>
      <c r="PYG83" s="6"/>
      <c r="PYH83" s="6"/>
      <c r="PYI83" s="6"/>
      <c r="PYJ83" s="6"/>
      <c r="PYK83" s="6"/>
      <c r="PYL83" s="6"/>
      <c r="PYM83" s="6"/>
      <c r="PYN83" s="6"/>
      <c r="PYO83" s="6"/>
      <c r="PYP83" s="6"/>
      <c r="PYQ83" s="6"/>
      <c r="PYR83" s="6"/>
      <c r="PYS83" s="6"/>
      <c r="PYT83" s="6"/>
      <c r="PYU83" s="6"/>
      <c r="PYV83" s="6"/>
      <c r="PYW83" s="6"/>
      <c r="PYX83" s="6"/>
      <c r="PYY83" s="6"/>
      <c r="PYZ83" s="6"/>
      <c r="PZA83" s="6"/>
      <c r="PZB83" s="6"/>
      <c r="PZC83" s="6"/>
      <c r="PZD83" s="6"/>
      <c r="PZE83" s="6"/>
      <c r="PZF83" s="6"/>
      <c r="PZG83" s="6"/>
      <c r="PZH83" s="6"/>
      <c r="PZI83" s="6"/>
      <c r="PZJ83" s="6"/>
      <c r="PZK83" s="6"/>
      <c r="PZL83" s="6"/>
      <c r="PZM83" s="6"/>
      <c r="PZN83" s="6"/>
      <c r="PZO83" s="6"/>
      <c r="PZP83" s="6"/>
      <c r="PZQ83" s="6"/>
      <c r="PZR83" s="6"/>
      <c r="PZS83" s="6"/>
      <c r="PZT83" s="6"/>
      <c r="PZU83" s="6"/>
      <c r="PZV83" s="6"/>
      <c r="PZW83" s="6"/>
      <c r="PZX83" s="6"/>
      <c r="PZY83" s="6"/>
      <c r="PZZ83" s="6"/>
      <c r="QAA83" s="6"/>
      <c r="QAB83" s="6"/>
      <c r="QAC83" s="6"/>
      <c r="QAD83" s="6"/>
      <c r="QAE83" s="6"/>
      <c r="QAF83" s="6"/>
      <c r="QAG83" s="6"/>
      <c r="QAH83" s="6"/>
      <c r="QAI83" s="6"/>
      <c r="QAJ83" s="6"/>
      <c r="QAK83" s="6"/>
      <c r="QAL83" s="6"/>
      <c r="QAM83" s="6"/>
      <c r="QAN83" s="6"/>
      <c r="QAO83" s="6"/>
      <c r="QAP83" s="6"/>
      <c r="QAQ83" s="6"/>
      <c r="QAR83" s="6"/>
      <c r="QAS83" s="6"/>
      <c r="QAT83" s="6"/>
      <c r="QAU83" s="6"/>
      <c r="QAV83" s="6"/>
      <c r="QAW83" s="6"/>
      <c r="QAX83" s="6"/>
      <c r="QAY83" s="6"/>
      <c r="QAZ83" s="6"/>
      <c r="QBA83" s="6"/>
      <c r="QBB83" s="6"/>
      <c r="QBC83" s="6"/>
      <c r="QBD83" s="6"/>
      <c r="QBE83" s="6"/>
      <c r="QBF83" s="6"/>
      <c r="QBG83" s="6"/>
      <c r="QBH83" s="6"/>
      <c r="QBI83" s="6"/>
      <c r="QBJ83" s="6"/>
      <c r="QBK83" s="6"/>
      <c r="QBL83" s="6"/>
      <c r="QBM83" s="6"/>
      <c r="QBN83" s="6"/>
      <c r="QBO83" s="6"/>
      <c r="QBP83" s="6"/>
      <c r="QBQ83" s="6"/>
      <c r="QBR83" s="6"/>
      <c r="QBS83" s="6"/>
      <c r="QBT83" s="6"/>
      <c r="QBU83" s="6"/>
      <c r="QBV83" s="6"/>
      <c r="QBW83" s="6"/>
      <c r="QBX83" s="6"/>
      <c r="QBY83" s="6"/>
      <c r="QBZ83" s="6"/>
      <c r="QCA83" s="6"/>
      <c r="QCB83" s="6"/>
      <c r="QCC83" s="6"/>
      <c r="QCD83" s="6"/>
      <c r="QCE83" s="6"/>
      <c r="QCF83" s="6"/>
      <c r="QCG83" s="6"/>
      <c r="QCH83" s="6"/>
      <c r="QCI83" s="6"/>
      <c r="QCJ83" s="6"/>
      <c r="QCK83" s="6"/>
      <c r="QCL83" s="6"/>
      <c r="QCM83" s="6"/>
      <c r="QCN83" s="6"/>
      <c r="QCO83" s="6"/>
      <c r="QCP83" s="6"/>
      <c r="QCQ83" s="6"/>
      <c r="QCR83" s="6"/>
      <c r="QCS83" s="6"/>
      <c r="QCT83" s="6"/>
      <c r="QCU83" s="6"/>
      <c r="QCV83" s="6"/>
      <c r="QCW83" s="6"/>
      <c r="QCX83" s="6"/>
      <c r="QCY83" s="6"/>
      <c r="QCZ83" s="6"/>
      <c r="QDA83" s="6"/>
      <c r="QDB83" s="6"/>
      <c r="QDC83" s="6"/>
      <c r="QDD83" s="6"/>
      <c r="QDE83" s="6"/>
      <c r="QDF83" s="6"/>
      <c r="QDG83" s="6"/>
      <c r="QDH83" s="6"/>
      <c r="QDI83" s="6"/>
      <c r="QDJ83" s="6"/>
      <c r="QDK83" s="6"/>
      <c r="QDL83" s="6"/>
      <c r="QDM83" s="6"/>
      <c r="QDN83" s="6"/>
      <c r="QDO83" s="6"/>
      <c r="QDP83" s="6"/>
      <c r="QDQ83" s="6"/>
      <c r="QDR83" s="6"/>
      <c r="QDS83" s="6"/>
      <c r="QDT83" s="6"/>
      <c r="QDU83" s="6"/>
      <c r="QDV83" s="6"/>
      <c r="QDW83" s="6"/>
      <c r="QDX83" s="6"/>
      <c r="QDY83" s="6"/>
      <c r="QDZ83" s="6"/>
      <c r="QEA83" s="6"/>
      <c r="QEB83" s="6"/>
      <c r="QEC83" s="6"/>
      <c r="QED83" s="6"/>
      <c r="QEE83" s="6"/>
      <c r="QEF83" s="6"/>
      <c r="QEG83" s="6"/>
      <c r="QEH83" s="6"/>
      <c r="QEI83" s="6"/>
      <c r="QEJ83" s="6"/>
      <c r="QEK83" s="6"/>
      <c r="QEL83" s="6"/>
      <c r="QEM83" s="6"/>
      <c r="QEN83" s="6"/>
      <c r="QEO83" s="6"/>
      <c r="QEP83" s="6"/>
      <c r="QEQ83" s="6"/>
      <c r="QER83" s="6"/>
      <c r="QES83" s="6"/>
      <c r="QET83" s="6"/>
      <c r="QEU83" s="6"/>
      <c r="QEV83" s="6"/>
      <c r="QEW83" s="6"/>
      <c r="QEX83" s="6"/>
      <c r="QEY83" s="6"/>
      <c r="QEZ83" s="6"/>
      <c r="QFA83" s="6"/>
      <c r="QFB83" s="6"/>
      <c r="QFC83" s="6"/>
      <c r="QFD83" s="6"/>
      <c r="QFE83" s="6"/>
      <c r="QFF83" s="6"/>
      <c r="QFG83" s="6"/>
      <c r="QFH83" s="6"/>
      <c r="QFI83" s="6"/>
      <c r="QFJ83" s="6"/>
      <c r="QFK83" s="6"/>
      <c r="QFL83" s="6"/>
      <c r="QFM83" s="6"/>
      <c r="QFN83" s="6"/>
      <c r="QFO83" s="6"/>
      <c r="QFP83" s="6"/>
      <c r="QFQ83" s="6"/>
      <c r="QFR83" s="6"/>
      <c r="QFS83" s="6"/>
      <c r="QFT83" s="6"/>
      <c r="QFU83" s="6"/>
      <c r="QFV83" s="6"/>
      <c r="QFW83" s="6"/>
      <c r="QFX83" s="6"/>
      <c r="QFY83" s="6"/>
      <c r="QFZ83" s="6"/>
      <c r="QGA83" s="6"/>
      <c r="QGB83" s="6"/>
      <c r="QGC83" s="6"/>
      <c r="QGD83" s="6"/>
      <c r="QGE83" s="6"/>
      <c r="QGF83" s="6"/>
      <c r="QGG83" s="6"/>
      <c r="QGH83" s="6"/>
      <c r="QGI83" s="6"/>
      <c r="QGJ83" s="6"/>
      <c r="QGK83" s="6"/>
      <c r="QGL83" s="6"/>
      <c r="QGM83" s="6"/>
      <c r="QGN83" s="6"/>
      <c r="QGO83" s="6"/>
      <c r="QGP83" s="6"/>
      <c r="QGQ83" s="6"/>
      <c r="QGR83" s="6"/>
      <c r="QGS83" s="6"/>
      <c r="QGT83" s="6"/>
      <c r="QGU83" s="6"/>
      <c r="QGV83" s="6"/>
      <c r="QGW83" s="6"/>
      <c r="QGX83" s="6"/>
      <c r="QGY83" s="6"/>
      <c r="QGZ83" s="6"/>
      <c r="QHA83" s="6"/>
      <c r="QHB83" s="6"/>
      <c r="QHC83" s="6"/>
      <c r="QHD83" s="6"/>
      <c r="QHE83" s="6"/>
      <c r="QHF83" s="6"/>
      <c r="QHG83" s="6"/>
      <c r="QHH83" s="6"/>
      <c r="QHI83" s="6"/>
      <c r="QHJ83" s="6"/>
      <c r="QHK83" s="6"/>
      <c r="QHL83" s="6"/>
      <c r="QHM83" s="6"/>
      <c r="QHN83" s="6"/>
      <c r="QHO83" s="6"/>
      <c r="QHP83" s="6"/>
      <c r="QHQ83" s="6"/>
      <c r="QHR83" s="6"/>
      <c r="QHS83" s="6"/>
      <c r="QHT83" s="6"/>
      <c r="QHU83" s="6"/>
      <c r="QHV83" s="6"/>
      <c r="QHW83" s="6"/>
      <c r="QHX83" s="6"/>
      <c r="QHY83" s="6"/>
      <c r="QHZ83" s="6"/>
      <c r="QIA83" s="6"/>
      <c r="QIB83" s="6"/>
      <c r="QIC83" s="6"/>
      <c r="QID83" s="6"/>
      <c r="QIE83" s="6"/>
      <c r="QIF83" s="6"/>
      <c r="QIG83" s="6"/>
      <c r="QIH83" s="6"/>
      <c r="QII83" s="6"/>
      <c r="QIJ83" s="6"/>
      <c r="QIK83" s="6"/>
      <c r="QIL83" s="6"/>
      <c r="QIM83" s="6"/>
      <c r="QIN83" s="6"/>
      <c r="QIO83" s="6"/>
      <c r="QIP83" s="6"/>
      <c r="QIQ83" s="6"/>
      <c r="QIR83" s="6"/>
      <c r="QIS83" s="6"/>
      <c r="QIT83" s="6"/>
      <c r="QIU83" s="6"/>
      <c r="QIV83" s="6"/>
      <c r="QIW83" s="6"/>
      <c r="QIX83" s="6"/>
      <c r="QIY83" s="6"/>
      <c r="QIZ83" s="6"/>
      <c r="QJA83" s="6"/>
      <c r="QJB83" s="6"/>
      <c r="QJC83" s="6"/>
      <c r="QJD83" s="6"/>
      <c r="QJE83" s="6"/>
      <c r="QJF83" s="6"/>
      <c r="QJG83" s="6"/>
      <c r="QJH83" s="6"/>
      <c r="QJI83" s="6"/>
      <c r="QJJ83" s="6"/>
      <c r="QJK83" s="6"/>
      <c r="QJL83" s="6"/>
      <c r="QJM83" s="6"/>
      <c r="QJN83" s="6"/>
      <c r="QJO83" s="6"/>
      <c r="QJP83" s="6"/>
      <c r="QJQ83" s="6"/>
      <c r="QJR83" s="6"/>
      <c r="QJS83" s="6"/>
      <c r="QJT83" s="6"/>
      <c r="QJU83" s="6"/>
      <c r="QJV83" s="6"/>
      <c r="QJW83" s="6"/>
      <c r="QJX83" s="6"/>
      <c r="QJY83" s="6"/>
      <c r="QJZ83" s="6"/>
      <c r="QKA83" s="6"/>
      <c r="QKB83" s="6"/>
      <c r="QKC83" s="6"/>
      <c r="QKD83" s="6"/>
      <c r="QKE83" s="6"/>
      <c r="QKF83" s="6"/>
      <c r="QKG83" s="6"/>
      <c r="QKH83" s="6"/>
      <c r="QKI83" s="6"/>
      <c r="QKJ83" s="6"/>
      <c r="QKK83" s="6"/>
      <c r="QKL83" s="6"/>
      <c r="QKM83" s="6"/>
      <c r="QKN83" s="6"/>
      <c r="QKO83" s="6"/>
      <c r="QKP83" s="6"/>
      <c r="QKQ83" s="6"/>
      <c r="QKR83" s="6"/>
      <c r="QKS83" s="6"/>
      <c r="QKT83" s="6"/>
      <c r="QKU83" s="6"/>
      <c r="QKV83" s="6"/>
      <c r="QKW83" s="6"/>
      <c r="QKX83" s="6"/>
      <c r="QKY83" s="6"/>
      <c r="QKZ83" s="6"/>
      <c r="QLA83" s="6"/>
      <c r="QLB83" s="6"/>
      <c r="QLC83" s="6"/>
      <c r="QLD83" s="6"/>
      <c r="QLE83" s="6"/>
      <c r="QLF83" s="6"/>
      <c r="QLG83" s="6"/>
      <c r="QLH83" s="6"/>
      <c r="QLI83" s="6"/>
      <c r="QLJ83" s="6"/>
      <c r="QLK83" s="6"/>
      <c r="QLL83" s="6"/>
      <c r="QLM83" s="6"/>
      <c r="QLN83" s="6"/>
      <c r="QLO83" s="6"/>
      <c r="QLP83" s="6"/>
      <c r="QLQ83" s="6"/>
      <c r="QLR83" s="6"/>
      <c r="QLS83" s="6"/>
      <c r="QLT83" s="6"/>
      <c r="QLU83" s="6"/>
      <c r="QLV83" s="6"/>
      <c r="QLW83" s="6"/>
      <c r="QLX83" s="6"/>
      <c r="QLY83" s="6"/>
      <c r="QLZ83" s="6"/>
      <c r="QMA83" s="6"/>
      <c r="QMB83" s="6"/>
      <c r="QMC83" s="6"/>
      <c r="QMD83" s="6"/>
      <c r="QME83" s="6"/>
      <c r="QMF83" s="6"/>
      <c r="QMG83" s="6"/>
      <c r="QMH83" s="6"/>
      <c r="QMI83" s="6"/>
      <c r="QMJ83" s="6"/>
      <c r="QMK83" s="6"/>
      <c r="QML83" s="6"/>
      <c r="QMM83" s="6"/>
      <c r="QMN83" s="6"/>
      <c r="QMO83" s="6"/>
      <c r="QMP83" s="6"/>
      <c r="QMQ83" s="6"/>
      <c r="QMR83" s="6"/>
      <c r="QMS83" s="6"/>
      <c r="QMT83" s="6"/>
      <c r="QMU83" s="6"/>
      <c r="QMV83" s="6"/>
      <c r="QMW83" s="6"/>
      <c r="QMX83" s="6"/>
      <c r="QMY83" s="6"/>
      <c r="QMZ83" s="6"/>
      <c r="QNA83" s="6"/>
      <c r="QNB83" s="6"/>
      <c r="QNC83" s="6"/>
      <c r="QND83" s="6"/>
      <c r="QNE83" s="6"/>
      <c r="QNF83" s="6"/>
      <c r="QNG83" s="6"/>
      <c r="QNH83" s="6"/>
      <c r="QNI83" s="6"/>
      <c r="QNJ83" s="6"/>
      <c r="QNK83" s="6"/>
      <c r="QNL83" s="6"/>
      <c r="QNM83" s="6"/>
      <c r="QNN83" s="6"/>
      <c r="QNO83" s="6"/>
      <c r="QNP83" s="6"/>
      <c r="QNQ83" s="6"/>
      <c r="QNR83" s="6"/>
      <c r="QNS83" s="6"/>
      <c r="QNT83" s="6"/>
      <c r="QNU83" s="6"/>
      <c r="QNV83" s="6"/>
      <c r="QNW83" s="6"/>
      <c r="QNX83" s="6"/>
      <c r="QNY83" s="6"/>
      <c r="QNZ83" s="6"/>
      <c r="QOA83" s="6"/>
      <c r="QOB83" s="6"/>
      <c r="QOC83" s="6"/>
      <c r="QOD83" s="6"/>
      <c r="QOE83" s="6"/>
      <c r="QOF83" s="6"/>
      <c r="QOG83" s="6"/>
      <c r="QOH83" s="6"/>
      <c r="QOI83" s="6"/>
      <c r="QOJ83" s="6"/>
      <c r="QOK83" s="6"/>
      <c r="QOL83" s="6"/>
      <c r="QOM83" s="6"/>
      <c r="QON83" s="6"/>
      <c r="QOO83" s="6"/>
      <c r="QOP83" s="6"/>
      <c r="QOQ83" s="6"/>
      <c r="QOR83" s="6"/>
      <c r="QOS83" s="6"/>
      <c r="QOT83" s="6"/>
      <c r="QOU83" s="6"/>
      <c r="QOV83" s="6"/>
      <c r="QOW83" s="6"/>
      <c r="QOX83" s="6"/>
      <c r="QOY83" s="6"/>
      <c r="QOZ83" s="6"/>
      <c r="QPA83" s="6"/>
      <c r="QPB83" s="6"/>
      <c r="QPC83" s="6"/>
      <c r="QPD83" s="6"/>
      <c r="QPE83" s="6"/>
      <c r="QPF83" s="6"/>
      <c r="QPG83" s="6"/>
      <c r="QPH83" s="6"/>
      <c r="QPI83" s="6"/>
      <c r="QPJ83" s="6"/>
      <c r="QPK83" s="6"/>
      <c r="QPL83" s="6"/>
      <c r="QPM83" s="6"/>
      <c r="QPN83" s="6"/>
      <c r="QPO83" s="6"/>
      <c r="QPP83" s="6"/>
      <c r="QPQ83" s="6"/>
      <c r="QPR83" s="6"/>
      <c r="QPS83" s="6"/>
      <c r="QPT83" s="6"/>
      <c r="QPU83" s="6"/>
      <c r="QPV83" s="6"/>
      <c r="QPW83" s="6"/>
      <c r="QPX83" s="6"/>
      <c r="QPY83" s="6"/>
      <c r="QPZ83" s="6"/>
      <c r="QQA83" s="6"/>
      <c r="QQB83" s="6"/>
      <c r="QQC83" s="6"/>
      <c r="QQD83" s="6"/>
      <c r="QQE83" s="6"/>
      <c r="QQF83" s="6"/>
      <c r="QQG83" s="6"/>
      <c r="QQH83" s="6"/>
      <c r="QQI83" s="6"/>
      <c r="QQJ83" s="6"/>
      <c r="QQK83" s="6"/>
      <c r="QQL83" s="6"/>
      <c r="QQM83" s="6"/>
      <c r="QQN83" s="6"/>
      <c r="QQO83" s="6"/>
      <c r="QQP83" s="6"/>
      <c r="QQQ83" s="6"/>
      <c r="QQR83" s="6"/>
      <c r="QQS83" s="6"/>
      <c r="QQT83" s="6"/>
      <c r="QQU83" s="6"/>
      <c r="QQV83" s="6"/>
      <c r="QQW83" s="6"/>
      <c r="QQX83" s="6"/>
      <c r="QQY83" s="6"/>
      <c r="QQZ83" s="6"/>
      <c r="QRA83" s="6"/>
      <c r="QRB83" s="6"/>
      <c r="QRC83" s="6"/>
      <c r="QRD83" s="6"/>
      <c r="QRE83" s="6"/>
      <c r="QRF83" s="6"/>
      <c r="QRG83" s="6"/>
      <c r="QRH83" s="6"/>
      <c r="QRI83" s="6"/>
      <c r="QRJ83" s="6"/>
      <c r="QRK83" s="6"/>
      <c r="QRL83" s="6"/>
      <c r="QRM83" s="6"/>
      <c r="QRN83" s="6"/>
      <c r="QRO83" s="6"/>
      <c r="QRP83" s="6"/>
      <c r="QRQ83" s="6"/>
      <c r="QRR83" s="6"/>
      <c r="QRS83" s="6"/>
      <c r="QRT83" s="6"/>
      <c r="QRU83" s="6"/>
      <c r="QRV83" s="6"/>
      <c r="QRW83" s="6"/>
      <c r="QRX83" s="6"/>
      <c r="QRY83" s="6"/>
      <c r="QRZ83" s="6"/>
      <c r="QSA83" s="6"/>
      <c r="QSB83" s="6"/>
      <c r="QSC83" s="6"/>
      <c r="QSD83" s="6"/>
      <c r="QSE83" s="6"/>
      <c r="QSF83" s="6"/>
      <c r="QSG83" s="6"/>
      <c r="QSH83" s="6"/>
      <c r="QSI83" s="6"/>
      <c r="QSJ83" s="6"/>
      <c r="QSK83" s="6"/>
      <c r="QSL83" s="6"/>
      <c r="QSM83" s="6"/>
      <c r="QSN83" s="6"/>
      <c r="QSO83" s="6"/>
      <c r="QSP83" s="6"/>
      <c r="QSQ83" s="6"/>
      <c r="QSR83" s="6"/>
      <c r="QSS83" s="6"/>
      <c r="QST83" s="6"/>
      <c r="QSU83" s="6"/>
      <c r="QSV83" s="6"/>
      <c r="QSW83" s="6"/>
      <c r="QSX83" s="6"/>
      <c r="QSY83" s="6"/>
      <c r="QSZ83" s="6"/>
      <c r="QTA83" s="6"/>
      <c r="QTB83" s="6"/>
      <c r="QTC83" s="6"/>
      <c r="QTD83" s="6"/>
      <c r="QTE83" s="6"/>
      <c r="QTF83" s="6"/>
      <c r="QTG83" s="6"/>
      <c r="QTH83" s="6"/>
      <c r="QTI83" s="6"/>
      <c r="QTJ83" s="6"/>
      <c r="QTK83" s="6"/>
      <c r="QTL83" s="6"/>
      <c r="QTM83" s="6"/>
      <c r="QTN83" s="6"/>
      <c r="QTO83" s="6"/>
      <c r="QTP83" s="6"/>
      <c r="QTQ83" s="6"/>
      <c r="QTR83" s="6"/>
      <c r="QTS83" s="6"/>
      <c r="QTT83" s="6"/>
      <c r="QTU83" s="6"/>
      <c r="QTV83" s="6"/>
      <c r="QTW83" s="6"/>
      <c r="QTX83" s="6"/>
      <c r="QTY83" s="6"/>
      <c r="QTZ83" s="6"/>
      <c r="QUA83" s="6"/>
      <c r="QUB83" s="6"/>
      <c r="QUC83" s="6"/>
      <c r="QUD83" s="6"/>
      <c r="QUE83" s="6"/>
      <c r="QUF83" s="6"/>
      <c r="QUG83" s="6"/>
      <c r="QUH83" s="6"/>
      <c r="QUI83" s="6"/>
      <c r="QUJ83" s="6"/>
      <c r="QUK83" s="6"/>
      <c r="QUL83" s="6"/>
      <c r="QUM83" s="6"/>
      <c r="QUN83" s="6"/>
      <c r="QUO83" s="6"/>
      <c r="QUP83" s="6"/>
      <c r="QUQ83" s="6"/>
      <c r="QUR83" s="6"/>
      <c r="QUS83" s="6"/>
      <c r="QUT83" s="6"/>
      <c r="QUU83" s="6"/>
      <c r="QUV83" s="6"/>
      <c r="QUW83" s="6"/>
      <c r="QUX83" s="6"/>
      <c r="QUY83" s="6"/>
      <c r="QUZ83" s="6"/>
      <c r="QVA83" s="6"/>
      <c r="QVB83" s="6"/>
      <c r="QVC83" s="6"/>
      <c r="QVD83" s="6"/>
      <c r="QVE83" s="6"/>
      <c r="QVF83" s="6"/>
      <c r="QVG83" s="6"/>
      <c r="QVH83" s="6"/>
      <c r="QVI83" s="6"/>
      <c r="QVJ83" s="6"/>
      <c r="QVK83" s="6"/>
      <c r="QVL83" s="6"/>
      <c r="QVM83" s="6"/>
      <c r="QVN83" s="6"/>
      <c r="QVO83" s="6"/>
      <c r="QVP83" s="6"/>
      <c r="QVQ83" s="6"/>
      <c r="QVR83" s="6"/>
      <c r="QVS83" s="6"/>
      <c r="QVT83" s="6"/>
      <c r="QVU83" s="6"/>
      <c r="QVV83" s="6"/>
      <c r="QVW83" s="6"/>
      <c r="QVX83" s="6"/>
      <c r="QVY83" s="6"/>
      <c r="QVZ83" s="6"/>
      <c r="QWA83" s="6"/>
      <c r="QWB83" s="6"/>
      <c r="QWC83" s="6"/>
      <c r="QWD83" s="6"/>
      <c r="QWE83" s="6"/>
      <c r="QWF83" s="6"/>
      <c r="QWG83" s="6"/>
      <c r="QWH83" s="6"/>
      <c r="QWI83" s="6"/>
      <c r="QWJ83" s="6"/>
      <c r="QWK83" s="6"/>
      <c r="QWL83" s="6"/>
      <c r="QWM83" s="6"/>
      <c r="QWN83" s="6"/>
      <c r="QWO83" s="6"/>
      <c r="QWP83" s="6"/>
      <c r="QWQ83" s="6"/>
      <c r="QWR83" s="6"/>
      <c r="QWS83" s="6"/>
      <c r="QWT83" s="6"/>
      <c r="QWU83" s="6"/>
      <c r="QWV83" s="6"/>
      <c r="QWW83" s="6"/>
      <c r="QWX83" s="6"/>
      <c r="QWY83" s="6"/>
      <c r="QWZ83" s="6"/>
      <c r="QXA83" s="6"/>
      <c r="QXB83" s="6"/>
      <c r="QXC83" s="6"/>
      <c r="QXD83" s="6"/>
      <c r="QXE83" s="6"/>
      <c r="QXF83" s="6"/>
      <c r="QXG83" s="6"/>
      <c r="QXH83" s="6"/>
      <c r="QXI83" s="6"/>
      <c r="QXJ83" s="6"/>
      <c r="QXK83" s="6"/>
      <c r="QXL83" s="6"/>
      <c r="QXM83" s="6"/>
      <c r="QXN83" s="6"/>
      <c r="QXO83" s="6"/>
      <c r="QXP83" s="6"/>
      <c r="QXQ83" s="6"/>
      <c r="QXR83" s="6"/>
      <c r="QXS83" s="6"/>
      <c r="QXT83" s="6"/>
      <c r="QXU83" s="6"/>
      <c r="QXV83" s="6"/>
      <c r="QXW83" s="6"/>
      <c r="QXX83" s="6"/>
      <c r="QXY83" s="6"/>
      <c r="QXZ83" s="6"/>
      <c r="QYA83" s="6"/>
      <c r="QYB83" s="6"/>
      <c r="QYC83" s="6"/>
      <c r="QYD83" s="6"/>
      <c r="QYE83" s="6"/>
      <c r="QYF83" s="6"/>
      <c r="QYG83" s="6"/>
      <c r="QYH83" s="6"/>
      <c r="QYI83" s="6"/>
      <c r="QYJ83" s="6"/>
      <c r="QYK83" s="6"/>
      <c r="QYL83" s="6"/>
      <c r="QYM83" s="6"/>
      <c r="QYN83" s="6"/>
      <c r="QYO83" s="6"/>
      <c r="QYP83" s="6"/>
      <c r="QYQ83" s="6"/>
      <c r="QYR83" s="6"/>
      <c r="QYS83" s="6"/>
      <c r="QYT83" s="6"/>
      <c r="QYU83" s="6"/>
      <c r="QYV83" s="6"/>
      <c r="QYW83" s="6"/>
      <c r="QYX83" s="6"/>
      <c r="QYY83" s="6"/>
      <c r="QYZ83" s="6"/>
      <c r="QZA83" s="6"/>
      <c r="QZB83" s="6"/>
      <c r="QZC83" s="6"/>
      <c r="QZD83" s="6"/>
      <c r="QZE83" s="6"/>
      <c r="QZF83" s="6"/>
      <c r="QZG83" s="6"/>
      <c r="QZH83" s="6"/>
      <c r="QZI83" s="6"/>
      <c r="QZJ83" s="6"/>
      <c r="QZK83" s="6"/>
      <c r="QZL83" s="6"/>
      <c r="QZM83" s="6"/>
      <c r="QZN83" s="6"/>
      <c r="QZO83" s="6"/>
      <c r="QZP83" s="6"/>
      <c r="QZQ83" s="6"/>
      <c r="QZR83" s="6"/>
      <c r="QZS83" s="6"/>
      <c r="QZT83" s="6"/>
      <c r="QZU83" s="6"/>
      <c r="QZV83" s="6"/>
      <c r="QZW83" s="6"/>
      <c r="QZX83" s="6"/>
      <c r="QZY83" s="6"/>
      <c r="QZZ83" s="6"/>
      <c r="RAA83" s="6"/>
      <c r="RAB83" s="6"/>
      <c r="RAC83" s="6"/>
      <c r="RAD83" s="6"/>
      <c r="RAE83" s="6"/>
      <c r="RAF83" s="6"/>
      <c r="RAG83" s="6"/>
      <c r="RAH83" s="6"/>
      <c r="RAI83" s="6"/>
      <c r="RAJ83" s="6"/>
      <c r="RAK83" s="6"/>
      <c r="RAL83" s="6"/>
      <c r="RAM83" s="6"/>
      <c r="RAN83" s="6"/>
      <c r="RAO83" s="6"/>
      <c r="RAP83" s="6"/>
      <c r="RAQ83" s="6"/>
      <c r="RAR83" s="6"/>
      <c r="RAS83" s="6"/>
      <c r="RAT83" s="6"/>
      <c r="RAU83" s="6"/>
      <c r="RAV83" s="6"/>
      <c r="RAW83" s="6"/>
      <c r="RAX83" s="6"/>
      <c r="RAY83" s="6"/>
      <c r="RAZ83" s="6"/>
      <c r="RBA83" s="6"/>
      <c r="RBB83" s="6"/>
      <c r="RBC83" s="6"/>
      <c r="RBD83" s="6"/>
      <c r="RBE83" s="6"/>
      <c r="RBF83" s="6"/>
      <c r="RBG83" s="6"/>
      <c r="RBH83" s="6"/>
      <c r="RBI83" s="6"/>
      <c r="RBJ83" s="6"/>
      <c r="RBK83" s="6"/>
      <c r="RBL83" s="6"/>
      <c r="RBM83" s="6"/>
      <c r="RBN83" s="6"/>
      <c r="RBO83" s="6"/>
      <c r="RBP83" s="6"/>
      <c r="RBQ83" s="6"/>
      <c r="RBR83" s="6"/>
      <c r="RBS83" s="6"/>
      <c r="RBT83" s="6"/>
      <c r="RBU83" s="6"/>
      <c r="RBV83" s="6"/>
      <c r="RBW83" s="6"/>
      <c r="RBX83" s="6"/>
      <c r="RBY83" s="6"/>
      <c r="RBZ83" s="6"/>
      <c r="RCA83" s="6"/>
      <c r="RCB83" s="6"/>
      <c r="RCC83" s="6"/>
      <c r="RCD83" s="6"/>
      <c r="RCE83" s="6"/>
      <c r="RCF83" s="6"/>
      <c r="RCG83" s="6"/>
      <c r="RCH83" s="6"/>
      <c r="RCI83" s="6"/>
      <c r="RCJ83" s="6"/>
      <c r="RCK83" s="6"/>
      <c r="RCL83" s="6"/>
      <c r="RCM83" s="6"/>
      <c r="RCN83" s="6"/>
      <c r="RCO83" s="6"/>
      <c r="RCP83" s="6"/>
      <c r="RCQ83" s="6"/>
      <c r="RCR83" s="6"/>
      <c r="RCS83" s="6"/>
      <c r="RCT83" s="6"/>
      <c r="RCU83" s="6"/>
      <c r="RCV83" s="6"/>
      <c r="RCW83" s="6"/>
      <c r="RCX83" s="6"/>
      <c r="RCY83" s="6"/>
      <c r="RCZ83" s="6"/>
      <c r="RDA83" s="6"/>
      <c r="RDB83" s="6"/>
      <c r="RDC83" s="6"/>
      <c r="RDD83" s="6"/>
      <c r="RDE83" s="6"/>
      <c r="RDF83" s="6"/>
      <c r="RDG83" s="6"/>
      <c r="RDH83" s="6"/>
      <c r="RDI83" s="6"/>
      <c r="RDJ83" s="6"/>
      <c r="RDK83" s="6"/>
      <c r="RDL83" s="6"/>
      <c r="RDM83" s="6"/>
      <c r="RDN83" s="6"/>
      <c r="RDO83" s="6"/>
      <c r="RDP83" s="6"/>
      <c r="RDQ83" s="6"/>
      <c r="RDR83" s="6"/>
      <c r="RDS83" s="6"/>
      <c r="RDT83" s="6"/>
      <c r="RDU83" s="6"/>
      <c r="RDV83" s="6"/>
      <c r="RDW83" s="6"/>
      <c r="RDX83" s="6"/>
      <c r="RDY83" s="6"/>
      <c r="RDZ83" s="6"/>
      <c r="REA83" s="6"/>
      <c r="REB83" s="6"/>
      <c r="REC83" s="6"/>
      <c r="RED83" s="6"/>
      <c r="REE83" s="6"/>
      <c r="REF83" s="6"/>
      <c r="REG83" s="6"/>
      <c r="REH83" s="6"/>
      <c r="REI83" s="6"/>
      <c r="REJ83" s="6"/>
      <c r="REK83" s="6"/>
      <c r="REL83" s="6"/>
      <c r="REM83" s="6"/>
      <c r="REN83" s="6"/>
      <c r="REO83" s="6"/>
      <c r="REP83" s="6"/>
      <c r="REQ83" s="6"/>
      <c r="RER83" s="6"/>
      <c r="RES83" s="6"/>
      <c r="RET83" s="6"/>
      <c r="REU83" s="6"/>
      <c r="REV83" s="6"/>
      <c r="REW83" s="6"/>
      <c r="REX83" s="6"/>
      <c r="REY83" s="6"/>
      <c r="REZ83" s="6"/>
      <c r="RFA83" s="6"/>
      <c r="RFB83" s="6"/>
      <c r="RFC83" s="6"/>
      <c r="RFD83" s="6"/>
      <c r="RFE83" s="6"/>
      <c r="RFF83" s="6"/>
      <c r="RFG83" s="6"/>
      <c r="RFH83" s="6"/>
      <c r="RFI83" s="6"/>
      <c r="RFJ83" s="6"/>
      <c r="RFK83" s="6"/>
      <c r="RFL83" s="6"/>
      <c r="RFM83" s="6"/>
      <c r="RFN83" s="6"/>
      <c r="RFO83" s="6"/>
      <c r="RFP83" s="6"/>
      <c r="RFQ83" s="6"/>
      <c r="RFR83" s="6"/>
      <c r="RFS83" s="6"/>
      <c r="RFT83" s="6"/>
      <c r="RFU83" s="6"/>
      <c r="RFV83" s="6"/>
      <c r="RFW83" s="6"/>
      <c r="RFX83" s="6"/>
      <c r="RFY83" s="6"/>
      <c r="RFZ83" s="6"/>
      <c r="RGA83" s="6"/>
      <c r="RGB83" s="6"/>
      <c r="RGC83" s="6"/>
      <c r="RGD83" s="6"/>
      <c r="RGE83" s="6"/>
      <c r="RGF83" s="6"/>
      <c r="RGG83" s="6"/>
      <c r="RGH83" s="6"/>
      <c r="RGI83" s="6"/>
      <c r="RGJ83" s="6"/>
      <c r="RGK83" s="6"/>
      <c r="RGL83" s="6"/>
      <c r="RGM83" s="6"/>
      <c r="RGN83" s="6"/>
      <c r="RGO83" s="6"/>
      <c r="RGP83" s="6"/>
      <c r="RGQ83" s="6"/>
      <c r="RGR83" s="6"/>
      <c r="RGS83" s="6"/>
      <c r="RGT83" s="6"/>
      <c r="RGU83" s="6"/>
      <c r="RGV83" s="6"/>
      <c r="RGW83" s="6"/>
      <c r="RGX83" s="6"/>
      <c r="RGY83" s="6"/>
      <c r="RGZ83" s="6"/>
      <c r="RHA83" s="6"/>
      <c r="RHB83" s="6"/>
      <c r="RHC83" s="6"/>
      <c r="RHD83" s="6"/>
      <c r="RHE83" s="6"/>
      <c r="RHF83" s="6"/>
      <c r="RHG83" s="6"/>
      <c r="RHH83" s="6"/>
      <c r="RHI83" s="6"/>
      <c r="RHJ83" s="6"/>
      <c r="RHK83" s="6"/>
      <c r="RHL83" s="6"/>
      <c r="RHM83" s="6"/>
      <c r="RHN83" s="6"/>
      <c r="RHO83" s="6"/>
      <c r="RHP83" s="6"/>
      <c r="RHQ83" s="6"/>
      <c r="RHR83" s="6"/>
      <c r="RHS83" s="6"/>
      <c r="RHT83" s="6"/>
      <c r="RHU83" s="6"/>
      <c r="RHV83" s="6"/>
      <c r="RHW83" s="6"/>
      <c r="RHX83" s="6"/>
      <c r="RHY83" s="6"/>
      <c r="RHZ83" s="6"/>
      <c r="RIA83" s="6"/>
      <c r="RIB83" s="6"/>
      <c r="RIC83" s="6"/>
      <c r="RID83" s="6"/>
      <c r="RIE83" s="6"/>
      <c r="RIF83" s="6"/>
      <c r="RIG83" s="6"/>
      <c r="RIH83" s="6"/>
      <c r="RII83" s="6"/>
      <c r="RIJ83" s="6"/>
      <c r="RIK83" s="6"/>
      <c r="RIL83" s="6"/>
      <c r="RIM83" s="6"/>
      <c r="RIN83" s="6"/>
      <c r="RIO83" s="6"/>
      <c r="RIP83" s="6"/>
      <c r="RIQ83" s="6"/>
      <c r="RIR83" s="6"/>
      <c r="RIS83" s="6"/>
      <c r="RIT83" s="6"/>
      <c r="RIU83" s="6"/>
      <c r="RIV83" s="6"/>
      <c r="RIW83" s="6"/>
      <c r="RIX83" s="6"/>
      <c r="RIY83" s="6"/>
      <c r="RIZ83" s="6"/>
      <c r="RJA83" s="6"/>
      <c r="RJB83" s="6"/>
      <c r="RJC83" s="6"/>
      <c r="RJD83" s="6"/>
      <c r="RJE83" s="6"/>
      <c r="RJF83" s="6"/>
      <c r="RJG83" s="6"/>
      <c r="RJH83" s="6"/>
      <c r="RJI83" s="6"/>
      <c r="RJJ83" s="6"/>
      <c r="RJK83" s="6"/>
      <c r="RJL83" s="6"/>
      <c r="RJM83" s="6"/>
      <c r="RJN83" s="6"/>
      <c r="RJO83" s="6"/>
      <c r="RJP83" s="6"/>
      <c r="RJQ83" s="6"/>
      <c r="RJR83" s="6"/>
      <c r="RJS83" s="6"/>
      <c r="RJT83" s="6"/>
      <c r="RJU83" s="6"/>
      <c r="RJV83" s="6"/>
      <c r="RJW83" s="6"/>
      <c r="RJX83" s="6"/>
      <c r="RJY83" s="6"/>
      <c r="RJZ83" s="6"/>
      <c r="RKA83" s="6"/>
      <c r="RKB83" s="6"/>
      <c r="RKC83" s="6"/>
      <c r="RKD83" s="6"/>
      <c r="RKE83" s="6"/>
      <c r="RKF83" s="6"/>
      <c r="RKG83" s="6"/>
      <c r="RKH83" s="6"/>
      <c r="RKI83" s="6"/>
      <c r="RKJ83" s="6"/>
      <c r="RKK83" s="6"/>
      <c r="RKL83" s="6"/>
      <c r="RKM83" s="6"/>
      <c r="RKN83" s="6"/>
      <c r="RKO83" s="6"/>
      <c r="RKP83" s="6"/>
      <c r="RKQ83" s="6"/>
      <c r="RKR83" s="6"/>
      <c r="RKS83" s="6"/>
      <c r="RKT83" s="6"/>
      <c r="RKU83" s="6"/>
      <c r="RKV83" s="6"/>
      <c r="RKW83" s="6"/>
      <c r="RKX83" s="6"/>
      <c r="RKY83" s="6"/>
      <c r="RKZ83" s="6"/>
      <c r="RLA83" s="6"/>
      <c r="RLB83" s="6"/>
      <c r="RLC83" s="6"/>
      <c r="RLD83" s="6"/>
      <c r="RLE83" s="6"/>
      <c r="RLF83" s="6"/>
      <c r="RLG83" s="6"/>
      <c r="RLH83" s="6"/>
      <c r="RLI83" s="6"/>
      <c r="RLJ83" s="6"/>
      <c r="RLK83" s="6"/>
      <c r="RLL83" s="6"/>
      <c r="RLM83" s="6"/>
      <c r="RLN83" s="6"/>
      <c r="RLO83" s="6"/>
      <c r="RLP83" s="6"/>
      <c r="RLQ83" s="6"/>
      <c r="RLR83" s="6"/>
      <c r="RLS83" s="6"/>
      <c r="RLT83" s="6"/>
      <c r="RLU83" s="6"/>
      <c r="RLV83" s="6"/>
      <c r="RLW83" s="6"/>
      <c r="RLX83" s="6"/>
      <c r="RLY83" s="6"/>
      <c r="RLZ83" s="6"/>
      <c r="RMA83" s="6"/>
      <c r="RMB83" s="6"/>
      <c r="RMC83" s="6"/>
      <c r="RMD83" s="6"/>
      <c r="RME83" s="6"/>
      <c r="RMF83" s="6"/>
      <c r="RMG83" s="6"/>
      <c r="RMH83" s="6"/>
      <c r="RMI83" s="6"/>
      <c r="RMJ83" s="6"/>
      <c r="RMK83" s="6"/>
      <c r="RML83" s="6"/>
      <c r="RMM83" s="6"/>
      <c r="RMN83" s="6"/>
      <c r="RMO83" s="6"/>
      <c r="RMP83" s="6"/>
      <c r="RMQ83" s="6"/>
      <c r="RMR83" s="6"/>
      <c r="RMS83" s="6"/>
      <c r="RMT83" s="6"/>
      <c r="RMU83" s="6"/>
      <c r="RMV83" s="6"/>
      <c r="RMW83" s="6"/>
      <c r="RMX83" s="6"/>
      <c r="RMY83" s="6"/>
      <c r="RMZ83" s="6"/>
      <c r="RNA83" s="6"/>
      <c r="RNB83" s="6"/>
      <c r="RNC83" s="6"/>
      <c r="RND83" s="6"/>
      <c r="RNE83" s="6"/>
      <c r="RNF83" s="6"/>
      <c r="RNG83" s="6"/>
      <c r="RNH83" s="6"/>
      <c r="RNI83" s="6"/>
      <c r="RNJ83" s="6"/>
      <c r="RNK83" s="6"/>
      <c r="RNL83" s="6"/>
      <c r="RNM83" s="6"/>
      <c r="RNN83" s="6"/>
      <c r="RNO83" s="6"/>
      <c r="RNP83" s="6"/>
      <c r="RNQ83" s="6"/>
      <c r="RNR83" s="6"/>
      <c r="RNS83" s="6"/>
      <c r="RNT83" s="6"/>
      <c r="RNU83" s="6"/>
      <c r="RNV83" s="6"/>
      <c r="RNW83" s="6"/>
      <c r="RNX83" s="6"/>
      <c r="RNY83" s="6"/>
      <c r="RNZ83" s="6"/>
      <c r="ROA83" s="6"/>
      <c r="ROB83" s="6"/>
      <c r="ROC83" s="6"/>
      <c r="ROD83" s="6"/>
      <c r="ROE83" s="6"/>
      <c r="ROF83" s="6"/>
      <c r="ROG83" s="6"/>
      <c r="ROH83" s="6"/>
      <c r="ROI83" s="6"/>
      <c r="ROJ83" s="6"/>
      <c r="ROK83" s="6"/>
      <c r="ROL83" s="6"/>
      <c r="ROM83" s="6"/>
      <c r="RON83" s="6"/>
      <c r="ROO83" s="6"/>
      <c r="ROP83" s="6"/>
      <c r="ROQ83" s="6"/>
      <c r="ROR83" s="6"/>
      <c r="ROS83" s="6"/>
      <c r="ROT83" s="6"/>
      <c r="ROU83" s="6"/>
      <c r="ROV83" s="6"/>
      <c r="ROW83" s="6"/>
      <c r="ROX83" s="6"/>
      <c r="ROY83" s="6"/>
      <c r="ROZ83" s="6"/>
      <c r="RPA83" s="6"/>
      <c r="RPB83" s="6"/>
      <c r="RPC83" s="6"/>
      <c r="RPD83" s="6"/>
      <c r="RPE83" s="6"/>
      <c r="RPF83" s="6"/>
      <c r="RPG83" s="6"/>
      <c r="RPH83" s="6"/>
      <c r="RPI83" s="6"/>
      <c r="RPJ83" s="6"/>
      <c r="RPK83" s="6"/>
      <c r="RPL83" s="6"/>
      <c r="RPM83" s="6"/>
      <c r="RPN83" s="6"/>
      <c r="RPO83" s="6"/>
      <c r="RPP83" s="6"/>
      <c r="RPQ83" s="6"/>
      <c r="RPR83" s="6"/>
      <c r="RPS83" s="6"/>
      <c r="RPT83" s="6"/>
      <c r="RPU83" s="6"/>
      <c r="RPV83" s="6"/>
      <c r="RPW83" s="6"/>
      <c r="RPX83" s="6"/>
      <c r="RPY83" s="6"/>
      <c r="RPZ83" s="6"/>
      <c r="RQA83" s="6"/>
      <c r="RQB83" s="6"/>
      <c r="RQC83" s="6"/>
      <c r="RQD83" s="6"/>
      <c r="RQE83" s="6"/>
      <c r="RQF83" s="6"/>
      <c r="RQG83" s="6"/>
      <c r="RQH83" s="6"/>
      <c r="RQI83" s="6"/>
      <c r="RQJ83" s="6"/>
      <c r="RQK83" s="6"/>
      <c r="RQL83" s="6"/>
      <c r="RQM83" s="6"/>
      <c r="RQN83" s="6"/>
      <c r="RQO83" s="6"/>
      <c r="RQP83" s="6"/>
      <c r="RQQ83" s="6"/>
      <c r="RQR83" s="6"/>
      <c r="RQS83" s="6"/>
      <c r="RQT83" s="6"/>
      <c r="RQU83" s="6"/>
      <c r="RQV83" s="6"/>
      <c r="RQW83" s="6"/>
      <c r="RQX83" s="6"/>
      <c r="RQY83" s="6"/>
      <c r="RQZ83" s="6"/>
      <c r="RRA83" s="6"/>
      <c r="RRB83" s="6"/>
      <c r="RRC83" s="6"/>
      <c r="RRD83" s="6"/>
      <c r="RRE83" s="6"/>
      <c r="RRF83" s="6"/>
      <c r="RRG83" s="6"/>
      <c r="RRH83" s="6"/>
      <c r="RRI83" s="6"/>
      <c r="RRJ83" s="6"/>
      <c r="RRK83" s="6"/>
      <c r="RRL83" s="6"/>
      <c r="RRM83" s="6"/>
      <c r="RRN83" s="6"/>
      <c r="RRO83" s="6"/>
      <c r="RRP83" s="6"/>
      <c r="RRQ83" s="6"/>
      <c r="RRR83" s="6"/>
      <c r="RRS83" s="6"/>
      <c r="RRT83" s="6"/>
      <c r="RRU83" s="6"/>
      <c r="RRV83" s="6"/>
      <c r="RRW83" s="6"/>
      <c r="RRX83" s="6"/>
      <c r="RRY83" s="6"/>
      <c r="RRZ83" s="6"/>
      <c r="RSA83" s="6"/>
      <c r="RSB83" s="6"/>
      <c r="RSC83" s="6"/>
      <c r="RSD83" s="6"/>
      <c r="RSE83" s="6"/>
      <c r="RSF83" s="6"/>
      <c r="RSG83" s="6"/>
      <c r="RSH83" s="6"/>
      <c r="RSI83" s="6"/>
      <c r="RSJ83" s="6"/>
      <c r="RSK83" s="6"/>
      <c r="RSL83" s="6"/>
      <c r="RSM83" s="6"/>
      <c r="RSN83" s="6"/>
      <c r="RSO83" s="6"/>
      <c r="RSP83" s="6"/>
      <c r="RSQ83" s="6"/>
      <c r="RSR83" s="6"/>
      <c r="RSS83" s="6"/>
      <c r="RST83" s="6"/>
      <c r="RSU83" s="6"/>
      <c r="RSV83" s="6"/>
      <c r="RSW83" s="6"/>
      <c r="RSX83" s="6"/>
      <c r="RSY83" s="6"/>
      <c r="RSZ83" s="6"/>
      <c r="RTA83" s="6"/>
      <c r="RTB83" s="6"/>
      <c r="RTC83" s="6"/>
      <c r="RTD83" s="6"/>
      <c r="RTE83" s="6"/>
      <c r="RTF83" s="6"/>
      <c r="RTG83" s="6"/>
      <c r="RTH83" s="6"/>
      <c r="RTI83" s="6"/>
      <c r="RTJ83" s="6"/>
      <c r="RTK83" s="6"/>
      <c r="RTL83" s="6"/>
      <c r="RTM83" s="6"/>
      <c r="RTN83" s="6"/>
      <c r="RTO83" s="6"/>
      <c r="RTP83" s="6"/>
      <c r="RTQ83" s="6"/>
      <c r="RTR83" s="6"/>
      <c r="RTS83" s="6"/>
      <c r="RTT83" s="6"/>
      <c r="RTU83" s="6"/>
      <c r="RTV83" s="6"/>
      <c r="RTW83" s="6"/>
      <c r="RTX83" s="6"/>
      <c r="RTY83" s="6"/>
      <c r="RTZ83" s="6"/>
      <c r="RUA83" s="6"/>
      <c r="RUB83" s="6"/>
      <c r="RUC83" s="6"/>
      <c r="RUD83" s="6"/>
      <c r="RUE83" s="6"/>
      <c r="RUF83" s="6"/>
      <c r="RUG83" s="6"/>
      <c r="RUH83" s="6"/>
      <c r="RUI83" s="6"/>
      <c r="RUJ83" s="6"/>
      <c r="RUK83" s="6"/>
      <c r="RUL83" s="6"/>
      <c r="RUM83" s="6"/>
      <c r="RUN83" s="6"/>
      <c r="RUO83" s="6"/>
      <c r="RUP83" s="6"/>
      <c r="RUQ83" s="6"/>
      <c r="RUR83" s="6"/>
      <c r="RUS83" s="6"/>
      <c r="RUT83" s="6"/>
      <c r="RUU83" s="6"/>
      <c r="RUV83" s="6"/>
      <c r="RUW83" s="6"/>
      <c r="RUX83" s="6"/>
      <c r="RUY83" s="6"/>
      <c r="RUZ83" s="6"/>
      <c r="RVA83" s="6"/>
      <c r="RVB83" s="6"/>
      <c r="RVC83" s="6"/>
      <c r="RVD83" s="6"/>
      <c r="RVE83" s="6"/>
      <c r="RVF83" s="6"/>
      <c r="RVG83" s="6"/>
      <c r="RVH83" s="6"/>
      <c r="RVI83" s="6"/>
      <c r="RVJ83" s="6"/>
      <c r="RVK83" s="6"/>
      <c r="RVL83" s="6"/>
      <c r="RVM83" s="6"/>
      <c r="RVN83" s="6"/>
      <c r="RVO83" s="6"/>
      <c r="RVP83" s="6"/>
      <c r="RVQ83" s="6"/>
      <c r="RVR83" s="6"/>
      <c r="RVS83" s="6"/>
      <c r="RVT83" s="6"/>
      <c r="RVU83" s="6"/>
      <c r="RVV83" s="6"/>
      <c r="RVW83" s="6"/>
      <c r="RVX83" s="6"/>
      <c r="RVY83" s="6"/>
      <c r="RVZ83" s="6"/>
      <c r="RWA83" s="6"/>
      <c r="RWB83" s="6"/>
      <c r="RWC83" s="6"/>
      <c r="RWD83" s="6"/>
      <c r="RWE83" s="6"/>
      <c r="RWF83" s="6"/>
      <c r="RWG83" s="6"/>
      <c r="RWH83" s="6"/>
      <c r="RWI83" s="6"/>
      <c r="RWJ83" s="6"/>
      <c r="RWK83" s="6"/>
      <c r="RWL83" s="6"/>
      <c r="RWM83" s="6"/>
      <c r="RWN83" s="6"/>
      <c r="RWO83" s="6"/>
      <c r="RWP83" s="6"/>
      <c r="RWQ83" s="6"/>
      <c r="RWR83" s="6"/>
      <c r="RWS83" s="6"/>
      <c r="RWT83" s="6"/>
      <c r="RWU83" s="6"/>
      <c r="RWV83" s="6"/>
      <c r="RWW83" s="6"/>
      <c r="RWX83" s="6"/>
      <c r="RWY83" s="6"/>
      <c r="RWZ83" s="6"/>
      <c r="RXA83" s="6"/>
      <c r="RXB83" s="6"/>
      <c r="RXC83" s="6"/>
      <c r="RXD83" s="6"/>
      <c r="RXE83" s="6"/>
      <c r="RXF83" s="6"/>
      <c r="RXG83" s="6"/>
      <c r="RXH83" s="6"/>
      <c r="RXI83" s="6"/>
      <c r="RXJ83" s="6"/>
      <c r="RXK83" s="6"/>
      <c r="RXL83" s="6"/>
      <c r="RXM83" s="6"/>
      <c r="RXN83" s="6"/>
      <c r="RXO83" s="6"/>
      <c r="RXP83" s="6"/>
      <c r="RXQ83" s="6"/>
      <c r="RXR83" s="6"/>
      <c r="RXS83" s="6"/>
      <c r="RXT83" s="6"/>
      <c r="RXU83" s="6"/>
      <c r="RXV83" s="6"/>
      <c r="RXW83" s="6"/>
      <c r="RXX83" s="6"/>
      <c r="RXY83" s="6"/>
      <c r="RXZ83" s="6"/>
      <c r="RYA83" s="6"/>
      <c r="RYB83" s="6"/>
      <c r="RYC83" s="6"/>
      <c r="RYD83" s="6"/>
      <c r="RYE83" s="6"/>
      <c r="RYF83" s="6"/>
      <c r="RYG83" s="6"/>
      <c r="RYH83" s="6"/>
      <c r="RYI83" s="6"/>
      <c r="RYJ83" s="6"/>
      <c r="RYK83" s="6"/>
      <c r="RYL83" s="6"/>
      <c r="RYM83" s="6"/>
      <c r="RYN83" s="6"/>
      <c r="RYO83" s="6"/>
      <c r="RYP83" s="6"/>
      <c r="RYQ83" s="6"/>
      <c r="RYR83" s="6"/>
      <c r="RYS83" s="6"/>
      <c r="RYT83" s="6"/>
      <c r="RYU83" s="6"/>
      <c r="RYV83" s="6"/>
      <c r="RYW83" s="6"/>
      <c r="RYX83" s="6"/>
      <c r="RYY83" s="6"/>
      <c r="RYZ83" s="6"/>
      <c r="RZA83" s="6"/>
      <c r="RZB83" s="6"/>
      <c r="RZC83" s="6"/>
      <c r="RZD83" s="6"/>
      <c r="RZE83" s="6"/>
      <c r="RZF83" s="6"/>
      <c r="RZG83" s="6"/>
      <c r="RZH83" s="6"/>
      <c r="RZI83" s="6"/>
      <c r="RZJ83" s="6"/>
      <c r="RZK83" s="6"/>
      <c r="RZL83" s="6"/>
      <c r="RZM83" s="6"/>
      <c r="RZN83" s="6"/>
      <c r="RZO83" s="6"/>
      <c r="RZP83" s="6"/>
      <c r="RZQ83" s="6"/>
      <c r="RZR83" s="6"/>
      <c r="RZS83" s="6"/>
      <c r="RZT83" s="6"/>
      <c r="RZU83" s="6"/>
      <c r="RZV83" s="6"/>
      <c r="RZW83" s="6"/>
      <c r="RZX83" s="6"/>
      <c r="RZY83" s="6"/>
      <c r="RZZ83" s="6"/>
      <c r="SAA83" s="6"/>
      <c r="SAB83" s="6"/>
      <c r="SAC83" s="6"/>
      <c r="SAD83" s="6"/>
      <c r="SAE83" s="6"/>
      <c r="SAF83" s="6"/>
      <c r="SAG83" s="6"/>
      <c r="SAH83" s="6"/>
      <c r="SAI83" s="6"/>
      <c r="SAJ83" s="6"/>
      <c r="SAK83" s="6"/>
      <c r="SAL83" s="6"/>
      <c r="SAM83" s="6"/>
      <c r="SAN83" s="6"/>
      <c r="SAO83" s="6"/>
      <c r="SAP83" s="6"/>
      <c r="SAQ83" s="6"/>
      <c r="SAR83" s="6"/>
      <c r="SAS83" s="6"/>
      <c r="SAT83" s="6"/>
      <c r="SAU83" s="6"/>
      <c r="SAV83" s="6"/>
      <c r="SAW83" s="6"/>
      <c r="SAX83" s="6"/>
      <c r="SAY83" s="6"/>
      <c r="SAZ83" s="6"/>
      <c r="SBA83" s="6"/>
      <c r="SBB83" s="6"/>
      <c r="SBC83" s="6"/>
      <c r="SBD83" s="6"/>
      <c r="SBE83" s="6"/>
      <c r="SBF83" s="6"/>
      <c r="SBG83" s="6"/>
      <c r="SBH83" s="6"/>
      <c r="SBI83" s="6"/>
      <c r="SBJ83" s="6"/>
      <c r="SBK83" s="6"/>
      <c r="SBL83" s="6"/>
      <c r="SBM83" s="6"/>
      <c r="SBN83" s="6"/>
      <c r="SBO83" s="6"/>
      <c r="SBP83" s="6"/>
      <c r="SBQ83" s="6"/>
      <c r="SBR83" s="6"/>
      <c r="SBS83" s="6"/>
      <c r="SBT83" s="6"/>
      <c r="SBU83" s="6"/>
      <c r="SBV83" s="6"/>
      <c r="SBW83" s="6"/>
      <c r="SBX83" s="6"/>
      <c r="SBY83" s="6"/>
      <c r="SBZ83" s="6"/>
      <c r="SCA83" s="6"/>
      <c r="SCB83" s="6"/>
      <c r="SCC83" s="6"/>
      <c r="SCD83" s="6"/>
      <c r="SCE83" s="6"/>
      <c r="SCF83" s="6"/>
      <c r="SCG83" s="6"/>
      <c r="SCH83" s="6"/>
      <c r="SCI83" s="6"/>
      <c r="SCJ83" s="6"/>
      <c r="SCK83" s="6"/>
      <c r="SCL83" s="6"/>
      <c r="SCM83" s="6"/>
      <c r="SCN83" s="6"/>
      <c r="SCO83" s="6"/>
      <c r="SCP83" s="6"/>
      <c r="SCQ83" s="6"/>
      <c r="SCR83" s="6"/>
      <c r="SCS83" s="6"/>
      <c r="SCT83" s="6"/>
      <c r="SCU83" s="6"/>
      <c r="SCV83" s="6"/>
      <c r="SCW83" s="6"/>
      <c r="SCX83" s="6"/>
      <c r="SCY83" s="6"/>
      <c r="SCZ83" s="6"/>
      <c r="SDA83" s="6"/>
      <c r="SDB83" s="6"/>
      <c r="SDC83" s="6"/>
      <c r="SDD83" s="6"/>
      <c r="SDE83" s="6"/>
      <c r="SDF83" s="6"/>
      <c r="SDG83" s="6"/>
      <c r="SDH83" s="6"/>
      <c r="SDI83" s="6"/>
      <c r="SDJ83" s="6"/>
      <c r="SDK83" s="6"/>
      <c r="SDL83" s="6"/>
      <c r="SDM83" s="6"/>
      <c r="SDN83" s="6"/>
      <c r="SDO83" s="6"/>
      <c r="SDP83" s="6"/>
      <c r="SDQ83" s="6"/>
      <c r="SDR83" s="6"/>
      <c r="SDS83" s="6"/>
      <c r="SDT83" s="6"/>
      <c r="SDU83" s="6"/>
      <c r="SDV83" s="6"/>
      <c r="SDW83" s="6"/>
      <c r="SDX83" s="6"/>
      <c r="SDY83" s="6"/>
      <c r="SDZ83" s="6"/>
      <c r="SEA83" s="6"/>
      <c r="SEB83" s="6"/>
      <c r="SEC83" s="6"/>
      <c r="SED83" s="6"/>
      <c r="SEE83" s="6"/>
      <c r="SEF83" s="6"/>
      <c r="SEG83" s="6"/>
      <c r="SEH83" s="6"/>
      <c r="SEI83" s="6"/>
      <c r="SEJ83" s="6"/>
      <c r="SEK83" s="6"/>
      <c r="SEL83" s="6"/>
      <c r="SEM83" s="6"/>
      <c r="SEN83" s="6"/>
      <c r="SEO83" s="6"/>
      <c r="SEP83" s="6"/>
      <c r="SEQ83" s="6"/>
      <c r="SER83" s="6"/>
      <c r="SES83" s="6"/>
      <c r="SET83" s="6"/>
      <c r="SEU83" s="6"/>
      <c r="SEV83" s="6"/>
      <c r="SEW83" s="6"/>
      <c r="SEX83" s="6"/>
      <c r="SEY83" s="6"/>
      <c r="SEZ83" s="6"/>
      <c r="SFA83" s="6"/>
      <c r="SFB83" s="6"/>
      <c r="SFC83" s="6"/>
      <c r="SFD83" s="6"/>
      <c r="SFE83" s="6"/>
      <c r="SFF83" s="6"/>
      <c r="SFG83" s="6"/>
      <c r="SFH83" s="6"/>
      <c r="SFI83" s="6"/>
      <c r="SFJ83" s="6"/>
      <c r="SFK83" s="6"/>
      <c r="SFL83" s="6"/>
      <c r="SFM83" s="6"/>
      <c r="SFN83" s="6"/>
      <c r="SFO83" s="6"/>
      <c r="SFP83" s="6"/>
      <c r="SFQ83" s="6"/>
      <c r="SFR83" s="6"/>
      <c r="SFS83" s="6"/>
      <c r="SFT83" s="6"/>
      <c r="SFU83" s="6"/>
      <c r="SFV83" s="6"/>
      <c r="SFW83" s="6"/>
      <c r="SFX83" s="6"/>
      <c r="SFY83" s="6"/>
      <c r="SFZ83" s="6"/>
      <c r="SGA83" s="6"/>
      <c r="SGB83" s="6"/>
      <c r="SGC83" s="6"/>
      <c r="SGD83" s="6"/>
      <c r="SGE83" s="6"/>
      <c r="SGF83" s="6"/>
      <c r="SGG83" s="6"/>
      <c r="SGH83" s="6"/>
      <c r="SGI83" s="6"/>
      <c r="SGJ83" s="6"/>
      <c r="SGK83" s="6"/>
      <c r="SGL83" s="6"/>
      <c r="SGM83" s="6"/>
      <c r="SGN83" s="6"/>
      <c r="SGO83" s="6"/>
      <c r="SGP83" s="6"/>
      <c r="SGQ83" s="6"/>
      <c r="SGR83" s="6"/>
      <c r="SGS83" s="6"/>
      <c r="SGT83" s="6"/>
      <c r="SGU83" s="6"/>
      <c r="SGV83" s="6"/>
      <c r="SGW83" s="6"/>
      <c r="SGX83" s="6"/>
      <c r="SGY83" s="6"/>
      <c r="SGZ83" s="6"/>
      <c r="SHA83" s="6"/>
      <c r="SHB83" s="6"/>
      <c r="SHC83" s="6"/>
      <c r="SHD83" s="6"/>
      <c r="SHE83" s="6"/>
      <c r="SHF83" s="6"/>
      <c r="SHG83" s="6"/>
      <c r="SHH83" s="6"/>
      <c r="SHI83" s="6"/>
      <c r="SHJ83" s="6"/>
      <c r="SHK83" s="6"/>
      <c r="SHL83" s="6"/>
      <c r="SHM83" s="6"/>
      <c r="SHN83" s="6"/>
      <c r="SHO83" s="6"/>
      <c r="SHP83" s="6"/>
      <c r="SHQ83" s="6"/>
      <c r="SHR83" s="6"/>
      <c r="SHS83" s="6"/>
      <c r="SHT83" s="6"/>
      <c r="SHU83" s="6"/>
      <c r="SHV83" s="6"/>
      <c r="SHW83" s="6"/>
      <c r="SHX83" s="6"/>
      <c r="SHY83" s="6"/>
      <c r="SHZ83" s="6"/>
      <c r="SIA83" s="6"/>
      <c r="SIB83" s="6"/>
      <c r="SIC83" s="6"/>
      <c r="SID83" s="6"/>
      <c r="SIE83" s="6"/>
      <c r="SIF83" s="6"/>
      <c r="SIG83" s="6"/>
      <c r="SIH83" s="6"/>
      <c r="SII83" s="6"/>
      <c r="SIJ83" s="6"/>
      <c r="SIK83" s="6"/>
      <c r="SIL83" s="6"/>
      <c r="SIM83" s="6"/>
      <c r="SIN83" s="6"/>
      <c r="SIO83" s="6"/>
      <c r="SIP83" s="6"/>
      <c r="SIQ83" s="6"/>
      <c r="SIR83" s="6"/>
      <c r="SIS83" s="6"/>
      <c r="SIT83" s="6"/>
      <c r="SIU83" s="6"/>
      <c r="SIV83" s="6"/>
      <c r="SIW83" s="6"/>
      <c r="SIX83" s="6"/>
      <c r="SIY83" s="6"/>
      <c r="SIZ83" s="6"/>
      <c r="SJA83" s="6"/>
      <c r="SJB83" s="6"/>
      <c r="SJC83" s="6"/>
      <c r="SJD83" s="6"/>
      <c r="SJE83" s="6"/>
      <c r="SJF83" s="6"/>
      <c r="SJG83" s="6"/>
      <c r="SJH83" s="6"/>
      <c r="SJI83" s="6"/>
      <c r="SJJ83" s="6"/>
      <c r="SJK83" s="6"/>
      <c r="SJL83" s="6"/>
      <c r="SJM83" s="6"/>
      <c r="SJN83" s="6"/>
      <c r="SJO83" s="6"/>
      <c r="SJP83" s="6"/>
      <c r="SJQ83" s="6"/>
      <c r="SJR83" s="6"/>
      <c r="SJS83" s="6"/>
      <c r="SJT83" s="6"/>
      <c r="SJU83" s="6"/>
      <c r="SJV83" s="6"/>
      <c r="SJW83" s="6"/>
      <c r="SJX83" s="6"/>
      <c r="SJY83" s="6"/>
      <c r="SJZ83" s="6"/>
      <c r="SKA83" s="6"/>
      <c r="SKB83" s="6"/>
      <c r="SKC83" s="6"/>
      <c r="SKD83" s="6"/>
      <c r="SKE83" s="6"/>
      <c r="SKF83" s="6"/>
      <c r="SKG83" s="6"/>
      <c r="SKH83" s="6"/>
      <c r="SKI83" s="6"/>
      <c r="SKJ83" s="6"/>
      <c r="SKK83" s="6"/>
      <c r="SKL83" s="6"/>
      <c r="SKM83" s="6"/>
      <c r="SKN83" s="6"/>
      <c r="SKO83" s="6"/>
      <c r="SKP83" s="6"/>
      <c r="SKQ83" s="6"/>
      <c r="SKR83" s="6"/>
      <c r="SKS83" s="6"/>
      <c r="SKT83" s="6"/>
      <c r="SKU83" s="6"/>
      <c r="SKV83" s="6"/>
      <c r="SKW83" s="6"/>
      <c r="SKX83" s="6"/>
      <c r="SKY83" s="6"/>
      <c r="SKZ83" s="6"/>
      <c r="SLA83" s="6"/>
      <c r="SLB83" s="6"/>
      <c r="SLC83" s="6"/>
      <c r="SLD83" s="6"/>
      <c r="SLE83" s="6"/>
      <c r="SLF83" s="6"/>
      <c r="SLG83" s="6"/>
      <c r="SLH83" s="6"/>
      <c r="SLI83" s="6"/>
      <c r="SLJ83" s="6"/>
      <c r="SLK83" s="6"/>
      <c r="SLL83" s="6"/>
      <c r="SLM83" s="6"/>
      <c r="SLN83" s="6"/>
      <c r="SLO83" s="6"/>
      <c r="SLP83" s="6"/>
      <c r="SLQ83" s="6"/>
      <c r="SLR83" s="6"/>
      <c r="SLS83" s="6"/>
      <c r="SLT83" s="6"/>
      <c r="SLU83" s="6"/>
      <c r="SLV83" s="6"/>
      <c r="SLW83" s="6"/>
      <c r="SLX83" s="6"/>
      <c r="SLY83" s="6"/>
      <c r="SLZ83" s="6"/>
      <c r="SMA83" s="6"/>
      <c r="SMB83" s="6"/>
      <c r="SMC83" s="6"/>
      <c r="SMD83" s="6"/>
      <c r="SME83" s="6"/>
      <c r="SMF83" s="6"/>
      <c r="SMG83" s="6"/>
      <c r="SMH83" s="6"/>
      <c r="SMI83" s="6"/>
      <c r="SMJ83" s="6"/>
      <c r="SMK83" s="6"/>
      <c r="SML83" s="6"/>
      <c r="SMM83" s="6"/>
      <c r="SMN83" s="6"/>
      <c r="SMO83" s="6"/>
      <c r="SMP83" s="6"/>
      <c r="SMQ83" s="6"/>
      <c r="SMR83" s="6"/>
      <c r="SMS83" s="6"/>
      <c r="SMT83" s="6"/>
      <c r="SMU83" s="6"/>
      <c r="SMV83" s="6"/>
      <c r="SMW83" s="6"/>
      <c r="SMX83" s="6"/>
      <c r="SMY83" s="6"/>
      <c r="SMZ83" s="6"/>
      <c r="SNA83" s="6"/>
      <c r="SNB83" s="6"/>
      <c r="SNC83" s="6"/>
      <c r="SND83" s="6"/>
      <c r="SNE83" s="6"/>
      <c r="SNF83" s="6"/>
      <c r="SNG83" s="6"/>
      <c r="SNH83" s="6"/>
      <c r="SNI83" s="6"/>
      <c r="SNJ83" s="6"/>
      <c r="SNK83" s="6"/>
      <c r="SNL83" s="6"/>
      <c r="SNM83" s="6"/>
      <c r="SNN83" s="6"/>
      <c r="SNO83" s="6"/>
      <c r="SNP83" s="6"/>
      <c r="SNQ83" s="6"/>
      <c r="SNR83" s="6"/>
      <c r="SNS83" s="6"/>
      <c r="SNT83" s="6"/>
      <c r="SNU83" s="6"/>
      <c r="SNV83" s="6"/>
      <c r="SNW83" s="6"/>
      <c r="SNX83" s="6"/>
      <c r="SNY83" s="6"/>
      <c r="SNZ83" s="6"/>
      <c r="SOA83" s="6"/>
      <c r="SOB83" s="6"/>
      <c r="SOC83" s="6"/>
      <c r="SOD83" s="6"/>
      <c r="SOE83" s="6"/>
      <c r="SOF83" s="6"/>
      <c r="SOG83" s="6"/>
      <c r="SOH83" s="6"/>
      <c r="SOI83" s="6"/>
      <c r="SOJ83" s="6"/>
      <c r="SOK83" s="6"/>
      <c r="SOL83" s="6"/>
      <c r="SOM83" s="6"/>
      <c r="SON83" s="6"/>
      <c r="SOO83" s="6"/>
      <c r="SOP83" s="6"/>
      <c r="SOQ83" s="6"/>
      <c r="SOR83" s="6"/>
      <c r="SOS83" s="6"/>
      <c r="SOT83" s="6"/>
      <c r="SOU83" s="6"/>
      <c r="SOV83" s="6"/>
      <c r="SOW83" s="6"/>
      <c r="SOX83" s="6"/>
      <c r="SOY83" s="6"/>
      <c r="SOZ83" s="6"/>
      <c r="SPA83" s="6"/>
      <c r="SPB83" s="6"/>
      <c r="SPC83" s="6"/>
      <c r="SPD83" s="6"/>
      <c r="SPE83" s="6"/>
      <c r="SPF83" s="6"/>
      <c r="SPG83" s="6"/>
      <c r="SPH83" s="6"/>
      <c r="SPI83" s="6"/>
      <c r="SPJ83" s="6"/>
      <c r="SPK83" s="6"/>
      <c r="SPL83" s="6"/>
      <c r="SPM83" s="6"/>
      <c r="SPN83" s="6"/>
      <c r="SPO83" s="6"/>
      <c r="SPP83" s="6"/>
      <c r="SPQ83" s="6"/>
      <c r="SPR83" s="6"/>
      <c r="SPS83" s="6"/>
      <c r="SPT83" s="6"/>
      <c r="SPU83" s="6"/>
      <c r="SPV83" s="6"/>
      <c r="SPW83" s="6"/>
      <c r="SPX83" s="6"/>
      <c r="SPY83" s="6"/>
      <c r="SPZ83" s="6"/>
      <c r="SQA83" s="6"/>
      <c r="SQB83" s="6"/>
      <c r="SQC83" s="6"/>
      <c r="SQD83" s="6"/>
      <c r="SQE83" s="6"/>
      <c r="SQF83" s="6"/>
      <c r="SQG83" s="6"/>
      <c r="SQH83" s="6"/>
      <c r="SQI83" s="6"/>
      <c r="SQJ83" s="6"/>
      <c r="SQK83" s="6"/>
      <c r="SQL83" s="6"/>
      <c r="SQM83" s="6"/>
      <c r="SQN83" s="6"/>
      <c r="SQO83" s="6"/>
      <c r="SQP83" s="6"/>
      <c r="SQQ83" s="6"/>
      <c r="SQR83" s="6"/>
      <c r="SQS83" s="6"/>
      <c r="SQT83" s="6"/>
      <c r="SQU83" s="6"/>
      <c r="SQV83" s="6"/>
      <c r="SQW83" s="6"/>
      <c r="SQX83" s="6"/>
      <c r="SQY83" s="6"/>
      <c r="SQZ83" s="6"/>
      <c r="SRA83" s="6"/>
      <c r="SRB83" s="6"/>
      <c r="SRC83" s="6"/>
      <c r="SRD83" s="6"/>
      <c r="SRE83" s="6"/>
      <c r="SRF83" s="6"/>
      <c r="SRG83" s="6"/>
      <c r="SRH83" s="6"/>
      <c r="SRI83" s="6"/>
      <c r="SRJ83" s="6"/>
      <c r="SRK83" s="6"/>
      <c r="SRL83" s="6"/>
      <c r="SRM83" s="6"/>
      <c r="SRN83" s="6"/>
      <c r="SRO83" s="6"/>
      <c r="SRP83" s="6"/>
      <c r="SRQ83" s="6"/>
      <c r="SRR83" s="6"/>
      <c r="SRS83" s="6"/>
      <c r="SRT83" s="6"/>
      <c r="SRU83" s="6"/>
      <c r="SRV83" s="6"/>
      <c r="SRW83" s="6"/>
      <c r="SRX83" s="6"/>
      <c r="SRY83" s="6"/>
      <c r="SRZ83" s="6"/>
      <c r="SSA83" s="6"/>
      <c r="SSB83" s="6"/>
      <c r="SSC83" s="6"/>
      <c r="SSD83" s="6"/>
      <c r="SSE83" s="6"/>
      <c r="SSF83" s="6"/>
      <c r="SSG83" s="6"/>
      <c r="SSH83" s="6"/>
      <c r="SSI83" s="6"/>
      <c r="SSJ83" s="6"/>
      <c r="SSK83" s="6"/>
      <c r="SSL83" s="6"/>
      <c r="SSM83" s="6"/>
      <c r="SSN83" s="6"/>
      <c r="SSO83" s="6"/>
      <c r="SSP83" s="6"/>
      <c r="SSQ83" s="6"/>
      <c r="SSR83" s="6"/>
      <c r="SSS83" s="6"/>
      <c r="SST83" s="6"/>
      <c r="SSU83" s="6"/>
      <c r="SSV83" s="6"/>
      <c r="SSW83" s="6"/>
      <c r="SSX83" s="6"/>
      <c r="SSY83" s="6"/>
      <c r="SSZ83" s="6"/>
      <c r="STA83" s="6"/>
      <c r="STB83" s="6"/>
      <c r="STC83" s="6"/>
      <c r="STD83" s="6"/>
      <c r="STE83" s="6"/>
      <c r="STF83" s="6"/>
      <c r="STG83" s="6"/>
      <c r="STH83" s="6"/>
      <c r="STI83" s="6"/>
      <c r="STJ83" s="6"/>
      <c r="STK83" s="6"/>
      <c r="STL83" s="6"/>
      <c r="STM83" s="6"/>
      <c r="STN83" s="6"/>
      <c r="STO83" s="6"/>
      <c r="STP83" s="6"/>
      <c r="STQ83" s="6"/>
      <c r="STR83" s="6"/>
      <c r="STS83" s="6"/>
      <c r="STT83" s="6"/>
      <c r="STU83" s="6"/>
      <c r="STV83" s="6"/>
      <c r="STW83" s="6"/>
      <c r="STX83" s="6"/>
      <c r="STY83" s="6"/>
      <c r="STZ83" s="6"/>
      <c r="SUA83" s="6"/>
      <c r="SUB83" s="6"/>
      <c r="SUC83" s="6"/>
      <c r="SUD83" s="6"/>
      <c r="SUE83" s="6"/>
      <c r="SUF83" s="6"/>
      <c r="SUG83" s="6"/>
      <c r="SUH83" s="6"/>
      <c r="SUI83" s="6"/>
      <c r="SUJ83" s="6"/>
      <c r="SUK83" s="6"/>
      <c r="SUL83" s="6"/>
      <c r="SUM83" s="6"/>
      <c r="SUN83" s="6"/>
      <c r="SUO83" s="6"/>
      <c r="SUP83" s="6"/>
      <c r="SUQ83" s="6"/>
      <c r="SUR83" s="6"/>
      <c r="SUS83" s="6"/>
      <c r="SUT83" s="6"/>
      <c r="SUU83" s="6"/>
      <c r="SUV83" s="6"/>
      <c r="SUW83" s="6"/>
      <c r="SUX83" s="6"/>
      <c r="SUY83" s="6"/>
      <c r="SUZ83" s="6"/>
      <c r="SVA83" s="6"/>
      <c r="SVB83" s="6"/>
      <c r="SVC83" s="6"/>
      <c r="SVD83" s="6"/>
      <c r="SVE83" s="6"/>
      <c r="SVF83" s="6"/>
      <c r="SVG83" s="6"/>
      <c r="SVH83" s="6"/>
      <c r="SVI83" s="6"/>
      <c r="SVJ83" s="6"/>
      <c r="SVK83" s="6"/>
      <c r="SVL83" s="6"/>
      <c r="SVM83" s="6"/>
      <c r="SVN83" s="6"/>
      <c r="SVO83" s="6"/>
      <c r="SVP83" s="6"/>
      <c r="SVQ83" s="6"/>
      <c r="SVR83" s="6"/>
      <c r="SVS83" s="6"/>
      <c r="SVT83" s="6"/>
      <c r="SVU83" s="6"/>
      <c r="SVV83" s="6"/>
      <c r="SVW83" s="6"/>
      <c r="SVX83" s="6"/>
      <c r="SVY83" s="6"/>
      <c r="SVZ83" s="6"/>
      <c r="SWA83" s="6"/>
      <c r="SWB83" s="6"/>
      <c r="SWC83" s="6"/>
      <c r="SWD83" s="6"/>
      <c r="SWE83" s="6"/>
      <c r="SWF83" s="6"/>
      <c r="SWG83" s="6"/>
      <c r="SWH83" s="6"/>
      <c r="SWI83" s="6"/>
      <c r="SWJ83" s="6"/>
      <c r="SWK83" s="6"/>
      <c r="SWL83" s="6"/>
      <c r="SWM83" s="6"/>
      <c r="SWN83" s="6"/>
      <c r="SWO83" s="6"/>
      <c r="SWP83" s="6"/>
      <c r="SWQ83" s="6"/>
      <c r="SWR83" s="6"/>
      <c r="SWS83" s="6"/>
      <c r="SWT83" s="6"/>
      <c r="SWU83" s="6"/>
      <c r="SWV83" s="6"/>
      <c r="SWW83" s="6"/>
      <c r="SWX83" s="6"/>
      <c r="SWY83" s="6"/>
      <c r="SWZ83" s="6"/>
      <c r="SXA83" s="6"/>
      <c r="SXB83" s="6"/>
      <c r="SXC83" s="6"/>
      <c r="SXD83" s="6"/>
      <c r="SXE83" s="6"/>
      <c r="SXF83" s="6"/>
      <c r="SXG83" s="6"/>
      <c r="SXH83" s="6"/>
      <c r="SXI83" s="6"/>
      <c r="SXJ83" s="6"/>
      <c r="SXK83" s="6"/>
      <c r="SXL83" s="6"/>
      <c r="SXM83" s="6"/>
      <c r="SXN83" s="6"/>
      <c r="SXO83" s="6"/>
      <c r="SXP83" s="6"/>
      <c r="SXQ83" s="6"/>
      <c r="SXR83" s="6"/>
      <c r="SXS83" s="6"/>
      <c r="SXT83" s="6"/>
      <c r="SXU83" s="6"/>
      <c r="SXV83" s="6"/>
      <c r="SXW83" s="6"/>
      <c r="SXX83" s="6"/>
      <c r="SXY83" s="6"/>
      <c r="SXZ83" s="6"/>
      <c r="SYA83" s="6"/>
      <c r="SYB83" s="6"/>
      <c r="SYC83" s="6"/>
      <c r="SYD83" s="6"/>
      <c r="SYE83" s="6"/>
      <c r="SYF83" s="6"/>
      <c r="SYG83" s="6"/>
      <c r="SYH83" s="6"/>
      <c r="SYI83" s="6"/>
      <c r="SYJ83" s="6"/>
      <c r="SYK83" s="6"/>
      <c r="SYL83" s="6"/>
      <c r="SYM83" s="6"/>
      <c r="SYN83" s="6"/>
      <c r="SYO83" s="6"/>
      <c r="SYP83" s="6"/>
      <c r="SYQ83" s="6"/>
      <c r="SYR83" s="6"/>
      <c r="SYS83" s="6"/>
      <c r="SYT83" s="6"/>
      <c r="SYU83" s="6"/>
      <c r="SYV83" s="6"/>
      <c r="SYW83" s="6"/>
      <c r="SYX83" s="6"/>
      <c r="SYY83" s="6"/>
      <c r="SYZ83" s="6"/>
      <c r="SZA83" s="6"/>
      <c r="SZB83" s="6"/>
      <c r="SZC83" s="6"/>
      <c r="SZD83" s="6"/>
      <c r="SZE83" s="6"/>
      <c r="SZF83" s="6"/>
      <c r="SZG83" s="6"/>
      <c r="SZH83" s="6"/>
      <c r="SZI83" s="6"/>
      <c r="SZJ83" s="6"/>
      <c r="SZK83" s="6"/>
      <c r="SZL83" s="6"/>
      <c r="SZM83" s="6"/>
      <c r="SZN83" s="6"/>
      <c r="SZO83" s="6"/>
      <c r="SZP83" s="6"/>
      <c r="SZQ83" s="6"/>
      <c r="SZR83" s="6"/>
      <c r="SZS83" s="6"/>
      <c r="SZT83" s="6"/>
      <c r="SZU83" s="6"/>
      <c r="SZV83" s="6"/>
      <c r="SZW83" s="6"/>
      <c r="SZX83" s="6"/>
      <c r="SZY83" s="6"/>
      <c r="SZZ83" s="6"/>
      <c r="TAA83" s="6"/>
      <c r="TAB83" s="6"/>
      <c r="TAC83" s="6"/>
      <c r="TAD83" s="6"/>
      <c r="TAE83" s="6"/>
      <c r="TAF83" s="6"/>
      <c r="TAG83" s="6"/>
      <c r="TAH83" s="6"/>
      <c r="TAI83" s="6"/>
      <c r="TAJ83" s="6"/>
      <c r="TAK83" s="6"/>
      <c r="TAL83" s="6"/>
      <c r="TAM83" s="6"/>
      <c r="TAN83" s="6"/>
      <c r="TAO83" s="6"/>
      <c r="TAP83" s="6"/>
      <c r="TAQ83" s="6"/>
      <c r="TAR83" s="6"/>
      <c r="TAS83" s="6"/>
      <c r="TAT83" s="6"/>
      <c r="TAU83" s="6"/>
      <c r="TAV83" s="6"/>
      <c r="TAW83" s="6"/>
      <c r="TAX83" s="6"/>
      <c r="TAY83" s="6"/>
      <c r="TAZ83" s="6"/>
      <c r="TBA83" s="6"/>
      <c r="TBB83" s="6"/>
      <c r="TBC83" s="6"/>
      <c r="TBD83" s="6"/>
      <c r="TBE83" s="6"/>
      <c r="TBF83" s="6"/>
      <c r="TBG83" s="6"/>
      <c r="TBH83" s="6"/>
      <c r="TBI83" s="6"/>
      <c r="TBJ83" s="6"/>
      <c r="TBK83" s="6"/>
      <c r="TBL83" s="6"/>
      <c r="TBM83" s="6"/>
      <c r="TBN83" s="6"/>
      <c r="TBO83" s="6"/>
      <c r="TBP83" s="6"/>
      <c r="TBQ83" s="6"/>
      <c r="TBR83" s="6"/>
      <c r="TBS83" s="6"/>
      <c r="TBT83" s="6"/>
      <c r="TBU83" s="6"/>
      <c r="TBV83" s="6"/>
      <c r="TBW83" s="6"/>
      <c r="TBX83" s="6"/>
      <c r="TBY83" s="6"/>
      <c r="TBZ83" s="6"/>
      <c r="TCA83" s="6"/>
      <c r="TCB83" s="6"/>
      <c r="TCC83" s="6"/>
      <c r="TCD83" s="6"/>
      <c r="TCE83" s="6"/>
      <c r="TCF83" s="6"/>
      <c r="TCG83" s="6"/>
      <c r="TCH83" s="6"/>
      <c r="TCI83" s="6"/>
      <c r="TCJ83" s="6"/>
      <c r="TCK83" s="6"/>
      <c r="TCL83" s="6"/>
      <c r="TCM83" s="6"/>
      <c r="TCN83" s="6"/>
      <c r="TCO83" s="6"/>
      <c r="TCP83" s="6"/>
      <c r="TCQ83" s="6"/>
      <c r="TCR83" s="6"/>
      <c r="TCS83" s="6"/>
      <c r="TCT83" s="6"/>
      <c r="TCU83" s="6"/>
      <c r="TCV83" s="6"/>
      <c r="TCW83" s="6"/>
      <c r="TCX83" s="6"/>
      <c r="TCY83" s="6"/>
      <c r="TCZ83" s="6"/>
      <c r="TDA83" s="6"/>
      <c r="TDB83" s="6"/>
      <c r="TDC83" s="6"/>
      <c r="TDD83" s="6"/>
      <c r="TDE83" s="6"/>
      <c r="TDF83" s="6"/>
      <c r="TDG83" s="6"/>
      <c r="TDH83" s="6"/>
      <c r="TDI83" s="6"/>
      <c r="TDJ83" s="6"/>
      <c r="TDK83" s="6"/>
      <c r="TDL83" s="6"/>
      <c r="TDM83" s="6"/>
      <c r="TDN83" s="6"/>
      <c r="TDO83" s="6"/>
      <c r="TDP83" s="6"/>
      <c r="TDQ83" s="6"/>
      <c r="TDR83" s="6"/>
      <c r="TDS83" s="6"/>
      <c r="TDT83" s="6"/>
      <c r="TDU83" s="6"/>
      <c r="TDV83" s="6"/>
      <c r="TDW83" s="6"/>
      <c r="TDX83" s="6"/>
      <c r="TDY83" s="6"/>
      <c r="TDZ83" s="6"/>
      <c r="TEA83" s="6"/>
      <c r="TEB83" s="6"/>
      <c r="TEC83" s="6"/>
      <c r="TED83" s="6"/>
      <c r="TEE83" s="6"/>
      <c r="TEF83" s="6"/>
      <c r="TEG83" s="6"/>
      <c r="TEH83" s="6"/>
      <c r="TEI83" s="6"/>
      <c r="TEJ83" s="6"/>
      <c r="TEK83" s="6"/>
      <c r="TEL83" s="6"/>
      <c r="TEM83" s="6"/>
      <c r="TEN83" s="6"/>
      <c r="TEO83" s="6"/>
      <c r="TEP83" s="6"/>
      <c r="TEQ83" s="6"/>
      <c r="TER83" s="6"/>
      <c r="TES83" s="6"/>
      <c r="TET83" s="6"/>
      <c r="TEU83" s="6"/>
      <c r="TEV83" s="6"/>
      <c r="TEW83" s="6"/>
      <c r="TEX83" s="6"/>
      <c r="TEY83" s="6"/>
      <c r="TEZ83" s="6"/>
      <c r="TFA83" s="6"/>
      <c r="TFB83" s="6"/>
      <c r="TFC83" s="6"/>
      <c r="TFD83" s="6"/>
      <c r="TFE83" s="6"/>
      <c r="TFF83" s="6"/>
      <c r="TFG83" s="6"/>
      <c r="TFH83" s="6"/>
      <c r="TFI83" s="6"/>
      <c r="TFJ83" s="6"/>
      <c r="TFK83" s="6"/>
      <c r="TFL83" s="6"/>
      <c r="TFM83" s="6"/>
      <c r="TFN83" s="6"/>
      <c r="TFO83" s="6"/>
      <c r="TFP83" s="6"/>
      <c r="TFQ83" s="6"/>
      <c r="TFR83" s="6"/>
      <c r="TFS83" s="6"/>
      <c r="TFT83" s="6"/>
      <c r="TFU83" s="6"/>
      <c r="TFV83" s="6"/>
      <c r="TFW83" s="6"/>
      <c r="TFX83" s="6"/>
      <c r="TFY83" s="6"/>
      <c r="TFZ83" s="6"/>
      <c r="TGA83" s="6"/>
      <c r="TGB83" s="6"/>
      <c r="TGC83" s="6"/>
      <c r="TGD83" s="6"/>
      <c r="TGE83" s="6"/>
      <c r="TGF83" s="6"/>
      <c r="TGG83" s="6"/>
      <c r="TGH83" s="6"/>
      <c r="TGI83" s="6"/>
      <c r="TGJ83" s="6"/>
      <c r="TGK83" s="6"/>
      <c r="TGL83" s="6"/>
      <c r="TGM83" s="6"/>
      <c r="TGN83" s="6"/>
      <c r="TGO83" s="6"/>
      <c r="TGP83" s="6"/>
      <c r="TGQ83" s="6"/>
      <c r="TGR83" s="6"/>
      <c r="TGS83" s="6"/>
      <c r="TGT83" s="6"/>
      <c r="TGU83" s="6"/>
      <c r="TGV83" s="6"/>
      <c r="TGW83" s="6"/>
      <c r="TGX83" s="6"/>
      <c r="TGY83" s="6"/>
      <c r="TGZ83" s="6"/>
      <c r="THA83" s="6"/>
      <c r="THB83" s="6"/>
      <c r="THC83" s="6"/>
      <c r="THD83" s="6"/>
      <c r="THE83" s="6"/>
      <c r="THF83" s="6"/>
      <c r="THG83" s="6"/>
      <c r="THH83" s="6"/>
      <c r="THI83" s="6"/>
      <c r="THJ83" s="6"/>
      <c r="THK83" s="6"/>
      <c r="THL83" s="6"/>
      <c r="THM83" s="6"/>
      <c r="THN83" s="6"/>
      <c r="THO83" s="6"/>
      <c r="THP83" s="6"/>
      <c r="THQ83" s="6"/>
      <c r="THR83" s="6"/>
      <c r="THS83" s="6"/>
      <c r="THT83" s="6"/>
      <c r="THU83" s="6"/>
      <c r="THV83" s="6"/>
      <c r="THW83" s="6"/>
      <c r="THX83" s="6"/>
      <c r="THY83" s="6"/>
      <c r="THZ83" s="6"/>
      <c r="TIA83" s="6"/>
      <c r="TIB83" s="6"/>
      <c r="TIC83" s="6"/>
      <c r="TID83" s="6"/>
      <c r="TIE83" s="6"/>
      <c r="TIF83" s="6"/>
      <c r="TIG83" s="6"/>
      <c r="TIH83" s="6"/>
      <c r="TII83" s="6"/>
      <c r="TIJ83" s="6"/>
      <c r="TIK83" s="6"/>
      <c r="TIL83" s="6"/>
      <c r="TIM83" s="6"/>
      <c r="TIN83" s="6"/>
      <c r="TIO83" s="6"/>
      <c r="TIP83" s="6"/>
      <c r="TIQ83" s="6"/>
      <c r="TIR83" s="6"/>
      <c r="TIS83" s="6"/>
      <c r="TIT83" s="6"/>
      <c r="TIU83" s="6"/>
      <c r="TIV83" s="6"/>
      <c r="TIW83" s="6"/>
      <c r="TIX83" s="6"/>
      <c r="TIY83" s="6"/>
      <c r="TIZ83" s="6"/>
      <c r="TJA83" s="6"/>
      <c r="TJB83" s="6"/>
      <c r="TJC83" s="6"/>
      <c r="TJD83" s="6"/>
      <c r="TJE83" s="6"/>
      <c r="TJF83" s="6"/>
      <c r="TJG83" s="6"/>
      <c r="TJH83" s="6"/>
      <c r="TJI83" s="6"/>
      <c r="TJJ83" s="6"/>
      <c r="TJK83" s="6"/>
      <c r="TJL83" s="6"/>
      <c r="TJM83" s="6"/>
      <c r="TJN83" s="6"/>
      <c r="TJO83" s="6"/>
      <c r="TJP83" s="6"/>
      <c r="TJQ83" s="6"/>
      <c r="TJR83" s="6"/>
      <c r="TJS83" s="6"/>
      <c r="TJT83" s="6"/>
      <c r="TJU83" s="6"/>
      <c r="TJV83" s="6"/>
      <c r="TJW83" s="6"/>
      <c r="TJX83" s="6"/>
      <c r="TJY83" s="6"/>
      <c r="TJZ83" s="6"/>
      <c r="TKA83" s="6"/>
      <c r="TKB83" s="6"/>
      <c r="TKC83" s="6"/>
      <c r="TKD83" s="6"/>
      <c r="TKE83" s="6"/>
      <c r="TKF83" s="6"/>
      <c r="TKG83" s="6"/>
      <c r="TKH83" s="6"/>
      <c r="TKI83" s="6"/>
      <c r="TKJ83" s="6"/>
      <c r="TKK83" s="6"/>
      <c r="TKL83" s="6"/>
      <c r="TKM83" s="6"/>
      <c r="TKN83" s="6"/>
      <c r="TKO83" s="6"/>
      <c r="TKP83" s="6"/>
      <c r="TKQ83" s="6"/>
      <c r="TKR83" s="6"/>
      <c r="TKS83" s="6"/>
      <c r="TKT83" s="6"/>
      <c r="TKU83" s="6"/>
      <c r="TKV83" s="6"/>
      <c r="TKW83" s="6"/>
      <c r="TKX83" s="6"/>
      <c r="TKY83" s="6"/>
      <c r="TKZ83" s="6"/>
      <c r="TLA83" s="6"/>
      <c r="TLB83" s="6"/>
      <c r="TLC83" s="6"/>
      <c r="TLD83" s="6"/>
      <c r="TLE83" s="6"/>
      <c r="TLF83" s="6"/>
      <c r="TLG83" s="6"/>
      <c r="TLH83" s="6"/>
      <c r="TLI83" s="6"/>
      <c r="TLJ83" s="6"/>
      <c r="TLK83" s="6"/>
      <c r="TLL83" s="6"/>
      <c r="TLM83" s="6"/>
      <c r="TLN83" s="6"/>
      <c r="TLO83" s="6"/>
      <c r="TLP83" s="6"/>
      <c r="TLQ83" s="6"/>
      <c r="TLR83" s="6"/>
      <c r="TLS83" s="6"/>
      <c r="TLT83" s="6"/>
      <c r="TLU83" s="6"/>
      <c r="TLV83" s="6"/>
      <c r="TLW83" s="6"/>
      <c r="TLX83" s="6"/>
      <c r="TLY83" s="6"/>
      <c r="TLZ83" s="6"/>
      <c r="TMA83" s="6"/>
      <c r="TMB83" s="6"/>
      <c r="TMC83" s="6"/>
      <c r="TMD83" s="6"/>
      <c r="TME83" s="6"/>
      <c r="TMF83" s="6"/>
      <c r="TMG83" s="6"/>
      <c r="TMH83" s="6"/>
      <c r="TMI83" s="6"/>
      <c r="TMJ83" s="6"/>
      <c r="TMK83" s="6"/>
      <c r="TML83" s="6"/>
      <c r="TMM83" s="6"/>
      <c r="TMN83" s="6"/>
      <c r="TMO83" s="6"/>
      <c r="TMP83" s="6"/>
      <c r="TMQ83" s="6"/>
      <c r="TMR83" s="6"/>
      <c r="TMS83" s="6"/>
      <c r="TMT83" s="6"/>
      <c r="TMU83" s="6"/>
      <c r="TMV83" s="6"/>
      <c r="TMW83" s="6"/>
      <c r="TMX83" s="6"/>
      <c r="TMY83" s="6"/>
      <c r="TMZ83" s="6"/>
      <c r="TNA83" s="6"/>
      <c r="TNB83" s="6"/>
      <c r="TNC83" s="6"/>
      <c r="TND83" s="6"/>
      <c r="TNE83" s="6"/>
      <c r="TNF83" s="6"/>
      <c r="TNG83" s="6"/>
      <c r="TNH83" s="6"/>
      <c r="TNI83" s="6"/>
      <c r="TNJ83" s="6"/>
      <c r="TNK83" s="6"/>
      <c r="TNL83" s="6"/>
      <c r="TNM83" s="6"/>
      <c r="TNN83" s="6"/>
      <c r="TNO83" s="6"/>
      <c r="TNP83" s="6"/>
      <c r="TNQ83" s="6"/>
      <c r="TNR83" s="6"/>
      <c r="TNS83" s="6"/>
      <c r="TNT83" s="6"/>
      <c r="TNU83" s="6"/>
      <c r="TNV83" s="6"/>
      <c r="TNW83" s="6"/>
      <c r="TNX83" s="6"/>
      <c r="TNY83" s="6"/>
      <c r="TNZ83" s="6"/>
      <c r="TOA83" s="6"/>
      <c r="TOB83" s="6"/>
      <c r="TOC83" s="6"/>
      <c r="TOD83" s="6"/>
      <c r="TOE83" s="6"/>
      <c r="TOF83" s="6"/>
      <c r="TOG83" s="6"/>
      <c r="TOH83" s="6"/>
      <c r="TOI83" s="6"/>
      <c r="TOJ83" s="6"/>
      <c r="TOK83" s="6"/>
      <c r="TOL83" s="6"/>
      <c r="TOM83" s="6"/>
      <c r="TON83" s="6"/>
      <c r="TOO83" s="6"/>
      <c r="TOP83" s="6"/>
      <c r="TOQ83" s="6"/>
      <c r="TOR83" s="6"/>
      <c r="TOS83" s="6"/>
      <c r="TOT83" s="6"/>
      <c r="TOU83" s="6"/>
      <c r="TOV83" s="6"/>
      <c r="TOW83" s="6"/>
      <c r="TOX83" s="6"/>
      <c r="TOY83" s="6"/>
      <c r="TOZ83" s="6"/>
      <c r="TPA83" s="6"/>
      <c r="TPB83" s="6"/>
      <c r="TPC83" s="6"/>
      <c r="TPD83" s="6"/>
      <c r="TPE83" s="6"/>
      <c r="TPF83" s="6"/>
      <c r="TPG83" s="6"/>
      <c r="TPH83" s="6"/>
      <c r="TPI83" s="6"/>
      <c r="TPJ83" s="6"/>
      <c r="TPK83" s="6"/>
      <c r="TPL83" s="6"/>
      <c r="TPM83" s="6"/>
      <c r="TPN83" s="6"/>
      <c r="TPO83" s="6"/>
      <c r="TPP83" s="6"/>
      <c r="TPQ83" s="6"/>
      <c r="TPR83" s="6"/>
      <c r="TPS83" s="6"/>
      <c r="TPT83" s="6"/>
      <c r="TPU83" s="6"/>
      <c r="TPV83" s="6"/>
      <c r="TPW83" s="6"/>
      <c r="TPX83" s="6"/>
      <c r="TPY83" s="6"/>
      <c r="TPZ83" s="6"/>
      <c r="TQA83" s="6"/>
      <c r="TQB83" s="6"/>
      <c r="TQC83" s="6"/>
      <c r="TQD83" s="6"/>
      <c r="TQE83" s="6"/>
      <c r="TQF83" s="6"/>
      <c r="TQG83" s="6"/>
      <c r="TQH83" s="6"/>
      <c r="TQI83" s="6"/>
      <c r="TQJ83" s="6"/>
      <c r="TQK83" s="6"/>
      <c r="TQL83" s="6"/>
      <c r="TQM83" s="6"/>
      <c r="TQN83" s="6"/>
      <c r="TQO83" s="6"/>
      <c r="TQP83" s="6"/>
      <c r="TQQ83" s="6"/>
      <c r="TQR83" s="6"/>
      <c r="TQS83" s="6"/>
      <c r="TQT83" s="6"/>
      <c r="TQU83" s="6"/>
      <c r="TQV83" s="6"/>
      <c r="TQW83" s="6"/>
      <c r="TQX83" s="6"/>
      <c r="TQY83" s="6"/>
      <c r="TQZ83" s="6"/>
      <c r="TRA83" s="6"/>
      <c r="TRB83" s="6"/>
      <c r="TRC83" s="6"/>
      <c r="TRD83" s="6"/>
      <c r="TRE83" s="6"/>
      <c r="TRF83" s="6"/>
      <c r="TRG83" s="6"/>
      <c r="TRH83" s="6"/>
      <c r="TRI83" s="6"/>
      <c r="TRJ83" s="6"/>
      <c r="TRK83" s="6"/>
      <c r="TRL83" s="6"/>
      <c r="TRM83" s="6"/>
      <c r="TRN83" s="6"/>
      <c r="TRO83" s="6"/>
      <c r="TRP83" s="6"/>
      <c r="TRQ83" s="6"/>
      <c r="TRR83" s="6"/>
      <c r="TRS83" s="6"/>
      <c r="TRT83" s="6"/>
      <c r="TRU83" s="6"/>
      <c r="TRV83" s="6"/>
      <c r="TRW83" s="6"/>
      <c r="TRX83" s="6"/>
      <c r="TRY83" s="6"/>
      <c r="TRZ83" s="6"/>
      <c r="TSA83" s="6"/>
      <c r="TSB83" s="6"/>
      <c r="TSC83" s="6"/>
      <c r="TSD83" s="6"/>
      <c r="TSE83" s="6"/>
      <c r="TSF83" s="6"/>
      <c r="TSG83" s="6"/>
      <c r="TSH83" s="6"/>
      <c r="TSI83" s="6"/>
      <c r="TSJ83" s="6"/>
      <c r="TSK83" s="6"/>
      <c r="TSL83" s="6"/>
      <c r="TSM83" s="6"/>
      <c r="TSN83" s="6"/>
      <c r="TSO83" s="6"/>
      <c r="TSP83" s="6"/>
      <c r="TSQ83" s="6"/>
      <c r="TSR83" s="6"/>
      <c r="TSS83" s="6"/>
      <c r="TST83" s="6"/>
      <c r="TSU83" s="6"/>
      <c r="TSV83" s="6"/>
      <c r="TSW83" s="6"/>
      <c r="TSX83" s="6"/>
      <c r="TSY83" s="6"/>
      <c r="TSZ83" s="6"/>
      <c r="TTA83" s="6"/>
      <c r="TTB83" s="6"/>
      <c r="TTC83" s="6"/>
      <c r="TTD83" s="6"/>
      <c r="TTE83" s="6"/>
      <c r="TTF83" s="6"/>
      <c r="TTG83" s="6"/>
      <c r="TTH83" s="6"/>
      <c r="TTI83" s="6"/>
      <c r="TTJ83" s="6"/>
      <c r="TTK83" s="6"/>
      <c r="TTL83" s="6"/>
      <c r="TTM83" s="6"/>
      <c r="TTN83" s="6"/>
      <c r="TTO83" s="6"/>
      <c r="TTP83" s="6"/>
      <c r="TTQ83" s="6"/>
      <c r="TTR83" s="6"/>
      <c r="TTS83" s="6"/>
      <c r="TTT83" s="6"/>
      <c r="TTU83" s="6"/>
      <c r="TTV83" s="6"/>
      <c r="TTW83" s="6"/>
      <c r="TTX83" s="6"/>
      <c r="TTY83" s="6"/>
      <c r="TTZ83" s="6"/>
      <c r="TUA83" s="6"/>
      <c r="TUB83" s="6"/>
      <c r="TUC83" s="6"/>
      <c r="TUD83" s="6"/>
      <c r="TUE83" s="6"/>
      <c r="TUF83" s="6"/>
      <c r="TUG83" s="6"/>
      <c r="TUH83" s="6"/>
      <c r="TUI83" s="6"/>
      <c r="TUJ83" s="6"/>
      <c r="TUK83" s="6"/>
      <c r="TUL83" s="6"/>
      <c r="TUM83" s="6"/>
      <c r="TUN83" s="6"/>
      <c r="TUO83" s="6"/>
      <c r="TUP83" s="6"/>
      <c r="TUQ83" s="6"/>
      <c r="TUR83" s="6"/>
      <c r="TUS83" s="6"/>
      <c r="TUT83" s="6"/>
      <c r="TUU83" s="6"/>
      <c r="TUV83" s="6"/>
      <c r="TUW83" s="6"/>
      <c r="TUX83" s="6"/>
      <c r="TUY83" s="6"/>
      <c r="TUZ83" s="6"/>
      <c r="TVA83" s="6"/>
      <c r="TVB83" s="6"/>
      <c r="TVC83" s="6"/>
      <c r="TVD83" s="6"/>
      <c r="TVE83" s="6"/>
      <c r="TVF83" s="6"/>
      <c r="TVG83" s="6"/>
      <c r="TVH83" s="6"/>
      <c r="TVI83" s="6"/>
      <c r="TVJ83" s="6"/>
      <c r="TVK83" s="6"/>
      <c r="TVL83" s="6"/>
      <c r="TVM83" s="6"/>
      <c r="TVN83" s="6"/>
      <c r="TVO83" s="6"/>
      <c r="TVP83" s="6"/>
      <c r="TVQ83" s="6"/>
      <c r="TVR83" s="6"/>
      <c r="TVS83" s="6"/>
      <c r="TVT83" s="6"/>
      <c r="TVU83" s="6"/>
      <c r="TVV83" s="6"/>
      <c r="TVW83" s="6"/>
      <c r="TVX83" s="6"/>
      <c r="TVY83" s="6"/>
      <c r="TVZ83" s="6"/>
      <c r="TWA83" s="6"/>
      <c r="TWB83" s="6"/>
      <c r="TWC83" s="6"/>
      <c r="TWD83" s="6"/>
      <c r="TWE83" s="6"/>
      <c r="TWF83" s="6"/>
      <c r="TWG83" s="6"/>
      <c r="TWH83" s="6"/>
      <c r="TWI83" s="6"/>
      <c r="TWJ83" s="6"/>
      <c r="TWK83" s="6"/>
      <c r="TWL83" s="6"/>
      <c r="TWM83" s="6"/>
      <c r="TWN83" s="6"/>
      <c r="TWO83" s="6"/>
      <c r="TWP83" s="6"/>
      <c r="TWQ83" s="6"/>
      <c r="TWR83" s="6"/>
      <c r="TWS83" s="6"/>
      <c r="TWT83" s="6"/>
      <c r="TWU83" s="6"/>
      <c r="TWV83" s="6"/>
      <c r="TWW83" s="6"/>
      <c r="TWX83" s="6"/>
      <c r="TWY83" s="6"/>
      <c r="TWZ83" s="6"/>
      <c r="TXA83" s="6"/>
      <c r="TXB83" s="6"/>
      <c r="TXC83" s="6"/>
      <c r="TXD83" s="6"/>
      <c r="TXE83" s="6"/>
      <c r="TXF83" s="6"/>
      <c r="TXG83" s="6"/>
      <c r="TXH83" s="6"/>
      <c r="TXI83" s="6"/>
      <c r="TXJ83" s="6"/>
      <c r="TXK83" s="6"/>
      <c r="TXL83" s="6"/>
      <c r="TXM83" s="6"/>
      <c r="TXN83" s="6"/>
      <c r="TXO83" s="6"/>
      <c r="TXP83" s="6"/>
      <c r="TXQ83" s="6"/>
      <c r="TXR83" s="6"/>
      <c r="TXS83" s="6"/>
      <c r="TXT83" s="6"/>
      <c r="TXU83" s="6"/>
      <c r="TXV83" s="6"/>
      <c r="TXW83" s="6"/>
      <c r="TXX83" s="6"/>
      <c r="TXY83" s="6"/>
      <c r="TXZ83" s="6"/>
      <c r="TYA83" s="6"/>
      <c r="TYB83" s="6"/>
      <c r="TYC83" s="6"/>
      <c r="TYD83" s="6"/>
      <c r="TYE83" s="6"/>
      <c r="TYF83" s="6"/>
      <c r="TYG83" s="6"/>
      <c r="TYH83" s="6"/>
      <c r="TYI83" s="6"/>
      <c r="TYJ83" s="6"/>
      <c r="TYK83" s="6"/>
      <c r="TYL83" s="6"/>
      <c r="TYM83" s="6"/>
      <c r="TYN83" s="6"/>
      <c r="TYO83" s="6"/>
      <c r="TYP83" s="6"/>
      <c r="TYQ83" s="6"/>
      <c r="TYR83" s="6"/>
      <c r="TYS83" s="6"/>
      <c r="TYT83" s="6"/>
      <c r="TYU83" s="6"/>
      <c r="TYV83" s="6"/>
      <c r="TYW83" s="6"/>
      <c r="TYX83" s="6"/>
      <c r="TYY83" s="6"/>
      <c r="TYZ83" s="6"/>
      <c r="TZA83" s="6"/>
      <c r="TZB83" s="6"/>
      <c r="TZC83" s="6"/>
      <c r="TZD83" s="6"/>
      <c r="TZE83" s="6"/>
      <c r="TZF83" s="6"/>
      <c r="TZG83" s="6"/>
      <c r="TZH83" s="6"/>
      <c r="TZI83" s="6"/>
      <c r="TZJ83" s="6"/>
      <c r="TZK83" s="6"/>
      <c r="TZL83" s="6"/>
      <c r="TZM83" s="6"/>
      <c r="TZN83" s="6"/>
      <c r="TZO83" s="6"/>
      <c r="TZP83" s="6"/>
      <c r="TZQ83" s="6"/>
      <c r="TZR83" s="6"/>
      <c r="TZS83" s="6"/>
      <c r="TZT83" s="6"/>
      <c r="TZU83" s="6"/>
      <c r="TZV83" s="6"/>
      <c r="TZW83" s="6"/>
      <c r="TZX83" s="6"/>
      <c r="TZY83" s="6"/>
      <c r="TZZ83" s="6"/>
      <c r="UAA83" s="6"/>
      <c r="UAB83" s="6"/>
      <c r="UAC83" s="6"/>
      <c r="UAD83" s="6"/>
      <c r="UAE83" s="6"/>
      <c r="UAF83" s="6"/>
      <c r="UAG83" s="6"/>
      <c r="UAH83" s="6"/>
      <c r="UAI83" s="6"/>
      <c r="UAJ83" s="6"/>
      <c r="UAK83" s="6"/>
      <c r="UAL83" s="6"/>
      <c r="UAM83" s="6"/>
      <c r="UAN83" s="6"/>
      <c r="UAO83" s="6"/>
      <c r="UAP83" s="6"/>
      <c r="UAQ83" s="6"/>
      <c r="UAR83" s="6"/>
      <c r="UAS83" s="6"/>
      <c r="UAT83" s="6"/>
      <c r="UAU83" s="6"/>
      <c r="UAV83" s="6"/>
      <c r="UAW83" s="6"/>
      <c r="UAX83" s="6"/>
      <c r="UAY83" s="6"/>
      <c r="UAZ83" s="6"/>
      <c r="UBA83" s="6"/>
      <c r="UBB83" s="6"/>
      <c r="UBC83" s="6"/>
      <c r="UBD83" s="6"/>
      <c r="UBE83" s="6"/>
      <c r="UBF83" s="6"/>
      <c r="UBG83" s="6"/>
      <c r="UBH83" s="6"/>
      <c r="UBI83" s="6"/>
      <c r="UBJ83" s="6"/>
      <c r="UBK83" s="6"/>
      <c r="UBL83" s="6"/>
      <c r="UBM83" s="6"/>
      <c r="UBN83" s="6"/>
      <c r="UBO83" s="6"/>
      <c r="UBP83" s="6"/>
      <c r="UBQ83" s="6"/>
      <c r="UBR83" s="6"/>
      <c r="UBS83" s="6"/>
      <c r="UBT83" s="6"/>
      <c r="UBU83" s="6"/>
      <c r="UBV83" s="6"/>
      <c r="UBW83" s="6"/>
      <c r="UBX83" s="6"/>
      <c r="UBY83" s="6"/>
      <c r="UBZ83" s="6"/>
      <c r="UCA83" s="6"/>
      <c r="UCB83" s="6"/>
      <c r="UCC83" s="6"/>
      <c r="UCD83" s="6"/>
      <c r="UCE83" s="6"/>
      <c r="UCF83" s="6"/>
      <c r="UCG83" s="6"/>
      <c r="UCH83" s="6"/>
      <c r="UCI83" s="6"/>
      <c r="UCJ83" s="6"/>
      <c r="UCK83" s="6"/>
      <c r="UCL83" s="6"/>
      <c r="UCM83" s="6"/>
      <c r="UCN83" s="6"/>
      <c r="UCO83" s="6"/>
      <c r="UCP83" s="6"/>
      <c r="UCQ83" s="6"/>
      <c r="UCR83" s="6"/>
      <c r="UCS83" s="6"/>
      <c r="UCT83" s="6"/>
      <c r="UCU83" s="6"/>
      <c r="UCV83" s="6"/>
      <c r="UCW83" s="6"/>
      <c r="UCX83" s="6"/>
      <c r="UCY83" s="6"/>
      <c r="UCZ83" s="6"/>
      <c r="UDA83" s="6"/>
      <c r="UDB83" s="6"/>
      <c r="UDC83" s="6"/>
      <c r="UDD83" s="6"/>
      <c r="UDE83" s="6"/>
      <c r="UDF83" s="6"/>
      <c r="UDG83" s="6"/>
      <c r="UDH83" s="6"/>
      <c r="UDI83" s="6"/>
      <c r="UDJ83" s="6"/>
      <c r="UDK83" s="6"/>
      <c r="UDL83" s="6"/>
      <c r="UDM83" s="6"/>
      <c r="UDN83" s="6"/>
      <c r="UDO83" s="6"/>
      <c r="UDP83" s="6"/>
      <c r="UDQ83" s="6"/>
      <c r="UDR83" s="6"/>
      <c r="UDS83" s="6"/>
      <c r="UDT83" s="6"/>
      <c r="UDU83" s="6"/>
      <c r="UDV83" s="6"/>
      <c r="UDW83" s="6"/>
      <c r="UDX83" s="6"/>
      <c r="UDY83" s="6"/>
      <c r="UDZ83" s="6"/>
      <c r="UEA83" s="6"/>
      <c r="UEB83" s="6"/>
      <c r="UEC83" s="6"/>
      <c r="UED83" s="6"/>
      <c r="UEE83" s="6"/>
      <c r="UEF83" s="6"/>
      <c r="UEG83" s="6"/>
      <c r="UEH83" s="6"/>
      <c r="UEI83" s="6"/>
      <c r="UEJ83" s="6"/>
      <c r="UEK83" s="6"/>
      <c r="UEL83" s="6"/>
      <c r="UEM83" s="6"/>
      <c r="UEN83" s="6"/>
      <c r="UEO83" s="6"/>
      <c r="UEP83" s="6"/>
      <c r="UEQ83" s="6"/>
      <c r="UER83" s="6"/>
      <c r="UES83" s="6"/>
      <c r="UET83" s="6"/>
      <c r="UEU83" s="6"/>
      <c r="UEV83" s="6"/>
      <c r="UEW83" s="6"/>
      <c r="UEX83" s="6"/>
      <c r="UEY83" s="6"/>
      <c r="UEZ83" s="6"/>
      <c r="UFA83" s="6"/>
      <c r="UFB83" s="6"/>
      <c r="UFC83" s="6"/>
      <c r="UFD83" s="6"/>
      <c r="UFE83" s="6"/>
      <c r="UFF83" s="6"/>
      <c r="UFG83" s="6"/>
      <c r="UFH83" s="6"/>
      <c r="UFI83" s="6"/>
      <c r="UFJ83" s="6"/>
      <c r="UFK83" s="6"/>
      <c r="UFL83" s="6"/>
      <c r="UFM83" s="6"/>
      <c r="UFN83" s="6"/>
      <c r="UFO83" s="6"/>
      <c r="UFP83" s="6"/>
      <c r="UFQ83" s="6"/>
      <c r="UFR83" s="6"/>
      <c r="UFS83" s="6"/>
      <c r="UFT83" s="6"/>
      <c r="UFU83" s="6"/>
      <c r="UFV83" s="6"/>
      <c r="UFW83" s="6"/>
      <c r="UFX83" s="6"/>
      <c r="UFY83" s="6"/>
      <c r="UFZ83" s="6"/>
      <c r="UGA83" s="6"/>
      <c r="UGB83" s="6"/>
      <c r="UGC83" s="6"/>
      <c r="UGD83" s="6"/>
      <c r="UGE83" s="6"/>
      <c r="UGF83" s="6"/>
      <c r="UGG83" s="6"/>
      <c r="UGH83" s="6"/>
      <c r="UGI83" s="6"/>
      <c r="UGJ83" s="6"/>
      <c r="UGK83" s="6"/>
      <c r="UGL83" s="6"/>
      <c r="UGM83" s="6"/>
      <c r="UGN83" s="6"/>
      <c r="UGO83" s="6"/>
      <c r="UGP83" s="6"/>
      <c r="UGQ83" s="6"/>
      <c r="UGR83" s="6"/>
      <c r="UGS83" s="6"/>
      <c r="UGT83" s="6"/>
      <c r="UGU83" s="6"/>
      <c r="UGV83" s="6"/>
      <c r="UGW83" s="6"/>
      <c r="UGX83" s="6"/>
      <c r="UGY83" s="6"/>
      <c r="UGZ83" s="6"/>
      <c r="UHA83" s="6"/>
      <c r="UHB83" s="6"/>
      <c r="UHC83" s="6"/>
      <c r="UHD83" s="6"/>
      <c r="UHE83" s="6"/>
      <c r="UHF83" s="6"/>
      <c r="UHG83" s="6"/>
      <c r="UHH83" s="6"/>
      <c r="UHI83" s="6"/>
      <c r="UHJ83" s="6"/>
      <c r="UHK83" s="6"/>
      <c r="UHL83" s="6"/>
      <c r="UHM83" s="6"/>
      <c r="UHN83" s="6"/>
      <c r="UHO83" s="6"/>
      <c r="UHP83" s="6"/>
      <c r="UHQ83" s="6"/>
      <c r="UHR83" s="6"/>
      <c r="UHS83" s="6"/>
      <c r="UHT83" s="6"/>
      <c r="UHU83" s="6"/>
      <c r="UHV83" s="6"/>
      <c r="UHW83" s="6"/>
      <c r="UHX83" s="6"/>
      <c r="UHY83" s="6"/>
      <c r="UHZ83" s="6"/>
      <c r="UIA83" s="6"/>
      <c r="UIB83" s="6"/>
      <c r="UIC83" s="6"/>
      <c r="UID83" s="6"/>
      <c r="UIE83" s="6"/>
      <c r="UIF83" s="6"/>
      <c r="UIG83" s="6"/>
      <c r="UIH83" s="6"/>
      <c r="UII83" s="6"/>
      <c r="UIJ83" s="6"/>
      <c r="UIK83" s="6"/>
      <c r="UIL83" s="6"/>
      <c r="UIM83" s="6"/>
      <c r="UIN83" s="6"/>
      <c r="UIO83" s="6"/>
      <c r="UIP83" s="6"/>
      <c r="UIQ83" s="6"/>
      <c r="UIR83" s="6"/>
      <c r="UIS83" s="6"/>
      <c r="UIT83" s="6"/>
      <c r="UIU83" s="6"/>
      <c r="UIV83" s="6"/>
      <c r="UIW83" s="6"/>
      <c r="UIX83" s="6"/>
      <c r="UIY83" s="6"/>
      <c r="UIZ83" s="6"/>
      <c r="UJA83" s="6"/>
      <c r="UJB83" s="6"/>
      <c r="UJC83" s="6"/>
      <c r="UJD83" s="6"/>
      <c r="UJE83" s="6"/>
      <c r="UJF83" s="6"/>
      <c r="UJG83" s="6"/>
      <c r="UJH83" s="6"/>
      <c r="UJI83" s="6"/>
      <c r="UJJ83" s="6"/>
      <c r="UJK83" s="6"/>
      <c r="UJL83" s="6"/>
      <c r="UJM83" s="6"/>
      <c r="UJN83" s="6"/>
      <c r="UJO83" s="6"/>
      <c r="UJP83" s="6"/>
      <c r="UJQ83" s="6"/>
      <c r="UJR83" s="6"/>
      <c r="UJS83" s="6"/>
      <c r="UJT83" s="6"/>
      <c r="UJU83" s="6"/>
      <c r="UJV83" s="6"/>
      <c r="UJW83" s="6"/>
      <c r="UJX83" s="6"/>
      <c r="UJY83" s="6"/>
      <c r="UJZ83" s="6"/>
      <c r="UKA83" s="6"/>
      <c r="UKB83" s="6"/>
      <c r="UKC83" s="6"/>
      <c r="UKD83" s="6"/>
      <c r="UKE83" s="6"/>
      <c r="UKF83" s="6"/>
      <c r="UKG83" s="6"/>
      <c r="UKH83" s="6"/>
      <c r="UKI83" s="6"/>
      <c r="UKJ83" s="6"/>
      <c r="UKK83" s="6"/>
      <c r="UKL83" s="6"/>
      <c r="UKM83" s="6"/>
      <c r="UKN83" s="6"/>
      <c r="UKO83" s="6"/>
      <c r="UKP83" s="6"/>
      <c r="UKQ83" s="6"/>
      <c r="UKR83" s="6"/>
      <c r="UKS83" s="6"/>
      <c r="UKT83" s="6"/>
      <c r="UKU83" s="6"/>
      <c r="UKV83" s="6"/>
      <c r="UKW83" s="6"/>
      <c r="UKX83" s="6"/>
      <c r="UKY83" s="6"/>
      <c r="UKZ83" s="6"/>
      <c r="ULA83" s="6"/>
      <c r="ULB83" s="6"/>
      <c r="ULC83" s="6"/>
      <c r="ULD83" s="6"/>
      <c r="ULE83" s="6"/>
      <c r="ULF83" s="6"/>
      <c r="ULG83" s="6"/>
      <c r="ULH83" s="6"/>
      <c r="ULI83" s="6"/>
      <c r="ULJ83" s="6"/>
      <c r="ULK83" s="6"/>
      <c r="ULL83" s="6"/>
      <c r="ULM83" s="6"/>
      <c r="ULN83" s="6"/>
      <c r="ULO83" s="6"/>
      <c r="ULP83" s="6"/>
      <c r="ULQ83" s="6"/>
      <c r="ULR83" s="6"/>
      <c r="ULS83" s="6"/>
      <c r="ULT83" s="6"/>
      <c r="ULU83" s="6"/>
      <c r="ULV83" s="6"/>
      <c r="ULW83" s="6"/>
      <c r="ULX83" s="6"/>
      <c r="ULY83" s="6"/>
      <c r="ULZ83" s="6"/>
      <c r="UMA83" s="6"/>
      <c r="UMB83" s="6"/>
      <c r="UMC83" s="6"/>
      <c r="UMD83" s="6"/>
      <c r="UME83" s="6"/>
      <c r="UMF83" s="6"/>
      <c r="UMG83" s="6"/>
      <c r="UMH83" s="6"/>
      <c r="UMI83" s="6"/>
      <c r="UMJ83" s="6"/>
      <c r="UMK83" s="6"/>
      <c r="UML83" s="6"/>
      <c r="UMM83" s="6"/>
      <c r="UMN83" s="6"/>
      <c r="UMO83" s="6"/>
      <c r="UMP83" s="6"/>
      <c r="UMQ83" s="6"/>
      <c r="UMR83" s="6"/>
      <c r="UMS83" s="6"/>
      <c r="UMT83" s="6"/>
      <c r="UMU83" s="6"/>
      <c r="UMV83" s="6"/>
      <c r="UMW83" s="6"/>
      <c r="UMX83" s="6"/>
      <c r="UMY83" s="6"/>
      <c r="UMZ83" s="6"/>
      <c r="UNA83" s="6"/>
      <c r="UNB83" s="6"/>
      <c r="UNC83" s="6"/>
      <c r="UND83" s="6"/>
      <c r="UNE83" s="6"/>
      <c r="UNF83" s="6"/>
      <c r="UNG83" s="6"/>
      <c r="UNH83" s="6"/>
      <c r="UNI83" s="6"/>
      <c r="UNJ83" s="6"/>
      <c r="UNK83" s="6"/>
      <c r="UNL83" s="6"/>
      <c r="UNM83" s="6"/>
      <c r="UNN83" s="6"/>
      <c r="UNO83" s="6"/>
      <c r="UNP83" s="6"/>
      <c r="UNQ83" s="6"/>
      <c r="UNR83" s="6"/>
      <c r="UNS83" s="6"/>
      <c r="UNT83" s="6"/>
      <c r="UNU83" s="6"/>
      <c r="UNV83" s="6"/>
      <c r="UNW83" s="6"/>
      <c r="UNX83" s="6"/>
      <c r="UNY83" s="6"/>
      <c r="UNZ83" s="6"/>
      <c r="UOA83" s="6"/>
      <c r="UOB83" s="6"/>
      <c r="UOC83" s="6"/>
      <c r="UOD83" s="6"/>
      <c r="UOE83" s="6"/>
      <c r="UOF83" s="6"/>
      <c r="UOG83" s="6"/>
      <c r="UOH83" s="6"/>
      <c r="UOI83" s="6"/>
      <c r="UOJ83" s="6"/>
      <c r="UOK83" s="6"/>
      <c r="UOL83" s="6"/>
      <c r="UOM83" s="6"/>
      <c r="UON83" s="6"/>
      <c r="UOO83" s="6"/>
      <c r="UOP83" s="6"/>
      <c r="UOQ83" s="6"/>
      <c r="UOR83" s="6"/>
      <c r="UOS83" s="6"/>
      <c r="UOT83" s="6"/>
      <c r="UOU83" s="6"/>
      <c r="UOV83" s="6"/>
      <c r="UOW83" s="6"/>
      <c r="UOX83" s="6"/>
      <c r="UOY83" s="6"/>
      <c r="UOZ83" s="6"/>
      <c r="UPA83" s="6"/>
      <c r="UPB83" s="6"/>
      <c r="UPC83" s="6"/>
      <c r="UPD83" s="6"/>
      <c r="UPE83" s="6"/>
      <c r="UPF83" s="6"/>
      <c r="UPG83" s="6"/>
      <c r="UPH83" s="6"/>
      <c r="UPI83" s="6"/>
      <c r="UPJ83" s="6"/>
      <c r="UPK83" s="6"/>
      <c r="UPL83" s="6"/>
      <c r="UPM83" s="6"/>
      <c r="UPN83" s="6"/>
      <c r="UPO83" s="6"/>
      <c r="UPP83" s="6"/>
      <c r="UPQ83" s="6"/>
      <c r="UPR83" s="6"/>
      <c r="UPS83" s="6"/>
      <c r="UPT83" s="6"/>
      <c r="UPU83" s="6"/>
      <c r="UPV83" s="6"/>
      <c r="UPW83" s="6"/>
      <c r="UPX83" s="6"/>
      <c r="UPY83" s="6"/>
      <c r="UPZ83" s="6"/>
      <c r="UQA83" s="6"/>
      <c r="UQB83" s="6"/>
      <c r="UQC83" s="6"/>
      <c r="UQD83" s="6"/>
      <c r="UQE83" s="6"/>
      <c r="UQF83" s="6"/>
      <c r="UQG83" s="6"/>
      <c r="UQH83" s="6"/>
      <c r="UQI83" s="6"/>
      <c r="UQJ83" s="6"/>
      <c r="UQK83" s="6"/>
      <c r="UQL83" s="6"/>
      <c r="UQM83" s="6"/>
      <c r="UQN83" s="6"/>
      <c r="UQO83" s="6"/>
      <c r="UQP83" s="6"/>
      <c r="UQQ83" s="6"/>
      <c r="UQR83" s="6"/>
      <c r="UQS83" s="6"/>
      <c r="UQT83" s="6"/>
      <c r="UQU83" s="6"/>
      <c r="UQV83" s="6"/>
      <c r="UQW83" s="6"/>
      <c r="UQX83" s="6"/>
      <c r="UQY83" s="6"/>
      <c r="UQZ83" s="6"/>
      <c r="URA83" s="6"/>
      <c r="URB83" s="6"/>
      <c r="URC83" s="6"/>
      <c r="URD83" s="6"/>
      <c r="URE83" s="6"/>
      <c r="URF83" s="6"/>
      <c r="URG83" s="6"/>
      <c r="URH83" s="6"/>
      <c r="URI83" s="6"/>
      <c r="URJ83" s="6"/>
      <c r="URK83" s="6"/>
      <c r="URL83" s="6"/>
      <c r="URM83" s="6"/>
      <c r="URN83" s="6"/>
      <c r="URO83" s="6"/>
      <c r="URP83" s="6"/>
      <c r="URQ83" s="6"/>
      <c r="URR83" s="6"/>
      <c r="URS83" s="6"/>
      <c r="URT83" s="6"/>
      <c r="URU83" s="6"/>
      <c r="URV83" s="6"/>
      <c r="URW83" s="6"/>
      <c r="URX83" s="6"/>
      <c r="URY83" s="6"/>
      <c r="URZ83" s="6"/>
      <c r="USA83" s="6"/>
      <c r="USB83" s="6"/>
      <c r="USC83" s="6"/>
      <c r="USD83" s="6"/>
      <c r="USE83" s="6"/>
      <c r="USF83" s="6"/>
      <c r="USG83" s="6"/>
      <c r="USH83" s="6"/>
      <c r="USI83" s="6"/>
      <c r="USJ83" s="6"/>
      <c r="USK83" s="6"/>
      <c r="USL83" s="6"/>
      <c r="USM83" s="6"/>
      <c r="USN83" s="6"/>
      <c r="USO83" s="6"/>
      <c r="USP83" s="6"/>
      <c r="USQ83" s="6"/>
      <c r="USR83" s="6"/>
      <c r="USS83" s="6"/>
      <c r="UST83" s="6"/>
      <c r="USU83" s="6"/>
      <c r="USV83" s="6"/>
      <c r="USW83" s="6"/>
      <c r="USX83" s="6"/>
      <c r="USY83" s="6"/>
      <c r="USZ83" s="6"/>
      <c r="UTA83" s="6"/>
      <c r="UTB83" s="6"/>
      <c r="UTC83" s="6"/>
      <c r="UTD83" s="6"/>
      <c r="UTE83" s="6"/>
      <c r="UTF83" s="6"/>
      <c r="UTG83" s="6"/>
      <c r="UTH83" s="6"/>
      <c r="UTI83" s="6"/>
      <c r="UTJ83" s="6"/>
      <c r="UTK83" s="6"/>
      <c r="UTL83" s="6"/>
      <c r="UTM83" s="6"/>
      <c r="UTN83" s="6"/>
      <c r="UTO83" s="6"/>
      <c r="UTP83" s="6"/>
      <c r="UTQ83" s="6"/>
      <c r="UTR83" s="6"/>
      <c r="UTS83" s="6"/>
      <c r="UTT83" s="6"/>
      <c r="UTU83" s="6"/>
      <c r="UTV83" s="6"/>
      <c r="UTW83" s="6"/>
      <c r="UTX83" s="6"/>
      <c r="UTY83" s="6"/>
      <c r="UTZ83" s="6"/>
      <c r="UUA83" s="6"/>
      <c r="UUB83" s="6"/>
      <c r="UUC83" s="6"/>
      <c r="UUD83" s="6"/>
      <c r="UUE83" s="6"/>
      <c r="UUF83" s="6"/>
      <c r="UUG83" s="6"/>
      <c r="UUH83" s="6"/>
      <c r="UUI83" s="6"/>
      <c r="UUJ83" s="6"/>
      <c r="UUK83" s="6"/>
      <c r="UUL83" s="6"/>
      <c r="UUM83" s="6"/>
      <c r="UUN83" s="6"/>
      <c r="UUO83" s="6"/>
      <c r="UUP83" s="6"/>
      <c r="UUQ83" s="6"/>
      <c r="UUR83" s="6"/>
      <c r="UUS83" s="6"/>
      <c r="UUT83" s="6"/>
      <c r="UUU83" s="6"/>
      <c r="UUV83" s="6"/>
      <c r="UUW83" s="6"/>
      <c r="UUX83" s="6"/>
      <c r="UUY83" s="6"/>
      <c r="UUZ83" s="6"/>
      <c r="UVA83" s="6"/>
      <c r="UVB83" s="6"/>
      <c r="UVC83" s="6"/>
      <c r="UVD83" s="6"/>
      <c r="UVE83" s="6"/>
      <c r="UVF83" s="6"/>
      <c r="UVG83" s="6"/>
      <c r="UVH83" s="6"/>
      <c r="UVI83" s="6"/>
      <c r="UVJ83" s="6"/>
      <c r="UVK83" s="6"/>
      <c r="UVL83" s="6"/>
      <c r="UVM83" s="6"/>
      <c r="UVN83" s="6"/>
      <c r="UVO83" s="6"/>
      <c r="UVP83" s="6"/>
      <c r="UVQ83" s="6"/>
      <c r="UVR83" s="6"/>
      <c r="UVS83" s="6"/>
      <c r="UVT83" s="6"/>
      <c r="UVU83" s="6"/>
      <c r="UVV83" s="6"/>
      <c r="UVW83" s="6"/>
      <c r="UVX83" s="6"/>
      <c r="UVY83" s="6"/>
      <c r="UVZ83" s="6"/>
      <c r="UWA83" s="6"/>
      <c r="UWB83" s="6"/>
      <c r="UWC83" s="6"/>
      <c r="UWD83" s="6"/>
      <c r="UWE83" s="6"/>
      <c r="UWF83" s="6"/>
      <c r="UWG83" s="6"/>
      <c r="UWH83" s="6"/>
      <c r="UWI83" s="6"/>
      <c r="UWJ83" s="6"/>
      <c r="UWK83" s="6"/>
      <c r="UWL83" s="6"/>
      <c r="UWM83" s="6"/>
      <c r="UWN83" s="6"/>
      <c r="UWO83" s="6"/>
      <c r="UWP83" s="6"/>
      <c r="UWQ83" s="6"/>
      <c r="UWR83" s="6"/>
      <c r="UWS83" s="6"/>
      <c r="UWT83" s="6"/>
      <c r="UWU83" s="6"/>
      <c r="UWV83" s="6"/>
      <c r="UWW83" s="6"/>
      <c r="UWX83" s="6"/>
      <c r="UWY83" s="6"/>
      <c r="UWZ83" s="6"/>
      <c r="UXA83" s="6"/>
      <c r="UXB83" s="6"/>
      <c r="UXC83" s="6"/>
      <c r="UXD83" s="6"/>
      <c r="UXE83" s="6"/>
      <c r="UXF83" s="6"/>
      <c r="UXG83" s="6"/>
      <c r="UXH83" s="6"/>
      <c r="UXI83" s="6"/>
      <c r="UXJ83" s="6"/>
      <c r="UXK83" s="6"/>
      <c r="UXL83" s="6"/>
      <c r="UXM83" s="6"/>
      <c r="UXN83" s="6"/>
      <c r="UXO83" s="6"/>
      <c r="UXP83" s="6"/>
      <c r="UXQ83" s="6"/>
      <c r="UXR83" s="6"/>
      <c r="UXS83" s="6"/>
      <c r="UXT83" s="6"/>
      <c r="UXU83" s="6"/>
      <c r="UXV83" s="6"/>
      <c r="UXW83" s="6"/>
      <c r="UXX83" s="6"/>
      <c r="UXY83" s="6"/>
      <c r="UXZ83" s="6"/>
      <c r="UYA83" s="6"/>
      <c r="UYB83" s="6"/>
      <c r="UYC83" s="6"/>
      <c r="UYD83" s="6"/>
      <c r="UYE83" s="6"/>
      <c r="UYF83" s="6"/>
      <c r="UYG83" s="6"/>
      <c r="UYH83" s="6"/>
      <c r="UYI83" s="6"/>
      <c r="UYJ83" s="6"/>
      <c r="UYK83" s="6"/>
      <c r="UYL83" s="6"/>
      <c r="UYM83" s="6"/>
      <c r="UYN83" s="6"/>
      <c r="UYO83" s="6"/>
      <c r="UYP83" s="6"/>
      <c r="UYQ83" s="6"/>
      <c r="UYR83" s="6"/>
      <c r="UYS83" s="6"/>
      <c r="UYT83" s="6"/>
      <c r="UYU83" s="6"/>
      <c r="UYV83" s="6"/>
      <c r="UYW83" s="6"/>
      <c r="UYX83" s="6"/>
      <c r="UYY83" s="6"/>
      <c r="UYZ83" s="6"/>
      <c r="UZA83" s="6"/>
      <c r="UZB83" s="6"/>
      <c r="UZC83" s="6"/>
      <c r="UZD83" s="6"/>
      <c r="UZE83" s="6"/>
      <c r="UZF83" s="6"/>
      <c r="UZG83" s="6"/>
      <c r="UZH83" s="6"/>
      <c r="UZI83" s="6"/>
      <c r="UZJ83" s="6"/>
      <c r="UZK83" s="6"/>
      <c r="UZL83" s="6"/>
      <c r="UZM83" s="6"/>
      <c r="UZN83" s="6"/>
      <c r="UZO83" s="6"/>
      <c r="UZP83" s="6"/>
      <c r="UZQ83" s="6"/>
      <c r="UZR83" s="6"/>
      <c r="UZS83" s="6"/>
      <c r="UZT83" s="6"/>
      <c r="UZU83" s="6"/>
      <c r="UZV83" s="6"/>
      <c r="UZW83" s="6"/>
      <c r="UZX83" s="6"/>
      <c r="UZY83" s="6"/>
      <c r="UZZ83" s="6"/>
      <c r="VAA83" s="6"/>
      <c r="VAB83" s="6"/>
      <c r="VAC83" s="6"/>
      <c r="VAD83" s="6"/>
      <c r="VAE83" s="6"/>
      <c r="VAF83" s="6"/>
      <c r="VAG83" s="6"/>
      <c r="VAH83" s="6"/>
      <c r="VAI83" s="6"/>
      <c r="VAJ83" s="6"/>
      <c r="VAK83" s="6"/>
      <c r="VAL83" s="6"/>
      <c r="VAM83" s="6"/>
      <c r="VAN83" s="6"/>
      <c r="VAO83" s="6"/>
      <c r="VAP83" s="6"/>
      <c r="VAQ83" s="6"/>
      <c r="VAR83" s="6"/>
      <c r="VAS83" s="6"/>
      <c r="VAT83" s="6"/>
      <c r="VAU83" s="6"/>
      <c r="VAV83" s="6"/>
      <c r="VAW83" s="6"/>
      <c r="VAX83" s="6"/>
      <c r="VAY83" s="6"/>
      <c r="VAZ83" s="6"/>
      <c r="VBA83" s="6"/>
      <c r="VBB83" s="6"/>
      <c r="VBC83" s="6"/>
      <c r="VBD83" s="6"/>
      <c r="VBE83" s="6"/>
      <c r="VBF83" s="6"/>
      <c r="VBG83" s="6"/>
      <c r="VBH83" s="6"/>
      <c r="VBI83" s="6"/>
      <c r="VBJ83" s="6"/>
      <c r="VBK83" s="6"/>
      <c r="VBL83" s="6"/>
      <c r="VBM83" s="6"/>
      <c r="VBN83" s="6"/>
      <c r="VBO83" s="6"/>
      <c r="VBP83" s="6"/>
      <c r="VBQ83" s="6"/>
      <c r="VBR83" s="6"/>
      <c r="VBS83" s="6"/>
      <c r="VBT83" s="6"/>
      <c r="VBU83" s="6"/>
      <c r="VBV83" s="6"/>
      <c r="VBW83" s="6"/>
      <c r="VBX83" s="6"/>
      <c r="VBY83" s="6"/>
      <c r="VBZ83" s="6"/>
      <c r="VCA83" s="6"/>
      <c r="VCB83" s="6"/>
      <c r="VCC83" s="6"/>
      <c r="VCD83" s="6"/>
      <c r="VCE83" s="6"/>
      <c r="VCF83" s="6"/>
      <c r="VCG83" s="6"/>
      <c r="VCH83" s="6"/>
      <c r="VCI83" s="6"/>
      <c r="VCJ83" s="6"/>
      <c r="VCK83" s="6"/>
      <c r="VCL83" s="6"/>
      <c r="VCM83" s="6"/>
      <c r="VCN83" s="6"/>
      <c r="VCO83" s="6"/>
      <c r="VCP83" s="6"/>
      <c r="VCQ83" s="6"/>
      <c r="VCR83" s="6"/>
      <c r="VCS83" s="6"/>
      <c r="VCT83" s="6"/>
      <c r="VCU83" s="6"/>
      <c r="VCV83" s="6"/>
      <c r="VCW83" s="6"/>
      <c r="VCX83" s="6"/>
      <c r="VCY83" s="6"/>
      <c r="VCZ83" s="6"/>
      <c r="VDA83" s="6"/>
      <c r="VDB83" s="6"/>
      <c r="VDC83" s="6"/>
      <c r="VDD83" s="6"/>
      <c r="VDE83" s="6"/>
      <c r="VDF83" s="6"/>
      <c r="VDG83" s="6"/>
      <c r="VDH83" s="6"/>
      <c r="VDI83" s="6"/>
      <c r="VDJ83" s="6"/>
      <c r="VDK83" s="6"/>
      <c r="VDL83" s="6"/>
      <c r="VDM83" s="6"/>
      <c r="VDN83" s="6"/>
      <c r="VDO83" s="6"/>
      <c r="VDP83" s="6"/>
      <c r="VDQ83" s="6"/>
      <c r="VDR83" s="6"/>
      <c r="VDS83" s="6"/>
      <c r="VDT83" s="6"/>
      <c r="VDU83" s="6"/>
      <c r="VDV83" s="6"/>
      <c r="VDW83" s="6"/>
      <c r="VDX83" s="6"/>
      <c r="VDY83" s="6"/>
      <c r="VDZ83" s="6"/>
      <c r="VEA83" s="6"/>
      <c r="VEB83" s="6"/>
      <c r="VEC83" s="6"/>
      <c r="VED83" s="6"/>
      <c r="VEE83" s="6"/>
      <c r="VEF83" s="6"/>
      <c r="VEG83" s="6"/>
      <c r="VEH83" s="6"/>
      <c r="VEI83" s="6"/>
      <c r="VEJ83" s="6"/>
      <c r="VEK83" s="6"/>
      <c r="VEL83" s="6"/>
      <c r="VEM83" s="6"/>
      <c r="VEN83" s="6"/>
      <c r="VEO83" s="6"/>
      <c r="VEP83" s="6"/>
      <c r="VEQ83" s="6"/>
      <c r="VER83" s="6"/>
      <c r="VES83" s="6"/>
      <c r="VET83" s="6"/>
      <c r="VEU83" s="6"/>
      <c r="VEV83" s="6"/>
      <c r="VEW83" s="6"/>
      <c r="VEX83" s="6"/>
      <c r="VEY83" s="6"/>
      <c r="VEZ83" s="6"/>
      <c r="VFA83" s="6"/>
      <c r="VFB83" s="6"/>
      <c r="VFC83" s="6"/>
      <c r="VFD83" s="6"/>
      <c r="VFE83" s="6"/>
      <c r="VFF83" s="6"/>
      <c r="VFG83" s="6"/>
      <c r="VFH83" s="6"/>
      <c r="VFI83" s="6"/>
      <c r="VFJ83" s="6"/>
      <c r="VFK83" s="6"/>
      <c r="VFL83" s="6"/>
      <c r="VFM83" s="6"/>
      <c r="VFN83" s="6"/>
      <c r="VFO83" s="6"/>
      <c r="VFP83" s="6"/>
      <c r="VFQ83" s="6"/>
      <c r="VFR83" s="6"/>
      <c r="VFS83" s="6"/>
      <c r="VFT83" s="6"/>
      <c r="VFU83" s="6"/>
      <c r="VFV83" s="6"/>
      <c r="VFW83" s="6"/>
      <c r="VFX83" s="6"/>
      <c r="VFY83" s="6"/>
      <c r="VFZ83" s="6"/>
      <c r="VGA83" s="6"/>
      <c r="VGB83" s="6"/>
      <c r="VGC83" s="6"/>
      <c r="VGD83" s="6"/>
      <c r="VGE83" s="6"/>
      <c r="VGF83" s="6"/>
      <c r="VGG83" s="6"/>
      <c r="VGH83" s="6"/>
      <c r="VGI83" s="6"/>
      <c r="VGJ83" s="6"/>
      <c r="VGK83" s="6"/>
      <c r="VGL83" s="6"/>
      <c r="VGM83" s="6"/>
      <c r="VGN83" s="6"/>
      <c r="VGO83" s="6"/>
      <c r="VGP83" s="6"/>
      <c r="VGQ83" s="6"/>
      <c r="VGR83" s="6"/>
      <c r="VGS83" s="6"/>
      <c r="VGT83" s="6"/>
      <c r="VGU83" s="6"/>
      <c r="VGV83" s="6"/>
      <c r="VGW83" s="6"/>
      <c r="VGX83" s="6"/>
      <c r="VGY83" s="6"/>
      <c r="VGZ83" s="6"/>
      <c r="VHA83" s="6"/>
      <c r="VHB83" s="6"/>
      <c r="VHC83" s="6"/>
      <c r="VHD83" s="6"/>
      <c r="VHE83" s="6"/>
      <c r="VHF83" s="6"/>
      <c r="VHG83" s="6"/>
      <c r="VHH83" s="6"/>
      <c r="VHI83" s="6"/>
      <c r="VHJ83" s="6"/>
      <c r="VHK83" s="6"/>
      <c r="VHL83" s="6"/>
      <c r="VHM83" s="6"/>
      <c r="VHN83" s="6"/>
      <c r="VHO83" s="6"/>
      <c r="VHP83" s="6"/>
      <c r="VHQ83" s="6"/>
      <c r="VHR83" s="6"/>
      <c r="VHS83" s="6"/>
      <c r="VHT83" s="6"/>
      <c r="VHU83" s="6"/>
      <c r="VHV83" s="6"/>
      <c r="VHW83" s="6"/>
      <c r="VHX83" s="6"/>
      <c r="VHY83" s="6"/>
      <c r="VHZ83" s="6"/>
      <c r="VIA83" s="6"/>
      <c r="VIB83" s="6"/>
      <c r="VIC83" s="6"/>
      <c r="VID83" s="6"/>
      <c r="VIE83" s="6"/>
      <c r="VIF83" s="6"/>
      <c r="VIG83" s="6"/>
      <c r="VIH83" s="6"/>
      <c r="VII83" s="6"/>
      <c r="VIJ83" s="6"/>
      <c r="VIK83" s="6"/>
      <c r="VIL83" s="6"/>
      <c r="VIM83" s="6"/>
      <c r="VIN83" s="6"/>
      <c r="VIO83" s="6"/>
      <c r="VIP83" s="6"/>
      <c r="VIQ83" s="6"/>
      <c r="VIR83" s="6"/>
      <c r="VIS83" s="6"/>
      <c r="VIT83" s="6"/>
      <c r="VIU83" s="6"/>
      <c r="VIV83" s="6"/>
      <c r="VIW83" s="6"/>
      <c r="VIX83" s="6"/>
      <c r="VIY83" s="6"/>
      <c r="VIZ83" s="6"/>
      <c r="VJA83" s="6"/>
      <c r="VJB83" s="6"/>
      <c r="VJC83" s="6"/>
      <c r="VJD83" s="6"/>
      <c r="VJE83" s="6"/>
      <c r="VJF83" s="6"/>
      <c r="VJG83" s="6"/>
      <c r="VJH83" s="6"/>
      <c r="VJI83" s="6"/>
      <c r="VJJ83" s="6"/>
      <c r="VJK83" s="6"/>
      <c r="VJL83" s="6"/>
      <c r="VJM83" s="6"/>
      <c r="VJN83" s="6"/>
      <c r="VJO83" s="6"/>
      <c r="VJP83" s="6"/>
      <c r="VJQ83" s="6"/>
      <c r="VJR83" s="6"/>
      <c r="VJS83" s="6"/>
      <c r="VJT83" s="6"/>
      <c r="VJU83" s="6"/>
      <c r="VJV83" s="6"/>
      <c r="VJW83" s="6"/>
      <c r="VJX83" s="6"/>
      <c r="VJY83" s="6"/>
      <c r="VJZ83" s="6"/>
      <c r="VKA83" s="6"/>
      <c r="VKB83" s="6"/>
      <c r="VKC83" s="6"/>
      <c r="VKD83" s="6"/>
      <c r="VKE83" s="6"/>
      <c r="VKF83" s="6"/>
      <c r="VKG83" s="6"/>
      <c r="VKH83" s="6"/>
      <c r="VKI83" s="6"/>
      <c r="VKJ83" s="6"/>
      <c r="VKK83" s="6"/>
      <c r="VKL83" s="6"/>
      <c r="VKM83" s="6"/>
      <c r="VKN83" s="6"/>
      <c r="VKO83" s="6"/>
      <c r="VKP83" s="6"/>
      <c r="VKQ83" s="6"/>
      <c r="VKR83" s="6"/>
      <c r="VKS83" s="6"/>
      <c r="VKT83" s="6"/>
      <c r="VKU83" s="6"/>
      <c r="VKV83" s="6"/>
      <c r="VKW83" s="6"/>
      <c r="VKX83" s="6"/>
      <c r="VKY83" s="6"/>
      <c r="VKZ83" s="6"/>
      <c r="VLA83" s="6"/>
      <c r="VLB83" s="6"/>
      <c r="VLC83" s="6"/>
      <c r="VLD83" s="6"/>
      <c r="VLE83" s="6"/>
      <c r="VLF83" s="6"/>
      <c r="VLG83" s="6"/>
      <c r="VLH83" s="6"/>
      <c r="VLI83" s="6"/>
      <c r="VLJ83" s="6"/>
      <c r="VLK83" s="6"/>
      <c r="VLL83" s="6"/>
      <c r="VLM83" s="6"/>
      <c r="VLN83" s="6"/>
      <c r="VLO83" s="6"/>
      <c r="VLP83" s="6"/>
      <c r="VLQ83" s="6"/>
      <c r="VLR83" s="6"/>
      <c r="VLS83" s="6"/>
      <c r="VLT83" s="6"/>
      <c r="VLU83" s="6"/>
      <c r="VLV83" s="6"/>
      <c r="VLW83" s="6"/>
      <c r="VLX83" s="6"/>
      <c r="VLY83" s="6"/>
      <c r="VLZ83" s="6"/>
      <c r="VMA83" s="6"/>
      <c r="VMB83" s="6"/>
      <c r="VMC83" s="6"/>
      <c r="VMD83" s="6"/>
      <c r="VME83" s="6"/>
      <c r="VMF83" s="6"/>
      <c r="VMG83" s="6"/>
      <c r="VMH83" s="6"/>
      <c r="VMI83" s="6"/>
      <c r="VMJ83" s="6"/>
      <c r="VMK83" s="6"/>
      <c r="VML83" s="6"/>
      <c r="VMM83" s="6"/>
      <c r="VMN83" s="6"/>
      <c r="VMO83" s="6"/>
      <c r="VMP83" s="6"/>
      <c r="VMQ83" s="6"/>
      <c r="VMR83" s="6"/>
      <c r="VMS83" s="6"/>
      <c r="VMT83" s="6"/>
      <c r="VMU83" s="6"/>
      <c r="VMV83" s="6"/>
      <c r="VMW83" s="6"/>
      <c r="VMX83" s="6"/>
      <c r="VMY83" s="6"/>
      <c r="VMZ83" s="6"/>
      <c r="VNA83" s="6"/>
      <c r="VNB83" s="6"/>
      <c r="VNC83" s="6"/>
      <c r="VND83" s="6"/>
      <c r="VNE83" s="6"/>
      <c r="VNF83" s="6"/>
      <c r="VNG83" s="6"/>
      <c r="VNH83" s="6"/>
      <c r="VNI83" s="6"/>
      <c r="VNJ83" s="6"/>
      <c r="VNK83" s="6"/>
      <c r="VNL83" s="6"/>
      <c r="VNM83" s="6"/>
      <c r="VNN83" s="6"/>
      <c r="VNO83" s="6"/>
      <c r="VNP83" s="6"/>
      <c r="VNQ83" s="6"/>
      <c r="VNR83" s="6"/>
      <c r="VNS83" s="6"/>
      <c r="VNT83" s="6"/>
      <c r="VNU83" s="6"/>
      <c r="VNV83" s="6"/>
      <c r="VNW83" s="6"/>
      <c r="VNX83" s="6"/>
      <c r="VNY83" s="6"/>
      <c r="VNZ83" s="6"/>
      <c r="VOA83" s="6"/>
      <c r="VOB83" s="6"/>
      <c r="VOC83" s="6"/>
      <c r="VOD83" s="6"/>
      <c r="VOE83" s="6"/>
      <c r="VOF83" s="6"/>
      <c r="VOG83" s="6"/>
      <c r="VOH83" s="6"/>
      <c r="VOI83" s="6"/>
      <c r="VOJ83" s="6"/>
      <c r="VOK83" s="6"/>
      <c r="VOL83" s="6"/>
      <c r="VOM83" s="6"/>
      <c r="VON83" s="6"/>
      <c r="VOO83" s="6"/>
      <c r="VOP83" s="6"/>
      <c r="VOQ83" s="6"/>
      <c r="VOR83" s="6"/>
      <c r="VOS83" s="6"/>
      <c r="VOT83" s="6"/>
      <c r="VOU83" s="6"/>
      <c r="VOV83" s="6"/>
      <c r="VOW83" s="6"/>
      <c r="VOX83" s="6"/>
      <c r="VOY83" s="6"/>
      <c r="VOZ83" s="6"/>
      <c r="VPA83" s="6"/>
      <c r="VPB83" s="6"/>
      <c r="VPC83" s="6"/>
      <c r="VPD83" s="6"/>
      <c r="VPE83" s="6"/>
      <c r="VPF83" s="6"/>
      <c r="VPG83" s="6"/>
      <c r="VPH83" s="6"/>
      <c r="VPI83" s="6"/>
      <c r="VPJ83" s="6"/>
      <c r="VPK83" s="6"/>
      <c r="VPL83" s="6"/>
      <c r="VPM83" s="6"/>
      <c r="VPN83" s="6"/>
      <c r="VPO83" s="6"/>
      <c r="VPP83" s="6"/>
      <c r="VPQ83" s="6"/>
      <c r="VPR83" s="6"/>
      <c r="VPS83" s="6"/>
      <c r="VPT83" s="6"/>
      <c r="VPU83" s="6"/>
      <c r="VPV83" s="6"/>
      <c r="VPW83" s="6"/>
      <c r="VPX83" s="6"/>
      <c r="VPY83" s="6"/>
      <c r="VPZ83" s="6"/>
      <c r="VQA83" s="6"/>
      <c r="VQB83" s="6"/>
      <c r="VQC83" s="6"/>
      <c r="VQD83" s="6"/>
      <c r="VQE83" s="6"/>
      <c r="VQF83" s="6"/>
      <c r="VQG83" s="6"/>
      <c r="VQH83" s="6"/>
      <c r="VQI83" s="6"/>
      <c r="VQJ83" s="6"/>
      <c r="VQK83" s="6"/>
      <c r="VQL83" s="6"/>
      <c r="VQM83" s="6"/>
      <c r="VQN83" s="6"/>
      <c r="VQO83" s="6"/>
      <c r="VQP83" s="6"/>
      <c r="VQQ83" s="6"/>
      <c r="VQR83" s="6"/>
      <c r="VQS83" s="6"/>
      <c r="VQT83" s="6"/>
      <c r="VQU83" s="6"/>
      <c r="VQV83" s="6"/>
      <c r="VQW83" s="6"/>
      <c r="VQX83" s="6"/>
      <c r="VQY83" s="6"/>
      <c r="VQZ83" s="6"/>
      <c r="VRA83" s="6"/>
      <c r="VRB83" s="6"/>
      <c r="VRC83" s="6"/>
      <c r="VRD83" s="6"/>
      <c r="VRE83" s="6"/>
      <c r="VRF83" s="6"/>
      <c r="VRG83" s="6"/>
      <c r="VRH83" s="6"/>
      <c r="VRI83" s="6"/>
      <c r="VRJ83" s="6"/>
      <c r="VRK83" s="6"/>
      <c r="VRL83" s="6"/>
      <c r="VRM83" s="6"/>
      <c r="VRN83" s="6"/>
      <c r="VRO83" s="6"/>
      <c r="VRP83" s="6"/>
      <c r="VRQ83" s="6"/>
      <c r="VRR83" s="6"/>
      <c r="VRS83" s="6"/>
      <c r="VRT83" s="6"/>
      <c r="VRU83" s="6"/>
      <c r="VRV83" s="6"/>
      <c r="VRW83" s="6"/>
      <c r="VRX83" s="6"/>
      <c r="VRY83" s="6"/>
      <c r="VRZ83" s="6"/>
      <c r="VSA83" s="6"/>
      <c r="VSB83" s="6"/>
      <c r="VSC83" s="6"/>
      <c r="VSD83" s="6"/>
      <c r="VSE83" s="6"/>
      <c r="VSF83" s="6"/>
      <c r="VSG83" s="6"/>
      <c r="VSH83" s="6"/>
      <c r="VSI83" s="6"/>
      <c r="VSJ83" s="6"/>
      <c r="VSK83" s="6"/>
      <c r="VSL83" s="6"/>
      <c r="VSM83" s="6"/>
      <c r="VSN83" s="6"/>
      <c r="VSO83" s="6"/>
      <c r="VSP83" s="6"/>
      <c r="VSQ83" s="6"/>
      <c r="VSR83" s="6"/>
      <c r="VSS83" s="6"/>
      <c r="VST83" s="6"/>
      <c r="VSU83" s="6"/>
      <c r="VSV83" s="6"/>
      <c r="VSW83" s="6"/>
      <c r="VSX83" s="6"/>
      <c r="VSY83" s="6"/>
      <c r="VSZ83" s="6"/>
      <c r="VTA83" s="6"/>
      <c r="VTB83" s="6"/>
      <c r="VTC83" s="6"/>
      <c r="VTD83" s="6"/>
      <c r="VTE83" s="6"/>
      <c r="VTF83" s="6"/>
      <c r="VTG83" s="6"/>
      <c r="VTH83" s="6"/>
      <c r="VTI83" s="6"/>
      <c r="VTJ83" s="6"/>
      <c r="VTK83" s="6"/>
      <c r="VTL83" s="6"/>
      <c r="VTM83" s="6"/>
      <c r="VTN83" s="6"/>
      <c r="VTO83" s="6"/>
      <c r="VTP83" s="6"/>
      <c r="VTQ83" s="6"/>
      <c r="VTR83" s="6"/>
      <c r="VTS83" s="6"/>
      <c r="VTT83" s="6"/>
      <c r="VTU83" s="6"/>
      <c r="VTV83" s="6"/>
      <c r="VTW83" s="6"/>
      <c r="VTX83" s="6"/>
      <c r="VTY83" s="6"/>
      <c r="VTZ83" s="6"/>
      <c r="VUA83" s="6"/>
      <c r="VUB83" s="6"/>
      <c r="VUC83" s="6"/>
      <c r="VUD83" s="6"/>
      <c r="VUE83" s="6"/>
      <c r="VUF83" s="6"/>
      <c r="VUG83" s="6"/>
      <c r="VUH83" s="6"/>
      <c r="VUI83" s="6"/>
      <c r="VUJ83" s="6"/>
      <c r="VUK83" s="6"/>
      <c r="VUL83" s="6"/>
      <c r="VUM83" s="6"/>
      <c r="VUN83" s="6"/>
      <c r="VUO83" s="6"/>
      <c r="VUP83" s="6"/>
      <c r="VUQ83" s="6"/>
      <c r="VUR83" s="6"/>
      <c r="VUS83" s="6"/>
      <c r="VUT83" s="6"/>
      <c r="VUU83" s="6"/>
      <c r="VUV83" s="6"/>
      <c r="VUW83" s="6"/>
      <c r="VUX83" s="6"/>
      <c r="VUY83" s="6"/>
      <c r="VUZ83" s="6"/>
      <c r="VVA83" s="6"/>
      <c r="VVB83" s="6"/>
      <c r="VVC83" s="6"/>
      <c r="VVD83" s="6"/>
      <c r="VVE83" s="6"/>
      <c r="VVF83" s="6"/>
      <c r="VVG83" s="6"/>
      <c r="VVH83" s="6"/>
      <c r="VVI83" s="6"/>
      <c r="VVJ83" s="6"/>
      <c r="VVK83" s="6"/>
      <c r="VVL83" s="6"/>
      <c r="VVM83" s="6"/>
      <c r="VVN83" s="6"/>
      <c r="VVO83" s="6"/>
      <c r="VVP83" s="6"/>
      <c r="VVQ83" s="6"/>
      <c r="VVR83" s="6"/>
      <c r="VVS83" s="6"/>
      <c r="VVT83" s="6"/>
      <c r="VVU83" s="6"/>
      <c r="VVV83" s="6"/>
      <c r="VVW83" s="6"/>
      <c r="VVX83" s="6"/>
      <c r="VVY83" s="6"/>
      <c r="VVZ83" s="6"/>
      <c r="VWA83" s="6"/>
      <c r="VWB83" s="6"/>
      <c r="VWC83" s="6"/>
      <c r="VWD83" s="6"/>
      <c r="VWE83" s="6"/>
      <c r="VWF83" s="6"/>
      <c r="VWG83" s="6"/>
      <c r="VWH83" s="6"/>
      <c r="VWI83" s="6"/>
      <c r="VWJ83" s="6"/>
      <c r="VWK83" s="6"/>
      <c r="VWL83" s="6"/>
      <c r="VWM83" s="6"/>
      <c r="VWN83" s="6"/>
      <c r="VWO83" s="6"/>
      <c r="VWP83" s="6"/>
      <c r="VWQ83" s="6"/>
      <c r="VWR83" s="6"/>
      <c r="VWS83" s="6"/>
      <c r="VWT83" s="6"/>
      <c r="VWU83" s="6"/>
      <c r="VWV83" s="6"/>
      <c r="VWW83" s="6"/>
      <c r="VWX83" s="6"/>
      <c r="VWY83" s="6"/>
      <c r="VWZ83" s="6"/>
      <c r="VXA83" s="6"/>
      <c r="VXB83" s="6"/>
      <c r="VXC83" s="6"/>
      <c r="VXD83" s="6"/>
      <c r="VXE83" s="6"/>
      <c r="VXF83" s="6"/>
      <c r="VXG83" s="6"/>
      <c r="VXH83" s="6"/>
      <c r="VXI83" s="6"/>
      <c r="VXJ83" s="6"/>
      <c r="VXK83" s="6"/>
      <c r="VXL83" s="6"/>
      <c r="VXM83" s="6"/>
      <c r="VXN83" s="6"/>
      <c r="VXO83" s="6"/>
      <c r="VXP83" s="6"/>
      <c r="VXQ83" s="6"/>
      <c r="VXR83" s="6"/>
      <c r="VXS83" s="6"/>
      <c r="VXT83" s="6"/>
      <c r="VXU83" s="6"/>
      <c r="VXV83" s="6"/>
      <c r="VXW83" s="6"/>
      <c r="VXX83" s="6"/>
      <c r="VXY83" s="6"/>
      <c r="VXZ83" s="6"/>
      <c r="VYA83" s="6"/>
      <c r="VYB83" s="6"/>
      <c r="VYC83" s="6"/>
      <c r="VYD83" s="6"/>
      <c r="VYE83" s="6"/>
      <c r="VYF83" s="6"/>
      <c r="VYG83" s="6"/>
      <c r="VYH83" s="6"/>
      <c r="VYI83" s="6"/>
      <c r="VYJ83" s="6"/>
      <c r="VYK83" s="6"/>
      <c r="VYL83" s="6"/>
      <c r="VYM83" s="6"/>
      <c r="VYN83" s="6"/>
      <c r="VYO83" s="6"/>
      <c r="VYP83" s="6"/>
      <c r="VYQ83" s="6"/>
      <c r="VYR83" s="6"/>
      <c r="VYS83" s="6"/>
      <c r="VYT83" s="6"/>
      <c r="VYU83" s="6"/>
      <c r="VYV83" s="6"/>
      <c r="VYW83" s="6"/>
      <c r="VYX83" s="6"/>
      <c r="VYY83" s="6"/>
      <c r="VYZ83" s="6"/>
      <c r="VZA83" s="6"/>
      <c r="VZB83" s="6"/>
      <c r="VZC83" s="6"/>
      <c r="VZD83" s="6"/>
      <c r="VZE83" s="6"/>
      <c r="VZF83" s="6"/>
      <c r="VZG83" s="6"/>
      <c r="VZH83" s="6"/>
      <c r="VZI83" s="6"/>
      <c r="VZJ83" s="6"/>
      <c r="VZK83" s="6"/>
      <c r="VZL83" s="6"/>
      <c r="VZM83" s="6"/>
      <c r="VZN83" s="6"/>
      <c r="VZO83" s="6"/>
      <c r="VZP83" s="6"/>
      <c r="VZQ83" s="6"/>
      <c r="VZR83" s="6"/>
      <c r="VZS83" s="6"/>
      <c r="VZT83" s="6"/>
      <c r="VZU83" s="6"/>
      <c r="VZV83" s="6"/>
      <c r="VZW83" s="6"/>
      <c r="VZX83" s="6"/>
      <c r="VZY83" s="6"/>
      <c r="VZZ83" s="6"/>
      <c r="WAA83" s="6"/>
      <c r="WAB83" s="6"/>
      <c r="WAC83" s="6"/>
      <c r="WAD83" s="6"/>
      <c r="WAE83" s="6"/>
      <c r="WAF83" s="6"/>
      <c r="WAG83" s="6"/>
      <c r="WAH83" s="6"/>
      <c r="WAI83" s="6"/>
      <c r="WAJ83" s="6"/>
      <c r="WAK83" s="6"/>
      <c r="WAL83" s="6"/>
      <c r="WAM83" s="6"/>
      <c r="WAN83" s="6"/>
      <c r="WAO83" s="6"/>
      <c r="WAP83" s="6"/>
      <c r="WAQ83" s="6"/>
      <c r="WAR83" s="6"/>
      <c r="WAS83" s="6"/>
      <c r="WAT83" s="6"/>
      <c r="WAU83" s="6"/>
      <c r="WAV83" s="6"/>
      <c r="WAW83" s="6"/>
      <c r="WAX83" s="6"/>
      <c r="WAY83" s="6"/>
      <c r="WAZ83" s="6"/>
      <c r="WBA83" s="6"/>
      <c r="WBB83" s="6"/>
      <c r="WBC83" s="6"/>
      <c r="WBD83" s="6"/>
      <c r="WBE83" s="6"/>
      <c r="WBF83" s="6"/>
      <c r="WBG83" s="6"/>
      <c r="WBH83" s="6"/>
      <c r="WBI83" s="6"/>
      <c r="WBJ83" s="6"/>
      <c r="WBK83" s="6"/>
      <c r="WBL83" s="6"/>
      <c r="WBM83" s="6"/>
      <c r="WBN83" s="6"/>
      <c r="WBO83" s="6"/>
      <c r="WBP83" s="6"/>
      <c r="WBQ83" s="6"/>
      <c r="WBR83" s="6"/>
      <c r="WBS83" s="6"/>
      <c r="WBT83" s="6"/>
      <c r="WBU83" s="6"/>
      <c r="WBV83" s="6"/>
      <c r="WBW83" s="6"/>
      <c r="WBX83" s="6"/>
      <c r="WBY83" s="6"/>
      <c r="WBZ83" s="6"/>
      <c r="WCA83" s="6"/>
      <c r="WCB83" s="6"/>
      <c r="WCC83" s="6"/>
      <c r="WCD83" s="6"/>
      <c r="WCE83" s="6"/>
      <c r="WCF83" s="6"/>
      <c r="WCG83" s="6"/>
      <c r="WCH83" s="6"/>
      <c r="WCI83" s="6"/>
      <c r="WCJ83" s="6"/>
      <c r="WCK83" s="6"/>
      <c r="WCL83" s="6"/>
      <c r="WCM83" s="6"/>
      <c r="WCN83" s="6"/>
      <c r="WCO83" s="6"/>
      <c r="WCP83" s="6"/>
      <c r="WCQ83" s="6"/>
      <c r="WCR83" s="6"/>
      <c r="WCS83" s="6"/>
      <c r="WCT83" s="6"/>
      <c r="WCU83" s="6"/>
      <c r="WCV83" s="6"/>
      <c r="WCW83" s="6"/>
      <c r="WCX83" s="6"/>
      <c r="WCY83" s="6"/>
      <c r="WCZ83" s="6"/>
      <c r="WDA83" s="6"/>
      <c r="WDB83" s="6"/>
      <c r="WDC83" s="6"/>
      <c r="WDD83" s="6"/>
      <c r="WDE83" s="6"/>
      <c r="WDF83" s="6"/>
      <c r="WDG83" s="6"/>
      <c r="WDH83" s="6"/>
      <c r="WDI83" s="6"/>
      <c r="WDJ83" s="6"/>
      <c r="WDK83" s="6"/>
      <c r="WDL83" s="6"/>
      <c r="WDM83" s="6"/>
      <c r="WDN83" s="6"/>
      <c r="WDO83" s="6"/>
      <c r="WDP83" s="6"/>
      <c r="WDQ83" s="6"/>
      <c r="WDR83" s="6"/>
      <c r="WDS83" s="6"/>
      <c r="WDT83" s="6"/>
      <c r="WDU83" s="6"/>
      <c r="WDV83" s="6"/>
      <c r="WDW83" s="6"/>
      <c r="WDX83" s="6"/>
      <c r="WDY83" s="6"/>
      <c r="WDZ83" s="6"/>
      <c r="WEA83" s="6"/>
      <c r="WEB83" s="6"/>
      <c r="WEC83" s="6"/>
      <c r="WED83" s="6"/>
      <c r="WEE83" s="6"/>
      <c r="WEF83" s="6"/>
      <c r="WEG83" s="6"/>
      <c r="WEH83" s="6"/>
      <c r="WEI83" s="6"/>
      <c r="WEJ83" s="6"/>
      <c r="WEK83" s="6"/>
      <c r="WEL83" s="6"/>
      <c r="WEM83" s="6"/>
      <c r="WEN83" s="6"/>
      <c r="WEO83" s="6"/>
      <c r="WEP83" s="6"/>
      <c r="WEQ83" s="6"/>
      <c r="WER83" s="6"/>
      <c r="WES83" s="6"/>
      <c r="WET83" s="6"/>
      <c r="WEU83" s="6"/>
      <c r="WEV83" s="6"/>
      <c r="WEW83" s="6"/>
      <c r="WEX83" s="6"/>
      <c r="WEY83" s="6"/>
      <c r="WEZ83" s="6"/>
      <c r="WFA83" s="6"/>
      <c r="WFB83" s="6"/>
      <c r="WFC83" s="6"/>
      <c r="WFD83" s="6"/>
      <c r="WFE83" s="6"/>
      <c r="WFF83" s="6"/>
      <c r="WFG83" s="6"/>
      <c r="WFH83" s="6"/>
      <c r="WFI83" s="6"/>
      <c r="WFJ83" s="6"/>
      <c r="WFK83" s="6"/>
      <c r="WFL83" s="6"/>
      <c r="WFM83" s="6"/>
      <c r="WFN83" s="6"/>
      <c r="WFO83" s="6"/>
      <c r="WFP83" s="6"/>
      <c r="WFQ83" s="6"/>
      <c r="WFR83" s="6"/>
      <c r="WFS83" s="6"/>
      <c r="WFT83" s="6"/>
      <c r="WFU83" s="6"/>
      <c r="WFV83" s="6"/>
      <c r="WFW83" s="6"/>
      <c r="WFX83" s="6"/>
      <c r="WFY83" s="6"/>
      <c r="WFZ83" s="6"/>
      <c r="WGA83" s="6"/>
      <c r="WGB83" s="6"/>
      <c r="WGC83" s="6"/>
      <c r="WGD83" s="6"/>
      <c r="WGE83" s="6"/>
      <c r="WGF83" s="6"/>
      <c r="WGG83" s="6"/>
      <c r="WGH83" s="6"/>
      <c r="WGI83" s="6"/>
      <c r="WGJ83" s="6"/>
      <c r="WGK83" s="6"/>
      <c r="WGL83" s="6"/>
      <c r="WGM83" s="6"/>
      <c r="WGN83" s="6"/>
      <c r="WGO83" s="6"/>
      <c r="WGP83" s="6"/>
      <c r="WGQ83" s="6"/>
      <c r="WGR83" s="6"/>
      <c r="WGS83" s="6"/>
      <c r="WGT83" s="6"/>
      <c r="WGU83" s="6"/>
      <c r="WGV83" s="6"/>
      <c r="WGW83" s="6"/>
      <c r="WGX83" s="6"/>
      <c r="WGY83" s="6"/>
      <c r="WGZ83" s="6"/>
      <c r="WHA83" s="6"/>
      <c r="WHB83" s="6"/>
      <c r="WHC83" s="6"/>
      <c r="WHD83" s="6"/>
      <c r="WHE83" s="6"/>
      <c r="WHF83" s="6"/>
      <c r="WHG83" s="6"/>
      <c r="WHH83" s="6"/>
      <c r="WHI83" s="6"/>
      <c r="WHJ83" s="6"/>
      <c r="WHK83" s="6"/>
      <c r="WHL83" s="6"/>
      <c r="WHM83" s="6"/>
      <c r="WHN83" s="6"/>
      <c r="WHO83" s="6"/>
      <c r="WHP83" s="6"/>
      <c r="WHQ83" s="6"/>
      <c r="WHR83" s="6"/>
      <c r="WHS83" s="6"/>
      <c r="WHT83" s="6"/>
      <c r="WHU83" s="6"/>
      <c r="WHV83" s="6"/>
      <c r="WHW83" s="6"/>
      <c r="WHX83" s="6"/>
      <c r="WHY83" s="6"/>
      <c r="WHZ83" s="6"/>
      <c r="WIA83" s="6"/>
      <c r="WIB83" s="6"/>
      <c r="WIC83" s="6"/>
      <c r="WID83" s="6"/>
      <c r="WIE83" s="6"/>
      <c r="WIF83" s="6"/>
      <c r="WIG83" s="6"/>
      <c r="WIH83" s="6"/>
      <c r="WII83" s="6"/>
      <c r="WIJ83" s="6"/>
      <c r="WIK83" s="6"/>
      <c r="WIL83" s="6"/>
      <c r="WIM83" s="6"/>
      <c r="WIN83" s="6"/>
      <c r="WIO83" s="6"/>
      <c r="WIP83" s="6"/>
      <c r="WIQ83" s="6"/>
      <c r="WIR83" s="6"/>
      <c r="WIS83" s="6"/>
      <c r="WIT83" s="6"/>
      <c r="WIU83" s="6"/>
      <c r="WIV83" s="6"/>
      <c r="WIW83" s="6"/>
      <c r="WIX83" s="6"/>
      <c r="WIY83" s="6"/>
      <c r="WIZ83" s="6"/>
      <c r="WJA83" s="6"/>
      <c r="WJB83" s="6"/>
      <c r="WJC83" s="6"/>
      <c r="WJD83" s="6"/>
      <c r="WJE83" s="6"/>
      <c r="WJF83" s="6"/>
      <c r="WJG83" s="6"/>
      <c r="WJH83" s="6"/>
      <c r="WJI83" s="6"/>
      <c r="WJJ83" s="6"/>
      <c r="WJK83" s="6"/>
      <c r="WJL83" s="6"/>
      <c r="WJM83" s="6"/>
      <c r="WJN83" s="6"/>
      <c r="WJO83" s="6"/>
      <c r="WJP83" s="6"/>
      <c r="WJQ83" s="6"/>
      <c r="WJR83" s="6"/>
      <c r="WJS83" s="6"/>
      <c r="WJT83" s="6"/>
      <c r="WJU83" s="6"/>
      <c r="WJV83" s="6"/>
      <c r="WJW83" s="6"/>
      <c r="WJX83" s="6"/>
      <c r="WJY83" s="6"/>
      <c r="WJZ83" s="6"/>
      <c r="WKA83" s="6"/>
      <c r="WKB83" s="6"/>
      <c r="WKC83" s="6"/>
      <c r="WKD83" s="6"/>
      <c r="WKE83" s="6"/>
      <c r="WKF83" s="6"/>
      <c r="WKG83" s="6"/>
      <c r="WKH83" s="6"/>
      <c r="WKI83" s="6"/>
      <c r="WKJ83" s="6"/>
      <c r="WKK83" s="6"/>
      <c r="WKL83" s="6"/>
      <c r="WKM83" s="6"/>
      <c r="WKN83" s="6"/>
      <c r="WKO83" s="6"/>
      <c r="WKP83" s="6"/>
      <c r="WKQ83" s="6"/>
      <c r="WKR83" s="6"/>
      <c r="WKS83" s="6"/>
      <c r="WKT83" s="6"/>
      <c r="WKU83" s="6"/>
      <c r="WKV83" s="6"/>
      <c r="WKW83" s="6"/>
      <c r="WKX83" s="6"/>
      <c r="WKY83" s="6"/>
      <c r="WKZ83" s="6"/>
      <c r="WLA83" s="6"/>
      <c r="WLB83" s="6"/>
      <c r="WLC83" s="6"/>
      <c r="WLD83" s="6"/>
      <c r="WLE83" s="6"/>
      <c r="WLF83" s="6"/>
      <c r="WLG83" s="6"/>
      <c r="WLH83" s="6"/>
      <c r="WLI83" s="6"/>
      <c r="WLJ83" s="6"/>
      <c r="WLK83" s="6"/>
      <c r="WLL83" s="6"/>
      <c r="WLM83" s="6"/>
      <c r="WLN83" s="6"/>
      <c r="WLO83" s="6"/>
      <c r="WLP83" s="6"/>
      <c r="WLQ83" s="6"/>
      <c r="WLR83" s="6"/>
      <c r="WLS83" s="6"/>
      <c r="WLT83" s="6"/>
      <c r="WLU83" s="6"/>
      <c r="WLV83" s="6"/>
      <c r="WLW83" s="6"/>
      <c r="WLX83" s="6"/>
      <c r="WLY83" s="6"/>
      <c r="WLZ83" s="6"/>
      <c r="WMA83" s="6"/>
      <c r="WMB83" s="6"/>
      <c r="WMC83" s="6"/>
      <c r="WMD83" s="6"/>
      <c r="WME83" s="6"/>
      <c r="WMF83" s="6"/>
      <c r="WMG83" s="6"/>
      <c r="WMH83" s="6"/>
      <c r="WMI83" s="6"/>
      <c r="WMJ83" s="6"/>
      <c r="WMK83" s="6"/>
      <c r="WML83" s="6"/>
      <c r="WMM83" s="6"/>
      <c r="WMN83" s="6"/>
      <c r="WMO83" s="6"/>
      <c r="WMP83" s="6"/>
      <c r="WMQ83" s="6"/>
      <c r="WMR83" s="6"/>
      <c r="WMS83" s="6"/>
      <c r="WMT83" s="6"/>
      <c r="WMU83" s="6"/>
      <c r="WMV83" s="6"/>
      <c r="WMW83" s="6"/>
      <c r="WMX83" s="6"/>
      <c r="WMY83" s="6"/>
      <c r="WMZ83" s="6"/>
      <c r="WNA83" s="6"/>
      <c r="WNB83" s="6"/>
      <c r="WNC83" s="6"/>
      <c r="WND83" s="6"/>
      <c r="WNE83" s="6"/>
      <c r="WNF83" s="6"/>
      <c r="WNG83" s="6"/>
      <c r="WNH83" s="6"/>
      <c r="WNI83" s="6"/>
      <c r="WNJ83" s="6"/>
      <c r="WNK83" s="6"/>
      <c r="WNL83" s="6"/>
      <c r="WNM83" s="6"/>
      <c r="WNN83" s="6"/>
      <c r="WNO83" s="6"/>
      <c r="WNP83" s="6"/>
      <c r="WNQ83" s="6"/>
      <c r="WNR83" s="6"/>
      <c r="WNS83" s="6"/>
      <c r="WNT83" s="6"/>
      <c r="WNU83" s="6"/>
      <c r="WNV83" s="6"/>
      <c r="WNW83" s="6"/>
      <c r="WNX83" s="6"/>
      <c r="WNY83" s="6"/>
      <c r="WNZ83" s="6"/>
      <c r="WOA83" s="6"/>
      <c r="WOB83" s="6"/>
      <c r="WOC83" s="6"/>
      <c r="WOD83" s="6"/>
      <c r="WOE83" s="6"/>
      <c r="WOF83" s="6"/>
      <c r="WOG83" s="6"/>
      <c r="WOH83" s="6"/>
      <c r="WOI83" s="6"/>
      <c r="WOJ83" s="6"/>
      <c r="WOK83" s="6"/>
      <c r="WOL83" s="6"/>
      <c r="WOM83" s="6"/>
      <c r="WON83" s="6"/>
      <c r="WOO83" s="6"/>
      <c r="WOP83" s="6"/>
      <c r="WOQ83" s="6"/>
      <c r="WOR83" s="6"/>
      <c r="WOS83" s="6"/>
      <c r="WOT83" s="6"/>
      <c r="WOU83" s="6"/>
      <c r="WOV83" s="6"/>
      <c r="WOW83" s="6"/>
      <c r="WOX83" s="6"/>
      <c r="WOY83" s="6"/>
      <c r="WOZ83" s="6"/>
      <c r="WPA83" s="6"/>
      <c r="WPB83" s="6"/>
      <c r="WPC83" s="6"/>
      <c r="WPD83" s="6"/>
      <c r="WPE83" s="6"/>
      <c r="WPF83" s="6"/>
      <c r="WPG83" s="6"/>
      <c r="WPH83" s="6"/>
      <c r="WPI83" s="6"/>
      <c r="WPJ83" s="6"/>
      <c r="WPK83" s="6"/>
      <c r="WPL83" s="6"/>
      <c r="WPM83" s="6"/>
      <c r="WPN83" s="6"/>
      <c r="WPO83" s="6"/>
      <c r="WPP83" s="6"/>
      <c r="WPQ83" s="6"/>
      <c r="WPR83" s="6"/>
      <c r="WPS83" s="6"/>
      <c r="WPT83" s="6"/>
      <c r="WPU83" s="6"/>
      <c r="WPV83" s="6"/>
      <c r="WPW83" s="6"/>
      <c r="WPX83" s="6"/>
      <c r="WPY83" s="6"/>
      <c r="WPZ83" s="6"/>
      <c r="WQA83" s="6"/>
      <c r="WQB83" s="6"/>
      <c r="WQC83" s="6"/>
      <c r="WQD83" s="6"/>
      <c r="WQE83" s="6"/>
      <c r="WQF83" s="6"/>
      <c r="WQG83" s="6"/>
      <c r="WQH83" s="6"/>
      <c r="WQI83" s="6"/>
      <c r="WQJ83" s="6"/>
      <c r="WQK83" s="6"/>
      <c r="WQL83" s="6"/>
      <c r="WQM83" s="6"/>
      <c r="WQN83" s="6"/>
      <c r="WQO83" s="6"/>
      <c r="WQP83" s="6"/>
      <c r="WQQ83" s="6"/>
      <c r="WQR83" s="6"/>
      <c r="WQS83" s="6"/>
      <c r="WQT83" s="6"/>
      <c r="WQU83" s="6"/>
      <c r="WQV83" s="6"/>
      <c r="WQW83" s="6"/>
      <c r="WQX83" s="6"/>
      <c r="WQY83" s="6"/>
      <c r="WQZ83" s="6"/>
      <c r="WRA83" s="6"/>
      <c r="WRB83" s="6"/>
      <c r="WRC83" s="6"/>
      <c r="WRD83" s="6"/>
      <c r="WRE83" s="6"/>
      <c r="WRF83" s="6"/>
      <c r="WRG83" s="6"/>
      <c r="WRH83" s="6"/>
      <c r="WRI83" s="6"/>
      <c r="WRJ83" s="6"/>
      <c r="WRK83" s="6"/>
      <c r="WRL83" s="6"/>
      <c r="WRM83" s="6"/>
      <c r="WRN83" s="6"/>
      <c r="WRO83" s="6"/>
      <c r="WRP83" s="6"/>
      <c r="WRQ83" s="6"/>
      <c r="WRR83" s="6"/>
      <c r="WRS83" s="6"/>
      <c r="WRT83" s="6"/>
      <c r="WRU83" s="6"/>
      <c r="WRV83" s="6"/>
      <c r="WRW83" s="6"/>
      <c r="WRX83" s="6"/>
      <c r="WRY83" s="6"/>
      <c r="WRZ83" s="6"/>
      <c r="WSA83" s="6"/>
      <c r="WSB83" s="6"/>
      <c r="WSC83" s="6"/>
      <c r="WSD83" s="6"/>
      <c r="WSE83" s="6"/>
      <c r="WSF83" s="6"/>
      <c r="WSG83" s="6"/>
      <c r="WSH83" s="6"/>
      <c r="WSI83" s="6"/>
      <c r="WSJ83" s="6"/>
      <c r="WSK83" s="6"/>
      <c r="WSL83" s="6"/>
      <c r="WSM83" s="6"/>
      <c r="WSN83" s="6"/>
      <c r="WSO83" s="6"/>
      <c r="WSP83" s="6"/>
      <c r="WSQ83" s="6"/>
      <c r="WSR83" s="6"/>
      <c r="WSS83" s="6"/>
      <c r="WST83" s="6"/>
      <c r="WSU83" s="6"/>
      <c r="WSV83" s="6"/>
      <c r="WSW83" s="6"/>
      <c r="WSX83" s="6"/>
      <c r="WSY83" s="6"/>
      <c r="WSZ83" s="6"/>
      <c r="WTA83" s="6"/>
      <c r="WTB83" s="6"/>
      <c r="WTC83" s="6"/>
      <c r="WTD83" s="6"/>
      <c r="WTE83" s="6"/>
      <c r="WTF83" s="6"/>
      <c r="WTG83" s="6"/>
      <c r="WTH83" s="6"/>
      <c r="WTI83" s="6"/>
      <c r="WTJ83" s="6"/>
      <c r="WTK83" s="6"/>
      <c r="WTL83" s="6"/>
      <c r="WTM83" s="6"/>
      <c r="WTN83" s="6"/>
      <c r="WTO83" s="6"/>
      <c r="WTP83" s="6"/>
      <c r="WTQ83" s="6"/>
      <c r="WTR83" s="6"/>
      <c r="WTS83" s="6"/>
      <c r="WTT83" s="6"/>
      <c r="WTU83" s="6"/>
      <c r="WTV83" s="6"/>
      <c r="WTW83" s="6"/>
      <c r="WTX83" s="6"/>
      <c r="WTY83" s="6"/>
      <c r="WTZ83" s="6"/>
      <c r="WUA83" s="6"/>
      <c r="WUB83" s="6"/>
      <c r="WUC83" s="6"/>
      <c r="WUD83" s="6"/>
      <c r="WUE83" s="6"/>
      <c r="WUF83" s="6"/>
      <c r="WUG83" s="6"/>
      <c r="WUH83" s="6"/>
      <c r="WUI83" s="6"/>
      <c r="WUJ83" s="6"/>
      <c r="WUK83" s="6"/>
      <c r="WUL83" s="6"/>
      <c r="WUM83" s="6"/>
      <c r="WUN83" s="6"/>
      <c r="WUO83" s="6"/>
      <c r="WUP83" s="6"/>
      <c r="WUQ83" s="6"/>
      <c r="WUR83" s="6"/>
      <c r="WUS83" s="6"/>
      <c r="WUT83" s="6"/>
      <c r="WUU83" s="6"/>
      <c r="WUV83" s="6"/>
      <c r="WUW83" s="6"/>
      <c r="WUX83" s="6"/>
      <c r="WUY83" s="6"/>
      <c r="WUZ83" s="6"/>
      <c r="WVA83" s="6"/>
      <c r="WVB83" s="6"/>
      <c r="WVC83" s="6"/>
      <c r="WVD83" s="6"/>
      <c r="WVE83" s="6"/>
      <c r="WVF83" s="6"/>
      <c r="WVG83" s="6"/>
      <c r="WVH83" s="6"/>
      <c r="WVI83" s="6"/>
      <c r="WVJ83" s="6"/>
      <c r="WVK83" s="6"/>
      <c r="WVL83" s="6"/>
      <c r="WVM83" s="6"/>
      <c r="WVN83" s="6"/>
      <c r="WVO83" s="6"/>
      <c r="WVP83" s="6"/>
      <c r="WVQ83" s="6"/>
      <c r="WVR83" s="6"/>
      <c r="WVS83" s="6"/>
      <c r="WVT83" s="6"/>
      <c r="WVU83" s="6"/>
      <c r="WVV83" s="6"/>
      <c r="WVW83" s="6"/>
      <c r="WVX83" s="6"/>
      <c r="WVY83" s="6"/>
      <c r="WVZ83" s="6"/>
      <c r="WWA83" s="6"/>
      <c r="WWB83" s="6"/>
      <c r="WWC83" s="6"/>
      <c r="WWD83" s="6"/>
      <c r="WWE83" s="6"/>
      <c r="WWF83" s="6"/>
      <c r="WWG83" s="6"/>
      <c r="WWH83" s="6"/>
      <c r="WWI83" s="6"/>
      <c r="WWJ83" s="6"/>
      <c r="WWK83" s="6"/>
      <c r="WWL83" s="6"/>
      <c r="WWM83" s="6"/>
      <c r="WWN83" s="6"/>
      <c r="WWO83" s="6"/>
      <c r="WWP83" s="6"/>
      <c r="WWQ83" s="6"/>
      <c r="WWR83" s="6"/>
      <c r="WWS83" s="6"/>
      <c r="WWT83" s="6"/>
      <c r="WWU83" s="6"/>
      <c r="WWV83" s="6"/>
      <c r="WWW83" s="6"/>
      <c r="WWX83" s="6"/>
      <c r="WWY83" s="6"/>
      <c r="WWZ83" s="6"/>
      <c r="WXA83" s="6"/>
      <c r="WXB83" s="6"/>
      <c r="WXC83" s="6"/>
      <c r="WXD83" s="6"/>
      <c r="WXE83" s="6"/>
      <c r="WXF83" s="6"/>
      <c r="WXG83" s="6"/>
      <c r="WXH83" s="6"/>
      <c r="WXI83" s="6"/>
      <c r="WXJ83" s="6"/>
      <c r="WXK83" s="6"/>
      <c r="WXL83" s="6"/>
      <c r="WXM83" s="6"/>
      <c r="WXN83" s="6"/>
      <c r="WXO83" s="6"/>
      <c r="WXP83" s="6"/>
      <c r="WXQ83" s="6"/>
      <c r="WXR83" s="6"/>
      <c r="WXS83" s="6"/>
      <c r="WXT83" s="6"/>
      <c r="WXU83" s="6"/>
      <c r="WXV83" s="6"/>
      <c r="WXW83" s="6"/>
      <c r="WXX83" s="6"/>
      <c r="WXY83" s="6"/>
      <c r="WXZ83" s="6"/>
      <c r="WYA83" s="6"/>
      <c r="WYB83" s="6"/>
      <c r="WYC83" s="6"/>
      <c r="WYD83" s="6"/>
      <c r="WYE83" s="6"/>
      <c r="WYF83" s="6"/>
      <c r="WYG83" s="6"/>
      <c r="WYH83" s="6"/>
      <c r="WYI83" s="6"/>
      <c r="WYJ83" s="6"/>
      <c r="WYK83" s="6"/>
      <c r="WYL83" s="6"/>
      <c r="WYM83" s="6"/>
      <c r="WYN83" s="6"/>
      <c r="WYO83" s="6"/>
      <c r="WYP83" s="6"/>
      <c r="WYQ83" s="6"/>
      <c r="WYR83" s="6"/>
      <c r="WYS83" s="6"/>
      <c r="WYT83" s="6"/>
      <c r="WYU83" s="6"/>
      <c r="WYV83" s="6"/>
      <c r="WYW83" s="6"/>
      <c r="WYX83" s="6"/>
      <c r="WYY83" s="6"/>
      <c r="WYZ83" s="6"/>
      <c r="WZA83" s="6"/>
      <c r="WZB83" s="6"/>
      <c r="WZC83" s="6"/>
      <c r="WZD83" s="6"/>
      <c r="WZE83" s="6"/>
      <c r="WZF83" s="6"/>
      <c r="WZG83" s="6"/>
      <c r="WZH83" s="6"/>
      <c r="WZI83" s="6"/>
      <c r="WZJ83" s="6"/>
      <c r="WZK83" s="6"/>
      <c r="WZL83" s="6"/>
      <c r="WZM83" s="6"/>
      <c r="WZN83" s="6"/>
      <c r="WZO83" s="6"/>
      <c r="WZP83" s="6"/>
      <c r="WZQ83" s="6"/>
      <c r="WZR83" s="6"/>
      <c r="WZS83" s="6"/>
      <c r="WZT83" s="6"/>
      <c r="WZU83" s="6"/>
      <c r="WZV83" s="6"/>
      <c r="WZW83" s="6"/>
      <c r="WZX83" s="6"/>
      <c r="WZY83" s="6"/>
      <c r="WZZ83" s="6"/>
      <c r="XAA83" s="6"/>
      <c r="XAB83" s="6"/>
      <c r="XAC83" s="6"/>
      <c r="XAD83" s="6"/>
      <c r="XAE83" s="6"/>
      <c r="XAF83" s="6"/>
      <c r="XAG83" s="6"/>
      <c r="XAH83" s="6"/>
      <c r="XAI83" s="6"/>
      <c r="XAJ83" s="6"/>
      <c r="XAK83" s="6"/>
      <c r="XAL83" s="6"/>
      <c r="XAM83" s="6"/>
      <c r="XAN83" s="6"/>
      <c r="XAO83" s="6"/>
      <c r="XAP83" s="6"/>
      <c r="XAQ83" s="6"/>
      <c r="XAR83" s="6"/>
      <c r="XAS83" s="6"/>
      <c r="XAT83" s="6"/>
      <c r="XAU83" s="6"/>
      <c r="XAV83" s="6"/>
      <c r="XAW83" s="6"/>
      <c r="XAX83" s="6"/>
      <c r="XAY83" s="6"/>
      <c r="XAZ83" s="6"/>
      <c r="XBA83" s="6"/>
      <c r="XBB83" s="6"/>
      <c r="XBC83" s="6"/>
      <c r="XBD83" s="6"/>
      <c r="XBE83" s="6"/>
      <c r="XBF83" s="6"/>
      <c r="XBG83" s="6"/>
      <c r="XBH83" s="6"/>
      <c r="XBI83" s="6"/>
      <c r="XBJ83" s="6"/>
      <c r="XBK83" s="6"/>
      <c r="XBL83" s="6"/>
      <c r="XBM83" s="6"/>
      <c r="XBN83" s="6"/>
      <c r="XBO83" s="6"/>
      <c r="XBP83" s="6"/>
      <c r="XBQ83" s="6"/>
      <c r="XBR83" s="6"/>
      <c r="XBS83" s="6"/>
      <c r="XBT83" s="6"/>
      <c r="XBU83" s="6"/>
      <c r="XBV83" s="6"/>
      <c r="XBW83" s="6"/>
      <c r="XBX83" s="6"/>
      <c r="XBY83" s="6"/>
      <c r="XBZ83" s="6"/>
      <c r="XCA83" s="6"/>
      <c r="XCB83" s="6"/>
      <c r="XCC83" s="6"/>
      <c r="XCD83" s="6"/>
      <c r="XCE83" s="6"/>
      <c r="XCF83" s="6"/>
      <c r="XCG83" s="6"/>
      <c r="XCH83" s="6"/>
      <c r="XCI83" s="6"/>
      <c r="XCJ83" s="6"/>
      <c r="XCK83" s="6"/>
      <c r="XCL83" s="6"/>
      <c r="XCM83" s="6"/>
      <c r="XCN83" s="6"/>
      <c r="XCO83" s="6"/>
      <c r="XCP83" s="6"/>
      <c r="XCQ83" s="6"/>
      <c r="XCR83" s="6"/>
      <c r="XCS83" s="6"/>
      <c r="XCT83" s="6"/>
      <c r="XCU83" s="6"/>
      <c r="XCV83" s="6"/>
      <c r="XCW83" s="6"/>
    </row>
    <row r="84" spans="1:16325" s="28" customFormat="1" hidden="1">
      <c r="B84" s="34" t="s">
        <v>96</v>
      </c>
      <c r="C84" s="35"/>
      <c r="D84" s="36"/>
      <c r="E84" s="36"/>
      <c r="F84" s="36"/>
      <c r="G84" s="91"/>
      <c r="H84" s="91"/>
      <c r="I84" s="91"/>
      <c r="J84" s="91"/>
      <c r="K84" s="91"/>
      <c r="L84" s="91"/>
      <c r="M84" s="91"/>
      <c r="N84" s="91"/>
      <c r="O84" s="91"/>
      <c r="P84" s="91"/>
      <c r="Q84" s="91"/>
      <c r="R84" s="91"/>
      <c r="S84" s="91"/>
      <c r="T84" s="91"/>
      <c r="U84" s="91"/>
      <c r="V84" s="91"/>
      <c r="W84" s="91"/>
      <c r="X84" s="91"/>
      <c r="Y84" s="91"/>
      <c r="Z84" s="91"/>
      <c r="AA84" s="91"/>
      <c r="AB84" s="91"/>
      <c r="AC84" s="91"/>
      <c r="AD84" s="91"/>
      <c r="AE84" s="91"/>
      <c r="AF84" s="91"/>
      <c r="AG84" s="91"/>
      <c r="AH84" s="91"/>
      <c r="AI84" s="91"/>
      <c r="AJ84" s="91"/>
      <c r="AK84" s="91"/>
      <c r="AL84" s="91"/>
      <c r="AM84" s="91"/>
      <c r="AN84" s="91"/>
      <c r="AO84" s="91"/>
      <c r="AP84" s="91"/>
      <c r="AQ84" s="91"/>
      <c r="AR84" s="91"/>
      <c r="AS84" s="36"/>
      <c r="AT84" s="36"/>
      <c r="AU84" s="34"/>
      <c r="AV84" s="35"/>
      <c r="AW84" s="36"/>
      <c r="AX84" s="36"/>
      <c r="AY84" s="36"/>
      <c r="AZ84" s="34"/>
      <c r="BA84" s="45"/>
      <c r="BB84" s="45"/>
      <c r="BC84" s="45"/>
      <c r="BD84" s="45"/>
      <c r="BE84" s="45" t="e">
        <f>Sales!#REF!</f>
        <v>#REF!</v>
      </c>
      <c r="BF84" s="45"/>
      <c r="BG84" s="45"/>
      <c r="BH84" s="45"/>
      <c r="BI84" s="45"/>
      <c r="BJ84" s="45"/>
      <c r="BK84" s="45"/>
      <c r="BL84" s="45"/>
      <c r="BM84" s="45"/>
      <c r="BN84" s="45"/>
      <c r="BO84" s="45"/>
      <c r="BP84" s="45"/>
      <c r="BQ84" s="45"/>
      <c r="BR84" s="45"/>
      <c r="BS84" s="45"/>
      <c r="BT84" s="45"/>
      <c r="BU84" s="45"/>
      <c r="BV84" s="45"/>
      <c r="BW84" s="45"/>
      <c r="BX84" s="45"/>
      <c r="BY84" s="45"/>
      <c r="BZ84" s="45"/>
      <c r="CA84" s="45"/>
      <c r="CB84" s="45"/>
      <c r="CC84" s="45"/>
      <c r="CD84" s="45"/>
      <c r="CE84" s="45"/>
      <c r="CF84" s="45"/>
    </row>
    <row r="85" spans="1:16325" s="153" customFormat="1" hidden="1">
      <c r="A85" s="6"/>
      <c r="B85" s="70" t="s">
        <v>97</v>
      </c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  <c r="AA85" s="6"/>
      <c r="AB85" s="6"/>
      <c r="AC85" s="6"/>
      <c r="AD85" s="6"/>
      <c r="AE85" s="6"/>
      <c r="AF85" s="6"/>
      <c r="AG85" s="6"/>
      <c r="AH85" s="6"/>
      <c r="AI85" s="6"/>
      <c r="AJ85" s="6"/>
      <c r="AK85" s="6"/>
      <c r="AL85" s="6"/>
      <c r="AM85" s="6"/>
      <c r="AN85" s="6"/>
      <c r="AO85" s="6"/>
      <c r="AP85" s="6"/>
      <c r="AQ85" s="6"/>
      <c r="AR85" s="6"/>
      <c r="AS85" s="158">
        <v>20</v>
      </c>
      <c r="AT85" s="158">
        <v>40</v>
      </c>
      <c r="AU85" s="159">
        <f>SUM(AQ85:AT85)</f>
        <v>60</v>
      </c>
      <c r="AV85" s="158">
        <v>35</v>
      </c>
      <c r="AW85" s="158">
        <v>35</v>
      </c>
      <c r="AX85" s="158">
        <v>40</v>
      </c>
      <c r="AY85" s="158">
        <v>40</v>
      </c>
      <c r="AZ85" s="159">
        <f>SUM(AV85:AY85)</f>
        <v>150</v>
      </c>
      <c r="BA85" s="6"/>
      <c r="BB85" s="6"/>
      <c r="BC85" s="6"/>
      <c r="BD85" s="6"/>
      <c r="BE85" s="6" t="e">
        <f>BE84*0.62</f>
        <v>#REF!</v>
      </c>
      <c r="BF85" s="6"/>
      <c r="BG85" s="6"/>
      <c r="BH85" s="6"/>
      <c r="BI85" s="6"/>
      <c r="BJ85" s="6" t="s">
        <v>98</v>
      </c>
      <c r="BK85" s="6"/>
      <c r="BL85" s="6"/>
      <c r="BM85" s="6"/>
      <c r="BN85" s="6"/>
      <c r="BO85" s="6"/>
      <c r="BP85" s="6"/>
      <c r="BQ85" s="6"/>
      <c r="BR85" s="6"/>
      <c r="BS85" s="6"/>
      <c r="BT85" s="6"/>
      <c r="BU85" s="6"/>
      <c r="BV85" s="6"/>
      <c r="BW85" s="6"/>
      <c r="BX85" s="6"/>
      <c r="BY85" s="6"/>
      <c r="BZ85" s="6"/>
      <c r="CA85" s="6"/>
      <c r="CB85" s="6"/>
      <c r="CC85" s="6"/>
      <c r="CD85" s="6"/>
      <c r="CE85" s="6"/>
      <c r="CF85" s="6"/>
      <c r="CG85" s="6"/>
      <c r="CH85" s="6"/>
      <c r="CI85" s="6"/>
      <c r="CJ85" s="6"/>
      <c r="CK85" s="6"/>
      <c r="CL85" s="6"/>
      <c r="CM85" s="6"/>
      <c r="CN85" s="6"/>
      <c r="CO85" s="6"/>
      <c r="CP85" s="6"/>
      <c r="CQ85" s="6"/>
      <c r="CR85" s="6"/>
      <c r="CS85" s="6"/>
      <c r="CT85" s="6"/>
      <c r="CU85" s="6"/>
      <c r="CV85" s="6"/>
      <c r="CW85" s="6"/>
      <c r="CX85" s="6"/>
      <c r="CY85" s="6"/>
      <c r="CZ85" s="6"/>
      <c r="DA85" s="6"/>
      <c r="DB85" s="6"/>
      <c r="DC85" s="6"/>
      <c r="DD85" s="6"/>
      <c r="DE85" s="6"/>
      <c r="DF85" s="6"/>
      <c r="DG85" s="6"/>
      <c r="DH85" s="6"/>
      <c r="DI85" s="6"/>
      <c r="DJ85" s="6"/>
      <c r="DK85" s="6"/>
      <c r="DL85" s="6"/>
      <c r="DM85" s="6"/>
      <c r="DN85" s="6"/>
      <c r="DO85" s="6"/>
      <c r="DP85" s="6"/>
      <c r="DQ85" s="6"/>
      <c r="DR85" s="6"/>
      <c r="DS85" s="6"/>
      <c r="DT85" s="6"/>
      <c r="DU85" s="6"/>
      <c r="DV85" s="6"/>
      <c r="DW85" s="6"/>
      <c r="DX85" s="6"/>
      <c r="DY85" s="6"/>
      <c r="DZ85" s="6"/>
      <c r="EA85" s="6"/>
      <c r="EB85" s="6"/>
      <c r="EC85" s="6"/>
      <c r="ED85" s="6"/>
      <c r="EE85" s="6"/>
      <c r="EF85" s="6"/>
      <c r="EG85" s="6"/>
      <c r="EH85" s="6"/>
      <c r="EI85" s="6"/>
      <c r="EJ85" s="6"/>
      <c r="EK85" s="6"/>
      <c r="EL85" s="6"/>
      <c r="EM85" s="6"/>
      <c r="EN85" s="6"/>
      <c r="EO85" s="6"/>
      <c r="EP85" s="6"/>
      <c r="EQ85" s="6"/>
      <c r="ER85" s="6"/>
      <c r="ES85" s="6"/>
      <c r="ET85" s="6"/>
      <c r="EU85" s="6"/>
      <c r="EV85" s="6"/>
      <c r="EW85" s="6"/>
      <c r="EX85" s="6"/>
      <c r="EY85" s="6"/>
      <c r="EZ85" s="6"/>
      <c r="FA85" s="6"/>
      <c r="FB85" s="6"/>
      <c r="FC85" s="6"/>
      <c r="FD85" s="6"/>
      <c r="FE85" s="6"/>
      <c r="FF85" s="6"/>
      <c r="FG85" s="6"/>
      <c r="FH85" s="6"/>
      <c r="FI85" s="6"/>
      <c r="FJ85" s="6"/>
      <c r="FK85" s="6"/>
      <c r="FL85" s="6"/>
      <c r="FM85" s="6"/>
      <c r="FN85" s="6"/>
      <c r="FO85" s="6"/>
      <c r="FP85" s="6"/>
      <c r="FQ85" s="6"/>
      <c r="FR85" s="6"/>
      <c r="FS85" s="6"/>
      <c r="FT85" s="6"/>
      <c r="FU85" s="6"/>
      <c r="FV85" s="6"/>
      <c r="FW85" s="6"/>
      <c r="FX85" s="6"/>
      <c r="FY85" s="6"/>
      <c r="FZ85" s="6"/>
      <c r="GA85" s="6"/>
      <c r="GB85" s="6"/>
      <c r="GC85" s="6"/>
      <c r="GD85" s="6"/>
      <c r="GE85" s="6"/>
      <c r="GF85" s="6"/>
      <c r="GG85" s="6"/>
      <c r="GH85" s="6"/>
      <c r="GI85" s="6"/>
      <c r="GJ85" s="6"/>
      <c r="GK85" s="6"/>
      <c r="GL85" s="6"/>
      <c r="GM85" s="6"/>
      <c r="GN85" s="6"/>
      <c r="GO85" s="6"/>
      <c r="GP85" s="6"/>
      <c r="GQ85" s="6"/>
      <c r="GR85" s="6"/>
      <c r="GS85" s="6"/>
      <c r="GT85" s="6"/>
      <c r="GU85" s="6"/>
      <c r="GV85" s="6"/>
      <c r="GW85" s="6"/>
      <c r="GX85" s="6"/>
      <c r="GY85" s="6"/>
      <c r="GZ85" s="6"/>
      <c r="HA85" s="6"/>
      <c r="HB85" s="6"/>
      <c r="HC85" s="6"/>
      <c r="HD85" s="6"/>
      <c r="HE85" s="6"/>
      <c r="HF85" s="6"/>
      <c r="HG85" s="6"/>
      <c r="HH85" s="6"/>
      <c r="HI85" s="6"/>
      <c r="HJ85" s="6"/>
      <c r="HK85" s="6"/>
      <c r="HL85" s="6"/>
      <c r="HM85" s="6"/>
      <c r="HN85" s="6"/>
      <c r="HO85" s="6"/>
      <c r="HP85" s="6"/>
      <c r="HQ85" s="6"/>
      <c r="HR85" s="6"/>
      <c r="HS85" s="6"/>
      <c r="HT85" s="6"/>
      <c r="HU85" s="6"/>
      <c r="HV85" s="6"/>
      <c r="HW85" s="6"/>
      <c r="HX85" s="6"/>
      <c r="HY85" s="6"/>
      <c r="HZ85" s="6"/>
      <c r="IA85" s="6"/>
      <c r="IB85" s="6"/>
      <c r="IC85" s="6"/>
      <c r="ID85" s="6"/>
      <c r="IE85" s="6"/>
      <c r="IF85" s="6"/>
      <c r="IG85" s="6"/>
      <c r="IH85" s="6"/>
      <c r="II85" s="6"/>
      <c r="IJ85" s="6"/>
      <c r="IK85" s="6"/>
      <c r="IL85" s="6"/>
      <c r="IM85" s="6"/>
      <c r="IN85" s="6"/>
      <c r="IO85" s="6"/>
      <c r="IP85" s="6"/>
      <c r="IQ85" s="6"/>
      <c r="IR85" s="6"/>
      <c r="IS85" s="6"/>
      <c r="IT85" s="6"/>
      <c r="IU85" s="6"/>
      <c r="IV85" s="6"/>
      <c r="IW85" s="6"/>
      <c r="IX85" s="6"/>
      <c r="IY85" s="6"/>
      <c r="IZ85" s="6"/>
      <c r="JA85" s="6"/>
      <c r="JB85" s="6"/>
      <c r="JC85" s="6"/>
      <c r="JD85" s="6"/>
      <c r="JE85" s="6"/>
      <c r="JF85" s="6"/>
      <c r="JG85" s="6"/>
      <c r="JH85" s="6"/>
      <c r="JI85" s="6"/>
      <c r="JJ85" s="6"/>
      <c r="JK85" s="6"/>
      <c r="JL85" s="6"/>
      <c r="JM85" s="6"/>
      <c r="JN85" s="6"/>
      <c r="JO85" s="6"/>
      <c r="JP85" s="6"/>
      <c r="JQ85" s="6"/>
      <c r="JR85" s="6"/>
      <c r="JS85" s="6"/>
      <c r="JT85" s="6"/>
      <c r="JU85" s="6"/>
      <c r="JV85" s="6"/>
      <c r="JW85" s="6"/>
      <c r="JX85" s="6"/>
      <c r="JY85" s="6"/>
      <c r="JZ85" s="6"/>
      <c r="KA85" s="6"/>
      <c r="KB85" s="6"/>
      <c r="KC85" s="6"/>
      <c r="KD85" s="6"/>
      <c r="KE85" s="6"/>
      <c r="KF85" s="6"/>
      <c r="KG85" s="6"/>
      <c r="KH85" s="6"/>
      <c r="KI85" s="6"/>
      <c r="KJ85" s="6"/>
      <c r="KK85" s="6"/>
      <c r="KL85" s="6"/>
      <c r="KM85" s="6"/>
      <c r="KN85" s="6"/>
      <c r="KO85" s="6"/>
      <c r="KP85" s="6"/>
      <c r="KQ85" s="6"/>
      <c r="KR85" s="6"/>
      <c r="KS85" s="6"/>
      <c r="KT85" s="6"/>
      <c r="KU85" s="6"/>
      <c r="KV85" s="6"/>
      <c r="KW85" s="6"/>
      <c r="KX85" s="6"/>
      <c r="KY85" s="6"/>
      <c r="KZ85" s="6"/>
      <c r="LA85" s="6"/>
      <c r="LB85" s="6"/>
      <c r="LC85" s="6"/>
      <c r="LD85" s="6"/>
      <c r="LE85" s="6"/>
      <c r="LF85" s="6"/>
      <c r="LG85" s="6"/>
      <c r="LH85" s="6"/>
      <c r="LI85" s="6"/>
      <c r="LJ85" s="6"/>
      <c r="LK85" s="6"/>
      <c r="LL85" s="6"/>
      <c r="LM85" s="6"/>
      <c r="LN85" s="6"/>
      <c r="LO85" s="6"/>
      <c r="LP85" s="6"/>
      <c r="LQ85" s="6"/>
      <c r="LR85" s="6"/>
      <c r="LS85" s="6"/>
      <c r="LT85" s="6"/>
      <c r="LU85" s="6"/>
      <c r="LV85" s="6"/>
      <c r="LW85" s="6"/>
      <c r="LX85" s="6"/>
      <c r="LY85" s="6"/>
      <c r="LZ85" s="6"/>
      <c r="MA85" s="6"/>
      <c r="MB85" s="6"/>
      <c r="MC85" s="6"/>
      <c r="MD85" s="6"/>
      <c r="ME85" s="6"/>
      <c r="MF85" s="6"/>
      <c r="MG85" s="6"/>
      <c r="MH85" s="6"/>
      <c r="MI85" s="6"/>
      <c r="MJ85" s="6"/>
      <c r="MK85" s="6"/>
      <c r="ML85" s="6"/>
      <c r="MM85" s="6"/>
      <c r="MN85" s="6"/>
      <c r="MO85" s="6"/>
      <c r="MP85" s="6"/>
      <c r="MQ85" s="6"/>
      <c r="MR85" s="6"/>
      <c r="MS85" s="6"/>
      <c r="MT85" s="6"/>
      <c r="MU85" s="6"/>
      <c r="MV85" s="6"/>
      <c r="MW85" s="6"/>
      <c r="MX85" s="6"/>
      <c r="MY85" s="6"/>
      <c r="MZ85" s="6"/>
      <c r="NA85" s="6"/>
      <c r="NB85" s="6"/>
      <c r="NC85" s="6"/>
      <c r="ND85" s="6"/>
      <c r="NE85" s="6"/>
      <c r="NF85" s="6"/>
      <c r="NG85" s="6"/>
      <c r="NH85" s="6"/>
      <c r="NI85" s="6"/>
      <c r="NJ85" s="6"/>
      <c r="NK85" s="6"/>
      <c r="NL85" s="6"/>
      <c r="NM85" s="6"/>
      <c r="NN85" s="6"/>
      <c r="NO85" s="6"/>
      <c r="NP85" s="6"/>
      <c r="NQ85" s="6"/>
      <c r="NR85" s="6"/>
      <c r="NS85" s="6"/>
      <c r="NT85" s="6"/>
      <c r="NU85" s="6"/>
      <c r="NV85" s="6"/>
      <c r="NW85" s="6"/>
      <c r="NX85" s="6"/>
      <c r="NY85" s="6"/>
      <c r="NZ85" s="6"/>
      <c r="OA85" s="6"/>
      <c r="OB85" s="6"/>
      <c r="OC85" s="6"/>
      <c r="OD85" s="6"/>
      <c r="OE85" s="6"/>
      <c r="OF85" s="6"/>
      <c r="OG85" s="6"/>
      <c r="OH85" s="6"/>
      <c r="OI85" s="6"/>
      <c r="OJ85" s="6"/>
      <c r="OK85" s="6"/>
      <c r="OL85" s="6"/>
      <c r="OM85" s="6"/>
      <c r="ON85" s="6"/>
      <c r="OO85" s="6"/>
      <c r="OP85" s="6"/>
      <c r="OQ85" s="6"/>
      <c r="OR85" s="6"/>
      <c r="OS85" s="6"/>
      <c r="OT85" s="6"/>
      <c r="OU85" s="6"/>
      <c r="OV85" s="6"/>
      <c r="OW85" s="6"/>
      <c r="OX85" s="6"/>
      <c r="OY85" s="6"/>
      <c r="OZ85" s="6"/>
      <c r="PA85" s="6"/>
      <c r="PB85" s="6"/>
      <c r="PC85" s="6"/>
      <c r="PD85" s="6"/>
      <c r="PE85" s="6"/>
      <c r="PF85" s="6"/>
      <c r="PG85" s="6"/>
      <c r="PH85" s="6"/>
      <c r="PI85" s="6"/>
      <c r="PJ85" s="6"/>
      <c r="PK85" s="6"/>
      <c r="PL85" s="6"/>
      <c r="PM85" s="6"/>
      <c r="PN85" s="6"/>
      <c r="PO85" s="6"/>
      <c r="PP85" s="6"/>
      <c r="PQ85" s="6"/>
      <c r="PR85" s="6"/>
      <c r="PS85" s="6"/>
      <c r="PT85" s="6"/>
      <c r="PU85" s="6"/>
      <c r="PV85" s="6"/>
      <c r="PW85" s="6"/>
      <c r="PX85" s="6"/>
      <c r="PY85" s="6"/>
      <c r="PZ85" s="6"/>
      <c r="QA85" s="6"/>
      <c r="QB85" s="6"/>
      <c r="QC85" s="6"/>
      <c r="QD85" s="6"/>
      <c r="QE85" s="6"/>
      <c r="QF85" s="6"/>
      <c r="QG85" s="6"/>
      <c r="QH85" s="6"/>
      <c r="QI85" s="6"/>
      <c r="QJ85" s="6"/>
      <c r="QK85" s="6"/>
      <c r="QL85" s="6"/>
      <c r="QM85" s="6"/>
      <c r="QN85" s="6"/>
      <c r="QO85" s="6"/>
      <c r="QP85" s="6"/>
      <c r="QQ85" s="6"/>
      <c r="QR85" s="6"/>
      <c r="QS85" s="6"/>
      <c r="QT85" s="6"/>
      <c r="QU85" s="6"/>
      <c r="QV85" s="6"/>
      <c r="QW85" s="6"/>
      <c r="QX85" s="6"/>
      <c r="QY85" s="6"/>
      <c r="QZ85" s="6"/>
      <c r="RA85" s="6"/>
      <c r="RB85" s="6"/>
      <c r="RC85" s="6"/>
      <c r="RD85" s="6"/>
      <c r="RE85" s="6"/>
      <c r="RF85" s="6"/>
      <c r="RG85" s="6"/>
      <c r="RH85" s="6"/>
      <c r="RI85" s="6"/>
      <c r="RJ85" s="6"/>
      <c r="RK85" s="6"/>
      <c r="RL85" s="6"/>
      <c r="RM85" s="6"/>
      <c r="RN85" s="6"/>
      <c r="RO85" s="6"/>
      <c r="RP85" s="6"/>
      <c r="RQ85" s="6"/>
      <c r="RR85" s="6"/>
      <c r="RS85" s="6"/>
      <c r="RT85" s="6"/>
      <c r="RU85" s="6"/>
      <c r="RV85" s="6"/>
      <c r="RW85" s="6"/>
      <c r="RX85" s="6"/>
      <c r="RY85" s="6"/>
      <c r="RZ85" s="6"/>
      <c r="SA85" s="6"/>
      <c r="SB85" s="6"/>
      <c r="SC85" s="6"/>
      <c r="SD85" s="6"/>
      <c r="SE85" s="6"/>
      <c r="SF85" s="6"/>
      <c r="SG85" s="6"/>
      <c r="SH85" s="6"/>
      <c r="SI85" s="6"/>
      <c r="SJ85" s="6"/>
      <c r="SK85" s="6"/>
      <c r="SL85" s="6"/>
      <c r="SM85" s="6"/>
      <c r="SN85" s="6"/>
      <c r="SO85" s="6"/>
      <c r="SP85" s="6"/>
      <c r="SQ85" s="6"/>
      <c r="SR85" s="6"/>
      <c r="SS85" s="6"/>
      <c r="ST85" s="6"/>
      <c r="SU85" s="6"/>
      <c r="SV85" s="6"/>
      <c r="SW85" s="6"/>
      <c r="SX85" s="6"/>
      <c r="SY85" s="6"/>
      <c r="SZ85" s="6"/>
      <c r="TA85" s="6"/>
      <c r="TB85" s="6"/>
      <c r="TC85" s="6"/>
      <c r="TD85" s="6"/>
      <c r="TE85" s="6"/>
      <c r="TF85" s="6"/>
      <c r="TG85" s="6"/>
      <c r="TH85" s="6"/>
      <c r="TI85" s="6"/>
      <c r="TJ85" s="6"/>
      <c r="TK85" s="6"/>
      <c r="TL85" s="6"/>
      <c r="TM85" s="6"/>
      <c r="TN85" s="6"/>
      <c r="TO85" s="6"/>
      <c r="TP85" s="6"/>
      <c r="TQ85" s="6"/>
      <c r="TR85" s="6"/>
      <c r="TS85" s="6"/>
      <c r="TT85" s="6"/>
      <c r="TU85" s="6"/>
      <c r="TV85" s="6"/>
      <c r="TW85" s="6"/>
      <c r="TX85" s="6"/>
      <c r="TY85" s="6"/>
      <c r="TZ85" s="6"/>
      <c r="UA85" s="6"/>
      <c r="UB85" s="6"/>
      <c r="UC85" s="6"/>
      <c r="UD85" s="6"/>
      <c r="UE85" s="6"/>
      <c r="UF85" s="6"/>
      <c r="UG85" s="6"/>
      <c r="UH85" s="6"/>
      <c r="UI85" s="6"/>
      <c r="UJ85" s="6"/>
      <c r="UK85" s="6"/>
      <c r="UL85" s="6"/>
      <c r="UM85" s="6"/>
      <c r="UN85" s="6"/>
      <c r="UO85" s="6"/>
      <c r="UP85" s="6"/>
      <c r="UQ85" s="6"/>
      <c r="UR85" s="6"/>
      <c r="US85" s="6"/>
      <c r="UT85" s="6"/>
      <c r="UU85" s="6"/>
      <c r="UV85" s="6"/>
      <c r="UW85" s="6"/>
      <c r="UX85" s="6"/>
      <c r="UY85" s="6"/>
      <c r="UZ85" s="6"/>
      <c r="VA85" s="6"/>
      <c r="VB85" s="6"/>
      <c r="VC85" s="6"/>
      <c r="VD85" s="6"/>
      <c r="VE85" s="6"/>
      <c r="VF85" s="6"/>
      <c r="VG85" s="6"/>
      <c r="VH85" s="6"/>
      <c r="VI85" s="6"/>
      <c r="VJ85" s="6"/>
      <c r="VK85" s="6"/>
      <c r="VL85" s="6"/>
      <c r="VM85" s="6"/>
      <c r="VN85" s="6"/>
      <c r="VO85" s="6"/>
      <c r="VP85" s="6"/>
      <c r="VQ85" s="6"/>
      <c r="VR85" s="6"/>
      <c r="VS85" s="6"/>
      <c r="VT85" s="6"/>
      <c r="VU85" s="6"/>
      <c r="VV85" s="6"/>
      <c r="VW85" s="6"/>
      <c r="VX85" s="6"/>
      <c r="VY85" s="6"/>
      <c r="VZ85" s="6"/>
      <c r="WA85" s="6"/>
      <c r="WB85" s="6"/>
      <c r="WC85" s="6"/>
      <c r="WD85" s="6"/>
      <c r="WE85" s="6"/>
      <c r="WF85" s="6"/>
      <c r="WG85" s="6"/>
      <c r="WH85" s="6"/>
      <c r="WI85" s="6"/>
      <c r="WJ85" s="6"/>
      <c r="WK85" s="6"/>
      <c r="WL85" s="6"/>
      <c r="WM85" s="6"/>
      <c r="WN85" s="6"/>
      <c r="WO85" s="6"/>
      <c r="WP85" s="6"/>
      <c r="WQ85" s="6"/>
      <c r="WR85" s="6"/>
      <c r="WS85" s="6"/>
      <c r="WT85" s="6"/>
      <c r="WU85" s="6"/>
      <c r="WV85" s="6"/>
      <c r="WW85" s="6"/>
      <c r="WX85" s="6"/>
      <c r="WY85" s="6"/>
      <c r="WZ85" s="6"/>
      <c r="XA85" s="6"/>
      <c r="XB85" s="6"/>
      <c r="XC85" s="6"/>
      <c r="XD85" s="6"/>
      <c r="XE85" s="6"/>
      <c r="XF85" s="6"/>
      <c r="XG85" s="6"/>
      <c r="XH85" s="6"/>
      <c r="XI85" s="6"/>
      <c r="XJ85" s="6"/>
      <c r="XK85" s="6"/>
      <c r="XL85" s="6"/>
      <c r="XM85" s="6"/>
      <c r="XN85" s="6"/>
      <c r="XO85" s="6"/>
      <c r="XP85" s="6"/>
      <c r="XQ85" s="6"/>
      <c r="XR85" s="6"/>
      <c r="XS85" s="6"/>
      <c r="XT85" s="6"/>
      <c r="XU85" s="6"/>
      <c r="XV85" s="6"/>
      <c r="XW85" s="6"/>
      <c r="XX85" s="6"/>
      <c r="XY85" s="6"/>
      <c r="XZ85" s="6"/>
      <c r="YA85" s="6"/>
      <c r="YB85" s="6"/>
      <c r="YC85" s="6"/>
      <c r="YD85" s="6"/>
      <c r="YE85" s="6"/>
      <c r="YF85" s="6"/>
      <c r="YG85" s="6"/>
      <c r="YH85" s="6"/>
      <c r="YI85" s="6"/>
      <c r="YJ85" s="6"/>
      <c r="YK85" s="6"/>
      <c r="YL85" s="6"/>
      <c r="YM85" s="6"/>
      <c r="YN85" s="6"/>
      <c r="YO85" s="6"/>
      <c r="YP85" s="6"/>
      <c r="YQ85" s="6"/>
      <c r="YR85" s="6"/>
      <c r="YS85" s="6"/>
      <c r="YT85" s="6"/>
      <c r="YU85" s="6"/>
      <c r="YV85" s="6"/>
      <c r="YW85" s="6"/>
      <c r="YX85" s="6"/>
      <c r="YY85" s="6"/>
      <c r="YZ85" s="6"/>
      <c r="ZA85" s="6"/>
      <c r="ZB85" s="6"/>
      <c r="ZC85" s="6"/>
      <c r="ZD85" s="6"/>
      <c r="ZE85" s="6"/>
      <c r="ZF85" s="6"/>
      <c r="ZG85" s="6"/>
      <c r="ZH85" s="6"/>
      <c r="ZI85" s="6"/>
      <c r="ZJ85" s="6"/>
      <c r="ZK85" s="6"/>
      <c r="ZL85" s="6"/>
      <c r="ZM85" s="6"/>
      <c r="ZN85" s="6"/>
      <c r="ZO85" s="6"/>
      <c r="ZP85" s="6"/>
      <c r="ZQ85" s="6"/>
      <c r="ZR85" s="6"/>
      <c r="ZS85" s="6"/>
      <c r="ZT85" s="6"/>
      <c r="ZU85" s="6"/>
      <c r="ZV85" s="6"/>
      <c r="ZW85" s="6"/>
      <c r="ZX85" s="6"/>
      <c r="ZY85" s="6"/>
      <c r="ZZ85" s="6"/>
      <c r="AAA85" s="6"/>
      <c r="AAB85" s="6"/>
      <c r="AAC85" s="6"/>
      <c r="AAD85" s="6"/>
      <c r="AAE85" s="6"/>
      <c r="AAF85" s="6"/>
      <c r="AAG85" s="6"/>
      <c r="AAH85" s="6"/>
      <c r="AAI85" s="6"/>
      <c r="AAJ85" s="6"/>
      <c r="AAK85" s="6"/>
      <c r="AAL85" s="6"/>
      <c r="AAM85" s="6"/>
      <c r="AAN85" s="6"/>
      <c r="AAO85" s="6"/>
      <c r="AAP85" s="6"/>
      <c r="AAQ85" s="6"/>
      <c r="AAR85" s="6"/>
      <c r="AAS85" s="6"/>
      <c r="AAT85" s="6"/>
      <c r="AAU85" s="6"/>
      <c r="AAV85" s="6"/>
      <c r="AAW85" s="6"/>
      <c r="AAX85" s="6"/>
      <c r="AAY85" s="6"/>
      <c r="AAZ85" s="6"/>
      <c r="ABA85" s="6"/>
      <c r="ABB85" s="6"/>
      <c r="ABC85" s="6"/>
      <c r="ABD85" s="6"/>
      <c r="ABE85" s="6"/>
      <c r="ABF85" s="6"/>
      <c r="ABG85" s="6"/>
      <c r="ABH85" s="6"/>
      <c r="ABI85" s="6"/>
      <c r="ABJ85" s="6"/>
      <c r="ABK85" s="6"/>
      <c r="ABL85" s="6"/>
      <c r="ABM85" s="6"/>
      <c r="ABN85" s="6"/>
      <c r="ABO85" s="6"/>
      <c r="ABP85" s="6"/>
      <c r="ABQ85" s="6"/>
      <c r="ABR85" s="6"/>
      <c r="ABS85" s="6"/>
      <c r="ABT85" s="6"/>
      <c r="ABU85" s="6"/>
      <c r="ABV85" s="6"/>
      <c r="ABW85" s="6"/>
      <c r="ABX85" s="6"/>
      <c r="ABY85" s="6"/>
      <c r="ABZ85" s="6"/>
      <c r="ACA85" s="6"/>
      <c r="ACB85" s="6"/>
      <c r="ACC85" s="6"/>
      <c r="ACD85" s="6"/>
      <c r="ACE85" s="6"/>
      <c r="ACF85" s="6"/>
      <c r="ACG85" s="6"/>
      <c r="ACH85" s="6"/>
      <c r="ACI85" s="6"/>
      <c r="ACJ85" s="6"/>
      <c r="ACK85" s="6"/>
      <c r="ACL85" s="6"/>
      <c r="ACM85" s="6"/>
      <c r="ACN85" s="6"/>
      <c r="ACO85" s="6"/>
      <c r="ACP85" s="6"/>
      <c r="ACQ85" s="6"/>
      <c r="ACR85" s="6"/>
      <c r="ACS85" s="6"/>
      <c r="ACT85" s="6"/>
      <c r="ACU85" s="6"/>
      <c r="ACV85" s="6"/>
      <c r="ACW85" s="6"/>
      <c r="ACX85" s="6"/>
      <c r="ACY85" s="6"/>
      <c r="ACZ85" s="6"/>
      <c r="ADA85" s="6"/>
      <c r="ADB85" s="6"/>
      <c r="ADC85" s="6"/>
      <c r="ADD85" s="6"/>
      <c r="ADE85" s="6"/>
      <c r="ADF85" s="6"/>
      <c r="ADG85" s="6"/>
      <c r="ADH85" s="6"/>
      <c r="ADI85" s="6"/>
      <c r="ADJ85" s="6"/>
      <c r="ADK85" s="6"/>
      <c r="ADL85" s="6"/>
      <c r="ADM85" s="6"/>
      <c r="ADN85" s="6"/>
      <c r="ADO85" s="6"/>
      <c r="ADP85" s="6"/>
      <c r="ADQ85" s="6"/>
      <c r="ADR85" s="6"/>
      <c r="ADS85" s="6"/>
      <c r="ADT85" s="6"/>
      <c r="ADU85" s="6"/>
      <c r="ADV85" s="6"/>
      <c r="ADW85" s="6"/>
      <c r="ADX85" s="6"/>
      <c r="ADY85" s="6"/>
      <c r="ADZ85" s="6"/>
      <c r="AEA85" s="6"/>
      <c r="AEB85" s="6"/>
      <c r="AEC85" s="6"/>
      <c r="AED85" s="6"/>
      <c r="AEE85" s="6"/>
      <c r="AEF85" s="6"/>
      <c r="AEG85" s="6"/>
      <c r="AEH85" s="6"/>
      <c r="AEI85" s="6"/>
      <c r="AEJ85" s="6"/>
      <c r="AEK85" s="6"/>
      <c r="AEL85" s="6"/>
      <c r="AEM85" s="6"/>
      <c r="AEN85" s="6"/>
      <c r="AEO85" s="6"/>
      <c r="AEP85" s="6"/>
      <c r="AEQ85" s="6"/>
      <c r="AER85" s="6"/>
      <c r="AES85" s="6"/>
      <c r="AET85" s="6"/>
      <c r="AEU85" s="6"/>
      <c r="AEV85" s="6"/>
      <c r="AEW85" s="6"/>
      <c r="AEX85" s="6"/>
      <c r="AEY85" s="6"/>
      <c r="AEZ85" s="6"/>
      <c r="AFA85" s="6"/>
      <c r="AFB85" s="6"/>
      <c r="AFC85" s="6"/>
      <c r="AFD85" s="6"/>
      <c r="AFE85" s="6"/>
      <c r="AFF85" s="6"/>
      <c r="AFG85" s="6"/>
      <c r="AFH85" s="6"/>
      <c r="AFI85" s="6"/>
      <c r="AFJ85" s="6"/>
      <c r="AFK85" s="6"/>
      <c r="AFL85" s="6"/>
      <c r="AFM85" s="6"/>
      <c r="AFN85" s="6"/>
      <c r="AFO85" s="6"/>
      <c r="AFP85" s="6"/>
      <c r="AFQ85" s="6"/>
      <c r="AFR85" s="6"/>
      <c r="AFS85" s="6"/>
      <c r="AFT85" s="6"/>
      <c r="AFU85" s="6"/>
      <c r="AFV85" s="6"/>
      <c r="AFW85" s="6"/>
      <c r="AFX85" s="6"/>
      <c r="AFY85" s="6"/>
      <c r="AFZ85" s="6"/>
      <c r="AGA85" s="6"/>
      <c r="AGB85" s="6"/>
      <c r="AGC85" s="6"/>
      <c r="AGD85" s="6"/>
      <c r="AGE85" s="6"/>
      <c r="AGF85" s="6"/>
      <c r="AGG85" s="6"/>
      <c r="AGH85" s="6"/>
      <c r="AGI85" s="6"/>
      <c r="AGJ85" s="6"/>
      <c r="AGK85" s="6"/>
      <c r="AGL85" s="6"/>
      <c r="AGM85" s="6"/>
      <c r="AGN85" s="6"/>
      <c r="AGO85" s="6"/>
      <c r="AGP85" s="6"/>
      <c r="AGQ85" s="6"/>
      <c r="AGR85" s="6"/>
      <c r="AGS85" s="6"/>
      <c r="AGT85" s="6"/>
      <c r="AGU85" s="6"/>
      <c r="AGV85" s="6"/>
      <c r="AGW85" s="6"/>
      <c r="AGX85" s="6"/>
      <c r="AGY85" s="6"/>
      <c r="AGZ85" s="6"/>
      <c r="AHA85" s="6"/>
      <c r="AHB85" s="6"/>
      <c r="AHC85" s="6"/>
      <c r="AHD85" s="6"/>
      <c r="AHE85" s="6"/>
      <c r="AHF85" s="6"/>
      <c r="AHG85" s="6"/>
      <c r="AHH85" s="6"/>
      <c r="AHI85" s="6"/>
      <c r="AHJ85" s="6"/>
      <c r="AHK85" s="6"/>
      <c r="AHL85" s="6"/>
      <c r="AHM85" s="6"/>
      <c r="AHN85" s="6"/>
      <c r="AHO85" s="6"/>
      <c r="AHP85" s="6"/>
      <c r="AHQ85" s="6"/>
      <c r="AHR85" s="6"/>
      <c r="AHS85" s="6"/>
      <c r="AHT85" s="6"/>
      <c r="AHU85" s="6"/>
      <c r="AHV85" s="6"/>
      <c r="AHW85" s="6"/>
      <c r="AHX85" s="6"/>
      <c r="AHY85" s="6"/>
      <c r="AHZ85" s="6"/>
      <c r="AIA85" s="6"/>
      <c r="AIB85" s="6"/>
      <c r="AIC85" s="6"/>
      <c r="AID85" s="6"/>
      <c r="AIE85" s="6"/>
      <c r="AIF85" s="6"/>
      <c r="AIG85" s="6"/>
      <c r="AIH85" s="6"/>
      <c r="AII85" s="6"/>
      <c r="AIJ85" s="6"/>
      <c r="AIK85" s="6"/>
      <c r="AIL85" s="6"/>
      <c r="AIM85" s="6"/>
      <c r="AIN85" s="6"/>
      <c r="AIO85" s="6"/>
      <c r="AIP85" s="6"/>
      <c r="AIQ85" s="6"/>
      <c r="AIR85" s="6"/>
      <c r="AIS85" s="6"/>
      <c r="AIT85" s="6"/>
      <c r="AIU85" s="6"/>
      <c r="AIV85" s="6"/>
      <c r="AIW85" s="6"/>
      <c r="AIX85" s="6"/>
      <c r="AIY85" s="6"/>
      <c r="AIZ85" s="6"/>
      <c r="AJA85" s="6"/>
      <c r="AJB85" s="6"/>
      <c r="AJC85" s="6"/>
      <c r="AJD85" s="6"/>
      <c r="AJE85" s="6"/>
      <c r="AJF85" s="6"/>
      <c r="AJG85" s="6"/>
      <c r="AJH85" s="6"/>
      <c r="AJI85" s="6"/>
      <c r="AJJ85" s="6"/>
      <c r="AJK85" s="6"/>
      <c r="AJL85" s="6"/>
      <c r="AJM85" s="6"/>
      <c r="AJN85" s="6"/>
      <c r="AJO85" s="6"/>
      <c r="AJP85" s="6"/>
      <c r="AJQ85" s="6"/>
      <c r="AJR85" s="6"/>
      <c r="AJS85" s="6"/>
      <c r="AJT85" s="6"/>
      <c r="AJU85" s="6"/>
      <c r="AJV85" s="6"/>
      <c r="AJW85" s="6"/>
      <c r="AJX85" s="6"/>
      <c r="AJY85" s="6"/>
      <c r="AJZ85" s="6"/>
      <c r="AKA85" s="6"/>
      <c r="AKB85" s="6"/>
      <c r="AKC85" s="6"/>
      <c r="AKD85" s="6"/>
      <c r="AKE85" s="6"/>
      <c r="AKF85" s="6"/>
      <c r="AKG85" s="6"/>
      <c r="AKH85" s="6"/>
      <c r="AKI85" s="6"/>
      <c r="AKJ85" s="6"/>
      <c r="AKK85" s="6"/>
      <c r="AKL85" s="6"/>
      <c r="AKM85" s="6"/>
      <c r="AKN85" s="6"/>
      <c r="AKO85" s="6"/>
      <c r="AKP85" s="6"/>
      <c r="AKQ85" s="6"/>
      <c r="AKR85" s="6"/>
      <c r="AKS85" s="6"/>
      <c r="AKT85" s="6"/>
      <c r="AKU85" s="6"/>
      <c r="AKV85" s="6"/>
      <c r="AKW85" s="6"/>
      <c r="AKX85" s="6"/>
      <c r="AKY85" s="6"/>
      <c r="AKZ85" s="6"/>
      <c r="ALA85" s="6"/>
      <c r="ALB85" s="6"/>
      <c r="ALC85" s="6"/>
      <c r="ALD85" s="6"/>
      <c r="ALE85" s="6"/>
      <c r="ALF85" s="6"/>
      <c r="ALG85" s="6"/>
      <c r="ALH85" s="6"/>
      <c r="ALI85" s="6"/>
      <c r="ALJ85" s="6"/>
      <c r="ALK85" s="6"/>
      <c r="ALL85" s="6"/>
      <c r="ALM85" s="6"/>
      <c r="ALN85" s="6"/>
      <c r="ALO85" s="6"/>
      <c r="ALP85" s="6"/>
      <c r="ALQ85" s="6"/>
      <c r="ALR85" s="6"/>
      <c r="ALS85" s="6"/>
      <c r="ALT85" s="6"/>
      <c r="ALU85" s="6"/>
      <c r="ALV85" s="6"/>
      <c r="ALW85" s="6"/>
      <c r="ALX85" s="6"/>
      <c r="ALY85" s="6"/>
      <c r="ALZ85" s="6"/>
      <c r="AMA85" s="6"/>
      <c r="AMB85" s="6"/>
      <c r="AMC85" s="6"/>
      <c r="AMD85" s="6"/>
      <c r="AME85" s="6"/>
      <c r="AMF85" s="6"/>
      <c r="AMG85" s="6"/>
      <c r="AMH85" s="6"/>
      <c r="AMI85" s="6"/>
      <c r="AMJ85" s="6"/>
      <c r="AMK85" s="6"/>
      <c r="AML85" s="6"/>
      <c r="AMM85" s="6"/>
      <c r="AMN85" s="6"/>
      <c r="AMO85" s="6"/>
      <c r="AMP85" s="6"/>
      <c r="AMQ85" s="6"/>
      <c r="AMR85" s="6"/>
      <c r="AMS85" s="6"/>
      <c r="AMT85" s="6"/>
      <c r="AMU85" s="6"/>
      <c r="AMV85" s="6"/>
      <c r="AMW85" s="6"/>
      <c r="AMX85" s="6"/>
      <c r="AMY85" s="6"/>
      <c r="AMZ85" s="6"/>
      <c r="ANA85" s="6"/>
      <c r="ANB85" s="6"/>
      <c r="ANC85" s="6"/>
      <c r="AND85" s="6"/>
      <c r="ANE85" s="6"/>
      <c r="ANF85" s="6"/>
      <c r="ANG85" s="6"/>
      <c r="ANH85" s="6"/>
      <c r="ANI85" s="6"/>
      <c r="ANJ85" s="6"/>
      <c r="ANK85" s="6"/>
      <c r="ANL85" s="6"/>
      <c r="ANM85" s="6"/>
      <c r="ANN85" s="6"/>
      <c r="ANO85" s="6"/>
      <c r="ANP85" s="6"/>
      <c r="ANQ85" s="6"/>
      <c r="ANR85" s="6"/>
      <c r="ANS85" s="6"/>
      <c r="ANT85" s="6"/>
      <c r="ANU85" s="6"/>
      <c r="ANV85" s="6"/>
      <c r="ANW85" s="6"/>
      <c r="ANX85" s="6"/>
      <c r="ANY85" s="6"/>
      <c r="ANZ85" s="6"/>
      <c r="AOA85" s="6"/>
      <c r="AOB85" s="6"/>
      <c r="AOC85" s="6"/>
      <c r="AOD85" s="6"/>
      <c r="AOE85" s="6"/>
      <c r="AOF85" s="6"/>
      <c r="AOG85" s="6"/>
      <c r="AOH85" s="6"/>
      <c r="AOI85" s="6"/>
      <c r="AOJ85" s="6"/>
      <c r="AOK85" s="6"/>
      <c r="AOL85" s="6"/>
      <c r="AOM85" s="6"/>
      <c r="AON85" s="6"/>
      <c r="AOO85" s="6"/>
      <c r="AOP85" s="6"/>
      <c r="AOQ85" s="6"/>
      <c r="AOR85" s="6"/>
      <c r="AOS85" s="6"/>
      <c r="AOT85" s="6"/>
      <c r="AOU85" s="6"/>
      <c r="AOV85" s="6"/>
      <c r="AOW85" s="6"/>
      <c r="AOX85" s="6"/>
      <c r="AOY85" s="6"/>
      <c r="AOZ85" s="6"/>
      <c r="APA85" s="6"/>
      <c r="APB85" s="6"/>
      <c r="APC85" s="6"/>
      <c r="APD85" s="6"/>
      <c r="APE85" s="6"/>
      <c r="APF85" s="6"/>
      <c r="APG85" s="6"/>
      <c r="APH85" s="6"/>
      <c r="API85" s="6"/>
      <c r="APJ85" s="6"/>
      <c r="APK85" s="6"/>
      <c r="APL85" s="6"/>
      <c r="APM85" s="6"/>
      <c r="APN85" s="6"/>
      <c r="APO85" s="6"/>
      <c r="APP85" s="6"/>
      <c r="APQ85" s="6"/>
      <c r="APR85" s="6"/>
      <c r="APS85" s="6"/>
      <c r="APT85" s="6"/>
      <c r="APU85" s="6"/>
      <c r="APV85" s="6"/>
      <c r="APW85" s="6"/>
      <c r="APX85" s="6"/>
      <c r="APY85" s="6"/>
      <c r="APZ85" s="6"/>
      <c r="AQA85" s="6"/>
      <c r="AQB85" s="6"/>
      <c r="AQC85" s="6"/>
      <c r="AQD85" s="6"/>
      <c r="AQE85" s="6"/>
      <c r="AQF85" s="6"/>
      <c r="AQG85" s="6"/>
      <c r="AQH85" s="6"/>
      <c r="AQI85" s="6"/>
      <c r="AQJ85" s="6"/>
      <c r="AQK85" s="6"/>
      <c r="AQL85" s="6"/>
      <c r="AQM85" s="6"/>
      <c r="AQN85" s="6"/>
      <c r="AQO85" s="6"/>
      <c r="AQP85" s="6"/>
      <c r="AQQ85" s="6"/>
      <c r="AQR85" s="6"/>
      <c r="AQS85" s="6"/>
      <c r="AQT85" s="6"/>
      <c r="AQU85" s="6"/>
      <c r="AQV85" s="6"/>
      <c r="AQW85" s="6"/>
      <c r="AQX85" s="6"/>
      <c r="AQY85" s="6"/>
      <c r="AQZ85" s="6"/>
      <c r="ARA85" s="6"/>
      <c r="ARB85" s="6"/>
      <c r="ARC85" s="6"/>
      <c r="ARD85" s="6"/>
      <c r="ARE85" s="6"/>
      <c r="ARF85" s="6"/>
      <c r="ARG85" s="6"/>
      <c r="ARH85" s="6"/>
      <c r="ARI85" s="6"/>
      <c r="ARJ85" s="6"/>
      <c r="ARK85" s="6"/>
      <c r="ARL85" s="6"/>
      <c r="ARM85" s="6"/>
      <c r="ARN85" s="6"/>
      <c r="ARO85" s="6"/>
      <c r="ARP85" s="6"/>
      <c r="ARQ85" s="6"/>
      <c r="ARR85" s="6"/>
      <c r="ARS85" s="6"/>
      <c r="ART85" s="6"/>
      <c r="ARU85" s="6"/>
      <c r="ARV85" s="6"/>
      <c r="ARW85" s="6"/>
      <c r="ARX85" s="6"/>
      <c r="ARY85" s="6"/>
      <c r="ARZ85" s="6"/>
      <c r="ASA85" s="6"/>
      <c r="ASB85" s="6"/>
      <c r="ASC85" s="6"/>
      <c r="ASD85" s="6"/>
      <c r="ASE85" s="6"/>
      <c r="ASF85" s="6"/>
      <c r="ASG85" s="6"/>
      <c r="ASH85" s="6"/>
      <c r="ASI85" s="6"/>
      <c r="ASJ85" s="6"/>
      <c r="ASK85" s="6"/>
      <c r="ASL85" s="6"/>
      <c r="ASM85" s="6"/>
      <c r="ASN85" s="6"/>
      <c r="ASO85" s="6"/>
      <c r="ASP85" s="6"/>
      <c r="ASQ85" s="6"/>
      <c r="ASR85" s="6"/>
      <c r="ASS85" s="6"/>
      <c r="AST85" s="6"/>
      <c r="ASU85" s="6"/>
      <c r="ASV85" s="6"/>
      <c r="ASW85" s="6"/>
      <c r="ASX85" s="6"/>
      <c r="ASY85" s="6"/>
      <c r="ASZ85" s="6"/>
      <c r="ATA85" s="6"/>
      <c r="ATB85" s="6"/>
      <c r="ATC85" s="6"/>
      <c r="ATD85" s="6"/>
      <c r="ATE85" s="6"/>
      <c r="ATF85" s="6"/>
      <c r="ATG85" s="6"/>
      <c r="ATH85" s="6"/>
      <c r="ATI85" s="6"/>
      <c r="ATJ85" s="6"/>
      <c r="ATK85" s="6"/>
      <c r="ATL85" s="6"/>
      <c r="ATM85" s="6"/>
      <c r="ATN85" s="6"/>
      <c r="ATO85" s="6"/>
      <c r="ATP85" s="6"/>
      <c r="ATQ85" s="6"/>
      <c r="ATR85" s="6"/>
      <c r="ATS85" s="6"/>
      <c r="ATT85" s="6"/>
      <c r="ATU85" s="6"/>
      <c r="ATV85" s="6"/>
      <c r="ATW85" s="6"/>
      <c r="ATX85" s="6"/>
      <c r="ATY85" s="6"/>
      <c r="ATZ85" s="6"/>
      <c r="AUA85" s="6"/>
      <c r="AUB85" s="6"/>
      <c r="AUC85" s="6"/>
      <c r="AUD85" s="6"/>
      <c r="AUE85" s="6"/>
      <c r="AUF85" s="6"/>
      <c r="AUG85" s="6"/>
      <c r="AUH85" s="6"/>
      <c r="AUI85" s="6"/>
      <c r="AUJ85" s="6"/>
      <c r="AUK85" s="6"/>
      <c r="AUL85" s="6"/>
      <c r="AUM85" s="6"/>
      <c r="AUN85" s="6"/>
      <c r="AUO85" s="6"/>
      <c r="AUP85" s="6"/>
      <c r="AUQ85" s="6"/>
      <c r="AUR85" s="6"/>
      <c r="AUS85" s="6"/>
      <c r="AUT85" s="6"/>
      <c r="AUU85" s="6"/>
      <c r="AUV85" s="6"/>
      <c r="AUW85" s="6"/>
      <c r="AUX85" s="6"/>
      <c r="AUY85" s="6"/>
      <c r="AUZ85" s="6"/>
      <c r="AVA85" s="6"/>
      <c r="AVB85" s="6"/>
      <c r="AVC85" s="6"/>
      <c r="AVD85" s="6"/>
      <c r="AVE85" s="6"/>
      <c r="AVF85" s="6"/>
      <c r="AVG85" s="6"/>
      <c r="AVH85" s="6"/>
      <c r="AVI85" s="6"/>
      <c r="AVJ85" s="6"/>
      <c r="AVK85" s="6"/>
      <c r="AVL85" s="6"/>
      <c r="AVM85" s="6"/>
      <c r="AVN85" s="6"/>
      <c r="AVO85" s="6"/>
      <c r="AVP85" s="6"/>
      <c r="AVQ85" s="6"/>
      <c r="AVR85" s="6"/>
      <c r="AVS85" s="6"/>
      <c r="AVT85" s="6"/>
      <c r="AVU85" s="6"/>
      <c r="AVV85" s="6"/>
      <c r="AVW85" s="6"/>
      <c r="AVX85" s="6"/>
      <c r="AVY85" s="6"/>
      <c r="AVZ85" s="6"/>
      <c r="AWA85" s="6"/>
      <c r="AWB85" s="6"/>
      <c r="AWC85" s="6"/>
      <c r="AWD85" s="6"/>
      <c r="AWE85" s="6"/>
      <c r="AWF85" s="6"/>
      <c r="AWG85" s="6"/>
      <c r="AWH85" s="6"/>
      <c r="AWI85" s="6"/>
      <c r="AWJ85" s="6"/>
      <c r="AWK85" s="6"/>
      <c r="AWL85" s="6"/>
      <c r="AWM85" s="6"/>
      <c r="AWN85" s="6"/>
      <c r="AWO85" s="6"/>
      <c r="AWP85" s="6"/>
      <c r="AWQ85" s="6"/>
      <c r="AWR85" s="6"/>
      <c r="AWS85" s="6"/>
      <c r="AWT85" s="6"/>
      <c r="AWU85" s="6"/>
      <c r="AWV85" s="6"/>
      <c r="AWW85" s="6"/>
      <c r="AWX85" s="6"/>
      <c r="AWY85" s="6"/>
      <c r="AWZ85" s="6"/>
      <c r="AXA85" s="6"/>
      <c r="AXB85" s="6"/>
      <c r="AXC85" s="6"/>
      <c r="AXD85" s="6"/>
      <c r="AXE85" s="6"/>
      <c r="AXF85" s="6"/>
      <c r="AXG85" s="6"/>
      <c r="AXH85" s="6"/>
      <c r="AXI85" s="6"/>
      <c r="AXJ85" s="6"/>
      <c r="AXK85" s="6"/>
      <c r="AXL85" s="6"/>
      <c r="AXM85" s="6"/>
      <c r="AXN85" s="6"/>
      <c r="AXO85" s="6"/>
      <c r="AXP85" s="6"/>
      <c r="AXQ85" s="6"/>
      <c r="AXR85" s="6"/>
      <c r="AXS85" s="6"/>
      <c r="AXT85" s="6"/>
      <c r="AXU85" s="6"/>
      <c r="AXV85" s="6"/>
      <c r="AXW85" s="6"/>
      <c r="AXX85" s="6"/>
      <c r="AXY85" s="6"/>
      <c r="AXZ85" s="6"/>
      <c r="AYA85" s="6"/>
      <c r="AYB85" s="6"/>
      <c r="AYC85" s="6"/>
      <c r="AYD85" s="6"/>
      <c r="AYE85" s="6"/>
      <c r="AYF85" s="6"/>
      <c r="AYG85" s="6"/>
      <c r="AYH85" s="6"/>
      <c r="AYI85" s="6"/>
      <c r="AYJ85" s="6"/>
      <c r="AYK85" s="6"/>
      <c r="AYL85" s="6"/>
      <c r="AYM85" s="6"/>
      <c r="AYN85" s="6"/>
      <c r="AYO85" s="6"/>
      <c r="AYP85" s="6"/>
      <c r="AYQ85" s="6"/>
      <c r="AYR85" s="6"/>
      <c r="AYS85" s="6"/>
      <c r="AYT85" s="6"/>
      <c r="AYU85" s="6"/>
      <c r="AYV85" s="6"/>
      <c r="AYW85" s="6"/>
      <c r="AYX85" s="6"/>
      <c r="AYY85" s="6"/>
      <c r="AYZ85" s="6"/>
      <c r="AZA85" s="6"/>
      <c r="AZB85" s="6"/>
      <c r="AZC85" s="6"/>
      <c r="AZD85" s="6"/>
      <c r="AZE85" s="6"/>
      <c r="AZF85" s="6"/>
      <c r="AZG85" s="6"/>
      <c r="AZH85" s="6"/>
      <c r="AZI85" s="6"/>
      <c r="AZJ85" s="6"/>
      <c r="AZK85" s="6"/>
      <c r="AZL85" s="6"/>
      <c r="AZM85" s="6"/>
      <c r="AZN85" s="6"/>
      <c r="AZO85" s="6"/>
      <c r="AZP85" s="6"/>
      <c r="AZQ85" s="6"/>
      <c r="AZR85" s="6"/>
      <c r="AZS85" s="6"/>
      <c r="AZT85" s="6"/>
      <c r="AZU85" s="6"/>
      <c r="AZV85" s="6"/>
      <c r="AZW85" s="6"/>
      <c r="AZX85" s="6"/>
      <c r="AZY85" s="6"/>
      <c r="AZZ85" s="6"/>
      <c r="BAA85" s="6"/>
      <c r="BAB85" s="6"/>
      <c r="BAC85" s="6"/>
      <c r="BAD85" s="6"/>
      <c r="BAE85" s="6"/>
      <c r="BAF85" s="6"/>
      <c r="BAG85" s="6"/>
      <c r="BAH85" s="6"/>
      <c r="BAI85" s="6"/>
      <c r="BAJ85" s="6"/>
      <c r="BAK85" s="6"/>
      <c r="BAL85" s="6"/>
      <c r="BAM85" s="6"/>
      <c r="BAN85" s="6"/>
      <c r="BAO85" s="6"/>
      <c r="BAP85" s="6"/>
      <c r="BAQ85" s="6"/>
      <c r="BAR85" s="6"/>
      <c r="BAS85" s="6"/>
      <c r="BAT85" s="6"/>
      <c r="BAU85" s="6"/>
      <c r="BAV85" s="6"/>
      <c r="BAW85" s="6"/>
      <c r="BAX85" s="6"/>
      <c r="BAY85" s="6"/>
      <c r="BAZ85" s="6"/>
      <c r="BBA85" s="6"/>
      <c r="BBB85" s="6"/>
      <c r="BBC85" s="6"/>
      <c r="BBD85" s="6"/>
      <c r="BBE85" s="6"/>
      <c r="BBF85" s="6"/>
      <c r="BBG85" s="6"/>
      <c r="BBH85" s="6"/>
      <c r="BBI85" s="6"/>
      <c r="BBJ85" s="6"/>
      <c r="BBK85" s="6"/>
      <c r="BBL85" s="6"/>
      <c r="BBM85" s="6"/>
      <c r="BBN85" s="6"/>
      <c r="BBO85" s="6"/>
      <c r="BBP85" s="6"/>
      <c r="BBQ85" s="6"/>
      <c r="BBR85" s="6"/>
      <c r="BBS85" s="6"/>
      <c r="BBT85" s="6"/>
      <c r="BBU85" s="6"/>
      <c r="BBV85" s="6"/>
      <c r="BBW85" s="6"/>
      <c r="BBX85" s="6"/>
      <c r="BBY85" s="6"/>
      <c r="BBZ85" s="6"/>
      <c r="BCA85" s="6"/>
      <c r="BCB85" s="6"/>
      <c r="BCC85" s="6"/>
      <c r="BCD85" s="6"/>
      <c r="BCE85" s="6"/>
      <c r="BCF85" s="6"/>
      <c r="BCG85" s="6"/>
      <c r="BCH85" s="6"/>
      <c r="BCI85" s="6"/>
      <c r="BCJ85" s="6"/>
      <c r="BCK85" s="6"/>
      <c r="BCL85" s="6"/>
      <c r="BCM85" s="6"/>
      <c r="BCN85" s="6"/>
      <c r="BCO85" s="6"/>
      <c r="BCP85" s="6"/>
      <c r="BCQ85" s="6"/>
      <c r="BCR85" s="6"/>
      <c r="BCS85" s="6"/>
      <c r="BCT85" s="6"/>
      <c r="BCU85" s="6"/>
      <c r="BCV85" s="6"/>
      <c r="BCW85" s="6"/>
      <c r="BCX85" s="6"/>
      <c r="BCY85" s="6"/>
      <c r="BCZ85" s="6"/>
      <c r="BDA85" s="6"/>
      <c r="BDB85" s="6"/>
      <c r="BDC85" s="6"/>
      <c r="BDD85" s="6"/>
      <c r="BDE85" s="6"/>
      <c r="BDF85" s="6"/>
      <c r="BDG85" s="6"/>
      <c r="BDH85" s="6"/>
      <c r="BDI85" s="6"/>
      <c r="BDJ85" s="6"/>
      <c r="BDK85" s="6"/>
      <c r="BDL85" s="6"/>
      <c r="BDM85" s="6"/>
      <c r="BDN85" s="6"/>
      <c r="BDO85" s="6"/>
      <c r="BDP85" s="6"/>
      <c r="BDQ85" s="6"/>
      <c r="BDR85" s="6"/>
      <c r="BDS85" s="6"/>
      <c r="BDT85" s="6"/>
      <c r="BDU85" s="6"/>
      <c r="BDV85" s="6"/>
      <c r="BDW85" s="6"/>
      <c r="BDX85" s="6"/>
      <c r="BDY85" s="6"/>
      <c r="BDZ85" s="6"/>
      <c r="BEA85" s="6"/>
      <c r="BEB85" s="6"/>
      <c r="BEC85" s="6"/>
      <c r="BED85" s="6"/>
      <c r="BEE85" s="6"/>
      <c r="BEF85" s="6"/>
      <c r="BEG85" s="6"/>
      <c r="BEH85" s="6"/>
      <c r="BEI85" s="6"/>
      <c r="BEJ85" s="6"/>
      <c r="BEK85" s="6"/>
      <c r="BEL85" s="6"/>
      <c r="BEM85" s="6"/>
      <c r="BEN85" s="6"/>
      <c r="BEO85" s="6"/>
      <c r="BEP85" s="6"/>
      <c r="BEQ85" s="6"/>
      <c r="BER85" s="6"/>
      <c r="BES85" s="6"/>
      <c r="BET85" s="6"/>
      <c r="BEU85" s="6"/>
      <c r="BEV85" s="6"/>
      <c r="BEW85" s="6"/>
      <c r="BEX85" s="6"/>
      <c r="BEY85" s="6"/>
      <c r="BEZ85" s="6"/>
      <c r="BFA85" s="6"/>
      <c r="BFB85" s="6"/>
      <c r="BFC85" s="6"/>
      <c r="BFD85" s="6"/>
      <c r="BFE85" s="6"/>
      <c r="BFF85" s="6"/>
      <c r="BFG85" s="6"/>
      <c r="BFH85" s="6"/>
      <c r="BFI85" s="6"/>
      <c r="BFJ85" s="6"/>
      <c r="BFK85" s="6"/>
      <c r="BFL85" s="6"/>
      <c r="BFM85" s="6"/>
      <c r="BFN85" s="6"/>
      <c r="BFO85" s="6"/>
      <c r="BFP85" s="6"/>
      <c r="BFQ85" s="6"/>
      <c r="BFR85" s="6"/>
      <c r="BFS85" s="6"/>
      <c r="BFT85" s="6"/>
      <c r="BFU85" s="6"/>
      <c r="BFV85" s="6"/>
      <c r="BFW85" s="6"/>
      <c r="BFX85" s="6"/>
      <c r="BFY85" s="6"/>
      <c r="BFZ85" s="6"/>
      <c r="BGA85" s="6"/>
      <c r="BGB85" s="6"/>
      <c r="BGC85" s="6"/>
      <c r="BGD85" s="6"/>
      <c r="BGE85" s="6"/>
      <c r="BGF85" s="6"/>
      <c r="BGG85" s="6"/>
      <c r="BGH85" s="6"/>
      <c r="BGI85" s="6"/>
      <c r="BGJ85" s="6"/>
      <c r="BGK85" s="6"/>
      <c r="BGL85" s="6"/>
      <c r="BGM85" s="6"/>
      <c r="BGN85" s="6"/>
      <c r="BGO85" s="6"/>
      <c r="BGP85" s="6"/>
      <c r="BGQ85" s="6"/>
      <c r="BGR85" s="6"/>
      <c r="BGS85" s="6"/>
      <c r="BGT85" s="6"/>
      <c r="BGU85" s="6"/>
      <c r="BGV85" s="6"/>
      <c r="BGW85" s="6"/>
      <c r="BGX85" s="6"/>
      <c r="BGY85" s="6"/>
      <c r="BGZ85" s="6"/>
      <c r="BHA85" s="6"/>
      <c r="BHB85" s="6"/>
      <c r="BHC85" s="6"/>
      <c r="BHD85" s="6"/>
      <c r="BHE85" s="6"/>
      <c r="BHF85" s="6"/>
      <c r="BHG85" s="6"/>
      <c r="BHH85" s="6"/>
      <c r="BHI85" s="6"/>
      <c r="BHJ85" s="6"/>
      <c r="BHK85" s="6"/>
      <c r="BHL85" s="6"/>
      <c r="BHM85" s="6"/>
      <c r="BHN85" s="6"/>
      <c r="BHO85" s="6"/>
      <c r="BHP85" s="6"/>
      <c r="BHQ85" s="6"/>
      <c r="BHR85" s="6"/>
      <c r="BHS85" s="6"/>
      <c r="BHT85" s="6"/>
      <c r="BHU85" s="6"/>
      <c r="BHV85" s="6"/>
      <c r="BHW85" s="6"/>
      <c r="BHX85" s="6"/>
      <c r="BHY85" s="6"/>
      <c r="BHZ85" s="6"/>
      <c r="BIA85" s="6"/>
      <c r="BIB85" s="6"/>
      <c r="BIC85" s="6"/>
      <c r="BID85" s="6"/>
      <c r="BIE85" s="6"/>
      <c r="BIF85" s="6"/>
      <c r="BIG85" s="6"/>
      <c r="BIH85" s="6"/>
      <c r="BII85" s="6"/>
      <c r="BIJ85" s="6"/>
      <c r="BIK85" s="6"/>
      <c r="BIL85" s="6"/>
      <c r="BIM85" s="6"/>
      <c r="BIN85" s="6"/>
      <c r="BIO85" s="6"/>
      <c r="BIP85" s="6"/>
      <c r="BIQ85" s="6"/>
      <c r="BIR85" s="6"/>
      <c r="BIS85" s="6"/>
      <c r="BIT85" s="6"/>
      <c r="BIU85" s="6"/>
      <c r="BIV85" s="6"/>
      <c r="BIW85" s="6"/>
      <c r="BIX85" s="6"/>
      <c r="BIY85" s="6"/>
      <c r="BIZ85" s="6"/>
      <c r="BJA85" s="6"/>
      <c r="BJB85" s="6"/>
      <c r="BJC85" s="6"/>
      <c r="BJD85" s="6"/>
      <c r="BJE85" s="6"/>
      <c r="BJF85" s="6"/>
      <c r="BJG85" s="6"/>
      <c r="BJH85" s="6"/>
      <c r="BJI85" s="6"/>
      <c r="BJJ85" s="6"/>
      <c r="BJK85" s="6"/>
      <c r="BJL85" s="6"/>
      <c r="BJM85" s="6"/>
      <c r="BJN85" s="6"/>
      <c r="BJO85" s="6"/>
      <c r="BJP85" s="6"/>
      <c r="BJQ85" s="6"/>
      <c r="BJR85" s="6"/>
      <c r="BJS85" s="6"/>
      <c r="BJT85" s="6"/>
      <c r="BJU85" s="6"/>
      <c r="BJV85" s="6"/>
      <c r="BJW85" s="6"/>
      <c r="BJX85" s="6"/>
      <c r="BJY85" s="6"/>
      <c r="BJZ85" s="6"/>
      <c r="BKA85" s="6"/>
      <c r="BKB85" s="6"/>
      <c r="BKC85" s="6"/>
      <c r="BKD85" s="6"/>
      <c r="BKE85" s="6"/>
      <c r="BKF85" s="6"/>
      <c r="BKG85" s="6"/>
      <c r="BKH85" s="6"/>
      <c r="BKI85" s="6"/>
      <c r="BKJ85" s="6"/>
      <c r="BKK85" s="6"/>
      <c r="BKL85" s="6"/>
      <c r="BKM85" s="6"/>
      <c r="BKN85" s="6"/>
      <c r="BKO85" s="6"/>
      <c r="BKP85" s="6"/>
      <c r="BKQ85" s="6"/>
      <c r="BKR85" s="6"/>
      <c r="BKS85" s="6"/>
      <c r="BKT85" s="6"/>
      <c r="BKU85" s="6"/>
      <c r="BKV85" s="6"/>
      <c r="BKW85" s="6"/>
      <c r="BKX85" s="6"/>
      <c r="BKY85" s="6"/>
      <c r="BKZ85" s="6"/>
      <c r="BLA85" s="6"/>
      <c r="BLB85" s="6"/>
      <c r="BLC85" s="6"/>
      <c r="BLD85" s="6"/>
      <c r="BLE85" s="6"/>
      <c r="BLF85" s="6"/>
      <c r="BLG85" s="6"/>
      <c r="BLH85" s="6"/>
      <c r="BLI85" s="6"/>
      <c r="BLJ85" s="6"/>
      <c r="BLK85" s="6"/>
      <c r="BLL85" s="6"/>
      <c r="BLM85" s="6"/>
      <c r="BLN85" s="6"/>
      <c r="BLO85" s="6"/>
      <c r="BLP85" s="6"/>
      <c r="BLQ85" s="6"/>
      <c r="BLR85" s="6"/>
      <c r="BLS85" s="6"/>
      <c r="BLT85" s="6"/>
      <c r="BLU85" s="6"/>
      <c r="BLV85" s="6"/>
      <c r="BLW85" s="6"/>
      <c r="BLX85" s="6"/>
      <c r="BLY85" s="6"/>
      <c r="BLZ85" s="6"/>
      <c r="BMA85" s="6"/>
      <c r="BMB85" s="6"/>
      <c r="BMC85" s="6"/>
      <c r="BMD85" s="6"/>
      <c r="BME85" s="6"/>
      <c r="BMF85" s="6"/>
      <c r="BMG85" s="6"/>
      <c r="BMH85" s="6"/>
      <c r="BMI85" s="6"/>
      <c r="BMJ85" s="6"/>
      <c r="BMK85" s="6"/>
      <c r="BML85" s="6"/>
      <c r="BMM85" s="6"/>
      <c r="BMN85" s="6"/>
      <c r="BMO85" s="6"/>
      <c r="BMP85" s="6"/>
      <c r="BMQ85" s="6"/>
      <c r="BMR85" s="6"/>
      <c r="BMS85" s="6"/>
      <c r="BMT85" s="6"/>
      <c r="BMU85" s="6"/>
      <c r="BMV85" s="6"/>
      <c r="BMW85" s="6"/>
      <c r="BMX85" s="6"/>
      <c r="BMY85" s="6"/>
      <c r="BMZ85" s="6"/>
      <c r="BNA85" s="6"/>
      <c r="BNB85" s="6"/>
      <c r="BNC85" s="6"/>
      <c r="BND85" s="6"/>
      <c r="BNE85" s="6"/>
      <c r="BNF85" s="6"/>
      <c r="BNG85" s="6"/>
      <c r="BNH85" s="6"/>
      <c r="BNI85" s="6"/>
      <c r="BNJ85" s="6"/>
      <c r="BNK85" s="6"/>
      <c r="BNL85" s="6"/>
      <c r="BNM85" s="6"/>
      <c r="BNN85" s="6"/>
      <c r="BNO85" s="6"/>
      <c r="BNP85" s="6"/>
      <c r="BNQ85" s="6"/>
      <c r="BNR85" s="6"/>
      <c r="BNS85" s="6"/>
      <c r="BNT85" s="6"/>
      <c r="BNU85" s="6"/>
      <c r="BNV85" s="6"/>
      <c r="BNW85" s="6"/>
      <c r="BNX85" s="6"/>
      <c r="BNY85" s="6"/>
      <c r="BNZ85" s="6"/>
      <c r="BOA85" s="6"/>
      <c r="BOB85" s="6"/>
      <c r="BOC85" s="6"/>
      <c r="BOD85" s="6"/>
      <c r="BOE85" s="6"/>
      <c r="BOF85" s="6"/>
      <c r="BOG85" s="6"/>
      <c r="BOH85" s="6"/>
      <c r="BOI85" s="6"/>
      <c r="BOJ85" s="6"/>
      <c r="BOK85" s="6"/>
      <c r="BOL85" s="6"/>
      <c r="BOM85" s="6"/>
      <c r="BON85" s="6"/>
      <c r="BOO85" s="6"/>
      <c r="BOP85" s="6"/>
      <c r="BOQ85" s="6"/>
      <c r="BOR85" s="6"/>
      <c r="BOS85" s="6"/>
      <c r="BOT85" s="6"/>
      <c r="BOU85" s="6"/>
      <c r="BOV85" s="6"/>
      <c r="BOW85" s="6"/>
      <c r="BOX85" s="6"/>
      <c r="BOY85" s="6"/>
      <c r="BOZ85" s="6"/>
      <c r="BPA85" s="6"/>
      <c r="BPB85" s="6"/>
      <c r="BPC85" s="6"/>
      <c r="BPD85" s="6"/>
      <c r="BPE85" s="6"/>
      <c r="BPF85" s="6"/>
      <c r="BPG85" s="6"/>
      <c r="BPH85" s="6"/>
      <c r="BPI85" s="6"/>
      <c r="BPJ85" s="6"/>
      <c r="BPK85" s="6"/>
      <c r="BPL85" s="6"/>
      <c r="BPM85" s="6"/>
      <c r="BPN85" s="6"/>
      <c r="BPO85" s="6"/>
      <c r="BPP85" s="6"/>
      <c r="BPQ85" s="6"/>
      <c r="BPR85" s="6"/>
      <c r="BPS85" s="6"/>
      <c r="BPT85" s="6"/>
      <c r="BPU85" s="6"/>
      <c r="BPV85" s="6"/>
      <c r="BPW85" s="6"/>
      <c r="BPX85" s="6"/>
      <c r="BPY85" s="6"/>
      <c r="BPZ85" s="6"/>
      <c r="BQA85" s="6"/>
      <c r="BQB85" s="6"/>
      <c r="BQC85" s="6"/>
      <c r="BQD85" s="6"/>
      <c r="BQE85" s="6"/>
      <c r="BQF85" s="6"/>
      <c r="BQG85" s="6"/>
      <c r="BQH85" s="6"/>
      <c r="BQI85" s="6"/>
      <c r="BQJ85" s="6"/>
      <c r="BQK85" s="6"/>
      <c r="BQL85" s="6"/>
      <c r="BQM85" s="6"/>
      <c r="BQN85" s="6"/>
      <c r="BQO85" s="6"/>
      <c r="BQP85" s="6"/>
      <c r="BQQ85" s="6"/>
      <c r="BQR85" s="6"/>
      <c r="BQS85" s="6"/>
      <c r="BQT85" s="6"/>
      <c r="BQU85" s="6"/>
      <c r="BQV85" s="6"/>
      <c r="BQW85" s="6"/>
      <c r="BQX85" s="6"/>
      <c r="BQY85" s="6"/>
      <c r="BQZ85" s="6"/>
      <c r="BRA85" s="6"/>
      <c r="BRB85" s="6"/>
      <c r="BRC85" s="6"/>
      <c r="BRD85" s="6"/>
      <c r="BRE85" s="6"/>
      <c r="BRF85" s="6"/>
      <c r="BRG85" s="6"/>
      <c r="BRH85" s="6"/>
      <c r="BRI85" s="6"/>
      <c r="BRJ85" s="6"/>
      <c r="BRK85" s="6"/>
      <c r="BRL85" s="6"/>
      <c r="BRM85" s="6"/>
      <c r="BRN85" s="6"/>
      <c r="BRO85" s="6"/>
      <c r="BRP85" s="6"/>
      <c r="BRQ85" s="6"/>
      <c r="BRR85" s="6"/>
      <c r="BRS85" s="6"/>
      <c r="BRT85" s="6"/>
      <c r="BRU85" s="6"/>
      <c r="BRV85" s="6"/>
      <c r="BRW85" s="6"/>
      <c r="BRX85" s="6"/>
      <c r="BRY85" s="6"/>
      <c r="BRZ85" s="6"/>
      <c r="BSA85" s="6"/>
      <c r="BSB85" s="6"/>
      <c r="BSC85" s="6"/>
      <c r="BSD85" s="6"/>
      <c r="BSE85" s="6"/>
      <c r="BSF85" s="6"/>
      <c r="BSG85" s="6"/>
      <c r="BSH85" s="6"/>
      <c r="BSI85" s="6"/>
      <c r="BSJ85" s="6"/>
      <c r="BSK85" s="6"/>
      <c r="BSL85" s="6"/>
      <c r="BSM85" s="6"/>
      <c r="BSN85" s="6"/>
      <c r="BSO85" s="6"/>
      <c r="BSP85" s="6"/>
      <c r="BSQ85" s="6"/>
      <c r="BSR85" s="6"/>
      <c r="BSS85" s="6"/>
      <c r="BST85" s="6"/>
      <c r="BSU85" s="6"/>
      <c r="BSV85" s="6"/>
      <c r="BSW85" s="6"/>
      <c r="BSX85" s="6"/>
      <c r="BSY85" s="6"/>
      <c r="BSZ85" s="6"/>
      <c r="BTA85" s="6"/>
      <c r="BTB85" s="6"/>
      <c r="BTC85" s="6"/>
      <c r="BTD85" s="6"/>
      <c r="BTE85" s="6"/>
      <c r="BTF85" s="6"/>
      <c r="BTG85" s="6"/>
      <c r="BTH85" s="6"/>
      <c r="BTI85" s="6"/>
      <c r="BTJ85" s="6"/>
      <c r="BTK85" s="6"/>
      <c r="BTL85" s="6"/>
      <c r="BTM85" s="6"/>
      <c r="BTN85" s="6"/>
      <c r="BTO85" s="6"/>
      <c r="BTP85" s="6"/>
      <c r="BTQ85" s="6"/>
      <c r="BTR85" s="6"/>
      <c r="BTS85" s="6"/>
      <c r="BTT85" s="6"/>
      <c r="BTU85" s="6"/>
      <c r="BTV85" s="6"/>
      <c r="BTW85" s="6"/>
      <c r="BTX85" s="6"/>
      <c r="BTY85" s="6"/>
      <c r="BTZ85" s="6"/>
      <c r="BUA85" s="6"/>
      <c r="BUB85" s="6"/>
      <c r="BUC85" s="6"/>
      <c r="BUD85" s="6"/>
      <c r="BUE85" s="6"/>
      <c r="BUF85" s="6"/>
      <c r="BUG85" s="6"/>
      <c r="BUH85" s="6"/>
      <c r="BUI85" s="6"/>
      <c r="BUJ85" s="6"/>
      <c r="BUK85" s="6"/>
      <c r="BUL85" s="6"/>
      <c r="BUM85" s="6"/>
      <c r="BUN85" s="6"/>
      <c r="BUO85" s="6"/>
      <c r="BUP85" s="6"/>
      <c r="BUQ85" s="6"/>
      <c r="BUR85" s="6"/>
      <c r="BUS85" s="6"/>
      <c r="BUT85" s="6"/>
      <c r="BUU85" s="6"/>
      <c r="BUV85" s="6"/>
      <c r="BUW85" s="6"/>
      <c r="BUX85" s="6"/>
      <c r="BUY85" s="6"/>
      <c r="BUZ85" s="6"/>
      <c r="BVA85" s="6"/>
      <c r="BVB85" s="6"/>
      <c r="BVC85" s="6"/>
      <c r="BVD85" s="6"/>
      <c r="BVE85" s="6"/>
      <c r="BVF85" s="6"/>
      <c r="BVG85" s="6"/>
      <c r="BVH85" s="6"/>
      <c r="BVI85" s="6"/>
      <c r="BVJ85" s="6"/>
      <c r="BVK85" s="6"/>
      <c r="BVL85" s="6"/>
      <c r="BVM85" s="6"/>
      <c r="BVN85" s="6"/>
      <c r="BVO85" s="6"/>
      <c r="BVP85" s="6"/>
      <c r="BVQ85" s="6"/>
      <c r="BVR85" s="6"/>
      <c r="BVS85" s="6"/>
      <c r="BVT85" s="6"/>
      <c r="BVU85" s="6"/>
      <c r="BVV85" s="6"/>
      <c r="BVW85" s="6"/>
      <c r="BVX85" s="6"/>
      <c r="BVY85" s="6"/>
      <c r="BVZ85" s="6"/>
      <c r="BWA85" s="6"/>
      <c r="BWB85" s="6"/>
      <c r="BWC85" s="6"/>
      <c r="BWD85" s="6"/>
      <c r="BWE85" s="6"/>
      <c r="BWF85" s="6"/>
      <c r="BWG85" s="6"/>
      <c r="BWH85" s="6"/>
      <c r="BWI85" s="6"/>
      <c r="BWJ85" s="6"/>
      <c r="BWK85" s="6"/>
      <c r="BWL85" s="6"/>
      <c r="BWM85" s="6"/>
      <c r="BWN85" s="6"/>
      <c r="BWO85" s="6"/>
      <c r="BWP85" s="6"/>
      <c r="BWQ85" s="6"/>
      <c r="BWR85" s="6"/>
      <c r="BWS85" s="6"/>
      <c r="BWT85" s="6"/>
      <c r="BWU85" s="6"/>
      <c r="BWV85" s="6"/>
      <c r="BWW85" s="6"/>
      <c r="BWX85" s="6"/>
      <c r="BWY85" s="6"/>
      <c r="BWZ85" s="6"/>
      <c r="BXA85" s="6"/>
      <c r="BXB85" s="6"/>
      <c r="BXC85" s="6"/>
      <c r="BXD85" s="6"/>
      <c r="BXE85" s="6"/>
      <c r="BXF85" s="6"/>
      <c r="BXG85" s="6"/>
      <c r="BXH85" s="6"/>
      <c r="BXI85" s="6"/>
      <c r="BXJ85" s="6"/>
      <c r="BXK85" s="6"/>
      <c r="BXL85" s="6"/>
      <c r="BXM85" s="6"/>
      <c r="BXN85" s="6"/>
      <c r="BXO85" s="6"/>
      <c r="BXP85" s="6"/>
      <c r="BXQ85" s="6"/>
      <c r="BXR85" s="6"/>
      <c r="BXS85" s="6"/>
      <c r="BXT85" s="6"/>
      <c r="BXU85" s="6"/>
      <c r="BXV85" s="6"/>
      <c r="BXW85" s="6"/>
      <c r="BXX85" s="6"/>
      <c r="BXY85" s="6"/>
      <c r="BXZ85" s="6"/>
      <c r="BYA85" s="6"/>
      <c r="BYB85" s="6"/>
      <c r="BYC85" s="6"/>
      <c r="BYD85" s="6"/>
      <c r="BYE85" s="6"/>
      <c r="BYF85" s="6"/>
      <c r="BYG85" s="6"/>
      <c r="BYH85" s="6"/>
      <c r="BYI85" s="6"/>
      <c r="BYJ85" s="6"/>
      <c r="BYK85" s="6"/>
      <c r="BYL85" s="6"/>
      <c r="BYM85" s="6"/>
      <c r="BYN85" s="6"/>
      <c r="BYO85" s="6"/>
      <c r="BYP85" s="6"/>
      <c r="BYQ85" s="6"/>
      <c r="BYR85" s="6"/>
      <c r="BYS85" s="6"/>
      <c r="BYT85" s="6"/>
      <c r="BYU85" s="6"/>
      <c r="BYV85" s="6"/>
      <c r="BYW85" s="6"/>
      <c r="BYX85" s="6"/>
      <c r="BYY85" s="6"/>
      <c r="BYZ85" s="6"/>
      <c r="BZA85" s="6"/>
      <c r="BZB85" s="6"/>
      <c r="BZC85" s="6"/>
      <c r="BZD85" s="6"/>
      <c r="BZE85" s="6"/>
      <c r="BZF85" s="6"/>
      <c r="BZG85" s="6"/>
      <c r="BZH85" s="6"/>
      <c r="BZI85" s="6"/>
      <c r="BZJ85" s="6"/>
      <c r="BZK85" s="6"/>
      <c r="BZL85" s="6"/>
      <c r="BZM85" s="6"/>
      <c r="BZN85" s="6"/>
      <c r="BZO85" s="6"/>
      <c r="BZP85" s="6"/>
      <c r="BZQ85" s="6"/>
      <c r="BZR85" s="6"/>
      <c r="BZS85" s="6"/>
      <c r="BZT85" s="6"/>
      <c r="BZU85" s="6"/>
      <c r="BZV85" s="6"/>
      <c r="BZW85" s="6"/>
      <c r="BZX85" s="6"/>
      <c r="BZY85" s="6"/>
      <c r="BZZ85" s="6"/>
      <c r="CAA85" s="6"/>
      <c r="CAB85" s="6"/>
      <c r="CAC85" s="6"/>
      <c r="CAD85" s="6"/>
      <c r="CAE85" s="6"/>
      <c r="CAF85" s="6"/>
      <c r="CAG85" s="6"/>
      <c r="CAH85" s="6"/>
      <c r="CAI85" s="6"/>
      <c r="CAJ85" s="6"/>
      <c r="CAK85" s="6"/>
      <c r="CAL85" s="6"/>
      <c r="CAM85" s="6"/>
      <c r="CAN85" s="6"/>
      <c r="CAO85" s="6"/>
      <c r="CAP85" s="6"/>
      <c r="CAQ85" s="6"/>
      <c r="CAR85" s="6"/>
      <c r="CAS85" s="6"/>
      <c r="CAT85" s="6"/>
      <c r="CAU85" s="6"/>
      <c r="CAV85" s="6"/>
      <c r="CAW85" s="6"/>
      <c r="CAX85" s="6"/>
      <c r="CAY85" s="6"/>
      <c r="CAZ85" s="6"/>
      <c r="CBA85" s="6"/>
      <c r="CBB85" s="6"/>
      <c r="CBC85" s="6"/>
      <c r="CBD85" s="6"/>
      <c r="CBE85" s="6"/>
      <c r="CBF85" s="6"/>
      <c r="CBG85" s="6"/>
      <c r="CBH85" s="6"/>
      <c r="CBI85" s="6"/>
      <c r="CBJ85" s="6"/>
      <c r="CBK85" s="6"/>
      <c r="CBL85" s="6"/>
      <c r="CBM85" s="6"/>
      <c r="CBN85" s="6"/>
      <c r="CBO85" s="6"/>
      <c r="CBP85" s="6"/>
      <c r="CBQ85" s="6"/>
      <c r="CBR85" s="6"/>
      <c r="CBS85" s="6"/>
      <c r="CBT85" s="6"/>
      <c r="CBU85" s="6"/>
      <c r="CBV85" s="6"/>
      <c r="CBW85" s="6"/>
      <c r="CBX85" s="6"/>
      <c r="CBY85" s="6"/>
      <c r="CBZ85" s="6"/>
      <c r="CCA85" s="6"/>
      <c r="CCB85" s="6"/>
      <c r="CCC85" s="6"/>
      <c r="CCD85" s="6"/>
      <c r="CCE85" s="6"/>
      <c r="CCF85" s="6"/>
      <c r="CCG85" s="6"/>
      <c r="CCH85" s="6"/>
      <c r="CCI85" s="6"/>
      <c r="CCJ85" s="6"/>
      <c r="CCK85" s="6"/>
      <c r="CCL85" s="6"/>
      <c r="CCM85" s="6"/>
      <c r="CCN85" s="6"/>
      <c r="CCO85" s="6"/>
      <c r="CCP85" s="6"/>
      <c r="CCQ85" s="6"/>
      <c r="CCR85" s="6"/>
      <c r="CCS85" s="6"/>
      <c r="CCT85" s="6"/>
      <c r="CCU85" s="6"/>
      <c r="CCV85" s="6"/>
      <c r="CCW85" s="6"/>
      <c r="CCX85" s="6"/>
      <c r="CCY85" s="6"/>
      <c r="CCZ85" s="6"/>
      <c r="CDA85" s="6"/>
      <c r="CDB85" s="6"/>
      <c r="CDC85" s="6"/>
      <c r="CDD85" s="6"/>
      <c r="CDE85" s="6"/>
      <c r="CDF85" s="6"/>
      <c r="CDG85" s="6"/>
      <c r="CDH85" s="6"/>
      <c r="CDI85" s="6"/>
      <c r="CDJ85" s="6"/>
      <c r="CDK85" s="6"/>
      <c r="CDL85" s="6"/>
      <c r="CDM85" s="6"/>
      <c r="CDN85" s="6"/>
      <c r="CDO85" s="6"/>
      <c r="CDP85" s="6"/>
      <c r="CDQ85" s="6"/>
      <c r="CDR85" s="6"/>
      <c r="CDS85" s="6"/>
      <c r="CDT85" s="6"/>
      <c r="CDU85" s="6"/>
      <c r="CDV85" s="6"/>
      <c r="CDW85" s="6"/>
      <c r="CDX85" s="6"/>
      <c r="CDY85" s="6"/>
      <c r="CDZ85" s="6"/>
      <c r="CEA85" s="6"/>
      <c r="CEB85" s="6"/>
      <c r="CEC85" s="6"/>
      <c r="CED85" s="6"/>
      <c r="CEE85" s="6"/>
      <c r="CEF85" s="6"/>
      <c r="CEG85" s="6"/>
      <c r="CEH85" s="6"/>
      <c r="CEI85" s="6"/>
      <c r="CEJ85" s="6"/>
      <c r="CEK85" s="6"/>
      <c r="CEL85" s="6"/>
      <c r="CEM85" s="6"/>
      <c r="CEN85" s="6"/>
      <c r="CEO85" s="6"/>
      <c r="CEP85" s="6"/>
      <c r="CEQ85" s="6"/>
      <c r="CER85" s="6"/>
      <c r="CES85" s="6"/>
      <c r="CET85" s="6"/>
      <c r="CEU85" s="6"/>
      <c r="CEV85" s="6"/>
      <c r="CEW85" s="6"/>
      <c r="CEX85" s="6"/>
      <c r="CEY85" s="6"/>
      <c r="CEZ85" s="6"/>
      <c r="CFA85" s="6"/>
      <c r="CFB85" s="6"/>
      <c r="CFC85" s="6"/>
      <c r="CFD85" s="6"/>
      <c r="CFE85" s="6"/>
      <c r="CFF85" s="6"/>
      <c r="CFG85" s="6"/>
      <c r="CFH85" s="6"/>
      <c r="CFI85" s="6"/>
      <c r="CFJ85" s="6"/>
      <c r="CFK85" s="6"/>
      <c r="CFL85" s="6"/>
      <c r="CFM85" s="6"/>
      <c r="CFN85" s="6"/>
      <c r="CFO85" s="6"/>
      <c r="CFP85" s="6"/>
      <c r="CFQ85" s="6"/>
      <c r="CFR85" s="6"/>
      <c r="CFS85" s="6"/>
      <c r="CFT85" s="6"/>
      <c r="CFU85" s="6"/>
      <c r="CFV85" s="6"/>
      <c r="CFW85" s="6"/>
      <c r="CFX85" s="6"/>
      <c r="CFY85" s="6"/>
      <c r="CFZ85" s="6"/>
      <c r="CGA85" s="6"/>
      <c r="CGB85" s="6"/>
      <c r="CGC85" s="6"/>
      <c r="CGD85" s="6"/>
      <c r="CGE85" s="6"/>
      <c r="CGF85" s="6"/>
      <c r="CGG85" s="6"/>
      <c r="CGH85" s="6"/>
      <c r="CGI85" s="6"/>
      <c r="CGJ85" s="6"/>
      <c r="CGK85" s="6"/>
      <c r="CGL85" s="6"/>
      <c r="CGM85" s="6"/>
      <c r="CGN85" s="6"/>
      <c r="CGO85" s="6"/>
      <c r="CGP85" s="6"/>
      <c r="CGQ85" s="6"/>
      <c r="CGR85" s="6"/>
      <c r="CGS85" s="6"/>
      <c r="CGT85" s="6"/>
      <c r="CGU85" s="6"/>
      <c r="CGV85" s="6"/>
      <c r="CGW85" s="6"/>
      <c r="CGX85" s="6"/>
      <c r="CGY85" s="6"/>
      <c r="CGZ85" s="6"/>
      <c r="CHA85" s="6"/>
      <c r="CHB85" s="6"/>
      <c r="CHC85" s="6"/>
      <c r="CHD85" s="6"/>
      <c r="CHE85" s="6"/>
      <c r="CHF85" s="6"/>
      <c r="CHG85" s="6"/>
      <c r="CHH85" s="6"/>
      <c r="CHI85" s="6"/>
      <c r="CHJ85" s="6"/>
      <c r="CHK85" s="6"/>
      <c r="CHL85" s="6"/>
      <c r="CHM85" s="6"/>
      <c r="CHN85" s="6"/>
      <c r="CHO85" s="6"/>
      <c r="CHP85" s="6"/>
      <c r="CHQ85" s="6"/>
      <c r="CHR85" s="6"/>
      <c r="CHS85" s="6"/>
      <c r="CHT85" s="6"/>
      <c r="CHU85" s="6"/>
      <c r="CHV85" s="6"/>
      <c r="CHW85" s="6"/>
      <c r="CHX85" s="6"/>
      <c r="CHY85" s="6"/>
      <c r="CHZ85" s="6"/>
      <c r="CIA85" s="6"/>
      <c r="CIB85" s="6"/>
      <c r="CIC85" s="6"/>
      <c r="CID85" s="6"/>
      <c r="CIE85" s="6"/>
      <c r="CIF85" s="6"/>
      <c r="CIG85" s="6"/>
      <c r="CIH85" s="6"/>
      <c r="CII85" s="6"/>
      <c r="CIJ85" s="6"/>
      <c r="CIK85" s="6"/>
      <c r="CIL85" s="6"/>
      <c r="CIM85" s="6"/>
      <c r="CIN85" s="6"/>
      <c r="CIO85" s="6"/>
      <c r="CIP85" s="6"/>
      <c r="CIQ85" s="6"/>
      <c r="CIR85" s="6"/>
      <c r="CIS85" s="6"/>
      <c r="CIT85" s="6"/>
      <c r="CIU85" s="6"/>
      <c r="CIV85" s="6"/>
      <c r="CIW85" s="6"/>
      <c r="CIX85" s="6"/>
      <c r="CIY85" s="6"/>
      <c r="CIZ85" s="6"/>
      <c r="CJA85" s="6"/>
      <c r="CJB85" s="6"/>
      <c r="CJC85" s="6"/>
      <c r="CJD85" s="6"/>
      <c r="CJE85" s="6"/>
      <c r="CJF85" s="6"/>
      <c r="CJG85" s="6"/>
      <c r="CJH85" s="6"/>
      <c r="CJI85" s="6"/>
      <c r="CJJ85" s="6"/>
      <c r="CJK85" s="6"/>
      <c r="CJL85" s="6"/>
      <c r="CJM85" s="6"/>
      <c r="CJN85" s="6"/>
      <c r="CJO85" s="6"/>
      <c r="CJP85" s="6"/>
      <c r="CJQ85" s="6"/>
      <c r="CJR85" s="6"/>
      <c r="CJS85" s="6"/>
      <c r="CJT85" s="6"/>
      <c r="CJU85" s="6"/>
      <c r="CJV85" s="6"/>
      <c r="CJW85" s="6"/>
      <c r="CJX85" s="6"/>
      <c r="CJY85" s="6"/>
      <c r="CJZ85" s="6"/>
      <c r="CKA85" s="6"/>
      <c r="CKB85" s="6"/>
      <c r="CKC85" s="6"/>
      <c r="CKD85" s="6"/>
      <c r="CKE85" s="6"/>
      <c r="CKF85" s="6"/>
      <c r="CKG85" s="6"/>
      <c r="CKH85" s="6"/>
      <c r="CKI85" s="6"/>
      <c r="CKJ85" s="6"/>
      <c r="CKK85" s="6"/>
      <c r="CKL85" s="6"/>
      <c r="CKM85" s="6"/>
      <c r="CKN85" s="6"/>
      <c r="CKO85" s="6"/>
      <c r="CKP85" s="6"/>
      <c r="CKQ85" s="6"/>
      <c r="CKR85" s="6"/>
      <c r="CKS85" s="6"/>
      <c r="CKT85" s="6"/>
      <c r="CKU85" s="6"/>
      <c r="CKV85" s="6"/>
      <c r="CKW85" s="6"/>
      <c r="CKX85" s="6"/>
      <c r="CKY85" s="6"/>
      <c r="CKZ85" s="6"/>
      <c r="CLA85" s="6"/>
      <c r="CLB85" s="6"/>
      <c r="CLC85" s="6"/>
      <c r="CLD85" s="6"/>
      <c r="CLE85" s="6"/>
      <c r="CLF85" s="6"/>
      <c r="CLG85" s="6"/>
      <c r="CLH85" s="6"/>
      <c r="CLI85" s="6"/>
      <c r="CLJ85" s="6"/>
      <c r="CLK85" s="6"/>
      <c r="CLL85" s="6"/>
      <c r="CLM85" s="6"/>
      <c r="CLN85" s="6"/>
      <c r="CLO85" s="6"/>
      <c r="CLP85" s="6"/>
      <c r="CLQ85" s="6"/>
      <c r="CLR85" s="6"/>
      <c r="CLS85" s="6"/>
      <c r="CLT85" s="6"/>
      <c r="CLU85" s="6"/>
      <c r="CLV85" s="6"/>
      <c r="CLW85" s="6"/>
      <c r="CLX85" s="6"/>
      <c r="CLY85" s="6"/>
      <c r="CLZ85" s="6"/>
      <c r="CMA85" s="6"/>
      <c r="CMB85" s="6"/>
      <c r="CMC85" s="6"/>
      <c r="CMD85" s="6"/>
      <c r="CME85" s="6"/>
      <c r="CMF85" s="6"/>
      <c r="CMG85" s="6"/>
      <c r="CMH85" s="6"/>
      <c r="CMI85" s="6"/>
      <c r="CMJ85" s="6"/>
      <c r="CMK85" s="6"/>
      <c r="CML85" s="6"/>
      <c r="CMM85" s="6"/>
      <c r="CMN85" s="6"/>
      <c r="CMO85" s="6"/>
      <c r="CMP85" s="6"/>
      <c r="CMQ85" s="6"/>
      <c r="CMR85" s="6"/>
      <c r="CMS85" s="6"/>
      <c r="CMT85" s="6"/>
      <c r="CMU85" s="6"/>
      <c r="CMV85" s="6"/>
      <c r="CMW85" s="6"/>
      <c r="CMX85" s="6"/>
      <c r="CMY85" s="6"/>
      <c r="CMZ85" s="6"/>
      <c r="CNA85" s="6"/>
      <c r="CNB85" s="6"/>
      <c r="CNC85" s="6"/>
      <c r="CND85" s="6"/>
      <c r="CNE85" s="6"/>
      <c r="CNF85" s="6"/>
      <c r="CNG85" s="6"/>
      <c r="CNH85" s="6"/>
      <c r="CNI85" s="6"/>
      <c r="CNJ85" s="6"/>
      <c r="CNK85" s="6"/>
      <c r="CNL85" s="6"/>
      <c r="CNM85" s="6"/>
      <c r="CNN85" s="6"/>
      <c r="CNO85" s="6"/>
      <c r="CNP85" s="6"/>
      <c r="CNQ85" s="6"/>
      <c r="CNR85" s="6"/>
      <c r="CNS85" s="6"/>
      <c r="CNT85" s="6"/>
      <c r="CNU85" s="6"/>
      <c r="CNV85" s="6"/>
      <c r="CNW85" s="6"/>
      <c r="CNX85" s="6"/>
      <c r="CNY85" s="6"/>
      <c r="CNZ85" s="6"/>
      <c r="COA85" s="6"/>
      <c r="COB85" s="6"/>
      <c r="COC85" s="6"/>
      <c r="COD85" s="6"/>
      <c r="COE85" s="6"/>
      <c r="COF85" s="6"/>
      <c r="COG85" s="6"/>
      <c r="COH85" s="6"/>
      <c r="COI85" s="6"/>
      <c r="COJ85" s="6"/>
      <c r="COK85" s="6"/>
      <c r="COL85" s="6"/>
      <c r="COM85" s="6"/>
      <c r="CON85" s="6"/>
      <c r="COO85" s="6"/>
      <c r="COP85" s="6"/>
      <c r="COQ85" s="6"/>
      <c r="COR85" s="6"/>
      <c r="COS85" s="6"/>
      <c r="COT85" s="6"/>
      <c r="COU85" s="6"/>
      <c r="COV85" s="6"/>
      <c r="COW85" s="6"/>
      <c r="COX85" s="6"/>
      <c r="COY85" s="6"/>
      <c r="COZ85" s="6"/>
      <c r="CPA85" s="6"/>
      <c r="CPB85" s="6"/>
      <c r="CPC85" s="6"/>
      <c r="CPD85" s="6"/>
      <c r="CPE85" s="6"/>
      <c r="CPF85" s="6"/>
      <c r="CPG85" s="6"/>
      <c r="CPH85" s="6"/>
      <c r="CPI85" s="6"/>
      <c r="CPJ85" s="6"/>
      <c r="CPK85" s="6"/>
      <c r="CPL85" s="6"/>
      <c r="CPM85" s="6"/>
      <c r="CPN85" s="6"/>
      <c r="CPO85" s="6"/>
      <c r="CPP85" s="6"/>
      <c r="CPQ85" s="6"/>
      <c r="CPR85" s="6"/>
      <c r="CPS85" s="6"/>
      <c r="CPT85" s="6"/>
      <c r="CPU85" s="6"/>
      <c r="CPV85" s="6"/>
      <c r="CPW85" s="6"/>
      <c r="CPX85" s="6"/>
      <c r="CPY85" s="6"/>
      <c r="CPZ85" s="6"/>
      <c r="CQA85" s="6"/>
      <c r="CQB85" s="6"/>
      <c r="CQC85" s="6"/>
      <c r="CQD85" s="6"/>
      <c r="CQE85" s="6"/>
      <c r="CQF85" s="6"/>
      <c r="CQG85" s="6"/>
      <c r="CQH85" s="6"/>
      <c r="CQI85" s="6"/>
      <c r="CQJ85" s="6"/>
      <c r="CQK85" s="6"/>
      <c r="CQL85" s="6"/>
      <c r="CQM85" s="6"/>
      <c r="CQN85" s="6"/>
      <c r="CQO85" s="6"/>
      <c r="CQP85" s="6"/>
      <c r="CQQ85" s="6"/>
      <c r="CQR85" s="6"/>
      <c r="CQS85" s="6"/>
      <c r="CQT85" s="6"/>
      <c r="CQU85" s="6"/>
      <c r="CQV85" s="6"/>
      <c r="CQW85" s="6"/>
      <c r="CQX85" s="6"/>
      <c r="CQY85" s="6"/>
      <c r="CQZ85" s="6"/>
      <c r="CRA85" s="6"/>
      <c r="CRB85" s="6"/>
      <c r="CRC85" s="6"/>
      <c r="CRD85" s="6"/>
      <c r="CRE85" s="6"/>
      <c r="CRF85" s="6"/>
      <c r="CRG85" s="6"/>
      <c r="CRH85" s="6"/>
      <c r="CRI85" s="6"/>
      <c r="CRJ85" s="6"/>
      <c r="CRK85" s="6"/>
      <c r="CRL85" s="6"/>
      <c r="CRM85" s="6"/>
      <c r="CRN85" s="6"/>
      <c r="CRO85" s="6"/>
      <c r="CRP85" s="6"/>
      <c r="CRQ85" s="6"/>
      <c r="CRR85" s="6"/>
      <c r="CRS85" s="6"/>
      <c r="CRT85" s="6"/>
      <c r="CRU85" s="6"/>
      <c r="CRV85" s="6"/>
      <c r="CRW85" s="6"/>
      <c r="CRX85" s="6"/>
      <c r="CRY85" s="6"/>
      <c r="CRZ85" s="6"/>
      <c r="CSA85" s="6"/>
      <c r="CSB85" s="6"/>
      <c r="CSC85" s="6"/>
      <c r="CSD85" s="6"/>
      <c r="CSE85" s="6"/>
      <c r="CSF85" s="6"/>
      <c r="CSG85" s="6"/>
      <c r="CSH85" s="6"/>
      <c r="CSI85" s="6"/>
      <c r="CSJ85" s="6"/>
      <c r="CSK85" s="6"/>
      <c r="CSL85" s="6"/>
      <c r="CSM85" s="6"/>
      <c r="CSN85" s="6"/>
      <c r="CSO85" s="6"/>
      <c r="CSP85" s="6"/>
      <c r="CSQ85" s="6"/>
      <c r="CSR85" s="6"/>
      <c r="CSS85" s="6"/>
      <c r="CST85" s="6"/>
      <c r="CSU85" s="6"/>
      <c r="CSV85" s="6"/>
      <c r="CSW85" s="6"/>
      <c r="CSX85" s="6"/>
      <c r="CSY85" s="6"/>
      <c r="CSZ85" s="6"/>
      <c r="CTA85" s="6"/>
      <c r="CTB85" s="6"/>
      <c r="CTC85" s="6"/>
      <c r="CTD85" s="6"/>
      <c r="CTE85" s="6"/>
      <c r="CTF85" s="6"/>
      <c r="CTG85" s="6"/>
      <c r="CTH85" s="6"/>
      <c r="CTI85" s="6"/>
      <c r="CTJ85" s="6"/>
      <c r="CTK85" s="6"/>
      <c r="CTL85" s="6"/>
      <c r="CTM85" s="6"/>
      <c r="CTN85" s="6"/>
      <c r="CTO85" s="6"/>
      <c r="CTP85" s="6"/>
      <c r="CTQ85" s="6"/>
      <c r="CTR85" s="6"/>
      <c r="CTS85" s="6"/>
      <c r="CTT85" s="6"/>
      <c r="CTU85" s="6"/>
      <c r="CTV85" s="6"/>
      <c r="CTW85" s="6"/>
      <c r="CTX85" s="6"/>
      <c r="CTY85" s="6"/>
      <c r="CTZ85" s="6"/>
      <c r="CUA85" s="6"/>
      <c r="CUB85" s="6"/>
      <c r="CUC85" s="6"/>
      <c r="CUD85" s="6"/>
      <c r="CUE85" s="6"/>
      <c r="CUF85" s="6"/>
      <c r="CUG85" s="6"/>
      <c r="CUH85" s="6"/>
      <c r="CUI85" s="6"/>
      <c r="CUJ85" s="6"/>
      <c r="CUK85" s="6"/>
      <c r="CUL85" s="6"/>
      <c r="CUM85" s="6"/>
      <c r="CUN85" s="6"/>
      <c r="CUO85" s="6"/>
      <c r="CUP85" s="6"/>
      <c r="CUQ85" s="6"/>
      <c r="CUR85" s="6"/>
      <c r="CUS85" s="6"/>
      <c r="CUT85" s="6"/>
      <c r="CUU85" s="6"/>
      <c r="CUV85" s="6"/>
      <c r="CUW85" s="6"/>
      <c r="CUX85" s="6"/>
      <c r="CUY85" s="6"/>
      <c r="CUZ85" s="6"/>
      <c r="CVA85" s="6"/>
      <c r="CVB85" s="6"/>
      <c r="CVC85" s="6"/>
      <c r="CVD85" s="6"/>
      <c r="CVE85" s="6"/>
      <c r="CVF85" s="6"/>
      <c r="CVG85" s="6"/>
      <c r="CVH85" s="6"/>
      <c r="CVI85" s="6"/>
      <c r="CVJ85" s="6"/>
      <c r="CVK85" s="6"/>
      <c r="CVL85" s="6"/>
      <c r="CVM85" s="6"/>
      <c r="CVN85" s="6"/>
      <c r="CVO85" s="6"/>
      <c r="CVP85" s="6"/>
      <c r="CVQ85" s="6"/>
      <c r="CVR85" s="6"/>
      <c r="CVS85" s="6"/>
      <c r="CVT85" s="6"/>
      <c r="CVU85" s="6"/>
      <c r="CVV85" s="6"/>
      <c r="CVW85" s="6"/>
      <c r="CVX85" s="6"/>
      <c r="CVY85" s="6"/>
      <c r="CVZ85" s="6"/>
      <c r="CWA85" s="6"/>
      <c r="CWB85" s="6"/>
      <c r="CWC85" s="6"/>
      <c r="CWD85" s="6"/>
      <c r="CWE85" s="6"/>
      <c r="CWF85" s="6"/>
      <c r="CWG85" s="6"/>
      <c r="CWH85" s="6"/>
      <c r="CWI85" s="6"/>
      <c r="CWJ85" s="6"/>
      <c r="CWK85" s="6"/>
      <c r="CWL85" s="6"/>
      <c r="CWM85" s="6"/>
      <c r="CWN85" s="6"/>
      <c r="CWO85" s="6"/>
      <c r="CWP85" s="6"/>
      <c r="CWQ85" s="6"/>
      <c r="CWR85" s="6"/>
      <c r="CWS85" s="6"/>
      <c r="CWT85" s="6"/>
      <c r="CWU85" s="6"/>
      <c r="CWV85" s="6"/>
      <c r="CWW85" s="6"/>
      <c r="CWX85" s="6"/>
      <c r="CWY85" s="6"/>
      <c r="CWZ85" s="6"/>
      <c r="CXA85" s="6"/>
      <c r="CXB85" s="6"/>
      <c r="CXC85" s="6"/>
      <c r="CXD85" s="6"/>
      <c r="CXE85" s="6"/>
      <c r="CXF85" s="6"/>
      <c r="CXG85" s="6"/>
      <c r="CXH85" s="6"/>
      <c r="CXI85" s="6"/>
      <c r="CXJ85" s="6"/>
      <c r="CXK85" s="6"/>
      <c r="CXL85" s="6"/>
      <c r="CXM85" s="6"/>
      <c r="CXN85" s="6"/>
      <c r="CXO85" s="6"/>
      <c r="CXP85" s="6"/>
      <c r="CXQ85" s="6"/>
      <c r="CXR85" s="6"/>
      <c r="CXS85" s="6"/>
      <c r="CXT85" s="6"/>
      <c r="CXU85" s="6"/>
      <c r="CXV85" s="6"/>
      <c r="CXW85" s="6"/>
      <c r="CXX85" s="6"/>
      <c r="CXY85" s="6"/>
      <c r="CXZ85" s="6"/>
      <c r="CYA85" s="6"/>
      <c r="CYB85" s="6"/>
      <c r="CYC85" s="6"/>
      <c r="CYD85" s="6"/>
      <c r="CYE85" s="6"/>
      <c r="CYF85" s="6"/>
      <c r="CYG85" s="6"/>
      <c r="CYH85" s="6"/>
      <c r="CYI85" s="6"/>
      <c r="CYJ85" s="6"/>
      <c r="CYK85" s="6"/>
      <c r="CYL85" s="6"/>
      <c r="CYM85" s="6"/>
      <c r="CYN85" s="6"/>
      <c r="CYO85" s="6"/>
      <c r="CYP85" s="6"/>
      <c r="CYQ85" s="6"/>
      <c r="CYR85" s="6"/>
      <c r="CYS85" s="6"/>
      <c r="CYT85" s="6"/>
      <c r="CYU85" s="6"/>
      <c r="CYV85" s="6"/>
      <c r="CYW85" s="6"/>
      <c r="CYX85" s="6"/>
      <c r="CYY85" s="6"/>
      <c r="CYZ85" s="6"/>
      <c r="CZA85" s="6"/>
      <c r="CZB85" s="6"/>
      <c r="CZC85" s="6"/>
      <c r="CZD85" s="6"/>
      <c r="CZE85" s="6"/>
      <c r="CZF85" s="6"/>
      <c r="CZG85" s="6"/>
      <c r="CZH85" s="6"/>
      <c r="CZI85" s="6"/>
      <c r="CZJ85" s="6"/>
      <c r="CZK85" s="6"/>
      <c r="CZL85" s="6"/>
      <c r="CZM85" s="6"/>
      <c r="CZN85" s="6"/>
      <c r="CZO85" s="6"/>
      <c r="CZP85" s="6"/>
      <c r="CZQ85" s="6"/>
      <c r="CZR85" s="6"/>
      <c r="CZS85" s="6"/>
      <c r="CZT85" s="6"/>
      <c r="CZU85" s="6"/>
      <c r="CZV85" s="6"/>
      <c r="CZW85" s="6"/>
      <c r="CZX85" s="6"/>
      <c r="CZY85" s="6"/>
      <c r="CZZ85" s="6"/>
      <c r="DAA85" s="6"/>
      <c r="DAB85" s="6"/>
      <c r="DAC85" s="6"/>
      <c r="DAD85" s="6"/>
      <c r="DAE85" s="6"/>
      <c r="DAF85" s="6"/>
      <c r="DAG85" s="6"/>
      <c r="DAH85" s="6"/>
      <c r="DAI85" s="6"/>
      <c r="DAJ85" s="6"/>
      <c r="DAK85" s="6"/>
      <c r="DAL85" s="6"/>
      <c r="DAM85" s="6"/>
      <c r="DAN85" s="6"/>
      <c r="DAO85" s="6"/>
      <c r="DAP85" s="6"/>
      <c r="DAQ85" s="6"/>
      <c r="DAR85" s="6"/>
      <c r="DAS85" s="6"/>
      <c r="DAT85" s="6"/>
      <c r="DAU85" s="6"/>
      <c r="DAV85" s="6"/>
      <c r="DAW85" s="6"/>
      <c r="DAX85" s="6"/>
      <c r="DAY85" s="6"/>
      <c r="DAZ85" s="6"/>
      <c r="DBA85" s="6"/>
      <c r="DBB85" s="6"/>
      <c r="DBC85" s="6"/>
      <c r="DBD85" s="6"/>
      <c r="DBE85" s="6"/>
      <c r="DBF85" s="6"/>
      <c r="DBG85" s="6"/>
      <c r="DBH85" s="6"/>
      <c r="DBI85" s="6"/>
      <c r="DBJ85" s="6"/>
      <c r="DBK85" s="6"/>
      <c r="DBL85" s="6"/>
      <c r="DBM85" s="6"/>
      <c r="DBN85" s="6"/>
      <c r="DBO85" s="6"/>
      <c r="DBP85" s="6"/>
      <c r="DBQ85" s="6"/>
      <c r="DBR85" s="6"/>
      <c r="DBS85" s="6"/>
      <c r="DBT85" s="6"/>
      <c r="DBU85" s="6"/>
      <c r="DBV85" s="6"/>
      <c r="DBW85" s="6"/>
      <c r="DBX85" s="6"/>
      <c r="DBY85" s="6"/>
      <c r="DBZ85" s="6"/>
      <c r="DCA85" s="6"/>
      <c r="DCB85" s="6"/>
      <c r="DCC85" s="6"/>
      <c r="DCD85" s="6"/>
      <c r="DCE85" s="6"/>
      <c r="DCF85" s="6"/>
      <c r="DCG85" s="6"/>
      <c r="DCH85" s="6"/>
      <c r="DCI85" s="6"/>
      <c r="DCJ85" s="6"/>
      <c r="DCK85" s="6"/>
      <c r="DCL85" s="6"/>
      <c r="DCM85" s="6"/>
      <c r="DCN85" s="6"/>
      <c r="DCO85" s="6"/>
      <c r="DCP85" s="6"/>
      <c r="DCQ85" s="6"/>
      <c r="DCR85" s="6"/>
      <c r="DCS85" s="6"/>
      <c r="DCT85" s="6"/>
      <c r="DCU85" s="6"/>
      <c r="DCV85" s="6"/>
      <c r="DCW85" s="6"/>
      <c r="DCX85" s="6"/>
      <c r="DCY85" s="6"/>
      <c r="DCZ85" s="6"/>
      <c r="DDA85" s="6"/>
      <c r="DDB85" s="6"/>
      <c r="DDC85" s="6"/>
      <c r="DDD85" s="6"/>
      <c r="DDE85" s="6"/>
      <c r="DDF85" s="6"/>
      <c r="DDG85" s="6"/>
      <c r="DDH85" s="6"/>
      <c r="DDI85" s="6"/>
      <c r="DDJ85" s="6"/>
      <c r="DDK85" s="6"/>
      <c r="DDL85" s="6"/>
      <c r="DDM85" s="6"/>
      <c r="DDN85" s="6"/>
      <c r="DDO85" s="6"/>
      <c r="DDP85" s="6"/>
      <c r="DDQ85" s="6"/>
      <c r="DDR85" s="6"/>
      <c r="DDS85" s="6"/>
      <c r="DDT85" s="6"/>
      <c r="DDU85" s="6"/>
      <c r="DDV85" s="6"/>
      <c r="DDW85" s="6"/>
      <c r="DDX85" s="6"/>
      <c r="DDY85" s="6"/>
      <c r="DDZ85" s="6"/>
      <c r="DEA85" s="6"/>
      <c r="DEB85" s="6"/>
      <c r="DEC85" s="6"/>
      <c r="DED85" s="6"/>
      <c r="DEE85" s="6"/>
      <c r="DEF85" s="6"/>
      <c r="DEG85" s="6"/>
      <c r="DEH85" s="6"/>
      <c r="DEI85" s="6"/>
      <c r="DEJ85" s="6"/>
      <c r="DEK85" s="6"/>
      <c r="DEL85" s="6"/>
      <c r="DEM85" s="6"/>
      <c r="DEN85" s="6"/>
      <c r="DEO85" s="6"/>
      <c r="DEP85" s="6"/>
      <c r="DEQ85" s="6"/>
      <c r="DER85" s="6"/>
      <c r="DES85" s="6"/>
      <c r="DET85" s="6"/>
      <c r="DEU85" s="6"/>
      <c r="DEV85" s="6"/>
      <c r="DEW85" s="6"/>
      <c r="DEX85" s="6"/>
      <c r="DEY85" s="6"/>
      <c r="DEZ85" s="6"/>
      <c r="DFA85" s="6"/>
      <c r="DFB85" s="6"/>
      <c r="DFC85" s="6"/>
      <c r="DFD85" s="6"/>
      <c r="DFE85" s="6"/>
      <c r="DFF85" s="6"/>
      <c r="DFG85" s="6"/>
      <c r="DFH85" s="6"/>
      <c r="DFI85" s="6"/>
      <c r="DFJ85" s="6"/>
      <c r="DFK85" s="6"/>
      <c r="DFL85" s="6"/>
      <c r="DFM85" s="6"/>
      <c r="DFN85" s="6"/>
      <c r="DFO85" s="6"/>
      <c r="DFP85" s="6"/>
      <c r="DFQ85" s="6"/>
      <c r="DFR85" s="6"/>
      <c r="DFS85" s="6"/>
      <c r="DFT85" s="6"/>
      <c r="DFU85" s="6"/>
      <c r="DFV85" s="6"/>
      <c r="DFW85" s="6"/>
      <c r="DFX85" s="6"/>
      <c r="DFY85" s="6"/>
      <c r="DFZ85" s="6"/>
      <c r="DGA85" s="6"/>
      <c r="DGB85" s="6"/>
      <c r="DGC85" s="6"/>
      <c r="DGD85" s="6"/>
      <c r="DGE85" s="6"/>
      <c r="DGF85" s="6"/>
      <c r="DGG85" s="6"/>
      <c r="DGH85" s="6"/>
      <c r="DGI85" s="6"/>
      <c r="DGJ85" s="6"/>
      <c r="DGK85" s="6"/>
      <c r="DGL85" s="6"/>
      <c r="DGM85" s="6"/>
      <c r="DGN85" s="6"/>
      <c r="DGO85" s="6"/>
      <c r="DGP85" s="6"/>
      <c r="DGQ85" s="6"/>
      <c r="DGR85" s="6"/>
      <c r="DGS85" s="6"/>
      <c r="DGT85" s="6"/>
      <c r="DGU85" s="6"/>
      <c r="DGV85" s="6"/>
      <c r="DGW85" s="6"/>
      <c r="DGX85" s="6"/>
      <c r="DGY85" s="6"/>
      <c r="DGZ85" s="6"/>
      <c r="DHA85" s="6"/>
      <c r="DHB85" s="6"/>
      <c r="DHC85" s="6"/>
      <c r="DHD85" s="6"/>
      <c r="DHE85" s="6"/>
      <c r="DHF85" s="6"/>
      <c r="DHG85" s="6"/>
      <c r="DHH85" s="6"/>
      <c r="DHI85" s="6"/>
      <c r="DHJ85" s="6"/>
      <c r="DHK85" s="6"/>
      <c r="DHL85" s="6"/>
      <c r="DHM85" s="6"/>
      <c r="DHN85" s="6"/>
      <c r="DHO85" s="6"/>
      <c r="DHP85" s="6"/>
      <c r="DHQ85" s="6"/>
      <c r="DHR85" s="6"/>
      <c r="DHS85" s="6"/>
      <c r="DHT85" s="6"/>
      <c r="DHU85" s="6"/>
      <c r="DHV85" s="6"/>
      <c r="DHW85" s="6"/>
      <c r="DHX85" s="6"/>
      <c r="DHY85" s="6"/>
      <c r="DHZ85" s="6"/>
      <c r="DIA85" s="6"/>
      <c r="DIB85" s="6"/>
      <c r="DIC85" s="6"/>
      <c r="DID85" s="6"/>
      <c r="DIE85" s="6"/>
      <c r="DIF85" s="6"/>
      <c r="DIG85" s="6"/>
      <c r="DIH85" s="6"/>
      <c r="DII85" s="6"/>
      <c r="DIJ85" s="6"/>
      <c r="DIK85" s="6"/>
      <c r="DIL85" s="6"/>
      <c r="DIM85" s="6"/>
      <c r="DIN85" s="6"/>
      <c r="DIO85" s="6"/>
      <c r="DIP85" s="6"/>
      <c r="DIQ85" s="6"/>
      <c r="DIR85" s="6"/>
      <c r="DIS85" s="6"/>
      <c r="DIT85" s="6"/>
      <c r="DIU85" s="6"/>
      <c r="DIV85" s="6"/>
      <c r="DIW85" s="6"/>
      <c r="DIX85" s="6"/>
      <c r="DIY85" s="6"/>
      <c r="DIZ85" s="6"/>
      <c r="DJA85" s="6"/>
      <c r="DJB85" s="6"/>
      <c r="DJC85" s="6"/>
      <c r="DJD85" s="6"/>
      <c r="DJE85" s="6"/>
      <c r="DJF85" s="6"/>
      <c r="DJG85" s="6"/>
      <c r="DJH85" s="6"/>
      <c r="DJI85" s="6"/>
      <c r="DJJ85" s="6"/>
      <c r="DJK85" s="6"/>
      <c r="DJL85" s="6"/>
      <c r="DJM85" s="6"/>
      <c r="DJN85" s="6"/>
      <c r="DJO85" s="6"/>
      <c r="DJP85" s="6"/>
      <c r="DJQ85" s="6"/>
      <c r="DJR85" s="6"/>
      <c r="DJS85" s="6"/>
      <c r="DJT85" s="6"/>
      <c r="DJU85" s="6"/>
      <c r="DJV85" s="6"/>
      <c r="DJW85" s="6"/>
      <c r="DJX85" s="6"/>
      <c r="DJY85" s="6"/>
      <c r="DJZ85" s="6"/>
      <c r="DKA85" s="6"/>
      <c r="DKB85" s="6"/>
      <c r="DKC85" s="6"/>
      <c r="DKD85" s="6"/>
      <c r="DKE85" s="6"/>
      <c r="DKF85" s="6"/>
      <c r="DKG85" s="6"/>
      <c r="DKH85" s="6"/>
      <c r="DKI85" s="6"/>
      <c r="DKJ85" s="6"/>
      <c r="DKK85" s="6"/>
      <c r="DKL85" s="6"/>
      <c r="DKM85" s="6"/>
      <c r="DKN85" s="6"/>
      <c r="DKO85" s="6"/>
      <c r="DKP85" s="6"/>
      <c r="DKQ85" s="6"/>
      <c r="DKR85" s="6"/>
      <c r="DKS85" s="6"/>
      <c r="DKT85" s="6"/>
      <c r="DKU85" s="6"/>
      <c r="DKV85" s="6"/>
      <c r="DKW85" s="6"/>
      <c r="DKX85" s="6"/>
      <c r="DKY85" s="6"/>
      <c r="DKZ85" s="6"/>
      <c r="DLA85" s="6"/>
      <c r="DLB85" s="6"/>
      <c r="DLC85" s="6"/>
      <c r="DLD85" s="6"/>
      <c r="DLE85" s="6"/>
      <c r="DLF85" s="6"/>
      <c r="DLG85" s="6"/>
      <c r="DLH85" s="6"/>
      <c r="DLI85" s="6"/>
      <c r="DLJ85" s="6"/>
      <c r="DLK85" s="6"/>
      <c r="DLL85" s="6"/>
      <c r="DLM85" s="6"/>
      <c r="DLN85" s="6"/>
      <c r="DLO85" s="6"/>
      <c r="DLP85" s="6"/>
      <c r="DLQ85" s="6"/>
      <c r="DLR85" s="6"/>
      <c r="DLS85" s="6"/>
      <c r="DLT85" s="6"/>
      <c r="DLU85" s="6"/>
      <c r="DLV85" s="6"/>
      <c r="DLW85" s="6"/>
      <c r="DLX85" s="6"/>
      <c r="DLY85" s="6"/>
      <c r="DLZ85" s="6"/>
      <c r="DMA85" s="6"/>
      <c r="DMB85" s="6"/>
      <c r="DMC85" s="6"/>
      <c r="DMD85" s="6"/>
      <c r="DME85" s="6"/>
      <c r="DMF85" s="6"/>
      <c r="DMG85" s="6"/>
      <c r="DMH85" s="6"/>
      <c r="DMI85" s="6"/>
      <c r="DMJ85" s="6"/>
      <c r="DMK85" s="6"/>
      <c r="DML85" s="6"/>
      <c r="DMM85" s="6"/>
      <c r="DMN85" s="6"/>
      <c r="DMO85" s="6"/>
      <c r="DMP85" s="6"/>
      <c r="DMQ85" s="6"/>
      <c r="DMR85" s="6"/>
      <c r="DMS85" s="6"/>
      <c r="DMT85" s="6"/>
      <c r="DMU85" s="6"/>
      <c r="DMV85" s="6"/>
      <c r="DMW85" s="6"/>
      <c r="DMX85" s="6"/>
      <c r="DMY85" s="6"/>
      <c r="DMZ85" s="6"/>
      <c r="DNA85" s="6"/>
      <c r="DNB85" s="6"/>
      <c r="DNC85" s="6"/>
      <c r="DND85" s="6"/>
      <c r="DNE85" s="6"/>
      <c r="DNF85" s="6"/>
      <c r="DNG85" s="6"/>
      <c r="DNH85" s="6"/>
      <c r="DNI85" s="6"/>
      <c r="DNJ85" s="6"/>
      <c r="DNK85" s="6"/>
      <c r="DNL85" s="6"/>
      <c r="DNM85" s="6"/>
      <c r="DNN85" s="6"/>
      <c r="DNO85" s="6"/>
      <c r="DNP85" s="6"/>
      <c r="DNQ85" s="6"/>
      <c r="DNR85" s="6"/>
      <c r="DNS85" s="6"/>
      <c r="DNT85" s="6"/>
      <c r="DNU85" s="6"/>
      <c r="DNV85" s="6"/>
      <c r="DNW85" s="6"/>
      <c r="DNX85" s="6"/>
      <c r="DNY85" s="6"/>
      <c r="DNZ85" s="6"/>
      <c r="DOA85" s="6"/>
      <c r="DOB85" s="6"/>
      <c r="DOC85" s="6"/>
      <c r="DOD85" s="6"/>
      <c r="DOE85" s="6"/>
      <c r="DOF85" s="6"/>
      <c r="DOG85" s="6"/>
      <c r="DOH85" s="6"/>
      <c r="DOI85" s="6"/>
      <c r="DOJ85" s="6"/>
      <c r="DOK85" s="6"/>
      <c r="DOL85" s="6"/>
      <c r="DOM85" s="6"/>
      <c r="DON85" s="6"/>
      <c r="DOO85" s="6"/>
      <c r="DOP85" s="6"/>
      <c r="DOQ85" s="6"/>
      <c r="DOR85" s="6"/>
      <c r="DOS85" s="6"/>
      <c r="DOT85" s="6"/>
      <c r="DOU85" s="6"/>
      <c r="DOV85" s="6"/>
      <c r="DOW85" s="6"/>
      <c r="DOX85" s="6"/>
      <c r="DOY85" s="6"/>
      <c r="DOZ85" s="6"/>
      <c r="DPA85" s="6"/>
      <c r="DPB85" s="6"/>
      <c r="DPC85" s="6"/>
      <c r="DPD85" s="6"/>
      <c r="DPE85" s="6"/>
      <c r="DPF85" s="6"/>
      <c r="DPG85" s="6"/>
      <c r="DPH85" s="6"/>
      <c r="DPI85" s="6"/>
      <c r="DPJ85" s="6"/>
      <c r="DPK85" s="6"/>
      <c r="DPL85" s="6"/>
      <c r="DPM85" s="6"/>
      <c r="DPN85" s="6"/>
      <c r="DPO85" s="6"/>
      <c r="DPP85" s="6"/>
      <c r="DPQ85" s="6"/>
      <c r="DPR85" s="6"/>
      <c r="DPS85" s="6"/>
      <c r="DPT85" s="6"/>
      <c r="DPU85" s="6"/>
      <c r="DPV85" s="6"/>
      <c r="DPW85" s="6"/>
      <c r="DPX85" s="6"/>
      <c r="DPY85" s="6"/>
      <c r="DPZ85" s="6"/>
      <c r="DQA85" s="6"/>
      <c r="DQB85" s="6"/>
      <c r="DQC85" s="6"/>
      <c r="DQD85" s="6"/>
      <c r="DQE85" s="6"/>
      <c r="DQF85" s="6"/>
      <c r="DQG85" s="6"/>
      <c r="DQH85" s="6"/>
      <c r="DQI85" s="6"/>
      <c r="DQJ85" s="6"/>
      <c r="DQK85" s="6"/>
      <c r="DQL85" s="6"/>
      <c r="DQM85" s="6"/>
      <c r="DQN85" s="6"/>
      <c r="DQO85" s="6"/>
      <c r="DQP85" s="6"/>
      <c r="DQQ85" s="6"/>
      <c r="DQR85" s="6"/>
      <c r="DQS85" s="6"/>
      <c r="DQT85" s="6"/>
      <c r="DQU85" s="6"/>
      <c r="DQV85" s="6"/>
      <c r="DQW85" s="6"/>
      <c r="DQX85" s="6"/>
      <c r="DQY85" s="6"/>
      <c r="DQZ85" s="6"/>
      <c r="DRA85" s="6"/>
      <c r="DRB85" s="6"/>
      <c r="DRC85" s="6"/>
      <c r="DRD85" s="6"/>
      <c r="DRE85" s="6"/>
      <c r="DRF85" s="6"/>
      <c r="DRG85" s="6"/>
      <c r="DRH85" s="6"/>
      <c r="DRI85" s="6"/>
      <c r="DRJ85" s="6"/>
      <c r="DRK85" s="6"/>
      <c r="DRL85" s="6"/>
      <c r="DRM85" s="6"/>
      <c r="DRN85" s="6"/>
      <c r="DRO85" s="6"/>
      <c r="DRP85" s="6"/>
      <c r="DRQ85" s="6"/>
      <c r="DRR85" s="6"/>
      <c r="DRS85" s="6"/>
      <c r="DRT85" s="6"/>
      <c r="DRU85" s="6"/>
      <c r="DRV85" s="6"/>
      <c r="DRW85" s="6"/>
      <c r="DRX85" s="6"/>
      <c r="DRY85" s="6"/>
      <c r="DRZ85" s="6"/>
      <c r="DSA85" s="6"/>
      <c r="DSB85" s="6"/>
      <c r="DSC85" s="6"/>
      <c r="DSD85" s="6"/>
      <c r="DSE85" s="6"/>
      <c r="DSF85" s="6"/>
      <c r="DSG85" s="6"/>
      <c r="DSH85" s="6"/>
      <c r="DSI85" s="6"/>
      <c r="DSJ85" s="6"/>
      <c r="DSK85" s="6"/>
      <c r="DSL85" s="6"/>
      <c r="DSM85" s="6"/>
      <c r="DSN85" s="6"/>
      <c r="DSO85" s="6"/>
      <c r="DSP85" s="6"/>
      <c r="DSQ85" s="6"/>
      <c r="DSR85" s="6"/>
      <c r="DSS85" s="6"/>
      <c r="DST85" s="6"/>
      <c r="DSU85" s="6"/>
      <c r="DSV85" s="6"/>
      <c r="DSW85" s="6"/>
      <c r="DSX85" s="6"/>
      <c r="DSY85" s="6"/>
      <c r="DSZ85" s="6"/>
      <c r="DTA85" s="6"/>
      <c r="DTB85" s="6"/>
      <c r="DTC85" s="6"/>
      <c r="DTD85" s="6"/>
      <c r="DTE85" s="6"/>
      <c r="DTF85" s="6"/>
      <c r="DTG85" s="6"/>
      <c r="DTH85" s="6"/>
      <c r="DTI85" s="6"/>
      <c r="DTJ85" s="6"/>
      <c r="DTK85" s="6"/>
      <c r="DTL85" s="6"/>
      <c r="DTM85" s="6"/>
      <c r="DTN85" s="6"/>
      <c r="DTO85" s="6"/>
      <c r="DTP85" s="6"/>
      <c r="DTQ85" s="6"/>
      <c r="DTR85" s="6"/>
      <c r="DTS85" s="6"/>
      <c r="DTT85" s="6"/>
      <c r="DTU85" s="6"/>
      <c r="DTV85" s="6"/>
      <c r="DTW85" s="6"/>
      <c r="DTX85" s="6"/>
      <c r="DTY85" s="6"/>
      <c r="DTZ85" s="6"/>
      <c r="DUA85" s="6"/>
      <c r="DUB85" s="6"/>
      <c r="DUC85" s="6"/>
      <c r="DUD85" s="6"/>
      <c r="DUE85" s="6"/>
      <c r="DUF85" s="6"/>
      <c r="DUG85" s="6"/>
      <c r="DUH85" s="6"/>
      <c r="DUI85" s="6"/>
      <c r="DUJ85" s="6"/>
      <c r="DUK85" s="6"/>
      <c r="DUL85" s="6"/>
      <c r="DUM85" s="6"/>
      <c r="DUN85" s="6"/>
      <c r="DUO85" s="6"/>
      <c r="DUP85" s="6"/>
      <c r="DUQ85" s="6"/>
      <c r="DUR85" s="6"/>
      <c r="DUS85" s="6"/>
      <c r="DUT85" s="6"/>
      <c r="DUU85" s="6"/>
      <c r="DUV85" s="6"/>
      <c r="DUW85" s="6"/>
      <c r="DUX85" s="6"/>
      <c r="DUY85" s="6"/>
      <c r="DUZ85" s="6"/>
      <c r="DVA85" s="6"/>
      <c r="DVB85" s="6"/>
      <c r="DVC85" s="6"/>
      <c r="DVD85" s="6"/>
      <c r="DVE85" s="6"/>
      <c r="DVF85" s="6"/>
      <c r="DVG85" s="6"/>
      <c r="DVH85" s="6"/>
      <c r="DVI85" s="6"/>
      <c r="DVJ85" s="6"/>
      <c r="DVK85" s="6"/>
      <c r="DVL85" s="6"/>
      <c r="DVM85" s="6"/>
      <c r="DVN85" s="6"/>
      <c r="DVO85" s="6"/>
      <c r="DVP85" s="6"/>
      <c r="DVQ85" s="6"/>
      <c r="DVR85" s="6"/>
      <c r="DVS85" s="6"/>
      <c r="DVT85" s="6"/>
      <c r="DVU85" s="6"/>
      <c r="DVV85" s="6"/>
      <c r="DVW85" s="6"/>
      <c r="DVX85" s="6"/>
      <c r="DVY85" s="6"/>
      <c r="DVZ85" s="6"/>
      <c r="DWA85" s="6"/>
      <c r="DWB85" s="6"/>
      <c r="DWC85" s="6"/>
      <c r="DWD85" s="6"/>
      <c r="DWE85" s="6"/>
      <c r="DWF85" s="6"/>
      <c r="DWG85" s="6"/>
      <c r="DWH85" s="6"/>
      <c r="DWI85" s="6"/>
      <c r="DWJ85" s="6"/>
      <c r="DWK85" s="6"/>
      <c r="DWL85" s="6"/>
      <c r="DWM85" s="6"/>
      <c r="DWN85" s="6"/>
      <c r="DWO85" s="6"/>
      <c r="DWP85" s="6"/>
      <c r="DWQ85" s="6"/>
      <c r="DWR85" s="6"/>
      <c r="DWS85" s="6"/>
      <c r="DWT85" s="6"/>
      <c r="DWU85" s="6"/>
      <c r="DWV85" s="6"/>
      <c r="DWW85" s="6"/>
      <c r="DWX85" s="6"/>
      <c r="DWY85" s="6"/>
      <c r="DWZ85" s="6"/>
      <c r="DXA85" s="6"/>
      <c r="DXB85" s="6"/>
      <c r="DXC85" s="6"/>
      <c r="DXD85" s="6"/>
      <c r="DXE85" s="6"/>
      <c r="DXF85" s="6"/>
      <c r="DXG85" s="6"/>
      <c r="DXH85" s="6"/>
      <c r="DXI85" s="6"/>
      <c r="DXJ85" s="6"/>
      <c r="DXK85" s="6"/>
      <c r="DXL85" s="6"/>
      <c r="DXM85" s="6"/>
      <c r="DXN85" s="6"/>
      <c r="DXO85" s="6"/>
      <c r="DXP85" s="6"/>
      <c r="DXQ85" s="6"/>
      <c r="DXR85" s="6"/>
      <c r="DXS85" s="6"/>
      <c r="DXT85" s="6"/>
      <c r="DXU85" s="6"/>
      <c r="DXV85" s="6"/>
      <c r="DXW85" s="6"/>
      <c r="DXX85" s="6"/>
      <c r="DXY85" s="6"/>
      <c r="DXZ85" s="6"/>
      <c r="DYA85" s="6"/>
      <c r="DYB85" s="6"/>
      <c r="DYC85" s="6"/>
      <c r="DYD85" s="6"/>
      <c r="DYE85" s="6"/>
      <c r="DYF85" s="6"/>
      <c r="DYG85" s="6"/>
      <c r="DYH85" s="6"/>
      <c r="DYI85" s="6"/>
      <c r="DYJ85" s="6"/>
      <c r="DYK85" s="6"/>
      <c r="DYL85" s="6"/>
      <c r="DYM85" s="6"/>
      <c r="DYN85" s="6"/>
      <c r="DYO85" s="6"/>
      <c r="DYP85" s="6"/>
      <c r="DYQ85" s="6"/>
      <c r="DYR85" s="6"/>
      <c r="DYS85" s="6"/>
      <c r="DYT85" s="6"/>
      <c r="DYU85" s="6"/>
      <c r="DYV85" s="6"/>
      <c r="DYW85" s="6"/>
      <c r="DYX85" s="6"/>
      <c r="DYY85" s="6"/>
      <c r="DYZ85" s="6"/>
      <c r="DZA85" s="6"/>
      <c r="DZB85" s="6"/>
      <c r="DZC85" s="6"/>
      <c r="DZD85" s="6"/>
      <c r="DZE85" s="6"/>
      <c r="DZF85" s="6"/>
      <c r="DZG85" s="6"/>
      <c r="DZH85" s="6"/>
      <c r="DZI85" s="6"/>
      <c r="DZJ85" s="6"/>
      <c r="DZK85" s="6"/>
      <c r="DZL85" s="6"/>
      <c r="DZM85" s="6"/>
      <c r="DZN85" s="6"/>
      <c r="DZO85" s="6"/>
      <c r="DZP85" s="6"/>
      <c r="DZQ85" s="6"/>
      <c r="DZR85" s="6"/>
      <c r="DZS85" s="6"/>
      <c r="DZT85" s="6"/>
      <c r="DZU85" s="6"/>
      <c r="DZV85" s="6"/>
      <c r="DZW85" s="6"/>
      <c r="DZX85" s="6"/>
      <c r="DZY85" s="6"/>
      <c r="DZZ85" s="6"/>
      <c r="EAA85" s="6"/>
      <c r="EAB85" s="6"/>
      <c r="EAC85" s="6"/>
      <c r="EAD85" s="6"/>
      <c r="EAE85" s="6"/>
      <c r="EAF85" s="6"/>
      <c r="EAG85" s="6"/>
      <c r="EAH85" s="6"/>
      <c r="EAI85" s="6"/>
      <c r="EAJ85" s="6"/>
      <c r="EAK85" s="6"/>
      <c r="EAL85" s="6"/>
      <c r="EAM85" s="6"/>
      <c r="EAN85" s="6"/>
      <c r="EAO85" s="6"/>
      <c r="EAP85" s="6"/>
      <c r="EAQ85" s="6"/>
      <c r="EAR85" s="6"/>
      <c r="EAS85" s="6"/>
      <c r="EAT85" s="6"/>
      <c r="EAU85" s="6"/>
      <c r="EAV85" s="6"/>
      <c r="EAW85" s="6"/>
      <c r="EAX85" s="6"/>
      <c r="EAY85" s="6"/>
      <c r="EAZ85" s="6"/>
      <c r="EBA85" s="6"/>
      <c r="EBB85" s="6"/>
      <c r="EBC85" s="6"/>
      <c r="EBD85" s="6"/>
      <c r="EBE85" s="6"/>
      <c r="EBF85" s="6"/>
      <c r="EBG85" s="6"/>
      <c r="EBH85" s="6"/>
      <c r="EBI85" s="6"/>
      <c r="EBJ85" s="6"/>
      <c r="EBK85" s="6"/>
      <c r="EBL85" s="6"/>
      <c r="EBM85" s="6"/>
      <c r="EBN85" s="6"/>
      <c r="EBO85" s="6"/>
      <c r="EBP85" s="6"/>
      <c r="EBQ85" s="6"/>
      <c r="EBR85" s="6"/>
      <c r="EBS85" s="6"/>
      <c r="EBT85" s="6"/>
      <c r="EBU85" s="6"/>
      <c r="EBV85" s="6"/>
      <c r="EBW85" s="6"/>
      <c r="EBX85" s="6"/>
      <c r="EBY85" s="6"/>
      <c r="EBZ85" s="6"/>
      <c r="ECA85" s="6"/>
      <c r="ECB85" s="6"/>
      <c r="ECC85" s="6"/>
      <c r="ECD85" s="6"/>
      <c r="ECE85" s="6"/>
      <c r="ECF85" s="6"/>
      <c r="ECG85" s="6"/>
      <c r="ECH85" s="6"/>
      <c r="ECI85" s="6"/>
      <c r="ECJ85" s="6"/>
      <c r="ECK85" s="6"/>
      <c r="ECL85" s="6"/>
      <c r="ECM85" s="6"/>
      <c r="ECN85" s="6"/>
      <c r="ECO85" s="6"/>
      <c r="ECP85" s="6"/>
      <c r="ECQ85" s="6"/>
      <c r="ECR85" s="6"/>
      <c r="ECS85" s="6"/>
      <c r="ECT85" s="6"/>
      <c r="ECU85" s="6"/>
      <c r="ECV85" s="6"/>
      <c r="ECW85" s="6"/>
      <c r="ECX85" s="6"/>
      <c r="ECY85" s="6"/>
      <c r="ECZ85" s="6"/>
      <c r="EDA85" s="6"/>
      <c r="EDB85" s="6"/>
      <c r="EDC85" s="6"/>
      <c r="EDD85" s="6"/>
      <c r="EDE85" s="6"/>
      <c r="EDF85" s="6"/>
      <c r="EDG85" s="6"/>
      <c r="EDH85" s="6"/>
      <c r="EDI85" s="6"/>
      <c r="EDJ85" s="6"/>
      <c r="EDK85" s="6"/>
      <c r="EDL85" s="6"/>
      <c r="EDM85" s="6"/>
      <c r="EDN85" s="6"/>
      <c r="EDO85" s="6"/>
      <c r="EDP85" s="6"/>
      <c r="EDQ85" s="6"/>
      <c r="EDR85" s="6"/>
      <c r="EDS85" s="6"/>
      <c r="EDT85" s="6"/>
      <c r="EDU85" s="6"/>
      <c r="EDV85" s="6"/>
      <c r="EDW85" s="6"/>
      <c r="EDX85" s="6"/>
      <c r="EDY85" s="6"/>
      <c r="EDZ85" s="6"/>
      <c r="EEA85" s="6"/>
      <c r="EEB85" s="6"/>
      <c r="EEC85" s="6"/>
      <c r="EED85" s="6"/>
      <c r="EEE85" s="6"/>
      <c r="EEF85" s="6"/>
      <c r="EEG85" s="6"/>
      <c r="EEH85" s="6"/>
      <c r="EEI85" s="6"/>
      <c r="EEJ85" s="6"/>
      <c r="EEK85" s="6"/>
      <c r="EEL85" s="6"/>
      <c r="EEM85" s="6"/>
      <c r="EEN85" s="6"/>
      <c r="EEO85" s="6"/>
      <c r="EEP85" s="6"/>
      <c r="EEQ85" s="6"/>
      <c r="EER85" s="6"/>
      <c r="EES85" s="6"/>
      <c r="EET85" s="6"/>
      <c r="EEU85" s="6"/>
      <c r="EEV85" s="6"/>
      <c r="EEW85" s="6"/>
      <c r="EEX85" s="6"/>
      <c r="EEY85" s="6"/>
      <c r="EEZ85" s="6"/>
      <c r="EFA85" s="6"/>
      <c r="EFB85" s="6"/>
      <c r="EFC85" s="6"/>
      <c r="EFD85" s="6"/>
      <c r="EFE85" s="6"/>
      <c r="EFF85" s="6"/>
      <c r="EFG85" s="6"/>
      <c r="EFH85" s="6"/>
      <c r="EFI85" s="6"/>
      <c r="EFJ85" s="6"/>
      <c r="EFK85" s="6"/>
      <c r="EFL85" s="6"/>
      <c r="EFM85" s="6"/>
      <c r="EFN85" s="6"/>
      <c r="EFO85" s="6"/>
      <c r="EFP85" s="6"/>
      <c r="EFQ85" s="6"/>
      <c r="EFR85" s="6"/>
      <c r="EFS85" s="6"/>
      <c r="EFT85" s="6"/>
      <c r="EFU85" s="6"/>
      <c r="EFV85" s="6"/>
      <c r="EFW85" s="6"/>
      <c r="EFX85" s="6"/>
      <c r="EFY85" s="6"/>
      <c r="EFZ85" s="6"/>
      <c r="EGA85" s="6"/>
      <c r="EGB85" s="6"/>
      <c r="EGC85" s="6"/>
      <c r="EGD85" s="6"/>
      <c r="EGE85" s="6"/>
      <c r="EGF85" s="6"/>
      <c r="EGG85" s="6"/>
      <c r="EGH85" s="6"/>
      <c r="EGI85" s="6"/>
      <c r="EGJ85" s="6"/>
      <c r="EGK85" s="6"/>
      <c r="EGL85" s="6"/>
      <c r="EGM85" s="6"/>
      <c r="EGN85" s="6"/>
      <c r="EGO85" s="6"/>
      <c r="EGP85" s="6"/>
      <c r="EGQ85" s="6"/>
      <c r="EGR85" s="6"/>
      <c r="EGS85" s="6"/>
      <c r="EGT85" s="6"/>
      <c r="EGU85" s="6"/>
      <c r="EGV85" s="6"/>
      <c r="EGW85" s="6"/>
      <c r="EGX85" s="6"/>
      <c r="EGY85" s="6"/>
      <c r="EGZ85" s="6"/>
      <c r="EHA85" s="6"/>
      <c r="EHB85" s="6"/>
      <c r="EHC85" s="6"/>
      <c r="EHD85" s="6"/>
      <c r="EHE85" s="6"/>
      <c r="EHF85" s="6"/>
      <c r="EHG85" s="6"/>
      <c r="EHH85" s="6"/>
      <c r="EHI85" s="6"/>
      <c r="EHJ85" s="6"/>
      <c r="EHK85" s="6"/>
      <c r="EHL85" s="6"/>
      <c r="EHM85" s="6"/>
      <c r="EHN85" s="6"/>
      <c r="EHO85" s="6"/>
      <c r="EHP85" s="6"/>
      <c r="EHQ85" s="6"/>
      <c r="EHR85" s="6"/>
      <c r="EHS85" s="6"/>
      <c r="EHT85" s="6"/>
      <c r="EHU85" s="6"/>
      <c r="EHV85" s="6"/>
      <c r="EHW85" s="6"/>
      <c r="EHX85" s="6"/>
      <c r="EHY85" s="6"/>
      <c r="EHZ85" s="6"/>
      <c r="EIA85" s="6"/>
      <c r="EIB85" s="6"/>
      <c r="EIC85" s="6"/>
      <c r="EID85" s="6"/>
      <c r="EIE85" s="6"/>
      <c r="EIF85" s="6"/>
      <c r="EIG85" s="6"/>
      <c r="EIH85" s="6"/>
      <c r="EII85" s="6"/>
      <c r="EIJ85" s="6"/>
      <c r="EIK85" s="6"/>
      <c r="EIL85" s="6"/>
      <c r="EIM85" s="6"/>
      <c r="EIN85" s="6"/>
      <c r="EIO85" s="6"/>
      <c r="EIP85" s="6"/>
      <c r="EIQ85" s="6"/>
      <c r="EIR85" s="6"/>
      <c r="EIS85" s="6"/>
      <c r="EIT85" s="6"/>
      <c r="EIU85" s="6"/>
      <c r="EIV85" s="6"/>
      <c r="EIW85" s="6"/>
      <c r="EIX85" s="6"/>
      <c r="EIY85" s="6"/>
      <c r="EIZ85" s="6"/>
      <c r="EJA85" s="6"/>
      <c r="EJB85" s="6"/>
      <c r="EJC85" s="6"/>
      <c r="EJD85" s="6"/>
      <c r="EJE85" s="6"/>
      <c r="EJF85" s="6"/>
      <c r="EJG85" s="6"/>
      <c r="EJH85" s="6"/>
      <c r="EJI85" s="6"/>
      <c r="EJJ85" s="6"/>
      <c r="EJK85" s="6"/>
      <c r="EJL85" s="6"/>
      <c r="EJM85" s="6"/>
      <c r="EJN85" s="6"/>
      <c r="EJO85" s="6"/>
      <c r="EJP85" s="6"/>
      <c r="EJQ85" s="6"/>
      <c r="EJR85" s="6"/>
      <c r="EJS85" s="6"/>
      <c r="EJT85" s="6"/>
      <c r="EJU85" s="6"/>
      <c r="EJV85" s="6"/>
      <c r="EJW85" s="6"/>
      <c r="EJX85" s="6"/>
      <c r="EJY85" s="6"/>
      <c r="EJZ85" s="6"/>
      <c r="EKA85" s="6"/>
      <c r="EKB85" s="6"/>
      <c r="EKC85" s="6"/>
      <c r="EKD85" s="6"/>
      <c r="EKE85" s="6"/>
      <c r="EKF85" s="6"/>
      <c r="EKG85" s="6"/>
      <c r="EKH85" s="6"/>
      <c r="EKI85" s="6"/>
      <c r="EKJ85" s="6"/>
      <c r="EKK85" s="6"/>
      <c r="EKL85" s="6"/>
      <c r="EKM85" s="6"/>
      <c r="EKN85" s="6"/>
      <c r="EKO85" s="6"/>
      <c r="EKP85" s="6"/>
      <c r="EKQ85" s="6"/>
      <c r="EKR85" s="6"/>
      <c r="EKS85" s="6"/>
      <c r="EKT85" s="6"/>
      <c r="EKU85" s="6"/>
      <c r="EKV85" s="6"/>
      <c r="EKW85" s="6"/>
      <c r="EKX85" s="6"/>
      <c r="EKY85" s="6"/>
      <c r="EKZ85" s="6"/>
      <c r="ELA85" s="6"/>
      <c r="ELB85" s="6"/>
      <c r="ELC85" s="6"/>
      <c r="ELD85" s="6"/>
      <c r="ELE85" s="6"/>
      <c r="ELF85" s="6"/>
      <c r="ELG85" s="6"/>
      <c r="ELH85" s="6"/>
      <c r="ELI85" s="6"/>
      <c r="ELJ85" s="6"/>
      <c r="ELK85" s="6"/>
      <c r="ELL85" s="6"/>
      <c r="ELM85" s="6"/>
      <c r="ELN85" s="6"/>
      <c r="ELO85" s="6"/>
      <c r="ELP85" s="6"/>
      <c r="ELQ85" s="6"/>
      <c r="ELR85" s="6"/>
      <c r="ELS85" s="6"/>
      <c r="ELT85" s="6"/>
      <c r="ELU85" s="6"/>
      <c r="ELV85" s="6"/>
      <c r="ELW85" s="6"/>
      <c r="ELX85" s="6"/>
      <c r="ELY85" s="6"/>
      <c r="ELZ85" s="6"/>
      <c r="EMA85" s="6"/>
      <c r="EMB85" s="6"/>
      <c r="EMC85" s="6"/>
      <c r="EMD85" s="6"/>
      <c r="EME85" s="6"/>
      <c r="EMF85" s="6"/>
      <c r="EMG85" s="6"/>
      <c r="EMH85" s="6"/>
      <c r="EMI85" s="6"/>
      <c r="EMJ85" s="6"/>
      <c r="EMK85" s="6"/>
      <c r="EML85" s="6"/>
      <c r="EMM85" s="6"/>
      <c r="EMN85" s="6"/>
      <c r="EMO85" s="6"/>
      <c r="EMP85" s="6"/>
      <c r="EMQ85" s="6"/>
      <c r="EMR85" s="6"/>
      <c r="EMS85" s="6"/>
      <c r="EMT85" s="6"/>
      <c r="EMU85" s="6"/>
      <c r="EMV85" s="6"/>
      <c r="EMW85" s="6"/>
      <c r="EMX85" s="6"/>
      <c r="EMY85" s="6"/>
      <c r="EMZ85" s="6"/>
      <c r="ENA85" s="6"/>
      <c r="ENB85" s="6"/>
      <c r="ENC85" s="6"/>
      <c r="END85" s="6"/>
      <c r="ENE85" s="6"/>
      <c r="ENF85" s="6"/>
      <c r="ENG85" s="6"/>
      <c r="ENH85" s="6"/>
      <c r="ENI85" s="6"/>
      <c r="ENJ85" s="6"/>
      <c r="ENK85" s="6"/>
      <c r="ENL85" s="6"/>
      <c r="ENM85" s="6"/>
      <c r="ENN85" s="6"/>
      <c r="ENO85" s="6"/>
      <c r="ENP85" s="6"/>
      <c r="ENQ85" s="6"/>
      <c r="ENR85" s="6"/>
      <c r="ENS85" s="6"/>
      <c r="ENT85" s="6"/>
      <c r="ENU85" s="6"/>
      <c r="ENV85" s="6"/>
      <c r="ENW85" s="6"/>
      <c r="ENX85" s="6"/>
      <c r="ENY85" s="6"/>
      <c r="ENZ85" s="6"/>
      <c r="EOA85" s="6"/>
      <c r="EOB85" s="6"/>
      <c r="EOC85" s="6"/>
      <c r="EOD85" s="6"/>
      <c r="EOE85" s="6"/>
      <c r="EOF85" s="6"/>
      <c r="EOG85" s="6"/>
      <c r="EOH85" s="6"/>
      <c r="EOI85" s="6"/>
      <c r="EOJ85" s="6"/>
      <c r="EOK85" s="6"/>
      <c r="EOL85" s="6"/>
      <c r="EOM85" s="6"/>
      <c r="EON85" s="6"/>
      <c r="EOO85" s="6"/>
      <c r="EOP85" s="6"/>
      <c r="EOQ85" s="6"/>
      <c r="EOR85" s="6"/>
      <c r="EOS85" s="6"/>
      <c r="EOT85" s="6"/>
      <c r="EOU85" s="6"/>
      <c r="EOV85" s="6"/>
      <c r="EOW85" s="6"/>
      <c r="EOX85" s="6"/>
      <c r="EOY85" s="6"/>
      <c r="EOZ85" s="6"/>
      <c r="EPA85" s="6"/>
      <c r="EPB85" s="6"/>
      <c r="EPC85" s="6"/>
      <c r="EPD85" s="6"/>
      <c r="EPE85" s="6"/>
      <c r="EPF85" s="6"/>
      <c r="EPG85" s="6"/>
      <c r="EPH85" s="6"/>
      <c r="EPI85" s="6"/>
      <c r="EPJ85" s="6"/>
      <c r="EPK85" s="6"/>
      <c r="EPL85" s="6"/>
      <c r="EPM85" s="6"/>
      <c r="EPN85" s="6"/>
      <c r="EPO85" s="6"/>
      <c r="EPP85" s="6"/>
      <c r="EPQ85" s="6"/>
      <c r="EPR85" s="6"/>
      <c r="EPS85" s="6"/>
      <c r="EPT85" s="6"/>
      <c r="EPU85" s="6"/>
      <c r="EPV85" s="6"/>
      <c r="EPW85" s="6"/>
      <c r="EPX85" s="6"/>
      <c r="EPY85" s="6"/>
      <c r="EPZ85" s="6"/>
      <c r="EQA85" s="6"/>
      <c r="EQB85" s="6"/>
      <c r="EQC85" s="6"/>
      <c r="EQD85" s="6"/>
      <c r="EQE85" s="6"/>
      <c r="EQF85" s="6"/>
      <c r="EQG85" s="6"/>
      <c r="EQH85" s="6"/>
      <c r="EQI85" s="6"/>
      <c r="EQJ85" s="6"/>
      <c r="EQK85" s="6"/>
      <c r="EQL85" s="6"/>
      <c r="EQM85" s="6"/>
      <c r="EQN85" s="6"/>
      <c r="EQO85" s="6"/>
      <c r="EQP85" s="6"/>
      <c r="EQQ85" s="6"/>
      <c r="EQR85" s="6"/>
      <c r="EQS85" s="6"/>
      <c r="EQT85" s="6"/>
      <c r="EQU85" s="6"/>
      <c r="EQV85" s="6"/>
      <c r="EQW85" s="6"/>
      <c r="EQX85" s="6"/>
      <c r="EQY85" s="6"/>
      <c r="EQZ85" s="6"/>
      <c r="ERA85" s="6"/>
      <c r="ERB85" s="6"/>
      <c r="ERC85" s="6"/>
      <c r="ERD85" s="6"/>
      <c r="ERE85" s="6"/>
      <c r="ERF85" s="6"/>
      <c r="ERG85" s="6"/>
      <c r="ERH85" s="6"/>
      <c r="ERI85" s="6"/>
      <c r="ERJ85" s="6"/>
      <c r="ERK85" s="6"/>
      <c r="ERL85" s="6"/>
      <c r="ERM85" s="6"/>
      <c r="ERN85" s="6"/>
      <c r="ERO85" s="6"/>
      <c r="ERP85" s="6"/>
      <c r="ERQ85" s="6"/>
      <c r="ERR85" s="6"/>
      <c r="ERS85" s="6"/>
      <c r="ERT85" s="6"/>
      <c r="ERU85" s="6"/>
      <c r="ERV85" s="6"/>
      <c r="ERW85" s="6"/>
      <c r="ERX85" s="6"/>
      <c r="ERY85" s="6"/>
      <c r="ERZ85" s="6"/>
      <c r="ESA85" s="6"/>
      <c r="ESB85" s="6"/>
      <c r="ESC85" s="6"/>
      <c r="ESD85" s="6"/>
      <c r="ESE85" s="6"/>
      <c r="ESF85" s="6"/>
      <c r="ESG85" s="6"/>
      <c r="ESH85" s="6"/>
      <c r="ESI85" s="6"/>
      <c r="ESJ85" s="6"/>
      <c r="ESK85" s="6"/>
      <c r="ESL85" s="6"/>
      <c r="ESM85" s="6"/>
      <c r="ESN85" s="6"/>
      <c r="ESO85" s="6"/>
      <c r="ESP85" s="6"/>
      <c r="ESQ85" s="6"/>
      <c r="ESR85" s="6"/>
      <c r="ESS85" s="6"/>
      <c r="EST85" s="6"/>
      <c r="ESU85" s="6"/>
      <c r="ESV85" s="6"/>
      <c r="ESW85" s="6"/>
      <c r="ESX85" s="6"/>
      <c r="ESY85" s="6"/>
      <c r="ESZ85" s="6"/>
      <c r="ETA85" s="6"/>
      <c r="ETB85" s="6"/>
      <c r="ETC85" s="6"/>
      <c r="ETD85" s="6"/>
      <c r="ETE85" s="6"/>
      <c r="ETF85" s="6"/>
      <c r="ETG85" s="6"/>
      <c r="ETH85" s="6"/>
      <c r="ETI85" s="6"/>
      <c r="ETJ85" s="6"/>
      <c r="ETK85" s="6"/>
      <c r="ETL85" s="6"/>
      <c r="ETM85" s="6"/>
      <c r="ETN85" s="6"/>
      <c r="ETO85" s="6"/>
      <c r="ETP85" s="6"/>
      <c r="ETQ85" s="6"/>
      <c r="ETR85" s="6"/>
      <c r="ETS85" s="6"/>
      <c r="ETT85" s="6"/>
      <c r="ETU85" s="6"/>
      <c r="ETV85" s="6"/>
      <c r="ETW85" s="6"/>
      <c r="ETX85" s="6"/>
      <c r="ETY85" s="6"/>
      <c r="ETZ85" s="6"/>
      <c r="EUA85" s="6"/>
      <c r="EUB85" s="6"/>
      <c r="EUC85" s="6"/>
      <c r="EUD85" s="6"/>
      <c r="EUE85" s="6"/>
      <c r="EUF85" s="6"/>
      <c r="EUG85" s="6"/>
      <c r="EUH85" s="6"/>
      <c r="EUI85" s="6"/>
      <c r="EUJ85" s="6"/>
      <c r="EUK85" s="6"/>
      <c r="EUL85" s="6"/>
      <c r="EUM85" s="6"/>
      <c r="EUN85" s="6"/>
      <c r="EUO85" s="6"/>
      <c r="EUP85" s="6"/>
      <c r="EUQ85" s="6"/>
      <c r="EUR85" s="6"/>
      <c r="EUS85" s="6"/>
      <c r="EUT85" s="6"/>
      <c r="EUU85" s="6"/>
      <c r="EUV85" s="6"/>
      <c r="EUW85" s="6"/>
      <c r="EUX85" s="6"/>
      <c r="EUY85" s="6"/>
      <c r="EUZ85" s="6"/>
      <c r="EVA85" s="6"/>
      <c r="EVB85" s="6"/>
      <c r="EVC85" s="6"/>
      <c r="EVD85" s="6"/>
      <c r="EVE85" s="6"/>
      <c r="EVF85" s="6"/>
      <c r="EVG85" s="6"/>
      <c r="EVH85" s="6"/>
      <c r="EVI85" s="6"/>
      <c r="EVJ85" s="6"/>
      <c r="EVK85" s="6"/>
      <c r="EVL85" s="6"/>
      <c r="EVM85" s="6"/>
      <c r="EVN85" s="6"/>
      <c r="EVO85" s="6"/>
      <c r="EVP85" s="6"/>
      <c r="EVQ85" s="6"/>
      <c r="EVR85" s="6"/>
      <c r="EVS85" s="6"/>
      <c r="EVT85" s="6"/>
      <c r="EVU85" s="6"/>
      <c r="EVV85" s="6"/>
      <c r="EVW85" s="6"/>
      <c r="EVX85" s="6"/>
      <c r="EVY85" s="6"/>
      <c r="EVZ85" s="6"/>
      <c r="EWA85" s="6"/>
      <c r="EWB85" s="6"/>
      <c r="EWC85" s="6"/>
      <c r="EWD85" s="6"/>
      <c r="EWE85" s="6"/>
      <c r="EWF85" s="6"/>
      <c r="EWG85" s="6"/>
      <c r="EWH85" s="6"/>
      <c r="EWI85" s="6"/>
      <c r="EWJ85" s="6"/>
      <c r="EWK85" s="6"/>
      <c r="EWL85" s="6"/>
      <c r="EWM85" s="6"/>
      <c r="EWN85" s="6"/>
      <c r="EWO85" s="6"/>
      <c r="EWP85" s="6"/>
      <c r="EWQ85" s="6"/>
      <c r="EWR85" s="6"/>
      <c r="EWS85" s="6"/>
      <c r="EWT85" s="6"/>
      <c r="EWU85" s="6"/>
      <c r="EWV85" s="6"/>
      <c r="EWW85" s="6"/>
      <c r="EWX85" s="6"/>
      <c r="EWY85" s="6"/>
      <c r="EWZ85" s="6"/>
      <c r="EXA85" s="6"/>
      <c r="EXB85" s="6"/>
      <c r="EXC85" s="6"/>
      <c r="EXD85" s="6"/>
      <c r="EXE85" s="6"/>
      <c r="EXF85" s="6"/>
      <c r="EXG85" s="6"/>
      <c r="EXH85" s="6"/>
      <c r="EXI85" s="6"/>
      <c r="EXJ85" s="6"/>
      <c r="EXK85" s="6"/>
      <c r="EXL85" s="6"/>
      <c r="EXM85" s="6"/>
      <c r="EXN85" s="6"/>
      <c r="EXO85" s="6"/>
      <c r="EXP85" s="6"/>
      <c r="EXQ85" s="6"/>
      <c r="EXR85" s="6"/>
      <c r="EXS85" s="6"/>
      <c r="EXT85" s="6"/>
      <c r="EXU85" s="6"/>
      <c r="EXV85" s="6"/>
      <c r="EXW85" s="6"/>
      <c r="EXX85" s="6"/>
      <c r="EXY85" s="6"/>
      <c r="EXZ85" s="6"/>
      <c r="EYA85" s="6"/>
      <c r="EYB85" s="6"/>
      <c r="EYC85" s="6"/>
      <c r="EYD85" s="6"/>
      <c r="EYE85" s="6"/>
      <c r="EYF85" s="6"/>
      <c r="EYG85" s="6"/>
      <c r="EYH85" s="6"/>
      <c r="EYI85" s="6"/>
      <c r="EYJ85" s="6"/>
      <c r="EYK85" s="6"/>
      <c r="EYL85" s="6"/>
      <c r="EYM85" s="6"/>
      <c r="EYN85" s="6"/>
      <c r="EYO85" s="6"/>
      <c r="EYP85" s="6"/>
      <c r="EYQ85" s="6"/>
      <c r="EYR85" s="6"/>
      <c r="EYS85" s="6"/>
      <c r="EYT85" s="6"/>
      <c r="EYU85" s="6"/>
      <c r="EYV85" s="6"/>
      <c r="EYW85" s="6"/>
      <c r="EYX85" s="6"/>
      <c r="EYY85" s="6"/>
      <c r="EYZ85" s="6"/>
      <c r="EZA85" s="6"/>
      <c r="EZB85" s="6"/>
      <c r="EZC85" s="6"/>
      <c r="EZD85" s="6"/>
      <c r="EZE85" s="6"/>
      <c r="EZF85" s="6"/>
      <c r="EZG85" s="6"/>
      <c r="EZH85" s="6"/>
      <c r="EZI85" s="6"/>
      <c r="EZJ85" s="6"/>
      <c r="EZK85" s="6"/>
      <c r="EZL85" s="6"/>
      <c r="EZM85" s="6"/>
      <c r="EZN85" s="6"/>
      <c r="EZO85" s="6"/>
      <c r="EZP85" s="6"/>
      <c r="EZQ85" s="6"/>
      <c r="EZR85" s="6"/>
      <c r="EZS85" s="6"/>
      <c r="EZT85" s="6"/>
      <c r="EZU85" s="6"/>
      <c r="EZV85" s="6"/>
      <c r="EZW85" s="6"/>
      <c r="EZX85" s="6"/>
      <c r="EZY85" s="6"/>
      <c r="EZZ85" s="6"/>
      <c r="FAA85" s="6"/>
      <c r="FAB85" s="6"/>
      <c r="FAC85" s="6"/>
      <c r="FAD85" s="6"/>
      <c r="FAE85" s="6"/>
      <c r="FAF85" s="6"/>
      <c r="FAG85" s="6"/>
      <c r="FAH85" s="6"/>
      <c r="FAI85" s="6"/>
      <c r="FAJ85" s="6"/>
      <c r="FAK85" s="6"/>
      <c r="FAL85" s="6"/>
      <c r="FAM85" s="6"/>
      <c r="FAN85" s="6"/>
      <c r="FAO85" s="6"/>
      <c r="FAP85" s="6"/>
      <c r="FAQ85" s="6"/>
      <c r="FAR85" s="6"/>
      <c r="FAS85" s="6"/>
      <c r="FAT85" s="6"/>
      <c r="FAU85" s="6"/>
      <c r="FAV85" s="6"/>
      <c r="FAW85" s="6"/>
      <c r="FAX85" s="6"/>
      <c r="FAY85" s="6"/>
      <c r="FAZ85" s="6"/>
      <c r="FBA85" s="6"/>
      <c r="FBB85" s="6"/>
      <c r="FBC85" s="6"/>
      <c r="FBD85" s="6"/>
      <c r="FBE85" s="6"/>
      <c r="FBF85" s="6"/>
      <c r="FBG85" s="6"/>
      <c r="FBH85" s="6"/>
      <c r="FBI85" s="6"/>
      <c r="FBJ85" s="6"/>
      <c r="FBK85" s="6"/>
      <c r="FBL85" s="6"/>
      <c r="FBM85" s="6"/>
      <c r="FBN85" s="6"/>
      <c r="FBO85" s="6"/>
      <c r="FBP85" s="6"/>
      <c r="FBQ85" s="6"/>
      <c r="FBR85" s="6"/>
      <c r="FBS85" s="6"/>
      <c r="FBT85" s="6"/>
      <c r="FBU85" s="6"/>
      <c r="FBV85" s="6"/>
      <c r="FBW85" s="6"/>
      <c r="FBX85" s="6"/>
      <c r="FBY85" s="6"/>
      <c r="FBZ85" s="6"/>
      <c r="FCA85" s="6"/>
      <c r="FCB85" s="6"/>
      <c r="FCC85" s="6"/>
      <c r="FCD85" s="6"/>
      <c r="FCE85" s="6"/>
      <c r="FCF85" s="6"/>
      <c r="FCG85" s="6"/>
      <c r="FCH85" s="6"/>
      <c r="FCI85" s="6"/>
      <c r="FCJ85" s="6"/>
      <c r="FCK85" s="6"/>
      <c r="FCL85" s="6"/>
      <c r="FCM85" s="6"/>
      <c r="FCN85" s="6"/>
      <c r="FCO85" s="6"/>
      <c r="FCP85" s="6"/>
      <c r="FCQ85" s="6"/>
      <c r="FCR85" s="6"/>
      <c r="FCS85" s="6"/>
      <c r="FCT85" s="6"/>
      <c r="FCU85" s="6"/>
      <c r="FCV85" s="6"/>
      <c r="FCW85" s="6"/>
      <c r="FCX85" s="6"/>
      <c r="FCY85" s="6"/>
      <c r="FCZ85" s="6"/>
      <c r="FDA85" s="6"/>
      <c r="FDB85" s="6"/>
      <c r="FDC85" s="6"/>
      <c r="FDD85" s="6"/>
      <c r="FDE85" s="6"/>
      <c r="FDF85" s="6"/>
      <c r="FDG85" s="6"/>
      <c r="FDH85" s="6"/>
      <c r="FDI85" s="6"/>
      <c r="FDJ85" s="6"/>
      <c r="FDK85" s="6"/>
      <c r="FDL85" s="6"/>
      <c r="FDM85" s="6"/>
      <c r="FDN85" s="6"/>
      <c r="FDO85" s="6"/>
      <c r="FDP85" s="6"/>
      <c r="FDQ85" s="6"/>
      <c r="FDR85" s="6"/>
      <c r="FDS85" s="6"/>
      <c r="FDT85" s="6"/>
      <c r="FDU85" s="6"/>
      <c r="FDV85" s="6"/>
      <c r="FDW85" s="6"/>
      <c r="FDX85" s="6"/>
      <c r="FDY85" s="6"/>
      <c r="FDZ85" s="6"/>
      <c r="FEA85" s="6"/>
      <c r="FEB85" s="6"/>
      <c r="FEC85" s="6"/>
      <c r="FED85" s="6"/>
      <c r="FEE85" s="6"/>
      <c r="FEF85" s="6"/>
      <c r="FEG85" s="6"/>
      <c r="FEH85" s="6"/>
      <c r="FEI85" s="6"/>
      <c r="FEJ85" s="6"/>
      <c r="FEK85" s="6"/>
      <c r="FEL85" s="6"/>
      <c r="FEM85" s="6"/>
      <c r="FEN85" s="6"/>
      <c r="FEO85" s="6"/>
      <c r="FEP85" s="6"/>
      <c r="FEQ85" s="6"/>
      <c r="FER85" s="6"/>
      <c r="FES85" s="6"/>
      <c r="FET85" s="6"/>
      <c r="FEU85" s="6"/>
      <c r="FEV85" s="6"/>
      <c r="FEW85" s="6"/>
      <c r="FEX85" s="6"/>
      <c r="FEY85" s="6"/>
      <c r="FEZ85" s="6"/>
      <c r="FFA85" s="6"/>
      <c r="FFB85" s="6"/>
      <c r="FFC85" s="6"/>
      <c r="FFD85" s="6"/>
      <c r="FFE85" s="6"/>
      <c r="FFF85" s="6"/>
      <c r="FFG85" s="6"/>
      <c r="FFH85" s="6"/>
      <c r="FFI85" s="6"/>
      <c r="FFJ85" s="6"/>
      <c r="FFK85" s="6"/>
      <c r="FFL85" s="6"/>
      <c r="FFM85" s="6"/>
      <c r="FFN85" s="6"/>
      <c r="FFO85" s="6"/>
      <c r="FFP85" s="6"/>
      <c r="FFQ85" s="6"/>
      <c r="FFR85" s="6"/>
      <c r="FFS85" s="6"/>
      <c r="FFT85" s="6"/>
      <c r="FFU85" s="6"/>
      <c r="FFV85" s="6"/>
      <c r="FFW85" s="6"/>
      <c r="FFX85" s="6"/>
      <c r="FFY85" s="6"/>
      <c r="FFZ85" s="6"/>
      <c r="FGA85" s="6"/>
      <c r="FGB85" s="6"/>
      <c r="FGC85" s="6"/>
      <c r="FGD85" s="6"/>
      <c r="FGE85" s="6"/>
      <c r="FGF85" s="6"/>
      <c r="FGG85" s="6"/>
      <c r="FGH85" s="6"/>
      <c r="FGI85" s="6"/>
      <c r="FGJ85" s="6"/>
      <c r="FGK85" s="6"/>
      <c r="FGL85" s="6"/>
      <c r="FGM85" s="6"/>
      <c r="FGN85" s="6"/>
      <c r="FGO85" s="6"/>
      <c r="FGP85" s="6"/>
      <c r="FGQ85" s="6"/>
      <c r="FGR85" s="6"/>
      <c r="FGS85" s="6"/>
      <c r="FGT85" s="6"/>
      <c r="FGU85" s="6"/>
      <c r="FGV85" s="6"/>
      <c r="FGW85" s="6"/>
      <c r="FGX85" s="6"/>
      <c r="FGY85" s="6"/>
      <c r="FGZ85" s="6"/>
      <c r="FHA85" s="6"/>
      <c r="FHB85" s="6"/>
      <c r="FHC85" s="6"/>
      <c r="FHD85" s="6"/>
      <c r="FHE85" s="6"/>
      <c r="FHF85" s="6"/>
      <c r="FHG85" s="6"/>
      <c r="FHH85" s="6"/>
      <c r="FHI85" s="6"/>
      <c r="FHJ85" s="6"/>
      <c r="FHK85" s="6"/>
      <c r="FHL85" s="6"/>
      <c r="FHM85" s="6"/>
      <c r="FHN85" s="6"/>
      <c r="FHO85" s="6"/>
      <c r="FHP85" s="6"/>
      <c r="FHQ85" s="6"/>
      <c r="FHR85" s="6"/>
      <c r="FHS85" s="6"/>
      <c r="FHT85" s="6"/>
      <c r="FHU85" s="6"/>
      <c r="FHV85" s="6"/>
      <c r="FHW85" s="6"/>
      <c r="FHX85" s="6"/>
      <c r="FHY85" s="6"/>
      <c r="FHZ85" s="6"/>
      <c r="FIA85" s="6"/>
      <c r="FIB85" s="6"/>
      <c r="FIC85" s="6"/>
      <c r="FID85" s="6"/>
      <c r="FIE85" s="6"/>
      <c r="FIF85" s="6"/>
      <c r="FIG85" s="6"/>
      <c r="FIH85" s="6"/>
      <c r="FII85" s="6"/>
      <c r="FIJ85" s="6"/>
      <c r="FIK85" s="6"/>
      <c r="FIL85" s="6"/>
      <c r="FIM85" s="6"/>
      <c r="FIN85" s="6"/>
      <c r="FIO85" s="6"/>
      <c r="FIP85" s="6"/>
      <c r="FIQ85" s="6"/>
      <c r="FIR85" s="6"/>
      <c r="FIS85" s="6"/>
      <c r="FIT85" s="6"/>
      <c r="FIU85" s="6"/>
      <c r="FIV85" s="6"/>
      <c r="FIW85" s="6"/>
      <c r="FIX85" s="6"/>
      <c r="FIY85" s="6"/>
      <c r="FIZ85" s="6"/>
      <c r="FJA85" s="6"/>
      <c r="FJB85" s="6"/>
      <c r="FJC85" s="6"/>
      <c r="FJD85" s="6"/>
      <c r="FJE85" s="6"/>
      <c r="FJF85" s="6"/>
      <c r="FJG85" s="6"/>
      <c r="FJH85" s="6"/>
      <c r="FJI85" s="6"/>
      <c r="FJJ85" s="6"/>
      <c r="FJK85" s="6"/>
      <c r="FJL85" s="6"/>
      <c r="FJM85" s="6"/>
      <c r="FJN85" s="6"/>
      <c r="FJO85" s="6"/>
      <c r="FJP85" s="6"/>
      <c r="FJQ85" s="6"/>
      <c r="FJR85" s="6"/>
      <c r="FJS85" s="6"/>
      <c r="FJT85" s="6"/>
      <c r="FJU85" s="6"/>
      <c r="FJV85" s="6"/>
      <c r="FJW85" s="6"/>
      <c r="FJX85" s="6"/>
      <c r="FJY85" s="6"/>
      <c r="FJZ85" s="6"/>
      <c r="FKA85" s="6"/>
      <c r="FKB85" s="6"/>
      <c r="FKC85" s="6"/>
      <c r="FKD85" s="6"/>
      <c r="FKE85" s="6"/>
      <c r="FKF85" s="6"/>
      <c r="FKG85" s="6"/>
      <c r="FKH85" s="6"/>
      <c r="FKI85" s="6"/>
      <c r="FKJ85" s="6"/>
      <c r="FKK85" s="6"/>
      <c r="FKL85" s="6"/>
      <c r="FKM85" s="6"/>
      <c r="FKN85" s="6"/>
      <c r="FKO85" s="6"/>
      <c r="FKP85" s="6"/>
      <c r="FKQ85" s="6"/>
      <c r="FKR85" s="6"/>
      <c r="FKS85" s="6"/>
      <c r="FKT85" s="6"/>
      <c r="FKU85" s="6"/>
      <c r="FKV85" s="6"/>
      <c r="FKW85" s="6"/>
      <c r="FKX85" s="6"/>
      <c r="FKY85" s="6"/>
      <c r="FKZ85" s="6"/>
      <c r="FLA85" s="6"/>
      <c r="FLB85" s="6"/>
      <c r="FLC85" s="6"/>
      <c r="FLD85" s="6"/>
      <c r="FLE85" s="6"/>
      <c r="FLF85" s="6"/>
      <c r="FLG85" s="6"/>
      <c r="FLH85" s="6"/>
      <c r="FLI85" s="6"/>
      <c r="FLJ85" s="6"/>
      <c r="FLK85" s="6"/>
      <c r="FLL85" s="6"/>
      <c r="FLM85" s="6"/>
      <c r="FLN85" s="6"/>
      <c r="FLO85" s="6"/>
      <c r="FLP85" s="6"/>
      <c r="FLQ85" s="6"/>
      <c r="FLR85" s="6"/>
      <c r="FLS85" s="6"/>
      <c r="FLT85" s="6"/>
      <c r="FLU85" s="6"/>
      <c r="FLV85" s="6"/>
      <c r="FLW85" s="6"/>
      <c r="FLX85" s="6"/>
      <c r="FLY85" s="6"/>
      <c r="FLZ85" s="6"/>
      <c r="FMA85" s="6"/>
      <c r="FMB85" s="6"/>
      <c r="FMC85" s="6"/>
      <c r="FMD85" s="6"/>
      <c r="FME85" s="6"/>
      <c r="FMF85" s="6"/>
      <c r="FMG85" s="6"/>
      <c r="FMH85" s="6"/>
      <c r="FMI85" s="6"/>
      <c r="FMJ85" s="6"/>
      <c r="FMK85" s="6"/>
      <c r="FML85" s="6"/>
      <c r="FMM85" s="6"/>
      <c r="FMN85" s="6"/>
      <c r="FMO85" s="6"/>
      <c r="FMP85" s="6"/>
      <c r="FMQ85" s="6"/>
      <c r="FMR85" s="6"/>
      <c r="FMS85" s="6"/>
      <c r="FMT85" s="6"/>
      <c r="FMU85" s="6"/>
      <c r="FMV85" s="6"/>
      <c r="FMW85" s="6"/>
      <c r="FMX85" s="6"/>
      <c r="FMY85" s="6"/>
      <c r="FMZ85" s="6"/>
      <c r="FNA85" s="6"/>
      <c r="FNB85" s="6"/>
      <c r="FNC85" s="6"/>
      <c r="FND85" s="6"/>
      <c r="FNE85" s="6"/>
      <c r="FNF85" s="6"/>
      <c r="FNG85" s="6"/>
      <c r="FNH85" s="6"/>
      <c r="FNI85" s="6"/>
      <c r="FNJ85" s="6"/>
      <c r="FNK85" s="6"/>
      <c r="FNL85" s="6"/>
      <c r="FNM85" s="6"/>
      <c r="FNN85" s="6"/>
      <c r="FNO85" s="6"/>
      <c r="FNP85" s="6"/>
      <c r="FNQ85" s="6"/>
      <c r="FNR85" s="6"/>
      <c r="FNS85" s="6"/>
      <c r="FNT85" s="6"/>
      <c r="FNU85" s="6"/>
      <c r="FNV85" s="6"/>
      <c r="FNW85" s="6"/>
      <c r="FNX85" s="6"/>
      <c r="FNY85" s="6"/>
      <c r="FNZ85" s="6"/>
      <c r="FOA85" s="6"/>
      <c r="FOB85" s="6"/>
      <c r="FOC85" s="6"/>
      <c r="FOD85" s="6"/>
      <c r="FOE85" s="6"/>
      <c r="FOF85" s="6"/>
      <c r="FOG85" s="6"/>
      <c r="FOH85" s="6"/>
      <c r="FOI85" s="6"/>
      <c r="FOJ85" s="6"/>
      <c r="FOK85" s="6"/>
      <c r="FOL85" s="6"/>
      <c r="FOM85" s="6"/>
      <c r="FON85" s="6"/>
      <c r="FOO85" s="6"/>
      <c r="FOP85" s="6"/>
      <c r="FOQ85" s="6"/>
      <c r="FOR85" s="6"/>
      <c r="FOS85" s="6"/>
      <c r="FOT85" s="6"/>
      <c r="FOU85" s="6"/>
      <c r="FOV85" s="6"/>
      <c r="FOW85" s="6"/>
      <c r="FOX85" s="6"/>
      <c r="FOY85" s="6"/>
      <c r="FOZ85" s="6"/>
      <c r="FPA85" s="6"/>
      <c r="FPB85" s="6"/>
      <c r="FPC85" s="6"/>
      <c r="FPD85" s="6"/>
      <c r="FPE85" s="6"/>
      <c r="FPF85" s="6"/>
      <c r="FPG85" s="6"/>
      <c r="FPH85" s="6"/>
      <c r="FPI85" s="6"/>
      <c r="FPJ85" s="6"/>
      <c r="FPK85" s="6"/>
      <c r="FPL85" s="6"/>
      <c r="FPM85" s="6"/>
      <c r="FPN85" s="6"/>
      <c r="FPO85" s="6"/>
      <c r="FPP85" s="6"/>
      <c r="FPQ85" s="6"/>
      <c r="FPR85" s="6"/>
      <c r="FPS85" s="6"/>
      <c r="FPT85" s="6"/>
      <c r="FPU85" s="6"/>
      <c r="FPV85" s="6"/>
      <c r="FPW85" s="6"/>
      <c r="FPX85" s="6"/>
      <c r="FPY85" s="6"/>
      <c r="FPZ85" s="6"/>
      <c r="FQA85" s="6"/>
      <c r="FQB85" s="6"/>
      <c r="FQC85" s="6"/>
      <c r="FQD85" s="6"/>
      <c r="FQE85" s="6"/>
      <c r="FQF85" s="6"/>
      <c r="FQG85" s="6"/>
      <c r="FQH85" s="6"/>
      <c r="FQI85" s="6"/>
      <c r="FQJ85" s="6"/>
      <c r="FQK85" s="6"/>
      <c r="FQL85" s="6"/>
      <c r="FQM85" s="6"/>
      <c r="FQN85" s="6"/>
      <c r="FQO85" s="6"/>
      <c r="FQP85" s="6"/>
      <c r="FQQ85" s="6"/>
      <c r="FQR85" s="6"/>
      <c r="FQS85" s="6"/>
      <c r="FQT85" s="6"/>
      <c r="FQU85" s="6"/>
      <c r="FQV85" s="6"/>
      <c r="FQW85" s="6"/>
      <c r="FQX85" s="6"/>
      <c r="FQY85" s="6"/>
      <c r="FQZ85" s="6"/>
      <c r="FRA85" s="6"/>
      <c r="FRB85" s="6"/>
      <c r="FRC85" s="6"/>
      <c r="FRD85" s="6"/>
      <c r="FRE85" s="6"/>
      <c r="FRF85" s="6"/>
      <c r="FRG85" s="6"/>
      <c r="FRH85" s="6"/>
      <c r="FRI85" s="6"/>
      <c r="FRJ85" s="6"/>
      <c r="FRK85" s="6"/>
      <c r="FRL85" s="6"/>
      <c r="FRM85" s="6"/>
      <c r="FRN85" s="6"/>
      <c r="FRO85" s="6"/>
      <c r="FRP85" s="6"/>
      <c r="FRQ85" s="6"/>
      <c r="FRR85" s="6"/>
      <c r="FRS85" s="6"/>
      <c r="FRT85" s="6"/>
      <c r="FRU85" s="6"/>
      <c r="FRV85" s="6"/>
      <c r="FRW85" s="6"/>
      <c r="FRX85" s="6"/>
      <c r="FRY85" s="6"/>
      <c r="FRZ85" s="6"/>
      <c r="FSA85" s="6"/>
      <c r="FSB85" s="6"/>
      <c r="FSC85" s="6"/>
      <c r="FSD85" s="6"/>
      <c r="FSE85" s="6"/>
      <c r="FSF85" s="6"/>
      <c r="FSG85" s="6"/>
      <c r="FSH85" s="6"/>
      <c r="FSI85" s="6"/>
      <c r="FSJ85" s="6"/>
      <c r="FSK85" s="6"/>
      <c r="FSL85" s="6"/>
      <c r="FSM85" s="6"/>
      <c r="FSN85" s="6"/>
      <c r="FSO85" s="6"/>
      <c r="FSP85" s="6"/>
      <c r="FSQ85" s="6"/>
      <c r="FSR85" s="6"/>
      <c r="FSS85" s="6"/>
      <c r="FST85" s="6"/>
      <c r="FSU85" s="6"/>
      <c r="FSV85" s="6"/>
      <c r="FSW85" s="6"/>
      <c r="FSX85" s="6"/>
      <c r="FSY85" s="6"/>
      <c r="FSZ85" s="6"/>
      <c r="FTA85" s="6"/>
      <c r="FTB85" s="6"/>
      <c r="FTC85" s="6"/>
      <c r="FTD85" s="6"/>
      <c r="FTE85" s="6"/>
      <c r="FTF85" s="6"/>
      <c r="FTG85" s="6"/>
      <c r="FTH85" s="6"/>
      <c r="FTI85" s="6"/>
      <c r="FTJ85" s="6"/>
      <c r="FTK85" s="6"/>
      <c r="FTL85" s="6"/>
      <c r="FTM85" s="6"/>
      <c r="FTN85" s="6"/>
      <c r="FTO85" s="6"/>
      <c r="FTP85" s="6"/>
      <c r="FTQ85" s="6"/>
      <c r="FTR85" s="6"/>
      <c r="FTS85" s="6"/>
      <c r="FTT85" s="6"/>
      <c r="FTU85" s="6"/>
      <c r="FTV85" s="6"/>
      <c r="FTW85" s="6"/>
      <c r="FTX85" s="6"/>
      <c r="FTY85" s="6"/>
      <c r="FTZ85" s="6"/>
      <c r="FUA85" s="6"/>
      <c r="FUB85" s="6"/>
      <c r="FUC85" s="6"/>
      <c r="FUD85" s="6"/>
      <c r="FUE85" s="6"/>
      <c r="FUF85" s="6"/>
      <c r="FUG85" s="6"/>
      <c r="FUH85" s="6"/>
      <c r="FUI85" s="6"/>
      <c r="FUJ85" s="6"/>
      <c r="FUK85" s="6"/>
      <c r="FUL85" s="6"/>
      <c r="FUM85" s="6"/>
      <c r="FUN85" s="6"/>
      <c r="FUO85" s="6"/>
      <c r="FUP85" s="6"/>
      <c r="FUQ85" s="6"/>
      <c r="FUR85" s="6"/>
      <c r="FUS85" s="6"/>
      <c r="FUT85" s="6"/>
      <c r="FUU85" s="6"/>
      <c r="FUV85" s="6"/>
      <c r="FUW85" s="6"/>
      <c r="FUX85" s="6"/>
      <c r="FUY85" s="6"/>
      <c r="FUZ85" s="6"/>
      <c r="FVA85" s="6"/>
      <c r="FVB85" s="6"/>
      <c r="FVC85" s="6"/>
      <c r="FVD85" s="6"/>
      <c r="FVE85" s="6"/>
      <c r="FVF85" s="6"/>
      <c r="FVG85" s="6"/>
      <c r="FVH85" s="6"/>
      <c r="FVI85" s="6"/>
      <c r="FVJ85" s="6"/>
      <c r="FVK85" s="6"/>
      <c r="FVL85" s="6"/>
      <c r="FVM85" s="6"/>
      <c r="FVN85" s="6"/>
      <c r="FVO85" s="6"/>
      <c r="FVP85" s="6"/>
      <c r="FVQ85" s="6"/>
      <c r="FVR85" s="6"/>
      <c r="FVS85" s="6"/>
      <c r="FVT85" s="6"/>
      <c r="FVU85" s="6"/>
      <c r="FVV85" s="6"/>
      <c r="FVW85" s="6"/>
      <c r="FVX85" s="6"/>
      <c r="FVY85" s="6"/>
      <c r="FVZ85" s="6"/>
      <c r="FWA85" s="6"/>
      <c r="FWB85" s="6"/>
      <c r="FWC85" s="6"/>
      <c r="FWD85" s="6"/>
      <c r="FWE85" s="6"/>
      <c r="FWF85" s="6"/>
      <c r="FWG85" s="6"/>
      <c r="FWH85" s="6"/>
      <c r="FWI85" s="6"/>
      <c r="FWJ85" s="6"/>
      <c r="FWK85" s="6"/>
      <c r="FWL85" s="6"/>
      <c r="FWM85" s="6"/>
      <c r="FWN85" s="6"/>
      <c r="FWO85" s="6"/>
      <c r="FWP85" s="6"/>
      <c r="FWQ85" s="6"/>
      <c r="FWR85" s="6"/>
      <c r="FWS85" s="6"/>
      <c r="FWT85" s="6"/>
      <c r="FWU85" s="6"/>
      <c r="FWV85" s="6"/>
      <c r="FWW85" s="6"/>
      <c r="FWX85" s="6"/>
      <c r="FWY85" s="6"/>
      <c r="FWZ85" s="6"/>
      <c r="FXA85" s="6"/>
      <c r="FXB85" s="6"/>
      <c r="FXC85" s="6"/>
      <c r="FXD85" s="6"/>
      <c r="FXE85" s="6"/>
      <c r="FXF85" s="6"/>
      <c r="FXG85" s="6"/>
      <c r="FXH85" s="6"/>
      <c r="FXI85" s="6"/>
      <c r="FXJ85" s="6"/>
      <c r="FXK85" s="6"/>
      <c r="FXL85" s="6"/>
      <c r="FXM85" s="6"/>
      <c r="FXN85" s="6"/>
      <c r="FXO85" s="6"/>
      <c r="FXP85" s="6"/>
      <c r="FXQ85" s="6"/>
      <c r="FXR85" s="6"/>
      <c r="FXS85" s="6"/>
      <c r="FXT85" s="6"/>
      <c r="FXU85" s="6"/>
      <c r="FXV85" s="6"/>
      <c r="FXW85" s="6"/>
      <c r="FXX85" s="6"/>
      <c r="FXY85" s="6"/>
      <c r="FXZ85" s="6"/>
      <c r="FYA85" s="6"/>
      <c r="FYB85" s="6"/>
      <c r="FYC85" s="6"/>
      <c r="FYD85" s="6"/>
      <c r="FYE85" s="6"/>
      <c r="FYF85" s="6"/>
      <c r="FYG85" s="6"/>
      <c r="FYH85" s="6"/>
      <c r="FYI85" s="6"/>
      <c r="FYJ85" s="6"/>
      <c r="FYK85" s="6"/>
      <c r="FYL85" s="6"/>
      <c r="FYM85" s="6"/>
      <c r="FYN85" s="6"/>
      <c r="FYO85" s="6"/>
      <c r="FYP85" s="6"/>
      <c r="FYQ85" s="6"/>
      <c r="FYR85" s="6"/>
      <c r="FYS85" s="6"/>
      <c r="FYT85" s="6"/>
      <c r="FYU85" s="6"/>
      <c r="FYV85" s="6"/>
      <c r="FYW85" s="6"/>
      <c r="FYX85" s="6"/>
      <c r="FYY85" s="6"/>
      <c r="FYZ85" s="6"/>
      <c r="FZA85" s="6"/>
      <c r="FZB85" s="6"/>
      <c r="FZC85" s="6"/>
      <c r="FZD85" s="6"/>
      <c r="FZE85" s="6"/>
      <c r="FZF85" s="6"/>
      <c r="FZG85" s="6"/>
      <c r="FZH85" s="6"/>
      <c r="FZI85" s="6"/>
      <c r="FZJ85" s="6"/>
      <c r="FZK85" s="6"/>
      <c r="FZL85" s="6"/>
      <c r="FZM85" s="6"/>
      <c r="FZN85" s="6"/>
      <c r="FZO85" s="6"/>
      <c r="FZP85" s="6"/>
      <c r="FZQ85" s="6"/>
      <c r="FZR85" s="6"/>
      <c r="FZS85" s="6"/>
      <c r="FZT85" s="6"/>
      <c r="FZU85" s="6"/>
      <c r="FZV85" s="6"/>
      <c r="FZW85" s="6"/>
      <c r="FZX85" s="6"/>
      <c r="FZY85" s="6"/>
      <c r="FZZ85" s="6"/>
      <c r="GAA85" s="6"/>
      <c r="GAB85" s="6"/>
      <c r="GAC85" s="6"/>
      <c r="GAD85" s="6"/>
      <c r="GAE85" s="6"/>
      <c r="GAF85" s="6"/>
      <c r="GAG85" s="6"/>
      <c r="GAH85" s="6"/>
      <c r="GAI85" s="6"/>
      <c r="GAJ85" s="6"/>
      <c r="GAK85" s="6"/>
      <c r="GAL85" s="6"/>
      <c r="GAM85" s="6"/>
      <c r="GAN85" s="6"/>
      <c r="GAO85" s="6"/>
      <c r="GAP85" s="6"/>
      <c r="GAQ85" s="6"/>
      <c r="GAR85" s="6"/>
      <c r="GAS85" s="6"/>
      <c r="GAT85" s="6"/>
      <c r="GAU85" s="6"/>
      <c r="GAV85" s="6"/>
      <c r="GAW85" s="6"/>
      <c r="GAX85" s="6"/>
      <c r="GAY85" s="6"/>
      <c r="GAZ85" s="6"/>
      <c r="GBA85" s="6"/>
      <c r="GBB85" s="6"/>
      <c r="GBC85" s="6"/>
      <c r="GBD85" s="6"/>
      <c r="GBE85" s="6"/>
      <c r="GBF85" s="6"/>
      <c r="GBG85" s="6"/>
      <c r="GBH85" s="6"/>
      <c r="GBI85" s="6"/>
      <c r="GBJ85" s="6"/>
      <c r="GBK85" s="6"/>
      <c r="GBL85" s="6"/>
      <c r="GBM85" s="6"/>
      <c r="GBN85" s="6"/>
      <c r="GBO85" s="6"/>
      <c r="GBP85" s="6"/>
      <c r="GBQ85" s="6"/>
      <c r="GBR85" s="6"/>
      <c r="GBS85" s="6"/>
      <c r="GBT85" s="6"/>
      <c r="GBU85" s="6"/>
      <c r="GBV85" s="6"/>
      <c r="GBW85" s="6"/>
      <c r="GBX85" s="6"/>
      <c r="GBY85" s="6"/>
      <c r="GBZ85" s="6"/>
      <c r="GCA85" s="6"/>
      <c r="GCB85" s="6"/>
      <c r="GCC85" s="6"/>
      <c r="GCD85" s="6"/>
      <c r="GCE85" s="6"/>
      <c r="GCF85" s="6"/>
      <c r="GCG85" s="6"/>
      <c r="GCH85" s="6"/>
      <c r="GCI85" s="6"/>
      <c r="GCJ85" s="6"/>
      <c r="GCK85" s="6"/>
      <c r="GCL85" s="6"/>
      <c r="GCM85" s="6"/>
      <c r="GCN85" s="6"/>
      <c r="GCO85" s="6"/>
      <c r="GCP85" s="6"/>
      <c r="GCQ85" s="6"/>
      <c r="GCR85" s="6"/>
      <c r="GCS85" s="6"/>
      <c r="GCT85" s="6"/>
      <c r="GCU85" s="6"/>
      <c r="GCV85" s="6"/>
      <c r="GCW85" s="6"/>
      <c r="GCX85" s="6"/>
      <c r="GCY85" s="6"/>
      <c r="GCZ85" s="6"/>
      <c r="GDA85" s="6"/>
      <c r="GDB85" s="6"/>
      <c r="GDC85" s="6"/>
      <c r="GDD85" s="6"/>
      <c r="GDE85" s="6"/>
      <c r="GDF85" s="6"/>
      <c r="GDG85" s="6"/>
      <c r="GDH85" s="6"/>
      <c r="GDI85" s="6"/>
      <c r="GDJ85" s="6"/>
      <c r="GDK85" s="6"/>
      <c r="GDL85" s="6"/>
      <c r="GDM85" s="6"/>
      <c r="GDN85" s="6"/>
      <c r="GDO85" s="6"/>
      <c r="GDP85" s="6"/>
      <c r="GDQ85" s="6"/>
      <c r="GDR85" s="6"/>
      <c r="GDS85" s="6"/>
      <c r="GDT85" s="6"/>
      <c r="GDU85" s="6"/>
      <c r="GDV85" s="6"/>
      <c r="GDW85" s="6"/>
      <c r="GDX85" s="6"/>
      <c r="GDY85" s="6"/>
      <c r="GDZ85" s="6"/>
      <c r="GEA85" s="6"/>
      <c r="GEB85" s="6"/>
      <c r="GEC85" s="6"/>
      <c r="GED85" s="6"/>
      <c r="GEE85" s="6"/>
      <c r="GEF85" s="6"/>
      <c r="GEG85" s="6"/>
      <c r="GEH85" s="6"/>
      <c r="GEI85" s="6"/>
      <c r="GEJ85" s="6"/>
      <c r="GEK85" s="6"/>
      <c r="GEL85" s="6"/>
      <c r="GEM85" s="6"/>
      <c r="GEN85" s="6"/>
      <c r="GEO85" s="6"/>
      <c r="GEP85" s="6"/>
      <c r="GEQ85" s="6"/>
      <c r="GER85" s="6"/>
      <c r="GES85" s="6"/>
      <c r="GET85" s="6"/>
      <c r="GEU85" s="6"/>
      <c r="GEV85" s="6"/>
      <c r="GEW85" s="6"/>
      <c r="GEX85" s="6"/>
      <c r="GEY85" s="6"/>
      <c r="GEZ85" s="6"/>
      <c r="GFA85" s="6"/>
      <c r="GFB85" s="6"/>
      <c r="GFC85" s="6"/>
      <c r="GFD85" s="6"/>
      <c r="GFE85" s="6"/>
      <c r="GFF85" s="6"/>
      <c r="GFG85" s="6"/>
      <c r="GFH85" s="6"/>
      <c r="GFI85" s="6"/>
      <c r="GFJ85" s="6"/>
      <c r="GFK85" s="6"/>
      <c r="GFL85" s="6"/>
      <c r="GFM85" s="6"/>
      <c r="GFN85" s="6"/>
      <c r="GFO85" s="6"/>
      <c r="GFP85" s="6"/>
      <c r="GFQ85" s="6"/>
      <c r="GFR85" s="6"/>
      <c r="GFS85" s="6"/>
      <c r="GFT85" s="6"/>
      <c r="GFU85" s="6"/>
      <c r="GFV85" s="6"/>
      <c r="GFW85" s="6"/>
      <c r="GFX85" s="6"/>
      <c r="GFY85" s="6"/>
      <c r="GFZ85" s="6"/>
      <c r="GGA85" s="6"/>
      <c r="GGB85" s="6"/>
      <c r="GGC85" s="6"/>
      <c r="GGD85" s="6"/>
      <c r="GGE85" s="6"/>
      <c r="GGF85" s="6"/>
      <c r="GGG85" s="6"/>
      <c r="GGH85" s="6"/>
      <c r="GGI85" s="6"/>
      <c r="GGJ85" s="6"/>
      <c r="GGK85" s="6"/>
      <c r="GGL85" s="6"/>
      <c r="GGM85" s="6"/>
      <c r="GGN85" s="6"/>
      <c r="GGO85" s="6"/>
      <c r="GGP85" s="6"/>
      <c r="GGQ85" s="6"/>
      <c r="GGR85" s="6"/>
      <c r="GGS85" s="6"/>
      <c r="GGT85" s="6"/>
      <c r="GGU85" s="6"/>
      <c r="GGV85" s="6"/>
      <c r="GGW85" s="6"/>
      <c r="GGX85" s="6"/>
      <c r="GGY85" s="6"/>
      <c r="GGZ85" s="6"/>
      <c r="GHA85" s="6"/>
      <c r="GHB85" s="6"/>
      <c r="GHC85" s="6"/>
      <c r="GHD85" s="6"/>
      <c r="GHE85" s="6"/>
      <c r="GHF85" s="6"/>
      <c r="GHG85" s="6"/>
      <c r="GHH85" s="6"/>
      <c r="GHI85" s="6"/>
      <c r="GHJ85" s="6"/>
      <c r="GHK85" s="6"/>
      <c r="GHL85" s="6"/>
      <c r="GHM85" s="6"/>
      <c r="GHN85" s="6"/>
      <c r="GHO85" s="6"/>
      <c r="GHP85" s="6"/>
      <c r="GHQ85" s="6"/>
      <c r="GHR85" s="6"/>
      <c r="GHS85" s="6"/>
      <c r="GHT85" s="6"/>
      <c r="GHU85" s="6"/>
      <c r="GHV85" s="6"/>
      <c r="GHW85" s="6"/>
      <c r="GHX85" s="6"/>
      <c r="GHY85" s="6"/>
      <c r="GHZ85" s="6"/>
      <c r="GIA85" s="6"/>
      <c r="GIB85" s="6"/>
      <c r="GIC85" s="6"/>
      <c r="GID85" s="6"/>
      <c r="GIE85" s="6"/>
      <c r="GIF85" s="6"/>
      <c r="GIG85" s="6"/>
      <c r="GIH85" s="6"/>
      <c r="GII85" s="6"/>
      <c r="GIJ85" s="6"/>
      <c r="GIK85" s="6"/>
      <c r="GIL85" s="6"/>
      <c r="GIM85" s="6"/>
      <c r="GIN85" s="6"/>
      <c r="GIO85" s="6"/>
      <c r="GIP85" s="6"/>
      <c r="GIQ85" s="6"/>
      <c r="GIR85" s="6"/>
      <c r="GIS85" s="6"/>
      <c r="GIT85" s="6"/>
      <c r="GIU85" s="6"/>
      <c r="GIV85" s="6"/>
      <c r="GIW85" s="6"/>
      <c r="GIX85" s="6"/>
      <c r="GIY85" s="6"/>
      <c r="GIZ85" s="6"/>
      <c r="GJA85" s="6"/>
      <c r="GJB85" s="6"/>
      <c r="GJC85" s="6"/>
      <c r="GJD85" s="6"/>
      <c r="GJE85" s="6"/>
      <c r="GJF85" s="6"/>
      <c r="GJG85" s="6"/>
      <c r="GJH85" s="6"/>
      <c r="GJI85" s="6"/>
      <c r="GJJ85" s="6"/>
      <c r="GJK85" s="6"/>
      <c r="GJL85" s="6"/>
      <c r="GJM85" s="6"/>
      <c r="GJN85" s="6"/>
      <c r="GJO85" s="6"/>
      <c r="GJP85" s="6"/>
      <c r="GJQ85" s="6"/>
      <c r="GJR85" s="6"/>
      <c r="GJS85" s="6"/>
      <c r="GJT85" s="6"/>
      <c r="GJU85" s="6"/>
      <c r="GJV85" s="6"/>
      <c r="GJW85" s="6"/>
      <c r="GJX85" s="6"/>
      <c r="GJY85" s="6"/>
      <c r="GJZ85" s="6"/>
      <c r="GKA85" s="6"/>
      <c r="GKB85" s="6"/>
      <c r="GKC85" s="6"/>
      <c r="GKD85" s="6"/>
      <c r="GKE85" s="6"/>
      <c r="GKF85" s="6"/>
      <c r="GKG85" s="6"/>
      <c r="GKH85" s="6"/>
      <c r="GKI85" s="6"/>
      <c r="GKJ85" s="6"/>
      <c r="GKK85" s="6"/>
      <c r="GKL85" s="6"/>
      <c r="GKM85" s="6"/>
      <c r="GKN85" s="6"/>
      <c r="GKO85" s="6"/>
      <c r="GKP85" s="6"/>
      <c r="GKQ85" s="6"/>
      <c r="GKR85" s="6"/>
      <c r="GKS85" s="6"/>
      <c r="GKT85" s="6"/>
      <c r="GKU85" s="6"/>
      <c r="GKV85" s="6"/>
      <c r="GKW85" s="6"/>
      <c r="GKX85" s="6"/>
      <c r="GKY85" s="6"/>
      <c r="GKZ85" s="6"/>
      <c r="GLA85" s="6"/>
      <c r="GLB85" s="6"/>
      <c r="GLC85" s="6"/>
      <c r="GLD85" s="6"/>
      <c r="GLE85" s="6"/>
      <c r="GLF85" s="6"/>
      <c r="GLG85" s="6"/>
      <c r="GLH85" s="6"/>
      <c r="GLI85" s="6"/>
      <c r="GLJ85" s="6"/>
      <c r="GLK85" s="6"/>
      <c r="GLL85" s="6"/>
      <c r="GLM85" s="6"/>
      <c r="GLN85" s="6"/>
      <c r="GLO85" s="6"/>
      <c r="GLP85" s="6"/>
      <c r="GLQ85" s="6"/>
      <c r="GLR85" s="6"/>
      <c r="GLS85" s="6"/>
      <c r="GLT85" s="6"/>
      <c r="GLU85" s="6"/>
      <c r="GLV85" s="6"/>
      <c r="GLW85" s="6"/>
      <c r="GLX85" s="6"/>
      <c r="GLY85" s="6"/>
      <c r="GLZ85" s="6"/>
      <c r="GMA85" s="6"/>
      <c r="GMB85" s="6"/>
      <c r="GMC85" s="6"/>
      <c r="GMD85" s="6"/>
      <c r="GME85" s="6"/>
      <c r="GMF85" s="6"/>
      <c r="GMG85" s="6"/>
      <c r="GMH85" s="6"/>
      <c r="GMI85" s="6"/>
      <c r="GMJ85" s="6"/>
      <c r="GMK85" s="6"/>
      <c r="GML85" s="6"/>
      <c r="GMM85" s="6"/>
      <c r="GMN85" s="6"/>
      <c r="GMO85" s="6"/>
      <c r="GMP85" s="6"/>
      <c r="GMQ85" s="6"/>
      <c r="GMR85" s="6"/>
      <c r="GMS85" s="6"/>
      <c r="GMT85" s="6"/>
      <c r="GMU85" s="6"/>
      <c r="GMV85" s="6"/>
      <c r="GMW85" s="6"/>
      <c r="GMX85" s="6"/>
      <c r="GMY85" s="6"/>
      <c r="GMZ85" s="6"/>
      <c r="GNA85" s="6"/>
      <c r="GNB85" s="6"/>
      <c r="GNC85" s="6"/>
      <c r="GND85" s="6"/>
      <c r="GNE85" s="6"/>
      <c r="GNF85" s="6"/>
      <c r="GNG85" s="6"/>
      <c r="GNH85" s="6"/>
      <c r="GNI85" s="6"/>
      <c r="GNJ85" s="6"/>
      <c r="GNK85" s="6"/>
      <c r="GNL85" s="6"/>
      <c r="GNM85" s="6"/>
      <c r="GNN85" s="6"/>
      <c r="GNO85" s="6"/>
      <c r="GNP85" s="6"/>
      <c r="GNQ85" s="6"/>
      <c r="GNR85" s="6"/>
      <c r="GNS85" s="6"/>
      <c r="GNT85" s="6"/>
      <c r="GNU85" s="6"/>
      <c r="GNV85" s="6"/>
      <c r="GNW85" s="6"/>
      <c r="GNX85" s="6"/>
      <c r="GNY85" s="6"/>
      <c r="GNZ85" s="6"/>
      <c r="GOA85" s="6"/>
      <c r="GOB85" s="6"/>
      <c r="GOC85" s="6"/>
      <c r="GOD85" s="6"/>
      <c r="GOE85" s="6"/>
      <c r="GOF85" s="6"/>
      <c r="GOG85" s="6"/>
      <c r="GOH85" s="6"/>
      <c r="GOI85" s="6"/>
      <c r="GOJ85" s="6"/>
      <c r="GOK85" s="6"/>
      <c r="GOL85" s="6"/>
      <c r="GOM85" s="6"/>
      <c r="GON85" s="6"/>
      <c r="GOO85" s="6"/>
      <c r="GOP85" s="6"/>
      <c r="GOQ85" s="6"/>
      <c r="GOR85" s="6"/>
      <c r="GOS85" s="6"/>
      <c r="GOT85" s="6"/>
      <c r="GOU85" s="6"/>
      <c r="GOV85" s="6"/>
      <c r="GOW85" s="6"/>
      <c r="GOX85" s="6"/>
      <c r="GOY85" s="6"/>
      <c r="GOZ85" s="6"/>
      <c r="GPA85" s="6"/>
      <c r="GPB85" s="6"/>
      <c r="GPC85" s="6"/>
      <c r="GPD85" s="6"/>
      <c r="GPE85" s="6"/>
      <c r="GPF85" s="6"/>
      <c r="GPG85" s="6"/>
      <c r="GPH85" s="6"/>
      <c r="GPI85" s="6"/>
      <c r="GPJ85" s="6"/>
      <c r="GPK85" s="6"/>
      <c r="GPL85" s="6"/>
      <c r="GPM85" s="6"/>
      <c r="GPN85" s="6"/>
      <c r="GPO85" s="6"/>
      <c r="GPP85" s="6"/>
      <c r="GPQ85" s="6"/>
      <c r="GPR85" s="6"/>
      <c r="GPS85" s="6"/>
      <c r="GPT85" s="6"/>
      <c r="GPU85" s="6"/>
      <c r="GPV85" s="6"/>
      <c r="GPW85" s="6"/>
      <c r="GPX85" s="6"/>
      <c r="GPY85" s="6"/>
      <c r="GPZ85" s="6"/>
      <c r="GQA85" s="6"/>
      <c r="GQB85" s="6"/>
      <c r="GQC85" s="6"/>
      <c r="GQD85" s="6"/>
      <c r="GQE85" s="6"/>
      <c r="GQF85" s="6"/>
      <c r="GQG85" s="6"/>
      <c r="GQH85" s="6"/>
      <c r="GQI85" s="6"/>
      <c r="GQJ85" s="6"/>
      <c r="GQK85" s="6"/>
      <c r="GQL85" s="6"/>
      <c r="GQM85" s="6"/>
      <c r="GQN85" s="6"/>
      <c r="GQO85" s="6"/>
      <c r="GQP85" s="6"/>
      <c r="GQQ85" s="6"/>
      <c r="GQR85" s="6"/>
      <c r="GQS85" s="6"/>
      <c r="GQT85" s="6"/>
      <c r="GQU85" s="6"/>
      <c r="GQV85" s="6"/>
      <c r="GQW85" s="6"/>
      <c r="GQX85" s="6"/>
      <c r="GQY85" s="6"/>
      <c r="GQZ85" s="6"/>
      <c r="GRA85" s="6"/>
      <c r="GRB85" s="6"/>
      <c r="GRC85" s="6"/>
      <c r="GRD85" s="6"/>
      <c r="GRE85" s="6"/>
      <c r="GRF85" s="6"/>
      <c r="GRG85" s="6"/>
      <c r="GRH85" s="6"/>
      <c r="GRI85" s="6"/>
      <c r="GRJ85" s="6"/>
      <c r="GRK85" s="6"/>
      <c r="GRL85" s="6"/>
      <c r="GRM85" s="6"/>
      <c r="GRN85" s="6"/>
      <c r="GRO85" s="6"/>
      <c r="GRP85" s="6"/>
      <c r="GRQ85" s="6"/>
      <c r="GRR85" s="6"/>
      <c r="GRS85" s="6"/>
      <c r="GRT85" s="6"/>
      <c r="GRU85" s="6"/>
      <c r="GRV85" s="6"/>
      <c r="GRW85" s="6"/>
      <c r="GRX85" s="6"/>
      <c r="GRY85" s="6"/>
      <c r="GRZ85" s="6"/>
      <c r="GSA85" s="6"/>
      <c r="GSB85" s="6"/>
      <c r="GSC85" s="6"/>
      <c r="GSD85" s="6"/>
      <c r="GSE85" s="6"/>
      <c r="GSF85" s="6"/>
      <c r="GSG85" s="6"/>
      <c r="GSH85" s="6"/>
      <c r="GSI85" s="6"/>
      <c r="GSJ85" s="6"/>
      <c r="GSK85" s="6"/>
      <c r="GSL85" s="6"/>
      <c r="GSM85" s="6"/>
      <c r="GSN85" s="6"/>
      <c r="GSO85" s="6"/>
      <c r="GSP85" s="6"/>
      <c r="GSQ85" s="6"/>
      <c r="GSR85" s="6"/>
      <c r="GSS85" s="6"/>
      <c r="GST85" s="6"/>
      <c r="GSU85" s="6"/>
      <c r="GSV85" s="6"/>
      <c r="GSW85" s="6"/>
      <c r="GSX85" s="6"/>
      <c r="GSY85" s="6"/>
      <c r="GSZ85" s="6"/>
      <c r="GTA85" s="6"/>
      <c r="GTB85" s="6"/>
      <c r="GTC85" s="6"/>
      <c r="GTD85" s="6"/>
      <c r="GTE85" s="6"/>
      <c r="GTF85" s="6"/>
      <c r="GTG85" s="6"/>
      <c r="GTH85" s="6"/>
      <c r="GTI85" s="6"/>
      <c r="GTJ85" s="6"/>
      <c r="GTK85" s="6"/>
      <c r="GTL85" s="6"/>
      <c r="GTM85" s="6"/>
      <c r="GTN85" s="6"/>
      <c r="GTO85" s="6"/>
      <c r="GTP85" s="6"/>
      <c r="GTQ85" s="6"/>
      <c r="GTR85" s="6"/>
      <c r="GTS85" s="6"/>
      <c r="GTT85" s="6"/>
      <c r="GTU85" s="6"/>
      <c r="GTV85" s="6"/>
      <c r="GTW85" s="6"/>
      <c r="GTX85" s="6"/>
      <c r="GTY85" s="6"/>
      <c r="GTZ85" s="6"/>
      <c r="GUA85" s="6"/>
      <c r="GUB85" s="6"/>
      <c r="GUC85" s="6"/>
      <c r="GUD85" s="6"/>
      <c r="GUE85" s="6"/>
      <c r="GUF85" s="6"/>
      <c r="GUG85" s="6"/>
      <c r="GUH85" s="6"/>
      <c r="GUI85" s="6"/>
      <c r="GUJ85" s="6"/>
      <c r="GUK85" s="6"/>
      <c r="GUL85" s="6"/>
      <c r="GUM85" s="6"/>
      <c r="GUN85" s="6"/>
      <c r="GUO85" s="6"/>
      <c r="GUP85" s="6"/>
      <c r="GUQ85" s="6"/>
      <c r="GUR85" s="6"/>
      <c r="GUS85" s="6"/>
      <c r="GUT85" s="6"/>
      <c r="GUU85" s="6"/>
      <c r="GUV85" s="6"/>
      <c r="GUW85" s="6"/>
      <c r="GUX85" s="6"/>
      <c r="GUY85" s="6"/>
      <c r="GUZ85" s="6"/>
      <c r="GVA85" s="6"/>
      <c r="GVB85" s="6"/>
      <c r="GVC85" s="6"/>
      <c r="GVD85" s="6"/>
      <c r="GVE85" s="6"/>
      <c r="GVF85" s="6"/>
      <c r="GVG85" s="6"/>
      <c r="GVH85" s="6"/>
      <c r="GVI85" s="6"/>
      <c r="GVJ85" s="6"/>
      <c r="GVK85" s="6"/>
      <c r="GVL85" s="6"/>
      <c r="GVM85" s="6"/>
      <c r="GVN85" s="6"/>
      <c r="GVO85" s="6"/>
      <c r="GVP85" s="6"/>
      <c r="GVQ85" s="6"/>
      <c r="GVR85" s="6"/>
      <c r="GVS85" s="6"/>
      <c r="GVT85" s="6"/>
      <c r="GVU85" s="6"/>
      <c r="GVV85" s="6"/>
      <c r="GVW85" s="6"/>
      <c r="GVX85" s="6"/>
      <c r="GVY85" s="6"/>
      <c r="GVZ85" s="6"/>
      <c r="GWA85" s="6"/>
      <c r="GWB85" s="6"/>
      <c r="GWC85" s="6"/>
      <c r="GWD85" s="6"/>
      <c r="GWE85" s="6"/>
      <c r="GWF85" s="6"/>
      <c r="GWG85" s="6"/>
      <c r="GWH85" s="6"/>
      <c r="GWI85" s="6"/>
      <c r="GWJ85" s="6"/>
      <c r="GWK85" s="6"/>
      <c r="GWL85" s="6"/>
      <c r="GWM85" s="6"/>
      <c r="GWN85" s="6"/>
      <c r="GWO85" s="6"/>
      <c r="GWP85" s="6"/>
      <c r="GWQ85" s="6"/>
      <c r="GWR85" s="6"/>
      <c r="GWS85" s="6"/>
      <c r="GWT85" s="6"/>
      <c r="GWU85" s="6"/>
      <c r="GWV85" s="6"/>
      <c r="GWW85" s="6"/>
      <c r="GWX85" s="6"/>
      <c r="GWY85" s="6"/>
      <c r="GWZ85" s="6"/>
      <c r="GXA85" s="6"/>
      <c r="GXB85" s="6"/>
      <c r="GXC85" s="6"/>
      <c r="GXD85" s="6"/>
      <c r="GXE85" s="6"/>
      <c r="GXF85" s="6"/>
      <c r="GXG85" s="6"/>
      <c r="GXH85" s="6"/>
      <c r="GXI85" s="6"/>
      <c r="GXJ85" s="6"/>
      <c r="GXK85" s="6"/>
      <c r="GXL85" s="6"/>
      <c r="GXM85" s="6"/>
      <c r="GXN85" s="6"/>
      <c r="GXO85" s="6"/>
      <c r="GXP85" s="6"/>
      <c r="GXQ85" s="6"/>
      <c r="GXR85" s="6"/>
      <c r="GXS85" s="6"/>
      <c r="GXT85" s="6"/>
      <c r="GXU85" s="6"/>
      <c r="GXV85" s="6"/>
      <c r="GXW85" s="6"/>
      <c r="GXX85" s="6"/>
      <c r="GXY85" s="6"/>
      <c r="GXZ85" s="6"/>
      <c r="GYA85" s="6"/>
      <c r="GYB85" s="6"/>
      <c r="GYC85" s="6"/>
      <c r="GYD85" s="6"/>
      <c r="GYE85" s="6"/>
      <c r="GYF85" s="6"/>
      <c r="GYG85" s="6"/>
      <c r="GYH85" s="6"/>
      <c r="GYI85" s="6"/>
      <c r="GYJ85" s="6"/>
      <c r="GYK85" s="6"/>
      <c r="GYL85" s="6"/>
      <c r="GYM85" s="6"/>
      <c r="GYN85" s="6"/>
      <c r="GYO85" s="6"/>
      <c r="GYP85" s="6"/>
      <c r="GYQ85" s="6"/>
      <c r="GYR85" s="6"/>
      <c r="GYS85" s="6"/>
      <c r="GYT85" s="6"/>
      <c r="GYU85" s="6"/>
      <c r="GYV85" s="6"/>
      <c r="GYW85" s="6"/>
      <c r="GYX85" s="6"/>
      <c r="GYY85" s="6"/>
      <c r="GYZ85" s="6"/>
      <c r="GZA85" s="6"/>
      <c r="GZB85" s="6"/>
      <c r="GZC85" s="6"/>
      <c r="GZD85" s="6"/>
      <c r="GZE85" s="6"/>
      <c r="GZF85" s="6"/>
      <c r="GZG85" s="6"/>
      <c r="GZH85" s="6"/>
      <c r="GZI85" s="6"/>
      <c r="GZJ85" s="6"/>
      <c r="GZK85" s="6"/>
      <c r="GZL85" s="6"/>
      <c r="GZM85" s="6"/>
      <c r="GZN85" s="6"/>
      <c r="GZO85" s="6"/>
      <c r="GZP85" s="6"/>
      <c r="GZQ85" s="6"/>
      <c r="GZR85" s="6"/>
      <c r="GZS85" s="6"/>
      <c r="GZT85" s="6"/>
      <c r="GZU85" s="6"/>
      <c r="GZV85" s="6"/>
      <c r="GZW85" s="6"/>
      <c r="GZX85" s="6"/>
      <c r="GZY85" s="6"/>
      <c r="GZZ85" s="6"/>
      <c r="HAA85" s="6"/>
      <c r="HAB85" s="6"/>
      <c r="HAC85" s="6"/>
      <c r="HAD85" s="6"/>
      <c r="HAE85" s="6"/>
      <c r="HAF85" s="6"/>
      <c r="HAG85" s="6"/>
      <c r="HAH85" s="6"/>
      <c r="HAI85" s="6"/>
      <c r="HAJ85" s="6"/>
      <c r="HAK85" s="6"/>
      <c r="HAL85" s="6"/>
      <c r="HAM85" s="6"/>
      <c r="HAN85" s="6"/>
      <c r="HAO85" s="6"/>
      <c r="HAP85" s="6"/>
      <c r="HAQ85" s="6"/>
      <c r="HAR85" s="6"/>
      <c r="HAS85" s="6"/>
      <c r="HAT85" s="6"/>
      <c r="HAU85" s="6"/>
      <c r="HAV85" s="6"/>
      <c r="HAW85" s="6"/>
      <c r="HAX85" s="6"/>
      <c r="HAY85" s="6"/>
      <c r="HAZ85" s="6"/>
      <c r="HBA85" s="6"/>
      <c r="HBB85" s="6"/>
      <c r="HBC85" s="6"/>
      <c r="HBD85" s="6"/>
      <c r="HBE85" s="6"/>
      <c r="HBF85" s="6"/>
      <c r="HBG85" s="6"/>
      <c r="HBH85" s="6"/>
      <c r="HBI85" s="6"/>
      <c r="HBJ85" s="6"/>
      <c r="HBK85" s="6"/>
      <c r="HBL85" s="6"/>
      <c r="HBM85" s="6"/>
      <c r="HBN85" s="6"/>
      <c r="HBO85" s="6"/>
      <c r="HBP85" s="6"/>
      <c r="HBQ85" s="6"/>
      <c r="HBR85" s="6"/>
      <c r="HBS85" s="6"/>
      <c r="HBT85" s="6"/>
      <c r="HBU85" s="6"/>
      <c r="HBV85" s="6"/>
      <c r="HBW85" s="6"/>
      <c r="HBX85" s="6"/>
      <c r="HBY85" s="6"/>
      <c r="HBZ85" s="6"/>
      <c r="HCA85" s="6"/>
      <c r="HCB85" s="6"/>
      <c r="HCC85" s="6"/>
      <c r="HCD85" s="6"/>
      <c r="HCE85" s="6"/>
      <c r="HCF85" s="6"/>
      <c r="HCG85" s="6"/>
      <c r="HCH85" s="6"/>
      <c r="HCI85" s="6"/>
      <c r="HCJ85" s="6"/>
      <c r="HCK85" s="6"/>
      <c r="HCL85" s="6"/>
      <c r="HCM85" s="6"/>
      <c r="HCN85" s="6"/>
      <c r="HCO85" s="6"/>
      <c r="HCP85" s="6"/>
      <c r="HCQ85" s="6"/>
      <c r="HCR85" s="6"/>
      <c r="HCS85" s="6"/>
      <c r="HCT85" s="6"/>
      <c r="HCU85" s="6"/>
      <c r="HCV85" s="6"/>
      <c r="HCW85" s="6"/>
      <c r="HCX85" s="6"/>
      <c r="HCY85" s="6"/>
      <c r="HCZ85" s="6"/>
      <c r="HDA85" s="6"/>
      <c r="HDB85" s="6"/>
      <c r="HDC85" s="6"/>
      <c r="HDD85" s="6"/>
      <c r="HDE85" s="6"/>
      <c r="HDF85" s="6"/>
      <c r="HDG85" s="6"/>
      <c r="HDH85" s="6"/>
      <c r="HDI85" s="6"/>
      <c r="HDJ85" s="6"/>
      <c r="HDK85" s="6"/>
      <c r="HDL85" s="6"/>
      <c r="HDM85" s="6"/>
      <c r="HDN85" s="6"/>
      <c r="HDO85" s="6"/>
      <c r="HDP85" s="6"/>
      <c r="HDQ85" s="6"/>
      <c r="HDR85" s="6"/>
      <c r="HDS85" s="6"/>
      <c r="HDT85" s="6"/>
      <c r="HDU85" s="6"/>
      <c r="HDV85" s="6"/>
      <c r="HDW85" s="6"/>
      <c r="HDX85" s="6"/>
      <c r="HDY85" s="6"/>
      <c r="HDZ85" s="6"/>
      <c r="HEA85" s="6"/>
      <c r="HEB85" s="6"/>
      <c r="HEC85" s="6"/>
      <c r="HED85" s="6"/>
      <c r="HEE85" s="6"/>
      <c r="HEF85" s="6"/>
      <c r="HEG85" s="6"/>
      <c r="HEH85" s="6"/>
      <c r="HEI85" s="6"/>
      <c r="HEJ85" s="6"/>
      <c r="HEK85" s="6"/>
      <c r="HEL85" s="6"/>
      <c r="HEM85" s="6"/>
      <c r="HEN85" s="6"/>
      <c r="HEO85" s="6"/>
      <c r="HEP85" s="6"/>
      <c r="HEQ85" s="6"/>
      <c r="HER85" s="6"/>
      <c r="HES85" s="6"/>
      <c r="HET85" s="6"/>
      <c r="HEU85" s="6"/>
      <c r="HEV85" s="6"/>
      <c r="HEW85" s="6"/>
      <c r="HEX85" s="6"/>
      <c r="HEY85" s="6"/>
      <c r="HEZ85" s="6"/>
      <c r="HFA85" s="6"/>
      <c r="HFB85" s="6"/>
      <c r="HFC85" s="6"/>
      <c r="HFD85" s="6"/>
      <c r="HFE85" s="6"/>
      <c r="HFF85" s="6"/>
      <c r="HFG85" s="6"/>
      <c r="HFH85" s="6"/>
      <c r="HFI85" s="6"/>
      <c r="HFJ85" s="6"/>
      <c r="HFK85" s="6"/>
      <c r="HFL85" s="6"/>
      <c r="HFM85" s="6"/>
      <c r="HFN85" s="6"/>
      <c r="HFO85" s="6"/>
      <c r="HFP85" s="6"/>
      <c r="HFQ85" s="6"/>
      <c r="HFR85" s="6"/>
      <c r="HFS85" s="6"/>
      <c r="HFT85" s="6"/>
      <c r="HFU85" s="6"/>
      <c r="HFV85" s="6"/>
      <c r="HFW85" s="6"/>
      <c r="HFX85" s="6"/>
      <c r="HFY85" s="6"/>
      <c r="HFZ85" s="6"/>
      <c r="HGA85" s="6"/>
      <c r="HGB85" s="6"/>
      <c r="HGC85" s="6"/>
      <c r="HGD85" s="6"/>
      <c r="HGE85" s="6"/>
      <c r="HGF85" s="6"/>
      <c r="HGG85" s="6"/>
      <c r="HGH85" s="6"/>
      <c r="HGI85" s="6"/>
      <c r="HGJ85" s="6"/>
      <c r="HGK85" s="6"/>
      <c r="HGL85" s="6"/>
      <c r="HGM85" s="6"/>
      <c r="HGN85" s="6"/>
      <c r="HGO85" s="6"/>
      <c r="HGP85" s="6"/>
      <c r="HGQ85" s="6"/>
      <c r="HGR85" s="6"/>
      <c r="HGS85" s="6"/>
      <c r="HGT85" s="6"/>
      <c r="HGU85" s="6"/>
      <c r="HGV85" s="6"/>
      <c r="HGW85" s="6"/>
      <c r="HGX85" s="6"/>
      <c r="HGY85" s="6"/>
      <c r="HGZ85" s="6"/>
      <c r="HHA85" s="6"/>
      <c r="HHB85" s="6"/>
      <c r="HHC85" s="6"/>
      <c r="HHD85" s="6"/>
      <c r="HHE85" s="6"/>
      <c r="HHF85" s="6"/>
      <c r="HHG85" s="6"/>
      <c r="HHH85" s="6"/>
      <c r="HHI85" s="6"/>
      <c r="HHJ85" s="6"/>
      <c r="HHK85" s="6"/>
      <c r="HHL85" s="6"/>
      <c r="HHM85" s="6"/>
      <c r="HHN85" s="6"/>
      <c r="HHO85" s="6"/>
      <c r="HHP85" s="6"/>
      <c r="HHQ85" s="6"/>
      <c r="HHR85" s="6"/>
      <c r="HHS85" s="6"/>
      <c r="HHT85" s="6"/>
      <c r="HHU85" s="6"/>
      <c r="HHV85" s="6"/>
      <c r="HHW85" s="6"/>
      <c r="HHX85" s="6"/>
      <c r="HHY85" s="6"/>
      <c r="HHZ85" s="6"/>
      <c r="HIA85" s="6"/>
      <c r="HIB85" s="6"/>
      <c r="HIC85" s="6"/>
      <c r="HID85" s="6"/>
      <c r="HIE85" s="6"/>
      <c r="HIF85" s="6"/>
      <c r="HIG85" s="6"/>
      <c r="HIH85" s="6"/>
      <c r="HII85" s="6"/>
      <c r="HIJ85" s="6"/>
      <c r="HIK85" s="6"/>
      <c r="HIL85" s="6"/>
      <c r="HIM85" s="6"/>
      <c r="HIN85" s="6"/>
      <c r="HIO85" s="6"/>
      <c r="HIP85" s="6"/>
      <c r="HIQ85" s="6"/>
      <c r="HIR85" s="6"/>
      <c r="HIS85" s="6"/>
      <c r="HIT85" s="6"/>
      <c r="HIU85" s="6"/>
      <c r="HIV85" s="6"/>
      <c r="HIW85" s="6"/>
      <c r="HIX85" s="6"/>
      <c r="HIY85" s="6"/>
      <c r="HIZ85" s="6"/>
      <c r="HJA85" s="6"/>
      <c r="HJB85" s="6"/>
      <c r="HJC85" s="6"/>
      <c r="HJD85" s="6"/>
      <c r="HJE85" s="6"/>
      <c r="HJF85" s="6"/>
      <c r="HJG85" s="6"/>
      <c r="HJH85" s="6"/>
      <c r="HJI85" s="6"/>
      <c r="HJJ85" s="6"/>
      <c r="HJK85" s="6"/>
      <c r="HJL85" s="6"/>
      <c r="HJM85" s="6"/>
      <c r="HJN85" s="6"/>
      <c r="HJO85" s="6"/>
      <c r="HJP85" s="6"/>
      <c r="HJQ85" s="6"/>
      <c r="HJR85" s="6"/>
      <c r="HJS85" s="6"/>
      <c r="HJT85" s="6"/>
      <c r="HJU85" s="6"/>
      <c r="HJV85" s="6"/>
      <c r="HJW85" s="6"/>
      <c r="HJX85" s="6"/>
      <c r="HJY85" s="6"/>
      <c r="HJZ85" s="6"/>
      <c r="HKA85" s="6"/>
      <c r="HKB85" s="6"/>
      <c r="HKC85" s="6"/>
      <c r="HKD85" s="6"/>
      <c r="HKE85" s="6"/>
      <c r="HKF85" s="6"/>
      <c r="HKG85" s="6"/>
      <c r="HKH85" s="6"/>
      <c r="HKI85" s="6"/>
      <c r="HKJ85" s="6"/>
      <c r="HKK85" s="6"/>
      <c r="HKL85" s="6"/>
      <c r="HKM85" s="6"/>
      <c r="HKN85" s="6"/>
      <c r="HKO85" s="6"/>
      <c r="HKP85" s="6"/>
      <c r="HKQ85" s="6"/>
      <c r="HKR85" s="6"/>
      <c r="HKS85" s="6"/>
      <c r="HKT85" s="6"/>
      <c r="HKU85" s="6"/>
      <c r="HKV85" s="6"/>
      <c r="HKW85" s="6"/>
      <c r="HKX85" s="6"/>
      <c r="HKY85" s="6"/>
      <c r="HKZ85" s="6"/>
      <c r="HLA85" s="6"/>
      <c r="HLB85" s="6"/>
      <c r="HLC85" s="6"/>
      <c r="HLD85" s="6"/>
      <c r="HLE85" s="6"/>
      <c r="HLF85" s="6"/>
      <c r="HLG85" s="6"/>
      <c r="HLH85" s="6"/>
      <c r="HLI85" s="6"/>
      <c r="HLJ85" s="6"/>
      <c r="HLK85" s="6"/>
      <c r="HLL85" s="6"/>
      <c r="HLM85" s="6"/>
      <c r="HLN85" s="6"/>
      <c r="HLO85" s="6"/>
      <c r="HLP85" s="6"/>
      <c r="HLQ85" s="6"/>
      <c r="HLR85" s="6"/>
      <c r="HLS85" s="6"/>
      <c r="HLT85" s="6"/>
      <c r="HLU85" s="6"/>
      <c r="HLV85" s="6"/>
      <c r="HLW85" s="6"/>
      <c r="HLX85" s="6"/>
      <c r="HLY85" s="6"/>
      <c r="HLZ85" s="6"/>
      <c r="HMA85" s="6"/>
      <c r="HMB85" s="6"/>
      <c r="HMC85" s="6"/>
      <c r="HMD85" s="6"/>
      <c r="HME85" s="6"/>
      <c r="HMF85" s="6"/>
      <c r="HMG85" s="6"/>
      <c r="HMH85" s="6"/>
      <c r="HMI85" s="6"/>
      <c r="HMJ85" s="6"/>
      <c r="HMK85" s="6"/>
      <c r="HML85" s="6"/>
      <c r="HMM85" s="6"/>
      <c r="HMN85" s="6"/>
      <c r="HMO85" s="6"/>
      <c r="HMP85" s="6"/>
      <c r="HMQ85" s="6"/>
      <c r="HMR85" s="6"/>
      <c r="HMS85" s="6"/>
      <c r="HMT85" s="6"/>
      <c r="HMU85" s="6"/>
      <c r="HMV85" s="6"/>
      <c r="HMW85" s="6"/>
      <c r="HMX85" s="6"/>
      <c r="HMY85" s="6"/>
      <c r="HMZ85" s="6"/>
      <c r="HNA85" s="6"/>
      <c r="HNB85" s="6"/>
      <c r="HNC85" s="6"/>
      <c r="HND85" s="6"/>
      <c r="HNE85" s="6"/>
      <c r="HNF85" s="6"/>
      <c r="HNG85" s="6"/>
      <c r="HNH85" s="6"/>
      <c r="HNI85" s="6"/>
      <c r="HNJ85" s="6"/>
      <c r="HNK85" s="6"/>
      <c r="HNL85" s="6"/>
      <c r="HNM85" s="6"/>
      <c r="HNN85" s="6"/>
      <c r="HNO85" s="6"/>
      <c r="HNP85" s="6"/>
      <c r="HNQ85" s="6"/>
      <c r="HNR85" s="6"/>
      <c r="HNS85" s="6"/>
      <c r="HNT85" s="6"/>
      <c r="HNU85" s="6"/>
      <c r="HNV85" s="6"/>
      <c r="HNW85" s="6"/>
      <c r="HNX85" s="6"/>
      <c r="HNY85" s="6"/>
      <c r="HNZ85" s="6"/>
      <c r="HOA85" s="6"/>
      <c r="HOB85" s="6"/>
      <c r="HOC85" s="6"/>
      <c r="HOD85" s="6"/>
      <c r="HOE85" s="6"/>
      <c r="HOF85" s="6"/>
      <c r="HOG85" s="6"/>
      <c r="HOH85" s="6"/>
      <c r="HOI85" s="6"/>
      <c r="HOJ85" s="6"/>
      <c r="HOK85" s="6"/>
      <c r="HOL85" s="6"/>
      <c r="HOM85" s="6"/>
      <c r="HON85" s="6"/>
      <c r="HOO85" s="6"/>
      <c r="HOP85" s="6"/>
      <c r="HOQ85" s="6"/>
      <c r="HOR85" s="6"/>
      <c r="HOS85" s="6"/>
      <c r="HOT85" s="6"/>
      <c r="HOU85" s="6"/>
      <c r="HOV85" s="6"/>
      <c r="HOW85" s="6"/>
      <c r="HOX85" s="6"/>
      <c r="HOY85" s="6"/>
      <c r="HOZ85" s="6"/>
      <c r="HPA85" s="6"/>
      <c r="HPB85" s="6"/>
      <c r="HPC85" s="6"/>
      <c r="HPD85" s="6"/>
      <c r="HPE85" s="6"/>
      <c r="HPF85" s="6"/>
      <c r="HPG85" s="6"/>
      <c r="HPH85" s="6"/>
      <c r="HPI85" s="6"/>
      <c r="HPJ85" s="6"/>
      <c r="HPK85" s="6"/>
      <c r="HPL85" s="6"/>
      <c r="HPM85" s="6"/>
      <c r="HPN85" s="6"/>
      <c r="HPO85" s="6"/>
      <c r="HPP85" s="6"/>
      <c r="HPQ85" s="6"/>
      <c r="HPR85" s="6"/>
      <c r="HPS85" s="6"/>
      <c r="HPT85" s="6"/>
      <c r="HPU85" s="6"/>
      <c r="HPV85" s="6"/>
      <c r="HPW85" s="6"/>
      <c r="HPX85" s="6"/>
      <c r="HPY85" s="6"/>
      <c r="HPZ85" s="6"/>
      <c r="HQA85" s="6"/>
      <c r="HQB85" s="6"/>
      <c r="HQC85" s="6"/>
      <c r="HQD85" s="6"/>
      <c r="HQE85" s="6"/>
      <c r="HQF85" s="6"/>
      <c r="HQG85" s="6"/>
      <c r="HQH85" s="6"/>
      <c r="HQI85" s="6"/>
      <c r="HQJ85" s="6"/>
      <c r="HQK85" s="6"/>
      <c r="HQL85" s="6"/>
      <c r="HQM85" s="6"/>
      <c r="HQN85" s="6"/>
      <c r="HQO85" s="6"/>
      <c r="HQP85" s="6"/>
      <c r="HQQ85" s="6"/>
      <c r="HQR85" s="6"/>
      <c r="HQS85" s="6"/>
      <c r="HQT85" s="6"/>
      <c r="HQU85" s="6"/>
      <c r="HQV85" s="6"/>
      <c r="HQW85" s="6"/>
      <c r="HQX85" s="6"/>
      <c r="HQY85" s="6"/>
      <c r="HQZ85" s="6"/>
      <c r="HRA85" s="6"/>
      <c r="HRB85" s="6"/>
      <c r="HRC85" s="6"/>
      <c r="HRD85" s="6"/>
      <c r="HRE85" s="6"/>
      <c r="HRF85" s="6"/>
      <c r="HRG85" s="6"/>
      <c r="HRH85" s="6"/>
      <c r="HRI85" s="6"/>
      <c r="HRJ85" s="6"/>
      <c r="HRK85" s="6"/>
      <c r="HRL85" s="6"/>
      <c r="HRM85" s="6"/>
      <c r="HRN85" s="6"/>
      <c r="HRO85" s="6"/>
      <c r="HRP85" s="6"/>
      <c r="HRQ85" s="6"/>
      <c r="HRR85" s="6"/>
      <c r="HRS85" s="6"/>
      <c r="HRT85" s="6"/>
      <c r="HRU85" s="6"/>
      <c r="HRV85" s="6"/>
      <c r="HRW85" s="6"/>
      <c r="HRX85" s="6"/>
      <c r="HRY85" s="6"/>
      <c r="HRZ85" s="6"/>
      <c r="HSA85" s="6"/>
      <c r="HSB85" s="6"/>
      <c r="HSC85" s="6"/>
      <c r="HSD85" s="6"/>
      <c r="HSE85" s="6"/>
      <c r="HSF85" s="6"/>
      <c r="HSG85" s="6"/>
      <c r="HSH85" s="6"/>
      <c r="HSI85" s="6"/>
      <c r="HSJ85" s="6"/>
      <c r="HSK85" s="6"/>
      <c r="HSL85" s="6"/>
      <c r="HSM85" s="6"/>
      <c r="HSN85" s="6"/>
      <c r="HSO85" s="6"/>
      <c r="HSP85" s="6"/>
      <c r="HSQ85" s="6"/>
      <c r="HSR85" s="6"/>
      <c r="HSS85" s="6"/>
      <c r="HST85" s="6"/>
      <c r="HSU85" s="6"/>
      <c r="HSV85" s="6"/>
      <c r="HSW85" s="6"/>
      <c r="HSX85" s="6"/>
      <c r="HSY85" s="6"/>
      <c r="HSZ85" s="6"/>
      <c r="HTA85" s="6"/>
      <c r="HTB85" s="6"/>
      <c r="HTC85" s="6"/>
      <c r="HTD85" s="6"/>
      <c r="HTE85" s="6"/>
      <c r="HTF85" s="6"/>
      <c r="HTG85" s="6"/>
      <c r="HTH85" s="6"/>
      <c r="HTI85" s="6"/>
      <c r="HTJ85" s="6"/>
      <c r="HTK85" s="6"/>
      <c r="HTL85" s="6"/>
      <c r="HTM85" s="6"/>
      <c r="HTN85" s="6"/>
      <c r="HTO85" s="6"/>
      <c r="HTP85" s="6"/>
      <c r="HTQ85" s="6"/>
      <c r="HTR85" s="6"/>
      <c r="HTS85" s="6"/>
      <c r="HTT85" s="6"/>
      <c r="HTU85" s="6"/>
      <c r="HTV85" s="6"/>
      <c r="HTW85" s="6"/>
      <c r="HTX85" s="6"/>
      <c r="HTY85" s="6"/>
      <c r="HTZ85" s="6"/>
      <c r="HUA85" s="6"/>
      <c r="HUB85" s="6"/>
      <c r="HUC85" s="6"/>
      <c r="HUD85" s="6"/>
      <c r="HUE85" s="6"/>
      <c r="HUF85" s="6"/>
      <c r="HUG85" s="6"/>
      <c r="HUH85" s="6"/>
      <c r="HUI85" s="6"/>
      <c r="HUJ85" s="6"/>
      <c r="HUK85" s="6"/>
      <c r="HUL85" s="6"/>
      <c r="HUM85" s="6"/>
      <c r="HUN85" s="6"/>
      <c r="HUO85" s="6"/>
      <c r="HUP85" s="6"/>
      <c r="HUQ85" s="6"/>
      <c r="HUR85" s="6"/>
      <c r="HUS85" s="6"/>
      <c r="HUT85" s="6"/>
      <c r="HUU85" s="6"/>
      <c r="HUV85" s="6"/>
      <c r="HUW85" s="6"/>
      <c r="HUX85" s="6"/>
      <c r="HUY85" s="6"/>
      <c r="HUZ85" s="6"/>
      <c r="HVA85" s="6"/>
      <c r="HVB85" s="6"/>
      <c r="HVC85" s="6"/>
      <c r="HVD85" s="6"/>
      <c r="HVE85" s="6"/>
      <c r="HVF85" s="6"/>
      <c r="HVG85" s="6"/>
      <c r="HVH85" s="6"/>
      <c r="HVI85" s="6"/>
      <c r="HVJ85" s="6"/>
      <c r="HVK85" s="6"/>
      <c r="HVL85" s="6"/>
      <c r="HVM85" s="6"/>
      <c r="HVN85" s="6"/>
      <c r="HVO85" s="6"/>
      <c r="HVP85" s="6"/>
      <c r="HVQ85" s="6"/>
      <c r="HVR85" s="6"/>
      <c r="HVS85" s="6"/>
      <c r="HVT85" s="6"/>
      <c r="HVU85" s="6"/>
      <c r="HVV85" s="6"/>
      <c r="HVW85" s="6"/>
      <c r="HVX85" s="6"/>
      <c r="HVY85" s="6"/>
      <c r="HVZ85" s="6"/>
      <c r="HWA85" s="6"/>
      <c r="HWB85" s="6"/>
      <c r="HWC85" s="6"/>
      <c r="HWD85" s="6"/>
      <c r="HWE85" s="6"/>
      <c r="HWF85" s="6"/>
      <c r="HWG85" s="6"/>
      <c r="HWH85" s="6"/>
      <c r="HWI85" s="6"/>
      <c r="HWJ85" s="6"/>
      <c r="HWK85" s="6"/>
      <c r="HWL85" s="6"/>
      <c r="HWM85" s="6"/>
      <c r="HWN85" s="6"/>
      <c r="HWO85" s="6"/>
      <c r="HWP85" s="6"/>
      <c r="HWQ85" s="6"/>
      <c r="HWR85" s="6"/>
      <c r="HWS85" s="6"/>
      <c r="HWT85" s="6"/>
      <c r="HWU85" s="6"/>
      <c r="HWV85" s="6"/>
      <c r="HWW85" s="6"/>
      <c r="HWX85" s="6"/>
      <c r="HWY85" s="6"/>
      <c r="HWZ85" s="6"/>
      <c r="HXA85" s="6"/>
      <c r="HXB85" s="6"/>
      <c r="HXC85" s="6"/>
      <c r="HXD85" s="6"/>
      <c r="HXE85" s="6"/>
      <c r="HXF85" s="6"/>
      <c r="HXG85" s="6"/>
      <c r="HXH85" s="6"/>
      <c r="HXI85" s="6"/>
      <c r="HXJ85" s="6"/>
      <c r="HXK85" s="6"/>
      <c r="HXL85" s="6"/>
      <c r="HXM85" s="6"/>
      <c r="HXN85" s="6"/>
      <c r="HXO85" s="6"/>
      <c r="HXP85" s="6"/>
      <c r="HXQ85" s="6"/>
      <c r="HXR85" s="6"/>
      <c r="HXS85" s="6"/>
      <c r="HXT85" s="6"/>
      <c r="HXU85" s="6"/>
      <c r="HXV85" s="6"/>
      <c r="HXW85" s="6"/>
      <c r="HXX85" s="6"/>
      <c r="HXY85" s="6"/>
      <c r="HXZ85" s="6"/>
      <c r="HYA85" s="6"/>
      <c r="HYB85" s="6"/>
      <c r="HYC85" s="6"/>
      <c r="HYD85" s="6"/>
      <c r="HYE85" s="6"/>
      <c r="HYF85" s="6"/>
      <c r="HYG85" s="6"/>
      <c r="HYH85" s="6"/>
      <c r="HYI85" s="6"/>
      <c r="HYJ85" s="6"/>
      <c r="HYK85" s="6"/>
      <c r="HYL85" s="6"/>
      <c r="HYM85" s="6"/>
      <c r="HYN85" s="6"/>
      <c r="HYO85" s="6"/>
      <c r="HYP85" s="6"/>
      <c r="HYQ85" s="6"/>
      <c r="HYR85" s="6"/>
      <c r="HYS85" s="6"/>
      <c r="HYT85" s="6"/>
      <c r="HYU85" s="6"/>
      <c r="HYV85" s="6"/>
      <c r="HYW85" s="6"/>
      <c r="HYX85" s="6"/>
      <c r="HYY85" s="6"/>
      <c r="HYZ85" s="6"/>
      <c r="HZA85" s="6"/>
      <c r="HZB85" s="6"/>
      <c r="HZC85" s="6"/>
      <c r="HZD85" s="6"/>
      <c r="HZE85" s="6"/>
      <c r="HZF85" s="6"/>
      <c r="HZG85" s="6"/>
      <c r="HZH85" s="6"/>
      <c r="HZI85" s="6"/>
      <c r="HZJ85" s="6"/>
      <c r="HZK85" s="6"/>
      <c r="HZL85" s="6"/>
      <c r="HZM85" s="6"/>
      <c r="HZN85" s="6"/>
      <c r="HZO85" s="6"/>
      <c r="HZP85" s="6"/>
      <c r="HZQ85" s="6"/>
      <c r="HZR85" s="6"/>
      <c r="HZS85" s="6"/>
      <c r="HZT85" s="6"/>
      <c r="HZU85" s="6"/>
      <c r="HZV85" s="6"/>
      <c r="HZW85" s="6"/>
      <c r="HZX85" s="6"/>
      <c r="HZY85" s="6"/>
      <c r="HZZ85" s="6"/>
      <c r="IAA85" s="6"/>
      <c r="IAB85" s="6"/>
      <c r="IAC85" s="6"/>
      <c r="IAD85" s="6"/>
      <c r="IAE85" s="6"/>
      <c r="IAF85" s="6"/>
      <c r="IAG85" s="6"/>
      <c r="IAH85" s="6"/>
      <c r="IAI85" s="6"/>
      <c r="IAJ85" s="6"/>
      <c r="IAK85" s="6"/>
      <c r="IAL85" s="6"/>
      <c r="IAM85" s="6"/>
      <c r="IAN85" s="6"/>
      <c r="IAO85" s="6"/>
      <c r="IAP85" s="6"/>
      <c r="IAQ85" s="6"/>
      <c r="IAR85" s="6"/>
      <c r="IAS85" s="6"/>
      <c r="IAT85" s="6"/>
      <c r="IAU85" s="6"/>
      <c r="IAV85" s="6"/>
      <c r="IAW85" s="6"/>
      <c r="IAX85" s="6"/>
      <c r="IAY85" s="6"/>
      <c r="IAZ85" s="6"/>
      <c r="IBA85" s="6"/>
      <c r="IBB85" s="6"/>
      <c r="IBC85" s="6"/>
      <c r="IBD85" s="6"/>
      <c r="IBE85" s="6"/>
      <c r="IBF85" s="6"/>
      <c r="IBG85" s="6"/>
      <c r="IBH85" s="6"/>
      <c r="IBI85" s="6"/>
      <c r="IBJ85" s="6"/>
      <c r="IBK85" s="6"/>
      <c r="IBL85" s="6"/>
      <c r="IBM85" s="6"/>
      <c r="IBN85" s="6"/>
      <c r="IBO85" s="6"/>
      <c r="IBP85" s="6"/>
      <c r="IBQ85" s="6"/>
      <c r="IBR85" s="6"/>
      <c r="IBS85" s="6"/>
      <c r="IBT85" s="6"/>
      <c r="IBU85" s="6"/>
      <c r="IBV85" s="6"/>
      <c r="IBW85" s="6"/>
      <c r="IBX85" s="6"/>
      <c r="IBY85" s="6"/>
      <c r="IBZ85" s="6"/>
      <c r="ICA85" s="6"/>
      <c r="ICB85" s="6"/>
      <c r="ICC85" s="6"/>
      <c r="ICD85" s="6"/>
      <c r="ICE85" s="6"/>
      <c r="ICF85" s="6"/>
      <c r="ICG85" s="6"/>
      <c r="ICH85" s="6"/>
      <c r="ICI85" s="6"/>
      <c r="ICJ85" s="6"/>
      <c r="ICK85" s="6"/>
      <c r="ICL85" s="6"/>
      <c r="ICM85" s="6"/>
      <c r="ICN85" s="6"/>
      <c r="ICO85" s="6"/>
      <c r="ICP85" s="6"/>
      <c r="ICQ85" s="6"/>
      <c r="ICR85" s="6"/>
      <c r="ICS85" s="6"/>
      <c r="ICT85" s="6"/>
      <c r="ICU85" s="6"/>
      <c r="ICV85" s="6"/>
      <c r="ICW85" s="6"/>
      <c r="ICX85" s="6"/>
      <c r="ICY85" s="6"/>
      <c r="ICZ85" s="6"/>
      <c r="IDA85" s="6"/>
      <c r="IDB85" s="6"/>
      <c r="IDC85" s="6"/>
      <c r="IDD85" s="6"/>
      <c r="IDE85" s="6"/>
      <c r="IDF85" s="6"/>
      <c r="IDG85" s="6"/>
      <c r="IDH85" s="6"/>
      <c r="IDI85" s="6"/>
      <c r="IDJ85" s="6"/>
      <c r="IDK85" s="6"/>
      <c r="IDL85" s="6"/>
      <c r="IDM85" s="6"/>
      <c r="IDN85" s="6"/>
      <c r="IDO85" s="6"/>
      <c r="IDP85" s="6"/>
      <c r="IDQ85" s="6"/>
      <c r="IDR85" s="6"/>
      <c r="IDS85" s="6"/>
      <c r="IDT85" s="6"/>
      <c r="IDU85" s="6"/>
      <c r="IDV85" s="6"/>
      <c r="IDW85" s="6"/>
      <c r="IDX85" s="6"/>
      <c r="IDY85" s="6"/>
      <c r="IDZ85" s="6"/>
      <c r="IEA85" s="6"/>
      <c r="IEB85" s="6"/>
      <c r="IEC85" s="6"/>
      <c r="IED85" s="6"/>
      <c r="IEE85" s="6"/>
      <c r="IEF85" s="6"/>
      <c r="IEG85" s="6"/>
      <c r="IEH85" s="6"/>
      <c r="IEI85" s="6"/>
      <c r="IEJ85" s="6"/>
      <c r="IEK85" s="6"/>
      <c r="IEL85" s="6"/>
      <c r="IEM85" s="6"/>
      <c r="IEN85" s="6"/>
      <c r="IEO85" s="6"/>
      <c r="IEP85" s="6"/>
      <c r="IEQ85" s="6"/>
      <c r="IER85" s="6"/>
      <c r="IES85" s="6"/>
      <c r="IET85" s="6"/>
      <c r="IEU85" s="6"/>
      <c r="IEV85" s="6"/>
      <c r="IEW85" s="6"/>
      <c r="IEX85" s="6"/>
      <c r="IEY85" s="6"/>
      <c r="IEZ85" s="6"/>
      <c r="IFA85" s="6"/>
      <c r="IFB85" s="6"/>
      <c r="IFC85" s="6"/>
      <c r="IFD85" s="6"/>
      <c r="IFE85" s="6"/>
      <c r="IFF85" s="6"/>
      <c r="IFG85" s="6"/>
      <c r="IFH85" s="6"/>
      <c r="IFI85" s="6"/>
      <c r="IFJ85" s="6"/>
      <c r="IFK85" s="6"/>
      <c r="IFL85" s="6"/>
      <c r="IFM85" s="6"/>
      <c r="IFN85" s="6"/>
      <c r="IFO85" s="6"/>
      <c r="IFP85" s="6"/>
      <c r="IFQ85" s="6"/>
      <c r="IFR85" s="6"/>
      <c r="IFS85" s="6"/>
      <c r="IFT85" s="6"/>
      <c r="IFU85" s="6"/>
      <c r="IFV85" s="6"/>
      <c r="IFW85" s="6"/>
      <c r="IFX85" s="6"/>
      <c r="IFY85" s="6"/>
      <c r="IFZ85" s="6"/>
      <c r="IGA85" s="6"/>
      <c r="IGB85" s="6"/>
      <c r="IGC85" s="6"/>
      <c r="IGD85" s="6"/>
      <c r="IGE85" s="6"/>
      <c r="IGF85" s="6"/>
      <c r="IGG85" s="6"/>
      <c r="IGH85" s="6"/>
      <c r="IGI85" s="6"/>
      <c r="IGJ85" s="6"/>
      <c r="IGK85" s="6"/>
      <c r="IGL85" s="6"/>
      <c r="IGM85" s="6"/>
      <c r="IGN85" s="6"/>
      <c r="IGO85" s="6"/>
      <c r="IGP85" s="6"/>
      <c r="IGQ85" s="6"/>
      <c r="IGR85" s="6"/>
      <c r="IGS85" s="6"/>
      <c r="IGT85" s="6"/>
      <c r="IGU85" s="6"/>
      <c r="IGV85" s="6"/>
      <c r="IGW85" s="6"/>
      <c r="IGX85" s="6"/>
      <c r="IGY85" s="6"/>
      <c r="IGZ85" s="6"/>
      <c r="IHA85" s="6"/>
      <c r="IHB85" s="6"/>
      <c r="IHC85" s="6"/>
      <c r="IHD85" s="6"/>
      <c r="IHE85" s="6"/>
      <c r="IHF85" s="6"/>
      <c r="IHG85" s="6"/>
      <c r="IHH85" s="6"/>
      <c r="IHI85" s="6"/>
      <c r="IHJ85" s="6"/>
      <c r="IHK85" s="6"/>
      <c r="IHL85" s="6"/>
      <c r="IHM85" s="6"/>
      <c r="IHN85" s="6"/>
      <c r="IHO85" s="6"/>
      <c r="IHP85" s="6"/>
      <c r="IHQ85" s="6"/>
      <c r="IHR85" s="6"/>
      <c r="IHS85" s="6"/>
      <c r="IHT85" s="6"/>
      <c r="IHU85" s="6"/>
      <c r="IHV85" s="6"/>
      <c r="IHW85" s="6"/>
      <c r="IHX85" s="6"/>
      <c r="IHY85" s="6"/>
      <c r="IHZ85" s="6"/>
      <c r="IIA85" s="6"/>
      <c r="IIB85" s="6"/>
      <c r="IIC85" s="6"/>
      <c r="IID85" s="6"/>
      <c r="IIE85" s="6"/>
      <c r="IIF85" s="6"/>
      <c r="IIG85" s="6"/>
      <c r="IIH85" s="6"/>
      <c r="III85" s="6"/>
      <c r="IIJ85" s="6"/>
      <c r="IIK85" s="6"/>
      <c r="IIL85" s="6"/>
      <c r="IIM85" s="6"/>
      <c r="IIN85" s="6"/>
      <c r="IIO85" s="6"/>
      <c r="IIP85" s="6"/>
      <c r="IIQ85" s="6"/>
      <c r="IIR85" s="6"/>
      <c r="IIS85" s="6"/>
      <c r="IIT85" s="6"/>
      <c r="IIU85" s="6"/>
      <c r="IIV85" s="6"/>
      <c r="IIW85" s="6"/>
      <c r="IIX85" s="6"/>
      <c r="IIY85" s="6"/>
      <c r="IIZ85" s="6"/>
      <c r="IJA85" s="6"/>
      <c r="IJB85" s="6"/>
      <c r="IJC85" s="6"/>
      <c r="IJD85" s="6"/>
      <c r="IJE85" s="6"/>
      <c r="IJF85" s="6"/>
      <c r="IJG85" s="6"/>
      <c r="IJH85" s="6"/>
      <c r="IJI85" s="6"/>
      <c r="IJJ85" s="6"/>
      <c r="IJK85" s="6"/>
      <c r="IJL85" s="6"/>
      <c r="IJM85" s="6"/>
      <c r="IJN85" s="6"/>
      <c r="IJO85" s="6"/>
      <c r="IJP85" s="6"/>
      <c r="IJQ85" s="6"/>
      <c r="IJR85" s="6"/>
      <c r="IJS85" s="6"/>
      <c r="IJT85" s="6"/>
      <c r="IJU85" s="6"/>
      <c r="IJV85" s="6"/>
      <c r="IJW85" s="6"/>
      <c r="IJX85" s="6"/>
      <c r="IJY85" s="6"/>
      <c r="IJZ85" s="6"/>
      <c r="IKA85" s="6"/>
      <c r="IKB85" s="6"/>
      <c r="IKC85" s="6"/>
      <c r="IKD85" s="6"/>
      <c r="IKE85" s="6"/>
      <c r="IKF85" s="6"/>
      <c r="IKG85" s="6"/>
      <c r="IKH85" s="6"/>
      <c r="IKI85" s="6"/>
      <c r="IKJ85" s="6"/>
      <c r="IKK85" s="6"/>
      <c r="IKL85" s="6"/>
      <c r="IKM85" s="6"/>
      <c r="IKN85" s="6"/>
      <c r="IKO85" s="6"/>
      <c r="IKP85" s="6"/>
      <c r="IKQ85" s="6"/>
      <c r="IKR85" s="6"/>
      <c r="IKS85" s="6"/>
      <c r="IKT85" s="6"/>
      <c r="IKU85" s="6"/>
      <c r="IKV85" s="6"/>
      <c r="IKW85" s="6"/>
      <c r="IKX85" s="6"/>
      <c r="IKY85" s="6"/>
      <c r="IKZ85" s="6"/>
      <c r="ILA85" s="6"/>
      <c r="ILB85" s="6"/>
      <c r="ILC85" s="6"/>
      <c r="ILD85" s="6"/>
      <c r="ILE85" s="6"/>
      <c r="ILF85" s="6"/>
      <c r="ILG85" s="6"/>
      <c r="ILH85" s="6"/>
      <c r="ILI85" s="6"/>
      <c r="ILJ85" s="6"/>
      <c r="ILK85" s="6"/>
      <c r="ILL85" s="6"/>
      <c r="ILM85" s="6"/>
      <c r="ILN85" s="6"/>
      <c r="ILO85" s="6"/>
      <c r="ILP85" s="6"/>
      <c r="ILQ85" s="6"/>
      <c r="ILR85" s="6"/>
      <c r="ILS85" s="6"/>
      <c r="ILT85" s="6"/>
      <c r="ILU85" s="6"/>
      <c r="ILV85" s="6"/>
      <c r="ILW85" s="6"/>
      <c r="ILX85" s="6"/>
      <c r="ILY85" s="6"/>
      <c r="ILZ85" s="6"/>
      <c r="IMA85" s="6"/>
      <c r="IMB85" s="6"/>
      <c r="IMC85" s="6"/>
      <c r="IMD85" s="6"/>
      <c r="IME85" s="6"/>
      <c r="IMF85" s="6"/>
      <c r="IMG85" s="6"/>
      <c r="IMH85" s="6"/>
      <c r="IMI85" s="6"/>
      <c r="IMJ85" s="6"/>
      <c r="IMK85" s="6"/>
      <c r="IML85" s="6"/>
      <c r="IMM85" s="6"/>
      <c r="IMN85" s="6"/>
      <c r="IMO85" s="6"/>
      <c r="IMP85" s="6"/>
      <c r="IMQ85" s="6"/>
      <c r="IMR85" s="6"/>
      <c r="IMS85" s="6"/>
      <c r="IMT85" s="6"/>
      <c r="IMU85" s="6"/>
      <c r="IMV85" s="6"/>
      <c r="IMW85" s="6"/>
      <c r="IMX85" s="6"/>
      <c r="IMY85" s="6"/>
      <c r="IMZ85" s="6"/>
      <c r="INA85" s="6"/>
      <c r="INB85" s="6"/>
      <c r="INC85" s="6"/>
      <c r="IND85" s="6"/>
      <c r="INE85" s="6"/>
      <c r="INF85" s="6"/>
      <c r="ING85" s="6"/>
      <c r="INH85" s="6"/>
      <c r="INI85" s="6"/>
      <c r="INJ85" s="6"/>
      <c r="INK85" s="6"/>
      <c r="INL85" s="6"/>
      <c r="INM85" s="6"/>
      <c r="INN85" s="6"/>
      <c r="INO85" s="6"/>
      <c r="INP85" s="6"/>
      <c r="INQ85" s="6"/>
      <c r="INR85" s="6"/>
      <c r="INS85" s="6"/>
      <c r="INT85" s="6"/>
      <c r="INU85" s="6"/>
      <c r="INV85" s="6"/>
      <c r="INW85" s="6"/>
      <c r="INX85" s="6"/>
      <c r="INY85" s="6"/>
      <c r="INZ85" s="6"/>
      <c r="IOA85" s="6"/>
      <c r="IOB85" s="6"/>
      <c r="IOC85" s="6"/>
      <c r="IOD85" s="6"/>
      <c r="IOE85" s="6"/>
      <c r="IOF85" s="6"/>
      <c r="IOG85" s="6"/>
      <c r="IOH85" s="6"/>
      <c r="IOI85" s="6"/>
      <c r="IOJ85" s="6"/>
      <c r="IOK85" s="6"/>
      <c r="IOL85" s="6"/>
      <c r="IOM85" s="6"/>
      <c r="ION85" s="6"/>
      <c r="IOO85" s="6"/>
      <c r="IOP85" s="6"/>
      <c r="IOQ85" s="6"/>
      <c r="IOR85" s="6"/>
      <c r="IOS85" s="6"/>
      <c r="IOT85" s="6"/>
      <c r="IOU85" s="6"/>
      <c r="IOV85" s="6"/>
      <c r="IOW85" s="6"/>
      <c r="IOX85" s="6"/>
      <c r="IOY85" s="6"/>
      <c r="IOZ85" s="6"/>
      <c r="IPA85" s="6"/>
      <c r="IPB85" s="6"/>
      <c r="IPC85" s="6"/>
      <c r="IPD85" s="6"/>
      <c r="IPE85" s="6"/>
      <c r="IPF85" s="6"/>
      <c r="IPG85" s="6"/>
      <c r="IPH85" s="6"/>
      <c r="IPI85" s="6"/>
      <c r="IPJ85" s="6"/>
      <c r="IPK85" s="6"/>
      <c r="IPL85" s="6"/>
      <c r="IPM85" s="6"/>
      <c r="IPN85" s="6"/>
      <c r="IPO85" s="6"/>
      <c r="IPP85" s="6"/>
      <c r="IPQ85" s="6"/>
      <c r="IPR85" s="6"/>
      <c r="IPS85" s="6"/>
      <c r="IPT85" s="6"/>
      <c r="IPU85" s="6"/>
      <c r="IPV85" s="6"/>
      <c r="IPW85" s="6"/>
      <c r="IPX85" s="6"/>
      <c r="IPY85" s="6"/>
      <c r="IPZ85" s="6"/>
      <c r="IQA85" s="6"/>
      <c r="IQB85" s="6"/>
      <c r="IQC85" s="6"/>
      <c r="IQD85" s="6"/>
      <c r="IQE85" s="6"/>
      <c r="IQF85" s="6"/>
      <c r="IQG85" s="6"/>
      <c r="IQH85" s="6"/>
      <c r="IQI85" s="6"/>
      <c r="IQJ85" s="6"/>
      <c r="IQK85" s="6"/>
      <c r="IQL85" s="6"/>
      <c r="IQM85" s="6"/>
      <c r="IQN85" s="6"/>
      <c r="IQO85" s="6"/>
      <c r="IQP85" s="6"/>
      <c r="IQQ85" s="6"/>
      <c r="IQR85" s="6"/>
      <c r="IQS85" s="6"/>
      <c r="IQT85" s="6"/>
      <c r="IQU85" s="6"/>
      <c r="IQV85" s="6"/>
      <c r="IQW85" s="6"/>
      <c r="IQX85" s="6"/>
      <c r="IQY85" s="6"/>
      <c r="IQZ85" s="6"/>
      <c r="IRA85" s="6"/>
      <c r="IRB85" s="6"/>
      <c r="IRC85" s="6"/>
      <c r="IRD85" s="6"/>
      <c r="IRE85" s="6"/>
      <c r="IRF85" s="6"/>
      <c r="IRG85" s="6"/>
      <c r="IRH85" s="6"/>
      <c r="IRI85" s="6"/>
      <c r="IRJ85" s="6"/>
      <c r="IRK85" s="6"/>
      <c r="IRL85" s="6"/>
      <c r="IRM85" s="6"/>
      <c r="IRN85" s="6"/>
      <c r="IRO85" s="6"/>
      <c r="IRP85" s="6"/>
      <c r="IRQ85" s="6"/>
      <c r="IRR85" s="6"/>
      <c r="IRS85" s="6"/>
      <c r="IRT85" s="6"/>
      <c r="IRU85" s="6"/>
      <c r="IRV85" s="6"/>
      <c r="IRW85" s="6"/>
      <c r="IRX85" s="6"/>
      <c r="IRY85" s="6"/>
      <c r="IRZ85" s="6"/>
      <c r="ISA85" s="6"/>
      <c r="ISB85" s="6"/>
      <c r="ISC85" s="6"/>
      <c r="ISD85" s="6"/>
      <c r="ISE85" s="6"/>
      <c r="ISF85" s="6"/>
      <c r="ISG85" s="6"/>
      <c r="ISH85" s="6"/>
      <c r="ISI85" s="6"/>
      <c r="ISJ85" s="6"/>
      <c r="ISK85" s="6"/>
      <c r="ISL85" s="6"/>
      <c r="ISM85" s="6"/>
      <c r="ISN85" s="6"/>
      <c r="ISO85" s="6"/>
      <c r="ISP85" s="6"/>
      <c r="ISQ85" s="6"/>
      <c r="ISR85" s="6"/>
      <c r="ISS85" s="6"/>
      <c r="IST85" s="6"/>
      <c r="ISU85" s="6"/>
      <c r="ISV85" s="6"/>
      <c r="ISW85" s="6"/>
      <c r="ISX85" s="6"/>
      <c r="ISY85" s="6"/>
      <c r="ISZ85" s="6"/>
      <c r="ITA85" s="6"/>
      <c r="ITB85" s="6"/>
      <c r="ITC85" s="6"/>
      <c r="ITD85" s="6"/>
      <c r="ITE85" s="6"/>
      <c r="ITF85" s="6"/>
      <c r="ITG85" s="6"/>
      <c r="ITH85" s="6"/>
      <c r="ITI85" s="6"/>
      <c r="ITJ85" s="6"/>
      <c r="ITK85" s="6"/>
      <c r="ITL85" s="6"/>
      <c r="ITM85" s="6"/>
      <c r="ITN85" s="6"/>
      <c r="ITO85" s="6"/>
      <c r="ITP85" s="6"/>
      <c r="ITQ85" s="6"/>
      <c r="ITR85" s="6"/>
      <c r="ITS85" s="6"/>
      <c r="ITT85" s="6"/>
      <c r="ITU85" s="6"/>
      <c r="ITV85" s="6"/>
      <c r="ITW85" s="6"/>
      <c r="ITX85" s="6"/>
      <c r="ITY85" s="6"/>
      <c r="ITZ85" s="6"/>
      <c r="IUA85" s="6"/>
      <c r="IUB85" s="6"/>
      <c r="IUC85" s="6"/>
      <c r="IUD85" s="6"/>
      <c r="IUE85" s="6"/>
      <c r="IUF85" s="6"/>
      <c r="IUG85" s="6"/>
      <c r="IUH85" s="6"/>
      <c r="IUI85" s="6"/>
      <c r="IUJ85" s="6"/>
      <c r="IUK85" s="6"/>
      <c r="IUL85" s="6"/>
      <c r="IUM85" s="6"/>
      <c r="IUN85" s="6"/>
      <c r="IUO85" s="6"/>
      <c r="IUP85" s="6"/>
      <c r="IUQ85" s="6"/>
      <c r="IUR85" s="6"/>
      <c r="IUS85" s="6"/>
      <c r="IUT85" s="6"/>
      <c r="IUU85" s="6"/>
      <c r="IUV85" s="6"/>
      <c r="IUW85" s="6"/>
      <c r="IUX85" s="6"/>
      <c r="IUY85" s="6"/>
      <c r="IUZ85" s="6"/>
      <c r="IVA85" s="6"/>
      <c r="IVB85" s="6"/>
      <c r="IVC85" s="6"/>
      <c r="IVD85" s="6"/>
      <c r="IVE85" s="6"/>
      <c r="IVF85" s="6"/>
      <c r="IVG85" s="6"/>
      <c r="IVH85" s="6"/>
      <c r="IVI85" s="6"/>
      <c r="IVJ85" s="6"/>
      <c r="IVK85" s="6"/>
      <c r="IVL85" s="6"/>
      <c r="IVM85" s="6"/>
      <c r="IVN85" s="6"/>
      <c r="IVO85" s="6"/>
      <c r="IVP85" s="6"/>
      <c r="IVQ85" s="6"/>
      <c r="IVR85" s="6"/>
      <c r="IVS85" s="6"/>
      <c r="IVT85" s="6"/>
      <c r="IVU85" s="6"/>
      <c r="IVV85" s="6"/>
      <c r="IVW85" s="6"/>
      <c r="IVX85" s="6"/>
      <c r="IVY85" s="6"/>
      <c r="IVZ85" s="6"/>
      <c r="IWA85" s="6"/>
      <c r="IWB85" s="6"/>
      <c r="IWC85" s="6"/>
      <c r="IWD85" s="6"/>
      <c r="IWE85" s="6"/>
      <c r="IWF85" s="6"/>
      <c r="IWG85" s="6"/>
      <c r="IWH85" s="6"/>
      <c r="IWI85" s="6"/>
      <c r="IWJ85" s="6"/>
      <c r="IWK85" s="6"/>
      <c r="IWL85" s="6"/>
      <c r="IWM85" s="6"/>
      <c r="IWN85" s="6"/>
      <c r="IWO85" s="6"/>
      <c r="IWP85" s="6"/>
      <c r="IWQ85" s="6"/>
      <c r="IWR85" s="6"/>
      <c r="IWS85" s="6"/>
      <c r="IWT85" s="6"/>
      <c r="IWU85" s="6"/>
      <c r="IWV85" s="6"/>
      <c r="IWW85" s="6"/>
      <c r="IWX85" s="6"/>
      <c r="IWY85" s="6"/>
      <c r="IWZ85" s="6"/>
      <c r="IXA85" s="6"/>
      <c r="IXB85" s="6"/>
      <c r="IXC85" s="6"/>
      <c r="IXD85" s="6"/>
      <c r="IXE85" s="6"/>
      <c r="IXF85" s="6"/>
      <c r="IXG85" s="6"/>
      <c r="IXH85" s="6"/>
      <c r="IXI85" s="6"/>
      <c r="IXJ85" s="6"/>
      <c r="IXK85" s="6"/>
      <c r="IXL85" s="6"/>
      <c r="IXM85" s="6"/>
      <c r="IXN85" s="6"/>
      <c r="IXO85" s="6"/>
      <c r="IXP85" s="6"/>
      <c r="IXQ85" s="6"/>
      <c r="IXR85" s="6"/>
      <c r="IXS85" s="6"/>
      <c r="IXT85" s="6"/>
      <c r="IXU85" s="6"/>
      <c r="IXV85" s="6"/>
      <c r="IXW85" s="6"/>
      <c r="IXX85" s="6"/>
      <c r="IXY85" s="6"/>
      <c r="IXZ85" s="6"/>
      <c r="IYA85" s="6"/>
      <c r="IYB85" s="6"/>
      <c r="IYC85" s="6"/>
      <c r="IYD85" s="6"/>
      <c r="IYE85" s="6"/>
      <c r="IYF85" s="6"/>
      <c r="IYG85" s="6"/>
      <c r="IYH85" s="6"/>
      <c r="IYI85" s="6"/>
      <c r="IYJ85" s="6"/>
      <c r="IYK85" s="6"/>
      <c r="IYL85" s="6"/>
      <c r="IYM85" s="6"/>
      <c r="IYN85" s="6"/>
      <c r="IYO85" s="6"/>
      <c r="IYP85" s="6"/>
      <c r="IYQ85" s="6"/>
      <c r="IYR85" s="6"/>
      <c r="IYS85" s="6"/>
      <c r="IYT85" s="6"/>
      <c r="IYU85" s="6"/>
      <c r="IYV85" s="6"/>
      <c r="IYW85" s="6"/>
      <c r="IYX85" s="6"/>
      <c r="IYY85" s="6"/>
      <c r="IYZ85" s="6"/>
      <c r="IZA85" s="6"/>
      <c r="IZB85" s="6"/>
      <c r="IZC85" s="6"/>
      <c r="IZD85" s="6"/>
      <c r="IZE85" s="6"/>
      <c r="IZF85" s="6"/>
      <c r="IZG85" s="6"/>
      <c r="IZH85" s="6"/>
      <c r="IZI85" s="6"/>
      <c r="IZJ85" s="6"/>
      <c r="IZK85" s="6"/>
      <c r="IZL85" s="6"/>
      <c r="IZM85" s="6"/>
      <c r="IZN85" s="6"/>
      <c r="IZO85" s="6"/>
      <c r="IZP85" s="6"/>
      <c r="IZQ85" s="6"/>
      <c r="IZR85" s="6"/>
      <c r="IZS85" s="6"/>
      <c r="IZT85" s="6"/>
      <c r="IZU85" s="6"/>
      <c r="IZV85" s="6"/>
      <c r="IZW85" s="6"/>
      <c r="IZX85" s="6"/>
      <c r="IZY85" s="6"/>
      <c r="IZZ85" s="6"/>
      <c r="JAA85" s="6"/>
      <c r="JAB85" s="6"/>
      <c r="JAC85" s="6"/>
      <c r="JAD85" s="6"/>
      <c r="JAE85" s="6"/>
      <c r="JAF85" s="6"/>
      <c r="JAG85" s="6"/>
      <c r="JAH85" s="6"/>
      <c r="JAI85" s="6"/>
      <c r="JAJ85" s="6"/>
      <c r="JAK85" s="6"/>
      <c r="JAL85" s="6"/>
      <c r="JAM85" s="6"/>
      <c r="JAN85" s="6"/>
      <c r="JAO85" s="6"/>
      <c r="JAP85" s="6"/>
      <c r="JAQ85" s="6"/>
      <c r="JAR85" s="6"/>
      <c r="JAS85" s="6"/>
      <c r="JAT85" s="6"/>
      <c r="JAU85" s="6"/>
      <c r="JAV85" s="6"/>
      <c r="JAW85" s="6"/>
      <c r="JAX85" s="6"/>
      <c r="JAY85" s="6"/>
      <c r="JAZ85" s="6"/>
      <c r="JBA85" s="6"/>
      <c r="JBB85" s="6"/>
      <c r="JBC85" s="6"/>
      <c r="JBD85" s="6"/>
      <c r="JBE85" s="6"/>
      <c r="JBF85" s="6"/>
      <c r="JBG85" s="6"/>
      <c r="JBH85" s="6"/>
      <c r="JBI85" s="6"/>
      <c r="JBJ85" s="6"/>
      <c r="JBK85" s="6"/>
      <c r="JBL85" s="6"/>
      <c r="JBM85" s="6"/>
      <c r="JBN85" s="6"/>
      <c r="JBO85" s="6"/>
      <c r="JBP85" s="6"/>
      <c r="JBQ85" s="6"/>
      <c r="JBR85" s="6"/>
      <c r="JBS85" s="6"/>
      <c r="JBT85" s="6"/>
      <c r="JBU85" s="6"/>
      <c r="JBV85" s="6"/>
      <c r="JBW85" s="6"/>
      <c r="JBX85" s="6"/>
      <c r="JBY85" s="6"/>
      <c r="JBZ85" s="6"/>
      <c r="JCA85" s="6"/>
      <c r="JCB85" s="6"/>
      <c r="JCC85" s="6"/>
      <c r="JCD85" s="6"/>
      <c r="JCE85" s="6"/>
      <c r="JCF85" s="6"/>
      <c r="JCG85" s="6"/>
      <c r="JCH85" s="6"/>
      <c r="JCI85" s="6"/>
      <c r="JCJ85" s="6"/>
      <c r="JCK85" s="6"/>
      <c r="JCL85" s="6"/>
      <c r="JCM85" s="6"/>
      <c r="JCN85" s="6"/>
      <c r="JCO85" s="6"/>
      <c r="JCP85" s="6"/>
      <c r="JCQ85" s="6"/>
      <c r="JCR85" s="6"/>
      <c r="JCS85" s="6"/>
      <c r="JCT85" s="6"/>
      <c r="JCU85" s="6"/>
      <c r="JCV85" s="6"/>
      <c r="JCW85" s="6"/>
      <c r="JCX85" s="6"/>
      <c r="JCY85" s="6"/>
      <c r="JCZ85" s="6"/>
      <c r="JDA85" s="6"/>
      <c r="JDB85" s="6"/>
      <c r="JDC85" s="6"/>
      <c r="JDD85" s="6"/>
      <c r="JDE85" s="6"/>
      <c r="JDF85" s="6"/>
      <c r="JDG85" s="6"/>
      <c r="JDH85" s="6"/>
      <c r="JDI85" s="6"/>
      <c r="JDJ85" s="6"/>
      <c r="JDK85" s="6"/>
      <c r="JDL85" s="6"/>
      <c r="JDM85" s="6"/>
      <c r="JDN85" s="6"/>
      <c r="JDO85" s="6"/>
      <c r="JDP85" s="6"/>
      <c r="JDQ85" s="6"/>
      <c r="JDR85" s="6"/>
      <c r="JDS85" s="6"/>
      <c r="JDT85" s="6"/>
      <c r="JDU85" s="6"/>
      <c r="JDV85" s="6"/>
      <c r="JDW85" s="6"/>
      <c r="JDX85" s="6"/>
      <c r="JDY85" s="6"/>
      <c r="JDZ85" s="6"/>
      <c r="JEA85" s="6"/>
      <c r="JEB85" s="6"/>
      <c r="JEC85" s="6"/>
      <c r="JED85" s="6"/>
      <c r="JEE85" s="6"/>
      <c r="JEF85" s="6"/>
      <c r="JEG85" s="6"/>
      <c r="JEH85" s="6"/>
      <c r="JEI85" s="6"/>
      <c r="JEJ85" s="6"/>
      <c r="JEK85" s="6"/>
      <c r="JEL85" s="6"/>
      <c r="JEM85" s="6"/>
      <c r="JEN85" s="6"/>
      <c r="JEO85" s="6"/>
      <c r="JEP85" s="6"/>
      <c r="JEQ85" s="6"/>
      <c r="JER85" s="6"/>
      <c r="JES85" s="6"/>
      <c r="JET85" s="6"/>
      <c r="JEU85" s="6"/>
      <c r="JEV85" s="6"/>
      <c r="JEW85" s="6"/>
      <c r="JEX85" s="6"/>
      <c r="JEY85" s="6"/>
      <c r="JEZ85" s="6"/>
      <c r="JFA85" s="6"/>
      <c r="JFB85" s="6"/>
      <c r="JFC85" s="6"/>
      <c r="JFD85" s="6"/>
      <c r="JFE85" s="6"/>
      <c r="JFF85" s="6"/>
      <c r="JFG85" s="6"/>
      <c r="JFH85" s="6"/>
      <c r="JFI85" s="6"/>
      <c r="JFJ85" s="6"/>
      <c r="JFK85" s="6"/>
      <c r="JFL85" s="6"/>
      <c r="JFM85" s="6"/>
      <c r="JFN85" s="6"/>
      <c r="JFO85" s="6"/>
      <c r="JFP85" s="6"/>
      <c r="JFQ85" s="6"/>
      <c r="JFR85" s="6"/>
      <c r="JFS85" s="6"/>
      <c r="JFT85" s="6"/>
      <c r="JFU85" s="6"/>
      <c r="JFV85" s="6"/>
      <c r="JFW85" s="6"/>
      <c r="JFX85" s="6"/>
      <c r="JFY85" s="6"/>
      <c r="JFZ85" s="6"/>
      <c r="JGA85" s="6"/>
      <c r="JGB85" s="6"/>
      <c r="JGC85" s="6"/>
      <c r="JGD85" s="6"/>
      <c r="JGE85" s="6"/>
      <c r="JGF85" s="6"/>
      <c r="JGG85" s="6"/>
      <c r="JGH85" s="6"/>
      <c r="JGI85" s="6"/>
      <c r="JGJ85" s="6"/>
      <c r="JGK85" s="6"/>
      <c r="JGL85" s="6"/>
      <c r="JGM85" s="6"/>
      <c r="JGN85" s="6"/>
      <c r="JGO85" s="6"/>
      <c r="JGP85" s="6"/>
      <c r="JGQ85" s="6"/>
      <c r="JGR85" s="6"/>
      <c r="JGS85" s="6"/>
      <c r="JGT85" s="6"/>
      <c r="JGU85" s="6"/>
      <c r="JGV85" s="6"/>
      <c r="JGW85" s="6"/>
      <c r="JGX85" s="6"/>
      <c r="JGY85" s="6"/>
      <c r="JGZ85" s="6"/>
      <c r="JHA85" s="6"/>
      <c r="JHB85" s="6"/>
      <c r="JHC85" s="6"/>
      <c r="JHD85" s="6"/>
      <c r="JHE85" s="6"/>
      <c r="JHF85" s="6"/>
      <c r="JHG85" s="6"/>
      <c r="JHH85" s="6"/>
      <c r="JHI85" s="6"/>
      <c r="JHJ85" s="6"/>
      <c r="JHK85" s="6"/>
      <c r="JHL85" s="6"/>
      <c r="JHM85" s="6"/>
      <c r="JHN85" s="6"/>
      <c r="JHO85" s="6"/>
      <c r="JHP85" s="6"/>
      <c r="JHQ85" s="6"/>
      <c r="JHR85" s="6"/>
      <c r="JHS85" s="6"/>
      <c r="JHT85" s="6"/>
      <c r="JHU85" s="6"/>
      <c r="JHV85" s="6"/>
      <c r="JHW85" s="6"/>
      <c r="JHX85" s="6"/>
      <c r="JHY85" s="6"/>
      <c r="JHZ85" s="6"/>
      <c r="JIA85" s="6"/>
      <c r="JIB85" s="6"/>
      <c r="JIC85" s="6"/>
      <c r="JID85" s="6"/>
      <c r="JIE85" s="6"/>
      <c r="JIF85" s="6"/>
      <c r="JIG85" s="6"/>
      <c r="JIH85" s="6"/>
      <c r="JII85" s="6"/>
      <c r="JIJ85" s="6"/>
      <c r="JIK85" s="6"/>
      <c r="JIL85" s="6"/>
      <c r="JIM85" s="6"/>
      <c r="JIN85" s="6"/>
      <c r="JIO85" s="6"/>
      <c r="JIP85" s="6"/>
      <c r="JIQ85" s="6"/>
      <c r="JIR85" s="6"/>
      <c r="JIS85" s="6"/>
      <c r="JIT85" s="6"/>
      <c r="JIU85" s="6"/>
      <c r="JIV85" s="6"/>
      <c r="JIW85" s="6"/>
      <c r="JIX85" s="6"/>
      <c r="JIY85" s="6"/>
      <c r="JIZ85" s="6"/>
      <c r="JJA85" s="6"/>
      <c r="JJB85" s="6"/>
      <c r="JJC85" s="6"/>
      <c r="JJD85" s="6"/>
      <c r="JJE85" s="6"/>
      <c r="JJF85" s="6"/>
      <c r="JJG85" s="6"/>
      <c r="JJH85" s="6"/>
      <c r="JJI85" s="6"/>
      <c r="JJJ85" s="6"/>
      <c r="JJK85" s="6"/>
      <c r="JJL85" s="6"/>
      <c r="JJM85" s="6"/>
      <c r="JJN85" s="6"/>
      <c r="JJO85" s="6"/>
      <c r="JJP85" s="6"/>
      <c r="JJQ85" s="6"/>
      <c r="JJR85" s="6"/>
      <c r="JJS85" s="6"/>
      <c r="JJT85" s="6"/>
      <c r="JJU85" s="6"/>
      <c r="JJV85" s="6"/>
      <c r="JJW85" s="6"/>
      <c r="JJX85" s="6"/>
      <c r="JJY85" s="6"/>
      <c r="JJZ85" s="6"/>
      <c r="JKA85" s="6"/>
      <c r="JKB85" s="6"/>
      <c r="JKC85" s="6"/>
      <c r="JKD85" s="6"/>
      <c r="JKE85" s="6"/>
      <c r="JKF85" s="6"/>
      <c r="JKG85" s="6"/>
      <c r="JKH85" s="6"/>
      <c r="JKI85" s="6"/>
      <c r="JKJ85" s="6"/>
      <c r="JKK85" s="6"/>
      <c r="JKL85" s="6"/>
      <c r="JKM85" s="6"/>
      <c r="JKN85" s="6"/>
      <c r="JKO85" s="6"/>
      <c r="JKP85" s="6"/>
      <c r="JKQ85" s="6"/>
      <c r="JKR85" s="6"/>
      <c r="JKS85" s="6"/>
      <c r="JKT85" s="6"/>
      <c r="JKU85" s="6"/>
      <c r="JKV85" s="6"/>
      <c r="JKW85" s="6"/>
      <c r="JKX85" s="6"/>
      <c r="JKY85" s="6"/>
      <c r="JKZ85" s="6"/>
      <c r="JLA85" s="6"/>
      <c r="JLB85" s="6"/>
      <c r="JLC85" s="6"/>
      <c r="JLD85" s="6"/>
      <c r="JLE85" s="6"/>
      <c r="JLF85" s="6"/>
      <c r="JLG85" s="6"/>
      <c r="JLH85" s="6"/>
      <c r="JLI85" s="6"/>
      <c r="JLJ85" s="6"/>
      <c r="JLK85" s="6"/>
      <c r="JLL85" s="6"/>
      <c r="JLM85" s="6"/>
      <c r="JLN85" s="6"/>
      <c r="JLO85" s="6"/>
      <c r="JLP85" s="6"/>
      <c r="JLQ85" s="6"/>
      <c r="JLR85" s="6"/>
      <c r="JLS85" s="6"/>
      <c r="JLT85" s="6"/>
      <c r="JLU85" s="6"/>
      <c r="JLV85" s="6"/>
      <c r="JLW85" s="6"/>
      <c r="JLX85" s="6"/>
      <c r="JLY85" s="6"/>
      <c r="JLZ85" s="6"/>
      <c r="JMA85" s="6"/>
      <c r="JMB85" s="6"/>
      <c r="JMC85" s="6"/>
      <c r="JMD85" s="6"/>
      <c r="JME85" s="6"/>
      <c r="JMF85" s="6"/>
      <c r="JMG85" s="6"/>
      <c r="JMH85" s="6"/>
      <c r="JMI85" s="6"/>
      <c r="JMJ85" s="6"/>
      <c r="JMK85" s="6"/>
      <c r="JML85" s="6"/>
      <c r="JMM85" s="6"/>
      <c r="JMN85" s="6"/>
      <c r="JMO85" s="6"/>
      <c r="JMP85" s="6"/>
      <c r="JMQ85" s="6"/>
      <c r="JMR85" s="6"/>
      <c r="JMS85" s="6"/>
      <c r="JMT85" s="6"/>
      <c r="JMU85" s="6"/>
      <c r="JMV85" s="6"/>
      <c r="JMW85" s="6"/>
      <c r="JMX85" s="6"/>
      <c r="JMY85" s="6"/>
      <c r="JMZ85" s="6"/>
      <c r="JNA85" s="6"/>
      <c r="JNB85" s="6"/>
      <c r="JNC85" s="6"/>
      <c r="JND85" s="6"/>
      <c r="JNE85" s="6"/>
      <c r="JNF85" s="6"/>
      <c r="JNG85" s="6"/>
      <c r="JNH85" s="6"/>
      <c r="JNI85" s="6"/>
      <c r="JNJ85" s="6"/>
      <c r="JNK85" s="6"/>
      <c r="JNL85" s="6"/>
      <c r="JNM85" s="6"/>
      <c r="JNN85" s="6"/>
      <c r="JNO85" s="6"/>
      <c r="JNP85" s="6"/>
      <c r="JNQ85" s="6"/>
      <c r="JNR85" s="6"/>
      <c r="JNS85" s="6"/>
      <c r="JNT85" s="6"/>
      <c r="JNU85" s="6"/>
      <c r="JNV85" s="6"/>
      <c r="JNW85" s="6"/>
      <c r="JNX85" s="6"/>
      <c r="JNY85" s="6"/>
      <c r="JNZ85" s="6"/>
      <c r="JOA85" s="6"/>
      <c r="JOB85" s="6"/>
      <c r="JOC85" s="6"/>
      <c r="JOD85" s="6"/>
      <c r="JOE85" s="6"/>
      <c r="JOF85" s="6"/>
      <c r="JOG85" s="6"/>
      <c r="JOH85" s="6"/>
      <c r="JOI85" s="6"/>
      <c r="JOJ85" s="6"/>
      <c r="JOK85" s="6"/>
      <c r="JOL85" s="6"/>
      <c r="JOM85" s="6"/>
      <c r="JON85" s="6"/>
      <c r="JOO85" s="6"/>
      <c r="JOP85" s="6"/>
      <c r="JOQ85" s="6"/>
      <c r="JOR85" s="6"/>
      <c r="JOS85" s="6"/>
      <c r="JOT85" s="6"/>
      <c r="JOU85" s="6"/>
      <c r="JOV85" s="6"/>
      <c r="JOW85" s="6"/>
      <c r="JOX85" s="6"/>
      <c r="JOY85" s="6"/>
      <c r="JOZ85" s="6"/>
      <c r="JPA85" s="6"/>
      <c r="JPB85" s="6"/>
      <c r="JPC85" s="6"/>
      <c r="JPD85" s="6"/>
      <c r="JPE85" s="6"/>
      <c r="JPF85" s="6"/>
      <c r="JPG85" s="6"/>
      <c r="JPH85" s="6"/>
      <c r="JPI85" s="6"/>
      <c r="JPJ85" s="6"/>
      <c r="JPK85" s="6"/>
      <c r="JPL85" s="6"/>
      <c r="JPM85" s="6"/>
      <c r="JPN85" s="6"/>
      <c r="JPO85" s="6"/>
      <c r="JPP85" s="6"/>
      <c r="JPQ85" s="6"/>
      <c r="JPR85" s="6"/>
      <c r="JPS85" s="6"/>
      <c r="JPT85" s="6"/>
      <c r="JPU85" s="6"/>
      <c r="JPV85" s="6"/>
      <c r="JPW85" s="6"/>
      <c r="JPX85" s="6"/>
      <c r="JPY85" s="6"/>
      <c r="JPZ85" s="6"/>
      <c r="JQA85" s="6"/>
      <c r="JQB85" s="6"/>
      <c r="JQC85" s="6"/>
      <c r="JQD85" s="6"/>
      <c r="JQE85" s="6"/>
      <c r="JQF85" s="6"/>
      <c r="JQG85" s="6"/>
      <c r="JQH85" s="6"/>
      <c r="JQI85" s="6"/>
      <c r="JQJ85" s="6"/>
      <c r="JQK85" s="6"/>
      <c r="JQL85" s="6"/>
      <c r="JQM85" s="6"/>
      <c r="JQN85" s="6"/>
      <c r="JQO85" s="6"/>
      <c r="JQP85" s="6"/>
      <c r="JQQ85" s="6"/>
      <c r="JQR85" s="6"/>
      <c r="JQS85" s="6"/>
      <c r="JQT85" s="6"/>
      <c r="JQU85" s="6"/>
      <c r="JQV85" s="6"/>
      <c r="JQW85" s="6"/>
      <c r="JQX85" s="6"/>
      <c r="JQY85" s="6"/>
      <c r="JQZ85" s="6"/>
      <c r="JRA85" s="6"/>
      <c r="JRB85" s="6"/>
      <c r="JRC85" s="6"/>
      <c r="JRD85" s="6"/>
      <c r="JRE85" s="6"/>
      <c r="JRF85" s="6"/>
      <c r="JRG85" s="6"/>
      <c r="JRH85" s="6"/>
      <c r="JRI85" s="6"/>
      <c r="JRJ85" s="6"/>
      <c r="JRK85" s="6"/>
      <c r="JRL85" s="6"/>
      <c r="JRM85" s="6"/>
      <c r="JRN85" s="6"/>
      <c r="JRO85" s="6"/>
      <c r="JRP85" s="6"/>
      <c r="JRQ85" s="6"/>
      <c r="JRR85" s="6"/>
      <c r="JRS85" s="6"/>
      <c r="JRT85" s="6"/>
      <c r="JRU85" s="6"/>
      <c r="JRV85" s="6"/>
      <c r="JRW85" s="6"/>
      <c r="JRX85" s="6"/>
      <c r="JRY85" s="6"/>
      <c r="JRZ85" s="6"/>
      <c r="JSA85" s="6"/>
      <c r="JSB85" s="6"/>
      <c r="JSC85" s="6"/>
      <c r="JSD85" s="6"/>
      <c r="JSE85" s="6"/>
      <c r="JSF85" s="6"/>
      <c r="JSG85" s="6"/>
      <c r="JSH85" s="6"/>
      <c r="JSI85" s="6"/>
      <c r="JSJ85" s="6"/>
      <c r="JSK85" s="6"/>
      <c r="JSL85" s="6"/>
      <c r="JSM85" s="6"/>
      <c r="JSN85" s="6"/>
      <c r="JSO85" s="6"/>
      <c r="JSP85" s="6"/>
      <c r="JSQ85" s="6"/>
      <c r="JSR85" s="6"/>
      <c r="JSS85" s="6"/>
      <c r="JST85" s="6"/>
      <c r="JSU85" s="6"/>
      <c r="JSV85" s="6"/>
      <c r="JSW85" s="6"/>
      <c r="JSX85" s="6"/>
      <c r="JSY85" s="6"/>
      <c r="JSZ85" s="6"/>
      <c r="JTA85" s="6"/>
      <c r="JTB85" s="6"/>
      <c r="JTC85" s="6"/>
      <c r="JTD85" s="6"/>
      <c r="JTE85" s="6"/>
      <c r="JTF85" s="6"/>
      <c r="JTG85" s="6"/>
      <c r="JTH85" s="6"/>
      <c r="JTI85" s="6"/>
      <c r="JTJ85" s="6"/>
      <c r="JTK85" s="6"/>
      <c r="JTL85" s="6"/>
      <c r="JTM85" s="6"/>
      <c r="JTN85" s="6"/>
      <c r="JTO85" s="6"/>
      <c r="JTP85" s="6"/>
      <c r="JTQ85" s="6"/>
      <c r="JTR85" s="6"/>
      <c r="JTS85" s="6"/>
      <c r="JTT85" s="6"/>
      <c r="JTU85" s="6"/>
      <c r="JTV85" s="6"/>
      <c r="JTW85" s="6"/>
      <c r="JTX85" s="6"/>
      <c r="JTY85" s="6"/>
      <c r="JTZ85" s="6"/>
      <c r="JUA85" s="6"/>
      <c r="JUB85" s="6"/>
      <c r="JUC85" s="6"/>
      <c r="JUD85" s="6"/>
      <c r="JUE85" s="6"/>
      <c r="JUF85" s="6"/>
      <c r="JUG85" s="6"/>
      <c r="JUH85" s="6"/>
      <c r="JUI85" s="6"/>
      <c r="JUJ85" s="6"/>
      <c r="JUK85" s="6"/>
      <c r="JUL85" s="6"/>
      <c r="JUM85" s="6"/>
      <c r="JUN85" s="6"/>
      <c r="JUO85" s="6"/>
      <c r="JUP85" s="6"/>
      <c r="JUQ85" s="6"/>
      <c r="JUR85" s="6"/>
      <c r="JUS85" s="6"/>
      <c r="JUT85" s="6"/>
      <c r="JUU85" s="6"/>
      <c r="JUV85" s="6"/>
      <c r="JUW85" s="6"/>
      <c r="JUX85" s="6"/>
      <c r="JUY85" s="6"/>
      <c r="JUZ85" s="6"/>
      <c r="JVA85" s="6"/>
      <c r="JVB85" s="6"/>
      <c r="JVC85" s="6"/>
      <c r="JVD85" s="6"/>
      <c r="JVE85" s="6"/>
      <c r="JVF85" s="6"/>
      <c r="JVG85" s="6"/>
      <c r="JVH85" s="6"/>
      <c r="JVI85" s="6"/>
      <c r="JVJ85" s="6"/>
      <c r="JVK85" s="6"/>
      <c r="JVL85" s="6"/>
      <c r="JVM85" s="6"/>
      <c r="JVN85" s="6"/>
      <c r="JVO85" s="6"/>
      <c r="JVP85" s="6"/>
      <c r="JVQ85" s="6"/>
      <c r="JVR85" s="6"/>
      <c r="JVS85" s="6"/>
      <c r="JVT85" s="6"/>
      <c r="JVU85" s="6"/>
      <c r="JVV85" s="6"/>
      <c r="JVW85" s="6"/>
      <c r="JVX85" s="6"/>
      <c r="JVY85" s="6"/>
      <c r="JVZ85" s="6"/>
      <c r="JWA85" s="6"/>
      <c r="JWB85" s="6"/>
      <c r="JWC85" s="6"/>
      <c r="JWD85" s="6"/>
      <c r="JWE85" s="6"/>
      <c r="JWF85" s="6"/>
      <c r="JWG85" s="6"/>
      <c r="JWH85" s="6"/>
      <c r="JWI85" s="6"/>
      <c r="JWJ85" s="6"/>
      <c r="JWK85" s="6"/>
      <c r="JWL85" s="6"/>
      <c r="JWM85" s="6"/>
      <c r="JWN85" s="6"/>
      <c r="JWO85" s="6"/>
      <c r="JWP85" s="6"/>
      <c r="JWQ85" s="6"/>
      <c r="JWR85" s="6"/>
      <c r="JWS85" s="6"/>
      <c r="JWT85" s="6"/>
      <c r="JWU85" s="6"/>
      <c r="JWV85" s="6"/>
      <c r="JWW85" s="6"/>
      <c r="JWX85" s="6"/>
      <c r="JWY85" s="6"/>
      <c r="JWZ85" s="6"/>
      <c r="JXA85" s="6"/>
      <c r="JXB85" s="6"/>
      <c r="JXC85" s="6"/>
      <c r="JXD85" s="6"/>
      <c r="JXE85" s="6"/>
      <c r="JXF85" s="6"/>
      <c r="JXG85" s="6"/>
      <c r="JXH85" s="6"/>
      <c r="JXI85" s="6"/>
      <c r="JXJ85" s="6"/>
      <c r="JXK85" s="6"/>
      <c r="JXL85" s="6"/>
      <c r="JXM85" s="6"/>
      <c r="JXN85" s="6"/>
      <c r="JXO85" s="6"/>
      <c r="JXP85" s="6"/>
      <c r="JXQ85" s="6"/>
      <c r="JXR85" s="6"/>
      <c r="JXS85" s="6"/>
      <c r="JXT85" s="6"/>
      <c r="JXU85" s="6"/>
      <c r="JXV85" s="6"/>
      <c r="JXW85" s="6"/>
      <c r="JXX85" s="6"/>
      <c r="JXY85" s="6"/>
      <c r="JXZ85" s="6"/>
      <c r="JYA85" s="6"/>
      <c r="JYB85" s="6"/>
      <c r="JYC85" s="6"/>
      <c r="JYD85" s="6"/>
      <c r="JYE85" s="6"/>
      <c r="JYF85" s="6"/>
      <c r="JYG85" s="6"/>
      <c r="JYH85" s="6"/>
      <c r="JYI85" s="6"/>
      <c r="JYJ85" s="6"/>
      <c r="JYK85" s="6"/>
      <c r="JYL85" s="6"/>
      <c r="JYM85" s="6"/>
      <c r="JYN85" s="6"/>
      <c r="JYO85" s="6"/>
      <c r="JYP85" s="6"/>
      <c r="JYQ85" s="6"/>
      <c r="JYR85" s="6"/>
      <c r="JYS85" s="6"/>
      <c r="JYT85" s="6"/>
      <c r="JYU85" s="6"/>
      <c r="JYV85" s="6"/>
      <c r="JYW85" s="6"/>
      <c r="JYX85" s="6"/>
      <c r="JYY85" s="6"/>
      <c r="JYZ85" s="6"/>
      <c r="JZA85" s="6"/>
      <c r="JZB85" s="6"/>
      <c r="JZC85" s="6"/>
      <c r="JZD85" s="6"/>
      <c r="JZE85" s="6"/>
      <c r="JZF85" s="6"/>
      <c r="JZG85" s="6"/>
      <c r="JZH85" s="6"/>
      <c r="JZI85" s="6"/>
      <c r="JZJ85" s="6"/>
      <c r="JZK85" s="6"/>
      <c r="JZL85" s="6"/>
      <c r="JZM85" s="6"/>
      <c r="JZN85" s="6"/>
      <c r="JZO85" s="6"/>
      <c r="JZP85" s="6"/>
      <c r="JZQ85" s="6"/>
      <c r="JZR85" s="6"/>
      <c r="JZS85" s="6"/>
      <c r="JZT85" s="6"/>
      <c r="JZU85" s="6"/>
      <c r="JZV85" s="6"/>
      <c r="JZW85" s="6"/>
      <c r="JZX85" s="6"/>
      <c r="JZY85" s="6"/>
      <c r="JZZ85" s="6"/>
      <c r="KAA85" s="6"/>
      <c r="KAB85" s="6"/>
      <c r="KAC85" s="6"/>
      <c r="KAD85" s="6"/>
      <c r="KAE85" s="6"/>
      <c r="KAF85" s="6"/>
      <c r="KAG85" s="6"/>
      <c r="KAH85" s="6"/>
      <c r="KAI85" s="6"/>
      <c r="KAJ85" s="6"/>
      <c r="KAK85" s="6"/>
      <c r="KAL85" s="6"/>
      <c r="KAM85" s="6"/>
      <c r="KAN85" s="6"/>
      <c r="KAO85" s="6"/>
      <c r="KAP85" s="6"/>
      <c r="KAQ85" s="6"/>
      <c r="KAR85" s="6"/>
      <c r="KAS85" s="6"/>
      <c r="KAT85" s="6"/>
      <c r="KAU85" s="6"/>
      <c r="KAV85" s="6"/>
      <c r="KAW85" s="6"/>
      <c r="KAX85" s="6"/>
      <c r="KAY85" s="6"/>
      <c r="KAZ85" s="6"/>
      <c r="KBA85" s="6"/>
      <c r="KBB85" s="6"/>
      <c r="KBC85" s="6"/>
      <c r="KBD85" s="6"/>
      <c r="KBE85" s="6"/>
      <c r="KBF85" s="6"/>
      <c r="KBG85" s="6"/>
      <c r="KBH85" s="6"/>
      <c r="KBI85" s="6"/>
      <c r="KBJ85" s="6"/>
      <c r="KBK85" s="6"/>
      <c r="KBL85" s="6"/>
      <c r="KBM85" s="6"/>
      <c r="KBN85" s="6"/>
      <c r="KBO85" s="6"/>
      <c r="KBP85" s="6"/>
      <c r="KBQ85" s="6"/>
      <c r="KBR85" s="6"/>
      <c r="KBS85" s="6"/>
      <c r="KBT85" s="6"/>
      <c r="KBU85" s="6"/>
      <c r="KBV85" s="6"/>
      <c r="KBW85" s="6"/>
      <c r="KBX85" s="6"/>
      <c r="KBY85" s="6"/>
      <c r="KBZ85" s="6"/>
      <c r="KCA85" s="6"/>
      <c r="KCB85" s="6"/>
      <c r="KCC85" s="6"/>
      <c r="KCD85" s="6"/>
      <c r="KCE85" s="6"/>
      <c r="KCF85" s="6"/>
      <c r="KCG85" s="6"/>
      <c r="KCH85" s="6"/>
      <c r="KCI85" s="6"/>
      <c r="KCJ85" s="6"/>
      <c r="KCK85" s="6"/>
      <c r="KCL85" s="6"/>
      <c r="KCM85" s="6"/>
      <c r="KCN85" s="6"/>
      <c r="KCO85" s="6"/>
      <c r="KCP85" s="6"/>
      <c r="KCQ85" s="6"/>
      <c r="KCR85" s="6"/>
      <c r="KCS85" s="6"/>
      <c r="KCT85" s="6"/>
      <c r="KCU85" s="6"/>
      <c r="KCV85" s="6"/>
      <c r="KCW85" s="6"/>
      <c r="KCX85" s="6"/>
      <c r="KCY85" s="6"/>
      <c r="KCZ85" s="6"/>
      <c r="KDA85" s="6"/>
      <c r="KDB85" s="6"/>
      <c r="KDC85" s="6"/>
      <c r="KDD85" s="6"/>
      <c r="KDE85" s="6"/>
      <c r="KDF85" s="6"/>
      <c r="KDG85" s="6"/>
      <c r="KDH85" s="6"/>
      <c r="KDI85" s="6"/>
      <c r="KDJ85" s="6"/>
      <c r="KDK85" s="6"/>
      <c r="KDL85" s="6"/>
      <c r="KDM85" s="6"/>
      <c r="KDN85" s="6"/>
      <c r="KDO85" s="6"/>
      <c r="KDP85" s="6"/>
      <c r="KDQ85" s="6"/>
      <c r="KDR85" s="6"/>
      <c r="KDS85" s="6"/>
      <c r="KDT85" s="6"/>
      <c r="KDU85" s="6"/>
      <c r="KDV85" s="6"/>
      <c r="KDW85" s="6"/>
      <c r="KDX85" s="6"/>
      <c r="KDY85" s="6"/>
      <c r="KDZ85" s="6"/>
      <c r="KEA85" s="6"/>
      <c r="KEB85" s="6"/>
      <c r="KEC85" s="6"/>
      <c r="KED85" s="6"/>
      <c r="KEE85" s="6"/>
      <c r="KEF85" s="6"/>
      <c r="KEG85" s="6"/>
      <c r="KEH85" s="6"/>
      <c r="KEI85" s="6"/>
      <c r="KEJ85" s="6"/>
      <c r="KEK85" s="6"/>
      <c r="KEL85" s="6"/>
      <c r="KEM85" s="6"/>
      <c r="KEN85" s="6"/>
      <c r="KEO85" s="6"/>
      <c r="KEP85" s="6"/>
      <c r="KEQ85" s="6"/>
      <c r="KER85" s="6"/>
      <c r="KES85" s="6"/>
      <c r="KET85" s="6"/>
      <c r="KEU85" s="6"/>
      <c r="KEV85" s="6"/>
      <c r="KEW85" s="6"/>
      <c r="KEX85" s="6"/>
      <c r="KEY85" s="6"/>
      <c r="KEZ85" s="6"/>
      <c r="KFA85" s="6"/>
      <c r="KFB85" s="6"/>
      <c r="KFC85" s="6"/>
      <c r="KFD85" s="6"/>
      <c r="KFE85" s="6"/>
      <c r="KFF85" s="6"/>
      <c r="KFG85" s="6"/>
      <c r="KFH85" s="6"/>
      <c r="KFI85" s="6"/>
      <c r="KFJ85" s="6"/>
      <c r="KFK85" s="6"/>
      <c r="KFL85" s="6"/>
      <c r="KFM85" s="6"/>
      <c r="KFN85" s="6"/>
      <c r="KFO85" s="6"/>
      <c r="KFP85" s="6"/>
      <c r="KFQ85" s="6"/>
      <c r="KFR85" s="6"/>
      <c r="KFS85" s="6"/>
      <c r="KFT85" s="6"/>
      <c r="KFU85" s="6"/>
      <c r="KFV85" s="6"/>
      <c r="KFW85" s="6"/>
      <c r="KFX85" s="6"/>
      <c r="KFY85" s="6"/>
      <c r="KFZ85" s="6"/>
      <c r="KGA85" s="6"/>
      <c r="KGB85" s="6"/>
      <c r="KGC85" s="6"/>
      <c r="KGD85" s="6"/>
      <c r="KGE85" s="6"/>
      <c r="KGF85" s="6"/>
      <c r="KGG85" s="6"/>
      <c r="KGH85" s="6"/>
      <c r="KGI85" s="6"/>
      <c r="KGJ85" s="6"/>
      <c r="KGK85" s="6"/>
      <c r="KGL85" s="6"/>
      <c r="KGM85" s="6"/>
      <c r="KGN85" s="6"/>
      <c r="KGO85" s="6"/>
      <c r="KGP85" s="6"/>
      <c r="KGQ85" s="6"/>
      <c r="KGR85" s="6"/>
      <c r="KGS85" s="6"/>
      <c r="KGT85" s="6"/>
      <c r="KGU85" s="6"/>
      <c r="KGV85" s="6"/>
      <c r="KGW85" s="6"/>
      <c r="KGX85" s="6"/>
      <c r="KGY85" s="6"/>
      <c r="KGZ85" s="6"/>
      <c r="KHA85" s="6"/>
      <c r="KHB85" s="6"/>
      <c r="KHC85" s="6"/>
      <c r="KHD85" s="6"/>
      <c r="KHE85" s="6"/>
      <c r="KHF85" s="6"/>
      <c r="KHG85" s="6"/>
      <c r="KHH85" s="6"/>
      <c r="KHI85" s="6"/>
      <c r="KHJ85" s="6"/>
      <c r="KHK85" s="6"/>
      <c r="KHL85" s="6"/>
      <c r="KHM85" s="6"/>
      <c r="KHN85" s="6"/>
      <c r="KHO85" s="6"/>
      <c r="KHP85" s="6"/>
      <c r="KHQ85" s="6"/>
      <c r="KHR85" s="6"/>
      <c r="KHS85" s="6"/>
      <c r="KHT85" s="6"/>
      <c r="KHU85" s="6"/>
      <c r="KHV85" s="6"/>
      <c r="KHW85" s="6"/>
      <c r="KHX85" s="6"/>
      <c r="KHY85" s="6"/>
      <c r="KHZ85" s="6"/>
      <c r="KIA85" s="6"/>
      <c r="KIB85" s="6"/>
      <c r="KIC85" s="6"/>
      <c r="KID85" s="6"/>
      <c r="KIE85" s="6"/>
      <c r="KIF85" s="6"/>
      <c r="KIG85" s="6"/>
      <c r="KIH85" s="6"/>
      <c r="KII85" s="6"/>
      <c r="KIJ85" s="6"/>
      <c r="KIK85" s="6"/>
      <c r="KIL85" s="6"/>
      <c r="KIM85" s="6"/>
      <c r="KIN85" s="6"/>
      <c r="KIO85" s="6"/>
      <c r="KIP85" s="6"/>
      <c r="KIQ85" s="6"/>
      <c r="KIR85" s="6"/>
      <c r="KIS85" s="6"/>
      <c r="KIT85" s="6"/>
      <c r="KIU85" s="6"/>
      <c r="KIV85" s="6"/>
      <c r="KIW85" s="6"/>
      <c r="KIX85" s="6"/>
      <c r="KIY85" s="6"/>
      <c r="KIZ85" s="6"/>
      <c r="KJA85" s="6"/>
      <c r="KJB85" s="6"/>
      <c r="KJC85" s="6"/>
      <c r="KJD85" s="6"/>
      <c r="KJE85" s="6"/>
      <c r="KJF85" s="6"/>
      <c r="KJG85" s="6"/>
      <c r="KJH85" s="6"/>
      <c r="KJI85" s="6"/>
      <c r="KJJ85" s="6"/>
      <c r="KJK85" s="6"/>
      <c r="KJL85" s="6"/>
      <c r="KJM85" s="6"/>
      <c r="KJN85" s="6"/>
      <c r="KJO85" s="6"/>
      <c r="KJP85" s="6"/>
      <c r="KJQ85" s="6"/>
      <c r="KJR85" s="6"/>
      <c r="KJS85" s="6"/>
      <c r="KJT85" s="6"/>
      <c r="KJU85" s="6"/>
      <c r="KJV85" s="6"/>
      <c r="KJW85" s="6"/>
      <c r="KJX85" s="6"/>
      <c r="KJY85" s="6"/>
      <c r="KJZ85" s="6"/>
      <c r="KKA85" s="6"/>
      <c r="KKB85" s="6"/>
      <c r="KKC85" s="6"/>
      <c r="KKD85" s="6"/>
      <c r="KKE85" s="6"/>
      <c r="KKF85" s="6"/>
      <c r="KKG85" s="6"/>
      <c r="KKH85" s="6"/>
      <c r="KKI85" s="6"/>
      <c r="KKJ85" s="6"/>
      <c r="KKK85" s="6"/>
      <c r="KKL85" s="6"/>
      <c r="KKM85" s="6"/>
      <c r="KKN85" s="6"/>
      <c r="KKO85" s="6"/>
      <c r="KKP85" s="6"/>
      <c r="KKQ85" s="6"/>
      <c r="KKR85" s="6"/>
      <c r="KKS85" s="6"/>
      <c r="KKT85" s="6"/>
      <c r="KKU85" s="6"/>
      <c r="KKV85" s="6"/>
      <c r="KKW85" s="6"/>
      <c r="KKX85" s="6"/>
      <c r="KKY85" s="6"/>
      <c r="KKZ85" s="6"/>
      <c r="KLA85" s="6"/>
      <c r="KLB85" s="6"/>
      <c r="KLC85" s="6"/>
      <c r="KLD85" s="6"/>
      <c r="KLE85" s="6"/>
      <c r="KLF85" s="6"/>
      <c r="KLG85" s="6"/>
      <c r="KLH85" s="6"/>
      <c r="KLI85" s="6"/>
      <c r="KLJ85" s="6"/>
      <c r="KLK85" s="6"/>
      <c r="KLL85" s="6"/>
      <c r="KLM85" s="6"/>
      <c r="KLN85" s="6"/>
      <c r="KLO85" s="6"/>
      <c r="KLP85" s="6"/>
      <c r="KLQ85" s="6"/>
      <c r="KLR85" s="6"/>
      <c r="KLS85" s="6"/>
      <c r="KLT85" s="6"/>
      <c r="KLU85" s="6"/>
      <c r="KLV85" s="6"/>
      <c r="KLW85" s="6"/>
      <c r="KLX85" s="6"/>
      <c r="KLY85" s="6"/>
      <c r="KLZ85" s="6"/>
      <c r="KMA85" s="6"/>
      <c r="KMB85" s="6"/>
      <c r="KMC85" s="6"/>
      <c r="KMD85" s="6"/>
      <c r="KME85" s="6"/>
      <c r="KMF85" s="6"/>
      <c r="KMG85" s="6"/>
      <c r="KMH85" s="6"/>
      <c r="KMI85" s="6"/>
      <c r="KMJ85" s="6"/>
      <c r="KMK85" s="6"/>
      <c r="KML85" s="6"/>
      <c r="KMM85" s="6"/>
      <c r="KMN85" s="6"/>
      <c r="KMO85" s="6"/>
      <c r="KMP85" s="6"/>
      <c r="KMQ85" s="6"/>
      <c r="KMR85" s="6"/>
      <c r="KMS85" s="6"/>
      <c r="KMT85" s="6"/>
      <c r="KMU85" s="6"/>
      <c r="KMV85" s="6"/>
      <c r="KMW85" s="6"/>
      <c r="KMX85" s="6"/>
      <c r="KMY85" s="6"/>
      <c r="KMZ85" s="6"/>
      <c r="KNA85" s="6"/>
      <c r="KNB85" s="6"/>
      <c r="KNC85" s="6"/>
      <c r="KND85" s="6"/>
      <c r="KNE85" s="6"/>
      <c r="KNF85" s="6"/>
      <c r="KNG85" s="6"/>
      <c r="KNH85" s="6"/>
      <c r="KNI85" s="6"/>
      <c r="KNJ85" s="6"/>
      <c r="KNK85" s="6"/>
      <c r="KNL85" s="6"/>
      <c r="KNM85" s="6"/>
      <c r="KNN85" s="6"/>
      <c r="KNO85" s="6"/>
      <c r="KNP85" s="6"/>
      <c r="KNQ85" s="6"/>
      <c r="KNR85" s="6"/>
      <c r="KNS85" s="6"/>
      <c r="KNT85" s="6"/>
      <c r="KNU85" s="6"/>
      <c r="KNV85" s="6"/>
      <c r="KNW85" s="6"/>
      <c r="KNX85" s="6"/>
      <c r="KNY85" s="6"/>
      <c r="KNZ85" s="6"/>
      <c r="KOA85" s="6"/>
      <c r="KOB85" s="6"/>
      <c r="KOC85" s="6"/>
      <c r="KOD85" s="6"/>
      <c r="KOE85" s="6"/>
      <c r="KOF85" s="6"/>
      <c r="KOG85" s="6"/>
      <c r="KOH85" s="6"/>
      <c r="KOI85" s="6"/>
      <c r="KOJ85" s="6"/>
      <c r="KOK85" s="6"/>
      <c r="KOL85" s="6"/>
      <c r="KOM85" s="6"/>
      <c r="KON85" s="6"/>
      <c r="KOO85" s="6"/>
      <c r="KOP85" s="6"/>
      <c r="KOQ85" s="6"/>
      <c r="KOR85" s="6"/>
      <c r="KOS85" s="6"/>
      <c r="KOT85" s="6"/>
      <c r="KOU85" s="6"/>
      <c r="KOV85" s="6"/>
      <c r="KOW85" s="6"/>
      <c r="KOX85" s="6"/>
      <c r="KOY85" s="6"/>
      <c r="KOZ85" s="6"/>
      <c r="KPA85" s="6"/>
      <c r="KPB85" s="6"/>
      <c r="KPC85" s="6"/>
      <c r="KPD85" s="6"/>
      <c r="KPE85" s="6"/>
      <c r="KPF85" s="6"/>
      <c r="KPG85" s="6"/>
      <c r="KPH85" s="6"/>
      <c r="KPI85" s="6"/>
      <c r="KPJ85" s="6"/>
      <c r="KPK85" s="6"/>
      <c r="KPL85" s="6"/>
      <c r="KPM85" s="6"/>
      <c r="KPN85" s="6"/>
      <c r="KPO85" s="6"/>
      <c r="KPP85" s="6"/>
      <c r="KPQ85" s="6"/>
      <c r="KPR85" s="6"/>
      <c r="KPS85" s="6"/>
      <c r="KPT85" s="6"/>
      <c r="KPU85" s="6"/>
      <c r="KPV85" s="6"/>
      <c r="KPW85" s="6"/>
      <c r="KPX85" s="6"/>
      <c r="KPY85" s="6"/>
      <c r="KPZ85" s="6"/>
      <c r="KQA85" s="6"/>
      <c r="KQB85" s="6"/>
      <c r="KQC85" s="6"/>
      <c r="KQD85" s="6"/>
      <c r="KQE85" s="6"/>
      <c r="KQF85" s="6"/>
      <c r="KQG85" s="6"/>
      <c r="KQH85" s="6"/>
      <c r="KQI85" s="6"/>
      <c r="KQJ85" s="6"/>
      <c r="KQK85" s="6"/>
      <c r="KQL85" s="6"/>
      <c r="KQM85" s="6"/>
      <c r="KQN85" s="6"/>
      <c r="KQO85" s="6"/>
      <c r="KQP85" s="6"/>
      <c r="KQQ85" s="6"/>
      <c r="KQR85" s="6"/>
      <c r="KQS85" s="6"/>
      <c r="KQT85" s="6"/>
      <c r="KQU85" s="6"/>
      <c r="KQV85" s="6"/>
      <c r="KQW85" s="6"/>
      <c r="KQX85" s="6"/>
      <c r="KQY85" s="6"/>
      <c r="KQZ85" s="6"/>
      <c r="KRA85" s="6"/>
      <c r="KRB85" s="6"/>
      <c r="KRC85" s="6"/>
      <c r="KRD85" s="6"/>
      <c r="KRE85" s="6"/>
      <c r="KRF85" s="6"/>
      <c r="KRG85" s="6"/>
      <c r="KRH85" s="6"/>
      <c r="KRI85" s="6"/>
      <c r="KRJ85" s="6"/>
      <c r="KRK85" s="6"/>
      <c r="KRL85" s="6"/>
      <c r="KRM85" s="6"/>
      <c r="KRN85" s="6"/>
      <c r="KRO85" s="6"/>
      <c r="KRP85" s="6"/>
      <c r="KRQ85" s="6"/>
      <c r="KRR85" s="6"/>
      <c r="KRS85" s="6"/>
      <c r="KRT85" s="6"/>
      <c r="KRU85" s="6"/>
      <c r="KRV85" s="6"/>
      <c r="KRW85" s="6"/>
      <c r="KRX85" s="6"/>
      <c r="KRY85" s="6"/>
      <c r="KRZ85" s="6"/>
      <c r="KSA85" s="6"/>
      <c r="KSB85" s="6"/>
      <c r="KSC85" s="6"/>
      <c r="KSD85" s="6"/>
      <c r="KSE85" s="6"/>
      <c r="KSF85" s="6"/>
      <c r="KSG85" s="6"/>
      <c r="KSH85" s="6"/>
      <c r="KSI85" s="6"/>
      <c r="KSJ85" s="6"/>
      <c r="KSK85" s="6"/>
      <c r="KSL85" s="6"/>
      <c r="KSM85" s="6"/>
      <c r="KSN85" s="6"/>
      <c r="KSO85" s="6"/>
      <c r="KSP85" s="6"/>
      <c r="KSQ85" s="6"/>
      <c r="KSR85" s="6"/>
      <c r="KSS85" s="6"/>
      <c r="KST85" s="6"/>
      <c r="KSU85" s="6"/>
      <c r="KSV85" s="6"/>
      <c r="KSW85" s="6"/>
      <c r="KSX85" s="6"/>
      <c r="KSY85" s="6"/>
      <c r="KSZ85" s="6"/>
      <c r="KTA85" s="6"/>
      <c r="KTB85" s="6"/>
      <c r="KTC85" s="6"/>
      <c r="KTD85" s="6"/>
      <c r="KTE85" s="6"/>
      <c r="KTF85" s="6"/>
      <c r="KTG85" s="6"/>
      <c r="KTH85" s="6"/>
      <c r="KTI85" s="6"/>
      <c r="KTJ85" s="6"/>
      <c r="KTK85" s="6"/>
      <c r="KTL85" s="6"/>
      <c r="KTM85" s="6"/>
      <c r="KTN85" s="6"/>
      <c r="KTO85" s="6"/>
      <c r="KTP85" s="6"/>
      <c r="KTQ85" s="6"/>
      <c r="KTR85" s="6"/>
      <c r="KTS85" s="6"/>
      <c r="KTT85" s="6"/>
      <c r="KTU85" s="6"/>
      <c r="KTV85" s="6"/>
      <c r="KTW85" s="6"/>
      <c r="KTX85" s="6"/>
      <c r="KTY85" s="6"/>
      <c r="KTZ85" s="6"/>
      <c r="KUA85" s="6"/>
      <c r="KUB85" s="6"/>
      <c r="KUC85" s="6"/>
      <c r="KUD85" s="6"/>
      <c r="KUE85" s="6"/>
      <c r="KUF85" s="6"/>
      <c r="KUG85" s="6"/>
      <c r="KUH85" s="6"/>
      <c r="KUI85" s="6"/>
      <c r="KUJ85" s="6"/>
      <c r="KUK85" s="6"/>
      <c r="KUL85" s="6"/>
      <c r="KUM85" s="6"/>
      <c r="KUN85" s="6"/>
      <c r="KUO85" s="6"/>
      <c r="KUP85" s="6"/>
      <c r="KUQ85" s="6"/>
      <c r="KUR85" s="6"/>
      <c r="KUS85" s="6"/>
      <c r="KUT85" s="6"/>
      <c r="KUU85" s="6"/>
      <c r="KUV85" s="6"/>
      <c r="KUW85" s="6"/>
      <c r="KUX85" s="6"/>
      <c r="KUY85" s="6"/>
      <c r="KUZ85" s="6"/>
      <c r="KVA85" s="6"/>
      <c r="KVB85" s="6"/>
      <c r="KVC85" s="6"/>
      <c r="KVD85" s="6"/>
      <c r="KVE85" s="6"/>
      <c r="KVF85" s="6"/>
      <c r="KVG85" s="6"/>
      <c r="KVH85" s="6"/>
      <c r="KVI85" s="6"/>
      <c r="KVJ85" s="6"/>
      <c r="KVK85" s="6"/>
      <c r="KVL85" s="6"/>
      <c r="KVM85" s="6"/>
      <c r="KVN85" s="6"/>
      <c r="KVO85" s="6"/>
      <c r="KVP85" s="6"/>
      <c r="KVQ85" s="6"/>
      <c r="KVR85" s="6"/>
      <c r="KVS85" s="6"/>
      <c r="KVT85" s="6"/>
      <c r="KVU85" s="6"/>
      <c r="KVV85" s="6"/>
      <c r="KVW85" s="6"/>
      <c r="KVX85" s="6"/>
      <c r="KVY85" s="6"/>
      <c r="KVZ85" s="6"/>
      <c r="KWA85" s="6"/>
      <c r="KWB85" s="6"/>
      <c r="KWC85" s="6"/>
      <c r="KWD85" s="6"/>
      <c r="KWE85" s="6"/>
      <c r="KWF85" s="6"/>
      <c r="KWG85" s="6"/>
      <c r="KWH85" s="6"/>
      <c r="KWI85" s="6"/>
      <c r="KWJ85" s="6"/>
      <c r="KWK85" s="6"/>
      <c r="KWL85" s="6"/>
      <c r="KWM85" s="6"/>
      <c r="KWN85" s="6"/>
      <c r="KWO85" s="6"/>
      <c r="KWP85" s="6"/>
      <c r="KWQ85" s="6"/>
      <c r="KWR85" s="6"/>
      <c r="KWS85" s="6"/>
      <c r="KWT85" s="6"/>
      <c r="KWU85" s="6"/>
      <c r="KWV85" s="6"/>
      <c r="KWW85" s="6"/>
      <c r="KWX85" s="6"/>
      <c r="KWY85" s="6"/>
      <c r="KWZ85" s="6"/>
      <c r="KXA85" s="6"/>
      <c r="KXB85" s="6"/>
      <c r="KXC85" s="6"/>
      <c r="KXD85" s="6"/>
      <c r="KXE85" s="6"/>
      <c r="KXF85" s="6"/>
      <c r="KXG85" s="6"/>
      <c r="KXH85" s="6"/>
      <c r="KXI85" s="6"/>
      <c r="KXJ85" s="6"/>
      <c r="KXK85" s="6"/>
      <c r="KXL85" s="6"/>
      <c r="KXM85" s="6"/>
      <c r="KXN85" s="6"/>
      <c r="KXO85" s="6"/>
      <c r="KXP85" s="6"/>
      <c r="KXQ85" s="6"/>
      <c r="KXR85" s="6"/>
      <c r="KXS85" s="6"/>
      <c r="KXT85" s="6"/>
      <c r="KXU85" s="6"/>
      <c r="KXV85" s="6"/>
      <c r="KXW85" s="6"/>
      <c r="KXX85" s="6"/>
      <c r="KXY85" s="6"/>
      <c r="KXZ85" s="6"/>
      <c r="KYA85" s="6"/>
      <c r="KYB85" s="6"/>
      <c r="KYC85" s="6"/>
      <c r="KYD85" s="6"/>
      <c r="KYE85" s="6"/>
      <c r="KYF85" s="6"/>
      <c r="KYG85" s="6"/>
      <c r="KYH85" s="6"/>
      <c r="KYI85" s="6"/>
      <c r="KYJ85" s="6"/>
      <c r="KYK85" s="6"/>
      <c r="KYL85" s="6"/>
      <c r="KYM85" s="6"/>
      <c r="KYN85" s="6"/>
      <c r="KYO85" s="6"/>
      <c r="KYP85" s="6"/>
      <c r="KYQ85" s="6"/>
      <c r="KYR85" s="6"/>
      <c r="KYS85" s="6"/>
      <c r="KYT85" s="6"/>
      <c r="KYU85" s="6"/>
      <c r="KYV85" s="6"/>
      <c r="KYW85" s="6"/>
      <c r="KYX85" s="6"/>
      <c r="KYY85" s="6"/>
      <c r="KYZ85" s="6"/>
      <c r="KZA85" s="6"/>
      <c r="KZB85" s="6"/>
      <c r="KZC85" s="6"/>
      <c r="KZD85" s="6"/>
      <c r="KZE85" s="6"/>
      <c r="KZF85" s="6"/>
      <c r="KZG85" s="6"/>
      <c r="KZH85" s="6"/>
      <c r="KZI85" s="6"/>
      <c r="KZJ85" s="6"/>
      <c r="KZK85" s="6"/>
      <c r="KZL85" s="6"/>
      <c r="KZM85" s="6"/>
      <c r="KZN85" s="6"/>
      <c r="KZO85" s="6"/>
      <c r="KZP85" s="6"/>
      <c r="KZQ85" s="6"/>
      <c r="KZR85" s="6"/>
      <c r="KZS85" s="6"/>
      <c r="KZT85" s="6"/>
      <c r="KZU85" s="6"/>
      <c r="KZV85" s="6"/>
      <c r="KZW85" s="6"/>
      <c r="KZX85" s="6"/>
      <c r="KZY85" s="6"/>
      <c r="KZZ85" s="6"/>
      <c r="LAA85" s="6"/>
      <c r="LAB85" s="6"/>
      <c r="LAC85" s="6"/>
      <c r="LAD85" s="6"/>
      <c r="LAE85" s="6"/>
      <c r="LAF85" s="6"/>
      <c r="LAG85" s="6"/>
      <c r="LAH85" s="6"/>
      <c r="LAI85" s="6"/>
      <c r="LAJ85" s="6"/>
      <c r="LAK85" s="6"/>
      <c r="LAL85" s="6"/>
      <c r="LAM85" s="6"/>
      <c r="LAN85" s="6"/>
      <c r="LAO85" s="6"/>
      <c r="LAP85" s="6"/>
      <c r="LAQ85" s="6"/>
      <c r="LAR85" s="6"/>
      <c r="LAS85" s="6"/>
      <c r="LAT85" s="6"/>
      <c r="LAU85" s="6"/>
      <c r="LAV85" s="6"/>
      <c r="LAW85" s="6"/>
      <c r="LAX85" s="6"/>
      <c r="LAY85" s="6"/>
      <c r="LAZ85" s="6"/>
      <c r="LBA85" s="6"/>
      <c r="LBB85" s="6"/>
      <c r="LBC85" s="6"/>
      <c r="LBD85" s="6"/>
      <c r="LBE85" s="6"/>
      <c r="LBF85" s="6"/>
      <c r="LBG85" s="6"/>
      <c r="LBH85" s="6"/>
      <c r="LBI85" s="6"/>
      <c r="LBJ85" s="6"/>
      <c r="LBK85" s="6"/>
      <c r="LBL85" s="6"/>
      <c r="LBM85" s="6"/>
      <c r="LBN85" s="6"/>
      <c r="LBO85" s="6"/>
      <c r="LBP85" s="6"/>
      <c r="LBQ85" s="6"/>
      <c r="LBR85" s="6"/>
      <c r="LBS85" s="6"/>
      <c r="LBT85" s="6"/>
      <c r="LBU85" s="6"/>
      <c r="LBV85" s="6"/>
      <c r="LBW85" s="6"/>
      <c r="LBX85" s="6"/>
      <c r="LBY85" s="6"/>
      <c r="LBZ85" s="6"/>
      <c r="LCA85" s="6"/>
      <c r="LCB85" s="6"/>
      <c r="LCC85" s="6"/>
      <c r="LCD85" s="6"/>
      <c r="LCE85" s="6"/>
      <c r="LCF85" s="6"/>
      <c r="LCG85" s="6"/>
      <c r="LCH85" s="6"/>
      <c r="LCI85" s="6"/>
      <c r="LCJ85" s="6"/>
      <c r="LCK85" s="6"/>
      <c r="LCL85" s="6"/>
      <c r="LCM85" s="6"/>
      <c r="LCN85" s="6"/>
      <c r="LCO85" s="6"/>
      <c r="LCP85" s="6"/>
      <c r="LCQ85" s="6"/>
      <c r="LCR85" s="6"/>
      <c r="LCS85" s="6"/>
      <c r="LCT85" s="6"/>
      <c r="LCU85" s="6"/>
      <c r="LCV85" s="6"/>
      <c r="LCW85" s="6"/>
      <c r="LCX85" s="6"/>
      <c r="LCY85" s="6"/>
      <c r="LCZ85" s="6"/>
      <c r="LDA85" s="6"/>
      <c r="LDB85" s="6"/>
      <c r="LDC85" s="6"/>
      <c r="LDD85" s="6"/>
      <c r="LDE85" s="6"/>
      <c r="LDF85" s="6"/>
      <c r="LDG85" s="6"/>
      <c r="LDH85" s="6"/>
      <c r="LDI85" s="6"/>
      <c r="LDJ85" s="6"/>
      <c r="LDK85" s="6"/>
      <c r="LDL85" s="6"/>
      <c r="LDM85" s="6"/>
      <c r="LDN85" s="6"/>
      <c r="LDO85" s="6"/>
      <c r="LDP85" s="6"/>
      <c r="LDQ85" s="6"/>
      <c r="LDR85" s="6"/>
      <c r="LDS85" s="6"/>
      <c r="LDT85" s="6"/>
      <c r="LDU85" s="6"/>
      <c r="LDV85" s="6"/>
      <c r="LDW85" s="6"/>
      <c r="LDX85" s="6"/>
      <c r="LDY85" s="6"/>
      <c r="LDZ85" s="6"/>
      <c r="LEA85" s="6"/>
      <c r="LEB85" s="6"/>
      <c r="LEC85" s="6"/>
      <c r="LED85" s="6"/>
      <c r="LEE85" s="6"/>
      <c r="LEF85" s="6"/>
      <c r="LEG85" s="6"/>
      <c r="LEH85" s="6"/>
      <c r="LEI85" s="6"/>
      <c r="LEJ85" s="6"/>
      <c r="LEK85" s="6"/>
      <c r="LEL85" s="6"/>
      <c r="LEM85" s="6"/>
      <c r="LEN85" s="6"/>
      <c r="LEO85" s="6"/>
      <c r="LEP85" s="6"/>
      <c r="LEQ85" s="6"/>
      <c r="LER85" s="6"/>
      <c r="LES85" s="6"/>
      <c r="LET85" s="6"/>
      <c r="LEU85" s="6"/>
      <c r="LEV85" s="6"/>
      <c r="LEW85" s="6"/>
      <c r="LEX85" s="6"/>
      <c r="LEY85" s="6"/>
      <c r="LEZ85" s="6"/>
      <c r="LFA85" s="6"/>
      <c r="LFB85" s="6"/>
      <c r="LFC85" s="6"/>
      <c r="LFD85" s="6"/>
      <c r="LFE85" s="6"/>
      <c r="LFF85" s="6"/>
      <c r="LFG85" s="6"/>
      <c r="LFH85" s="6"/>
      <c r="LFI85" s="6"/>
      <c r="LFJ85" s="6"/>
      <c r="LFK85" s="6"/>
      <c r="LFL85" s="6"/>
      <c r="LFM85" s="6"/>
      <c r="LFN85" s="6"/>
      <c r="LFO85" s="6"/>
      <c r="LFP85" s="6"/>
      <c r="LFQ85" s="6"/>
      <c r="LFR85" s="6"/>
      <c r="LFS85" s="6"/>
      <c r="LFT85" s="6"/>
      <c r="LFU85" s="6"/>
      <c r="LFV85" s="6"/>
      <c r="LFW85" s="6"/>
      <c r="LFX85" s="6"/>
      <c r="LFY85" s="6"/>
      <c r="LFZ85" s="6"/>
      <c r="LGA85" s="6"/>
      <c r="LGB85" s="6"/>
      <c r="LGC85" s="6"/>
      <c r="LGD85" s="6"/>
      <c r="LGE85" s="6"/>
      <c r="LGF85" s="6"/>
      <c r="LGG85" s="6"/>
      <c r="LGH85" s="6"/>
      <c r="LGI85" s="6"/>
      <c r="LGJ85" s="6"/>
      <c r="LGK85" s="6"/>
      <c r="LGL85" s="6"/>
      <c r="LGM85" s="6"/>
      <c r="LGN85" s="6"/>
      <c r="LGO85" s="6"/>
      <c r="LGP85" s="6"/>
      <c r="LGQ85" s="6"/>
      <c r="LGR85" s="6"/>
      <c r="LGS85" s="6"/>
      <c r="LGT85" s="6"/>
      <c r="LGU85" s="6"/>
      <c r="LGV85" s="6"/>
      <c r="LGW85" s="6"/>
      <c r="LGX85" s="6"/>
      <c r="LGY85" s="6"/>
      <c r="LGZ85" s="6"/>
      <c r="LHA85" s="6"/>
      <c r="LHB85" s="6"/>
      <c r="LHC85" s="6"/>
      <c r="LHD85" s="6"/>
      <c r="LHE85" s="6"/>
      <c r="LHF85" s="6"/>
      <c r="LHG85" s="6"/>
      <c r="LHH85" s="6"/>
      <c r="LHI85" s="6"/>
      <c r="LHJ85" s="6"/>
      <c r="LHK85" s="6"/>
      <c r="LHL85" s="6"/>
      <c r="LHM85" s="6"/>
      <c r="LHN85" s="6"/>
      <c r="LHO85" s="6"/>
      <c r="LHP85" s="6"/>
      <c r="LHQ85" s="6"/>
      <c r="LHR85" s="6"/>
      <c r="LHS85" s="6"/>
      <c r="LHT85" s="6"/>
      <c r="LHU85" s="6"/>
      <c r="LHV85" s="6"/>
      <c r="LHW85" s="6"/>
      <c r="LHX85" s="6"/>
      <c r="LHY85" s="6"/>
      <c r="LHZ85" s="6"/>
      <c r="LIA85" s="6"/>
      <c r="LIB85" s="6"/>
      <c r="LIC85" s="6"/>
      <c r="LID85" s="6"/>
      <c r="LIE85" s="6"/>
      <c r="LIF85" s="6"/>
      <c r="LIG85" s="6"/>
      <c r="LIH85" s="6"/>
      <c r="LII85" s="6"/>
      <c r="LIJ85" s="6"/>
      <c r="LIK85" s="6"/>
      <c r="LIL85" s="6"/>
      <c r="LIM85" s="6"/>
      <c r="LIN85" s="6"/>
      <c r="LIO85" s="6"/>
      <c r="LIP85" s="6"/>
      <c r="LIQ85" s="6"/>
      <c r="LIR85" s="6"/>
      <c r="LIS85" s="6"/>
      <c r="LIT85" s="6"/>
      <c r="LIU85" s="6"/>
      <c r="LIV85" s="6"/>
      <c r="LIW85" s="6"/>
      <c r="LIX85" s="6"/>
      <c r="LIY85" s="6"/>
      <c r="LIZ85" s="6"/>
      <c r="LJA85" s="6"/>
      <c r="LJB85" s="6"/>
      <c r="LJC85" s="6"/>
      <c r="LJD85" s="6"/>
      <c r="LJE85" s="6"/>
      <c r="LJF85" s="6"/>
      <c r="LJG85" s="6"/>
      <c r="LJH85" s="6"/>
      <c r="LJI85" s="6"/>
      <c r="LJJ85" s="6"/>
      <c r="LJK85" s="6"/>
      <c r="LJL85" s="6"/>
      <c r="LJM85" s="6"/>
      <c r="LJN85" s="6"/>
      <c r="LJO85" s="6"/>
      <c r="LJP85" s="6"/>
      <c r="LJQ85" s="6"/>
      <c r="LJR85" s="6"/>
      <c r="LJS85" s="6"/>
      <c r="LJT85" s="6"/>
      <c r="LJU85" s="6"/>
      <c r="LJV85" s="6"/>
      <c r="LJW85" s="6"/>
      <c r="LJX85" s="6"/>
      <c r="LJY85" s="6"/>
      <c r="LJZ85" s="6"/>
      <c r="LKA85" s="6"/>
      <c r="LKB85" s="6"/>
      <c r="LKC85" s="6"/>
      <c r="LKD85" s="6"/>
      <c r="LKE85" s="6"/>
      <c r="LKF85" s="6"/>
      <c r="LKG85" s="6"/>
      <c r="LKH85" s="6"/>
      <c r="LKI85" s="6"/>
      <c r="LKJ85" s="6"/>
      <c r="LKK85" s="6"/>
      <c r="LKL85" s="6"/>
      <c r="LKM85" s="6"/>
      <c r="LKN85" s="6"/>
      <c r="LKO85" s="6"/>
      <c r="LKP85" s="6"/>
      <c r="LKQ85" s="6"/>
      <c r="LKR85" s="6"/>
      <c r="LKS85" s="6"/>
      <c r="LKT85" s="6"/>
      <c r="LKU85" s="6"/>
      <c r="LKV85" s="6"/>
      <c r="LKW85" s="6"/>
      <c r="LKX85" s="6"/>
      <c r="LKY85" s="6"/>
      <c r="LKZ85" s="6"/>
      <c r="LLA85" s="6"/>
      <c r="LLB85" s="6"/>
      <c r="LLC85" s="6"/>
      <c r="LLD85" s="6"/>
      <c r="LLE85" s="6"/>
      <c r="LLF85" s="6"/>
      <c r="LLG85" s="6"/>
      <c r="LLH85" s="6"/>
      <c r="LLI85" s="6"/>
      <c r="LLJ85" s="6"/>
      <c r="LLK85" s="6"/>
      <c r="LLL85" s="6"/>
      <c r="LLM85" s="6"/>
      <c r="LLN85" s="6"/>
      <c r="LLO85" s="6"/>
      <c r="LLP85" s="6"/>
      <c r="LLQ85" s="6"/>
      <c r="LLR85" s="6"/>
      <c r="LLS85" s="6"/>
      <c r="LLT85" s="6"/>
      <c r="LLU85" s="6"/>
      <c r="LLV85" s="6"/>
      <c r="LLW85" s="6"/>
      <c r="LLX85" s="6"/>
      <c r="LLY85" s="6"/>
      <c r="LLZ85" s="6"/>
      <c r="LMA85" s="6"/>
      <c r="LMB85" s="6"/>
      <c r="LMC85" s="6"/>
      <c r="LMD85" s="6"/>
      <c r="LME85" s="6"/>
      <c r="LMF85" s="6"/>
      <c r="LMG85" s="6"/>
      <c r="LMH85" s="6"/>
      <c r="LMI85" s="6"/>
      <c r="LMJ85" s="6"/>
      <c r="LMK85" s="6"/>
      <c r="LML85" s="6"/>
      <c r="LMM85" s="6"/>
      <c r="LMN85" s="6"/>
      <c r="LMO85" s="6"/>
      <c r="LMP85" s="6"/>
      <c r="LMQ85" s="6"/>
      <c r="LMR85" s="6"/>
      <c r="LMS85" s="6"/>
      <c r="LMT85" s="6"/>
      <c r="LMU85" s="6"/>
      <c r="LMV85" s="6"/>
      <c r="LMW85" s="6"/>
      <c r="LMX85" s="6"/>
      <c r="LMY85" s="6"/>
      <c r="LMZ85" s="6"/>
      <c r="LNA85" s="6"/>
      <c r="LNB85" s="6"/>
      <c r="LNC85" s="6"/>
      <c r="LND85" s="6"/>
      <c r="LNE85" s="6"/>
      <c r="LNF85" s="6"/>
      <c r="LNG85" s="6"/>
      <c r="LNH85" s="6"/>
      <c r="LNI85" s="6"/>
      <c r="LNJ85" s="6"/>
      <c r="LNK85" s="6"/>
      <c r="LNL85" s="6"/>
      <c r="LNM85" s="6"/>
      <c r="LNN85" s="6"/>
      <c r="LNO85" s="6"/>
      <c r="LNP85" s="6"/>
      <c r="LNQ85" s="6"/>
      <c r="LNR85" s="6"/>
      <c r="LNS85" s="6"/>
      <c r="LNT85" s="6"/>
      <c r="LNU85" s="6"/>
      <c r="LNV85" s="6"/>
      <c r="LNW85" s="6"/>
      <c r="LNX85" s="6"/>
      <c r="LNY85" s="6"/>
      <c r="LNZ85" s="6"/>
      <c r="LOA85" s="6"/>
      <c r="LOB85" s="6"/>
      <c r="LOC85" s="6"/>
      <c r="LOD85" s="6"/>
      <c r="LOE85" s="6"/>
      <c r="LOF85" s="6"/>
      <c r="LOG85" s="6"/>
      <c r="LOH85" s="6"/>
      <c r="LOI85" s="6"/>
      <c r="LOJ85" s="6"/>
      <c r="LOK85" s="6"/>
      <c r="LOL85" s="6"/>
      <c r="LOM85" s="6"/>
      <c r="LON85" s="6"/>
      <c r="LOO85" s="6"/>
      <c r="LOP85" s="6"/>
      <c r="LOQ85" s="6"/>
      <c r="LOR85" s="6"/>
      <c r="LOS85" s="6"/>
      <c r="LOT85" s="6"/>
      <c r="LOU85" s="6"/>
      <c r="LOV85" s="6"/>
      <c r="LOW85" s="6"/>
      <c r="LOX85" s="6"/>
      <c r="LOY85" s="6"/>
      <c r="LOZ85" s="6"/>
      <c r="LPA85" s="6"/>
      <c r="LPB85" s="6"/>
      <c r="LPC85" s="6"/>
      <c r="LPD85" s="6"/>
      <c r="LPE85" s="6"/>
      <c r="LPF85" s="6"/>
      <c r="LPG85" s="6"/>
      <c r="LPH85" s="6"/>
      <c r="LPI85" s="6"/>
      <c r="LPJ85" s="6"/>
      <c r="LPK85" s="6"/>
      <c r="LPL85" s="6"/>
      <c r="LPM85" s="6"/>
      <c r="LPN85" s="6"/>
      <c r="LPO85" s="6"/>
      <c r="LPP85" s="6"/>
      <c r="LPQ85" s="6"/>
      <c r="LPR85" s="6"/>
      <c r="LPS85" s="6"/>
      <c r="LPT85" s="6"/>
      <c r="LPU85" s="6"/>
      <c r="LPV85" s="6"/>
      <c r="LPW85" s="6"/>
      <c r="LPX85" s="6"/>
      <c r="LPY85" s="6"/>
      <c r="LPZ85" s="6"/>
      <c r="LQA85" s="6"/>
      <c r="LQB85" s="6"/>
      <c r="LQC85" s="6"/>
      <c r="LQD85" s="6"/>
      <c r="LQE85" s="6"/>
      <c r="LQF85" s="6"/>
      <c r="LQG85" s="6"/>
      <c r="LQH85" s="6"/>
      <c r="LQI85" s="6"/>
      <c r="LQJ85" s="6"/>
      <c r="LQK85" s="6"/>
      <c r="LQL85" s="6"/>
      <c r="LQM85" s="6"/>
      <c r="LQN85" s="6"/>
      <c r="LQO85" s="6"/>
      <c r="LQP85" s="6"/>
      <c r="LQQ85" s="6"/>
      <c r="LQR85" s="6"/>
      <c r="LQS85" s="6"/>
      <c r="LQT85" s="6"/>
      <c r="LQU85" s="6"/>
      <c r="LQV85" s="6"/>
      <c r="LQW85" s="6"/>
      <c r="LQX85" s="6"/>
      <c r="LQY85" s="6"/>
      <c r="LQZ85" s="6"/>
      <c r="LRA85" s="6"/>
      <c r="LRB85" s="6"/>
      <c r="LRC85" s="6"/>
      <c r="LRD85" s="6"/>
      <c r="LRE85" s="6"/>
      <c r="LRF85" s="6"/>
      <c r="LRG85" s="6"/>
      <c r="LRH85" s="6"/>
      <c r="LRI85" s="6"/>
      <c r="LRJ85" s="6"/>
      <c r="LRK85" s="6"/>
      <c r="LRL85" s="6"/>
      <c r="LRM85" s="6"/>
      <c r="LRN85" s="6"/>
      <c r="LRO85" s="6"/>
      <c r="LRP85" s="6"/>
      <c r="LRQ85" s="6"/>
      <c r="LRR85" s="6"/>
      <c r="LRS85" s="6"/>
      <c r="LRT85" s="6"/>
      <c r="LRU85" s="6"/>
      <c r="LRV85" s="6"/>
      <c r="LRW85" s="6"/>
      <c r="LRX85" s="6"/>
      <c r="LRY85" s="6"/>
      <c r="LRZ85" s="6"/>
      <c r="LSA85" s="6"/>
      <c r="LSB85" s="6"/>
      <c r="LSC85" s="6"/>
      <c r="LSD85" s="6"/>
      <c r="LSE85" s="6"/>
      <c r="LSF85" s="6"/>
      <c r="LSG85" s="6"/>
      <c r="LSH85" s="6"/>
      <c r="LSI85" s="6"/>
      <c r="LSJ85" s="6"/>
      <c r="LSK85" s="6"/>
      <c r="LSL85" s="6"/>
      <c r="LSM85" s="6"/>
      <c r="LSN85" s="6"/>
      <c r="LSO85" s="6"/>
      <c r="LSP85" s="6"/>
      <c r="LSQ85" s="6"/>
      <c r="LSR85" s="6"/>
      <c r="LSS85" s="6"/>
      <c r="LST85" s="6"/>
      <c r="LSU85" s="6"/>
      <c r="LSV85" s="6"/>
      <c r="LSW85" s="6"/>
      <c r="LSX85" s="6"/>
      <c r="LSY85" s="6"/>
      <c r="LSZ85" s="6"/>
      <c r="LTA85" s="6"/>
      <c r="LTB85" s="6"/>
      <c r="LTC85" s="6"/>
      <c r="LTD85" s="6"/>
      <c r="LTE85" s="6"/>
      <c r="LTF85" s="6"/>
      <c r="LTG85" s="6"/>
      <c r="LTH85" s="6"/>
      <c r="LTI85" s="6"/>
      <c r="LTJ85" s="6"/>
      <c r="LTK85" s="6"/>
      <c r="LTL85" s="6"/>
      <c r="LTM85" s="6"/>
      <c r="LTN85" s="6"/>
      <c r="LTO85" s="6"/>
      <c r="LTP85" s="6"/>
      <c r="LTQ85" s="6"/>
      <c r="LTR85" s="6"/>
      <c r="LTS85" s="6"/>
      <c r="LTT85" s="6"/>
      <c r="LTU85" s="6"/>
      <c r="LTV85" s="6"/>
      <c r="LTW85" s="6"/>
      <c r="LTX85" s="6"/>
      <c r="LTY85" s="6"/>
      <c r="LTZ85" s="6"/>
      <c r="LUA85" s="6"/>
      <c r="LUB85" s="6"/>
      <c r="LUC85" s="6"/>
      <c r="LUD85" s="6"/>
      <c r="LUE85" s="6"/>
      <c r="LUF85" s="6"/>
      <c r="LUG85" s="6"/>
      <c r="LUH85" s="6"/>
      <c r="LUI85" s="6"/>
      <c r="LUJ85" s="6"/>
      <c r="LUK85" s="6"/>
      <c r="LUL85" s="6"/>
      <c r="LUM85" s="6"/>
      <c r="LUN85" s="6"/>
      <c r="LUO85" s="6"/>
      <c r="LUP85" s="6"/>
      <c r="LUQ85" s="6"/>
      <c r="LUR85" s="6"/>
      <c r="LUS85" s="6"/>
      <c r="LUT85" s="6"/>
      <c r="LUU85" s="6"/>
      <c r="LUV85" s="6"/>
      <c r="LUW85" s="6"/>
      <c r="LUX85" s="6"/>
      <c r="LUY85" s="6"/>
      <c r="LUZ85" s="6"/>
      <c r="LVA85" s="6"/>
      <c r="LVB85" s="6"/>
      <c r="LVC85" s="6"/>
      <c r="LVD85" s="6"/>
      <c r="LVE85" s="6"/>
      <c r="LVF85" s="6"/>
      <c r="LVG85" s="6"/>
      <c r="LVH85" s="6"/>
      <c r="LVI85" s="6"/>
      <c r="LVJ85" s="6"/>
      <c r="LVK85" s="6"/>
      <c r="LVL85" s="6"/>
      <c r="LVM85" s="6"/>
      <c r="LVN85" s="6"/>
      <c r="LVO85" s="6"/>
      <c r="LVP85" s="6"/>
      <c r="LVQ85" s="6"/>
      <c r="LVR85" s="6"/>
      <c r="LVS85" s="6"/>
      <c r="LVT85" s="6"/>
      <c r="LVU85" s="6"/>
      <c r="LVV85" s="6"/>
      <c r="LVW85" s="6"/>
      <c r="LVX85" s="6"/>
      <c r="LVY85" s="6"/>
      <c r="LVZ85" s="6"/>
      <c r="LWA85" s="6"/>
      <c r="LWB85" s="6"/>
      <c r="LWC85" s="6"/>
      <c r="LWD85" s="6"/>
      <c r="LWE85" s="6"/>
      <c r="LWF85" s="6"/>
      <c r="LWG85" s="6"/>
      <c r="LWH85" s="6"/>
      <c r="LWI85" s="6"/>
      <c r="LWJ85" s="6"/>
      <c r="LWK85" s="6"/>
      <c r="LWL85" s="6"/>
      <c r="LWM85" s="6"/>
      <c r="LWN85" s="6"/>
      <c r="LWO85" s="6"/>
      <c r="LWP85" s="6"/>
      <c r="LWQ85" s="6"/>
      <c r="LWR85" s="6"/>
      <c r="LWS85" s="6"/>
      <c r="LWT85" s="6"/>
      <c r="LWU85" s="6"/>
      <c r="LWV85" s="6"/>
      <c r="LWW85" s="6"/>
      <c r="LWX85" s="6"/>
      <c r="LWY85" s="6"/>
      <c r="LWZ85" s="6"/>
      <c r="LXA85" s="6"/>
      <c r="LXB85" s="6"/>
      <c r="LXC85" s="6"/>
      <c r="LXD85" s="6"/>
      <c r="LXE85" s="6"/>
      <c r="LXF85" s="6"/>
      <c r="LXG85" s="6"/>
      <c r="LXH85" s="6"/>
      <c r="LXI85" s="6"/>
      <c r="LXJ85" s="6"/>
      <c r="LXK85" s="6"/>
      <c r="LXL85" s="6"/>
      <c r="LXM85" s="6"/>
      <c r="LXN85" s="6"/>
      <c r="LXO85" s="6"/>
      <c r="LXP85" s="6"/>
      <c r="LXQ85" s="6"/>
      <c r="LXR85" s="6"/>
      <c r="LXS85" s="6"/>
      <c r="LXT85" s="6"/>
      <c r="LXU85" s="6"/>
      <c r="LXV85" s="6"/>
      <c r="LXW85" s="6"/>
      <c r="LXX85" s="6"/>
      <c r="LXY85" s="6"/>
      <c r="LXZ85" s="6"/>
      <c r="LYA85" s="6"/>
      <c r="LYB85" s="6"/>
      <c r="LYC85" s="6"/>
      <c r="LYD85" s="6"/>
      <c r="LYE85" s="6"/>
      <c r="LYF85" s="6"/>
      <c r="LYG85" s="6"/>
      <c r="LYH85" s="6"/>
      <c r="LYI85" s="6"/>
      <c r="LYJ85" s="6"/>
      <c r="LYK85" s="6"/>
      <c r="LYL85" s="6"/>
      <c r="LYM85" s="6"/>
      <c r="LYN85" s="6"/>
      <c r="LYO85" s="6"/>
      <c r="LYP85" s="6"/>
      <c r="LYQ85" s="6"/>
      <c r="LYR85" s="6"/>
      <c r="LYS85" s="6"/>
      <c r="LYT85" s="6"/>
      <c r="LYU85" s="6"/>
      <c r="LYV85" s="6"/>
      <c r="LYW85" s="6"/>
      <c r="LYX85" s="6"/>
      <c r="LYY85" s="6"/>
      <c r="LYZ85" s="6"/>
      <c r="LZA85" s="6"/>
      <c r="LZB85" s="6"/>
      <c r="LZC85" s="6"/>
      <c r="LZD85" s="6"/>
      <c r="LZE85" s="6"/>
      <c r="LZF85" s="6"/>
      <c r="LZG85" s="6"/>
      <c r="LZH85" s="6"/>
      <c r="LZI85" s="6"/>
      <c r="LZJ85" s="6"/>
      <c r="LZK85" s="6"/>
      <c r="LZL85" s="6"/>
      <c r="LZM85" s="6"/>
      <c r="LZN85" s="6"/>
      <c r="LZO85" s="6"/>
      <c r="LZP85" s="6"/>
      <c r="LZQ85" s="6"/>
      <c r="LZR85" s="6"/>
      <c r="LZS85" s="6"/>
      <c r="LZT85" s="6"/>
      <c r="LZU85" s="6"/>
      <c r="LZV85" s="6"/>
      <c r="LZW85" s="6"/>
      <c r="LZX85" s="6"/>
      <c r="LZY85" s="6"/>
      <c r="LZZ85" s="6"/>
      <c r="MAA85" s="6"/>
      <c r="MAB85" s="6"/>
      <c r="MAC85" s="6"/>
      <c r="MAD85" s="6"/>
      <c r="MAE85" s="6"/>
      <c r="MAF85" s="6"/>
      <c r="MAG85" s="6"/>
      <c r="MAH85" s="6"/>
      <c r="MAI85" s="6"/>
      <c r="MAJ85" s="6"/>
      <c r="MAK85" s="6"/>
      <c r="MAL85" s="6"/>
      <c r="MAM85" s="6"/>
      <c r="MAN85" s="6"/>
      <c r="MAO85" s="6"/>
      <c r="MAP85" s="6"/>
      <c r="MAQ85" s="6"/>
      <c r="MAR85" s="6"/>
      <c r="MAS85" s="6"/>
      <c r="MAT85" s="6"/>
      <c r="MAU85" s="6"/>
      <c r="MAV85" s="6"/>
      <c r="MAW85" s="6"/>
      <c r="MAX85" s="6"/>
      <c r="MAY85" s="6"/>
      <c r="MAZ85" s="6"/>
      <c r="MBA85" s="6"/>
      <c r="MBB85" s="6"/>
      <c r="MBC85" s="6"/>
      <c r="MBD85" s="6"/>
      <c r="MBE85" s="6"/>
      <c r="MBF85" s="6"/>
      <c r="MBG85" s="6"/>
      <c r="MBH85" s="6"/>
      <c r="MBI85" s="6"/>
      <c r="MBJ85" s="6"/>
      <c r="MBK85" s="6"/>
      <c r="MBL85" s="6"/>
      <c r="MBM85" s="6"/>
      <c r="MBN85" s="6"/>
      <c r="MBO85" s="6"/>
      <c r="MBP85" s="6"/>
      <c r="MBQ85" s="6"/>
      <c r="MBR85" s="6"/>
      <c r="MBS85" s="6"/>
      <c r="MBT85" s="6"/>
      <c r="MBU85" s="6"/>
      <c r="MBV85" s="6"/>
      <c r="MBW85" s="6"/>
      <c r="MBX85" s="6"/>
      <c r="MBY85" s="6"/>
      <c r="MBZ85" s="6"/>
      <c r="MCA85" s="6"/>
      <c r="MCB85" s="6"/>
      <c r="MCC85" s="6"/>
      <c r="MCD85" s="6"/>
      <c r="MCE85" s="6"/>
      <c r="MCF85" s="6"/>
      <c r="MCG85" s="6"/>
      <c r="MCH85" s="6"/>
      <c r="MCI85" s="6"/>
      <c r="MCJ85" s="6"/>
      <c r="MCK85" s="6"/>
      <c r="MCL85" s="6"/>
      <c r="MCM85" s="6"/>
      <c r="MCN85" s="6"/>
      <c r="MCO85" s="6"/>
      <c r="MCP85" s="6"/>
      <c r="MCQ85" s="6"/>
      <c r="MCR85" s="6"/>
      <c r="MCS85" s="6"/>
      <c r="MCT85" s="6"/>
      <c r="MCU85" s="6"/>
      <c r="MCV85" s="6"/>
      <c r="MCW85" s="6"/>
      <c r="MCX85" s="6"/>
      <c r="MCY85" s="6"/>
      <c r="MCZ85" s="6"/>
      <c r="MDA85" s="6"/>
      <c r="MDB85" s="6"/>
      <c r="MDC85" s="6"/>
      <c r="MDD85" s="6"/>
      <c r="MDE85" s="6"/>
      <c r="MDF85" s="6"/>
      <c r="MDG85" s="6"/>
      <c r="MDH85" s="6"/>
      <c r="MDI85" s="6"/>
      <c r="MDJ85" s="6"/>
      <c r="MDK85" s="6"/>
      <c r="MDL85" s="6"/>
      <c r="MDM85" s="6"/>
      <c r="MDN85" s="6"/>
      <c r="MDO85" s="6"/>
      <c r="MDP85" s="6"/>
      <c r="MDQ85" s="6"/>
      <c r="MDR85" s="6"/>
      <c r="MDS85" s="6"/>
      <c r="MDT85" s="6"/>
      <c r="MDU85" s="6"/>
      <c r="MDV85" s="6"/>
      <c r="MDW85" s="6"/>
      <c r="MDX85" s="6"/>
      <c r="MDY85" s="6"/>
      <c r="MDZ85" s="6"/>
      <c r="MEA85" s="6"/>
      <c r="MEB85" s="6"/>
      <c r="MEC85" s="6"/>
      <c r="MED85" s="6"/>
      <c r="MEE85" s="6"/>
      <c r="MEF85" s="6"/>
      <c r="MEG85" s="6"/>
      <c r="MEH85" s="6"/>
      <c r="MEI85" s="6"/>
      <c r="MEJ85" s="6"/>
      <c r="MEK85" s="6"/>
      <c r="MEL85" s="6"/>
      <c r="MEM85" s="6"/>
      <c r="MEN85" s="6"/>
      <c r="MEO85" s="6"/>
      <c r="MEP85" s="6"/>
      <c r="MEQ85" s="6"/>
      <c r="MER85" s="6"/>
      <c r="MES85" s="6"/>
      <c r="MET85" s="6"/>
      <c r="MEU85" s="6"/>
      <c r="MEV85" s="6"/>
      <c r="MEW85" s="6"/>
      <c r="MEX85" s="6"/>
      <c r="MEY85" s="6"/>
      <c r="MEZ85" s="6"/>
      <c r="MFA85" s="6"/>
      <c r="MFB85" s="6"/>
      <c r="MFC85" s="6"/>
      <c r="MFD85" s="6"/>
      <c r="MFE85" s="6"/>
      <c r="MFF85" s="6"/>
      <c r="MFG85" s="6"/>
      <c r="MFH85" s="6"/>
      <c r="MFI85" s="6"/>
      <c r="MFJ85" s="6"/>
      <c r="MFK85" s="6"/>
      <c r="MFL85" s="6"/>
      <c r="MFM85" s="6"/>
      <c r="MFN85" s="6"/>
      <c r="MFO85" s="6"/>
      <c r="MFP85" s="6"/>
      <c r="MFQ85" s="6"/>
      <c r="MFR85" s="6"/>
      <c r="MFS85" s="6"/>
      <c r="MFT85" s="6"/>
      <c r="MFU85" s="6"/>
      <c r="MFV85" s="6"/>
      <c r="MFW85" s="6"/>
      <c r="MFX85" s="6"/>
      <c r="MFY85" s="6"/>
      <c r="MFZ85" s="6"/>
      <c r="MGA85" s="6"/>
      <c r="MGB85" s="6"/>
      <c r="MGC85" s="6"/>
      <c r="MGD85" s="6"/>
      <c r="MGE85" s="6"/>
      <c r="MGF85" s="6"/>
      <c r="MGG85" s="6"/>
      <c r="MGH85" s="6"/>
      <c r="MGI85" s="6"/>
      <c r="MGJ85" s="6"/>
      <c r="MGK85" s="6"/>
      <c r="MGL85" s="6"/>
      <c r="MGM85" s="6"/>
      <c r="MGN85" s="6"/>
      <c r="MGO85" s="6"/>
      <c r="MGP85" s="6"/>
      <c r="MGQ85" s="6"/>
      <c r="MGR85" s="6"/>
      <c r="MGS85" s="6"/>
      <c r="MGT85" s="6"/>
      <c r="MGU85" s="6"/>
      <c r="MGV85" s="6"/>
      <c r="MGW85" s="6"/>
      <c r="MGX85" s="6"/>
      <c r="MGY85" s="6"/>
      <c r="MGZ85" s="6"/>
      <c r="MHA85" s="6"/>
      <c r="MHB85" s="6"/>
      <c r="MHC85" s="6"/>
      <c r="MHD85" s="6"/>
      <c r="MHE85" s="6"/>
      <c r="MHF85" s="6"/>
      <c r="MHG85" s="6"/>
      <c r="MHH85" s="6"/>
      <c r="MHI85" s="6"/>
      <c r="MHJ85" s="6"/>
      <c r="MHK85" s="6"/>
      <c r="MHL85" s="6"/>
      <c r="MHM85" s="6"/>
      <c r="MHN85" s="6"/>
      <c r="MHO85" s="6"/>
      <c r="MHP85" s="6"/>
      <c r="MHQ85" s="6"/>
      <c r="MHR85" s="6"/>
      <c r="MHS85" s="6"/>
      <c r="MHT85" s="6"/>
      <c r="MHU85" s="6"/>
      <c r="MHV85" s="6"/>
      <c r="MHW85" s="6"/>
      <c r="MHX85" s="6"/>
      <c r="MHY85" s="6"/>
      <c r="MHZ85" s="6"/>
      <c r="MIA85" s="6"/>
      <c r="MIB85" s="6"/>
      <c r="MIC85" s="6"/>
      <c r="MID85" s="6"/>
      <c r="MIE85" s="6"/>
      <c r="MIF85" s="6"/>
      <c r="MIG85" s="6"/>
      <c r="MIH85" s="6"/>
      <c r="MII85" s="6"/>
      <c r="MIJ85" s="6"/>
      <c r="MIK85" s="6"/>
      <c r="MIL85" s="6"/>
      <c r="MIM85" s="6"/>
      <c r="MIN85" s="6"/>
      <c r="MIO85" s="6"/>
      <c r="MIP85" s="6"/>
      <c r="MIQ85" s="6"/>
      <c r="MIR85" s="6"/>
      <c r="MIS85" s="6"/>
      <c r="MIT85" s="6"/>
      <c r="MIU85" s="6"/>
      <c r="MIV85" s="6"/>
      <c r="MIW85" s="6"/>
      <c r="MIX85" s="6"/>
      <c r="MIY85" s="6"/>
      <c r="MIZ85" s="6"/>
      <c r="MJA85" s="6"/>
      <c r="MJB85" s="6"/>
      <c r="MJC85" s="6"/>
      <c r="MJD85" s="6"/>
      <c r="MJE85" s="6"/>
      <c r="MJF85" s="6"/>
      <c r="MJG85" s="6"/>
      <c r="MJH85" s="6"/>
      <c r="MJI85" s="6"/>
      <c r="MJJ85" s="6"/>
      <c r="MJK85" s="6"/>
      <c r="MJL85" s="6"/>
      <c r="MJM85" s="6"/>
      <c r="MJN85" s="6"/>
      <c r="MJO85" s="6"/>
      <c r="MJP85" s="6"/>
      <c r="MJQ85" s="6"/>
      <c r="MJR85" s="6"/>
      <c r="MJS85" s="6"/>
      <c r="MJT85" s="6"/>
      <c r="MJU85" s="6"/>
      <c r="MJV85" s="6"/>
      <c r="MJW85" s="6"/>
      <c r="MJX85" s="6"/>
      <c r="MJY85" s="6"/>
      <c r="MJZ85" s="6"/>
      <c r="MKA85" s="6"/>
      <c r="MKB85" s="6"/>
      <c r="MKC85" s="6"/>
      <c r="MKD85" s="6"/>
      <c r="MKE85" s="6"/>
      <c r="MKF85" s="6"/>
      <c r="MKG85" s="6"/>
      <c r="MKH85" s="6"/>
      <c r="MKI85" s="6"/>
      <c r="MKJ85" s="6"/>
      <c r="MKK85" s="6"/>
      <c r="MKL85" s="6"/>
      <c r="MKM85" s="6"/>
      <c r="MKN85" s="6"/>
      <c r="MKO85" s="6"/>
      <c r="MKP85" s="6"/>
      <c r="MKQ85" s="6"/>
      <c r="MKR85" s="6"/>
      <c r="MKS85" s="6"/>
      <c r="MKT85" s="6"/>
      <c r="MKU85" s="6"/>
      <c r="MKV85" s="6"/>
      <c r="MKW85" s="6"/>
      <c r="MKX85" s="6"/>
      <c r="MKY85" s="6"/>
      <c r="MKZ85" s="6"/>
      <c r="MLA85" s="6"/>
      <c r="MLB85" s="6"/>
      <c r="MLC85" s="6"/>
      <c r="MLD85" s="6"/>
      <c r="MLE85" s="6"/>
      <c r="MLF85" s="6"/>
      <c r="MLG85" s="6"/>
      <c r="MLH85" s="6"/>
      <c r="MLI85" s="6"/>
      <c r="MLJ85" s="6"/>
      <c r="MLK85" s="6"/>
      <c r="MLL85" s="6"/>
      <c r="MLM85" s="6"/>
      <c r="MLN85" s="6"/>
      <c r="MLO85" s="6"/>
      <c r="MLP85" s="6"/>
      <c r="MLQ85" s="6"/>
      <c r="MLR85" s="6"/>
      <c r="MLS85" s="6"/>
      <c r="MLT85" s="6"/>
      <c r="MLU85" s="6"/>
      <c r="MLV85" s="6"/>
      <c r="MLW85" s="6"/>
      <c r="MLX85" s="6"/>
      <c r="MLY85" s="6"/>
      <c r="MLZ85" s="6"/>
      <c r="MMA85" s="6"/>
      <c r="MMB85" s="6"/>
      <c r="MMC85" s="6"/>
      <c r="MMD85" s="6"/>
      <c r="MME85" s="6"/>
      <c r="MMF85" s="6"/>
      <c r="MMG85" s="6"/>
      <c r="MMH85" s="6"/>
      <c r="MMI85" s="6"/>
      <c r="MMJ85" s="6"/>
      <c r="MMK85" s="6"/>
      <c r="MML85" s="6"/>
      <c r="MMM85" s="6"/>
      <c r="MMN85" s="6"/>
      <c r="MMO85" s="6"/>
      <c r="MMP85" s="6"/>
      <c r="MMQ85" s="6"/>
      <c r="MMR85" s="6"/>
      <c r="MMS85" s="6"/>
      <c r="MMT85" s="6"/>
      <c r="MMU85" s="6"/>
      <c r="MMV85" s="6"/>
      <c r="MMW85" s="6"/>
      <c r="MMX85" s="6"/>
      <c r="MMY85" s="6"/>
      <c r="MMZ85" s="6"/>
      <c r="MNA85" s="6"/>
      <c r="MNB85" s="6"/>
      <c r="MNC85" s="6"/>
      <c r="MND85" s="6"/>
      <c r="MNE85" s="6"/>
      <c r="MNF85" s="6"/>
      <c r="MNG85" s="6"/>
      <c r="MNH85" s="6"/>
      <c r="MNI85" s="6"/>
      <c r="MNJ85" s="6"/>
      <c r="MNK85" s="6"/>
      <c r="MNL85" s="6"/>
      <c r="MNM85" s="6"/>
      <c r="MNN85" s="6"/>
      <c r="MNO85" s="6"/>
      <c r="MNP85" s="6"/>
      <c r="MNQ85" s="6"/>
      <c r="MNR85" s="6"/>
      <c r="MNS85" s="6"/>
      <c r="MNT85" s="6"/>
      <c r="MNU85" s="6"/>
      <c r="MNV85" s="6"/>
      <c r="MNW85" s="6"/>
      <c r="MNX85" s="6"/>
      <c r="MNY85" s="6"/>
      <c r="MNZ85" s="6"/>
      <c r="MOA85" s="6"/>
      <c r="MOB85" s="6"/>
      <c r="MOC85" s="6"/>
      <c r="MOD85" s="6"/>
      <c r="MOE85" s="6"/>
      <c r="MOF85" s="6"/>
      <c r="MOG85" s="6"/>
      <c r="MOH85" s="6"/>
      <c r="MOI85" s="6"/>
      <c r="MOJ85" s="6"/>
      <c r="MOK85" s="6"/>
      <c r="MOL85" s="6"/>
      <c r="MOM85" s="6"/>
      <c r="MON85" s="6"/>
      <c r="MOO85" s="6"/>
      <c r="MOP85" s="6"/>
      <c r="MOQ85" s="6"/>
      <c r="MOR85" s="6"/>
      <c r="MOS85" s="6"/>
      <c r="MOT85" s="6"/>
      <c r="MOU85" s="6"/>
      <c r="MOV85" s="6"/>
      <c r="MOW85" s="6"/>
      <c r="MOX85" s="6"/>
      <c r="MOY85" s="6"/>
      <c r="MOZ85" s="6"/>
      <c r="MPA85" s="6"/>
      <c r="MPB85" s="6"/>
      <c r="MPC85" s="6"/>
      <c r="MPD85" s="6"/>
      <c r="MPE85" s="6"/>
      <c r="MPF85" s="6"/>
      <c r="MPG85" s="6"/>
      <c r="MPH85" s="6"/>
      <c r="MPI85" s="6"/>
      <c r="MPJ85" s="6"/>
      <c r="MPK85" s="6"/>
      <c r="MPL85" s="6"/>
      <c r="MPM85" s="6"/>
      <c r="MPN85" s="6"/>
      <c r="MPO85" s="6"/>
      <c r="MPP85" s="6"/>
      <c r="MPQ85" s="6"/>
      <c r="MPR85" s="6"/>
      <c r="MPS85" s="6"/>
      <c r="MPT85" s="6"/>
      <c r="MPU85" s="6"/>
      <c r="MPV85" s="6"/>
      <c r="MPW85" s="6"/>
      <c r="MPX85" s="6"/>
      <c r="MPY85" s="6"/>
      <c r="MPZ85" s="6"/>
      <c r="MQA85" s="6"/>
      <c r="MQB85" s="6"/>
      <c r="MQC85" s="6"/>
      <c r="MQD85" s="6"/>
      <c r="MQE85" s="6"/>
      <c r="MQF85" s="6"/>
      <c r="MQG85" s="6"/>
      <c r="MQH85" s="6"/>
      <c r="MQI85" s="6"/>
      <c r="MQJ85" s="6"/>
      <c r="MQK85" s="6"/>
      <c r="MQL85" s="6"/>
      <c r="MQM85" s="6"/>
      <c r="MQN85" s="6"/>
      <c r="MQO85" s="6"/>
      <c r="MQP85" s="6"/>
      <c r="MQQ85" s="6"/>
      <c r="MQR85" s="6"/>
      <c r="MQS85" s="6"/>
      <c r="MQT85" s="6"/>
      <c r="MQU85" s="6"/>
      <c r="MQV85" s="6"/>
      <c r="MQW85" s="6"/>
      <c r="MQX85" s="6"/>
      <c r="MQY85" s="6"/>
      <c r="MQZ85" s="6"/>
      <c r="MRA85" s="6"/>
      <c r="MRB85" s="6"/>
      <c r="MRC85" s="6"/>
      <c r="MRD85" s="6"/>
      <c r="MRE85" s="6"/>
      <c r="MRF85" s="6"/>
      <c r="MRG85" s="6"/>
      <c r="MRH85" s="6"/>
      <c r="MRI85" s="6"/>
      <c r="MRJ85" s="6"/>
      <c r="MRK85" s="6"/>
      <c r="MRL85" s="6"/>
      <c r="MRM85" s="6"/>
      <c r="MRN85" s="6"/>
      <c r="MRO85" s="6"/>
      <c r="MRP85" s="6"/>
      <c r="MRQ85" s="6"/>
      <c r="MRR85" s="6"/>
      <c r="MRS85" s="6"/>
      <c r="MRT85" s="6"/>
      <c r="MRU85" s="6"/>
      <c r="MRV85" s="6"/>
      <c r="MRW85" s="6"/>
      <c r="MRX85" s="6"/>
      <c r="MRY85" s="6"/>
      <c r="MRZ85" s="6"/>
      <c r="MSA85" s="6"/>
      <c r="MSB85" s="6"/>
      <c r="MSC85" s="6"/>
      <c r="MSD85" s="6"/>
      <c r="MSE85" s="6"/>
      <c r="MSF85" s="6"/>
      <c r="MSG85" s="6"/>
      <c r="MSH85" s="6"/>
      <c r="MSI85" s="6"/>
      <c r="MSJ85" s="6"/>
      <c r="MSK85" s="6"/>
      <c r="MSL85" s="6"/>
      <c r="MSM85" s="6"/>
      <c r="MSN85" s="6"/>
      <c r="MSO85" s="6"/>
      <c r="MSP85" s="6"/>
      <c r="MSQ85" s="6"/>
      <c r="MSR85" s="6"/>
      <c r="MSS85" s="6"/>
      <c r="MST85" s="6"/>
      <c r="MSU85" s="6"/>
      <c r="MSV85" s="6"/>
      <c r="MSW85" s="6"/>
      <c r="MSX85" s="6"/>
      <c r="MSY85" s="6"/>
      <c r="MSZ85" s="6"/>
      <c r="MTA85" s="6"/>
      <c r="MTB85" s="6"/>
      <c r="MTC85" s="6"/>
      <c r="MTD85" s="6"/>
      <c r="MTE85" s="6"/>
      <c r="MTF85" s="6"/>
      <c r="MTG85" s="6"/>
      <c r="MTH85" s="6"/>
      <c r="MTI85" s="6"/>
      <c r="MTJ85" s="6"/>
      <c r="MTK85" s="6"/>
      <c r="MTL85" s="6"/>
      <c r="MTM85" s="6"/>
      <c r="MTN85" s="6"/>
      <c r="MTO85" s="6"/>
      <c r="MTP85" s="6"/>
      <c r="MTQ85" s="6"/>
      <c r="MTR85" s="6"/>
      <c r="MTS85" s="6"/>
      <c r="MTT85" s="6"/>
      <c r="MTU85" s="6"/>
      <c r="MTV85" s="6"/>
      <c r="MTW85" s="6"/>
      <c r="MTX85" s="6"/>
      <c r="MTY85" s="6"/>
      <c r="MTZ85" s="6"/>
      <c r="MUA85" s="6"/>
      <c r="MUB85" s="6"/>
      <c r="MUC85" s="6"/>
      <c r="MUD85" s="6"/>
      <c r="MUE85" s="6"/>
      <c r="MUF85" s="6"/>
      <c r="MUG85" s="6"/>
      <c r="MUH85" s="6"/>
      <c r="MUI85" s="6"/>
      <c r="MUJ85" s="6"/>
      <c r="MUK85" s="6"/>
      <c r="MUL85" s="6"/>
      <c r="MUM85" s="6"/>
      <c r="MUN85" s="6"/>
      <c r="MUO85" s="6"/>
      <c r="MUP85" s="6"/>
      <c r="MUQ85" s="6"/>
      <c r="MUR85" s="6"/>
      <c r="MUS85" s="6"/>
      <c r="MUT85" s="6"/>
      <c r="MUU85" s="6"/>
      <c r="MUV85" s="6"/>
      <c r="MUW85" s="6"/>
      <c r="MUX85" s="6"/>
      <c r="MUY85" s="6"/>
      <c r="MUZ85" s="6"/>
      <c r="MVA85" s="6"/>
      <c r="MVB85" s="6"/>
      <c r="MVC85" s="6"/>
      <c r="MVD85" s="6"/>
      <c r="MVE85" s="6"/>
      <c r="MVF85" s="6"/>
      <c r="MVG85" s="6"/>
      <c r="MVH85" s="6"/>
      <c r="MVI85" s="6"/>
      <c r="MVJ85" s="6"/>
      <c r="MVK85" s="6"/>
      <c r="MVL85" s="6"/>
      <c r="MVM85" s="6"/>
      <c r="MVN85" s="6"/>
      <c r="MVO85" s="6"/>
      <c r="MVP85" s="6"/>
      <c r="MVQ85" s="6"/>
      <c r="MVR85" s="6"/>
      <c r="MVS85" s="6"/>
      <c r="MVT85" s="6"/>
      <c r="MVU85" s="6"/>
      <c r="MVV85" s="6"/>
      <c r="MVW85" s="6"/>
      <c r="MVX85" s="6"/>
      <c r="MVY85" s="6"/>
      <c r="MVZ85" s="6"/>
      <c r="MWA85" s="6"/>
      <c r="MWB85" s="6"/>
      <c r="MWC85" s="6"/>
      <c r="MWD85" s="6"/>
      <c r="MWE85" s="6"/>
      <c r="MWF85" s="6"/>
      <c r="MWG85" s="6"/>
      <c r="MWH85" s="6"/>
      <c r="MWI85" s="6"/>
      <c r="MWJ85" s="6"/>
      <c r="MWK85" s="6"/>
      <c r="MWL85" s="6"/>
      <c r="MWM85" s="6"/>
      <c r="MWN85" s="6"/>
      <c r="MWO85" s="6"/>
      <c r="MWP85" s="6"/>
      <c r="MWQ85" s="6"/>
      <c r="MWR85" s="6"/>
      <c r="MWS85" s="6"/>
      <c r="MWT85" s="6"/>
      <c r="MWU85" s="6"/>
      <c r="MWV85" s="6"/>
      <c r="MWW85" s="6"/>
      <c r="MWX85" s="6"/>
      <c r="MWY85" s="6"/>
      <c r="MWZ85" s="6"/>
      <c r="MXA85" s="6"/>
      <c r="MXB85" s="6"/>
      <c r="MXC85" s="6"/>
      <c r="MXD85" s="6"/>
      <c r="MXE85" s="6"/>
      <c r="MXF85" s="6"/>
      <c r="MXG85" s="6"/>
      <c r="MXH85" s="6"/>
      <c r="MXI85" s="6"/>
      <c r="MXJ85" s="6"/>
      <c r="MXK85" s="6"/>
      <c r="MXL85" s="6"/>
      <c r="MXM85" s="6"/>
      <c r="MXN85" s="6"/>
      <c r="MXO85" s="6"/>
      <c r="MXP85" s="6"/>
      <c r="MXQ85" s="6"/>
      <c r="MXR85" s="6"/>
      <c r="MXS85" s="6"/>
      <c r="MXT85" s="6"/>
      <c r="MXU85" s="6"/>
      <c r="MXV85" s="6"/>
      <c r="MXW85" s="6"/>
      <c r="MXX85" s="6"/>
      <c r="MXY85" s="6"/>
      <c r="MXZ85" s="6"/>
      <c r="MYA85" s="6"/>
      <c r="MYB85" s="6"/>
      <c r="MYC85" s="6"/>
      <c r="MYD85" s="6"/>
      <c r="MYE85" s="6"/>
      <c r="MYF85" s="6"/>
      <c r="MYG85" s="6"/>
      <c r="MYH85" s="6"/>
      <c r="MYI85" s="6"/>
      <c r="MYJ85" s="6"/>
      <c r="MYK85" s="6"/>
      <c r="MYL85" s="6"/>
      <c r="MYM85" s="6"/>
      <c r="MYN85" s="6"/>
      <c r="MYO85" s="6"/>
      <c r="MYP85" s="6"/>
      <c r="MYQ85" s="6"/>
      <c r="MYR85" s="6"/>
      <c r="MYS85" s="6"/>
      <c r="MYT85" s="6"/>
      <c r="MYU85" s="6"/>
      <c r="MYV85" s="6"/>
      <c r="MYW85" s="6"/>
      <c r="MYX85" s="6"/>
      <c r="MYY85" s="6"/>
      <c r="MYZ85" s="6"/>
      <c r="MZA85" s="6"/>
      <c r="MZB85" s="6"/>
      <c r="MZC85" s="6"/>
      <c r="MZD85" s="6"/>
      <c r="MZE85" s="6"/>
      <c r="MZF85" s="6"/>
      <c r="MZG85" s="6"/>
      <c r="MZH85" s="6"/>
      <c r="MZI85" s="6"/>
      <c r="MZJ85" s="6"/>
      <c r="MZK85" s="6"/>
      <c r="MZL85" s="6"/>
      <c r="MZM85" s="6"/>
      <c r="MZN85" s="6"/>
      <c r="MZO85" s="6"/>
      <c r="MZP85" s="6"/>
      <c r="MZQ85" s="6"/>
      <c r="MZR85" s="6"/>
      <c r="MZS85" s="6"/>
      <c r="MZT85" s="6"/>
      <c r="MZU85" s="6"/>
      <c r="MZV85" s="6"/>
      <c r="MZW85" s="6"/>
      <c r="MZX85" s="6"/>
      <c r="MZY85" s="6"/>
      <c r="MZZ85" s="6"/>
      <c r="NAA85" s="6"/>
      <c r="NAB85" s="6"/>
      <c r="NAC85" s="6"/>
      <c r="NAD85" s="6"/>
      <c r="NAE85" s="6"/>
      <c r="NAF85" s="6"/>
      <c r="NAG85" s="6"/>
      <c r="NAH85" s="6"/>
      <c r="NAI85" s="6"/>
      <c r="NAJ85" s="6"/>
      <c r="NAK85" s="6"/>
      <c r="NAL85" s="6"/>
      <c r="NAM85" s="6"/>
      <c r="NAN85" s="6"/>
      <c r="NAO85" s="6"/>
      <c r="NAP85" s="6"/>
      <c r="NAQ85" s="6"/>
      <c r="NAR85" s="6"/>
      <c r="NAS85" s="6"/>
      <c r="NAT85" s="6"/>
      <c r="NAU85" s="6"/>
      <c r="NAV85" s="6"/>
      <c r="NAW85" s="6"/>
      <c r="NAX85" s="6"/>
      <c r="NAY85" s="6"/>
      <c r="NAZ85" s="6"/>
      <c r="NBA85" s="6"/>
      <c r="NBB85" s="6"/>
      <c r="NBC85" s="6"/>
      <c r="NBD85" s="6"/>
      <c r="NBE85" s="6"/>
      <c r="NBF85" s="6"/>
      <c r="NBG85" s="6"/>
      <c r="NBH85" s="6"/>
      <c r="NBI85" s="6"/>
      <c r="NBJ85" s="6"/>
      <c r="NBK85" s="6"/>
      <c r="NBL85" s="6"/>
      <c r="NBM85" s="6"/>
      <c r="NBN85" s="6"/>
      <c r="NBO85" s="6"/>
      <c r="NBP85" s="6"/>
      <c r="NBQ85" s="6"/>
      <c r="NBR85" s="6"/>
      <c r="NBS85" s="6"/>
      <c r="NBT85" s="6"/>
      <c r="NBU85" s="6"/>
      <c r="NBV85" s="6"/>
      <c r="NBW85" s="6"/>
      <c r="NBX85" s="6"/>
      <c r="NBY85" s="6"/>
      <c r="NBZ85" s="6"/>
      <c r="NCA85" s="6"/>
      <c r="NCB85" s="6"/>
      <c r="NCC85" s="6"/>
      <c r="NCD85" s="6"/>
      <c r="NCE85" s="6"/>
      <c r="NCF85" s="6"/>
      <c r="NCG85" s="6"/>
      <c r="NCH85" s="6"/>
      <c r="NCI85" s="6"/>
      <c r="NCJ85" s="6"/>
      <c r="NCK85" s="6"/>
      <c r="NCL85" s="6"/>
      <c r="NCM85" s="6"/>
      <c r="NCN85" s="6"/>
      <c r="NCO85" s="6"/>
      <c r="NCP85" s="6"/>
      <c r="NCQ85" s="6"/>
      <c r="NCR85" s="6"/>
      <c r="NCS85" s="6"/>
      <c r="NCT85" s="6"/>
      <c r="NCU85" s="6"/>
      <c r="NCV85" s="6"/>
      <c r="NCW85" s="6"/>
      <c r="NCX85" s="6"/>
      <c r="NCY85" s="6"/>
      <c r="NCZ85" s="6"/>
      <c r="NDA85" s="6"/>
      <c r="NDB85" s="6"/>
      <c r="NDC85" s="6"/>
      <c r="NDD85" s="6"/>
      <c r="NDE85" s="6"/>
      <c r="NDF85" s="6"/>
      <c r="NDG85" s="6"/>
      <c r="NDH85" s="6"/>
      <c r="NDI85" s="6"/>
      <c r="NDJ85" s="6"/>
      <c r="NDK85" s="6"/>
      <c r="NDL85" s="6"/>
      <c r="NDM85" s="6"/>
      <c r="NDN85" s="6"/>
      <c r="NDO85" s="6"/>
      <c r="NDP85" s="6"/>
      <c r="NDQ85" s="6"/>
      <c r="NDR85" s="6"/>
      <c r="NDS85" s="6"/>
      <c r="NDT85" s="6"/>
      <c r="NDU85" s="6"/>
      <c r="NDV85" s="6"/>
      <c r="NDW85" s="6"/>
      <c r="NDX85" s="6"/>
      <c r="NDY85" s="6"/>
      <c r="NDZ85" s="6"/>
      <c r="NEA85" s="6"/>
      <c r="NEB85" s="6"/>
      <c r="NEC85" s="6"/>
      <c r="NED85" s="6"/>
      <c r="NEE85" s="6"/>
      <c r="NEF85" s="6"/>
      <c r="NEG85" s="6"/>
      <c r="NEH85" s="6"/>
      <c r="NEI85" s="6"/>
      <c r="NEJ85" s="6"/>
      <c r="NEK85" s="6"/>
      <c r="NEL85" s="6"/>
      <c r="NEM85" s="6"/>
      <c r="NEN85" s="6"/>
      <c r="NEO85" s="6"/>
      <c r="NEP85" s="6"/>
      <c r="NEQ85" s="6"/>
      <c r="NER85" s="6"/>
      <c r="NES85" s="6"/>
      <c r="NET85" s="6"/>
      <c r="NEU85" s="6"/>
      <c r="NEV85" s="6"/>
      <c r="NEW85" s="6"/>
      <c r="NEX85" s="6"/>
      <c r="NEY85" s="6"/>
      <c r="NEZ85" s="6"/>
      <c r="NFA85" s="6"/>
      <c r="NFB85" s="6"/>
      <c r="NFC85" s="6"/>
      <c r="NFD85" s="6"/>
      <c r="NFE85" s="6"/>
      <c r="NFF85" s="6"/>
      <c r="NFG85" s="6"/>
      <c r="NFH85" s="6"/>
      <c r="NFI85" s="6"/>
      <c r="NFJ85" s="6"/>
      <c r="NFK85" s="6"/>
      <c r="NFL85" s="6"/>
      <c r="NFM85" s="6"/>
      <c r="NFN85" s="6"/>
      <c r="NFO85" s="6"/>
      <c r="NFP85" s="6"/>
      <c r="NFQ85" s="6"/>
      <c r="NFR85" s="6"/>
      <c r="NFS85" s="6"/>
      <c r="NFT85" s="6"/>
      <c r="NFU85" s="6"/>
      <c r="NFV85" s="6"/>
      <c r="NFW85" s="6"/>
      <c r="NFX85" s="6"/>
      <c r="NFY85" s="6"/>
      <c r="NFZ85" s="6"/>
      <c r="NGA85" s="6"/>
      <c r="NGB85" s="6"/>
      <c r="NGC85" s="6"/>
      <c r="NGD85" s="6"/>
      <c r="NGE85" s="6"/>
      <c r="NGF85" s="6"/>
      <c r="NGG85" s="6"/>
      <c r="NGH85" s="6"/>
      <c r="NGI85" s="6"/>
      <c r="NGJ85" s="6"/>
      <c r="NGK85" s="6"/>
      <c r="NGL85" s="6"/>
      <c r="NGM85" s="6"/>
      <c r="NGN85" s="6"/>
      <c r="NGO85" s="6"/>
      <c r="NGP85" s="6"/>
      <c r="NGQ85" s="6"/>
      <c r="NGR85" s="6"/>
      <c r="NGS85" s="6"/>
      <c r="NGT85" s="6"/>
      <c r="NGU85" s="6"/>
      <c r="NGV85" s="6"/>
      <c r="NGW85" s="6"/>
      <c r="NGX85" s="6"/>
      <c r="NGY85" s="6"/>
      <c r="NGZ85" s="6"/>
      <c r="NHA85" s="6"/>
      <c r="NHB85" s="6"/>
      <c r="NHC85" s="6"/>
      <c r="NHD85" s="6"/>
      <c r="NHE85" s="6"/>
      <c r="NHF85" s="6"/>
      <c r="NHG85" s="6"/>
      <c r="NHH85" s="6"/>
      <c r="NHI85" s="6"/>
      <c r="NHJ85" s="6"/>
      <c r="NHK85" s="6"/>
      <c r="NHL85" s="6"/>
      <c r="NHM85" s="6"/>
      <c r="NHN85" s="6"/>
      <c r="NHO85" s="6"/>
      <c r="NHP85" s="6"/>
      <c r="NHQ85" s="6"/>
      <c r="NHR85" s="6"/>
      <c r="NHS85" s="6"/>
      <c r="NHT85" s="6"/>
      <c r="NHU85" s="6"/>
      <c r="NHV85" s="6"/>
      <c r="NHW85" s="6"/>
      <c r="NHX85" s="6"/>
      <c r="NHY85" s="6"/>
      <c r="NHZ85" s="6"/>
      <c r="NIA85" s="6"/>
      <c r="NIB85" s="6"/>
      <c r="NIC85" s="6"/>
      <c r="NID85" s="6"/>
      <c r="NIE85" s="6"/>
      <c r="NIF85" s="6"/>
      <c r="NIG85" s="6"/>
      <c r="NIH85" s="6"/>
      <c r="NII85" s="6"/>
      <c r="NIJ85" s="6"/>
      <c r="NIK85" s="6"/>
      <c r="NIL85" s="6"/>
      <c r="NIM85" s="6"/>
      <c r="NIN85" s="6"/>
      <c r="NIO85" s="6"/>
      <c r="NIP85" s="6"/>
      <c r="NIQ85" s="6"/>
      <c r="NIR85" s="6"/>
      <c r="NIS85" s="6"/>
      <c r="NIT85" s="6"/>
      <c r="NIU85" s="6"/>
      <c r="NIV85" s="6"/>
      <c r="NIW85" s="6"/>
      <c r="NIX85" s="6"/>
      <c r="NIY85" s="6"/>
      <c r="NIZ85" s="6"/>
      <c r="NJA85" s="6"/>
      <c r="NJB85" s="6"/>
      <c r="NJC85" s="6"/>
      <c r="NJD85" s="6"/>
      <c r="NJE85" s="6"/>
      <c r="NJF85" s="6"/>
      <c r="NJG85" s="6"/>
      <c r="NJH85" s="6"/>
      <c r="NJI85" s="6"/>
      <c r="NJJ85" s="6"/>
      <c r="NJK85" s="6"/>
      <c r="NJL85" s="6"/>
      <c r="NJM85" s="6"/>
      <c r="NJN85" s="6"/>
      <c r="NJO85" s="6"/>
      <c r="NJP85" s="6"/>
      <c r="NJQ85" s="6"/>
      <c r="NJR85" s="6"/>
      <c r="NJS85" s="6"/>
      <c r="NJT85" s="6"/>
      <c r="NJU85" s="6"/>
      <c r="NJV85" s="6"/>
      <c r="NJW85" s="6"/>
      <c r="NJX85" s="6"/>
      <c r="NJY85" s="6"/>
      <c r="NJZ85" s="6"/>
      <c r="NKA85" s="6"/>
      <c r="NKB85" s="6"/>
      <c r="NKC85" s="6"/>
      <c r="NKD85" s="6"/>
      <c r="NKE85" s="6"/>
      <c r="NKF85" s="6"/>
      <c r="NKG85" s="6"/>
      <c r="NKH85" s="6"/>
      <c r="NKI85" s="6"/>
      <c r="NKJ85" s="6"/>
      <c r="NKK85" s="6"/>
      <c r="NKL85" s="6"/>
      <c r="NKM85" s="6"/>
      <c r="NKN85" s="6"/>
      <c r="NKO85" s="6"/>
      <c r="NKP85" s="6"/>
      <c r="NKQ85" s="6"/>
      <c r="NKR85" s="6"/>
      <c r="NKS85" s="6"/>
      <c r="NKT85" s="6"/>
      <c r="NKU85" s="6"/>
      <c r="NKV85" s="6"/>
      <c r="NKW85" s="6"/>
      <c r="NKX85" s="6"/>
      <c r="NKY85" s="6"/>
      <c r="NKZ85" s="6"/>
      <c r="NLA85" s="6"/>
      <c r="NLB85" s="6"/>
      <c r="NLC85" s="6"/>
      <c r="NLD85" s="6"/>
      <c r="NLE85" s="6"/>
      <c r="NLF85" s="6"/>
      <c r="NLG85" s="6"/>
      <c r="NLH85" s="6"/>
      <c r="NLI85" s="6"/>
      <c r="NLJ85" s="6"/>
      <c r="NLK85" s="6"/>
      <c r="NLL85" s="6"/>
      <c r="NLM85" s="6"/>
      <c r="NLN85" s="6"/>
      <c r="NLO85" s="6"/>
      <c r="NLP85" s="6"/>
      <c r="NLQ85" s="6"/>
      <c r="NLR85" s="6"/>
      <c r="NLS85" s="6"/>
      <c r="NLT85" s="6"/>
      <c r="NLU85" s="6"/>
      <c r="NLV85" s="6"/>
      <c r="NLW85" s="6"/>
      <c r="NLX85" s="6"/>
      <c r="NLY85" s="6"/>
      <c r="NLZ85" s="6"/>
      <c r="NMA85" s="6"/>
      <c r="NMB85" s="6"/>
      <c r="NMC85" s="6"/>
      <c r="NMD85" s="6"/>
      <c r="NME85" s="6"/>
      <c r="NMF85" s="6"/>
      <c r="NMG85" s="6"/>
      <c r="NMH85" s="6"/>
      <c r="NMI85" s="6"/>
      <c r="NMJ85" s="6"/>
      <c r="NMK85" s="6"/>
      <c r="NML85" s="6"/>
      <c r="NMM85" s="6"/>
      <c r="NMN85" s="6"/>
      <c r="NMO85" s="6"/>
      <c r="NMP85" s="6"/>
      <c r="NMQ85" s="6"/>
      <c r="NMR85" s="6"/>
      <c r="NMS85" s="6"/>
      <c r="NMT85" s="6"/>
      <c r="NMU85" s="6"/>
      <c r="NMV85" s="6"/>
      <c r="NMW85" s="6"/>
      <c r="NMX85" s="6"/>
      <c r="NMY85" s="6"/>
      <c r="NMZ85" s="6"/>
      <c r="NNA85" s="6"/>
      <c r="NNB85" s="6"/>
      <c r="NNC85" s="6"/>
      <c r="NND85" s="6"/>
      <c r="NNE85" s="6"/>
      <c r="NNF85" s="6"/>
      <c r="NNG85" s="6"/>
      <c r="NNH85" s="6"/>
      <c r="NNI85" s="6"/>
      <c r="NNJ85" s="6"/>
      <c r="NNK85" s="6"/>
      <c r="NNL85" s="6"/>
      <c r="NNM85" s="6"/>
      <c r="NNN85" s="6"/>
      <c r="NNO85" s="6"/>
      <c r="NNP85" s="6"/>
      <c r="NNQ85" s="6"/>
      <c r="NNR85" s="6"/>
      <c r="NNS85" s="6"/>
      <c r="NNT85" s="6"/>
      <c r="NNU85" s="6"/>
      <c r="NNV85" s="6"/>
      <c r="NNW85" s="6"/>
      <c r="NNX85" s="6"/>
      <c r="NNY85" s="6"/>
      <c r="NNZ85" s="6"/>
      <c r="NOA85" s="6"/>
      <c r="NOB85" s="6"/>
      <c r="NOC85" s="6"/>
      <c r="NOD85" s="6"/>
      <c r="NOE85" s="6"/>
      <c r="NOF85" s="6"/>
      <c r="NOG85" s="6"/>
      <c r="NOH85" s="6"/>
      <c r="NOI85" s="6"/>
      <c r="NOJ85" s="6"/>
      <c r="NOK85" s="6"/>
      <c r="NOL85" s="6"/>
      <c r="NOM85" s="6"/>
      <c r="NON85" s="6"/>
      <c r="NOO85" s="6"/>
      <c r="NOP85" s="6"/>
      <c r="NOQ85" s="6"/>
      <c r="NOR85" s="6"/>
      <c r="NOS85" s="6"/>
      <c r="NOT85" s="6"/>
      <c r="NOU85" s="6"/>
      <c r="NOV85" s="6"/>
      <c r="NOW85" s="6"/>
      <c r="NOX85" s="6"/>
      <c r="NOY85" s="6"/>
      <c r="NOZ85" s="6"/>
      <c r="NPA85" s="6"/>
      <c r="NPB85" s="6"/>
      <c r="NPC85" s="6"/>
      <c r="NPD85" s="6"/>
      <c r="NPE85" s="6"/>
      <c r="NPF85" s="6"/>
      <c r="NPG85" s="6"/>
      <c r="NPH85" s="6"/>
      <c r="NPI85" s="6"/>
      <c r="NPJ85" s="6"/>
      <c r="NPK85" s="6"/>
      <c r="NPL85" s="6"/>
      <c r="NPM85" s="6"/>
      <c r="NPN85" s="6"/>
      <c r="NPO85" s="6"/>
      <c r="NPP85" s="6"/>
      <c r="NPQ85" s="6"/>
      <c r="NPR85" s="6"/>
      <c r="NPS85" s="6"/>
      <c r="NPT85" s="6"/>
      <c r="NPU85" s="6"/>
      <c r="NPV85" s="6"/>
      <c r="NPW85" s="6"/>
      <c r="NPX85" s="6"/>
      <c r="NPY85" s="6"/>
      <c r="NPZ85" s="6"/>
      <c r="NQA85" s="6"/>
      <c r="NQB85" s="6"/>
      <c r="NQC85" s="6"/>
      <c r="NQD85" s="6"/>
      <c r="NQE85" s="6"/>
      <c r="NQF85" s="6"/>
      <c r="NQG85" s="6"/>
      <c r="NQH85" s="6"/>
      <c r="NQI85" s="6"/>
      <c r="NQJ85" s="6"/>
      <c r="NQK85" s="6"/>
      <c r="NQL85" s="6"/>
      <c r="NQM85" s="6"/>
      <c r="NQN85" s="6"/>
      <c r="NQO85" s="6"/>
      <c r="NQP85" s="6"/>
      <c r="NQQ85" s="6"/>
      <c r="NQR85" s="6"/>
      <c r="NQS85" s="6"/>
      <c r="NQT85" s="6"/>
      <c r="NQU85" s="6"/>
      <c r="NQV85" s="6"/>
      <c r="NQW85" s="6"/>
      <c r="NQX85" s="6"/>
      <c r="NQY85" s="6"/>
      <c r="NQZ85" s="6"/>
      <c r="NRA85" s="6"/>
      <c r="NRB85" s="6"/>
      <c r="NRC85" s="6"/>
      <c r="NRD85" s="6"/>
      <c r="NRE85" s="6"/>
      <c r="NRF85" s="6"/>
      <c r="NRG85" s="6"/>
      <c r="NRH85" s="6"/>
      <c r="NRI85" s="6"/>
      <c r="NRJ85" s="6"/>
      <c r="NRK85" s="6"/>
      <c r="NRL85" s="6"/>
      <c r="NRM85" s="6"/>
      <c r="NRN85" s="6"/>
      <c r="NRO85" s="6"/>
      <c r="NRP85" s="6"/>
      <c r="NRQ85" s="6"/>
      <c r="NRR85" s="6"/>
      <c r="NRS85" s="6"/>
      <c r="NRT85" s="6"/>
      <c r="NRU85" s="6"/>
      <c r="NRV85" s="6"/>
      <c r="NRW85" s="6"/>
      <c r="NRX85" s="6"/>
      <c r="NRY85" s="6"/>
      <c r="NRZ85" s="6"/>
      <c r="NSA85" s="6"/>
      <c r="NSB85" s="6"/>
      <c r="NSC85" s="6"/>
      <c r="NSD85" s="6"/>
      <c r="NSE85" s="6"/>
      <c r="NSF85" s="6"/>
      <c r="NSG85" s="6"/>
      <c r="NSH85" s="6"/>
      <c r="NSI85" s="6"/>
      <c r="NSJ85" s="6"/>
      <c r="NSK85" s="6"/>
      <c r="NSL85" s="6"/>
      <c r="NSM85" s="6"/>
      <c r="NSN85" s="6"/>
      <c r="NSO85" s="6"/>
      <c r="NSP85" s="6"/>
      <c r="NSQ85" s="6"/>
      <c r="NSR85" s="6"/>
      <c r="NSS85" s="6"/>
      <c r="NST85" s="6"/>
      <c r="NSU85" s="6"/>
      <c r="NSV85" s="6"/>
      <c r="NSW85" s="6"/>
      <c r="NSX85" s="6"/>
      <c r="NSY85" s="6"/>
      <c r="NSZ85" s="6"/>
      <c r="NTA85" s="6"/>
      <c r="NTB85" s="6"/>
      <c r="NTC85" s="6"/>
      <c r="NTD85" s="6"/>
      <c r="NTE85" s="6"/>
      <c r="NTF85" s="6"/>
      <c r="NTG85" s="6"/>
      <c r="NTH85" s="6"/>
      <c r="NTI85" s="6"/>
      <c r="NTJ85" s="6"/>
      <c r="NTK85" s="6"/>
      <c r="NTL85" s="6"/>
      <c r="NTM85" s="6"/>
      <c r="NTN85" s="6"/>
      <c r="NTO85" s="6"/>
      <c r="NTP85" s="6"/>
      <c r="NTQ85" s="6"/>
      <c r="NTR85" s="6"/>
      <c r="NTS85" s="6"/>
      <c r="NTT85" s="6"/>
      <c r="NTU85" s="6"/>
      <c r="NTV85" s="6"/>
      <c r="NTW85" s="6"/>
      <c r="NTX85" s="6"/>
      <c r="NTY85" s="6"/>
      <c r="NTZ85" s="6"/>
      <c r="NUA85" s="6"/>
      <c r="NUB85" s="6"/>
      <c r="NUC85" s="6"/>
      <c r="NUD85" s="6"/>
      <c r="NUE85" s="6"/>
      <c r="NUF85" s="6"/>
      <c r="NUG85" s="6"/>
      <c r="NUH85" s="6"/>
      <c r="NUI85" s="6"/>
      <c r="NUJ85" s="6"/>
      <c r="NUK85" s="6"/>
      <c r="NUL85" s="6"/>
      <c r="NUM85" s="6"/>
      <c r="NUN85" s="6"/>
      <c r="NUO85" s="6"/>
      <c r="NUP85" s="6"/>
      <c r="NUQ85" s="6"/>
      <c r="NUR85" s="6"/>
      <c r="NUS85" s="6"/>
      <c r="NUT85" s="6"/>
      <c r="NUU85" s="6"/>
      <c r="NUV85" s="6"/>
      <c r="NUW85" s="6"/>
      <c r="NUX85" s="6"/>
      <c r="NUY85" s="6"/>
      <c r="NUZ85" s="6"/>
      <c r="NVA85" s="6"/>
      <c r="NVB85" s="6"/>
      <c r="NVC85" s="6"/>
      <c r="NVD85" s="6"/>
      <c r="NVE85" s="6"/>
      <c r="NVF85" s="6"/>
      <c r="NVG85" s="6"/>
      <c r="NVH85" s="6"/>
      <c r="NVI85" s="6"/>
      <c r="NVJ85" s="6"/>
      <c r="NVK85" s="6"/>
      <c r="NVL85" s="6"/>
      <c r="NVM85" s="6"/>
      <c r="NVN85" s="6"/>
      <c r="NVO85" s="6"/>
      <c r="NVP85" s="6"/>
      <c r="NVQ85" s="6"/>
      <c r="NVR85" s="6"/>
      <c r="NVS85" s="6"/>
      <c r="NVT85" s="6"/>
      <c r="NVU85" s="6"/>
      <c r="NVV85" s="6"/>
      <c r="NVW85" s="6"/>
      <c r="NVX85" s="6"/>
      <c r="NVY85" s="6"/>
      <c r="NVZ85" s="6"/>
      <c r="NWA85" s="6"/>
      <c r="NWB85" s="6"/>
      <c r="NWC85" s="6"/>
      <c r="NWD85" s="6"/>
      <c r="NWE85" s="6"/>
      <c r="NWF85" s="6"/>
      <c r="NWG85" s="6"/>
      <c r="NWH85" s="6"/>
      <c r="NWI85" s="6"/>
      <c r="NWJ85" s="6"/>
      <c r="NWK85" s="6"/>
      <c r="NWL85" s="6"/>
      <c r="NWM85" s="6"/>
      <c r="NWN85" s="6"/>
      <c r="NWO85" s="6"/>
      <c r="NWP85" s="6"/>
      <c r="NWQ85" s="6"/>
      <c r="NWR85" s="6"/>
      <c r="NWS85" s="6"/>
      <c r="NWT85" s="6"/>
      <c r="NWU85" s="6"/>
      <c r="NWV85" s="6"/>
      <c r="NWW85" s="6"/>
      <c r="NWX85" s="6"/>
      <c r="NWY85" s="6"/>
      <c r="NWZ85" s="6"/>
      <c r="NXA85" s="6"/>
      <c r="NXB85" s="6"/>
      <c r="NXC85" s="6"/>
      <c r="NXD85" s="6"/>
      <c r="NXE85" s="6"/>
      <c r="NXF85" s="6"/>
      <c r="NXG85" s="6"/>
      <c r="NXH85" s="6"/>
      <c r="NXI85" s="6"/>
      <c r="NXJ85" s="6"/>
      <c r="NXK85" s="6"/>
      <c r="NXL85" s="6"/>
      <c r="NXM85" s="6"/>
      <c r="NXN85" s="6"/>
      <c r="NXO85" s="6"/>
      <c r="NXP85" s="6"/>
      <c r="NXQ85" s="6"/>
      <c r="NXR85" s="6"/>
      <c r="NXS85" s="6"/>
      <c r="NXT85" s="6"/>
      <c r="NXU85" s="6"/>
      <c r="NXV85" s="6"/>
      <c r="NXW85" s="6"/>
      <c r="NXX85" s="6"/>
      <c r="NXY85" s="6"/>
      <c r="NXZ85" s="6"/>
      <c r="NYA85" s="6"/>
      <c r="NYB85" s="6"/>
      <c r="NYC85" s="6"/>
      <c r="NYD85" s="6"/>
      <c r="NYE85" s="6"/>
      <c r="NYF85" s="6"/>
      <c r="NYG85" s="6"/>
      <c r="NYH85" s="6"/>
      <c r="NYI85" s="6"/>
      <c r="NYJ85" s="6"/>
      <c r="NYK85" s="6"/>
      <c r="NYL85" s="6"/>
      <c r="NYM85" s="6"/>
      <c r="NYN85" s="6"/>
      <c r="NYO85" s="6"/>
      <c r="NYP85" s="6"/>
      <c r="NYQ85" s="6"/>
      <c r="NYR85" s="6"/>
      <c r="NYS85" s="6"/>
      <c r="NYT85" s="6"/>
      <c r="NYU85" s="6"/>
      <c r="NYV85" s="6"/>
      <c r="NYW85" s="6"/>
      <c r="NYX85" s="6"/>
      <c r="NYY85" s="6"/>
      <c r="NYZ85" s="6"/>
      <c r="NZA85" s="6"/>
      <c r="NZB85" s="6"/>
      <c r="NZC85" s="6"/>
      <c r="NZD85" s="6"/>
      <c r="NZE85" s="6"/>
      <c r="NZF85" s="6"/>
      <c r="NZG85" s="6"/>
      <c r="NZH85" s="6"/>
      <c r="NZI85" s="6"/>
      <c r="NZJ85" s="6"/>
      <c r="NZK85" s="6"/>
      <c r="NZL85" s="6"/>
      <c r="NZM85" s="6"/>
      <c r="NZN85" s="6"/>
      <c r="NZO85" s="6"/>
      <c r="NZP85" s="6"/>
      <c r="NZQ85" s="6"/>
      <c r="NZR85" s="6"/>
      <c r="NZS85" s="6"/>
      <c r="NZT85" s="6"/>
      <c r="NZU85" s="6"/>
      <c r="NZV85" s="6"/>
      <c r="NZW85" s="6"/>
      <c r="NZX85" s="6"/>
      <c r="NZY85" s="6"/>
      <c r="NZZ85" s="6"/>
      <c r="OAA85" s="6"/>
      <c r="OAB85" s="6"/>
      <c r="OAC85" s="6"/>
      <c r="OAD85" s="6"/>
      <c r="OAE85" s="6"/>
      <c r="OAF85" s="6"/>
      <c r="OAG85" s="6"/>
      <c r="OAH85" s="6"/>
      <c r="OAI85" s="6"/>
      <c r="OAJ85" s="6"/>
      <c r="OAK85" s="6"/>
      <c r="OAL85" s="6"/>
      <c r="OAM85" s="6"/>
      <c r="OAN85" s="6"/>
      <c r="OAO85" s="6"/>
      <c r="OAP85" s="6"/>
      <c r="OAQ85" s="6"/>
      <c r="OAR85" s="6"/>
      <c r="OAS85" s="6"/>
      <c r="OAT85" s="6"/>
      <c r="OAU85" s="6"/>
      <c r="OAV85" s="6"/>
      <c r="OAW85" s="6"/>
      <c r="OAX85" s="6"/>
      <c r="OAY85" s="6"/>
      <c r="OAZ85" s="6"/>
      <c r="OBA85" s="6"/>
      <c r="OBB85" s="6"/>
      <c r="OBC85" s="6"/>
      <c r="OBD85" s="6"/>
      <c r="OBE85" s="6"/>
      <c r="OBF85" s="6"/>
      <c r="OBG85" s="6"/>
      <c r="OBH85" s="6"/>
      <c r="OBI85" s="6"/>
      <c r="OBJ85" s="6"/>
      <c r="OBK85" s="6"/>
      <c r="OBL85" s="6"/>
      <c r="OBM85" s="6"/>
      <c r="OBN85" s="6"/>
      <c r="OBO85" s="6"/>
      <c r="OBP85" s="6"/>
      <c r="OBQ85" s="6"/>
      <c r="OBR85" s="6"/>
      <c r="OBS85" s="6"/>
      <c r="OBT85" s="6"/>
      <c r="OBU85" s="6"/>
      <c r="OBV85" s="6"/>
      <c r="OBW85" s="6"/>
      <c r="OBX85" s="6"/>
      <c r="OBY85" s="6"/>
      <c r="OBZ85" s="6"/>
      <c r="OCA85" s="6"/>
      <c r="OCB85" s="6"/>
      <c r="OCC85" s="6"/>
      <c r="OCD85" s="6"/>
      <c r="OCE85" s="6"/>
      <c r="OCF85" s="6"/>
      <c r="OCG85" s="6"/>
      <c r="OCH85" s="6"/>
      <c r="OCI85" s="6"/>
      <c r="OCJ85" s="6"/>
      <c r="OCK85" s="6"/>
      <c r="OCL85" s="6"/>
      <c r="OCM85" s="6"/>
      <c r="OCN85" s="6"/>
      <c r="OCO85" s="6"/>
      <c r="OCP85" s="6"/>
      <c r="OCQ85" s="6"/>
      <c r="OCR85" s="6"/>
      <c r="OCS85" s="6"/>
      <c r="OCT85" s="6"/>
      <c r="OCU85" s="6"/>
      <c r="OCV85" s="6"/>
      <c r="OCW85" s="6"/>
      <c r="OCX85" s="6"/>
      <c r="OCY85" s="6"/>
      <c r="OCZ85" s="6"/>
      <c r="ODA85" s="6"/>
      <c r="ODB85" s="6"/>
      <c r="ODC85" s="6"/>
      <c r="ODD85" s="6"/>
      <c r="ODE85" s="6"/>
      <c r="ODF85" s="6"/>
      <c r="ODG85" s="6"/>
      <c r="ODH85" s="6"/>
      <c r="ODI85" s="6"/>
      <c r="ODJ85" s="6"/>
      <c r="ODK85" s="6"/>
      <c r="ODL85" s="6"/>
      <c r="ODM85" s="6"/>
      <c r="ODN85" s="6"/>
      <c r="ODO85" s="6"/>
      <c r="ODP85" s="6"/>
      <c r="ODQ85" s="6"/>
      <c r="ODR85" s="6"/>
      <c r="ODS85" s="6"/>
      <c r="ODT85" s="6"/>
      <c r="ODU85" s="6"/>
      <c r="ODV85" s="6"/>
      <c r="ODW85" s="6"/>
      <c r="ODX85" s="6"/>
      <c r="ODY85" s="6"/>
      <c r="ODZ85" s="6"/>
      <c r="OEA85" s="6"/>
      <c r="OEB85" s="6"/>
      <c r="OEC85" s="6"/>
      <c r="OED85" s="6"/>
      <c r="OEE85" s="6"/>
      <c r="OEF85" s="6"/>
      <c r="OEG85" s="6"/>
      <c r="OEH85" s="6"/>
      <c r="OEI85" s="6"/>
      <c r="OEJ85" s="6"/>
      <c r="OEK85" s="6"/>
      <c r="OEL85" s="6"/>
      <c r="OEM85" s="6"/>
      <c r="OEN85" s="6"/>
      <c r="OEO85" s="6"/>
      <c r="OEP85" s="6"/>
      <c r="OEQ85" s="6"/>
      <c r="OER85" s="6"/>
      <c r="OES85" s="6"/>
      <c r="OET85" s="6"/>
      <c r="OEU85" s="6"/>
      <c r="OEV85" s="6"/>
      <c r="OEW85" s="6"/>
      <c r="OEX85" s="6"/>
      <c r="OEY85" s="6"/>
      <c r="OEZ85" s="6"/>
      <c r="OFA85" s="6"/>
      <c r="OFB85" s="6"/>
      <c r="OFC85" s="6"/>
      <c r="OFD85" s="6"/>
      <c r="OFE85" s="6"/>
      <c r="OFF85" s="6"/>
      <c r="OFG85" s="6"/>
      <c r="OFH85" s="6"/>
      <c r="OFI85" s="6"/>
      <c r="OFJ85" s="6"/>
      <c r="OFK85" s="6"/>
      <c r="OFL85" s="6"/>
      <c r="OFM85" s="6"/>
      <c r="OFN85" s="6"/>
      <c r="OFO85" s="6"/>
      <c r="OFP85" s="6"/>
      <c r="OFQ85" s="6"/>
      <c r="OFR85" s="6"/>
      <c r="OFS85" s="6"/>
      <c r="OFT85" s="6"/>
      <c r="OFU85" s="6"/>
      <c r="OFV85" s="6"/>
      <c r="OFW85" s="6"/>
      <c r="OFX85" s="6"/>
      <c r="OFY85" s="6"/>
      <c r="OFZ85" s="6"/>
      <c r="OGA85" s="6"/>
      <c r="OGB85" s="6"/>
      <c r="OGC85" s="6"/>
      <c r="OGD85" s="6"/>
      <c r="OGE85" s="6"/>
      <c r="OGF85" s="6"/>
      <c r="OGG85" s="6"/>
      <c r="OGH85" s="6"/>
      <c r="OGI85" s="6"/>
      <c r="OGJ85" s="6"/>
      <c r="OGK85" s="6"/>
      <c r="OGL85" s="6"/>
      <c r="OGM85" s="6"/>
      <c r="OGN85" s="6"/>
      <c r="OGO85" s="6"/>
      <c r="OGP85" s="6"/>
      <c r="OGQ85" s="6"/>
      <c r="OGR85" s="6"/>
      <c r="OGS85" s="6"/>
      <c r="OGT85" s="6"/>
      <c r="OGU85" s="6"/>
      <c r="OGV85" s="6"/>
      <c r="OGW85" s="6"/>
      <c r="OGX85" s="6"/>
      <c r="OGY85" s="6"/>
      <c r="OGZ85" s="6"/>
      <c r="OHA85" s="6"/>
      <c r="OHB85" s="6"/>
      <c r="OHC85" s="6"/>
      <c r="OHD85" s="6"/>
      <c r="OHE85" s="6"/>
      <c r="OHF85" s="6"/>
      <c r="OHG85" s="6"/>
      <c r="OHH85" s="6"/>
      <c r="OHI85" s="6"/>
      <c r="OHJ85" s="6"/>
      <c r="OHK85" s="6"/>
      <c r="OHL85" s="6"/>
      <c r="OHM85" s="6"/>
      <c r="OHN85" s="6"/>
      <c r="OHO85" s="6"/>
      <c r="OHP85" s="6"/>
      <c r="OHQ85" s="6"/>
      <c r="OHR85" s="6"/>
      <c r="OHS85" s="6"/>
      <c r="OHT85" s="6"/>
      <c r="OHU85" s="6"/>
      <c r="OHV85" s="6"/>
      <c r="OHW85" s="6"/>
      <c r="OHX85" s="6"/>
      <c r="OHY85" s="6"/>
      <c r="OHZ85" s="6"/>
      <c r="OIA85" s="6"/>
      <c r="OIB85" s="6"/>
      <c r="OIC85" s="6"/>
      <c r="OID85" s="6"/>
      <c r="OIE85" s="6"/>
      <c r="OIF85" s="6"/>
      <c r="OIG85" s="6"/>
      <c r="OIH85" s="6"/>
      <c r="OII85" s="6"/>
      <c r="OIJ85" s="6"/>
      <c r="OIK85" s="6"/>
      <c r="OIL85" s="6"/>
      <c r="OIM85" s="6"/>
      <c r="OIN85" s="6"/>
      <c r="OIO85" s="6"/>
      <c r="OIP85" s="6"/>
      <c r="OIQ85" s="6"/>
      <c r="OIR85" s="6"/>
      <c r="OIS85" s="6"/>
      <c r="OIT85" s="6"/>
      <c r="OIU85" s="6"/>
      <c r="OIV85" s="6"/>
      <c r="OIW85" s="6"/>
      <c r="OIX85" s="6"/>
      <c r="OIY85" s="6"/>
      <c r="OIZ85" s="6"/>
      <c r="OJA85" s="6"/>
      <c r="OJB85" s="6"/>
      <c r="OJC85" s="6"/>
      <c r="OJD85" s="6"/>
      <c r="OJE85" s="6"/>
      <c r="OJF85" s="6"/>
      <c r="OJG85" s="6"/>
      <c r="OJH85" s="6"/>
      <c r="OJI85" s="6"/>
      <c r="OJJ85" s="6"/>
      <c r="OJK85" s="6"/>
      <c r="OJL85" s="6"/>
      <c r="OJM85" s="6"/>
      <c r="OJN85" s="6"/>
      <c r="OJO85" s="6"/>
      <c r="OJP85" s="6"/>
      <c r="OJQ85" s="6"/>
      <c r="OJR85" s="6"/>
      <c r="OJS85" s="6"/>
      <c r="OJT85" s="6"/>
      <c r="OJU85" s="6"/>
      <c r="OJV85" s="6"/>
      <c r="OJW85" s="6"/>
      <c r="OJX85" s="6"/>
      <c r="OJY85" s="6"/>
      <c r="OJZ85" s="6"/>
      <c r="OKA85" s="6"/>
      <c r="OKB85" s="6"/>
      <c r="OKC85" s="6"/>
      <c r="OKD85" s="6"/>
      <c r="OKE85" s="6"/>
      <c r="OKF85" s="6"/>
      <c r="OKG85" s="6"/>
      <c r="OKH85" s="6"/>
      <c r="OKI85" s="6"/>
      <c r="OKJ85" s="6"/>
      <c r="OKK85" s="6"/>
      <c r="OKL85" s="6"/>
      <c r="OKM85" s="6"/>
      <c r="OKN85" s="6"/>
      <c r="OKO85" s="6"/>
      <c r="OKP85" s="6"/>
      <c r="OKQ85" s="6"/>
      <c r="OKR85" s="6"/>
      <c r="OKS85" s="6"/>
      <c r="OKT85" s="6"/>
      <c r="OKU85" s="6"/>
      <c r="OKV85" s="6"/>
      <c r="OKW85" s="6"/>
      <c r="OKX85" s="6"/>
      <c r="OKY85" s="6"/>
      <c r="OKZ85" s="6"/>
      <c r="OLA85" s="6"/>
      <c r="OLB85" s="6"/>
      <c r="OLC85" s="6"/>
      <c r="OLD85" s="6"/>
      <c r="OLE85" s="6"/>
      <c r="OLF85" s="6"/>
      <c r="OLG85" s="6"/>
      <c r="OLH85" s="6"/>
      <c r="OLI85" s="6"/>
      <c r="OLJ85" s="6"/>
      <c r="OLK85" s="6"/>
      <c r="OLL85" s="6"/>
      <c r="OLM85" s="6"/>
      <c r="OLN85" s="6"/>
      <c r="OLO85" s="6"/>
      <c r="OLP85" s="6"/>
      <c r="OLQ85" s="6"/>
      <c r="OLR85" s="6"/>
      <c r="OLS85" s="6"/>
      <c r="OLT85" s="6"/>
      <c r="OLU85" s="6"/>
      <c r="OLV85" s="6"/>
      <c r="OLW85" s="6"/>
      <c r="OLX85" s="6"/>
      <c r="OLY85" s="6"/>
      <c r="OLZ85" s="6"/>
      <c r="OMA85" s="6"/>
      <c r="OMB85" s="6"/>
      <c r="OMC85" s="6"/>
      <c r="OMD85" s="6"/>
      <c r="OME85" s="6"/>
      <c r="OMF85" s="6"/>
      <c r="OMG85" s="6"/>
      <c r="OMH85" s="6"/>
      <c r="OMI85" s="6"/>
      <c r="OMJ85" s="6"/>
      <c r="OMK85" s="6"/>
      <c r="OML85" s="6"/>
      <c r="OMM85" s="6"/>
      <c r="OMN85" s="6"/>
      <c r="OMO85" s="6"/>
      <c r="OMP85" s="6"/>
      <c r="OMQ85" s="6"/>
      <c r="OMR85" s="6"/>
      <c r="OMS85" s="6"/>
      <c r="OMT85" s="6"/>
      <c r="OMU85" s="6"/>
      <c r="OMV85" s="6"/>
      <c r="OMW85" s="6"/>
      <c r="OMX85" s="6"/>
      <c r="OMY85" s="6"/>
      <c r="OMZ85" s="6"/>
      <c r="ONA85" s="6"/>
      <c r="ONB85" s="6"/>
      <c r="ONC85" s="6"/>
      <c r="OND85" s="6"/>
      <c r="ONE85" s="6"/>
      <c r="ONF85" s="6"/>
      <c r="ONG85" s="6"/>
      <c r="ONH85" s="6"/>
      <c r="ONI85" s="6"/>
      <c r="ONJ85" s="6"/>
      <c r="ONK85" s="6"/>
      <c r="ONL85" s="6"/>
      <c r="ONM85" s="6"/>
      <c r="ONN85" s="6"/>
      <c r="ONO85" s="6"/>
      <c r="ONP85" s="6"/>
      <c r="ONQ85" s="6"/>
      <c r="ONR85" s="6"/>
      <c r="ONS85" s="6"/>
      <c r="ONT85" s="6"/>
      <c r="ONU85" s="6"/>
      <c r="ONV85" s="6"/>
      <c r="ONW85" s="6"/>
      <c r="ONX85" s="6"/>
      <c r="ONY85" s="6"/>
      <c r="ONZ85" s="6"/>
      <c r="OOA85" s="6"/>
      <c r="OOB85" s="6"/>
      <c r="OOC85" s="6"/>
      <c r="OOD85" s="6"/>
      <c r="OOE85" s="6"/>
      <c r="OOF85" s="6"/>
      <c r="OOG85" s="6"/>
      <c r="OOH85" s="6"/>
      <c r="OOI85" s="6"/>
      <c r="OOJ85" s="6"/>
      <c r="OOK85" s="6"/>
      <c r="OOL85" s="6"/>
      <c r="OOM85" s="6"/>
      <c r="OON85" s="6"/>
      <c r="OOO85" s="6"/>
      <c r="OOP85" s="6"/>
      <c r="OOQ85" s="6"/>
      <c r="OOR85" s="6"/>
      <c r="OOS85" s="6"/>
      <c r="OOT85" s="6"/>
      <c r="OOU85" s="6"/>
      <c r="OOV85" s="6"/>
      <c r="OOW85" s="6"/>
      <c r="OOX85" s="6"/>
      <c r="OOY85" s="6"/>
      <c r="OOZ85" s="6"/>
      <c r="OPA85" s="6"/>
      <c r="OPB85" s="6"/>
      <c r="OPC85" s="6"/>
      <c r="OPD85" s="6"/>
      <c r="OPE85" s="6"/>
      <c r="OPF85" s="6"/>
      <c r="OPG85" s="6"/>
      <c r="OPH85" s="6"/>
      <c r="OPI85" s="6"/>
      <c r="OPJ85" s="6"/>
      <c r="OPK85" s="6"/>
      <c r="OPL85" s="6"/>
      <c r="OPM85" s="6"/>
      <c r="OPN85" s="6"/>
      <c r="OPO85" s="6"/>
      <c r="OPP85" s="6"/>
      <c r="OPQ85" s="6"/>
      <c r="OPR85" s="6"/>
      <c r="OPS85" s="6"/>
      <c r="OPT85" s="6"/>
      <c r="OPU85" s="6"/>
      <c r="OPV85" s="6"/>
      <c r="OPW85" s="6"/>
      <c r="OPX85" s="6"/>
      <c r="OPY85" s="6"/>
      <c r="OPZ85" s="6"/>
      <c r="OQA85" s="6"/>
      <c r="OQB85" s="6"/>
      <c r="OQC85" s="6"/>
      <c r="OQD85" s="6"/>
      <c r="OQE85" s="6"/>
      <c r="OQF85" s="6"/>
      <c r="OQG85" s="6"/>
      <c r="OQH85" s="6"/>
      <c r="OQI85" s="6"/>
      <c r="OQJ85" s="6"/>
      <c r="OQK85" s="6"/>
      <c r="OQL85" s="6"/>
      <c r="OQM85" s="6"/>
      <c r="OQN85" s="6"/>
      <c r="OQO85" s="6"/>
      <c r="OQP85" s="6"/>
      <c r="OQQ85" s="6"/>
      <c r="OQR85" s="6"/>
      <c r="OQS85" s="6"/>
      <c r="OQT85" s="6"/>
      <c r="OQU85" s="6"/>
      <c r="OQV85" s="6"/>
      <c r="OQW85" s="6"/>
      <c r="OQX85" s="6"/>
      <c r="OQY85" s="6"/>
      <c r="OQZ85" s="6"/>
      <c r="ORA85" s="6"/>
      <c r="ORB85" s="6"/>
      <c r="ORC85" s="6"/>
      <c r="ORD85" s="6"/>
      <c r="ORE85" s="6"/>
      <c r="ORF85" s="6"/>
      <c r="ORG85" s="6"/>
      <c r="ORH85" s="6"/>
      <c r="ORI85" s="6"/>
      <c r="ORJ85" s="6"/>
      <c r="ORK85" s="6"/>
      <c r="ORL85" s="6"/>
      <c r="ORM85" s="6"/>
      <c r="ORN85" s="6"/>
      <c r="ORO85" s="6"/>
      <c r="ORP85" s="6"/>
      <c r="ORQ85" s="6"/>
      <c r="ORR85" s="6"/>
      <c r="ORS85" s="6"/>
      <c r="ORT85" s="6"/>
      <c r="ORU85" s="6"/>
      <c r="ORV85" s="6"/>
      <c r="ORW85" s="6"/>
      <c r="ORX85" s="6"/>
      <c r="ORY85" s="6"/>
      <c r="ORZ85" s="6"/>
      <c r="OSA85" s="6"/>
      <c r="OSB85" s="6"/>
      <c r="OSC85" s="6"/>
      <c r="OSD85" s="6"/>
      <c r="OSE85" s="6"/>
      <c r="OSF85" s="6"/>
      <c r="OSG85" s="6"/>
      <c r="OSH85" s="6"/>
      <c r="OSI85" s="6"/>
      <c r="OSJ85" s="6"/>
      <c r="OSK85" s="6"/>
      <c r="OSL85" s="6"/>
      <c r="OSM85" s="6"/>
      <c r="OSN85" s="6"/>
      <c r="OSO85" s="6"/>
      <c r="OSP85" s="6"/>
      <c r="OSQ85" s="6"/>
      <c r="OSR85" s="6"/>
      <c r="OSS85" s="6"/>
      <c r="OST85" s="6"/>
      <c r="OSU85" s="6"/>
      <c r="OSV85" s="6"/>
      <c r="OSW85" s="6"/>
      <c r="OSX85" s="6"/>
      <c r="OSY85" s="6"/>
      <c r="OSZ85" s="6"/>
      <c r="OTA85" s="6"/>
      <c r="OTB85" s="6"/>
      <c r="OTC85" s="6"/>
      <c r="OTD85" s="6"/>
      <c r="OTE85" s="6"/>
      <c r="OTF85" s="6"/>
      <c r="OTG85" s="6"/>
      <c r="OTH85" s="6"/>
      <c r="OTI85" s="6"/>
      <c r="OTJ85" s="6"/>
      <c r="OTK85" s="6"/>
      <c r="OTL85" s="6"/>
      <c r="OTM85" s="6"/>
      <c r="OTN85" s="6"/>
      <c r="OTO85" s="6"/>
      <c r="OTP85" s="6"/>
      <c r="OTQ85" s="6"/>
      <c r="OTR85" s="6"/>
      <c r="OTS85" s="6"/>
      <c r="OTT85" s="6"/>
      <c r="OTU85" s="6"/>
      <c r="OTV85" s="6"/>
      <c r="OTW85" s="6"/>
      <c r="OTX85" s="6"/>
      <c r="OTY85" s="6"/>
      <c r="OTZ85" s="6"/>
      <c r="OUA85" s="6"/>
      <c r="OUB85" s="6"/>
      <c r="OUC85" s="6"/>
      <c r="OUD85" s="6"/>
      <c r="OUE85" s="6"/>
      <c r="OUF85" s="6"/>
      <c r="OUG85" s="6"/>
      <c r="OUH85" s="6"/>
      <c r="OUI85" s="6"/>
      <c r="OUJ85" s="6"/>
      <c r="OUK85" s="6"/>
      <c r="OUL85" s="6"/>
      <c r="OUM85" s="6"/>
      <c r="OUN85" s="6"/>
      <c r="OUO85" s="6"/>
      <c r="OUP85" s="6"/>
      <c r="OUQ85" s="6"/>
      <c r="OUR85" s="6"/>
      <c r="OUS85" s="6"/>
      <c r="OUT85" s="6"/>
      <c r="OUU85" s="6"/>
      <c r="OUV85" s="6"/>
      <c r="OUW85" s="6"/>
      <c r="OUX85" s="6"/>
      <c r="OUY85" s="6"/>
      <c r="OUZ85" s="6"/>
      <c r="OVA85" s="6"/>
      <c r="OVB85" s="6"/>
      <c r="OVC85" s="6"/>
      <c r="OVD85" s="6"/>
      <c r="OVE85" s="6"/>
      <c r="OVF85" s="6"/>
      <c r="OVG85" s="6"/>
      <c r="OVH85" s="6"/>
      <c r="OVI85" s="6"/>
      <c r="OVJ85" s="6"/>
      <c r="OVK85" s="6"/>
      <c r="OVL85" s="6"/>
      <c r="OVM85" s="6"/>
      <c r="OVN85" s="6"/>
      <c r="OVO85" s="6"/>
      <c r="OVP85" s="6"/>
      <c r="OVQ85" s="6"/>
      <c r="OVR85" s="6"/>
      <c r="OVS85" s="6"/>
      <c r="OVT85" s="6"/>
      <c r="OVU85" s="6"/>
      <c r="OVV85" s="6"/>
      <c r="OVW85" s="6"/>
      <c r="OVX85" s="6"/>
      <c r="OVY85" s="6"/>
      <c r="OVZ85" s="6"/>
      <c r="OWA85" s="6"/>
      <c r="OWB85" s="6"/>
      <c r="OWC85" s="6"/>
      <c r="OWD85" s="6"/>
      <c r="OWE85" s="6"/>
      <c r="OWF85" s="6"/>
      <c r="OWG85" s="6"/>
      <c r="OWH85" s="6"/>
      <c r="OWI85" s="6"/>
      <c r="OWJ85" s="6"/>
      <c r="OWK85" s="6"/>
      <c r="OWL85" s="6"/>
      <c r="OWM85" s="6"/>
      <c r="OWN85" s="6"/>
      <c r="OWO85" s="6"/>
      <c r="OWP85" s="6"/>
      <c r="OWQ85" s="6"/>
      <c r="OWR85" s="6"/>
      <c r="OWS85" s="6"/>
      <c r="OWT85" s="6"/>
      <c r="OWU85" s="6"/>
      <c r="OWV85" s="6"/>
      <c r="OWW85" s="6"/>
      <c r="OWX85" s="6"/>
      <c r="OWY85" s="6"/>
      <c r="OWZ85" s="6"/>
      <c r="OXA85" s="6"/>
      <c r="OXB85" s="6"/>
      <c r="OXC85" s="6"/>
      <c r="OXD85" s="6"/>
      <c r="OXE85" s="6"/>
      <c r="OXF85" s="6"/>
      <c r="OXG85" s="6"/>
      <c r="OXH85" s="6"/>
      <c r="OXI85" s="6"/>
      <c r="OXJ85" s="6"/>
      <c r="OXK85" s="6"/>
      <c r="OXL85" s="6"/>
      <c r="OXM85" s="6"/>
      <c r="OXN85" s="6"/>
      <c r="OXO85" s="6"/>
      <c r="OXP85" s="6"/>
      <c r="OXQ85" s="6"/>
      <c r="OXR85" s="6"/>
      <c r="OXS85" s="6"/>
      <c r="OXT85" s="6"/>
      <c r="OXU85" s="6"/>
      <c r="OXV85" s="6"/>
      <c r="OXW85" s="6"/>
      <c r="OXX85" s="6"/>
      <c r="OXY85" s="6"/>
      <c r="OXZ85" s="6"/>
      <c r="OYA85" s="6"/>
      <c r="OYB85" s="6"/>
      <c r="OYC85" s="6"/>
      <c r="OYD85" s="6"/>
      <c r="OYE85" s="6"/>
      <c r="OYF85" s="6"/>
      <c r="OYG85" s="6"/>
      <c r="OYH85" s="6"/>
      <c r="OYI85" s="6"/>
      <c r="OYJ85" s="6"/>
      <c r="OYK85" s="6"/>
      <c r="OYL85" s="6"/>
      <c r="OYM85" s="6"/>
      <c r="OYN85" s="6"/>
      <c r="OYO85" s="6"/>
      <c r="OYP85" s="6"/>
      <c r="OYQ85" s="6"/>
      <c r="OYR85" s="6"/>
      <c r="OYS85" s="6"/>
      <c r="OYT85" s="6"/>
      <c r="OYU85" s="6"/>
      <c r="OYV85" s="6"/>
      <c r="OYW85" s="6"/>
      <c r="OYX85" s="6"/>
      <c r="OYY85" s="6"/>
      <c r="OYZ85" s="6"/>
      <c r="OZA85" s="6"/>
      <c r="OZB85" s="6"/>
      <c r="OZC85" s="6"/>
      <c r="OZD85" s="6"/>
      <c r="OZE85" s="6"/>
      <c r="OZF85" s="6"/>
      <c r="OZG85" s="6"/>
      <c r="OZH85" s="6"/>
      <c r="OZI85" s="6"/>
      <c r="OZJ85" s="6"/>
      <c r="OZK85" s="6"/>
      <c r="OZL85" s="6"/>
      <c r="OZM85" s="6"/>
      <c r="OZN85" s="6"/>
      <c r="OZO85" s="6"/>
      <c r="OZP85" s="6"/>
      <c r="OZQ85" s="6"/>
      <c r="OZR85" s="6"/>
      <c r="OZS85" s="6"/>
      <c r="OZT85" s="6"/>
      <c r="OZU85" s="6"/>
      <c r="OZV85" s="6"/>
      <c r="OZW85" s="6"/>
      <c r="OZX85" s="6"/>
      <c r="OZY85" s="6"/>
      <c r="OZZ85" s="6"/>
      <c r="PAA85" s="6"/>
      <c r="PAB85" s="6"/>
      <c r="PAC85" s="6"/>
      <c r="PAD85" s="6"/>
      <c r="PAE85" s="6"/>
      <c r="PAF85" s="6"/>
      <c r="PAG85" s="6"/>
      <c r="PAH85" s="6"/>
      <c r="PAI85" s="6"/>
      <c r="PAJ85" s="6"/>
      <c r="PAK85" s="6"/>
      <c r="PAL85" s="6"/>
      <c r="PAM85" s="6"/>
      <c r="PAN85" s="6"/>
      <c r="PAO85" s="6"/>
      <c r="PAP85" s="6"/>
      <c r="PAQ85" s="6"/>
      <c r="PAR85" s="6"/>
      <c r="PAS85" s="6"/>
      <c r="PAT85" s="6"/>
      <c r="PAU85" s="6"/>
      <c r="PAV85" s="6"/>
      <c r="PAW85" s="6"/>
      <c r="PAX85" s="6"/>
      <c r="PAY85" s="6"/>
      <c r="PAZ85" s="6"/>
      <c r="PBA85" s="6"/>
      <c r="PBB85" s="6"/>
      <c r="PBC85" s="6"/>
      <c r="PBD85" s="6"/>
      <c r="PBE85" s="6"/>
      <c r="PBF85" s="6"/>
      <c r="PBG85" s="6"/>
      <c r="PBH85" s="6"/>
      <c r="PBI85" s="6"/>
      <c r="PBJ85" s="6"/>
      <c r="PBK85" s="6"/>
      <c r="PBL85" s="6"/>
      <c r="PBM85" s="6"/>
      <c r="PBN85" s="6"/>
      <c r="PBO85" s="6"/>
      <c r="PBP85" s="6"/>
      <c r="PBQ85" s="6"/>
      <c r="PBR85" s="6"/>
      <c r="PBS85" s="6"/>
      <c r="PBT85" s="6"/>
      <c r="PBU85" s="6"/>
      <c r="PBV85" s="6"/>
      <c r="PBW85" s="6"/>
      <c r="PBX85" s="6"/>
      <c r="PBY85" s="6"/>
      <c r="PBZ85" s="6"/>
      <c r="PCA85" s="6"/>
      <c r="PCB85" s="6"/>
      <c r="PCC85" s="6"/>
      <c r="PCD85" s="6"/>
      <c r="PCE85" s="6"/>
      <c r="PCF85" s="6"/>
      <c r="PCG85" s="6"/>
      <c r="PCH85" s="6"/>
      <c r="PCI85" s="6"/>
      <c r="PCJ85" s="6"/>
      <c r="PCK85" s="6"/>
      <c r="PCL85" s="6"/>
      <c r="PCM85" s="6"/>
      <c r="PCN85" s="6"/>
      <c r="PCO85" s="6"/>
      <c r="PCP85" s="6"/>
      <c r="PCQ85" s="6"/>
      <c r="PCR85" s="6"/>
      <c r="PCS85" s="6"/>
      <c r="PCT85" s="6"/>
      <c r="PCU85" s="6"/>
      <c r="PCV85" s="6"/>
      <c r="PCW85" s="6"/>
      <c r="PCX85" s="6"/>
      <c r="PCY85" s="6"/>
      <c r="PCZ85" s="6"/>
      <c r="PDA85" s="6"/>
      <c r="PDB85" s="6"/>
      <c r="PDC85" s="6"/>
      <c r="PDD85" s="6"/>
      <c r="PDE85" s="6"/>
      <c r="PDF85" s="6"/>
      <c r="PDG85" s="6"/>
      <c r="PDH85" s="6"/>
      <c r="PDI85" s="6"/>
      <c r="PDJ85" s="6"/>
      <c r="PDK85" s="6"/>
      <c r="PDL85" s="6"/>
      <c r="PDM85" s="6"/>
      <c r="PDN85" s="6"/>
      <c r="PDO85" s="6"/>
      <c r="PDP85" s="6"/>
      <c r="PDQ85" s="6"/>
      <c r="PDR85" s="6"/>
      <c r="PDS85" s="6"/>
      <c r="PDT85" s="6"/>
      <c r="PDU85" s="6"/>
      <c r="PDV85" s="6"/>
      <c r="PDW85" s="6"/>
      <c r="PDX85" s="6"/>
      <c r="PDY85" s="6"/>
      <c r="PDZ85" s="6"/>
      <c r="PEA85" s="6"/>
      <c r="PEB85" s="6"/>
      <c r="PEC85" s="6"/>
      <c r="PED85" s="6"/>
      <c r="PEE85" s="6"/>
      <c r="PEF85" s="6"/>
      <c r="PEG85" s="6"/>
      <c r="PEH85" s="6"/>
      <c r="PEI85" s="6"/>
      <c r="PEJ85" s="6"/>
      <c r="PEK85" s="6"/>
      <c r="PEL85" s="6"/>
      <c r="PEM85" s="6"/>
      <c r="PEN85" s="6"/>
      <c r="PEO85" s="6"/>
      <c r="PEP85" s="6"/>
      <c r="PEQ85" s="6"/>
      <c r="PER85" s="6"/>
      <c r="PES85" s="6"/>
      <c r="PET85" s="6"/>
      <c r="PEU85" s="6"/>
      <c r="PEV85" s="6"/>
      <c r="PEW85" s="6"/>
      <c r="PEX85" s="6"/>
      <c r="PEY85" s="6"/>
      <c r="PEZ85" s="6"/>
      <c r="PFA85" s="6"/>
      <c r="PFB85" s="6"/>
      <c r="PFC85" s="6"/>
      <c r="PFD85" s="6"/>
      <c r="PFE85" s="6"/>
      <c r="PFF85" s="6"/>
      <c r="PFG85" s="6"/>
      <c r="PFH85" s="6"/>
      <c r="PFI85" s="6"/>
      <c r="PFJ85" s="6"/>
      <c r="PFK85" s="6"/>
      <c r="PFL85" s="6"/>
      <c r="PFM85" s="6"/>
      <c r="PFN85" s="6"/>
      <c r="PFO85" s="6"/>
      <c r="PFP85" s="6"/>
      <c r="PFQ85" s="6"/>
      <c r="PFR85" s="6"/>
      <c r="PFS85" s="6"/>
      <c r="PFT85" s="6"/>
      <c r="PFU85" s="6"/>
      <c r="PFV85" s="6"/>
      <c r="PFW85" s="6"/>
      <c r="PFX85" s="6"/>
      <c r="PFY85" s="6"/>
      <c r="PFZ85" s="6"/>
      <c r="PGA85" s="6"/>
      <c r="PGB85" s="6"/>
      <c r="PGC85" s="6"/>
      <c r="PGD85" s="6"/>
      <c r="PGE85" s="6"/>
      <c r="PGF85" s="6"/>
      <c r="PGG85" s="6"/>
      <c r="PGH85" s="6"/>
      <c r="PGI85" s="6"/>
      <c r="PGJ85" s="6"/>
      <c r="PGK85" s="6"/>
      <c r="PGL85" s="6"/>
      <c r="PGM85" s="6"/>
      <c r="PGN85" s="6"/>
      <c r="PGO85" s="6"/>
      <c r="PGP85" s="6"/>
      <c r="PGQ85" s="6"/>
      <c r="PGR85" s="6"/>
      <c r="PGS85" s="6"/>
      <c r="PGT85" s="6"/>
      <c r="PGU85" s="6"/>
      <c r="PGV85" s="6"/>
      <c r="PGW85" s="6"/>
      <c r="PGX85" s="6"/>
      <c r="PGY85" s="6"/>
      <c r="PGZ85" s="6"/>
      <c r="PHA85" s="6"/>
      <c r="PHB85" s="6"/>
      <c r="PHC85" s="6"/>
      <c r="PHD85" s="6"/>
      <c r="PHE85" s="6"/>
      <c r="PHF85" s="6"/>
      <c r="PHG85" s="6"/>
      <c r="PHH85" s="6"/>
      <c r="PHI85" s="6"/>
      <c r="PHJ85" s="6"/>
      <c r="PHK85" s="6"/>
      <c r="PHL85" s="6"/>
      <c r="PHM85" s="6"/>
      <c r="PHN85" s="6"/>
      <c r="PHO85" s="6"/>
      <c r="PHP85" s="6"/>
      <c r="PHQ85" s="6"/>
      <c r="PHR85" s="6"/>
      <c r="PHS85" s="6"/>
      <c r="PHT85" s="6"/>
      <c r="PHU85" s="6"/>
      <c r="PHV85" s="6"/>
      <c r="PHW85" s="6"/>
      <c r="PHX85" s="6"/>
      <c r="PHY85" s="6"/>
      <c r="PHZ85" s="6"/>
      <c r="PIA85" s="6"/>
      <c r="PIB85" s="6"/>
      <c r="PIC85" s="6"/>
      <c r="PID85" s="6"/>
      <c r="PIE85" s="6"/>
      <c r="PIF85" s="6"/>
      <c r="PIG85" s="6"/>
      <c r="PIH85" s="6"/>
      <c r="PII85" s="6"/>
      <c r="PIJ85" s="6"/>
      <c r="PIK85" s="6"/>
      <c r="PIL85" s="6"/>
      <c r="PIM85" s="6"/>
      <c r="PIN85" s="6"/>
      <c r="PIO85" s="6"/>
      <c r="PIP85" s="6"/>
      <c r="PIQ85" s="6"/>
      <c r="PIR85" s="6"/>
      <c r="PIS85" s="6"/>
      <c r="PIT85" s="6"/>
      <c r="PIU85" s="6"/>
      <c r="PIV85" s="6"/>
      <c r="PIW85" s="6"/>
      <c r="PIX85" s="6"/>
      <c r="PIY85" s="6"/>
      <c r="PIZ85" s="6"/>
      <c r="PJA85" s="6"/>
      <c r="PJB85" s="6"/>
      <c r="PJC85" s="6"/>
      <c r="PJD85" s="6"/>
      <c r="PJE85" s="6"/>
      <c r="PJF85" s="6"/>
      <c r="PJG85" s="6"/>
      <c r="PJH85" s="6"/>
      <c r="PJI85" s="6"/>
      <c r="PJJ85" s="6"/>
      <c r="PJK85" s="6"/>
      <c r="PJL85" s="6"/>
      <c r="PJM85" s="6"/>
      <c r="PJN85" s="6"/>
      <c r="PJO85" s="6"/>
      <c r="PJP85" s="6"/>
      <c r="PJQ85" s="6"/>
      <c r="PJR85" s="6"/>
      <c r="PJS85" s="6"/>
      <c r="PJT85" s="6"/>
      <c r="PJU85" s="6"/>
      <c r="PJV85" s="6"/>
      <c r="PJW85" s="6"/>
      <c r="PJX85" s="6"/>
      <c r="PJY85" s="6"/>
      <c r="PJZ85" s="6"/>
      <c r="PKA85" s="6"/>
      <c r="PKB85" s="6"/>
      <c r="PKC85" s="6"/>
      <c r="PKD85" s="6"/>
      <c r="PKE85" s="6"/>
      <c r="PKF85" s="6"/>
      <c r="PKG85" s="6"/>
      <c r="PKH85" s="6"/>
      <c r="PKI85" s="6"/>
      <c r="PKJ85" s="6"/>
      <c r="PKK85" s="6"/>
      <c r="PKL85" s="6"/>
      <c r="PKM85" s="6"/>
      <c r="PKN85" s="6"/>
      <c r="PKO85" s="6"/>
      <c r="PKP85" s="6"/>
      <c r="PKQ85" s="6"/>
      <c r="PKR85" s="6"/>
      <c r="PKS85" s="6"/>
      <c r="PKT85" s="6"/>
      <c r="PKU85" s="6"/>
      <c r="PKV85" s="6"/>
      <c r="PKW85" s="6"/>
      <c r="PKX85" s="6"/>
      <c r="PKY85" s="6"/>
      <c r="PKZ85" s="6"/>
      <c r="PLA85" s="6"/>
      <c r="PLB85" s="6"/>
      <c r="PLC85" s="6"/>
      <c r="PLD85" s="6"/>
      <c r="PLE85" s="6"/>
      <c r="PLF85" s="6"/>
      <c r="PLG85" s="6"/>
      <c r="PLH85" s="6"/>
      <c r="PLI85" s="6"/>
      <c r="PLJ85" s="6"/>
      <c r="PLK85" s="6"/>
      <c r="PLL85" s="6"/>
      <c r="PLM85" s="6"/>
      <c r="PLN85" s="6"/>
      <c r="PLO85" s="6"/>
      <c r="PLP85" s="6"/>
      <c r="PLQ85" s="6"/>
      <c r="PLR85" s="6"/>
      <c r="PLS85" s="6"/>
      <c r="PLT85" s="6"/>
      <c r="PLU85" s="6"/>
      <c r="PLV85" s="6"/>
      <c r="PLW85" s="6"/>
      <c r="PLX85" s="6"/>
      <c r="PLY85" s="6"/>
      <c r="PLZ85" s="6"/>
      <c r="PMA85" s="6"/>
      <c r="PMB85" s="6"/>
      <c r="PMC85" s="6"/>
      <c r="PMD85" s="6"/>
      <c r="PME85" s="6"/>
      <c r="PMF85" s="6"/>
      <c r="PMG85" s="6"/>
      <c r="PMH85" s="6"/>
      <c r="PMI85" s="6"/>
      <c r="PMJ85" s="6"/>
      <c r="PMK85" s="6"/>
      <c r="PML85" s="6"/>
      <c r="PMM85" s="6"/>
      <c r="PMN85" s="6"/>
      <c r="PMO85" s="6"/>
      <c r="PMP85" s="6"/>
      <c r="PMQ85" s="6"/>
      <c r="PMR85" s="6"/>
      <c r="PMS85" s="6"/>
      <c r="PMT85" s="6"/>
      <c r="PMU85" s="6"/>
      <c r="PMV85" s="6"/>
      <c r="PMW85" s="6"/>
      <c r="PMX85" s="6"/>
      <c r="PMY85" s="6"/>
      <c r="PMZ85" s="6"/>
      <c r="PNA85" s="6"/>
      <c r="PNB85" s="6"/>
      <c r="PNC85" s="6"/>
      <c r="PND85" s="6"/>
      <c r="PNE85" s="6"/>
      <c r="PNF85" s="6"/>
      <c r="PNG85" s="6"/>
      <c r="PNH85" s="6"/>
      <c r="PNI85" s="6"/>
      <c r="PNJ85" s="6"/>
      <c r="PNK85" s="6"/>
      <c r="PNL85" s="6"/>
      <c r="PNM85" s="6"/>
      <c r="PNN85" s="6"/>
      <c r="PNO85" s="6"/>
      <c r="PNP85" s="6"/>
      <c r="PNQ85" s="6"/>
      <c r="PNR85" s="6"/>
      <c r="PNS85" s="6"/>
      <c r="PNT85" s="6"/>
      <c r="PNU85" s="6"/>
      <c r="PNV85" s="6"/>
      <c r="PNW85" s="6"/>
      <c r="PNX85" s="6"/>
      <c r="PNY85" s="6"/>
      <c r="PNZ85" s="6"/>
      <c r="POA85" s="6"/>
      <c r="POB85" s="6"/>
      <c r="POC85" s="6"/>
      <c r="POD85" s="6"/>
      <c r="POE85" s="6"/>
      <c r="POF85" s="6"/>
      <c r="POG85" s="6"/>
      <c r="POH85" s="6"/>
      <c r="POI85" s="6"/>
      <c r="POJ85" s="6"/>
      <c r="POK85" s="6"/>
      <c r="POL85" s="6"/>
      <c r="POM85" s="6"/>
      <c r="PON85" s="6"/>
      <c r="POO85" s="6"/>
      <c r="POP85" s="6"/>
      <c r="POQ85" s="6"/>
      <c r="POR85" s="6"/>
      <c r="POS85" s="6"/>
      <c r="POT85" s="6"/>
      <c r="POU85" s="6"/>
      <c r="POV85" s="6"/>
      <c r="POW85" s="6"/>
      <c r="POX85" s="6"/>
      <c r="POY85" s="6"/>
      <c r="POZ85" s="6"/>
      <c r="PPA85" s="6"/>
      <c r="PPB85" s="6"/>
      <c r="PPC85" s="6"/>
      <c r="PPD85" s="6"/>
      <c r="PPE85" s="6"/>
      <c r="PPF85" s="6"/>
      <c r="PPG85" s="6"/>
      <c r="PPH85" s="6"/>
      <c r="PPI85" s="6"/>
      <c r="PPJ85" s="6"/>
      <c r="PPK85" s="6"/>
      <c r="PPL85" s="6"/>
      <c r="PPM85" s="6"/>
      <c r="PPN85" s="6"/>
      <c r="PPO85" s="6"/>
      <c r="PPP85" s="6"/>
      <c r="PPQ85" s="6"/>
      <c r="PPR85" s="6"/>
      <c r="PPS85" s="6"/>
      <c r="PPT85" s="6"/>
      <c r="PPU85" s="6"/>
      <c r="PPV85" s="6"/>
      <c r="PPW85" s="6"/>
      <c r="PPX85" s="6"/>
      <c r="PPY85" s="6"/>
      <c r="PPZ85" s="6"/>
      <c r="PQA85" s="6"/>
      <c r="PQB85" s="6"/>
      <c r="PQC85" s="6"/>
      <c r="PQD85" s="6"/>
      <c r="PQE85" s="6"/>
      <c r="PQF85" s="6"/>
      <c r="PQG85" s="6"/>
      <c r="PQH85" s="6"/>
      <c r="PQI85" s="6"/>
      <c r="PQJ85" s="6"/>
      <c r="PQK85" s="6"/>
      <c r="PQL85" s="6"/>
      <c r="PQM85" s="6"/>
      <c r="PQN85" s="6"/>
      <c r="PQO85" s="6"/>
      <c r="PQP85" s="6"/>
      <c r="PQQ85" s="6"/>
      <c r="PQR85" s="6"/>
      <c r="PQS85" s="6"/>
      <c r="PQT85" s="6"/>
      <c r="PQU85" s="6"/>
      <c r="PQV85" s="6"/>
      <c r="PQW85" s="6"/>
      <c r="PQX85" s="6"/>
      <c r="PQY85" s="6"/>
      <c r="PQZ85" s="6"/>
      <c r="PRA85" s="6"/>
      <c r="PRB85" s="6"/>
      <c r="PRC85" s="6"/>
      <c r="PRD85" s="6"/>
      <c r="PRE85" s="6"/>
      <c r="PRF85" s="6"/>
      <c r="PRG85" s="6"/>
      <c r="PRH85" s="6"/>
      <c r="PRI85" s="6"/>
      <c r="PRJ85" s="6"/>
      <c r="PRK85" s="6"/>
      <c r="PRL85" s="6"/>
      <c r="PRM85" s="6"/>
      <c r="PRN85" s="6"/>
      <c r="PRO85" s="6"/>
      <c r="PRP85" s="6"/>
      <c r="PRQ85" s="6"/>
      <c r="PRR85" s="6"/>
      <c r="PRS85" s="6"/>
      <c r="PRT85" s="6"/>
      <c r="PRU85" s="6"/>
      <c r="PRV85" s="6"/>
      <c r="PRW85" s="6"/>
      <c r="PRX85" s="6"/>
      <c r="PRY85" s="6"/>
      <c r="PRZ85" s="6"/>
      <c r="PSA85" s="6"/>
      <c r="PSB85" s="6"/>
      <c r="PSC85" s="6"/>
      <c r="PSD85" s="6"/>
      <c r="PSE85" s="6"/>
      <c r="PSF85" s="6"/>
      <c r="PSG85" s="6"/>
      <c r="PSH85" s="6"/>
      <c r="PSI85" s="6"/>
      <c r="PSJ85" s="6"/>
      <c r="PSK85" s="6"/>
      <c r="PSL85" s="6"/>
      <c r="PSM85" s="6"/>
      <c r="PSN85" s="6"/>
      <c r="PSO85" s="6"/>
      <c r="PSP85" s="6"/>
      <c r="PSQ85" s="6"/>
      <c r="PSR85" s="6"/>
      <c r="PSS85" s="6"/>
      <c r="PST85" s="6"/>
      <c r="PSU85" s="6"/>
      <c r="PSV85" s="6"/>
      <c r="PSW85" s="6"/>
      <c r="PSX85" s="6"/>
      <c r="PSY85" s="6"/>
      <c r="PSZ85" s="6"/>
      <c r="PTA85" s="6"/>
      <c r="PTB85" s="6"/>
      <c r="PTC85" s="6"/>
      <c r="PTD85" s="6"/>
      <c r="PTE85" s="6"/>
      <c r="PTF85" s="6"/>
      <c r="PTG85" s="6"/>
      <c r="PTH85" s="6"/>
      <c r="PTI85" s="6"/>
      <c r="PTJ85" s="6"/>
      <c r="PTK85" s="6"/>
      <c r="PTL85" s="6"/>
      <c r="PTM85" s="6"/>
      <c r="PTN85" s="6"/>
      <c r="PTO85" s="6"/>
      <c r="PTP85" s="6"/>
      <c r="PTQ85" s="6"/>
      <c r="PTR85" s="6"/>
      <c r="PTS85" s="6"/>
      <c r="PTT85" s="6"/>
      <c r="PTU85" s="6"/>
      <c r="PTV85" s="6"/>
      <c r="PTW85" s="6"/>
      <c r="PTX85" s="6"/>
      <c r="PTY85" s="6"/>
      <c r="PTZ85" s="6"/>
      <c r="PUA85" s="6"/>
      <c r="PUB85" s="6"/>
      <c r="PUC85" s="6"/>
      <c r="PUD85" s="6"/>
      <c r="PUE85" s="6"/>
      <c r="PUF85" s="6"/>
      <c r="PUG85" s="6"/>
      <c r="PUH85" s="6"/>
      <c r="PUI85" s="6"/>
      <c r="PUJ85" s="6"/>
      <c r="PUK85" s="6"/>
      <c r="PUL85" s="6"/>
      <c r="PUM85" s="6"/>
      <c r="PUN85" s="6"/>
      <c r="PUO85" s="6"/>
      <c r="PUP85" s="6"/>
      <c r="PUQ85" s="6"/>
      <c r="PUR85" s="6"/>
      <c r="PUS85" s="6"/>
      <c r="PUT85" s="6"/>
      <c r="PUU85" s="6"/>
      <c r="PUV85" s="6"/>
      <c r="PUW85" s="6"/>
      <c r="PUX85" s="6"/>
      <c r="PUY85" s="6"/>
      <c r="PUZ85" s="6"/>
      <c r="PVA85" s="6"/>
      <c r="PVB85" s="6"/>
      <c r="PVC85" s="6"/>
      <c r="PVD85" s="6"/>
      <c r="PVE85" s="6"/>
      <c r="PVF85" s="6"/>
      <c r="PVG85" s="6"/>
      <c r="PVH85" s="6"/>
      <c r="PVI85" s="6"/>
      <c r="PVJ85" s="6"/>
      <c r="PVK85" s="6"/>
      <c r="PVL85" s="6"/>
      <c r="PVM85" s="6"/>
      <c r="PVN85" s="6"/>
      <c r="PVO85" s="6"/>
      <c r="PVP85" s="6"/>
      <c r="PVQ85" s="6"/>
      <c r="PVR85" s="6"/>
      <c r="PVS85" s="6"/>
      <c r="PVT85" s="6"/>
      <c r="PVU85" s="6"/>
      <c r="PVV85" s="6"/>
      <c r="PVW85" s="6"/>
      <c r="PVX85" s="6"/>
      <c r="PVY85" s="6"/>
      <c r="PVZ85" s="6"/>
      <c r="PWA85" s="6"/>
      <c r="PWB85" s="6"/>
      <c r="PWC85" s="6"/>
      <c r="PWD85" s="6"/>
      <c r="PWE85" s="6"/>
      <c r="PWF85" s="6"/>
      <c r="PWG85" s="6"/>
      <c r="PWH85" s="6"/>
      <c r="PWI85" s="6"/>
      <c r="PWJ85" s="6"/>
      <c r="PWK85" s="6"/>
      <c r="PWL85" s="6"/>
      <c r="PWM85" s="6"/>
      <c r="PWN85" s="6"/>
      <c r="PWO85" s="6"/>
      <c r="PWP85" s="6"/>
      <c r="PWQ85" s="6"/>
      <c r="PWR85" s="6"/>
      <c r="PWS85" s="6"/>
      <c r="PWT85" s="6"/>
      <c r="PWU85" s="6"/>
      <c r="PWV85" s="6"/>
      <c r="PWW85" s="6"/>
      <c r="PWX85" s="6"/>
      <c r="PWY85" s="6"/>
      <c r="PWZ85" s="6"/>
      <c r="PXA85" s="6"/>
      <c r="PXB85" s="6"/>
      <c r="PXC85" s="6"/>
      <c r="PXD85" s="6"/>
      <c r="PXE85" s="6"/>
      <c r="PXF85" s="6"/>
      <c r="PXG85" s="6"/>
      <c r="PXH85" s="6"/>
      <c r="PXI85" s="6"/>
      <c r="PXJ85" s="6"/>
      <c r="PXK85" s="6"/>
      <c r="PXL85" s="6"/>
      <c r="PXM85" s="6"/>
      <c r="PXN85" s="6"/>
      <c r="PXO85" s="6"/>
      <c r="PXP85" s="6"/>
      <c r="PXQ85" s="6"/>
      <c r="PXR85" s="6"/>
      <c r="PXS85" s="6"/>
      <c r="PXT85" s="6"/>
      <c r="PXU85" s="6"/>
      <c r="PXV85" s="6"/>
      <c r="PXW85" s="6"/>
      <c r="PXX85" s="6"/>
      <c r="PXY85" s="6"/>
      <c r="PXZ85" s="6"/>
      <c r="PYA85" s="6"/>
      <c r="PYB85" s="6"/>
      <c r="PYC85" s="6"/>
      <c r="PYD85" s="6"/>
      <c r="PYE85" s="6"/>
      <c r="PYF85" s="6"/>
      <c r="PYG85" s="6"/>
      <c r="PYH85" s="6"/>
      <c r="PYI85" s="6"/>
      <c r="PYJ85" s="6"/>
      <c r="PYK85" s="6"/>
      <c r="PYL85" s="6"/>
      <c r="PYM85" s="6"/>
      <c r="PYN85" s="6"/>
      <c r="PYO85" s="6"/>
      <c r="PYP85" s="6"/>
      <c r="PYQ85" s="6"/>
      <c r="PYR85" s="6"/>
      <c r="PYS85" s="6"/>
      <c r="PYT85" s="6"/>
      <c r="PYU85" s="6"/>
      <c r="PYV85" s="6"/>
      <c r="PYW85" s="6"/>
      <c r="PYX85" s="6"/>
      <c r="PYY85" s="6"/>
      <c r="PYZ85" s="6"/>
      <c r="PZA85" s="6"/>
      <c r="PZB85" s="6"/>
      <c r="PZC85" s="6"/>
      <c r="PZD85" s="6"/>
      <c r="PZE85" s="6"/>
      <c r="PZF85" s="6"/>
      <c r="PZG85" s="6"/>
      <c r="PZH85" s="6"/>
      <c r="PZI85" s="6"/>
      <c r="PZJ85" s="6"/>
      <c r="PZK85" s="6"/>
      <c r="PZL85" s="6"/>
      <c r="PZM85" s="6"/>
      <c r="PZN85" s="6"/>
      <c r="PZO85" s="6"/>
      <c r="PZP85" s="6"/>
      <c r="PZQ85" s="6"/>
      <c r="PZR85" s="6"/>
      <c r="PZS85" s="6"/>
      <c r="PZT85" s="6"/>
      <c r="PZU85" s="6"/>
      <c r="PZV85" s="6"/>
      <c r="PZW85" s="6"/>
      <c r="PZX85" s="6"/>
      <c r="PZY85" s="6"/>
      <c r="PZZ85" s="6"/>
      <c r="QAA85" s="6"/>
      <c r="QAB85" s="6"/>
      <c r="QAC85" s="6"/>
      <c r="QAD85" s="6"/>
      <c r="QAE85" s="6"/>
      <c r="QAF85" s="6"/>
      <c r="QAG85" s="6"/>
      <c r="QAH85" s="6"/>
      <c r="QAI85" s="6"/>
      <c r="QAJ85" s="6"/>
      <c r="QAK85" s="6"/>
      <c r="QAL85" s="6"/>
      <c r="QAM85" s="6"/>
      <c r="QAN85" s="6"/>
      <c r="QAO85" s="6"/>
      <c r="QAP85" s="6"/>
      <c r="QAQ85" s="6"/>
      <c r="QAR85" s="6"/>
      <c r="QAS85" s="6"/>
      <c r="QAT85" s="6"/>
      <c r="QAU85" s="6"/>
      <c r="QAV85" s="6"/>
      <c r="QAW85" s="6"/>
      <c r="QAX85" s="6"/>
      <c r="QAY85" s="6"/>
      <c r="QAZ85" s="6"/>
      <c r="QBA85" s="6"/>
      <c r="QBB85" s="6"/>
      <c r="QBC85" s="6"/>
      <c r="QBD85" s="6"/>
      <c r="QBE85" s="6"/>
      <c r="QBF85" s="6"/>
      <c r="QBG85" s="6"/>
      <c r="QBH85" s="6"/>
      <c r="QBI85" s="6"/>
      <c r="QBJ85" s="6"/>
      <c r="QBK85" s="6"/>
      <c r="QBL85" s="6"/>
      <c r="QBM85" s="6"/>
      <c r="QBN85" s="6"/>
      <c r="QBO85" s="6"/>
      <c r="QBP85" s="6"/>
      <c r="QBQ85" s="6"/>
      <c r="QBR85" s="6"/>
      <c r="QBS85" s="6"/>
      <c r="QBT85" s="6"/>
      <c r="QBU85" s="6"/>
      <c r="QBV85" s="6"/>
      <c r="QBW85" s="6"/>
      <c r="QBX85" s="6"/>
      <c r="QBY85" s="6"/>
      <c r="QBZ85" s="6"/>
      <c r="QCA85" s="6"/>
      <c r="QCB85" s="6"/>
      <c r="QCC85" s="6"/>
      <c r="QCD85" s="6"/>
      <c r="QCE85" s="6"/>
      <c r="QCF85" s="6"/>
      <c r="QCG85" s="6"/>
      <c r="QCH85" s="6"/>
      <c r="QCI85" s="6"/>
      <c r="QCJ85" s="6"/>
      <c r="QCK85" s="6"/>
      <c r="QCL85" s="6"/>
      <c r="QCM85" s="6"/>
      <c r="QCN85" s="6"/>
      <c r="QCO85" s="6"/>
      <c r="QCP85" s="6"/>
      <c r="QCQ85" s="6"/>
      <c r="QCR85" s="6"/>
      <c r="QCS85" s="6"/>
      <c r="QCT85" s="6"/>
      <c r="QCU85" s="6"/>
      <c r="QCV85" s="6"/>
      <c r="QCW85" s="6"/>
      <c r="QCX85" s="6"/>
      <c r="QCY85" s="6"/>
      <c r="QCZ85" s="6"/>
      <c r="QDA85" s="6"/>
      <c r="QDB85" s="6"/>
      <c r="QDC85" s="6"/>
      <c r="QDD85" s="6"/>
      <c r="QDE85" s="6"/>
      <c r="QDF85" s="6"/>
      <c r="QDG85" s="6"/>
      <c r="QDH85" s="6"/>
      <c r="QDI85" s="6"/>
      <c r="QDJ85" s="6"/>
      <c r="QDK85" s="6"/>
      <c r="QDL85" s="6"/>
      <c r="QDM85" s="6"/>
      <c r="QDN85" s="6"/>
      <c r="QDO85" s="6"/>
      <c r="QDP85" s="6"/>
      <c r="QDQ85" s="6"/>
      <c r="QDR85" s="6"/>
      <c r="QDS85" s="6"/>
      <c r="QDT85" s="6"/>
      <c r="QDU85" s="6"/>
      <c r="QDV85" s="6"/>
      <c r="QDW85" s="6"/>
      <c r="QDX85" s="6"/>
      <c r="QDY85" s="6"/>
      <c r="QDZ85" s="6"/>
      <c r="QEA85" s="6"/>
      <c r="QEB85" s="6"/>
      <c r="QEC85" s="6"/>
      <c r="QED85" s="6"/>
      <c r="QEE85" s="6"/>
      <c r="QEF85" s="6"/>
      <c r="QEG85" s="6"/>
      <c r="QEH85" s="6"/>
      <c r="QEI85" s="6"/>
      <c r="QEJ85" s="6"/>
      <c r="QEK85" s="6"/>
      <c r="QEL85" s="6"/>
      <c r="QEM85" s="6"/>
      <c r="QEN85" s="6"/>
      <c r="QEO85" s="6"/>
      <c r="QEP85" s="6"/>
      <c r="QEQ85" s="6"/>
      <c r="QER85" s="6"/>
      <c r="QES85" s="6"/>
      <c r="QET85" s="6"/>
      <c r="QEU85" s="6"/>
      <c r="QEV85" s="6"/>
      <c r="QEW85" s="6"/>
      <c r="QEX85" s="6"/>
      <c r="QEY85" s="6"/>
      <c r="QEZ85" s="6"/>
      <c r="QFA85" s="6"/>
      <c r="QFB85" s="6"/>
      <c r="QFC85" s="6"/>
      <c r="QFD85" s="6"/>
      <c r="QFE85" s="6"/>
      <c r="QFF85" s="6"/>
      <c r="QFG85" s="6"/>
      <c r="QFH85" s="6"/>
      <c r="QFI85" s="6"/>
      <c r="QFJ85" s="6"/>
      <c r="QFK85" s="6"/>
      <c r="QFL85" s="6"/>
      <c r="QFM85" s="6"/>
      <c r="QFN85" s="6"/>
      <c r="QFO85" s="6"/>
      <c r="QFP85" s="6"/>
      <c r="QFQ85" s="6"/>
      <c r="QFR85" s="6"/>
      <c r="QFS85" s="6"/>
      <c r="QFT85" s="6"/>
      <c r="QFU85" s="6"/>
      <c r="QFV85" s="6"/>
      <c r="QFW85" s="6"/>
      <c r="QFX85" s="6"/>
      <c r="QFY85" s="6"/>
      <c r="QFZ85" s="6"/>
      <c r="QGA85" s="6"/>
      <c r="QGB85" s="6"/>
      <c r="QGC85" s="6"/>
      <c r="QGD85" s="6"/>
      <c r="QGE85" s="6"/>
      <c r="QGF85" s="6"/>
      <c r="QGG85" s="6"/>
      <c r="QGH85" s="6"/>
      <c r="QGI85" s="6"/>
      <c r="QGJ85" s="6"/>
      <c r="QGK85" s="6"/>
      <c r="QGL85" s="6"/>
      <c r="QGM85" s="6"/>
      <c r="QGN85" s="6"/>
      <c r="QGO85" s="6"/>
      <c r="QGP85" s="6"/>
      <c r="QGQ85" s="6"/>
      <c r="QGR85" s="6"/>
      <c r="QGS85" s="6"/>
      <c r="QGT85" s="6"/>
      <c r="QGU85" s="6"/>
      <c r="QGV85" s="6"/>
      <c r="QGW85" s="6"/>
      <c r="QGX85" s="6"/>
      <c r="QGY85" s="6"/>
      <c r="QGZ85" s="6"/>
      <c r="QHA85" s="6"/>
      <c r="QHB85" s="6"/>
      <c r="QHC85" s="6"/>
      <c r="QHD85" s="6"/>
      <c r="QHE85" s="6"/>
      <c r="QHF85" s="6"/>
      <c r="QHG85" s="6"/>
      <c r="QHH85" s="6"/>
      <c r="QHI85" s="6"/>
      <c r="QHJ85" s="6"/>
      <c r="QHK85" s="6"/>
      <c r="QHL85" s="6"/>
      <c r="QHM85" s="6"/>
      <c r="QHN85" s="6"/>
      <c r="QHO85" s="6"/>
      <c r="QHP85" s="6"/>
      <c r="QHQ85" s="6"/>
      <c r="QHR85" s="6"/>
      <c r="QHS85" s="6"/>
      <c r="QHT85" s="6"/>
      <c r="QHU85" s="6"/>
      <c r="QHV85" s="6"/>
      <c r="QHW85" s="6"/>
      <c r="QHX85" s="6"/>
      <c r="QHY85" s="6"/>
      <c r="QHZ85" s="6"/>
      <c r="QIA85" s="6"/>
      <c r="QIB85" s="6"/>
      <c r="QIC85" s="6"/>
      <c r="QID85" s="6"/>
      <c r="QIE85" s="6"/>
      <c r="QIF85" s="6"/>
      <c r="QIG85" s="6"/>
      <c r="QIH85" s="6"/>
      <c r="QII85" s="6"/>
      <c r="QIJ85" s="6"/>
      <c r="QIK85" s="6"/>
      <c r="QIL85" s="6"/>
      <c r="QIM85" s="6"/>
      <c r="QIN85" s="6"/>
      <c r="QIO85" s="6"/>
      <c r="QIP85" s="6"/>
      <c r="QIQ85" s="6"/>
      <c r="QIR85" s="6"/>
      <c r="QIS85" s="6"/>
      <c r="QIT85" s="6"/>
      <c r="QIU85" s="6"/>
      <c r="QIV85" s="6"/>
      <c r="QIW85" s="6"/>
      <c r="QIX85" s="6"/>
      <c r="QIY85" s="6"/>
      <c r="QIZ85" s="6"/>
      <c r="QJA85" s="6"/>
      <c r="QJB85" s="6"/>
      <c r="QJC85" s="6"/>
      <c r="QJD85" s="6"/>
      <c r="QJE85" s="6"/>
      <c r="QJF85" s="6"/>
      <c r="QJG85" s="6"/>
      <c r="QJH85" s="6"/>
      <c r="QJI85" s="6"/>
      <c r="QJJ85" s="6"/>
      <c r="QJK85" s="6"/>
      <c r="QJL85" s="6"/>
      <c r="QJM85" s="6"/>
      <c r="QJN85" s="6"/>
      <c r="QJO85" s="6"/>
      <c r="QJP85" s="6"/>
      <c r="QJQ85" s="6"/>
      <c r="QJR85" s="6"/>
      <c r="QJS85" s="6"/>
      <c r="QJT85" s="6"/>
      <c r="QJU85" s="6"/>
      <c r="QJV85" s="6"/>
      <c r="QJW85" s="6"/>
      <c r="QJX85" s="6"/>
      <c r="QJY85" s="6"/>
      <c r="QJZ85" s="6"/>
      <c r="QKA85" s="6"/>
      <c r="QKB85" s="6"/>
      <c r="QKC85" s="6"/>
      <c r="QKD85" s="6"/>
      <c r="QKE85" s="6"/>
      <c r="QKF85" s="6"/>
      <c r="QKG85" s="6"/>
      <c r="QKH85" s="6"/>
      <c r="QKI85" s="6"/>
      <c r="QKJ85" s="6"/>
      <c r="QKK85" s="6"/>
      <c r="QKL85" s="6"/>
      <c r="QKM85" s="6"/>
      <c r="QKN85" s="6"/>
      <c r="QKO85" s="6"/>
      <c r="QKP85" s="6"/>
      <c r="QKQ85" s="6"/>
      <c r="QKR85" s="6"/>
      <c r="QKS85" s="6"/>
      <c r="QKT85" s="6"/>
      <c r="QKU85" s="6"/>
      <c r="QKV85" s="6"/>
      <c r="QKW85" s="6"/>
      <c r="QKX85" s="6"/>
      <c r="QKY85" s="6"/>
      <c r="QKZ85" s="6"/>
      <c r="QLA85" s="6"/>
      <c r="QLB85" s="6"/>
      <c r="QLC85" s="6"/>
      <c r="QLD85" s="6"/>
      <c r="QLE85" s="6"/>
      <c r="QLF85" s="6"/>
      <c r="QLG85" s="6"/>
      <c r="QLH85" s="6"/>
      <c r="QLI85" s="6"/>
      <c r="QLJ85" s="6"/>
      <c r="QLK85" s="6"/>
      <c r="QLL85" s="6"/>
      <c r="QLM85" s="6"/>
      <c r="QLN85" s="6"/>
      <c r="QLO85" s="6"/>
      <c r="QLP85" s="6"/>
      <c r="QLQ85" s="6"/>
      <c r="QLR85" s="6"/>
      <c r="QLS85" s="6"/>
      <c r="QLT85" s="6"/>
      <c r="QLU85" s="6"/>
      <c r="QLV85" s="6"/>
      <c r="QLW85" s="6"/>
      <c r="QLX85" s="6"/>
      <c r="QLY85" s="6"/>
      <c r="QLZ85" s="6"/>
      <c r="QMA85" s="6"/>
      <c r="QMB85" s="6"/>
      <c r="QMC85" s="6"/>
      <c r="QMD85" s="6"/>
      <c r="QME85" s="6"/>
      <c r="QMF85" s="6"/>
      <c r="QMG85" s="6"/>
      <c r="QMH85" s="6"/>
      <c r="QMI85" s="6"/>
      <c r="QMJ85" s="6"/>
      <c r="QMK85" s="6"/>
      <c r="QML85" s="6"/>
      <c r="QMM85" s="6"/>
      <c r="QMN85" s="6"/>
      <c r="QMO85" s="6"/>
      <c r="QMP85" s="6"/>
      <c r="QMQ85" s="6"/>
      <c r="QMR85" s="6"/>
      <c r="QMS85" s="6"/>
      <c r="QMT85" s="6"/>
      <c r="QMU85" s="6"/>
      <c r="QMV85" s="6"/>
      <c r="QMW85" s="6"/>
      <c r="QMX85" s="6"/>
      <c r="QMY85" s="6"/>
      <c r="QMZ85" s="6"/>
      <c r="QNA85" s="6"/>
      <c r="QNB85" s="6"/>
      <c r="QNC85" s="6"/>
      <c r="QND85" s="6"/>
      <c r="QNE85" s="6"/>
      <c r="QNF85" s="6"/>
      <c r="QNG85" s="6"/>
      <c r="QNH85" s="6"/>
      <c r="QNI85" s="6"/>
      <c r="QNJ85" s="6"/>
      <c r="QNK85" s="6"/>
      <c r="QNL85" s="6"/>
      <c r="QNM85" s="6"/>
      <c r="QNN85" s="6"/>
      <c r="QNO85" s="6"/>
      <c r="QNP85" s="6"/>
      <c r="QNQ85" s="6"/>
      <c r="QNR85" s="6"/>
      <c r="QNS85" s="6"/>
      <c r="QNT85" s="6"/>
      <c r="QNU85" s="6"/>
      <c r="QNV85" s="6"/>
      <c r="QNW85" s="6"/>
      <c r="QNX85" s="6"/>
      <c r="QNY85" s="6"/>
      <c r="QNZ85" s="6"/>
      <c r="QOA85" s="6"/>
      <c r="QOB85" s="6"/>
      <c r="QOC85" s="6"/>
      <c r="QOD85" s="6"/>
      <c r="QOE85" s="6"/>
      <c r="QOF85" s="6"/>
      <c r="QOG85" s="6"/>
      <c r="QOH85" s="6"/>
      <c r="QOI85" s="6"/>
      <c r="QOJ85" s="6"/>
      <c r="QOK85" s="6"/>
      <c r="QOL85" s="6"/>
      <c r="QOM85" s="6"/>
      <c r="QON85" s="6"/>
      <c r="QOO85" s="6"/>
      <c r="QOP85" s="6"/>
      <c r="QOQ85" s="6"/>
      <c r="QOR85" s="6"/>
      <c r="QOS85" s="6"/>
      <c r="QOT85" s="6"/>
      <c r="QOU85" s="6"/>
      <c r="QOV85" s="6"/>
      <c r="QOW85" s="6"/>
      <c r="QOX85" s="6"/>
      <c r="QOY85" s="6"/>
      <c r="QOZ85" s="6"/>
      <c r="QPA85" s="6"/>
      <c r="QPB85" s="6"/>
      <c r="QPC85" s="6"/>
      <c r="QPD85" s="6"/>
      <c r="QPE85" s="6"/>
      <c r="QPF85" s="6"/>
      <c r="QPG85" s="6"/>
      <c r="QPH85" s="6"/>
      <c r="QPI85" s="6"/>
      <c r="QPJ85" s="6"/>
      <c r="QPK85" s="6"/>
      <c r="QPL85" s="6"/>
      <c r="QPM85" s="6"/>
      <c r="QPN85" s="6"/>
      <c r="QPO85" s="6"/>
      <c r="QPP85" s="6"/>
      <c r="QPQ85" s="6"/>
      <c r="QPR85" s="6"/>
      <c r="QPS85" s="6"/>
      <c r="QPT85" s="6"/>
      <c r="QPU85" s="6"/>
      <c r="QPV85" s="6"/>
      <c r="QPW85" s="6"/>
      <c r="QPX85" s="6"/>
      <c r="QPY85" s="6"/>
      <c r="QPZ85" s="6"/>
      <c r="QQA85" s="6"/>
      <c r="QQB85" s="6"/>
      <c r="QQC85" s="6"/>
      <c r="QQD85" s="6"/>
      <c r="QQE85" s="6"/>
      <c r="QQF85" s="6"/>
      <c r="QQG85" s="6"/>
      <c r="QQH85" s="6"/>
      <c r="QQI85" s="6"/>
      <c r="QQJ85" s="6"/>
      <c r="QQK85" s="6"/>
      <c r="QQL85" s="6"/>
      <c r="QQM85" s="6"/>
      <c r="QQN85" s="6"/>
      <c r="QQO85" s="6"/>
      <c r="QQP85" s="6"/>
      <c r="QQQ85" s="6"/>
      <c r="QQR85" s="6"/>
      <c r="QQS85" s="6"/>
      <c r="QQT85" s="6"/>
      <c r="QQU85" s="6"/>
      <c r="QQV85" s="6"/>
      <c r="QQW85" s="6"/>
      <c r="QQX85" s="6"/>
      <c r="QQY85" s="6"/>
      <c r="QQZ85" s="6"/>
      <c r="QRA85" s="6"/>
      <c r="QRB85" s="6"/>
      <c r="QRC85" s="6"/>
      <c r="QRD85" s="6"/>
      <c r="QRE85" s="6"/>
      <c r="QRF85" s="6"/>
      <c r="QRG85" s="6"/>
      <c r="QRH85" s="6"/>
      <c r="QRI85" s="6"/>
      <c r="QRJ85" s="6"/>
      <c r="QRK85" s="6"/>
      <c r="QRL85" s="6"/>
      <c r="QRM85" s="6"/>
      <c r="QRN85" s="6"/>
      <c r="QRO85" s="6"/>
      <c r="QRP85" s="6"/>
      <c r="QRQ85" s="6"/>
      <c r="QRR85" s="6"/>
      <c r="QRS85" s="6"/>
      <c r="QRT85" s="6"/>
      <c r="QRU85" s="6"/>
      <c r="QRV85" s="6"/>
      <c r="QRW85" s="6"/>
      <c r="QRX85" s="6"/>
      <c r="QRY85" s="6"/>
      <c r="QRZ85" s="6"/>
      <c r="QSA85" s="6"/>
      <c r="QSB85" s="6"/>
      <c r="QSC85" s="6"/>
      <c r="QSD85" s="6"/>
      <c r="QSE85" s="6"/>
      <c r="QSF85" s="6"/>
      <c r="QSG85" s="6"/>
      <c r="QSH85" s="6"/>
      <c r="QSI85" s="6"/>
      <c r="QSJ85" s="6"/>
      <c r="QSK85" s="6"/>
      <c r="QSL85" s="6"/>
      <c r="QSM85" s="6"/>
      <c r="QSN85" s="6"/>
      <c r="QSO85" s="6"/>
      <c r="QSP85" s="6"/>
      <c r="QSQ85" s="6"/>
      <c r="QSR85" s="6"/>
      <c r="QSS85" s="6"/>
      <c r="QST85" s="6"/>
      <c r="QSU85" s="6"/>
      <c r="QSV85" s="6"/>
      <c r="QSW85" s="6"/>
      <c r="QSX85" s="6"/>
      <c r="QSY85" s="6"/>
      <c r="QSZ85" s="6"/>
      <c r="QTA85" s="6"/>
      <c r="QTB85" s="6"/>
      <c r="QTC85" s="6"/>
      <c r="QTD85" s="6"/>
      <c r="QTE85" s="6"/>
      <c r="QTF85" s="6"/>
      <c r="QTG85" s="6"/>
      <c r="QTH85" s="6"/>
      <c r="QTI85" s="6"/>
      <c r="QTJ85" s="6"/>
      <c r="QTK85" s="6"/>
      <c r="QTL85" s="6"/>
      <c r="QTM85" s="6"/>
      <c r="QTN85" s="6"/>
      <c r="QTO85" s="6"/>
      <c r="QTP85" s="6"/>
      <c r="QTQ85" s="6"/>
      <c r="QTR85" s="6"/>
      <c r="QTS85" s="6"/>
      <c r="QTT85" s="6"/>
      <c r="QTU85" s="6"/>
      <c r="QTV85" s="6"/>
      <c r="QTW85" s="6"/>
      <c r="QTX85" s="6"/>
      <c r="QTY85" s="6"/>
      <c r="QTZ85" s="6"/>
      <c r="QUA85" s="6"/>
      <c r="QUB85" s="6"/>
      <c r="QUC85" s="6"/>
      <c r="QUD85" s="6"/>
      <c r="QUE85" s="6"/>
      <c r="QUF85" s="6"/>
      <c r="QUG85" s="6"/>
      <c r="QUH85" s="6"/>
      <c r="QUI85" s="6"/>
      <c r="QUJ85" s="6"/>
      <c r="QUK85" s="6"/>
      <c r="QUL85" s="6"/>
      <c r="QUM85" s="6"/>
      <c r="QUN85" s="6"/>
      <c r="QUO85" s="6"/>
      <c r="QUP85" s="6"/>
      <c r="QUQ85" s="6"/>
      <c r="QUR85" s="6"/>
      <c r="QUS85" s="6"/>
      <c r="QUT85" s="6"/>
      <c r="QUU85" s="6"/>
      <c r="QUV85" s="6"/>
      <c r="QUW85" s="6"/>
      <c r="QUX85" s="6"/>
      <c r="QUY85" s="6"/>
      <c r="QUZ85" s="6"/>
      <c r="QVA85" s="6"/>
      <c r="QVB85" s="6"/>
      <c r="QVC85" s="6"/>
      <c r="QVD85" s="6"/>
      <c r="QVE85" s="6"/>
      <c r="QVF85" s="6"/>
      <c r="QVG85" s="6"/>
      <c r="QVH85" s="6"/>
      <c r="QVI85" s="6"/>
      <c r="QVJ85" s="6"/>
      <c r="QVK85" s="6"/>
      <c r="QVL85" s="6"/>
      <c r="QVM85" s="6"/>
      <c r="QVN85" s="6"/>
      <c r="QVO85" s="6"/>
      <c r="QVP85" s="6"/>
      <c r="QVQ85" s="6"/>
      <c r="QVR85" s="6"/>
      <c r="QVS85" s="6"/>
      <c r="QVT85" s="6"/>
      <c r="QVU85" s="6"/>
      <c r="QVV85" s="6"/>
      <c r="QVW85" s="6"/>
      <c r="QVX85" s="6"/>
      <c r="QVY85" s="6"/>
      <c r="QVZ85" s="6"/>
      <c r="QWA85" s="6"/>
      <c r="QWB85" s="6"/>
      <c r="QWC85" s="6"/>
      <c r="QWD85" s="6"/>
      <c r="QWE85" s="6"/>
      <c r="QWF85" s="6"/>
      <c r="QWG85" s="6"/>
      <c r="QWH85" s="6"/>
      <c r="QWI85" s="6"/>
      <c r="QWJ85" s="6"/>
      <c r="QWK85" s="6"/>
      <c r="QWL85" s="6"/>
      <c r="QWM85" s="6"/>
      <c r="QWN85" s="6"/>
      <c r="QWO85" s="6"/>
      <c r="QWP85" s="6"/>
      <c r="QWQ85" s="6"/>
      <c r="QWR85" s="6"/>
      <c r="QWS85" s="6"/>
      <c r="QWT85" s="6"/>
      <c r="QWU85" s="6"/>
      <c r="QWV85" s="6"/>
      <c r="QWW85" s="6"/>
      <c r="QWX85" s="6"/>
      <c r="QWY85" s="6"/>
      <c r="QWZ85" s="6"/>
      <c r="QXA85" s="6"/>
      <c r="QXB85" s="6"/>
      <c r="QXC85" s="6"/>
      <c r="QXD85" s="6"/>
      <c r="QXE85" s="6"/>
      <c r="QXF85" s="6"/>
      <c r="QXG85" s="6"/>
      <c r="QXH85" s="6"/>
      <c r="QXI85" s="6"/>
      <c r="QXJ85" s="6"/>
      <c r="QXK85" s="6"/>
      <c r="QXL85" s="6"/>
      <c r="QXM85" s="6"/>
      <c r="QXN85" s="6"/>
      <c r="QXO85" s="6"/>
      <c r="QXP85" s="6"/>
      <c r="QXQ85" s="6"/>
      <c r="QXR85" s="6"/>
      <c r="QXS85" s="6"/>
      <c r="QXT85" s="6"/>
      <c r="QXU85" s="6"/>
      <c r="QXV85" s="6"/>
      <c r="QXW85" s="6"/>
      <c r="QXX85" s="6"/>
      <c r="QXY85" s="6"/>
      <c r="QXZ85" s="6"/>
      <c r="QYA85" s="6"/>
      <c r="QYB85" s="6"/>
      <c r="QYC85" s="6"/>
      <c r="QYD85" s="6"/>
      <c r="QYE85" s="6"/>
      <c r="QYF85" s="6"/>
      <c r="QYG85" s="6"/>
      <c r="QYH85" s="6"/>
      <c r="QYI85" s="6"/>
      <c r="QYJ85" s="6"/>
      <c r="QYK85" s="6"/>
      <c r="QYL85" s="6"/>
      <c r="QYM85" s="6"/>
      <c r="QYN85" s="6"/>
      <c r="QYO85" s="6"/>
      <c r="QYP85" s="6"/>
      <c r="QYQ85" s="6"/>
      <c r="QYR85" s="6"/>
      <c r="QYS85" s="6"/>
      <c r="QYT85" s="6"/>
      <c r="QYU85" s="6"/>
      <c r="QYV85" s="6"/>
      <c r="QYW85" s="6"/>
      <c r="QYX85" s="6"/>
      <c r="QYY85" s="6"/>
      <c r="QYZ85" s="6"/>
      <c r="QZA85" s="6"/>
      <c r="QZB85" s="6"/>
      <c r="QZC85" s="6"/>
      <c r="QZD85" s="6"/>
      <c r="QZE85" s="6"/>
      <c r="QZF85" s="6"/>
      <c r="QZG85" s="6"/>
      <c r="QZH85" s="6"/>
      <c r="QZI85" s="6"/>
      <c r="QZJ85" s="6"/>
      <c r="QZK85" s="6"/>
      <c r="QZL85" s="6"/>
      <c r="QZM85" s="6"/>
      <c r="QZN85" s="6"/>
      <c r="QZO85" s="6"/>
      <c r="QZP85" s="6"/>
      <c r="QZQ85" s="6"/>
      <c r="QZR85" s="6"/>
      <c r="QZS85" s="6"/>
      <c r="QZT85" s="6"/>
      <c r="QZU85" s="6"/>
      <c r="QZV85" s="6"/>
      <c r="QZW85" s="6"/>
      <c r="QZX85" s="6"/>
      <c r="QZY85" s="6"/>
      <c r="QZZ85" s="6"/>
      <c r="RAA85" s="6"/>
      <c r="RAB85" s="6"/>
      <c r="RAC85" s="6"/>
      <c r="RAD85" s="6"/>
      <c r="RAE85" s="6"/>
      <c r="RAF85" s="6"/>
      <c r="RAG85" s="6"/>
      <c r="RAH85" s="6"/>
      <c r="RAI85" s="6"/>
      <c r="RAJ85" s="6"/>
      <c r="RAK85" s="6"/>
      <c r="RAL85" s="6"/>
      <c r="RAM85" s="6"/>
      <c r="RAN85" s="6"/>
      <c r="RAO85" s="6"/>
      <c r="RAP85" s="6"/>
      <c r="RAQ85" s="6"/>
      <c r="RAR85" s="6"/>
      <c r="RAS85" s="6"/>
      <c r="RAT85" s="6"/>
      <c r="RAU85" s="6"/>
      <c r="RAV85" s="6"/>
      <c r="RAW85" s="6"/>
      <c r="RAX85" s="6"/>
      <c r="RAY85" s="6"/>
      <c r="RAZ85" s="6"/>
      <c r="RBA85" s="6"/>
      <c r="RBB85" s="6"/>
      <c r="RBC85" s="6"/>
      <c r="RBD85" s="6"/>
      <c r="RBE85" s="6"/>
      <c r="RBF85" s="6"/>
      <c r="RBG85" s="6"/>
      <c r="RBH85" s="6"/>
      <c r="RBI85" s="6"/>
      <c r="RBJ85" s="6"/>
      <c r="RBK85" s="6"/>
      <c r="RBL85" s="6"/>
      <c r="RBM85" s="6"/>
      <c r="RBN85" s="6"/>
      <c r="RBO85" s="6"/>
      <c r="RBP85" s="6"/>
      <c r="RBQ85" s="6"/>
      <c r="RBR85" s="6"/>
      <c r="RBS85" s="6"/>
      <c r="RBT85" s="6"/>
      <c r="RBU85" s="6"/>
      <c r="RBV85" s="6"/>
      <c r="RBW85" s="6"/>
      <c r="RBX85" s="6"/>
      <c r="RBY85" s="6"/>
      <c r="RBZ85" s="6"/>
      <c r="RCA85" s="6"/>
      <c r="RCB85" s="6"/>
      <c r="RCC85" s="6"/>
      <c r="RCD85" s="6"/>
      <c r="RCE85" s="6"/>
      <c r="RCF85" s="6"/>
      <c r="RCG85" s="6"/>
      <c r="RCH85" s="6"/>
      <c r="RCI85" s="6"/>
      <c r="RCJ85" s="6"/>
      <c r="RCK85" s="6"/>
      <c r="RCL85" s="6"/>
      <c r="RCM85" s="6"/>
      <c r="RCN85" s="6"/>
      <c r="RCO85" s="6"/>
      <c r="RCP85" s="6"/>
      <c r="RCQ85" s="6"/>
      <c r="RCR85" s="6"/>
      <c r="RCS85" s="6"/>
      <c r="RCT85" s="6"/>
      <c r="RCU85" s="6"/>
      <c r="RCV85" s="6"/>
      <c r="RCW85" s="6"/>
      <c r="RCX85" s="6"/>
      <c r="RCY85" s="6"/>
      <c r="RCZ85" s="6"/>
      <c r="RDA85" s="6"/>
      <c r="RDB85" s="6"/>
      <c r="RDC85" s="6"/>
      <c r="RDD85" s="6"/>
      <c r="RDE85" s="6"/>
      <c r="RDF85" s="6"/>
      <c r="RDG85" s="6"/>
      <c r="RDH85" s="6"/>
      <c r="RDI85" s="6"/>
      <c r="RDJ85" s="6"/>
      <c r="RDK85" s="6"/>
      <c r="RDL85" s="6"/>
      <c r="RDM85" s="6"/>
      <c r="RDN85" s="6"/>
      <c r="RDO85" s="6"/>
      <c r="RDP85" s="6"/>
      <c r="RDQ85" s="6"/>
      <c r="RDR85" s="6"/>
      <c r="RDS85" s="6"/>
      <c r="RDT85" s="6"/>
      <c r="RDU85" s="6"/>
      <c r="RDV85" s="6"/>
      <c r="RDW85" s="6"/>
      <c r="RDX85" s="6"/>
      <c r="RDY85" s="6"/>
      <c r="RDZ85" s="6"/>
      <c r="REA85" s="6"/>
      <c r="REB85" s="6"/>
      <c r="REC85" s="6"/>
      <c r="RED85" s="6"/>
      <c r="REE85" s="6"/>
      <c r="REF85" s="6"/>
      <c r="REG85" s="6"/>
      <c r="REH85" s="6"/>
      <c r="REI85" s="6"/>
      <c r="REJ85" s="6"/>
      <c r="REK85" s="6"/>
      <c r="REL85" s="6"/>
      <c r="REM85" s="6"/>
      <c r="REN85" s="6"/>
      <c r="REO85" s="6"/>
      <c r="REP85" s="6"/>
      <c r="REQ85" s="6"/>
      <c r="RER85" s="6"/>
      <c r="RES85" s="6"/>
      <c r="RET85" s="6"/>
      <c r="REU85" s="6"/>
      <c r="REV85" s="6"/>
      <c r="REW85" s="6"/>
      <c r="REX85" s="6"/>
      <c r="REY85" s="6"/>
      <c r="REZ85" s="6"/>
      <c r="RFA85" s="6"/>
      <c r="RFB85" s="6"/>
      <c r="RFC85" s="6"/>
      <c r="RFD85" s="6"/>
      <c r="RFE85" s="6"/>
      <c r="RFF85" s="6"/>
      <c r="RFG85" s="6"/>
      <c r="RFH85" s="6"/>
      <c r="RFI85" s="6"/>
      <c r="RFJ85" s="6"/>
      <c r="RFK85" s="6"/>
      <c r="RFL85" s="6"/>
      <c r="RFM85" s="6"/>
      <c r="RFN85" s="6"/>
      <c r="RFO85" s="6"/>
      <c r="RFP85" s="6"/>
      <c r="RFQ85" s="6"/>
      <c r="RFR85" s="6"/>
      <c r="RFS85" s="6"/>
      <c r="RFT85" s="6"/>
      <c r="RFU85" s="6"/>
      <c r="RFV85" s="6"/>
      <c r="RFW85" s="6"/>
      <c r="RFX85" s="6"/>
      <c r="RFY85" s="6"/>
      <c r="RFZ85" s="6"/>
      <c r="RGA85" s="6"/>
      <c r="RGB85" s="6"/>
      <c r="RGC85" s="6"/>
      <c r="RGD85" s="6"/>
      <c r="RGE85" s="6"/>
      <c r="RGF85" s="6"/>
      <c r="RGG85" s="6"/>
      <c r="RGH85" s="6"/>
      <c r="RGI85" s="6"/>
      <c r="RGJ85" s="6"/>
      <c r="RGK85" s="6"/>
      <c r="RGL85" s="6"/>
      <c r="RGM85" s="6"/>
      <c r="RGN85" s="6"/>
      <c r="RGO85" s="6"/>
      <c r="RGP85" s="6"/>
      <c r="RGQ85" s="6"/>
      <c r="RGR85" s="6"/>
      <c r="RGS85" s="6"/>
      <c r="RGT85" s="6"/>
      <c r="RGU85" s="6"/>
      <c r="RGV85" s="6"/>
      <c r="RGW85" s="6"/>
      <c r="RGX85" s="6"/>
      <c r="RGY85" s="6"/>
      <c r="RGZ85" s="6"/>
      <c r="RHA85" s="6"/>
      <c r="RHB85" s="6"/>
      <c r="RHC85" s="6"/>
      <c r="RHD85" s="6"/>
      <c r="RHE85" s="6"/>
      <c r="RHF85" s="6"/>
      <c r="RHG85" s="6"/>
      <c r="RHH85" s="6"/>
      <c r="RHI85" s="6"/>
      <c r="RHJ85" s="6"/>
      <c r="RHK85" s="6"/>
      <c r="RHL85" s="6"/>
      <c r="RHM85" s="6"/>
      <c r="RHN85" s="6"/>
      <c r="RHO85" s="6"/>
      <c r="RHP85" s="6"/>
      <c r="RHQ85" s="6"/>
      <c r="RHR85" s="6"/>
      <c r="RHS85" s="6"/>
      <c r="RHT85" s="6"/>
      <c r="RHU85" s="6"/>
      <c r="RHV85" s="6"/>
      <c r="RHW85" s="6"/>
      <c r="RHX85" s="6"/>
      <c r="RHY85" s="6"/>
      <c r="RHZ85" s="6"/>
      <c r="RIA85" s="6"/>
      <c r="RIB85" s="6"/>
      <c r="RIC85" s="6"/>
      <c r="RID85" s="6"/>
      <c r="RIE85" s="6"/>
      <c r="RIF85" s="6"/>
      <c r="RIG85" s="6"/>
      <c r="RIH85" s="6"/>
      <c r="RII85" s="6"/>
      <c r="RIJ85" s="6"/>
      <c r="RIK85" s="6"/>
      <c r="RIL85" s="6"/>
      <c r="RIM85" s="6"/>
      <c r="RIN85" s="6"/>
      <c r="RIO85" s="6"/>
      <c r="RIP85" s="6"/>
      <c r="RIQ85" s="6"/>
      <c r="RIR85" s="6"/>
      <c r="RIS85" s="6"/>
      <c r="RIT85" s="6"/>
      <c r="RIU85" s="6"/>
      <c r="RIV85" s="6"/>
      <c r="RIW85" s="6"/>
      <c r="RIX85" s="6"/>
      <c r="RIY85" s="6"/>
      <c r="RIZ85" s="6"/>
      <c r="RJA85" s="6"/>
      <c r="RJB85" s="6"/>
      <c r="RJC85" s="6"/>
      <c r="RJD85" s="6"/>
      <c r="RJE85" s="6"/>
      <c r="RJF85" s="6"/>
      <c r="RJG85" s="6"/>
      <c r="RJH85" s="6"/>
      <c r="RJI85" s="6"/>
      <c r="RJJ85" s="6"/>
      <c r="RJK85" s="6"/>
      <c r="RJL85" s="6"/>
      <c r="RJM85" s="6"/>
      <c r="RJN85" s="6"/>
      <c r="RJO85" s="6"/>
      <c r="RJP85" s="6"/>
      <c r="RJQ85" s="6"/>
      <c r="RJR85" s="6"/>
      <c r="RJS85" s="6"/>
      <c r="RJT85" s="6"/>
      <c r="RJU85" s="6"/>
      <c r="RJV85" s="6"/>
      <c r="RJW85" s="6"/>
      <c r="RJX85" s="6"/>
      <c r="RJY85" s="6"/>
      <c r="RJZ85" s="6"/>
      <c r="RKA85" s="6"/>
      <c r="RKB85" s="6"/>
      <c r="RKC85" s="6"/>
      <c r="RKD85" s="6"/>
      <c r="RKE85" s="6"/>
      <c r="RKF85" s="6"/>
      <c r="RKG85" s="6"/>
      <c r="RKH85" s="6"/>
      <c r="RKI85" s="6"/>
      <c r="RKJ85" s="6"/>
      <c r="RKK85" s="6"/>
      <c r="RKL85" s="6"/>
      <c r="RKM85" s="6"/>
      <c r="RKN85" s="6"/>
      <c r="RKO85" s="6"/>
      <c r="RKP85" s="6"/>
      <c r="RKQ85" s="6"/>
      <c r="RKR85" s="6"/>
      <c r="RKS85" s="6"/>
      <c r="RKT85" s="6"/>
      <c r="RKU85" s="6"/>
      <c r="RKV85" s="6"/>
      <c r="RKW85" s="6"/>
      <c r="RKX85" s="6"/>
      <c r="RKY85" s="6"/>
      <c r="RKZ85" s="6"/>
      <c r="RLA85" s="6"/>
      <c r="RLB85" s="6"/>
      <c r="RLC85" s="6"/>
      <c r="RLD85" s="6"/>
      <c r="RLE85" s="6"/>
      <c r="RLF85" s="6"/>
      <c r="RLG85" s="6"/>
      <c r="RLH85" s="6"/>
      <c r="RLI85" s="6"/>
      <c r="RLJ85" s="6"/>
      <c r="RLK85" s="6"/>
      <c r="RLL85" s="6"/>
      <c r="RLM85" s="6"/>
      <c r="RLN85" s="6"/>
      <c r="RLO85" s="6"/>
      <c r="RLP85" s="6"/>
      <c r="RLQ85" s="6"/>
      <c r="RLR85" s="6"/>
      <c r="RLS85" s="6"/>
      <c r="RLT85" s="6"/>
      <c r="RLU85" s="6"/>
      <c r="RLV85" s="6"/>
      <c r="RLW85" s="6"/>
      <c r="RLX85" s="6"/>
      <c r="RLY85" s="6"/>
      <c r="RLZ85" s="6"/>
      <c r="RMA85" s="6"/>
      <c r="RMB85" s="6"/>
      <c r="RMC85" s="6"/>
      <c r="RMD85" s="6"/>
      <c r="RME85" s="6"/>
      <c r="RMF85" s="6"/>
      <c r="RMG85" s="6"/>
      <c r="RMH85" s="6"/>
      <c r="RMI85" s="6"/>
      <c r="RMJ85" s="6"/>
      <c r="RMK85" s="6"/>
      <c r="RML85" s="6"/>
      <c r="RMM85" s="6"/>
      <c r="RMN85" s="6"/>
      <c r="RMO85" s="6"/>
      <c r="RMP85" s="6"/>
      <c r="RMQ85" s="6"/>
      <c r="RMR85" s="6"/>
      <c r="RMS85" s="6"/>
      <c r="RMT85" s="6"/>
      <c r="RMU85" s="6"/>
      <c r="RMV85" s="6"/>
      <c r="RMW85" s="6"/>
      <c r="RMX85" s="6"/>
      <c r="RMY85" s="6"/>
      <c r="RMZ85" s="6"/>
      <c r="RNA85" s="6"/>
      <c r="RNB85" s="6"/>
      <c r="RNC85" s="6"/>
      <c r="RND85" s="6"/>
      <c r="RNE85" s="6"/>
      <c r="RNF85" s="6"/>
      <c r="RNG85" s="6"/>
      <c r="RNH85" s="6"/>
      <c r="RNI85" s="6"/>
      <c r="RNJ85" s="6"/>
      <c r="RNK85" s="6"/>
      <c r="RNL85" s="6"/>
      <c r="RNM85" s="6"/>
      <c r="RNN85" s="6"/>
      <c r="RNO85" s="6"/>
      <c r="RNP85" s="6"/>
      <c r="RNQ85" s="6"/>
      <c r="RNR85" s="6"/>
      <c r="RNS85" s="6"/>
      <c r="RNT85" s="6"/>
      <c r="RNU85" s="6"/>
      <c r="RNV85" s="6"/>
      <c r="RNW85" s="6"/>
      <c r="RNX85" s="6"/>
      <c r="RNY85" s="6"/>
      <c r="RNZ85" s="6"/>
      <c r="ROA85" s="6"/>
      <c r="ROB85" s="6"/>
      <c r="ROC85" s="6"/>
      <c r="ROD85" s="6"/>
      <c r="ROE85" s="6"/>
      <c r="ROF85" s="6"/>
      <c r="ROG85" s="6"/>
      <c r="ROH85" s="6"/>
      <c r="ROI85" s="6"/>
      <c r="ROJ85" s="6"/>
      <c r="ROK85" s="6"/>
      <c r="ROL85" s="6"/>
      <c r="ROM85" s="6"/>
      <c r="RON85" s="6"/>
      <c r="ROO85" s="6"/>
      <c r="ROP85" s="6"/>
      <c r="ROQ85" s="6"/>
      <c r="ROR85" s="6"/>
      <c r="ROS85" s="6"/>
      <c r="ROT85" s="6"/>
      <c r="ROU85" s="6"/>
      <c r="ROV85" s="6"/>
      <c r="ROW85" s="6"/>
      <c r="ROX85" s="6"/>
      <c r="ROY85" s="6"/>
      <c r="ROZ85" s="6"/>
      <c r="RPA85" s="6"/>
      <c r="RPB85" s="6"/>
      <c r="RPC85" s="6"/>
      <c r="RPD85" s="6"/>
      <c r="RPE85" s="6"/>
      <c r="RPF85" s="6"/>
      <c r="RPG85" s="6"/>
      <c r="RPH85" s="6"/>
      <c r="RPI85" s="6"/>
      <c r="RPJ85" s="6"/>
      <c r="RPK85" s="6"/>
      <c r="RPL85" s="6"/>
      <c r="RPM85" s="6"/>
      <c r="RPN85" s="6"/>
      <c r="RPO85" s="6"/>
      <c r="RPP85" s="6"/>
      <c r="RPQ85" s="6"/>
      <c r="RPR85" s="6"/>
      <c r="RPS85" s="6"/>
      <c r="RPT85" s="6"/>
      <c r="RPU85" s="6"/>
      <c r="RPV85" s="6"/>
      <c r="RPW85" s="6"/>
      <c r="RPX85" s="6"/>
      <c r="RPY85" s="6"/>
      <c r="RPZ85" s="6"/>
      <c r="RQA85" s="6"/>
      <c r="RQB85" s="6"/>
      <c r="RQC85" s="6"/>
      <c r="RQD85" s="6"/>
      <c r="RQE85" s="6"/>
      <c r="RQF85" s="6"/>
      <c r="RQG85" s="6"/>
      <c r="RQH85" s="6"/>
      <c r="RQI85" s="6"/>
      <c r="RQJ85" s="6"/>
      <c r="RQK85" s="6"/>
      <c r="RQL85" s="6"/>
      <c r="RQM85" s="6"/>
      <c r="RQN85" s="6"/>
      <c r="RQO85" s="6"/>
      <c r="RQP85" s="6"/>
      <c r="RQQ85" s="6"/>
      <c r="RQR85" s="6"/>
      <c r="RQS85" s="6"/>
      <c r="RQT85" s="6"/>
      <c r="RQU85" s="6"/>
      <c r="RQV85" s="6"/>
      <c r="RQW85" s="6"/>
      <c r="RQX85" s="6"/>
      <c r="RQY85" s="6"/>
      <c r="RQZ85" s="6"/>
      <c r="RRA85" s="6"/>
      <c r="RRB85" s="6"/>
      <c r="RRC85" s="6"/>
      <c r="RRD85" s="6"/>
      <c r="RRE85" s="6"/>
      <c r="RRF85" s="6"/>
      <c r="RRG85" s="6"/>
      <c r="RRH85" s="6"/>
      <c r="RRI85" s="6"/>
      <c r="RRJ85" s="6"/>
      <c r="RRK85" s="6"/>
      <c r="RRL85" s="6"/>
      <c r="RRM85" s="6"/>
      <c r="RRN85" s="6"/>
      <c r="RRO85" s="6"/>
      <c r="RRP85" s="6"/>
      <c r="RRQ85" s="6"/>
      <c r="RRR85" s="6"/>
      <c r="RRS85" s="6"/>
      <c r="RRT85" s="6"/>
      <c r="RRU85" s="6"/>
      <c r="RRV85" s="6"/>
      <c r="RRW85" s="6"/>
      <c r="RRX85" s="6"/>
      <c r="RRY85" s="6"/>
      <c r="RRZ85" s="6"/>
      <c r="RSA85" s="6"/>
      <c r="RSB85" s="6"/>
      <c r="RSC85" s="6"/>
      <c r="RSD85" s="6"/>
      <c r="RSE85" s="6"/>
      <c r="RSF85" s="6"/>
      <c r="RSG85" s="6"/>
      <c r="RSH85" s="6"/>
      <c r="RSI85" s="6"/>
      <c r="RSJ85" s="6"/>
      <c r="RSK85" s="6"/>
      <c r="RSL85" s="6"/>
      <c r="RSM85" s="6"/>
      <c r="RSN85" s="6"/>
      <c r="RSO85" s="6"/>
      <c r="RSP85" s="6"/>
      <c r="RSQ85" s="6"/>
      <c r="RSR85" s="6"/>
      <c r="RSS85" s="6"/>
      <c r="RST85" s="6"/>
      <c r="RSU85" s="6"/>
      <c r="RSV85" s="6"/>
      <c r="RSW85" s="6"/>
      <c r="RSX85" s="6"/>
      <c r="RSY85" s="6"/>
      <c r="RSZ85" s="6"/>
      <c r="RTA85" s="6"/>
      <c r="RTB85" s="6"/>
      <c r="RTC85" s="6"/>
      <c r="RTD85" s="6"/>
      <c r="RTE85" s="6"/>
      <c r="RTF85" s="6"/>
      <c r="RTG85" s="6"/>
      <c r="RTH85" s="6"/>
      <c r="RTI85" s="6"/>
      <c r="RTJ85" s="6"/>
      <c r="RTK85" s="6"/>
      <c r="RTL85" s="6"/>
      <c r="RTM85" s="6"/>
      <c r="RTN85" s="6"/>
      <c r="RTO85" s="6"/>
      <c r="RTP85" s="6"/>
      <c r="RTQ85" s="6"/>
      <c r="RTR85" s="6"/>
      <c r="RTS85" s="6"/>
      <c r="RTT85" s="6"/>
      <c r="RTU85" s="6"/>
      <c r="RTV85" s="6"/>
      <c r="RTW85" s="6"/>
      <c r="RTX85" s="6"/>
      <c r="RTY85" s="6"/>
      <c r="RTZ85" s="6"/>
      <c r="RUA85" s="6"/>
      <c r="RUB85" s="6"/>
      <c r="RUC85" s="6"/>
      <c r="RUD85" s="6"/>
      <c r="RUE85" s="6"/>
      <c r="RUF85" s="6"/>
      <c r="RUG85" s="6"/>
      <c r="RUH85" s="6"/>
      <c r="RUI85" s="6"/>
      <c r="RUJ85" s="6"/>
      <c r="RUK85" s="6"/>
      <c r="RUL85" s="6"/>
      <c r="RUM85" s="6"/>
      <c r="RUN85" s="6"/>
      <c r="RUO85" s="6"/>
      <c r="RUP85" s="6"/>
      <c r="RUQ85" s="6"/>
      <c r="RUR85" s="6"/>
      <c r="RUS85" s="6"/>
      <c r="RUT85" s="6"/>
      <c r="RUU85" s="6"/>
      <c r="RUV85" s="6"/>
      <c r="RUW85" s="6"/>
      <c r="RUX85" s="6"/>
      <c r="RUY85" s="6"/>
      <c r="RUZ85" s="6"/>
      <c r="RVA85" s="6"/>
      <c r="RVB85" s="6"/>
      <c r="RVC85" s="6"/>
      <c r="RVD85" s="6"/>
      <c r="RVE85" s="6"/>
      <c r="RVF85" s="6"/>
      <c r="RVG85" s="6"/>
      <c r="RVH85" s="6"/>
      <c r="RVI85" s="6"/>
      <c r="RVJ85" s="6"/>
      <c r="RVK85" s="6"/>
      <c r="RVL85" s="6"/>
      <c r="RVM85" s="6"/>
      <c r="RVN85" s="6"/>
      <c r="RVO85" s="6"/>
      <c r="RVP85" s="6"/>
      <c r="RVQ85" s="6"/>
      <c r="RVR85" s="6"/>
      <c r="RVS85" s="6"/>
      <c r="RVT85" s="6"/>
      <c r="RVU85" s="6"/>
      <c r="RVV85" s="6"/>
      <c r="RVW85" s="6"/>
      <c r="RVX85" s="6"/>
      <c r="RVY85" s="6"/>
      <c r="RVZ85" s="6"/>
      <c r="RWA85" s="6"/>
      <c r="RWB85" s="6"/>
      <c r="RWC85" s="6"/>
      <c r="RWD85" s="6"/>
      <c r="RWE85" s="6"/>
      <c r="RWF85" s="6"/>
      <c r="RWG85" s="6"/>
      <c r="RWH85" s="6"/>
      <c r="RWI85" s="6"/>
      <c r="RWJ85" s="6"/>
      <c r="RWK85" s="6"/>
      <c r="RWL85" s="6"/>
      <c r="RWM85" s="6"/>
      <c r="RWN85" s="6"/>
      <c r="RWO85" s="6"/>
      <c r="RWP85" s="6"/>
      <c r="RWQ85" s="6"/>
      <c r="RWR85" s="6"/>
      <c r="RWS85" s="6"/>
      <c r="RWT85" s="6"/>
      <c r="RWU85" s="6"/>
      <c r="RWV85" s="6"/>
      <c r="RWW85" s="6"/>
      <c r="RWX85" s="6"/>
      <c r="RWY85" s="6"/>
      <c r="RWZ85" s="6"/>
      <c r="RXA85" s="6"/>
      <c r="RXB85" s="6"/>
      <c r="RXC85" s="6"/>
      <c r="RXD85" s="6"/>
      <c r="RXE85" s="6"/>
      <c r="RXF85" s="6"/>
      <c r="RXG85" s="6"/>
      <c r="RXH85" s="6"/>
      <c r="RXI85" s="6"/>
      <c r="RXJ85" s="6"/>
      <c r="RXK85" s="6"/>
      <c r="RXL85" s="6"/>
      <c r="RXM85" s="6"/>
      <c r="RXN85" s="6"/>
      <c r="RXO85" s="6"/>
      <c r="RXP85" s="6"/>
      <c r="RXQ85" s="6"/>
      <c r="RXR85" s="6"/>
      <c r="RXS85" s="6"/>
      <c r="RXT85" s="6"/>
      <c r="RXU85" s="6"/>
      <c r="RXV85" s="6"/>
      <c r="RXW85" s="6"/>
      <c r="RXX85" s="6"/>
      <c r="RXY85" s="6"/>
      <c r="RXZ85" s="6"/>
      <c r="RYA85" s="6"/>
      <c r="RYB85" s="6"/>
      <c r="RYC85" s="6"/>
      <c r="RYD85" s="6"/>
      <c r="RYE85" s="6"/>
      <c r="RYF85" s="6"/>
      <c r="RYG85" s="6"/>
      <c r="RYH85" s="6"/>
      <c r="RYI85" s="6"/>
      <c r="RYJ85" s="6"/>
      <c r="RYK85" s="6"/>
      <c r="RYL85" s="6"/>
      <c r="RYM85" s="6"/>
      <c r="RYN85" s="6"/>
      <c r="RYO85" s="6"/>
      <c r="RYP85" s="6"/>
      <c r="RYQ85" s="6"/>
      <c r="RYR85" s="6"/>
      <c r="RYS85" s="6"/>
      <c r="RYT85" s="6"/>
      <c r="RYU85" s="6"/>
      <c r="RYV85" s="6"/>
      <c r="RYW85" s="6"/>
      <c r="RYX85" s="6"/>
      <c r="RYY85" s="6"/>
      <c r="RYZ85" s="6"/>
      <c r="RZA85" s="6"/>
      <c r="RZB85" s="6"/>
      <c r="RZC85" s="6"/>
      <c r="RZD85" s="6"/>
      <c r="RZE85" s="6"/>
      <c r="RZF85" s="6"/>
      <c r="RZG85" s="6"/>
      <c r="RZH85" s="6"/>
      <c r="RZI85" s="6"/>
      <c r="RZJ85" s="6"/>
      <c r="RZK85" s="6"/>
      <c r="RZL85" s="6"/>
      <c r="RZM85" s="6"/>
      <c r="RZN85" s="6"/>
      <c r="RZO85" s="6"/>
      <c r="RZP85" s="6"/>
      <c r="RZQ85" s="6"/>
      <c r="RZR85" s="6"/>
      <c r="RZS85" s="6"/>
      <c r="RZT85" s="6"/>
      <c r="RZU85" s="6"/>
      <c r="RZV85" s="6"/>
      <c r="RZW85" s="6"/>
      <c r="RZX85" s="6"/>
      <c r="RZY85" s="6"/>
      <c r="RZZ85" s="6"/>
      <c r="SAA85" s="6"/>
      <c r="SAB85" s="6"/>
      <c r="SAC85" s="6"/>
      <c r="SAD85" s="6"/>
      <c r="SAE85" s="6"/>
      <c r="SAF85" s="6"/>
      <c r="SAG85" s="6"/>
      <c r="SAH85" s="6"/>
      <c r="SAI85" s="6"/>
      <c r="SAJ85" s="6"/>
      <c r="SAK85" s="6"/>
      <c r="SAL85" s="6"/>
      <c r="SAM85" s="6"/>
      <c r="SAN85" s="6"/>
      <c r="SAO85" s="6"/>
      <c r="SAP85" s="6"/>
      <c r="SAQ85" s="6"/>
      <c r="SAR85" s="6"/>
      <c r="SAS85" s="6"/>
      <c r="SAT85" s="6"/>
      <c r="SAU85" s="6"/>
      <c r="SAV85" s="6"/>
      <c r="SAW85" s="6"/>
      <c r="SAX85" s="6"/>
      <c r="SAY85" s="6"/>
      <c r="SAZ85" s="6"/>
      <c r="SBA85" s="6"/>
      <c r="SBB85" s="6"/>
      <c r="SBC85" s="6"/>
      <c r="SBD85" s="6"/>
      <c r="SBE85" s="6"/>
      <c r="SBF85" s="6"/>
      <c r="SBG85" s="6"/>
      <c r="SBH85" s="6"/>
      <c r="SBI85" s="6"/>
      <c r="SBJ85" s="6"/>
      <c r="SBK85" s="6"/>
      <c r="SBL85" s="6"/>
      <c r="SBM85" s="6"/>
      <c r="SBN85" s="6"/>
      <c r="SBO85" s="6"/>
      <c r="SBP85" s="6"/>
      <c r="SBQ85" s="6"/>
      <c r="SBR85" s="6"/>
      <c r="SBS85" s="6"/>
      <c r="SBT85" s="6"/>
      <c r="SBU85" s="6"/>
      <c r="SBV85" s="6"/>
      <c r="SBW85" s="6"/>
      <c r="SBX85" s="6"/>
      <c r="SBY85" s="6"/>
      <c r="SBZ85" s="6"/>
      <c r="SCA85" s="6"/>
      <c r="SCB85" s="6"/>
      <c r="SCC85" s="6"/>
      <c r="SCD85" s="6"/>
      <c r="SCE85" s="6"/>
      <c r="SCF85" s="6"/>
      <c r="SCG85" s="6"/>
      <c r="SCH85" s="6"/>
      <c r="SCI85" s="6"/>
      <c r="SCJ85" s="6"/>
      <c r="SCK85" s="6"/>
      <c r="SCL85" s="6"/>
      <c r="SCM85" s="6"/>
      <c r="SCN85" s="6"/>
      <c r="SCO85" s="6"/>
      <c r="SCP85" s="6"/>
      <c r="SCQ85" s="6"/>
      <c r="SCR85" s="6"/>
      <c r="SCS85" s="6"/>
      <c r="SCT85" s="6"/>
      <c r="SCU85" s="6"/>
      <c r="SCV85" s="6"/>
      <c r="SCW85" s="6"/>
      <c r="SCX85" s="6"/>
      <c r="SCY85" s="6"/>
      <c r="SCZ85" s="6"/>
      <c r="SDA85" s="6"/>
      <c r="SDB85" s="6"/>
      <c r="SDC85" s="6"/>
      <c r="SDD85" s="6"/>
      <c r="SDE85" s="6"/>
      <c r="SDF85" s="6"/>
      <c r="SDG85" s="6"/>
      <c r="SDH85" s="6"/>
      <c r="SDI85" s="6"/>
      <c r="SDJ85" s="6"/>
      <c r="SDK85" s="6"/>
      <c r="SDL85" s="6"/>
      <c r="SDM85" s="6"/>
      <c r="SDN85" s="6"/>
      <c r="SDO85" s="6"/>
      <c r="SDP85" s="6"/>
      <c r="SDQ85" s="6"/>
      <c r="SDR85" s="6"/>
      <c r="SDS85" s="6"/>
      <c r="SDT85" s="6"/>
      <c r="SDU85" s="6"/>
      <c r="SDV85" s="6"/>
      <c r="SDW85" s="6"/>
      <c r="SDX85" s="6"/>
      <c r="SDY85" s="6"/>
      <c r="SDZ85" s="6"/>
      <c r="SEA85" s="6"/>
      <c r="SEB85" s="6"/>
      <c r="SEC85" s="6"/>
      <c r="SED85" s="6"/>
      <c r="SEE85" s="6"/>
      <c r="SEF85" s="6"/>
      <c r="SEG85" s="6"/>
      <c r="SEH85" s="6"/>
      <c r="SEI85" s="6"/>
      <c r="SEJ85" s="6"/>
      <c r="SEK85" s="6"/>
      <c r="SEL85" s="6"/>
      <c r="SEM85" s="6"/>
      <c r="SEN85" s="6"/>
      <c r="SEO85" s="6"/>
      <c r="SEP85" s="6"/>
      <c r="SEQ85" s="6"/>
      <c r="SER85" s="6"/>
      <c r="SES85" s="6"/>
      <c r="SET85" s="6"/>
      <c r="SEU85" s="6"/>
      <c r="SEV85" s="6"/>
      <c r="SEW85" s="6"/>
      <c r="SEX85" s="6"/>
      <c r="SEY85" s="6"/>
      <c r="SEZ85" s="6"/>
      <c r="SFA85" s="6"/>
      <c r="SFB85" s="6"/>
      <c r="SFC85" s="6"/>
      <c r="SFD85" s="6"/>
      <c r="SFE85" s="6"/>
      <c r="SFF85" s="6"/>
      <c r="SFG85" s="6"/>
      <c r="SFH85" s="6"/>
      <c r="SFI85" s="6"/>
      <c r="SFJ85" s="6"/>
      <c r="SFK85" s="6"/>
      <c r="SFL85" s="6"/>
      <c r="SFM85" s="6"/>
      <c r="SFN85" s="6"/>
      <c r="SFO85" s="6"/>
      <c r="SFP85" s="6"/>
      <c r="SFQ85" s="6"/>
      <c r="SFR85" s="6"/>
      <c r="SFS85" s="6"/>
      <c r="SFT85" s="6"/>
      <c r="SFU85" s="6"/>
      <c r="SFV85" s="6"/>
      <c r="SFW85" s="6"/>
      <c r="SFX85" s="6"/>
      <c r="SFY85" s="6"/>
      <c r="SFZ85" s="6"/>
      <c r="SGA85" s="6"/>
      <c r="SGB85" s="6"/>
      <c r="SGC85" s="6"/>
      <c r="SGD85" s="6"/>
      <c r="SGE85" s="6"/>
      <c r="SGF85" s="6"/>
      <c r="SGG85" s="6"/>
      <c r="SGH85" s="6"/>
      <c r="SGI85" s="6"/>
      <c r="SGJ85" s="6"/>
      <c r="SGK85" s="6"/>
      <c r="SGL85" s="6"/>
      <c r="SGM85" s="6"/>
      <c r="SGN85" s="6"/>
      <c r="SGO85" s="6"/>
      <c r="SGP85" s="6"/>
      <c r="SGQ85" s="6"/>
      <c r="SGR85" s="6"/>
      <c r="SGS85" s="6"/>
      <c r="SGT85" s="6"/>
      <c r="SGU85" s="6"/>
      <c r="SGV85" s="6"/>
      <c r="SGW85" s="6"/>
      <c r="SGX85" s="6"/>
      <c r="SGY85" s="6"/>
      <c r="SGZ85" s="6"/>
      <c r="SHA85" s="6"/>
      <c r="SHB85" s="6"/>
      <c r="SHC85" s="6"/>
      <c r="SHD85" s="6"/>
      <c r="SHE85" s="6"/>
      <c r="SHF85" s="6"/>
      <c r="SHG85" s="6"/>
      <c r="SHH85" s="6"/>
      <c r="SHI85" s="6"/>
      <c r="SHJ85" s="6"/>
      <c r="SHK85" s="6"/>
      <c r="SHL85" s="6"/>
      <c r="SHM85" s="6"/>
      <c r="SHN85" s="6"/>
      <c r="SHO85" s="6"/>
      <c r="SHP85" s="6"/>
      <c r="SHQ85" s="6"/>
      <c r="SHR85" s="6"/>
      <c r="SHS85" s="6"/>
      <c r="SHT85" s="6"/>
      <c r="SHU85" s="6"/>
      <c r="SHV85" s="6"/>
      <c r="SHW85" s="6"/>
      <c r="SHX85" s="6"/>
      <c r="SHY85" s="6"/>
      <c r="SHZ85" s="6"/>
      <c r="SIA85" s="6"/>
      <c r="SIB85" s="6"/>
      <c r="SIC85" s="6"/>
      <c r="SID85" s="6"/>
      <c r="SIE85" s="6"/>
      <c r="SIF85" s="6"/>
      <c r="SIG85" s="6"/>
      <c r="SIH85" s="6"/>
      <c r="SII85" s="6"/>
      <c r="SIJ85" s="6"/>
      <c r="SIK85" s="6"/>
      <c r="SIL85" s="6"/>
      <c r="SIM85" s="6"/>
      <c r="SIN85" s="6"/>
      <c r="SIO85" s="6"/>
      <c r="SIP85" s="6"/>
      <c r="SIQ85" s="6"/>
      <c r="SIR85" s="6"/>
      <c r="SIS85" s="6"/>
      <c r="SIT85" s="6"/>
      <c r="SIU85" s="6"/>
      <c r="SIV85" s="6"/>
      <c r="SIW85" s="6"/>
      <c r="SIX85" s="6"/>
      <c r="SIY85" s="6"/>
      <c r="SIZ85" s="6"/>
      <c r="SJA85" s="6"/>
      <c r="SJB85" s="6"/>
      <c r="SJC85" s="6"/>
      <c r="SJD85" s="6"/>
      <c r="SJE85" s="6"/>
      <c r="SJF85" s="6"/>
      <c r="SJG85" s="6"/>
      <c r="SJH85" s="6"/>
      <c r="SJI85" s="6"/>
      <c r="SJJ85" s="6"/>
      <c r="SJK85" s="6"/>
      <c r="SJL85" s="6"/>
      <c r="SJM85" s="6"/>
      <c r="SJN85" s="6"/>
      <c r="SJO85" s="6"/>
      <c r="SJP85" s="6"/>
      <c r="SJQ85" s="6"/>
      <c r="SJR85" s="6"/>
      <c r="SJS85" s="6"/>
      <c r="SJT85" s="6"/>
      <c r="SJU85" s="6"/>
      <c r="SJV85" s="6"/>
      <c r="SJW85" s="6"/>
      <c r="SJX85" s="6"/>
      <c r="SJY85" s="6"/>
      <c r="SJZ85" s="6"/>
      <c r="SKA85" s="6"/>
      <c r="SKB85" s="6"/>
      <c r="SKC85" s="6"/>
      <c r="SKD85" s="6"/>
      <c r="SKE85" s="6"/>
      <c r="SKF85" s="6"/>
      <c r="SKG85" s="6"/>
      <c r="SKH85" s="6"/>
      <c r="SKI85" s="6"/>
      <c r="SKJ85" s="6"/>
      <c r="SKK85" s="6"/>
      <c r="SKL85" s="6"/>
      <c r="SKM85" s="6"/>
      <c r="SKN85" s="6"/>
      <c r="SKO85" s="6"/>
      <c r="SKP85" s="6"/>
      <c r="SKQ85" s="6"/>
      <c r="SKR85" s="6"/>
      <c r="SKS85" s="6"/>
      <c r="SKT85" s="6"/>
      <c r="SKU85" s="6"/>
      <c r="SKV85" s="6"/>
      <c r="SKW85" s="6"/>
      <c r="SKX85" s="6"/>
      <c r="SKY85" s="6"/>
      <c r="SKZ85" s="6"/>
      <c r="SLA85" s="6"/>
      <c r="SLB85" s="6"/>
      <c r="SLC85" s="6"/>
      <c r="SLD85" s="6"/>
      <c r="SLE85" s="6"/>
      <c r="SLF85" s="6"/>
      <c r="SLG85" s="6"/>
      <c r="SLH85" s="6"/>
      <c r="SLI85" s="6"/>
      <c r="SLJ85" s="6"/>
      <c r="SLK85" s="6"/>
      <c r="SLL85" s="6"/>
      <c r="SLM85" s="6"/>
      <c r="SLN85" s="6"/>
      <c r="SLO85" s="6"/>
      <c r="SLP85" s="6"/>
      <c r="SLQ85" s="6"/>
      <c r="SLR85" s="6"/>
      <c r="SLS85" s="6"/>
      <c r="SLT85" s="6"/>
      <c r="SLU85" s="6"/>
      <c r="SLV85" s="6"/>
      <c r="SLW85" s="6"/>
      <c r="SLX85" s="6"/>
      <c r="SLY85" s="6"/>
      <c r="SLZ85" s="6"/>
      <c r="SMA85" s="6"/>
      <c r="SMB85" s="6"/>
      <c r="SMC85" s="6"/>
      <c r="SMD85" s="6"/>
      <c r="SME85" s="6"/>
      <c r="SMF85" s="6"/>
      <c r="SMG85" s="6"/>
      <c r="SMH85" s="6"/>
      <c r="SMI85" s="6"/>
      <c r="SMJ85" s="6"/>
      <c r="SMK85" s="6"/>
      <c r="SML85" s="6"/>
      <c r="SMM85" s="6"/>
      <c r="SMN85" s="6"/>
      <c r="SMO85" s="6"/>
      <c r="SMP85" s="6"/>
      <c r="SMQ85" s="6"/>
      <c r="SMR85" s="6"/>
      <c r="SMS85" s="6"/>
      <c r="SMT85" s="6"/>
      <c r="SMU85" s="6"/>
      <c r="SMV85" s="6"/>
      <c r="SMW85" s="6"/>
      <c r="SMX85" s="6"/>
      <c r="SMY85" s="6"/>
      <c r="SMZ85" s="6"/>
      <c r="SNA85" s="6"/>
      <c r="SNB85" s="6"/>
      <c r="SNC85" s="6"/>
      <c r="SND85" s="6"/>
      <c r="SNE85" s="6"/>
      <c r="SNF85" s="6"/>
      <c r="SNG85" s="6"/>
      <c r="SNH85" s="6"/>
      <c r="SNI85" s="6"/>
      <c r="SNJ85" s="6"/>
      <c r="SNK85" s="6"/>
      <c r="SNL85" s="6"/>
      <c r="SNM85" s="6"/>
      <c r="SNN85" s="6"/>
      <c r="SNO85" s="6"/>
      <c r="SNP85" s="6"/>
      <c r="SNQ85" s="6"/>
      <c r="SNR85" s="6"/>
      <c r="SNS85" s="6"/>
      <c r="SNT85" s="6"/>
      <c r="SNU85" s="6"/>
      <c r="SNV85" s="6"/>
      <c r="SNW85" s="6"/>
      <c r="SNX85" s="6"/>
      <c r="SNY85" s="6"/>
      <c r="SNZ85" s="6"/>
      <c r="SOA85" s="6"/>
      <c r="SOB85" s="6"/>
      <c r="SOC85" s="6"/>
      <c r="SOD85" s="6"/>
      <c r="SOE85" s="6"/>
      <c r="SOF85" s="6"/>
      <c r="SOG85" s="6"/>
      <c r="SOH85" s="6"/>
      <c r="SOI85" s="6"/>
      <c r="SOJ85" s="6"/>
      <c r="SOK85" s="6"/>
      <c r="SOL85" s="6"/>
      <c r="SOM85" s="6"/>
      <c r="SON85" s="6"/>
      <c r="SOO85" s="6"/>
      <c r="SOP85" s="6"/>
      <c r="SOQ85" s="6"/>
      <c r="SOR85" s="6"/>
      <c r="SOS85" s="6"/>
      <c r="SOT85" s="6"/>
      <c r="SOU85" s="6"/>
      <c r="SOV85" s="6"/>
      <c r="SOW85" s="6"/>
      <c r="SOX85" s="6"/>
      <c r="SOY85" s="6"/>
      <c r="SOZ85" s="6"/>
      <c r="SPA85" s="6"/>
      <c r="SPB85" s="6"/>
      <c r="SPC85" s="6"/>
      <c r="SPD85" s="6"/>
      <c r="SPE85" s="6"/>
      <c r="SPF85" s="6"/>
      <c r="SPG85" s="6"/>
      <c r="SPH85" s="6"/>
      <c r="SPI85" s="6"/>
      <c r="SPJ85" s="6"/>
      <c r="SPK85" s="6"/>
      <c r="SPL85" s="6"/>
      <c r="SPM85" s="6"/>
      <c r="SPN85" s="6"/>
      <c r="SPO85" s="6"/>
      <c r="SPP85" s="6"/>
      <c r="SPQ85" s="6"/>
      <c r="SPR85" s="6"/>
      <c r="SPS85" s="6"/>
      <c r="SPT85" s="6"/>
      <c r="SPU85" s="6"/>
      <c r="SPV85" s="6"/>
      <c r="SPW85" s="6"/>
      <c r="SPX85" s="6"/>
      <c r="SPY85" s="6"/>
      <c r="SPZ85" s="6"/>
      <c r="SQA85" s="6"/>
      <c r="SQB85" s="6"/>
      <c r="SQC85" s="6"/>
      <c r="SQD85" s="6"/>
      <c r="SQE85" s="6"/>
      <c r="SQF85" s="6"/>
      <c r="SQG85" s="6"/>
      <c r="SQH85" s="6"/>
      <c r="SQI85" s="6"/>
      <c r="SQJ85" s="6"/>
      <c r="SQK85" s="6"/>
      <c r="SQL85" s="6"/>
      <c r="SQM85" s="6"/>
      <c r="SQN85" s="6"/>
      <c r="SQO85" s="6"/>
      <c r="SQP85" s="6"/>
      <c r="SQQ85" s="6"/>
      <c r="SQR85" s="6"/>
      <c r="SQS85" s="6"/>
      <c r="SQT85" s="6"/>
      <c r="SQU85" s="6"/>
      <c r="SQV85" s="6"/>
      <c r="SQW85" s="6"/>
      <c r="SQX85" s="6"/>
      <c r="SQY85" s="6"/>
      <c r="SQZ85" s="6"/>
      <c r="SRA85" s="6"/>
      <c r="SRB85" s="6"/>
      <c r="SRC85" s="6"/>
      <c r="SRD85" s="6"/>
      <c r="SRE85" s="6"/>
      <c r="SRF85" s="6"/>
      <c r="SRG85" s="6"/>
      <c r="SRH85" s="6"/>
      <c r="SRI85" s="6"/>
      <c r="SRJ85" s="6"/>
      <c r="SRK85" s="6"/>
      <c r="SRL85" s="6"/>
      <c r="SRM85" s="6"/>
      <c r="SRN85" s="6"/>
      <c r="SRO85" s="6"/>
      <c r="SRP85" s="6"/>
      <c r="SRQ85" s="6"/>
      <c r="SRR85" s="6"/>
      <c r="SRS85" s="6"/>
      <c r="SRT85" s="6"/>
      <c r="SRU85" s="6"/>
      <c r="SRV85" s="6"/>
      <c r="SRW85" s="6"/>
      <c r="SRX85" s="6"/>
      <c r="SRY85" s="6"/>
      <c r="SRZ85" s="6"/>
      <c r="SSA85" s="6"/>
      <c r="SSB85" s="6"/>
      <c r="SSC85" s="6"/>
      <c r="SSD85" s="6"/>
      <c r="SSE85" s="6"/>
      <c r="SSF85" s="6"/>
      <c r="SSG85" s="6"/>
      <c r="SSH85" s="6"/>
      <c r="SSI85" s="6"/>
      <c r="SSJ85" s="6"/>
      <c r="SSK85" s="6"/>
      <c r="SSL85" s="6"/>
      <c r="SSM85" s="6"/>
      <c r="SSN85" s="6"/>
      <c r="SSO85" s="6"/>
      <c r="SSP85" s="6"/>
      <c r="SSQ85" s="6"/>
      <c r="SSR85" s="6"/>
      <c r="SSS85" s="6"/>
      <c r="SST85" s="6"/>
      <c r="SSU85" s="6"/>
      <c r="SSV85" s="6"/>
      <c r="SSW85" s="6"/>
      <c r="SSX85" s="6"/>
      <c r="SSY85" s="6"/>
      <c r="SSZ85" s="6"/>
      <c r="STA85" s="6"/>
      <c r="STB85" s="6"/>
      <c r="STC85" s="6"/>
      <c r="STD85" s="6"/>
      <c r="STE85" s="6"/>
      <c r="STF85" s="6"/>
      <c r="STG85" s="6"/>
      <c r="STH85" s="6"/>
      <c r="STI85" s="6"/>
      <c r="STJ85" s="6"/>
      <c r="STK85" s="6"/>
      <c r="STL85" s="6"/>
      <c r="STM85" s="6"/>
      <c r="STN85" s="6"/>
      <c r="STO85" s="6"/>
      <c r="STP85" s="6"/>
      <c r="STQ85" s="6"/>
      <c r="STR85" s="6"/>
      <c r="STS85" s="6"/>
      <c r="STT85" s="6"/>
      <c r="STU85" s="6"/>
      <c r="STV85" s="6"/>
      <c r="STW85" s="6"/>
      <c r="STX85" s="6"/>
      <c r="STY85" s="6"/>
      <c r="STZ85" s="6"/>
      <c r="SUA85" s="6"/>
      <c r="SUB85" s="6"/>
      <c r="SUC85" s="6"/>
      <c r="SUD85" s="6"/>
      <c r="SUE85" s="6"/>
      <c r="SUF85" s="6"/>
      <c r="SUG85" s="6"/>
      <c r="SUH85" s="6"/>
      <c r="SUI85" s="6"/>
      <c r="SUJ85" s="6"/>
      <c r="SUK85" s="6"/>
      <c r="SUL85" s="6"/>
      <c r="SUM85" s="6"/>
      <c r="SUN85" s="6"/>
      <c r="SUO85" s="6"/>
      <c r="SUP85" s="6"/>
      <c r="SUQ85" s="6"/>
      <c r="SUR85" s="6"/>
      <c r="SUS85" s="6"/>
      <c r="SUT85" s="6"/>
      <c r="SUU85" s="6"/>
      <c r="SUV85" s="6"/>
      <c r="SUW85" s="6"/>
      <c r="SUX85" s="6"/>
      <c r="SUY85" s="6"/>
      <c r="SUZ85" s="6"/>
      <c r="SVA85" s="6"/>
      <c r="SVB85" s="6"/>
      <c r="SVC85" s="6"/>
      <c r="SVD85" s="6"/>
      <c r="SVE85" s="6"/>
      <c r="SVF85" s="6"/>
      <c r="SVG85" s="6"/>
      <c r="SVH85" s="6"/>
      <c r="SVI85" s="6"/>
      <c r="SVJ85" s="6"/>
      <c r="SVK85" s="6"/>
      <c r="SVL85" s="6"/>
      <c r="SVM85" s="6"/>
      <c r="SVN85" s="6"/>
      <c r="SVO85" s="6"/>
      <c r="SVP85" s="6"/>
      <c r="SVQ85" s="6"/>
      <c r="SVR85" s="6"/>
      <c r="SVS85" s="6"/>
      <c r="SVT85" s="6"/>
      <c r="SVU85" s="6"/>
      <c r="SVV85" s="6"/>
      <c r="SVW85" s="6"/>
      <c r="SVX85" s="6"/>
      <c r="SVY85" s="6"/>
      <c r="SVZ85" s="6"/>
      <c r="SWA85" s="6"/>
      <c r="SWB85" s="6"/>
      <c r="SWC85" s="6"/>
      <c r="SWD85" s="6"/>
      <c r="SWE85" s="6"/>
      <c r="SWF85" s="6"/>
      <c r="SWG85" s="6"/>
      <c r="SWH85" s="6"/>
      <c r="SWI85" s="6"/>
      <c r="SWJ85" s="6"/>
      <c r="SWK85" s="6"/>
      <c r="SWL85" s="6"/>
      <c r="SWM85" s="6"/>
      <c r="SWN85" s="6"/>
      <c r="SWO85" s="6"/>
      <c r="SWP85" s="6"/>
      <c r="SWQ85" s="6"/>
      <c r="SWR85" s="6"/>
      <c r="SWS85" s="6"/>
      <c r="SWT85" s="6"/>
      <c r="SWU85" s="6"/>
      <c r="SWV85" s="6"/>
      <c r="SWW85" s="6"/>
      <c r="SWX85" s="6"/>
      <c r="SWY85" s="6"/>
      <c r="SWZ85" s="6"/>
      <c r="SXA85" s="6"/>
      <c r="SXB85" s="6"/>
      <c r="SXC85" s="6"/>
      <c r="SXD85" s="6"/>
      <c r="SXE85" s="6"/>
      <c r="SXF85" s="6"/>
      <c r="SXG85" s="6"/>
      <c r="SXH85" s="6"/>
      <c r="SXI85" s="6"/>
      <c r="SXJ85" s="6"/>
      <c r="SXK85" s="6"/>
      <c r="SXL85" s="6"/>
      <c r="SXM85" s="6"/>
      <c r="SXN85" s="6"/>
      <c r="SXO85" s="6"/>
      <c r="SXP85" s="6"/>
      <c r="SXQ85" s="6"/>
      <c r="SXR85" s="6"/>
      <c r="SXS85" s="6"/>
      <c r="SXT85" s="6"/>
      <c r="SXU85" s="6"/>
      <c r="SXV85" s="6"/>
      <c r="SXW85" s="6"/>
      <c r="SXX85" s="6"/>
      <c r="SXY85" s="6"/>
      <c r="SXZ85" s="6"/>
      <c r="SYA85" s="6"/>
      <c r="SYB85" s="6"/>
      <c r="SYC85" s="6"/>
      <c r="SYD85" s="6"/>
      <c r="SYE85" s="6"/>
      <c r="SYF85" s="6"/>
      <c r="SYG85" s="6"/>
      <c r="SYH85" s="6"/>
      <c r="SYI85" s="6"/>
      <c r="SYJ85" s="6"/>
      <c r="SYK85" s="6"/>
      <c r="SYL85" s="6"/>
      <c r="SYM85" s="6"/>
      <c r="SYN85" s="6"/>
      <c r="SYO85" s="6"/>
      <c r="SYP85" s="6"/>
      <c r="SYQ85" s="6"/>
      <c r="SYR85" s="6"/>
      <c r="SYS85" s="6"/>
      <c r="SYT85" s="6"/>
      <c r="SYU85" s="6"/>
      <c r="SYV85" s="6"/>
      <c r="SYW85" s="6"/>
      <c r="SYX85" s="6"/>
      <c r="SYY85" s="6"/>
      <c r="SYZ85" s="6"/>
      <c r="SZA85" s="6"/>
      <c r="SZB85" s="6"/>
      <c r="SZC85" s="6"/>
      <c r="SZD85" s="6"/>
      <c r="SZE85" s="6"/>
      <c r="SZF85" s="6"/>
      <c r="SZG85" s="6"/>
      <c r="SZH85" s="6"/>
      <c r="SZI85" s="6"/>
      <c r="SZJ85" s="6"/>
      <c r="SZK85" s="6"/>
      <c r="SZL85" s="6"/>
      <c r="SZM85" s="6"/>
      <c r="SZN85" s="6"/>
      <c r="SZO85" s="6"/>
      <c r="SZP85" s="6"/>
      <c r="SZQ85" s="6"/>
      <c r="SZR85" s="6"/>
      <c r="SZS85" s="6"/>
      <c r="SZT85" s="6"/>
      <c r="SZU85" s="6"/>
      <c r="SZV85" s="6"/>
      <c r="SZW85" s="6"/>
      <c r="SZX85" s="6"/>
      <c r="SZY85" s="6"/>
      <c r="SZZ85" s="6"/>
      <c r="TAA85" s="6"/>
      <c r="TAB85" s="6"/>
      <c r="TAC85" s="6"/>
      <c r="TAD85" s="6"/>
      <c r="TAE85" s="6"/>
      <c r="TAF85" s="6"/>
      <c r="TAG85" s="6"/>
      <c r="TAH85" s="6"/>
      <c r="TAI85" s="6"/>
      <c r="TAJ85" s="6"/>
      <c r="TAK85" s="6"/>
      <c r="TAL85" s="6"/>
      <c r="TAM85" s="6"/>
      <c r="TAN85" s="6"/>
      <c r="TAO85" s="6"/>
      <c r="TAP85" s="6"/>
      <c r="TAQ85" s="6"/>
      <c r="TAR85" s="6"/>
      <c r="TAS85" s="6"/>
      <c r="TAT85" s="6"/>
      <c r="TAU85" s="6"/>
      <c r="TAV85" s="6"/>
      <c r="TAW85" s="6"/>
      <c r="TAX85" s="6"/>
      <c r="TAY85" s="6"/>
      <c r="TAZ85" s="6"/>
      <c r="TBA85" s="6"/>
      <c r="TBB85" s="6"/>
      <c r="TBC85" s="6"/>
      <c r="TBD85" s="6"/>
      <c r="TBE85" s="6"/>
      <c r="TBF85" s="6"/>
      <c r="TBG85" s="6"/>
      <c r="TBH85" s="6"/>
      <c r="TBI85" s="6"/>
      <c r="TBJ85" s="6"/>
      <c r="TBK85" s="6"/>
      <c r="TBL85" s="6"/>
      <c r="TBM85" s="6"/>
      <c r="TBN85" s="6"/>
      <c r="TBO85" s="6"/>
      <c r="TBP85" s="6"/>
      <c r="TBQ85" s="6"/>
      <c r="TBR85" s="6"/>
      <c r="TBS85" s="6"/>
      <c r="TBT85" s="6"/>
      <c r="TBU85" s="6"/>
      <c r="TBV85" s="6"/>
      <c r="TBW85" s="6"/>
      <c r="TBX85" s="6"/>
      <c r="TBY85" s="6"/>
      <c r="TBZ85" s="6"/>
      <c r="TCA85" s="6"/>
      <c r="TCB85" s="6"/>
      <c r="TCC85" s="6"/>
      <c r="TCD85" s="6"/>
      <c r="TCE85" s="6"/>
      <c r="TCF85" s="6"/>
      <c r="TCG85" s="6"/>
      <c r="TCH85" s="6"/>
      <c r="TCI85" s="6"/>
      <c r="TCJ85" s="6"/>
      <c r="TCK85" s="6"/>
      <c r="TCL85" s="6"/>
      <c r="TCM85" s="6"/>
      <c r="TCN85" s="6"/>
      <c r="TCO85" s="6"/>
      <c r="TCP85" s="6"/>
      <c r="TCQ85" s="6"/>
      <c r="TCR85" s="6"/>
      <c r="TCS85" s="6"/>
      <c r="TCT85" s="6"/>
      <c r="TCU85" s="6"/>
      <c r="TCV85" s="6"/>
      <c r="TCW85" s="6"/>
      <c r="TCX85" s="6"/>
      <c r="TCY85" s="6"/>
      <c r="TCZ85" s="6"/>
      <c r="TDA85" s="6"/>
      <c r="TDB85" s="6"/>
      <c r="TDC85" s="6"/>
      <c r="TDD85" s="6"/>
      <c r="TDE85" s="6"/>
      <c r="TDF85" s="6"/>
      <c r="TDG85" s="6"/>
      <c r="TDH85" s="6"/>
      <c r="TDI85" s="6"/>
      <c r="TDJ85" s="6"/>
      <c r="TDK85" s="6"/>
      <c r="TDL85" s="6"/>
      <c r="TDM85" s="6"/>
      <c r="TDN85" s="6"/>
      <c r="TDO85" s="6"/>
      <c r="TDP85" s="6"/>
      <c r="TDQ85" s="6"/>
      <c r="TDR85" s="6"/>
      <c r="TDS85" s="6"/>
      <c r="TDT85" s="6"/>
      <c r="TDU85" s="6"/>
      <c r="TDV85" s="6"/>
      <c r="TDW85" s="6"/>
      <c r="TDX85" s="6"/>
      <c r="TDY85" s="6"/>
      <c r="TDZ85" s="6"/>
      <c r="TEA85" s="6"/>
      <c r="TEB85" s="6"/>
      <c r="TEC85" s="6"/>
      <c r="TED85" s="6"/>
      <c r="TEE85" s="6"/>
      <c r="TEF85" s="6"/>
      <c r="TEG85" s="6"/>
      <c r="TEH85" s="6"/>
      <c r="TEI85" s="6"/>
      <c r="TEJ85" s="6"/>
      <c r="TEK85" s="6"/>
      <c r="TEL85" s="6"/>
      <c r="TEM85" s="6"/>
      <c r="TEN85" s="6"/>
      <c r="TEO85" s="6"/>
      <c r="TEP85" s="6"/>
      <c r="TEQ85" s="6"/>
      <c r="TER85" s="6"/>
      <c r="TES85" s="6"/>
      <c r="TET85" s="6"/>
      <c r="TEU85" s="6"/>
      <c r="TEV85" s="6"/>
      <c r="TEW85" s="6"/>
      <c r="TEX85" s="6"/>
      <c r="TEY85" s="6"/>
      <c r="TEZ85" s="6"/>
      <c r="TFA85" s="6"/>
      <c r="TFB85" s="6"/>
      <c r="TFC85" s="6"/>
      <c r="TFD85" s="6"/>
      <c r="TFE85" s="6"/>
      <c r="TFF85" s="6"/>
      <c r="TFG85" s="6"/>
      <c r="TFH85" s="6"/>
      <c r="TFI85" s="6"/>
      <c r="TFJ85" s="6"/>
      <c r="TFK85" s="6"/>
      <c r="TFL85" s="6"/>
      <c r="TFM85" s="6"/>
      <c r="TFN85" s="6"/>
      <c r="TFO85" s="6"/>
      <c r="TFP85" s="6"/>
      <c r="TFQ85" s="6"/>
      <c r="TFR85" s="6"/>
      <c r="TFS85" s="6"/>
      <c r="TFT85" s="6"/>
      <c r="TFU85" s="6"/>
      <c r="TFV85" s="6"/>
      <c r="TFW85" s="6"/>
      <c r="TFX85" s="6"/>
      <c r="TFY85" s="6"/>
      <c r="TFZ85" s="6"/>
      <c r="TGA85" s="6"/>
      <c r="TGB85" s="6"/>
      <c r="TGC85" s="6"/>
      <c r="TGD85" s="6"/>
      <c r="TGE85" s="6"/>
      <c r="TGF85" s="6"/>
      <c r="TGG85" s="6"/>
      <c r="TGH85" s="6"/>
      <c r="TGI85" s="6"/>
      <c r="TGJ85" s="6"/>
      <c r="TGK85" s="6"/>
      <c r="TGL85" s="6"/>
      <c r="TGM85" s="6"/>
      <c r="TGN85" s="6"/>
      <c r="TGO85" s="6"/>
      <c r="TGP85" s="6"/>
      <c r="TGQ85" s="6"/>
      <c r="TGR85" s="6"/>
      <c r="TGS85" s="6"/>
      <c r="TGT85" s="6"/>
      <c r="TGU85" s="6"/>
      <c r="TGV85" s="6"/>
      <c r="TGW85" s="6"/>
      <c r="TGX85" s="6"/>
      <c r="TGY85" s="6"/>
      <c r="TGZ85" s="6"/>
      <c r="THA85" s="6"/>
      <c r="THB85" s="6"/>
      <c r="THC85" s="6"/>
      <c r="THD85" s="6"/>
      <c r="THE85" s="6"/>
      <c r="THF85" s="6"/>
      <c r="THG85" s="6"/>
      <c r="THH85" s="6"/>
      <c r="THI85" s="6"/>
      <c r="THJ85" s="6"/>
      <c r="THK85" s="6"/>
      <c r="THL85" s="6"/>
      <c r="THM85" s="6"/>
      <c r="THN85" s="6"/>
      <c r="THO85" s="6"/>
      <c r="THP85" s="6"/>
      <c r="THQ85" s="6"/>
      <c r="THR85" s="6"/>
      <c r="THS85" s="6"/>
      <c r="THT85" s="6"/>
      <c r="THU85" s="6"/>
      <c r="THV85" s="6"/>
      <c r="THW85" s="6"/>
      <c r="THX85" s="6"/>
      <c r="THY85" s="6"/>
      <c r="THZ85" s="6"/>
      <c r="TIA85" s="6"/>
      <c r="TIB85" s="6"/>
      <c r="TIC85" s="6"/>
      <c r="TID85" s="6"/>
      <c r="TIE85" s="6"/>
      <c r="TIF85" s="6"/>
      <c r="TIG85" s="6"/>
      <c r="TIH85" s="6"/>
      <c r="TII85" s="6"/>
      <c r="TIJ85" s="6"/>
      <c r="TIK85" s="6"/>
      <c r="TIL85" s="6"/>
      <c r="TIM85" s="6"/>
      <c r="TIN85" s="6"/>
      <c r="TIO85" s="6"/>
      <c r="TIP85" s="6"/>
      <c r="TIQ85" s="6"/>
      <c r="TIR85" s="6"/>
      <c r="TIS85" s="6"/>
      <c r="TIT85" s="6"/>
      <c r="TIU85" s="6"/>
      <c r="TIV85" s="6"/>
      <c r="TIW85" s="6"/>
      <c r="TIX85" s="6"/>
      <c r="TIY85" s="6"/>
      <c r="TIZ85" s="6"/>
      <c r="TJA85" s="6"/>
      <c r="TJB85" s="6"/>
      <c r="TJC85" s="6"/>
      <c r="TJD85" s="6"/>
      <c r="TJE85" s="6"/>
      <c r="TJF85" s="6"/>
      <c r="TJG85" s="6"/>
      <c r="TJH85" s="6"/>
      <c r="TJI85" s="6"/>
      <c r="TJJ85" s="6"/>
      <c r="TJK85" s="6"/>
      <c r="TJL85" s="6"/>
      <c r="TJM85" s="6"/>
      <c r="TJN85" s="6"/>
      <c r="TJO85" s="6"/>
      <c r="TJP85" s="6"/>
      <c r="TJQ85" s="6"/>
      <c r="TJR85" s="6"/>
      <c r="TJS85" s="6"/>
      <c r="TJT85" s="6"/>
      <c r="TJU85" s="6"/>
      <c r="TJV85" s="6"/>
      <c r="TJW85" s="6"/>
      <c r="TJX85" s="6"/>
      <c r="TJY85" s="6"/>
      <c r="TJZ85" s="6"/>
      <c r="TKA85" s="6"/>
      <c r="TKB85" s="6"/>
      <c r="TKC85" s="6"/>
      <c r="TKD85" s="6"/>
      <c r="TKE85" s="6"/>
      <c r="TKF85" s="6"/>
      <c r="TKG85" s="6"/>
      <c r="TKH85" s="6"/>
      <c r="TKI85" s="6"/>
      <c r="TKJ85" s="6"/>
      <c r="TKK85" s="6"/>
      <c r="TKL85" s="6"/>
      <c r="TKM85" s="6"/>
      <c r="TKN85" s="6"/>
      <c r="TKO85" s="6"/>
      <c r="TKP85" s="6"/>
      <c r="TKQ85" s="6"/>
      <c r="TKR85" s="6"/>
      <c r="TKS85" s="6"/>
      <c r="TKT85" s="6"/>
      <c r="TKU85" s="6"/>
      <c r="TKV85" s="6"/>
      <c r="TKW85" s="6"/>
      <c r="TKX85" s="6"/>
      <c r="TKY85" s="6"/>
      <c r="TKZ85" s="6"/>
      <c r="TLA85" s="6"/>
      <c r="TLB85" s="6"/>
      <c r="TLC85" s="6"/>
      <c r="TLD85" s="6"/>
      <c r="TLE85" s="6"/>
      <c r="TLF85" s="6"/>
      <c r="TLG85" s="6"/>
      <c r="TLH85" s="6"/>
      <c r="TLI85" s="6"/>
      <c r="TLJ85" s="6"/>
      <c r="TLK85" s="6"/>
      <c r="TLL85" s="6"/>
      <c r="TLM85" s="6"/>
      <c r="TLN85" s="6"/>
      <c r="TLO85" s="6"/>
      <c r="TLP85" s="6"/>
      <c r="TLQ85" s="6"/>
      <c r="TLR85" s="6"/>
      <c r="TLS85" s="6"/>
      <c r="TLT85" s="6"/>
      <c r="TLU85" s="6"/>
      <c r="TLV85" s="6"/>
      <c r="TLW85" s="6"/>
      <c r="TLX85" s="6"/>
      <c r="TLY85" s="6"/>
      <c r="TLZ85" s="6"/>
      <c r="TMA85" s="6"/>
      <c r="TMB85" s="6"/>
      <c r="TMC85" s="6"/>
      <c r="TMD85" s="6"/>
      <c r="TME85" s="6"/>
      <c r="TMF85" s="6"/>
      <c r="TMG85" s="6"/>
      <c r="TMH85" s="6"/>
      <c r="TMI85" s="6"/>
      <c r="TMJ85" s="6"/>
      <c r="TMK85" s="6"/>
      <c r="TML85" s="6"/>
      <c r="TMM85" s="6"/>
      <c r="TMN85" s="6"/>
      <c r="TMO85" s="6"/>
      <c r="TMP85" s="6"/>
      <c r="TMQ85" s="6"/>
      <c r="TMR85" s="6"/>
      <c r="TMS85" s="6"/>
      <c r="TMT85" s="6"/>
      <c r="TMU85" s="6"/>
      <c r="TMV85" s="6"/>
      <c r="TMW85" s="6"/>
      <c r="TMX85" s="6"/>
      <c r="TMY85" s="6"/>
      <c r="TMZ85" s="6"/>
      <c r="TNA85" s="6"/>
      <c r="TNB85" s="6"/>
      <c r="TNC85" s="6"/>
      <c r="TND85" s="6"/>
      <c r="TNE85" s="6"/>
      <c r="TNF85" s="6"/>
      <c r="TNG85" s="6"/>
      <c r="TNH85" s="6"/>
      <c r="TNI85" s="6"/>
      <c r="TNJ85" s="6"/>
      <c r="TNK85" s="6"/>
      <c r="TNL85" s="6"/>
      <c r="TNM85" s="6"/>
      <c r="TNN85" s="6"/>
      <c r="TNO85" s="6"/>
      <c r="TNP85" s="6"/>
      <c r="TNQ85" s="6"/>
      <c r="TNR85" s="6"/>
      <c r="TNS85" s="6"/>
      <c r="TNT85" s="6"/>
      <c r="TNU85" s="6"/>
      <c r="TNV85" s="6"/>
      <c r="TNW85" s="6"/>
      <c r="TNX85" s="6"/>
      <c r="TNY85" s="6"/>
      <c r="TNZ85" s="6"/>
      <c r="TOA85" s="6"/>
      <c r="TOB85" s="6"/>
      <c r="TOC85" s="6"/>
      <c r="TOD85" s="6"/>
      <c r="TOE85" s="6"/>
      <c r="TOF85" s="6"/>
      <c r="TOG85" s="6"/>
      <c r="TOH85" s="6"/>
      <c r="TOI85" s="6"/>
      <c r="TOJ85" s="6"/>
      <c r="TOK85" s="6"/>
      <c r="TOL85" s="6"/>
      <c r="TOM85" s="6"/>
      <c r="TON85" s="6"/>
      <c r="TOO85" s="6"/>
      <c r="TOP85" s="6"/>
      <c r="TOQ85" s="6"/>
      <c r="TOR85" s="6"/>
      <c r="TOS85" s="6"/>
      <c r="TOT85" s="6"/>
      <c r="TOU85" s="6"/>
      <c r="TOV85" s="6"/>
      <c r="TOW85" s="6"/>
      <c r="TOX85" s="6"/>
      <c r="TOY85" s="6"/>
      <c r="TOZ85" s="6"/>
      <c r="TPA85" s="6"/>
      <c r="TPB85" s="6"/>
      <c r="TPC85" s="6"/>
      <c r="TPD85" s="6"/>
      <c r="TPE85" s="6"/>
      <c r="TPF85" s="6"/>
      <c r="TPG85" s="6"/>
      <c r="TPH85" s="6"/>
      <c r="TPI85" s="6"/>
      <c r="TPJ85" s="6"/>
      <c r="TPK85" s="6"/>
      <c r="TPL85" s="6"/>
      <c r="TPM85" s="6"/>
      <c r="TPN85" s="6"/>
      <c r="TPO85" s="6"/>
      <c r="TPP85" s="6"/>
      <c r="TPQ85" s="6"/>
      <c r="TPR85" s="6"/>
      <c r="TPS85" s="6"/>
      <c r="TPT85" s="6"/>
      <c r="TPU85" s="6"/>
      <c r="TPV85" s="6"/>
      <c r="TPW85" s="6"/>
      <c r="TPX85" s="6"/>
      <c r="TPY85" s="6"/>
      <c r="TPZ85" s="6"/>
      <c r="TQA85" s="6"/>
      <c r="TQB85" s="6"/>
      <c r="TQC85" s="6"/>
      <c r="TQD85" s="6"/>
      <c r="TQE85" s="6"/>
      <c r="TQF85" s="6"/>
      <c r="TQG85" s="6"/>
      <c r="TQH85" s="6"/>
      <c r="TQI85" s="6"/>
      <c r="TQJ85" s="6"/>
      <c r="TQK85" s="6"/>
      <c r="TQL85" s="6"/>
      <c r="TQM85" s="6"/>
      <c r="TQN85" s="6"/>
      <c r="TQO85" s="6"/>
      <c r="TQP85" s="6"/>
      <c r="TQQ85" s="6"/>
      <c r="TQR85" s="6"/>
      <c r="TQS85" s="6"/>
      <c r="TQT85" s="6"/>
      <c r="TQU85" s="6"/>
      <c r="TQV85" s="6"/>
      <c r="TQW85" s="6"/>
      <c r="TQX85" s="6"/>
      <c r="TQY85" s="6"/>
      <c r="TQZ85" s="6"/>
      <c r="TRA85" s="6"/>
      <c r="TRB85" s="6"/>
      <c r="TRC85" s="6"/>
      <c r="TRD85" s="6"/>
      <c r="TRE85" s="6"/>
      <c r="TRF85" s="6"/>
      <c r="TRG85" s="6"/>
      <c r="TRH85" s="6"/>
      <c r="TRI85" s="6"/>
      <c r="TRJ85" s="6"/>
      <c r="TRK85" s="6"/>
      <c r="TRL85" s="6"/>
      <c r="TRM85" s="6"/>
      <c r="TRN85" s="6"/>
      <c r="TRO85" s="6"/>
      <c r="TRP85" s="6"/>
      <c r="TRQ85" s="6"/>
      <c r="TRR85" s="6"/>
      <c r="TRS85" s="6"/>
      <c r="TRT85" s="6"/>
      <c r="TRU85" s="6"/>
      <c r="TRV85" s="6"/>
      <c r="TRW85" s="6"/>
      <c r="TRX85" s="6"/>
      <c r="TRY85" s="6"/>
      <c r="TRZ85" s="6"/>
      <c r="TSA85" s="6"/>
      <c r="TSB85" s="6"/>
      <c r="TSC85" s="6"/>
      <c r="TSD85" s="6"/>
      <c r="TSE85" s="6"/>
      <c r="TSF85" s="6"/>
      <c r="TSG85" s="6"/>
      <c r="TSH85" s="6"/>
      <c r="TSI85" s="6"/>
      <c r="TSJ85" s="6"/>
      <c r="TSK85" s="6"/>
      <c r="TSL85" s="6"/>
      <c r="TSM85" s="6"/>
      <c r="TSN85" s="6"/>
      <c r="TSO85" s="6"/>
      <c r="TSP85" s="6"/>
      <c r="TSQ85" s="6"/>
      <c r="TSR85" s="6"/>
      <c r="TSS85" s="6"/>
      <c r="TST85" s="6"/>
      <c r="TSU85" s="6"/>
      <c r="TSV85" s="6"/>
      <c r="TSW85" s="6"/>
      <c r="TSX85" s="6"/>
      <c r="TSY85" s="6"/>
      <c r="TSZ85" s="6"/>
      <c r="TTA85" s="6"/>
      <c r="TTB85" s="6"/>
      <c r="TTC85" s="6"/>
      <c r="TTD85" s="6"/>
      <c r="TTE85" s="6"/>
      <c r="TTF85" s="6"/>
      <c r="TTG85" s="6"/>
      <c r="TTH85" s="6"/>
      <c r="TTI85" s="6"/>
      <c r="TTJ85" s="6"/>
      <c r="TTK85" s="6"/>
      <c r="TTL85" s="6"/>
      <c r="TTM85" s="6"/>
      <c r="TTN85" s="6"/>
      <c r="TTO85" s="6"/>
      <c r="TTP85" s="6"/>
      <c r="TTQ85" s="6"/>
      <c r="TTR85" s="6"/>
      <c r="TTS85" s="6"/>
      <c r="TTT85" s="6"/>
      <c r="TTU85" s="6"/>
      <c r="TTV85" s="6"/>
      <c r="TTW85" s="6"/>
      <c r="TTX85" s="6"/>
      <c r="TTY85" s="6"/>
      <c r="TTZ85" s="6"/>
      <c r="TUA85" s="6"/>
      <c r="TUB85" s="6"/>
      <c r="TUC85" s="6"/>
      <c r="TUD85" s="6"/>
      <c r="TUE85" s="6"/>
      <c r="TUF85" s="6"/>
      <c r="TUG85" s="6"/>
      <c r="TUH85" s="6"/>
      <c r="TUI85" s="6"/>
      <c r="TUJ85" s="6"/>
      <c r="TUK85" s="6"/>
      <c r="TUL85" s="6"/>
      <c r="TUM85" s="6"/>
      <c r="TUN85" s="6"/>
      <c r="TUO85" s="6"/>
      <c r="TUP85" s="6"/>
      <c r="TUQ85" s="6"/>
      <c r="TUR85" s="6"/>
      <c r="TUS85" s="6"/>
      <c r="TUT85" s="6"/>
      <c r="TUU85" s="6"/>
      <c r="TUV85" s="6"/>
      <c r="TUW85" s="6"/>
      <c r="TUX85" s="6"/>
      <c r="TUY85" s="6"/>
      <c r="TUZ85" s="6"/>
      <c r="TVA85" s="6"/>
      <c r="TVB85" s="6"/>
      <c r="TVC85" s="6"/>
      <c r="TVD85" s="6"/>
      <c r="TVE85" s="6"/>
      <c r="TVF85" s="6"/>
      <c r="TVG85" s="6"/>
      <c r="TVH85" s="6"/>
      <c r="TVI85" s="6"/>
      <c r="TVJ85" s="6"/>
      <c r="TVK85" s="6"/>
      <c r="TVL85" s="6"/>
      <c r="TVM85" s="6"/>
      <c r="TVN85" s="6"/>
      <c r="TVO85" s="6"/>
      <c r="TVP85" s="6"/>
      <c r="TVQ85" s="6"/>
      <c r="TVR85" s="6"/>
      <c r="TVS85" s="6"/>
      <c r="TVT85" s="6"/>
      <c r="TVU85" s="6"/>
      <c r="TVV85" s="6"/>
      <c r="TVW85" s="6"/>
      <c r="TVX85" s="6"/>
      <c r="TVY85" s="6"/>
      <c r="TVZ85" s="6"/>
      <c r="TWA85" s="6"/>
      <c r="TWB85" s="6"/>
      <c r="TWC85" s="6"/>
      <c r="TWD85" s="6"/>
      <c r="TWE85" s="6"/>
      <c r="TWF85" s="6"/>
      <c r="TWG85" s="6"/>
      <c r="TWH85" s="6"/>
      <c r="TWI85" s="6"/>
      <c r="TWJ85" s="6"/>
      <c r="TWK85" s="6"/>
      <c r="TWL85" s="6"/>
      <c r="TWM85" s="6"/>
      <c r="TWN85" s="6"/>
      <c r="TWO85" s="6"/>
      <c r="TWP85" s="6"/>
      <c r="TWQ85" s="6"/>
      <c r="TWR85" s="6"/>
      <c r="TWS85" s="6"/>
      <c r="TWT85" s="6"/>
      <c r="TWU85" s="6"/>
      <c r="TWV85" s="6"/>
      <c r="TWW85" s="6"/>
      <c r="TWX85" s="6"/>
      <c r="TWY85" s="6"/>
      <c r="TWZ85" s="6"/>
      <c r="TXA85" s="6"/>
      <c r="TXB85" s="6"/>
      <c r="TXC85" s="6"/>
      <c r="TXD85" s="6"/>
      <c r="TXE85" s="6"/>
      <c r="TXF85" s="6"/>
      <c r="TXG85" s="6"/>
      <c r="TXH85" s="6"/>
      <c r="TXI85" s="6"/>
      <c r="TXJ85" s="6"/>
      <c r="TXK85" s="6"/>
      <c r="TXL85" s="6"/>
      <c r="TXM85" s="6"/>
      <c r="TXN85" s="6"/>
      <c r="TXO85" s="6"/>
      <c r="TXP85" s="6"/>
      <c r="TXQ85" s="6"/>
      <c r="TXR85" s="6"/>
      <c r="TXS85" s="6"/>
      <c r="TXT85" s="6"/>
      <c r="TXU85" s="6"/>
      <c r="TXV85" s="6"/>
      <c r="TXW85" s="6"/>
      <c r="TXX85" s="6"/>
      <c r="TXY85" s="6"/>
      <c r="TXZ85" s="6"/>
      <c r="TYA85" s="6"/>
      <c r="TYB85" s="6"/>
      <c r="TYC85" s="6"/>
      <c r="TYD85" s="6"/>
      <c r="TYE85" s="6"/>
      <c r="TYF85" s="6"/>
      <c r="TYG85" s="6"/>
      <c r="TYH85" s="6"/>
      <c r="TYI85" s="6"/>
      <c r="TYJ85" s="6"/>
      <c r="TYK85" s="6"/>
      <c r="TYL85" s="6"/>
      <c r="TYM85" s="6"/>
      <c r="TYN85" s="6"/>
      <c r="TYO85" s="6"/>
      <c r="TYP85" s="6"/>
      <c r="TYQ85" s="6"/>
      <c r="TYR85" s="6"/>
      <c r="TYS85" s="6"/>
      <c r="TYT85" s="6"/>
      <c r="TYU85" s="6"/>
      <c r="TYV85" s="6"/>
      <c r="TYW85" s="6"/>
      <c r="TYX85" s="6"/>
      <c r="TYY85" s="6"/>
      <c r="TYZ85" s="6"/>
      <c r="TZA85" s="6"/>
      <c r="TZB85" s="6"/>
      <c r="TZC85" s="6"/>
      <c r="TZD85" s="6"/>
      <c r="TZE85" s="6"/>
      <c r="TZF85" s="6"/>
      <c r="TZG85" s="6"/>
      <c r="TZH85" s="6"/>
      <c r="TZI85" s="6"/>
      <c r="TZJ85" s="6"/>
      <c r="TZK85" s="6"/>
      <c r="TZL85" s="6"/>
      <c r="TZM85" s="6"/>
      <c r="TZN85" s="6"/>
      <c r="TZO85" s="6"/>
      <c r="TZP85" s="6"/>
      <c r="TZQ85" s="6"/>
      <c r="TZR85" s="6"/>
      <c r="TZS85" s="6"/>
      <c r="TZT85" s="6"/>
      <c r="TZU85" s="6"/>
      <c r="TZV85" s="6"/>
      <c r="TZW85" s="6"/>
      <c r="TZX85" s="6"/>
      <c r="TZY85" s="6"/>
      <c r="TZZ85" s="6"/>
      <c r="UAA85" s="6"/>
      <c r="UAB85" s="6"/>
      <c r="UAC85" s="6"/>
      <c r="UAD85" s="6"/>
      <c r="UAE85" s="6"/>
      <c r="UAF85" s="6"/>
      <c r="UAG85" s="6"/>
      <c r="UAH85" s="6"/>
      <c r="UAI85" s="6"/>
      <c r="UAJ85" s="6"/>
      <c r="UAK85" s="6"/>
      <c r="UAL85" s="6"/>
      <c r="UAM85" s="6"/>
      <c r="UAN85" s="6"/>
      <c r="UAO85" s="6"/>
      <c r="UAP85" s="6"/>
      <c r="UAQ85" s="6"/>
      <c r="UAR85" s="6"/>
      <c r="UAS85" s="6"/>
      <c r="UAT85" s="6"/>
      <c r="UAU85" s="6"/>
      <c r="UAV85" s="6"/>
      <c r="UAW85" s="6"/>
      <c r="UAX85" s="6"/>
      <c r="UAY85" s="6"/>
      <c r="UAZ85" s="6"/>
      <c r="UBA85" s="6"/>
      <c r="UBB85" s="6"/>
      <c r="UBC85" s="6"/>
      <c r="UBD85" s="6"/>
      <c r="UBE85" s="6"/>
      <c r="UBF85" s="6"/>
      <c r="UBG85" s="6"/>
      <c r="UBH85" s="6"/>
      <c r="UBI85" s="6"/>
      <c r="UBJ85" s="6"/>
      <c r="UBK85" s="6"/>
      <c r="UBL85" s="6"/>
      <c r="UBM85" s="6"/>
      <c r="UBN85" s="6"/>
      <c r="UBO85" s="6"/>
      <c r="UBP85" s="6"/>
      <c r="UBQ85" s="6"/>
      <c r="UBR85" s="6"/>
      <c r="UBS85" s="6"/>
      <c r="UBT85" s="6"/>
      <c r="UBU85" s="6"/>
      <c r="UBV85" s="6"/>
      <c r="UBW85" s="6"/>
      <c r="UBX85" s="6"/>
      <c r="UBY85" s="6"/>
      <c r="UBZ85" s="6"/>
      <c r="UCA85" s="6"/>
      <c r="UCB85" s="6"/>
      <c r="UCC85" s="6"/>
      <c r="UCD85" s="6"/>
      <c r="UCE85" s="6"/>
      <c r="UCF85" s="6"/>
      <c r="UCG85" s="6"/>
      <c r="UCH85" s="6"/>
      <c r="UCI85" s="6"/>
      <c r="UCJ85" s="6"/>
      <c r="UCK85" s="6"/>
      <c r="UCL85" s="6"/>
      <c r="UCM85" s="6"/>
      <c r="UCN85" s="6"/>
      <c r="UCO85" s="6"/>
      <c r="UCP85" s="6"/>
      <c r="UCQ85" s="6"/>
      <c r="UCR85" s="6"/>
      <c r="UCS85" s="6"/>
      <c r="UCT85" s="6"/>
      <c r="UCU85" s="6"/>
      <c r="UCV85" s="6"/>
      <c r="UCW85" s="6"/>
      <c r="UCX85" s="6"/>
      <c r="UCY85" s="6"/>
      <c r="UCZ85" s="6"/>
      <c r="UDA85" s="6"/>
      <c r="UDB85" s="6"/>
      <c r="UDC85" s="6"/>
      <c r="UDD85" s="6"/>
      <c r="UDE85" s="6"/>
      <c r="UDF85" s="6"/>
      <c r="UDG85" s="6"/>
      <c r="UDH85" s="6"/>
      <c r="UDI85" s="6"/>
      <c r="UDJ85" s="6"/>
      <c r="UDK85" s="6"/>
      <c r="UDL85" s="6"/>
      <c r="UDM85" s="6"/>
      <c r="UDN85" s="6"/>
      <c r="UDO85" s="6"/>
      <c r="UDP85" s="6"/>
      <c r="UDQ85" s="6"/>
      <c r="UDR85" s="6"/>
      <c r="UDS85" s="6"/>
      <c r="UDT85" s="6"/>
      <c r="UDU85" s="6"/>
      <c r="UDV85" s="6"/>
      <c r="UDW85" s="6"/>
      <c r="UDX85" s="6"/>
      <c r="UDY85" s="6"/>
      <c r="UDZ85" s="6"/>
      <c r="UEA85" s="6"/>
      <c r="UEB85" s="6"/>
      <c r="UEC85" s="6"/>
      <c r="UED85" s="6"/>
      <c r="UEE85" s="6"/>
      <c r="UEF85" s="6"/>
      <c r="UEG85" s="6"/>
      <c r="UEH85" s="6"/>
      <c r="UEI85" s="6"/>
      <c r="UEJ85" s="6"/>
      <c r="UEK85" s="6"/>
      <c r="UEL85" s="6"/>
      <c r="UEM85" s="6"/>
      <c r="UEN85" s="6"/>
      <c r="UEO85" s="6"/>
      <c r="UEP85" s="6"/>
      <c r="UEQ85" s="6"/>
      <c r="UER85" s="6"/>
      <c r="UES85" s="6"/>
      <c r="UET85" s="6"/>
      <c r="UEU85" s="6"/>
      <c r="UEV85" s="6"/>
      <c r="UEW85" s="6"/>
      <c r="UEX85" s="6"/>
      <c r="UEY85" s="6"/>
      <c r="UEZ85" s="6"/>
      <c r="UFA85" s="6"/>
      <c r="UFB85" s="6"/>
      <c r="UFC85" s="6"/>
      <c r="UFD85" s="6"/>
      <c r="UFE85" s="6"/>
      <c r="UFF85" s="6"/>
      <c r="UFG85" s="6"/>
      <c r="UFH85" s="6"/>
      <c r="UFI85" s="6"/>
      <c r="UFJ85" s="6"/>
      <c r="UFK85" s="6"/>
      <c r="UFL85" s="6"/>
      <c r="UFM85" s="6"/>
      <c r="UFN85" s="6"/>
      <c r="UFO85" s="6"/>
      <c r="UFP85" s="6"/>
      <c r="UFQ85" s="6"/>
      <c r="UFR85" s="6"/>
      <c r="UFS85" s="6"/>
      <c r="UFT85" s="6"/>
      <c r="UFU85" s="6"/>
      <c r="UFV85" s="6"/>
      <c r="UFW85" s="6"/>
      <c r="UFX85" s="6"/>
      <c r="UFY85" s="6"/>
      <c r="UFZ85" s="6"/>
      <c r="UGA85" s="6"/>
      <c r="UGB85" s="6"/>
      <c r="UGC85" s="6"/>
      <c r="UGD85" s="6"/>
      <c r="UGE85" s="6"/>
      <c r="UGF85" s="6"/>
      <c r="UGG85" s="6"/>
      <c r="UGH85" s="6"/>
      <c r="UGI85" s="6"/>
      <c r="UGJ85" s="6"/>
      <c r="UGK85" s="6"/>
      <c r="UGL85" s="6"/>
      <c r="UGM85" s="6"/>
      <c r="UGN85" s="6"/>
      <c r="UGO85" s="6"/>
      <c r="UGP85" s="6"/>
      <c r="UGQ85" s="6"/>
      <c r="UGR85" s="6"/>
      <c r="UGS85" s="6"/>
      <c r="UGT85" s="6"/>
      <c r="UGU85" s="6"/>
      <c r="UGV85" s="6"/>
      <c r="UGW85" s="6"/>
      <c r="UGX85" s="6"/>
      <c r="UGY85" s="6"/>
      <c r="UGZ85" s="6"/>
      <c r="UHA85" s="6"/>
      <c r="UHB85" s="6"/>
      <c r="UHC85" s="6"/>
      <c r="UHD85" s="6"/>
      <c r="UHE85" s="6"/>
      <c r="UHF85" s="6"/>
      <c r="UHG85" s="6"/>
      <c r="UHH85" s="6"/>
      <c r="UHI85" s="6"/>
      <c r="UHJ85" s="6"/>
      <c r="UHK85" s="6"/>
      <c r="UHL85" s="6"/>
      <c r="UHM85" s="6"/>
      <c r="UHN85" s="6"/>
      <c r="UHO85" s="6"/>
      <c r="UHP85" s="6"/>
      <c r="UHQ85" s="6"/>
      <c r="UHR85" s="6"/>
      <c r="UHS85" s="6"/>
      <c r="UHT85" s="6"/>
      <c r="UHU85" s="6"/>
      <c r="UHV85" s="6"/>
      <c r="UHW85" s="6"/>
      <c r="UHX85" s="6"/>
      <c r="UHY85" s="6"/>
      <c r="UHZ85" s="6"/>
      <c r="UIA85" s="6"/>
      <c r="UIB85" s="6"/>
      <c r="UIC85" s="6"/>
      <c r="UID85" s="6"/>
      <c r="UIE85" s="6"/>
      <c r="UIF85" s="6"/>
      <c r="UIG85" s="6"/>
      <c r="UIH85" s="6"/>
      <c r="UII85" s="6"/>
      <c r="UIJ85" s="6"/>
      <c r="UIK85" s="6"/>
      <c r="UIL85" s="6"/>
      <c r="UIM85" s="6"/>
      <c r="UIN85" s="6"/>
      <c r="UIO85" s="6"/>
      <c r="UIP85" s="6"/>
      <c r="UIQ85" s="6"/>
      <c r="UIR85" s="6"/>
      <c r="UIS85" s="6"/>
      <c r="UIT85" s="6"/>
      <c r="UIU85" s="6"/>
      <c r="UIV85" s="6"/>
      <c r="UIW85" s="6"/>
      <c r="UIX85" s="6"/>
      <c r="UIY85" s="6"/>
      <c r="UIZ85" s="6"/>
      <c r="UJA85" s="6"/>
      <c r="UJB85" s="6"/>
      <c r="UJC85" s="6"/>
      <c r="UJD85" s="6"/>
      <c r="UJE85" s="6"/>
      <c r="UJF85" s="6"/>
      <c r="UJG85" s="6"/>
      <c r="UJH85" s="6"/>
      <c r="UJI85" s="6"/>
      <c r="UJJ85" s="6"/>
      <c r="UJK85" s="6"/>
      <c r="UJL85" s="6"/>
      <c r="UJM85" s="6"/>
      <c r="UJN85" s="6"/>
      <c r="UJO85" s="6"/>
      <c r="UJP85" s="6"/>
      <c r="UJQ85" s="6"/>
      <c r="UJR85" s="6"/>
      <c r="UJS85" s="6"/>
      <c r="UJT85" s="6"/>
      <c r="UJU85" s="6"/>
      <c r="UJV85" s="6"/>
      <c r="UJW85" s="6"/>
      <c r="UJX85" s="6"/>
      <c r="UJY85" s="6"/>
      <c r="UJZ85" s="6"/>
      <c r="UKA85" s="6"/>
      <c r="UKB85" s="6"/>
      <c r="UKC85" s="6"/>
      <c r="UKD85" s="6"/>
      <c r="UKE85" s="6"/>
      <c r="UKF85" s="6"/>
      <c r="UKG85" s="6"/>
      <c r="UKH85" s="6"/>
      <c r="UKI85" s="6"/>
      <c r="UKJ85" s="6"/>
      <c r="UKK85" s="6"/>
      <c r="UKL85" s="6"/>
      <c r="UKM85" s="6"/>
      <c r="UKN85" s="6"/>
      <c r="UKO85" s="6"/>
      <c r="UKP85" s="6"/>
      <c r="UKQ85" s="6"/>
      <c r="UKR85" s="6"/>
      <c r="UKS85" s="6"/>
      <c r="UKT85" s="6"/>
      <c r="UKU85" s="6"/>
      <c r="UKV85" s="6"/>
      <c r="UKW85" s="6"/>
      <c r="UKX85" s="6"/>
      <c r="UKY85" s="6"/>
      <c r="UKZ85" s="6"/>
      <c r="ULA85" s="6"/>
      <c r="ULB85" s="6"/>
      <c r="ULC85" s="6"/>
      <c r="ULD85" s="6"/>
      <c r="ULE85" s="6"/>
      <c r="ULF85" s="6"/>
      <c r="ULG85" s="6"/>
      <c r="ULH85" s="6"/>
      <c r="ULI85" s="6"/>
      <c r="ULJ85" s="6"/>
      <c r="ULK85" s="6"/>
      <c r="ULL85" s="6"/>
      <c r="ULM85" s="6"/>
      <c r="ULN85" s="6"/>
      <c r="ULO85" s="6"/>
      <c r="ULP85" s="6"/>
      <c r="ULQ85" s="6"/>
      <c r="ULR85" s="6"/>
      <c r="ULS85" s="6"/>
      <c r="ULT85" s="6"/>
      <c r="ULU85" s="6"/>
      <c r="ULV85" s="6"/>
      <c r="ULW85" s="6"/>
      <c r="ULX85" s="6"/>
      <c r="ULY85" s="6"/>
      <c r="ULZ85" s="6"/>
      <c r="UMA85" s="6"/>
      <c r="UMB85" s="6"/>
      <c r="UMC85" s="6"/>
      <c r="UMD85" s="6"/>
      <c r="UME85" s="6"/>
      <c r="UMF85" s="6"/>
      <c r="UMG85" s="6"/>
      <c r="UMH85" s="6"/>
      <c r="UMI85" s="6"/>
      <c r="UMJ85" s="6"/>
      <c r="UMK85" s="6"/>
      <c r="UML85" s="6"/>
      <c r="UMM85" s="6"/>
      <c r="UMN85" s="6"/>
      <c r="UMO85" s="6"/>
      <c r="UMP85" s="6"/>
      <c r="UMQ85" s="6"/>
      <c r="UMR85" s="6"/>
      <c r="UMS85" s="6"/>
      <c r="UMT85" s="6"/>
      <c r="UMU85" s="6"/>
      <c r="UMV85" s="6"/>
      <c r="UMW85" s="6"/>
      <c r="UMX85" s="6"/>
      <c r="UMY85" s="6"/>
      <c r="UMZ85" s="6"/>
      <c r="UNA85" s="6"/>
      <c r="UNB85" s="6"/>
      <c r="UNC85" s="6"/>
      <c r="UND85" s="6"/>
      <c r="UNE85" s="6"/>
      <c r="UNF85" s="6"/>
      <c r="UNG85" s="6"/>
      <c r="UNH85" s="6"/>
      <c r="UNI85" s="6"/>
      <c r="UNJ85" s="6"/>
      <c r="UNK85" s="6"/>
      <c r="UNL85" s="6"/>
      <c r="UNM85" s="6"/>
      <c r="UNN85" s="6"/>
      <c r="UNO85" s="6"/>
      <c r="UNP85" s="6"/>
      <c r="UNQ85" s="6"/>
      <c r="UNR85" s="6"/>
      <c r="UNS85" s="6"/>
      <c r="UNT85" s="6"/>
      <c r="UNU85" s="6"/>
      <c r="UNV85" s="6"/>
      <c r="UNW85" s="6"/>
      <c r="UNX85" s="6"/>
      <c r="UNY85" s="6"/>
      <c r="UNZ85" s="6"/>
      <c r="UOA85" s="6"/>
      <c r="UOB85" s="6"/>
      <c r="UOC85" s="6"/>
      <c r="UOD85" s="6"/>
      <c r="UOE85" s="6"/>
      <c r="UOF85" s="6"/>
      <c r="UOG85" s="6"/>
      <c r="UOH85" s="6"/>
      <c r="UOI85" s="6"/>
      <c r="UOJ85" s="6"/>
      <c r="UOK85" s="6"/>
      <c r="UOL85" s="6"/>
      <c r="UOM85" s="6"/>
      <c r="UON85" s="6"/>
      <c r="UOO85" s="6"/>
      <c r="UOP85" s="6"/>
      <c r="UOQ85" s="6"/>
      <c r="UOR85" s="6"/>
      <c r="UOS85" s="6"/>
      <c r="UOT85" s="6"/>
      <c r="UOU85" s="6"/>
      <c r="UOV85" s="6"/>
      <c r="UOW85" s="6"/>
      <c r="UOX85" s="6"/>
      <c r="UOY85" s="6"/>
      <c r="UOZ85" s="6"/>
      <c r="UPA85" s="6"/>
      <c r="UPB85" s="6"/>
      <c r="UPC85" s="6"/>
      <c r="UPD85" s="6"/>
      <c r="UPE85" s="6"/>
      <c r="UPF85" s="6"/>
      <c r="UPG85" s="6"/>
      <c r="UPH85" s="6"/>
      <c r="UPI85" s="6"/>
      <c r="UPJ85" s="6"/>
      <c r="UPK85" s="6"/>
      <c r="UPL85" s="6"/>
      <c r="UPM85" s="6"/>
      <c r="UPN85" s="6"/>
      <c r="UPO85" s="6"/>
      <c r="UPP85" s="6"/>
      <c r="UPQ85" s="6"/>
      <c r="UPR85" s="6"/>
      <c r="UPS85" s="6"/>
      <c r="UPT85" s="6"/>
      <c r="UPU85" s="6"/>
      <c r="UPV85" s="6"/>
      <c r="UPW85" s="6"/>
      <c r="UPX85" s="6"/>
      <c r="UPY85" s="6"/>
      <c r="UPZ85" s="6"/>
      <c r="UQA85" s="6"/>
      <c r="UQB85" s="6"/>
      <c r="UQC85" s="6"/>
      <c r="UQD85" s="6"/>
      <c r="UQE85" s="6"/>
      <c r="UQF85" s="6"/>
      <c r="UQG85" s="6"/>
      <c r="UQH85" s="6"/>
      <c r="UQI85" s="6"/>
      <c r="UQJ85" s="6"/>
      <c r="UQK85" s="6"/>
      <c r="UQL85" s="6"/>
      <c r="UQM85" s="6"/>
      <c r="UQN85" s="6"/>
      <c r="UQO85" s="6"/>
      <c r="UQP85" s="6"/>
      <c r="UQQ85" s="6"/>
      <c r="UQR85" s="6"/>
      <c r="UQS85" s="6"/>
      <c r="UQT85" s="6"/>
      <c r="UQU85" s="6"/>
      <c r="UQV85" s="6"/>
      <c r="UQW85" s="6"/>
      <c r="UQX85" s="6"/>
      <c r="UQY85" s="6"/>
      <c r="UQZ85" s="6"/>
      <c r="URA85" s="6"/>
      <c r="URB85" s="6"/>
      <c r="URC85" s="6"/>
      <c r="URD85" s="6"/>
      <c r="URE85" s="6"/>
      <c r="URF85" s="6"/>
      <c r="URG85" s="6"/>
      <c r="URH85" s="6"/>
      <c r="URI85" s="6"/>
      <c r="URJ85" s="6"/>
      <c r="URK85" s="6"/>
      <c r="URL85" s="6"/>
      <c r="URM85" s="6"/>
      <c r="URN85" s="6"/>
      <c r="URO85" s="6"/>
      <c r="URP85" s="6"/>
      <c r="URQ85" s="6"/>
      <c r="URR85" s="6"/>
      <c r="URS85" s="6"/>
      <c r="URT85" s="6"/>
      <c r="URU85" s="6"/>
      <c r="URV85" s="6"/>
      <c r="URW85" s="6"/>
      <c r="URX85" s="6"/>
      <c r="URY85" s="6"/>
      <c r="URZ85" s="6"/>
      <c r="USA85" s="6"/>
      <c r="USB85" s="6"/>
      <c r="USC85" s="6"/>
      <c r="USD85" s="6"/>
      <c r="USE85" s="6"/>
      <c r="USF85" s="6"/>
      <c r="USG85" s="6"/>
      <c r="USH85" s="6"/>
      <c r="USI85" s="6"/>
      <c r="USJ85" s="6"/>
      <c r="USK85" s="6"/>
      <c r="USL85" s="6"/>
      <c r="USM85" s="6"/>
      <c r="USN85" s="6"/>
      <c r="USO85" s="6"/>
      <c r="USP85" s="6"/>
      <c r="USQ85" s="6"/>
      <c r="USR85" s="6"/>
      <c r="USS85" s="6"/>
      <c r="UST85" s="6"/>
      <c r="USU85" s="6"/>
      <c r="USV85" s="6"/>
      <c r="USW85" s="6"/>
      <c r="USX85" s="6"/>
      <c r="USY85" s="6"/>
      <c r="USZ85" s="6"/>
      <c r="UTA85" s="6"/>
      <c r="UTB85" s="6"/>
      <c r="UTC85" s="6"/>
      <c r="UTD85" s="6"/>
      <c r="UTE85" s="6"/>
      <c r="UTF85" s="6"/>
      <c r="UTG85" s="6"/>
      <c r="UTH85" s="6"/>
      <c r="UTI85" s="6"/>
      <c r="UTJ85" s="6"/>
      <c r="UTK85" s="6"/>
      <c r="UTL85" s="6"/>
      <c r="UTM85" s="6"/>
      <c r="UTN85" s="6"/>
      <c r="UTO85" s="6"/>
      <c r="UTP85" s="6"/>
      <c r="UTQ85" s="6"/>
      <c r="UTR85" s="6"/>
      <c r="UTS85" s="6"/>
      <c r="UTT85" s="6"/>
      <c r="UTU85" s="6"/>
      <c r="UTV85" s="6"/>
      <c r="UTW85" s="6"/>
      <c r="UTX85" s="6"/>
      <c r="UTY85" s="6"/>
      <c r="UTZ85" s="6"/>
      <c r="UUA85" s="6"/>
      <c r="UUB85" s="6"/>
      <c r="UUC85" s="6"/>
      <c r="UUD85" s="6"/>
      <c r="UUE85" s="6"/>
      <c r="UUF85" s="6"/>
      <c r="UUG85" s="6"/>
      <c r="UUH85" s="6"/>
      <c r="UUI85" s="6"/>
      <c r="UUJ85" s="6"/>
      <c r="UUK85" s="6"/>
      <c r="UUL85" s="6"/>
      <c r="UUM85" s="6"/>
      <c r="UUN85" s="6"/>
      <c r="UUO85" s="6"/>
      <c r="UUP85" s="6"/>
      <c r="UUQ85" s="6"/>
      <c r="UUR85" s="6"/>
      <c r="UUS85" s="6"/>
      <c r="UUT85" s="6"/>
      <c r="UUU85" s="6"/>
      <c r="UUV85" s="6"/>
      <c r="UUW85" s="6"/>
      <c r="UUX85" s="6"/>
      <c r="UUY85" s="6"/>
      <c r="UUZ85" s="6"/>
      <c r="UVA85" s="6"/>
      <c r="UVB85" s="6"/>
      <c r="UVC85" s="6"/>
      <c r="UVD85" s="6"/>
      <c r="UVE85" s="6"/>
      <c r="UVF85" s="6"/>
      <c r="UVG85" s="6"/>
      <c r="UVH85" s="6"/>
      <c r="UVI85" s="6"/>
      <c r="UVJ85" s="6"/>
      <c r="UVK85" s="6"/>
      <c r="UVL85" s="6"/>
      <c r="UVM85" s="6"/>
      <c r="UVN85" s="6"/>
      <c r="UVO85" s="6"/>
      <c r="UVP85" s="6"/>
      <c r="UVQ85" s="6"/>
      <c r="UVR85" s="6"/>
      <c r="UVS85" s="6"/>
      <c r="UVT85" s="6"/>
      <c r="UVU85" s="6"/>
      <c r="UVV85" s="6"/>
      <c r="UVW85" s="6"/>
      <c r="UVX85" s="6"/>
      <c r="UVY85" s="6"/>
      <c r="UVZ85" s="6"/>
      <c r="UWA85" s="6"/>
      <c r="UWB85" s="6"/>
      <c r="UWC85" s="6"/>
      <c r="UWD85" s="6"/>
      <c r="UWE85" s="6"/>
      <c r="UWF85" s="6"/>
      <c r="UWG85" s="6"/>
      <c r="UWH85" s="6"/>
      <c r="UWI85" s="6"/>
      <c r="UWJ85" s="6"/>
      <c r="UWK85" s="6"/>
      <c r="UWL85" s="6"/>
      <c r="UWM85" s="6"/>
      <c r="UWN85" s="6"/>
      <c r="UWO85" s="6"/>
      <c r="UWP85" s="6"/>
      <c r="UWQ85" s="6"/>
      <c r="UWR85" s="6"/>
      <c r="UWS85" s="6"/>
      <c r="UWT85" s="6"/>
      <c r="UWU85" s="6"/>
      <c r="UWV85" s="6"/>
      <c r="UWW85" s="6"/>
      <c r="UWX85" s="6"/>
      <c r="UWY85" s="6"/>
      <c r="UWZ85" s="6"/>
      <c r="UXA85" s="6"/>
      <c r="UXB85" s="6"/>
      <c r="UXC85" s="6"/>
      <c r="UXD85" s="6"/>
      <c r="UXE85" s="6"/>
      <c r="UXF85" s="6"/>
      <c r="UXG85" s="6"/>
      <c r="UXH85" s="6"/>
      <c r="UXI85" s="6"/>
      <c r="UXJ85" s="6"/>
      <c r="UXK85" s="6"/>
      <c r="UXL85" s="6"/>
      <c r="UXM85" s="6"/>
      <c r="UXN85" s="6"/>
      <c r="UXO85" s="6"/>
      <c r="UXP85" s="6"/>
      <c r="UXQ85" s="6"/>
      <c r="UXR85" s="6"/>
      <c r="UXS85" s="6"/>
      <c r="UXT85" s="6"/>
      <c r="UXU85" s="6"/>
      <c r="UXV85" s="6"/>
      <c r="UXW85" s="6"/>
      <c r="UXX85" s="6"/>
      <c r="UXY85" s="6"/>
      <c r="UXZ85" s="6"/>
      <c r="UYA85" s="6"/>
      <c r="UYB85" s="6"/>
      <c r="UYC85" s="6"/>
      <c r="UYD85" s="6"/>
      <c r="UYE85" s="6"/>
      <c r="UYF85" s="6"/>
      <c r="UYG85" s="6"/>
      <c r="UYH85" s="6"/>
      <c r="UYI85" s="6"/>
      <c r="UYJ85" s="6"/>
      <c r="UYK85" s="6"/>
      <c r="UYL85" s="6"/>
      <c r="UYM85" s="6"/>
      <c r="UYN85" s="6"/>
      <c r="UYO85" s="6"/>
      <c r="UYP85" s="6"/>
      <c r="UYQ85" s="6"/>
      <c r="UYR85" s="6"/>
      <c r="UYS85" s="6"/>
      <c r="UYT85" s="6"/>
      <c r="UYU85" s="6"/>
      <c r="UYV85" s="6"/>
      <c r="UYW85" s="6"/>
      <c r="UYX85" s="6"/>
      <c r="UYY85" s="6"/>
      <c r="UYZ85" s="6"/>
      <c r="UZA85" s="6"/>
      <c r="UZB85" s="6"/>
      <c r="UZC85" s="6"/>
      <c r="UZD85" s="6"/>
      <c r="UZE85" s="6"/>
      <c r="UZF85" s="6"/>
      <c r="UZG85" s="6"/>
      <c r="UZH85" s="6"/>
      <c r="UZI85" s="6"/>
      <c r="UZJ85" s="6"/>
      <c r="UZK85" s="6"/>
      <c r="UZL85" s="6"/>
      <c r="UZM85" s="6"/>
      <c r="UZN85" s="6"/>
      <c r="UZO85" s="6"/>
      <c r="UZP85" s="6"/>
      <c r="UZQ85" s="6"/>
      <c r="UZR85" s="6"/>
      <c r="UZS85" s="6"/>
      <c r="UZT85" s="6"/>
      <c r="UZU85" s="6"/>
      <c r="UZV85" s="6"/>
      <c r="UZW85" s="6"/>
      <c r="UZX85" s="6"/>
      <c r="UZY85" s="6"/>
      <c r="UZZ85" s="6"/>
      <c r="VAA85" s="6"/>
      <c r="VAB85" s="6"/>
      <c r="VAC85" s="6"/>
      <c r="VAD85" s="6"/>
      <c r="VAE85" s="6"/>
      <c r="VAF85" s="6"/>
      <c r="VAG85" s="6"/>
      <c r="VAH85" s="6"/>
      <c r="VAI85" s="6"/>
      <c r="VAJ85" s="6"/>
      <c r="VAK85" s="6"/>
      <c r="VAL85" s="6"/>
      <c r="VAM85" s="6"/>
      <c r="VAN85" s="6"/>
      <c r="VAO85" s="6"/>
      <c r="VAP85" s="6"/>
      <c r="VAQ85" s="6"/>
      <c r="VAR85" s="6"/>
      <c r="VAS85" s="6"/>
      <c r="VAT85" s="6"/>
      <c r="VAU85" s="6"/>
      <c r="VAV85" s="6"/>
      <c r="VAW85" s="6"/>
      <c r="VAX85" s="6"/>
      <c r="VAY85" s="6"/>
      <c r="VAZ85" s="6"/>
      <c r="VBA85" s="6"/>
      <c r="VBB85" s="6"/>
      <c r="VBC85" s="6"/>
      <c r="VBD85" s="6"/>
      <c r="VBE85" s="6"/>
      <c r="VBF85" s="6"/>
      <c r="VBG85" s="6"/>
      <c r="VBH85" s="6"/>
      <c r="VBI85" s="6"/>
      <c r="VBJ85" s="6"/>
      <c r="VBK85" s="6"/>
      <c r="VBL85" s="6"/>
      <c r="VBM85" s="6"/>
      <c r="VBN85" s="6"/>
      <c r="VBO85" s="6"/>
      <c r="VBP85" s="6"/>
      <c r="VBQ85" s="6"/>
      <c r="VBR85" s="6"/>
      <c r="VBS85" s="6"/>
      <c r="VBT85" s="6"/>
      <c r="VBU85" s="6"/>
      <c r="VBV85" s="6"/>
      <c r="VBW85" s="6"/>
      <c r="VBX85" s="6"/>
      <c r="VBY85" s="6"/>
      <c r="VBZ85" s="6"/>
      <c r="VCA85" s="6"/>
      <c r="VCB85" s="6"/>
      <c r="VCC85" s="6"/>
      <c r="VCD85" s="6"/>
      <c r="VCE85" s="6"/>
      <c r="VCF85" s="6"/>
      <c r="VCG85" s="6"/>
      <c r="VCH85" s="6"/>
      <c r="VCI85" s="6"/>
      <c r="VCJ85" s="6"/>
      <c r="VCK85" s="6"/>
      <c r="VCL85" s="6"/>
      <c r="VCM85" s="6"/>
      <c r="VCN85" s="6"/>
      <c r="VCO85" s="6"/>
      <c r="VCP85" s="6"/>
      <c r="VCQ85" s="6"/>
      <c r="VCR85" s="6"/>
      <c r="VCS85" s="6"/>
      <c r="VCT85" s="6"/>
      <c r="VCU85" s="6"/>
      <c r="VCV85" s="6"/>
      <c r="VCW85" s="6"/>
      <c r="VCX85" s="6"/>
      <c r="VCY85" s="6"/>
      <c r="VCZ85" s="6"/>
      <c r="VDA85" s="6"/>
      <c r="VDB85" s="6"/>
      <c r="VDC85" s="6"/>
      <c r="VDD85" s="6"/>
      <c r="VDE85" s="6"/>
      <c r="VDF85" s="6"/>
      <c r="VDG85" s="6"/>
      <c r="VDH85" s="6"/>
      <c r="VDI85" s="6"/>
      <c r="VDJ85" s="6"/>
      <c r="VDK85" s="6"/>
      <c r="VDL85" s="6"/>
      <c r="VDM85" s="6"/>
      <c r="VDN85" s="6"/>
      <c r="VDO85" s="6"/>
      <c r="VDP85" s="6"/>
      <c r="VDQ85" s="6"/>
      <c r="VDR85" s="6"/>
      <c r="VDS85" s="6"/>
      <c r="VDT85" s="6"/>
      <c r="VDU85" s="6"/>
      <c r="VDV85" s="6"/>
      <c r="VDW85" s="6"/>
      <c r="VDX85" s="6"/>
      <c r="VDY85" s="6"/>
      <c r="VDZ85" s="6"/>
      <c r="VEA85" s="6"/>
      <c r="VEB85" s="6"/>
      <c r="VEC85" s="6"/>
      <c r="VED85" s="6"/>
      <c r="VEE85" s="6"/>
      <c r="VEF85" s="6"/>
      <c r="VEG85" s="6"/>
      <c r="VEH85" s="6"/>
      <c r="VEI85" s="6"/>
      <c r="VEJ85" s="6"/>
      <c r="VEK85" s="6"/>
      <c r="VEL85" s="6"/>
      <c r="VEM85" s="6"/>
      <c r="VEN85" s="6"/>
      <c r="VEO85" s="6"/>
      <c r="VEP85" s="6"/>
      <c r="VEQ85" s="6"/>
      <c r="VER85" s="6"/>
      <c r="VES85" s="6"/>
      <c r="VET85" s="6"/>
      <c r="VEU85" s="6"/>
      <c r="VEV85" s="6"/>
      <c r="VEW85" s="6"/>
      <c r="VEX85" s="6"/>
      <c r="VEY85" s="6"/>
      <c r="VEZ85" s="6"/>
      <c r="VFA85" s="6"/>
      <c r="VFB85" s="6"/>
      <c r="VFC85" s="6"/>
      <c r="VFD85" s="6"/>
      <c r="VFE85" s="6"/>
      <c r="VFF85" s="6"/>
      <c r="VFG85" s="6"/>
      <c r="VFH85" s="6"/>
      <c r="VFI85" s="6"/>
      <c r="VFJ85" s="6"/>
      <c r="VFK85" s="6"/>
      <c r="VFL85" s="6"/>
      <c r="VFM85" s="6"/>
      <c r="VFN85" s="6"/>
      <c r="VFO85" s="6"/>
      <c r="VFP85" s="6"/>
      <c r="VFQ85" s="6"/>
      <c r="VFR85" s="6"/>
      <c r="VFS85" s="6"/>
      <c r="VFT85" s="6"/>
      <c r="VFU85" s="6"/>
      <c r="VFV85" s="6"/>
      <c r="VFW85" s="6"/>
      <c r="VFX85" s="6"/>
      <c r="VFY85" s="6"/>
      <c r="VFZ85" s="6"/>
      <c r="VGA85" s="6"/>
      <c r="VGB85" s="6"/>
      <c r="VGC85" s="6"/>
      <c r="VGD85" s="6"/>
      <c r="VGE85" s="6"/>
      <c r="VGF85" s="6"/>
      <c r="VGG85" s="6"/>
      <c r="VGH85" s="6"/>
      <c r="VGI85" s="6"/>
      <c r="VGJ85" s="6"/>
      <c r="VGK85" s="6"/>
      <c r="VGL85" s="6"/>
      <c r="VGM85" s="6"/>
      <c r="VGN85" s="6"/>
      <c r="VGO85" s="6"/>
      <c r="VGP85" s="6"/>
      <c r="VGQ85" s="6"/>
      <c r="VGR85" s="6"/>
      <c r="VGS85" s="6"/>
      <c r="VGT85" s="6"/>
      <c r="VGU85" s="6"/>
      <c r="VGV85" s="6"/>
      <c r="VGW85" s="6"/>
      <c r="VGX85" s="6"/>
      <c r="VGY85" s="6"/>
      <c r="VGZ85" s="6"/>
      <c r="VHA85" s="6"/>
      <c r="VHB85" s="6"/>
      <c r="VHC85" s="6"/>
      <c r="VHD85" s="6"/>
      <c r="VHE85" s="6"/>
      <c r="VHF85" s="6"/>
      <c r="VHG85" s="6"/>
      <c r="VHH85" s="6"/>
      <c r="VHI85" s="6"/>
      <c r="VHJ85" s="6"/>
      <c r="VHK85" s="6"/>
      <c r="VHL85" s="6"/>
      <c r="VHM85" s="6"/>
      <c r="VHN85" s="6"/>
      <c r="VHO85" s="6"/>
      <c r="VHP85" s="6"/>
      <c r="VHQ85" s="6"/>
      <c r="VHR85" s="6"/>
      <c r="VHS85" s="6"/>
      <c r="VHT85" s="6"/>
      <c r="VHU85" s="6"/>
      <c r="VHV85" s="6"/>
      <c r="VHW85" s="6"/>
      <c r="VHX85" s="6"/>
      <c r="VHY85" s="6"/>
      <c r="VHZ85" s="6"/>
      <c r="VIA85" s="6"/>
      <c r="VIB85" s="6"/>
      <c r="VIC85" s="6"/>
      <c r="VID85" s="6"/>
      <c r="VIE85" s="6"/>
      <c r="VIF85" s="6"/>
      <c r="VIG85" s="6"/>
      <c r="VIH85" s="6"/>
      <c r="VII85" s="6"/>
      <c r="VIJ85" s="6"/>
      <c r="VIK85" s="6"/>
      <c r="VIL85" s="6"/>
      <c r="VIM85" s="6"/>
      <c r="VIN85" s="6"/>
      <c r="VIO85" s="6"/>
      <c r="VIP85" s="6"/>
      <c r="VIQ85" s="6"/>
      <c r="VIR85" s="6"/>
      <c r="VIS85" s="6"/>
      <c r="VIT85" s="6"/>
      <c r="VIU85" s="6"/>
      <c r="VIV85" s="6"/>
      <c r="VIW85" s="6"/>
      <c r="VIX85" s="6"/>
      <c r="VIY85" s="6"/>
      <c r="VIZ85" s="6"/>
      <c r="VJA85" s="6"/>
      <c r="VJB85" s="6"/>
      <c r="VJC85" s="6"/>
      <c r="VJD85" s="6"/>
      <c r="VJE85" s="6"/>
      <c r="VJF85" s="6"/>
      <c r="VJG85" s="6"/>
      <c r="VJH85" s="6"/>
      <c r="VJI85" s="6"/>
      <c r="VJJ85" s="6"/>
      <c r="VJK85" s="6"/>
      <c r="VJL85" s="6"/>
      <c r="VJM85" s="6"/>
      <c r="VJN85" s="6"/>
      <c r="VJO85" s="6"/>
      <c r="VJP85" s="6"/>
      <c r="VJQ85" s="6"/>
      <c r="VJR85" s="6"/>
      <c r="VJS85" s="6"/>
      <c r="VJT85" s="6"/>
      <c r="VJU85" s="6"/>
      <c r="VJV85" s="6"/>
      <c r="VJW85" s="6"/>
      <c r="VJX85" s="6"/>
      <c r="VJY85" s="6"/>
      <c r="VJZ85" s="6"/>
      <c r="VKA85" s="6"/>
      <c r="VKB85" s="6"/>
      <c r="VKC85" s="6"/>
      <c r="VKD85" s="6"/>
      <c r="VKE85" s="6"/>
      <c r="VKF85" s="6"/>
      <c r="VKG85" s="6"/>
      <c r="VKH85" s="6"/>
      <c r="VKI85" s="6"/>
      <c r="VKJ85" s="6"/>
      <c r="VKK85" s="6"/>
      <c r="VKL85" s="6"/>
      <c r="VKM85" s="6"/>
      <c r="VKN85" s="6"/>
      <c r="VKO85" s="6"/>
      <c r="VKP85" s="6"/>
      <c r="VKQ85" s="6"/>
      <c r="VKR85" s="6"/>
      <c r="VKS85" s="6"/>
      <c r="VKT85" s="6"/>
      <c r="VKU85" s="6"/>
      <c r="VKV85" s="6"/>
      <c r="VKW85" s="6"/>
      <c r="VKX85" s="6"/>
      <c r="VKY85" s="6"/>
      <c r="VKZ85" s="6"/>
      <c r="VLA85" s="6"/>
      <c r="VLB85" s="6"/>
      <c r="VLC85" s="6"/>
      <c r="VLD85" s="6"/>
      <c r="VLE85" s="6"/>
      <c r="VLF85" s="6"/>
      <c r="VLG85" s="6"/>
      <c r="VLH85" s="6"/>
      <c r="VLI85" s="6"/>
      <c r="VLJ85" s="6"/>
      <c r="VLK85" s="6"/>
      <c r="VLL85" s="6"/>
      <c r="VLM85" s="6"/>
      <c r="VLN85" s="6"/>
      <c r="VLO85" s="6"/>
      <c r="VLP85" s="6"/>
      <c r="VLQ85" s="6"/>
      <c r="VLR85" s="6"/>
      <c r="VLS85" s="6"/>
      <c r="VLT85" s="6"/>
      <c r="VLU85" s="6"/>
      <c r="VLV85" s="6"/>
      <c r="VLW85" s="6"/>
      <c r="VLX85" s="6"/>
      <c r="VLY85" s="6"/>
      <c r="VLZ85" s="6"/>
      <c r="VMA85" s="6"/>
      <c r="VMB85" s="6"/>
      <c r="VMC85" s="6"/>
      <c r="VMD85" s="6"/>
      <c r="VME85" s="6"/>
      <c r="VMF85" s="6"/>
      <c r="VMG85" s="6"/>
      <c r="VMH85" s="6"/>
      <c r="VMI85" s="6"/>
      <c r="VMJ85" s="6"/>
      <c r="VMK85" s="6"/>
      <c r="VML85" s="6"/>
      <c r="VMM85" s="6"/>
      <c r="VMN85" s="6"/>
      <c r="VMO85" s="6"/>
      <c r="VMP85" s="6"/>
      <c r="VMQ85" s="6"/>
      <c r="VMR85" s="6"/>
      <c r="VMS85" s="6"/>
      <c r="VMT85" s="6"/>
      <c r="VMU85" s="6"/>
      <c r="VMV85" s="6"/>
      <c r="VMW85" s="6"/>
      <c r="VMX85" s="6"/>
      <c r="VMY85" s="6"/>
      <c r="VMZ85" s="6"/>
      <c r="VNA85" s="6"/>
      <c r="VNB85" s="6"/>
      <c r="VNC85" s="6"/>
      <c r="VND85" s="6"/>
      <c r="VNE85" s="6"/>
      <c r="VNF85" s="6"/>
      <c r="VNG85" s="6"/>
      <c r="VNH85" s="6"/>
      <c r="VNI85" s="6"/>
      <c r="VNJ85" s="6"/>
      <c r="VNK85" s="6"/>
      <c r="VNL85" s="6"/>
      <c r="VNM85" s="6"/>
      <c r="VNN85" s="6"/>
      <c r="VNO85" s="6"/>
      <c r="VNP85" s="6"/>
      <c r="VNQ85" s="6"/>
      <c r="VNR85" s="6"/>
      <c r="VNS85" s="6"/>
      <c r="VNT85" s="6"/>
      <c r="VNU85" s="6"/>
      <c r="VNV85" s="6"/>
      <c r="VNW85" s="6"/>
      <c r="VNX85" s="6"/>
      <c r="VNY85" s="6"/>
      <c r="VNZ85" s="6"/>
      <c r="VOA85" s="6"/>
      <c r="VOB85" s="6"/>
      <c r="VOC85" s="6"/>
      <c r="VOD85" s="6"/>
      <c r="VOE85" s="6"/>
      <c r="VOF85" s="6"/>
      <c r="VOG85" s="6"/>
      <c r="VOH85" s="6"/>
      <c r="VOI85" s="6"/>
      <c r="VOJ85" s="6"/>
      <c r="VOK85" s="6"/>
      <c r="VOL85" s="6"/>
      <c r="VOM85" s="6"/>
      <c r="VON85" s="6"/>
      <c r="VOO85" s="6"/>
      <c r="VOP85" s="6"/>
      <c r="VOQ85" s="6"/>
      <c r="VOR85" s="6"/>
      <c r="VOS85" s="6"/>
      <c r="VOT85" s="6"/>
      <c r="VOU85" s="6"/>
      <c r="VOV85" s="6"/>
      <c r="VOW85" s="6"/>
      <c r="VOX85" s="6"/>
      <c r="VOY85" s="6"/>
      <c r="VOZ85" s="6"/>
      <c r="VPA85" s="6"/>
      <c r="VPB85" s="6"/>
      <c r="VPC85" s="6"/>
      <c r="VPD85" s="6"/>
      <c r="VPE85" s="6"/>
      <c r="VPF85" s="6"/>
      <c r="VPG85" s="6"/>
      <c r="VPH85" s="6"/>
      <c r="VPI85" s="6"/>
      <c r="VPJ85" s="6"/>
      <c r="VPK85" s="6"/>
      <c r="VPL85" s="6"/>
      <c r="VPM85" s="6"/>
      <c r="VPN85" s="6"/>
      <c r="VPO85" s="6"/>
      <c r="VPP85" s="6"/>
      <c r="VPQ85" s="6"/>
      <c r="VPR85" s="6"/>
      <c r="VPS85" s="6"/>
      <c r="VPT85" s="6"/>
      <c r="VPU85" s="6"/>
      <c r="VPV85" s="6"/>
      <c r="VPW85" s="6"/>
      <c r="VPX85" s="6"/>
      <c r="VPY85" s="6"/>
      <c r="VPZ85" s="6"/>
      <c r="VQA85" s="6"/>
      <c r="VQB85" s="6"/>
      <c r="VQC85" s="6"/>
      <c r="VQD85" s="6"/>
      <c r="VQE85" s="6"/>
      <c r="VQF85" s="6"/>
      <c r="VQG85" s="6"/>
      <c r="VQH85" s="6"/>
      <c r="VQI85" s="6"/>
      <c r="VQJ85" s="6"/>
      <c r="VQK85" s="6"/>
      <c r="VQL85" s="6"/>
      <c r="VQM85" s="6"/>
      <c r="VQN85" s="6"/>
      <c r="VQO85" s="6"/>
      <c r="VQP85" s="6"/>
      <c r="VQQ85" s="6"/>
      <c r="VQR85" s="6"/>
      <c r="VQS85" s="6"/>
      <c r="VQT85" s="6"/>
      <c r="VQU85" s="6"/>
      <c r="VQV85" s="6"/>
      <c r="VQW85" s="6"/>
      <c r="VQX85" s="6"/>
      <c r="VQY85" s="6"/>
      <c r="VQZ85" s="6"/>
      <c r="VRA85" s="6"/>
      <c r="VRB85" s="6"/>
      <c r="VRC85" s="6"/>
      <c r="VRD85" s="6"/>
      <c r="VRE85" s="6"/>
      <c r="VRF85" s="6"/>
      <c r="VRG85" s="6"/>
      <c r="VRH85" s="6"/>
      <c r="VRI85" s="6"/>
      <c r="VRJ85" s="6"/>
      <c r="VRK85" s="6"/>
      <c r="VRL85" s="6"/>
      <c r="VRM85" s="6"/>
      <c r="VRN85" s="6"/>
      <c r="VRO85" s="6"/>
      <c r="VRP85" s="6"/>
      <c r="VRQ85" s="6"/>
      <c r="VRR85" s="6"/>
      <c r="VRS85" s="6"/>
      <c r="VRT85" s="6"/>
      <c r="VRU85" s="6"/>
      <c r="VRV85" s="6"/>
      <c r="VRW85" s="6"/>
      <c r="VRX85" s="6"/>
      <c r="VRY85" s="6"/>
      <c r="VRZ85" s="6"/>
      <c r="VSA85" s="6"/>
      <c r="VSB85" s="6"/>
      <c r="VSC85" s="6"/>
      <c r="VSD85" s="6"/>
      <c r="VSE85" s="6"/>
      <c r="VSF85" s="6"/>
      <c r="VSG85" s="6"/>
      <c r="VSH85" s="6"/>
      <c r="VSI85" s="6"/>
      <c r="VSJ85" s="6"/>
      <c r="VSK85" s="6"/>
      <c r="VSL85" s="6"/>
      <c r="VSM85" s="6"/>
      <c r="VSN85" s="6"/>
      <c r="VSO85" s="6"/>
      <c r="VSP85" s="6"/>
      <c r="VSQ85" s="6"/>
      <c r="VSR85" s="6"/>
      <c r="VSS85" s="6"/>
      <c r="VST85" s="6"/>
      <c r="VSU85" s="6"/>
      <c r="VSV85" s="6"/>
      <c r="VSW85" s="6"/>
      <c r="VSX85" s="6"/>
      <c r="VSY85" s="6"/>
      <c r="VSZ85" s="6"/>
      <c r="VTA85" s="6"/>
      <c r="VTB85" s="6"/>
      <c r="VTC85" s="6"/>
      <c r="VTD85" s="6"/>
      <c r="VTE85" s="6"/>
      <c r="VTF85" s="6"/>
      <c r="VTG85" s="6"/>
      <c r="VTH85" s="6"/>
      <c r="VTI85" s="6"/>
      <c r="VTJ85" s="6"/>
      <c r="VTK85" s="6"/>
      <c r="VTL85" s="6"/>
      <c r="VTM85" s="6"/>
      <c r="VTN85" s="6"/>
      <c r="VTO85" s="6"/>
      <c r="VTP85" s="6"/>
      <c r="VTQ85" s="6"/>
      <c r="VTR85" s="6"/>
      <c r="VTS85" s="6"/>
      <c r="VTT85" s="6"/>
      <c r="VTU85" s="6"/>
      <c r="VTV85" s="6"/>
      <c r="VTW85" s="6"/>
      <c r="VTX85" s="6"/>
      <c r="VTY85" s="6"/>
      <c r="VTZ85" s="6"/>
      <c r="VUA85" s="6"/>
      <c r="VUB85" s="6"/>
      <c r="VUC85" s="6"/>
      <c r="VUD85" s="6"/>
      <c r="VUE85" s="6"/>
      <c r="VUF85" s="6"/>
      <c r="VUG85" s="6"/>
      <c r="VUH85" s="6"/>
      <c r="VUI85" s="6"/>
      <c r="VUJ85" s="6"/>
      <c r="VUK85" s="6"/>
      <c r="VUL85" s="6"/>
      <c r="VUM85" s="6"/>
      <c r="VUN85" s="6"/>
      <c r="VUO85" s="6"/>
      <c r="VUP85" s="6"/>
      <c r="VUQ85" s="6"/>
      <c r="VUR85" s="6"/>
      <c r="VUS85" s="6"/>
      <c r="VUT85" s="6"/>
      <c r="VUU85" s="6"/>
      <c r="VUV85" s="6"/>
      <c r="VUW85" s="6"/>
      <c r="VUX85" s="6"/>
      <c r="VUY85" s="6"/>
      <c r="VUZ85" s="6"/>
      <c r="VVA85" s="6"/>
      <c r="VVB85" s="6"/>
      <c r="VVC85" s="6"/>
      <c r="VVD85" s="6"/>
      <c r="VVE85" s="6"/>
      <c r="VVF85" s="6"/>
      <c r="VVG85" s="6"/>
      <c r="VVH85" s="6"/>
      <c r="VVI85" s="6"/>
      <c r="VVJ85" s="6"/>
      <c r="VVK85" s="6"/>
      <c r="VVL85" s="6"/>
      <c r="VVM85" s="6"/>
      <c r="VVN85" s="6"/>
      <c r="VVO85" s="6"/>
      <c r="VVP85" s="6"/>
      <c r="VVQ85" s="6"/>
      <c r="VVR85" s="6"/>
      <c r="VVS85" s="6"/>
      <c r="VVT85" s="6"/>
      <c r="VVU85" s="6"/>
      <c r="VVV85" s="6"/>
      <c r="VVW85" s="6"/>
      <c r="VVX85" s="6"/>
      <c r="VVY85" s="6"/>
      <c r="VVZ85" s="6"/>
      <c r="VWA85" s="6"/>
      <c r="VWB85" s="6"/>
      <c r="VWC85" s="6"/>
      <c r="VWD85" s="6"/>
      <c r="VWE85" s="6"/>
      <c r="VWF85" s="6"/>
      <c r="VWG85" s="6"/>
      <c r="VWH85" s="6"/>
      <c r="VWI85" s="6"/>
      <c r="VWJ85" s="6"/>
      <c r="VWK85" s="6"/>
      <c r="VWL85" s="6"/>
      <c r="VWM85" s="6"/>
      <c r="VWN85" s="6"/>
      <c r="VWO85" s="6"/>
      <c r="VWP85" s="6"/>
      <c r="VWQ85" s="6"/>
      <c r="VWR85" s="6"/>
      <c r="VWS85" s="6"/>
      <c r="VWT85" s="6"/>
      <c r="VWU85" s="6"/>
      <c r="VWV85" s="6"/>
      <c r="VWW85" s="6"/>
      <c r="VWX85" s="6"/>
      <c r="VWY85" s="6"/>
      <c r="VWZ85" s="6"/>
      <c r="VXA85" s="6"/>
      <c r="VXB85" s="6"/>
      <c r="VXC85" s="6"/>
      <c r="VXD85" s="6"/>
      <c r="VXE85" s="6"/>
      <c r="VXF85" s="6"/>
      <c r="VXG85" s="6"/>
      <c r="VXH85" s="6"/>
      <c r="VXI85" s="6"/>
      <c r="VXJ85" s="6"/>
      <c r="VXK85" s="6"/>
      <c r="VXL85" s="6"/>
      <c r="VXM85" s="6"/>
      <c r="VXN85" s="6"/>
      <c r="VXO85" s="6"/>
      <c r="VXP85" s="6"/>
      <c r="VXQ85" s="6"/>
      <c r="VXR85" s="6"/>
      <c r="VXS85" s="6"/>
      <c r="VXT85" s="6"/>
      <c r="VXU85" s="6"/>
      <c r="VXV85" s="6"/>
      <c r="VXW85" s="6"/>
      <c r="VXX85" s="6"/>
      <c r="VXY85" s="6"/>
      <c r="VXZ85" s="6"/>
      <c r="VYA85" s="6"/>
      <c r="VYB85" s="6"/>
      <c r="VYC85" s="6"/>
      <c r="VYD85" s="6"/>
      <c r="VYE85" s="6"/>
      <c r="VYF85" s="6"/>
      <c r="VYG85" s="6"/>
      <c r="VYH85" s="6"/>
      <c r="VYI85" s="6"/>
      <c r="VYJ85" s="6"/>
      <c r="VYK85" s="6"/>
      <c r="VYL85" s="6"/>
      <c r="VYM85" s="6"/>
      <c r="VYN85" s="6"/>
      <c r="VYO85" s="6"/>
      <c r="VYP85" s="6"/>
      <c r="VYQ85" s="6"/>
      <c r="VYR85" s="6"/>
      <c r="VYS85" s="6"/>
      <c r="VYT85" s="6"/>
      <c r="VYU85" s="6"/>
      <c r="VYV85" s="6"/>
      <c r="VYW85" s="6"/>
      <c r="VYX85" s="6"/>
      <c r="VYY85" s="6"/>
      <c r="VYZ85" s="6"/>
      <c r="VZA85" s="6"/>
      <c r="VZB85" s="6"/>
      <c r="VZC85" s="6"/>
      <c r="VZD85" s="6"/>
      <c r="VZE85" s="6"/>
      <c r="VZF85" s="6"/>
      <c r="VZG85" s="6"/>
      <c r="VZH85" s="6"/>
      <c r="VZI85" s="6"/>
      <c r="VZJ85" s="6"/>
      <c r="VZK85" s="6"/>
      <c r="VZL85" s="6"/>
      <c r="VZM85" s="6"/>
      <c r="VZN85" s="6"/>
      <c r="VZO85" s="6"/>
      <c r="VZP85" s="6"/>
      <c r="VZQ85" s="6"/>
      <c r="VZR85" s="6"/>
      <c r="VZS85" s="6"/>
      <c r="VZT85" s="6"/>
      <c r="VZU85" s="6"/>
      <c r="VZV85" s="6"/>
      <c r="VZW85" s="6"/>
      <c r="VZX85" s="6"/>
      <c r="VZY85" s="6"/>
      <c r="VZZ85" s="6"/>
      <c r="WAA85" s="6"/>
      <c r="WAB85" s="6"/>
      <c r="WAC85" s="6"/>
      <c r="WAD85" s="6"/>
      <c r="WAE85" s="6"/>
      <c r="WAF85" s="6"/>
      <c r="WAG85" s="6"/>
      <c r="WAH85" s="6"/>
      <c r="WAI85" s="6"/>
      <c r="WAJ85" s="6"/>
      <c r="WAK85" s="6"/>
      <c r="WAL85" s="6"/>
      <c r="WAM85" s="6"/>
      <c r="WAN85" s="6"/>
      <c r="WAO85" s="6"/>
      <c r="WAP85" s="6"/>
      <c r="WAQ85" s="6"/>
      <c r="WAR85" s="6"/>
      <c r="WAS85" s="6"/>
      <c r="WAT85" s="6"/>
      <c r="WAU85" s="6"/>
      <c r="WAV85" s="6"/>
      <c r="WAW85" s="6"/>
      <c r="WAX85" s="6"/>
      <c r="WAY85" s="6"/>
      <c r="WAZ85" s="6"/>
      <c r="WBA85" s="6"/>
      <c r="WBB85" s="6"/>
      <c r="WBC85" s="6"/>
      <c r="WBD85" s="6"/>
      <c r="WBE85" s="6"/>
      <c r="WBF85" s="6"/>
      <c r="WBG85" s="6"/>
      <c r="WBH85" s="6"/>
      <c r="WBI85" s="6"/>
      <c r="WBJ85" s="6"/>
      <c r="WBK85" s="6"/>
      <c r="WBL85" s="6"/>
      <c r="WBM85" s="6"/>
      <c r="WBN85" s="6"/>
      <c r="WBO85" s="6"/>
      <c r="WBP85" s="6"/>
      <c r="WBQ85" s="6"/>
      <c r="WBR85" s="6"/>
      <c r="WBS85" s="6"/>
      <c r="WBT85" s="6"/>
      <c r="WBU85" s="6"/>
      <c r="WBV85" s="6"/>
      <c r="WBW85" s="6"/>
      <c r="WBX85" s="6"/>
      <c r="WBY85" s="6"/>
      <c r="WBZ85" s="6"/>
      <c r="WCA85" s="6"/>
      <c r="WCB85" s="6"/>
      <c r="WCC85" s="6"/>
      <c r="WCD85" s="6"/>
      <c r="WCE85" s="6"/>
      <c r="WCF85" s="6"/>
      <c r="WCG85" s="6"/>
      <c r="WCH85" s="6"/>
      <c r="WCI85" s="6"/>
      <c r="WCJ85" s="6"/>
      <c r="WCK85" s="6"/>
      <c r="WCL85" s="6"/>
      <c r="WCM85" s="6"/>
      <c r="WCN85" s="6"/>
      <c r="WCO85" s="6"/>
      <c r="WCP85" s="6"/>
      <c r="WCQ85" s="6"/>
      <c r="WCR85" s="6"/>
      <c r="WCS85" s="6"/>
      <c r="WCT85" s="6"/>
      <c r="WCU85" s="6"/>
      <c r="WCV85" s="6"/>
      <c r="WCW85" s="6"/>
      <c r="WCX85" s="6"/>
      <c r="WCY85" s="6"/>
      <c r="WCZ85" s="6"/>
      <c r="WDA85" s="6"/>
      <c r="WDB85" s="6"/>
      <c r="WDC85" s="6"/>
      <c r="WDD85" s="6"/>
      <c r="WDE85" s="6"/>
      <c r="WDF85" s="6"/>
      <c r="WDG85" s="6"/>
      <c r="WDH85" s="6"/>
      <c r="WDI85" s="6"/>
      <c r="WDJ85" s="6"/>
      <c r="WDK85" s="6"/>
      <c r="WDL85" s="6"/>
      <c r="WDM85" s="6"/>
      <c r="WDN85" s="6"/>
      <c r="WDO85" s="6"/>
      <c r="WDP85" s="6"/>
      <c r="WDQ85" s="6"/>
      <c r="WDR85" s="6"/>
      <c r="WDS85" s="6"/>
      <c r="WDT85" s="6"/>
      <c r="WDU85" s="6"/>
      <c r="WDV85" s="6"/>
      <c r="WDW85" s="6"/>
      <c r="WDX85" s="6"/>
      <c r="WDY85" s="6"/>
      <c r="WDZ85" s="6"/>
      <c r="WEA85" s="6"/>
      <c r="WEB85" s="6"/>
      <c r="WEC85" s="6"/>
      <c r="WED85" s="6"/>
      <c r="WEE85" s="6"/>
      <c r="WEF85" s="6"/>
      <c r="WEG85" s="6"/>
      <c r="WEH85" s="6"/>
      <c r="WEI85" s="6"/>
      <c r="WEJ85" s="6"/>
      <c r="WEK85" s="6"/>
      <c r="WEL85" s="6"/>
      <c r="WEM85" s="6"/>
      <c r="WEN85" s="6"/>
      <c r="WEO85" s="6"/>
      <c r="WEP85" s="6"/>
      <c r="WEQ85" s="6"/>
      <c r="WER85" s="6"/>
      <c r="WES85" s="6"/>
      <c r="WET85" s="6"/>
      <c r="WEU85" s="6"/>
      <c r="WEV85" s="6"/>
      <c r="WEW85" s="6"/>
      <c r="WEX85" s="6"/>
      <c r="WEY85" s="6"/>
      <c r="WEZ85" s="6"/>
      <c r="WFA85" s="6"/>
      <c r="WFB85" s="6"/>
      <c r="WFC85" s="6"/>
      <c r="WFD85" s="6"/>
      <c r="WFE85" s="6"/>
      <c r="WFF85" s="6"/>
      <c r="WFG85" s="6"/>
      <c r="WFH85" s="6"/>
      <c r="WFI85" s="6"/>
      <c r="WFJ85" s="6"/>
      <c r="WFK85" s="6"/>
      <c r="WFL85" s="6"/>
      <c r="WFM85" s="6"/>
      <c r="WFN85" s="6"/>
      <c r="WFO85" s="6"/>
      <c r="WFP85" s="6"/>
      <c r="WFQ85" s="6"/>
      <c r="WFR85" s="6"/>
      <c r="WFS85" s="6"/>
      <c r="WFT85" s="6"/>
      <c r="WFU85" s="6"/>
      <c r="WFV85" s="6"/>
      <c r="WFW85" s="6"/>
      <c r="WFX85" s="6"/>
      <c r="WFY85" s="6"/>
      <c r="WFZ85" s="6"/>
      <c r="WGA85" s="6"/>
      <c r="WGB85" s="6"/>
      <c r="WGC85" s="6"/>
      <c r="WGD85" s="6"/>
      <c r="WGE85" s="6"/>
      <c r="WGF85" s="6"/>
      <c r="WGG85" s="6"/>
      <c r="WGH85" s="6"/>
      <c r="WGI85" s="6"/>
      <c r="WGJ85" s="6"/>
      <c r="WGK85" s="6"/>
      <c r="WGL85" s="6"/>
      <c r="WGM85" s="6"/>
      <c r="WGN85" s="6"/>
      <c r="WGO85" s="6"/>
      <c r="WGP85" s="6"/>
      <c r="WGQ85" s="6"/>
      <c r="WGR85" s="6"/>
      <c r="WGS85" s="6"/>
      <c r="WGT85" s="6"/>
      <c r="WGU85" s="6"/>
      <c r="WGV85" s="6"/>
      <c r="WGW85" s="6"/>
      <c r="WGX85" s="6"/>
      <c r="WGY85" s="6"/>
      <c r="WGZ85" s="6"/>
      <c r="WHA85" s="6"/>
      <c r="WHB85" s="6"/>
      <c r="WHC85" s="6"/>
      <c r="WHD85" s="6"/>
      <c r="WHE85" s="6"/>
      <c r="WHF85" s="6"/>
      <c r="WHG85" s="6"/>
      <c r="WHH85" s="6"/>
      <c r="WHI85" s="6"/>
      <c r="WHJ85" s="6"/>
      <c r="WHK85" s="6"/>
      <c r="WHL85" s="6"/>
      <c r="WHM85" s="6"/>
      <c r="WHN85" s="6"/>
      <c r="WHO85" s="6"/>
      <c r="WHP85" s="6"/>
      <c r="WHQ85" s="6"/>
      <c r="WHR85" s="6"/>
      <c r="WHS85" s="6"/>
      <c r="WHT85" s="6"/>
      <c r="WHU85" s="6"/>
      <c r="WHV85" s="6"/>
      <c r="WHW85" s="6"/>
      <c r="WHX85" s="6"/>
      <c r="WHY85" s="6"/>
      <c r="WHZ85" s="6"/>
      <c r="WIA85" s="6"/>
      <c r="WIB85" s="6"/>
      <c r="WIC85" s="6"/>
      <c r="WID85" s="6"/>
      <c r="WIE85" s="6"/>
      <c r="WIF85" s="6"/>
      <c r="WIG85" s="6"/>
      <c r="WIH85" s="6"/>
      <c r="WII85" s="6"/>
      <c r="WIJ85" s="6"/>
      <c r="WIK85" s="6"/>
      <c r="WIL85" s="6"/>
      <c r="WIM85" s="6"/>
      <c r="WIN85" s="6"/>
      <c r="WIO85" s="6"/>
      <c r="WIP85" s="6"/>
      <c r="WIQ85" s="6"/>
      <c r="WIR85" s="6"/>
      <c r="WIS85" s="6"/>
      <c r="WIT85" s="6"/>
      <c r="WIU85" s="6"/>
      <c r="WIV85" s="6"/>
      <c r="WIW85" s="6"/>
      <c r="WIX85" s="6"/>
      <c r="WIY85" s="6"/>
      <c r="WIZ85" s="6"/>
      <c r="WJA85" s="6"/>
      <c r="WJB85" s="6"/>
      <c r="WJC85" s="6"/>
      <c r="WJD85" s="6"/>
      <c r="WJE85" s="6"/>
      <c r="WJF85" s="6"/>
      <c r="WJG85" s="6"/>
      <c r="WJH85" s="6"/>
      <c r="WJI85" s="6"/>
      <c r="WJJ85" s="6"/>
      <c r="WJK85" s="6"/>
      <c r="WJL85" s="6"/>
      <c r="WJM85" s="6"/>
      <c r="WJN85" s="6"/>
      <c r="WJO85" s="6"/>
      <c r="WJP85" s="6"/>
      <c r="WJQ85" s="6"/>
      <c r="WJR85" s="6"/>
      <c r="WJS85" s="6"/>
      <c r="WJT85" s="6"/>
      <c r="WJU85" s="6"/>
      <c r="WJV85" s="6"/>
      <c r="WJW85" s="6"/>
      <c r="WJX85" s="6"/>
      <c r="WJY85" s="6"/>
      <c r="WJZ85" s="6"/>
      <c r="WKA85" s="6"/>
      <c r="WKB85" s="6"/>
      <c r="WKC85" s="6"/>
      <c r="WKD85" s="6"/>
      <c r="WKE85" s="6"/>
      <c r="WKF85" s="6"/>
      <c r="WKG85" s="6"/>
      <c r="WKH85" s="6"/>
      <c r="WKI85" s="6"/>
      <c r="WKJ85" s="6"/>
      <c r="WKK85" s="6"/>
      <c r="WKL85" s="6"/>
      <c r="WKM85" s="6"/>
      <c r="WKN85" s="6"/>
      <c r="WKO85" s="6"/>
      <c r="WKP85" s="6"/>
      <c r="WKQ85" s="6"/>
      <c r="WKR85" s="6"/>
      <c r="WKS85" s="6"/>
      <c r="WKT85" s="6"/>
      <c r="WKU85" s="6"/>
      <c r="WKV85" s="6"/>
      <c r="WKW85" s="6"/>
      <c r="WKX85" s="6"/>
      <c r="WKY85" s="6"/>
      <c r="WKZ85" s="6"/>
      <c r="WLA85" s="6"/>
      <c r="WLB85" s="6"/>
      <c r="WLC85" s="6"/>
      <c r="WLD85" s="6"/>
      <c r="WLE85" s="6"/>
      <c r="WLF85" s="6"/>
      <c r="WLG85" s="6"/>
      <c r="WLH85" s="6"/>
      <c r="WLI85" s="6"/>
      <c r="WLJ85" s="6"/>
      <c r="WLK85" s="6"/>
      <c r="WLL85" s="6"/>
      <c r="WLM85" s="6"/>
      <c r="WLN85" s="6"/>
      <c r="WLO85" s="6"/>
      <c r="WLP85" s="6"/>
      <c r="WLQ85" s="6"/>
      <c r="WLR85" s="6"/>
      <c r="WLS85" s="6"/>
      <c r="WLT85" s="6"/>
      <c r="WLU85" s="6"/>
      <c r="WLV85" s="6"/>
      <c r="WLW85" s="6"/>
      <c r="WLX85" s="6"/>
      <c r="WLY85" s="6"/>
      <c r="WLZ85" s="6"/>
      <c r="WMA85" s="6"/>
      <c r="WMB85" s="6"/>
      <c r="WMC85" s="6"/>
      <c r="WMD85" s="6"/>
      <c r="WME85" s="6"/>
      <c r="WMF85" s="6"/>
      <c r="WMG85" s="6"/>
      <c r="WMH85" s="6"/>
      <c r="WMI85" s="6"/>
      <c r="WMJ85" s="6"/>
      <c r="WMK85" s="6"/>
      <c r="WML85" s="6"/>
      <c r="WMM85" s="6"/>
      <c r="WMN85" s="6"/>
      <c r="WMO85" s="6"/>
      <c r="WMP85" s="6"/>
      <c r="WMQ85" s="6"/>
      <c r="WMR85" s="6"/>
      <c r="WMS85" s="6"/>
      <c r="WMT85" s="6"/>
      <c r="WMU85" s="6"/>
      <c r="WMV85" s="6"/>
      <c r="WMW85" s="6"/>
      <c r="WMX85" s="6"/>
      <c r="WMY85" s="6"/>
      <c r="WMZ85" s="6"/>
      <c r="WNA85" s="6"/>
      <c r="WNB85" s="6"/>
      <c r="WNC85" s="6"/>
      <c r="WND85" s="6"/>
      <c r="WNE85" s="6"/>
      <c r="WNF85" s="6"/>
      <c r="WNG85" s="6"/>
      <c r="WNH85" s="6"/>
      <c r="WNI85" s="6"/>
      <c r="WNJ85" s="6"/>
      <c r="WNK85" s="6"/>
      <c r="WNL85" s="6"/>
      <c r="WNM85" s="6"/>
      <c r="WNN85" s="6"/>
      <c r="WNO85" s="6"/>
      <c r="WNP85" s="6"/>
      <c r="WNQ85" s="6"/>
      <c r="WNR85" s="6"/>
      <c r="WNS85" s="6"/>
      <c r="WNT85" s="6"/>
      <c r="WNU85" s="6"/>
      <c r="WNV85" s="6"/>
      <c r="WNW85" s="6"/>
      <c r="WNX85" s="6"/>
      <c r="WNY85" s="6"/>
      <c r="WNZ85" s="6"/>
      <c r="WOA85" s="6"/>
      <c r="WOB85" s="6"/>
      <c r="WOC85" s="6"/>
      <c r="WOD85" s="6"/>
      <c r="WOE85" s="6"/>
      <c r="WOF85" s="6"/>
      <c r="WOG85" s="6"/>
      <c r="WOH85" s="6"/>
      <c r="WOI85" s="6"/>
      <c r="WOJ85" s="6"/>
      <c r="WOK85" s="6"/>
      <c r="WOL85" s="6"/>
      <c r="WOM85" s="6"/>
      <c r="WON85" s="6"/>
      <c r="WOO85" s="6"/>
      <c r="WOP85" s="6"/>
      <c r="WOQ85" s="6"/>
      <c r="WOR85" s="6"/>
      <c r="WOS85" s="6"/>
      <c r="WOT85" s="6"/>
      <c r="WOU85" s="6"/>
      <c r="WOV85" s="6"/>
      <c r="WOW85" s="6"/>
      <c r="WOX85" s="6"/>
      <c r="WOY85" s="6"/>
      <c r="WOZ85" s="6"/>
      <c r="WPA85" s="6"/>
      <c r="WPB85" s="6"/>
      <c r="WPC85" s="6"/>
      <c r="WPD85" s="6"/>
      <c r="WPE85" s="6"/>
      <c r="WPF85" s="6"/>
      <c r="WPG85" s="6"/>
      <c r="WPH85" s="6"/>
      <c r="WPI85" s="6"/>
      <c r="WPJ85" s="6"/>
      <c r="WPK85" s="6"/>
      <c r="WPL85" s="6"/>
      <c r="WPM85" s="6"/>
      <c r="WPN85" s="6"/>
      <c r="WPO85" s="6"/>
      <c r="WPP85" s="6"/>
      <c r="WPQ85" s="6"/>
      <c r="WPR85" s="6"/>
      <c r="WPS85" s="6"/>
      <c r="WPT85" s="6"/>
      <c r="WPU85" s="6"/>
      <c r="WPV85" s="6"/>
      <c r="WPW85" s="6"/>
      <c r="WPX85" s="6"/>
      <c r="WPY85" s="6"/>
      <c r="WPZ85" s="6"/>
      <c r="WQA85" s="6"/>
      <c r="WQB85" s="6"/>
      <c r="WQC85" s="6"/>
      <c r="WQD85" s="6"/>
      <c r="WQE85" s="6"/>
      <c r="WQF85" s="6"/>
      <c r="WQG85" s="6"/>
      <c r="WQH85" s="6"/>
      <c r="WQI85" s="6"/>
      <c r="WQJ85" s="6"/>
      <c r="WQK85" s="6"/>
      <c r="WQL85" s="6"/>
      <c r="WQM85" s="6"/>
      <c r="WQN85" s="6"/>
      <c r="WQO85" s="6"/>
      <c r="WQP85" s="6"/>
      <c r="WQQ85" s="6"/>
      <c r="WQR85" s="6"/>
      <c r="WQS85" s="6"/>
      <c r="WQT85" s="6"/>
      <c r="WQU85" s="6"/>
      <c r="WQV85" s="6"/>
      <c r="WQW85" s="6"/>
      <c r="WQX85" s="6"/>
      <c r="WQY85" s="6"/>
      <c r="WQZ85" s="6"/>
      <c r="WRA85" s="6"/>
      <c r="WRB85" s="6"/>
      <c r="WRC85" s="6"/>
      <c r="WRD85" s="6"/>
      <c r="WRE85" s="6"/>
      <c r="WRF85" s="6"/>
      <c r="WRG85" s="6"/>
      <c r="WRH85" s="6"/>
      <c r="WRI85" s="6"/>
      <c r="WRJ85" s="6"/>
      <c r="WRK85" s="6"/>
      <c r="WRL85" s="6"/>
      <c r="WRM85" s="6"/>
      <c r="WRN85" s="6"/>
      <c r="WRO85" s="6"/>
      <c r="WRP85" s="6"/>
      <c r="WRQ85" s="6"/>
      <c r="WRR85" s="6"/>
      <c r="WRS85" s="6"/>
      <c r="WRT85" s="6"/>
      <c r="WRU85" s="6"/>
      <c r="WRV85" s="6"/>
      <c r="WRW85" s="6"/>
      <c r="WRX85" s="6"/>
      <c r="WRY85" s="6"/>
      <c r="WRZ85" s="6"/>
      <c r="WSA85" s="6"/>
      <c r="WSB85" s="6"/>
      <c r="WSC85" s="6"/>
      <c r="WSD85" s="6"/>
      <c r="WSE85" s="6"/>
      <c r="WSF85" s="6"/>
      <c r="WSG85" s="6"/>
      <c r="WSH85" s="6"/>
      <c r="WSI85" s="6"/>
      <c r="WSJ85" s="6"/>
      <c r="WSK85" s="6"/>
      <c r="WSL85" s="6"/>
      <c r="WSM85" s="6"/>
      <c r="WSN85" s="6"/>
      <c r="WSO85" s="6"/>
      <c r="WSP85" s="6"/>
      <c r="WSQ85" s="6"/>
      <c r="WSR85" s="6"/>
      <c r="WSS85" s="6"/>
      <c r="WST85" s="6"/>
      <c r="WSU85" s="6"/>
      <c r="WSV85" s="6"/>
      <c r="WSW85" s="6"/>
      <c r="WSX85" s="6"/>
      <c r="WSY85" s="6"/>
      <c r="WSZ85" s="6"/>
      <c r="WTA85" s="6"/>
      <c r="WTB85" s="6"/>
      <c r="WTC85" s="6"/>
      <c r="WTD85" s="6"/>
      <c r="WTE85" s="6"/>
      <c r="WTF85" s="6"/>
      <c r="WTG85" s="6"/>
      <c r="WTH85" s="6"/>
      <c r="WTI85" s="6"/>
      <c r="WTJ85" s="6"/>
      <c r="WTK85" s="6"/>
      <c r="WTL85" s="6"/>
      <c r="WTM85" s="6"/>
      <c r="WTN85" s="6"/>
      <c r="WTO85" s="6"/>
      <c r="WTP85" s="6"/>
      <c r="WTQ85" s="6"/>
      <c r="WTR85" s="6"/>
      <c r="WTS85" s="6"/>
      <c r="WTT85" s="6"/>
      <c r="WTU85" s="6"/>
      <c r="WTV85" s="6"/>
      <c r="WTW85" s="6"/>
      <c r="WTX85" s="6"/>
      <c r="WTY85" s="6"/>
      <c r="WTZ85" s="6"/>
      <c r="WUA85" s="6"/>
      <c r="WUB85" s="6"/>
      <c r="WUC85" s="6"/>
      <c r="WUD85" s="6"/>
      <c r="WUE85" s="6"/>
      <c r="WUF85" s="6"/>
      <c r="WUG85" s="6"/>
      <c r="WUH85" s="6"/>
      <c r="WUI85" s="6"/>
      <c r="WUJ85" s="6"/>
      <c r="WUK85" s="6"/>
      <c r="WUL85" s="6"/>
      <c r="WUM85" s="6"/>
      <c r="WUN85" s="6"/>
      <c r="WUO85" s="6"/>
      <c r="WUP85" s="6"/>
      <c r="WUQ85" s="6"/>
      <c r="WUR85" s="6"/>
      <c r="WUS85" s="6"/>
      <c r="WUT85" s="6"/>
      <c r="WUU85" s="6"/>
      <c r="WUV85" s="6"/>
      <c r="WUW85" s="6"/>
      <c r="WUX85" s="6"/>
      <c r="WUY85" s="6"/>
      <c r="WUZ85" s="6"/>
      <c r="WVA85" s="6"/>
      <c r="WVB85" s="6"/>
      <c r="WVC85" s="6"/>
      <c r="WVD85" s="6"/>
      <c r="WVE85" s="6"/>
      <c r="WVF85" s="6"/>
      <c r="WVG85" s="6"/>
      <c r="WVH85" s="6"/>
      <c r="WVI85" s="6"/>
      <c r="WVJ85" s="6"/>
      <c r="WVK85" s="6"/>
      <c r="WVL85" s="6"/>
      <c r="WVM85" s="6"/>
      <c r="WVN85" s="6"/>
      <c r="WVO85" s="6"/>
      <c r="WVP85" s="6"/>
      <c r="WVQ85" s="6"/>
      <c r="WVR85" s="6"/>
      <c r="WVS85" s="6"/>
      <c r="WVT85" s="6"/>
      <c r="WVU85" s="6"/>
      <c r="WVV85" s="6"/>
      <c r="WVW85" s="6"/>
      <c r="WVX85" s="6"/>
      <c r="WVY85" s="6"/>
      <c r="WVZ85" s="6"/>
      <c r="WWA85" s="6"/>
      <c r="WWB85" s="6"/>
      <c r="WWC85" s="6"/>
      <c r="WWD85" s="6"/>
      <c r="WWE85" s="6"/>
      <c r="WWF85" s="6"/>
      <c r="WWG85" s="6"/>
      <c r="WWH85" s="6"/>
      <c r="WWI85" s="6"/>
      <c r="WWJ85" s="6"/>
      <c r="WWK85" s="6"/>
      <c r="WWL85" s="6"/>
      <c r="WWM85" s="6"/>
      <c r="WWN85" s="6"/>
      <c r="WWO85" s="6"/>
      <c r="WWP85" s="6"/>
      <c r="WWQ85" s="6"/>
      <c r="WWR85" s="6"/>
      <c r="WWS85" s="6"/>
      <c r="WWT85" s="6"/>
      <c r="WWU85" s="6"/>
      <c r="WWV85" s="6"/>
      <c r="WWW85" s="6"/>
      <c r="WWX85" s="6"/>
      <c r="WWY85" s="6"/>
      <c r="WWZ85" s="6"/>
      <c r="WXA85" s="6"/>
      <c r="WXB85" s="6"/>
      <c r="WXC85" s="6"/>
      <c r="WXD85" s="6"/>
      <c r="WXE85" s="6"/>
      <c r="WXF85" s="6"/>
      <c r="WXG85" s="6"/>
      <c r="WXH85" s="6"/>
      <c r="WXI85" s="6"/>
      <c r="WXJ85" s="6"/>
      <c r="WXK85" s="6"/>
      <c r="WXL85" s="6"/>
      <c r="WXM85" s="6"/>
      <c r="WXN85" s="6"/>
      <c r="WXO85" s="6"/>
      <c r="WXP85" s="6"/>
      <c r="WXQ85" s="6"/>
      <c r="WXR85" s="6"/>
      <c r="WXS85" s="6"/>
      <c r="WXT85" s="6"/>
      <c r="WXU85" s="6"/>
      <c r="WXV85" s="6"/>
      <c r="WXW85" s="6"/>
      <c r="WXX85" s="6"/>
      <c r="WXY85" s="6"/>
      <c r="WXZ85" s="6"/>
      <c r="WYA85" s="6"/>
      <c r="WYB85" s="6"/>
      <c r="WYC85" s="6"/>
      <c r="WYD85" s="6"/>
      <c r="WYE85" s="6"/>
      <c r="WYF85" s="6"/>
      <c r="WYG85" s="6"/>
      <c r="WYH85" s="6"/>
      <c r="WYI85" s="6"/>
      <c r="WYJ85" s="6"/>
      <c r="WYK85" s="6"/>
      <c r="WYL85" s="6"/>
      <c r="WYM85" s="6"/>
      <c r="WYN85" s="6"/>
      <c r="WYO85" s="6"/>
      <c r="WYP85" s="6"/>
      <c r="WYQ85" s="6"/>
      <c r="WYR85" s="6"/>
      <c r="WYS85" s="6"/>
      <c r="WYT85" s="6"/>
      <c r="WYU85" s="6"/>
      <c r="WYV85" s="6"/>
      <c r="WYW85" s="6"/>
      <c r="WYX85" s="6"/>
      <c r="WYY85" s="6"/>
      <c r="WYZ85" s="6"/>
      <c r="WZA85" s="6"/>
      <c r="WZB85" s="6"/>
      <c r="WZC85" s="6"/>
      <c r="WZD85" s="6"/>
      <c r="WZE85" s="6"/>
      <c r="WZF85" s="6"/>
      <c r="WZG85" s="6"/>
      <c r="WZH85" s="6"/>
      <c r="WZI85" s="6"/>
      <c r="WZJ85" s="6"/>
      <c r="WZK85" s="6"/>
      <c r="WZL85" s="6"/>
      <c r="WZM85" s="6"/>
      <c r="WZN85" s="6"/>
      <c r="WZO85" s="6"/>
      <c r="WZP85" s="6"/>
      <c r="WZQ85" s="6"/>
      <c r="WZR85" s="6"/>
      <c r="WZS85" s="6"/>
      <c r="WZT85" s="6"/>
      <c r="WZU85" s="6"/>
      <c r="WZV85" s="6"/>
      <c r="WZW85" s="6"/>
      <c r="WZX85" s="6"/>
      <c r="WZY85" s="6"/>
      <c r="WZZ85" s="6"/>
      <c r="XAA85" s="6"/>
      <c r="XAB85" s="6"/>
      <c r="XAC85" s="6"/>
      <c r="XAD85" s="6"/>
      <c r="XAE85" s="6"/>
      <c r="XAF85" s="6"/>
      <c r="XAG85" s="6"/>
      <c r="XAH85" s="6"/>
      <c r="XAI85" s="6"/>
      <c r="XAJ85" s="6"/>
      <c r="XAK85" s="6"/>
      <c r="XAL85" s="6"/>
      <c r="XAM85" s="6"/>
      <c r="XAN85" s="6"/>
      <c r="XAO85" s="6"/>
      <c r="XAP85" s="6"/>
      <c r="XAQ85" s="6"/>
      <c r="XAR85" s="6"/>
      <c r="XAS85" s="6"/>
      <c r="XAT85" s="6"/>
      <c r="XAU85" s="6"/>
      <c r="XAV85" s="6"/>
      <c r="XAW85" s="6"/>
      <c r="XAX85" s="6"/>
      <c r="XAY85" s="6"/>
      <c r="XAZ85" s="6"/>
      <c r="XBA85" s="6"/>
      <c r="XBB85" s="6"/>
      <c r="XBC85" s="6"/>
      <c r="XBD85" s="6"/>
      <c r="XBE85" s="6"/>
      <c r="XBF85" s="6"/>
      <c r="XBG85" s="6"/>
      <c r="XBH85" s="6"/>
      <c r="XBI85" s="6"/>
      <c r="XBJ85" s="6"/>
      <c r="XBK85" s="6"/>
      <c r="XBL85" s="6"/>
      <c r="XBM85" s="6"/>
      <c r="XBN85" s="6"/>
      <c r="XBO85" s="6"/>
      <c r="XBP85" s="6"/>
      <c r="XBQ85" s="6"/>
      <c r="XBR85" s="6"/>
      <c r="XBS85" s="6"/>
      <c r="XBT85" s="6"/>
      <c r="XBU85" s="6"/>
      <c r="XBV85" s="6"/>
      <c r="XBW85" s="6"/>
      <c r="XBX85" s="6"/>
      <c r="XBY85" s="6"/>
      <c r="XBZ85" s="6"/>
      <c r="XCA85" s="6"/>
      <c r="XCB85" s="6"/>
      <c r="XCC85" s="6"/>
      <c r="XCD85" s="6"/>
      <c r="XCE85" s="6"/>
      <c r="XCF85" s="6"/>
      <c r="XCG85" s="6"/>
      <c r="XCH85" s="6"/>
      <c r="XCI85" s="6"/>
      <c r="XCJ85" s="6"/>
      <c r="XCK85" s="6"/>
      <c r="XCL85" s="6"/>
      <c r="XCM85" s="6"/>
      <c r="XCN85" s="6"/>
      <c r="XCO85" s="6"/>
      <c r="XCP85" s="6"/>
      <c r="XCQ85" s="6"/>
      <c r="XCR85" s="6"/>
      <c r="XCS85" s="6"/>
      <c r="XCT85" s="6"/>
      <c r="XCU85" s="6"/>
      <c r="XCV85" s="6"/>
      <c r="XCW85" s="6"/>
    </row>
    <row r="86" spans="1:16325" s="153" customFormat="1" hidden="1">
      <c r="A86" s="6"/>
      <c r="B86" s="70" t="s">
        <v>99</v>
      </c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  <c r="AA86" s="6"/>
      <c r="AB86" s="6"/>
      <c r="AC86" s="6"/>
      <c r="AD86" s="6"/>
      <c r="AE86" s="6"/>
      <c r="AF86" s="6"/>
      <c r="AG86" s="6"/>
      <c r="AH86" s="6"/>
      <c r="AI86" s="6"/>
      <c r="AJ86" s="6"/>
      <c r="AK86" s="6"/>
      <c r="AL86" s="6"/>
      <c r="AM86" s="6"/>
      <c r="AN86" s="6"/>
      <c r="AO86" s="6"/>
      <c r="AP86" s="6"/>
      <c r="AQ86" s="6"/>
      <c r="AR86" s="6"/>
      <c r="AS86" s="160">
        <v>200</v>
      </c>
      <c r="AT86" s="160">
        <v>275</v>
      </c>
      <c r="AU86" s="161">
        <f>SUM(AQ86:AT86)</f>
        <v>475</v>
      </c>
      <c r="AV86" s="160">
        <v>290</v>
      </c>
      <c r="AW86" s="160">
        <v>300</v>
      </c>
      <c r="AX86" s="160">
        <v>310</v>
      </c>
      <c r="AY86" s="160">
        <v>310</v>
      </c>
      <c r="AZ86" s="161">
        <f>SUM(AV86:AY86)</f>
        <v>1210</v>
      </c>
      <c r="BA86" s="6"/>
      <c r="BB86" s="6"/>
      <c r="BC86" s="6"/>
      <c r="BD86" s="6"/>
      <c r="BE86" s="6" t="e">
        <f>BE85-AZ85-AZ86</f>
        <v>#REF!</v>
      </c>
      <c r="BF86" s="6"/>
      <c r="BG86" s="6"/>
      <c r="BH86" s="6"/>
      <c r="BI86" s="6"/>
      <c r="BJ86" s="6" t="s">
        <v>100</v>
      </c>
      <c r="BK86" s="6"/>
      <c r="BL86" s="6"/>
      <c r="BM86" s="6"/>
      <c r="BN86" s="6"/>
      <c r="BO86" s="6"/>
      <c r="BP86" s="6"/>
      <c r="BQ86" s="6"/>
      <c r="BR86" s="6"/>
      <c r="BS86" s="6"/>
      <c r="BT86" s="6"/>
      <c r="BU86" s="6"/>
      <c r="BV86" s="6"/>
      <c r="BW86" s="6"/>
      <c r="BX86" s="6"/>
      <c r="BY86" s="6"/>
      <c r="BZ86" s="6"/>
      <c r="CA86" s="6"/>
      <c r="CB86" s="6"/>
      <c r="CC86" s="6"/>
      <c r="CD86" s="6"/>
      <c r="CE86" s="6"/>
      <c r="CF86" s="6"/>
      <c r="CG86" s="6"/>
      <c r="CH86" s="6"/>
      <c r="CI86" s="6"/>
      <c r="CJ86" s="6"/>
      <c r="CK86" s="6"/>
      <c r="CL86" s="6"/>
      <c r="CM86" s="6"/>
      <c r="CN86" s="6"/>
      <c r="CO86" s="6"/>
      <c r="CP86" s="6"/>
      <c r="CQ86" s="6"/>
      <c r="CR86" s="6"/>
      <c r="CS86" s="6"/>
      <c r="CT86" s="6"/>
      <c r="CU86" s="6"/>
      <c r="CV86" s="6"/>
      <c r="CW86" s="6"/>
      <c r="CX86" s="6"/>
      <c r="CY86" s="6"/>
      <c r="CZ86" s="6"/>
      <c r="DA86" s="6"/>
      <c r="DB86" s="6"/>
      <c r="DC86" s="6"/>
      <c r="DD86" s="6"/>
      <c r="DE86" s="6"/>
      <c r="DF86" s="6"/>
      <c r="DG86" s="6"/>
      <c r="DH86" s="6"/>
      <c r="DI86" s="6"/>
      <c r="DJ86" s="6"/>
      <c r="DK86" s="6"/>
      <c r="DL86" s="6"/>
      <c r="DM86" s="6"/>
      <c r="DN86" s="6"/>
      <c r="DO86" s="6"/>
      <c r="DP86" s="6"/>
      <c r="DQ86" s="6"/>
      <c r="DR86" s="6"/>
      <c r="DS86" s="6"/>
      <c r="DT86" s="6"/>
      <c r="DU86" s="6"/>
      <c r="DV86" s="6"/>
      <c r="DW86" s="6"/>
      <c r="DX86" s="6"/>
      <c r="DY86" s="6"/>
      <c r="DZ86" s="6"/>
      <c r="EA86" s="6"/>
      <c r="EB86" s="6"/>
      <c r="EC86" s="6"/>
      <c r="ED86" s="6"/>
      <c r="EE86" s="6"/>
      <c r="EF86" s="6"/>
      <c r="EG86" s="6"/>
      <c r="EH86" s="6"/>
      <c r="EI86" s="6"/>
      <c r="EJ86" s="6"/>
      <c r="EK86" s="6"/>
      <c r="EL86" s="6"/>
      <c r="EM86" s="6"/>
      <c r="EN86" s="6"/>
      <c r="EO86" s="6"/>
      <c r="EP86" s="6"/>
      <c r="EQ86" s="6"/>
      <c r="ER86" s="6"/>
      <c r="ES86" s="6"/>
      <c r="ET86" s="6"/>
      <c r="EU86" s="6"/>
      <c r="EV86" s="6"/>
      <c r="EW86" s="6"/>
      <c r="EX86" s="6"/>
      <c r="EY86" s="6"/>
      <c r="EZ86" s="6"/>
      <c r="FA86" s="6"/>
      <c r="FB86" s="6"/>
      <c r="FC86" s="6"/>
      <c r="FD86" s="6"/>
      <c r="FE86" s="6"/>
      <c r="FF86" s="6"/>
      <c r="FG86" s="6"/>
      <c r="FH86" s="6"/>
      <c r="FI86" s="6"/>
      <c r="FJ86" s="6"/>
      <c r="FK86" s="6"/>
      <c r="FL86" s="6"/>
      <c r="FM86" s="6"/>
      <c r="FN86" s="6"/>
      <c r="FO86" s="6"/>
      <c r="FP86" s="6"/>
      <c r="FQ86" s="6"/>
      <c r="FR86" s="6"/>
      <c r="FS86" s="6"/>
      <c r="FT86" s="6"/>
      <c r="FU86" s="6"/>
      <c r="FV86" s="6"/>
      <c r="FW86" s="6"/>
      <c r="FX86" s="6"/>
      <c r="FY86" s="6"/>
      <c r="FZ86" s="6"/>
      <c r="GA86" s="6"/>
      <c r="GB86" s="6"/>
      <c r="GC86" s="6"/>
      <c r="GD86" s="6"/>
      <c r="GE86" s="6"/>
      <c r="GF86" s="6"/>
      <c r="GG86" s="6"/>
      <c r="GH86" s="6"/>
      <c r="GI86" s="6"/>
      <c r="GJ86" s="6"/>
      <c r="GK86" s="6"/>
      <c r="GL86" s="6"/>
      <c r="GM86" s="6"/>
      <c r="GN86" s="6"/>
      <c r="GO86" s="6"/>
      <c r="GP86" s="6"/>
      <c r="GQ86" s="6"/>
      <c r="GR86" s="6"/>
      <c r="GS86" s="6"/>
      <c r="GT86" s="6"/>
      <c r="GU86" s="6"/>
      <c r="GV86" s="6"/>
      <c r="GW86" s="6"/>
      <c r="GX86" s="6"/>
      <c r="GY86" s="6"/>
      <c r="GZ86" s="6"/>
      <c r="HA86" s="6"/>
      <c r="HB86" s="6"/>
      <c r="HC86" s="6"/>
      <c r="HD86" s="6"/>
      <c r="HE86" s="6"/>
      <c r="HF86" s="6"/>
      <c r="HG86" s="6"/>
      <c r="HH86" s="6"/>
      <c r="HI86" s="6"/>
      <c r="HJ86" s="6"/>
      <c r="HK86" s="6"/>
      <c r="HL86" s="6"/>
      <c r="HM86" s="6"/>
      <c r="HN86" s="6"/>
      <c r="HO86" s="6"/>
      <c r="HP86" s="6"/>
      <c r="HQ86" s="6"/>
      <c r="HR86" s="6"/>
      <c r="HS86" s="6"/>
      <c r="HT86" s="6"/>
      <c r="HU86" s="6"/>
      <c r="HV86" s="6"/>
      <c r="HW86" s="6"/>
      <c r="HX86" s="6"/>
      <c r="HY86" s="6"/>
      <c r="HZ86" s="6"/>
      <c r="IA86" s="6"/>
      <c r="IB86" s="6"/>
      <c r="IC86" s="6"/>
      <c r="ID86" s="6"/>
      <c r="IE86" s="6"/>
      <c r="IF86" s="6"/>
      <c r="IG86" s="6"/>
      <c r="IH86" s="6"/>
      <c r="II86" s="6"/>
      <c r="IJ86" s="6"/>
      <c r="IK86" s="6"/>
      <c r="IL86" s="6"/>
      <c r="IM86" s="6"/>
      <c r="IN86" s="6"/>
      <c r="IO86" s="6"/>
      <c r="IP86" s="6"/>
      <c r="IQ86" s="6"/>
      <c r="IR86" s="6"/>
      <c r="IS86" s="6"/>
      <c r="IT86" s="6"/>
      <c r="IU86" s="6"/>
      <c r="IV86" s="6"/>
      <c r="IW86" s="6"/>
      <c r="IX86" s="6"/>
      <c r="IY86" s="6"/>
      <c r="IZ86" s="6"/>
      <c r="JA86" s="6"/>
      <c r="JB86" s="6"/>
      <c r="JC86" s="6"/>
      <c r="JD86" s="6"/>
      <c r="JE86" s="6"/>
      <c r="JF86" s="6"/>
      <c r="JG86" s="6"/>
      <c r="JH86" s="6"/>
      <c r="JI86" s="6"/>
      <c r="JJ86" s="6"/>
      <c r="JK86" s="6"/>
      <c r="JL86" s="6"/>
      <c r="JM86" s="6"/>
      <c r="JN86" s="6"/>
      <c r="JO86" s="6"/>
      <c r="JP86" s="6"/>
      <c r="JQ86" s="6"/>
      <c r="JR86" s="6"/>
      <c r="JS86" s="6"/>
      <c r="JT86" s="6"/>
      <c r="JU86" s="6"/>
      <c r="JV86" s="6"/>
      <c r="JW86" s="6"/>
      <c r="JX86" s="6"/>
      <c r="JY86" s="6"/>
      <c r="JZ86" s="6"/>
      <c r="KA86" s="6"/>
      <c r="KB86" s="6"/>
      <c r="KC86" s="6"/>
      <c r="KD86" s="6"/>
      <c r="KE86" s="6"/>
      <c r="KF86" s="6"/>
      <c r="KG86" s="6"/>
      <c r="KH86" s="6"/>
      <c r="KI86" s="6"/>
      <c r="KJ86" s="6"/>
      <c r="KK86" s="6"/>
      <c r="KL86" s="6"/>
      <c r="KM86" s="6"/>
      <c r="KN86" s="6"/>
      <c r="KO86" s="6"/>
      <c r="KP86" s="6"/>
      <c r="KQ86" s="6"/>
      <c r="KR86" s="6"/>
      <c r="KS86" s="6"/>
      <c r="KT86" s="6"/>
      <c r="KU86" s="6"/>
      <c r="KV86" s="6"/>
      <c r="KW86" s="6"/>
      <c r="KX86" s="6"/>
      <c r="KY86" s="6"/>
      <c r="KZ86" s="6"/>
      <c r="LA86" s="6"/>
      <c r="LB86" s="6"/>
      <c r="LC86" s="6"/>
      <c r="LD86" s="6"/>
      <c r="LE86" s="6"/>
      <c r="LF86" s="6"/>
      <c r="LG86" s="6"/>
      <c r="LH86" s="6"/>
      <c r="LI86" s="6"/>
      <c r="LJ86" s="6"/>
      <c r="LK86" s="6"/>
      <c r="LL86" s="6"/>
      <c r="LM86" s="6"/>
      <c r="LN86" s="6"/>
      <c r="LO86" s="6"/>
      <c r="LP86" s="6"/>
      <c r="LQ86" s="6"/>
      <c r="LR86" s="6"/>
      <c r="LS86" s="6"/>
      <c r="LT86" s="6"/>
      <c r="LU86" s="6"/>
      <c r="LV86" s="6"/>
      <c r="LW86" s="6"/>
      <c r="LX86" s="6"/>
      <c r="LY86" s="6"/>
      <c r="LZ86" s="6"/>
      <c r="MA86" s="6"/>
      <c r="MB86" s="6"/>
      <c r="MC86" s="6"/>
      <c r="MD86" s="6"/>
      <c r="ME86" s="6"/>
      <c r="MF86" s="6"/>
      <c r="MG86" s="6"/>
      <c r="MH86" s="6"/>
      <c r="MI86" s="6"/>
      <c r="MJ86" s="6"/>
      <c r="MK86" s="6"/>
      <c r="ML86" s="6"/>
      <c r="MM86" s="6"/>
      <c r="MN86" s="6"/>
      <c r="MO86" s="6"/>
      <c r="MP86" s="6"/>
      <c r="MQ86" s="6"/>
      <c r="MR86" s="6"/>
      <c r="MS86" s="6"/>
      <c r="MT86" s="6"/>
      <c r="MU86" s="6"/>
      <c r="MV86" s="6"/>
      <c r="MW86" s="6"/>
      <c r="MX86" s="6"/>
      <c r="MY86" s="6"/>
      <c r="MZ86" s="6"/>
      <c r="NA86" s="6"/>
      <c r="NB86" s="6"/>
      <c r="NC86" s="6"/>
      <c r="ND86" s="6"/>
      <c r="NE86" s="6"/>
      <c r="NF86" s="6"/>
      <c r="NG86" s="6"/>
      <c r="NH86" s="6"/>
      <c r="NI86" s="6"/>
      <c r="NJ86" s="6"/>
      <c r="NK86" s="6"/>
      <c r="NL86" s="6"/>
      <c r="NM86" s="6"/>
      <c r="NN86" s="6"/>
      <c r="NO86" s="6"/>
      <c r="NP86" s="6"/>
      <c r="NQ86" s="6"/>
      <c r="NR86" s="6"/>
      <c r="NS86" s="6"/>
      <c r="NT86" s="6"/>
      <c r="NU86" s="6"/>
      <c r="NV86" s="6"/>
      <c r="NW86" s="6"/>
      <c r="NX86" s="6"/>
      <c r="NY86" s="6"/>
      <c r="NZ86" s="6"/>
      <c r="OA86" s="6"/>
      <c r="OB86" s="6"/>
      <c r="OC86" s="6"/>
      <c r="OD86" s="6"/>
      <c r="OE86" s="6"/>
      <c r="OF86" s="6"/>
      <c r="OG86" s="6"/>
      <c r="OH86" s="6"/>
      <c r="OI86" s="6"/>
      <c r="OJ86" s="6"/>
      <c r="OK86" s="6"/>
      <c r="OL86" s="6"/>
      <c r="OM86" s="6"/>
      <c r="ON86" s="6"/>
      <c r="OO86" s="6"/>
      <c r="OP86" s="6"/>
      <c r="OQ86" s="6"/>
      <c r="OR86" s="6"/>
      <c r="OS86" s="6"/>
      <c r="OT86" s="6"/>
      <c r="OU86" s="6"/>
      <c r="OV86" s="6"/>
      <c r="OW86" s="6"/>
      <c r="OX86" s="6"/>
      <c r="OY86" s="6"/>
      <c r="OZ86" s="6"/>
      <c r="PA86" s="6"/>
      <c r="PB86" s="6"/>
      <c r="PC86" s="6"/>
      <c r="PD86" s="6"/>
      <c r="PE86" s="6"/>
      <c r="PF86" s="6"/>
      <c r="PG86" s="6"/>
      <c r="PH86" s="6"/>
      <c r="PI86" s="6"/>
      <c r="PJ86" s="6"/>
      <c r="PK86" s="6"/>
      <c r="PL86" s="6"/>
      <c r="PM86" s="6"/>
      <c r="PN86" s="6"/>
      <c r="PO86" s="6"/>
      <c r="PP86" s="6"/>
      <c r="PQ86" s="6"/>
      <c r="PR86" s="6"/>
      <c r="PS86" s="6"/>
      <c r="PT86" s="6"/>
      <c r="PU86" s="6"/>
      <c r="PV86" s="6"/>
      <c r="PW86" s="6"/>
      <c r="PX86" s="6"/>
      <c r="PY86" s="6"/>
      <c r="PZ86" s="6"/>
      <c r="QA86" s="6"/>
      <c r="QB86" s="6"/>
      <c r="QC86" s="6"/>
      <c r="QD86" s="6"/>
      <c r="QE86" s="6"/>
      <c r="QF86" s="6"/>
      <c r="QG86" s="6"/>
      <c r="QH86" s="6"/>
      <c r="QI86" s="6"/>
      <c r="QJ86" s="6"/>
      <c r="QK86" s="6"/>
      <c r="QL86" s="6"/>
      <c r="QM86" s="6"/>
      <c r="QN86" s="6"/>
      <c r="QO86" s="6"/>
      <c r="QP86" s="6"/>
      <c r="QQ86" s="6"/>
      <c r="QR86" s="6"/>
      <c r="QS86" s="6"/>
      <c r="QT86" s="6"/>
      <c r="QU86" s="6"/>
      <c r="QV86" s="6"/>
      <c r="QW86" s="6"/>
      <c r="QX86" s="6"/>
      <c r="QY86" s="6"/>
      <c r="QZ86" s="6"/>
      <c r="RA86" s="6"/>
      <c r="RB86" s="6"/>
      <c r="RC86" s="6"/>
      <c r="RD86" s="6"/>
      <c r="RE86" s="6"/>
      <c r="RF86" s="6"/>
      <c r="RG86" s="6"/>
      <c r="RH86" s="6"/>
      <c r="RI86" s="6"/>
      <c r="RJ86" s="6"/>
      <c r="RK86" s="6"/>
      <c r="RL86" s="6"/>
      <c r="RM86" s="6"/>
      <c r="RN86" s="6"/>
      <c r="RO86" s="6"/>
      <c r="RP86" s="6"/>
      <c r="RQ86" s="6"/>
      <c r="RR86" s="6"/>
      <c r="RS86" s="6"/>
      <c r="RT86" s="6"/>
      <c r="RU86" s="6"/>
      <c r="RV86" s="6"/>
      <c r="RW86" s="6"/>
      <c r="RX86" s="6"/>
      <c r="RY86" s="6"/>
      <c r="RZ86" s="6"/>
      <c r="SA86" s="6"/>
      <c r="SB86" s="6"/>
      <c r="SC86" s="6"/>
      <c r="SD86" s="6"/>
      <c r="SE86" s="6"/>
      <c r="SF86" s="6"/>
      <c r="SG86" s="6"/>
      <c r="SH86" s="6"/>
      <c r="SI86" s="6"/>
      <c r="SJ86" s="6"/>
      <c r="SK86" s="6"/>
      <c r="SL86" s="6"/>
      <c r="SM86" s="6"/>
      <c r="SN86" s="6"/>
      <c r="SO86" s="6"/>
      <c r="SP86" s="6"/>
      <c r="SQ86" s="6"/>
      <c r="SR86" s="6"/>
      <c r="SS86" s="6"/>
      <c r="ST86" s="6"/>
      <c r="SU86" s="6"/>
      <c r="SV86" s="6"/>
      <c r="SW86" s="6"/>
      <c r="SX86" s="6"/>
      <c r="SY86" s="6"/>
      <c r="SZ86" s="6"/>
      <c r="TA86" s="6"/>
      <c r="TB86" s="6"/>
      <c r="TC86" s="6"/>
      <c r="TD86" s="6"/>
      <c r="TE86" s="6"/>
      <c r="TF86" s="6"/>
      <c r="TG86" s="6"/>
      <c r="TH86" s="6"/>
      <c r="TI86" s="6"/>
      <c r="TJ86" s="6"/>
      <c r="TK86" s="6"/>
      <c r="TL86" s="6"/>
      <c r="TM86" s="6"/>
      <c r="TN86" s="6"/>
      <c r="TO86" s="6"/>
      <c r="TP86" s="6"/>
      <c r="TQ86" s="6"/>
      <c r="TR86" s="6"/>
      <c r="TS86" s="6"/>
      <c r="TT86" s="6"/>
      <c r="TU86" s="6"/>
      <c r="TV86" s="6"/>
      <c r="TW86" s="6"/>
      <c r="TX86" s="6"/>
      <c r="TY86" s="6"/>
      <c r="TZ86" s="6"/>
      <c r="UA86" s="6"/>
      <c r="UB86" s="6"/>
      <c r="UC86" s="6"/>
      <c r="UD86" s="6"/>
      <c r="UE86" s="6"/>
      <c r="UF86" s="6"/>
      <c r="UG86" s="6"/>
      <c r="UH86" s="6"/>
      <c r="UI86" s="6"/>
      <c r="UJ86" s="6"/>
      <c r="UK86" s="6"/>
      <c r="UL86" s="6"/>
      <c r="UM86" s="6"/>
      <c r="UN86" s="6"/>
      <c r="UO86" s="6"/>
      <c r="UP86" s="6"/>
      <c r="UQ86" s="6"/>
      <c r="UR86" s="6"/>
      <c r="US86" s="6"/>
      <c r="UT86" s="6"/>
      <c r="UU86" s="6"/>
      <c r="UV86" s="6"/>
      <c r="UW86" s="6"/>
      <c r="UX86" s="6"/>
      <c r="UY86" s="6"/>
      <c r="UZ86" s="6"/>
      <c r="VA86" s="6"/>
      <c r="VB86" s="6"/>
      <c r="VC86" s="6"/>
      <c r="VD86" s="6"/>
      <c r="VE86" s="6"/>
      <c r="VF86" s="6"/>
      <c r="VG86" s="6"/>
      <c r="VH86" s="6"/>
      <c r="VI86" s="6"/>
      <c r="VJ86" s="6"/>
      <c r="VK86" s="6"/>
      <c r="VL86" s="6"/>
      <c r="VM86" s="6"/>
      <c r="VN86" s="6"/>
      <c r="VO86" s="6"/>
      <c r="VP86" s="6"/>
      <c r="VQ86" s="6"/>
      <c r="VR86" s="6"/>
      <c r="VS86" s="6"/>
      <c r="VT86" s="6"/>
      <c r="VU86" s="6"/>
      <c r="VV86" s="6"/>
      <c r="VW86" s="6"/>
      <c r="VX86" s="6"/>
      <c r="VY86" s="6"/>
      <c r="VZ86" s="6"/>
      <c r="WA86" s="6"/>
      <c r="WB86" s="6"/>
      <c r="WC86" s="6"/>
      <c r="WD86" s="6"/>
      <c r="WE86" s="6"/>
      <c r="WF86" s="6"/>
      <c r="WG86" s="6"/>
      <c r="WH86" s="6"/>
      <c r="WI86" s="6"/>
      <c r="WJ86" s="6"/>
      <c r="WK86" s="6"/>
      <c r="WL86" s="6"/>
      <c r="WM86" s="6"/>
      <c r="WN86" s="6"/>
      <c r="WO86" s="6"/>
      <c r="WP86" s="6"/>
      <c r="WQ86" s="6"/>
      <c r="WR86" s="6"/>
      <c r="WS86" s="6"/>
      <c r="WT86" s="6"/>
      <c r="WU86" s="6"/>
      <c r="WV86" s="6"/>
      <c r="WW86" s="6"/>
      <c r="WX86" s="6"/>
      <c r="WY86" s="6"/>
      <c r="WZ86" s="6"/>
      <c r="XA86" s="6"/>
      <c r="XB86" s="6"/>
      <c r="XC86" s="6"/>
      <c r="XD86" s="6"/>
      <c r="XE86" s="6"/>
      <c r="XF86" s="6"/>
      <c r="XG86" s="6"/>
      <c r="XH86" s="6"/>
      <c r="XI86" s="6"/>
      <c r="XJ86" s="6"/>
      <c r="XK86" s="6"/>
      <c r="XL86" s="6"/>
      <c r="XM86" s="6"/>
      <c r="XN86" s="6"/>
      <c r="XO86" s="6"/>
      <c r="XP86" s="6"/>
      <c r="XQ86" s="6"/>
      <c r="XR86" s="6"/>
      <c r="XS86" s="6"/>
      <c r="XT86" s="6"/>
      <c r="XU86" s="6"/>
      <c r="XV86" s="6"/>
      <c r="XW86" s="6"/>
      <c r="XX86" s="6"/>
      <c r="XY86" s="6"/>
      <c r="XZ86" s="6"/>
      <c r="YA86" s="6"/>
      <c r="YB86" s="6"/>
      <c r="YC86" s="6"/>
      <c r="YD86" s="6"/>
      <c r="YE86" s="6"/>
      <c r="YF86" s="6"/>
      <c r="YG86" s="6"/>
      <c r="YH86" s="6"/>
      <c r="YI86" s="6"/>
      <c r="YJ86" s="6"/>
      <c r="YK86" s="6"/>
      <c r="YL86" s="6"/>
      <c r="YM86" s="6"/>
      <c r="YN86" s="6"/>
      <c r="YO86" s="6"/>
      <c r="YP86" s="6"/>
      <c r="YQ86" s="6"/>
      <c r="YR86" s="6"/>
      <c r="YS86" s="6"/>
      <c r="YT86" s="6"/>
      <c r="YU86" s="6"/>
      <c r="YV86" s="6"/>
      <c r="YW86" s="6"/>
      <c r="YX86" s="6"/>
      <c r="YY86" s="6"/>
      <c r="YZ86" s="6"/>
      <c r="ZA86" s="6"/>
      <c r="ZB86" s="6"/>
      <c r="ZC86" s="6"/>
      <c r="ZD86" s="6"/>
      <c r="ZE86" s="6"/>
      <c r="ZF86" s="6"/>
      <c r="ZG86" s="6"/>
      <c r="ZH86" s="6"/>
      <c r="ZI86" s="6"/>
      <c r="ZJ86" s="6"/>
      <c r="ZK86" s="6"/>
      <c r="ZL86" s="6"/>
      <c r="ZM86" s="6"/>
      <c r="ZN86" s="6"/>
      <c r="ZO86" s="6"/>
      <c r="ZP86" s="6"/>
      <c r="ZQ86" s="6"/>
      <c r="ZR86" s="6"/>
      <c r="ZS86" s="6"/>
      <c r="ZT86" s="6"/>
      <c r="ZU86" s="6"/>
      <c r="ZV86" s="6"/>
      <c r="ZW86" s="6"/>
      <c r="ZX86" s="6"/>
      <c r="ZY86" s="6"/>
      <c r="ZZ86" s="6"/>
      <c r="AAA86" s="6"/>
      <c r="AAB86" s="6"/>
      <c r="AAC86" s="6"/>
      <c r="AAD86" s="6"/>
      <c r="AAE86" s="6"/>
      <c r="AAF86" s="6"/>
      <c r="AAG86" s="6"/>
      <c r="AAH86" s="6"/>
      <c r="AAI86" s="6"/>
      <c r="AAJ86" s="6"/>
      <c r="AAK86" s="6"/>
      <c r="AAL86" s="6"/>
      <c r="AAM86" s="6"/>
      <c r="AAN86" s="6"/>
      <c r="AAO86" s="6"/>
      <c r="AAP86" s="6"/>
      <c r="AAQ86" s="6"/>
      <c r="AAR86" s="6"/>
      <c r="AAS86" s="6"/>
      <c r="AAT86" s="6"/>
      <c r="AAU86" s="6"/>
      <c r="AAV86" s="6"/>
      <c r="AAW86" s="6"/>
      <c r="AAX86" s="6"/>
      <c r="AAY86" s="6"/>
      <c r="AAZ86" s="6"/>
      <c r="ABA86" s="6"/>
      <c r="ABB86" s="6"/>
      <c r="ABC86" s="6"/>
      <c r="ABD86" s="6"/>
      <c r="ABE86" s="6"/>
      <c r="ABF86" s="6"/>
      <c r="ABG86" s="6"/>
      <c r="ABH86" s="6"/>
      <c r="ABI86" s="6"/>
      <c r="ABJ86" s="6"/>
      <c r="ABK86" s="6"/>
      <c r="ABL86" s="6"/>
      <c r="ABM86" s="6"/>
      <c r="ABN86" s="6"/>
      <c r="ABO86" s="6"/>
      <c r="ABP86" s="6"/>
      <c r="ABQ86" s="6"/>
      <c r="ABR86" s="6"/>
      <c r="ABS86" s="6"/>
      <c r="ABT86" s="6"/>
      <c r="ABU86" s="6"/>
      <c r="ABV86" s="6"/>
      <c r="ABW86" s="6"/>
      <c r="ABX86" s="6"/>
      <c r="ABY86" s="6"/>
      <c r="ABZ86" s="6"/>
      <c r="ACA86" s="6"/>
      <c r="ACB86" s="6"/>
      <c r="ACC86" s="6"/>
      <c r="ACD86" s="6"/>
      <c r="ACE86" s="6"/>
      <c r="ACF86" s="6"/>
      <c r="ACG86" s="6"/>
      <c r="ACH86" s="6"/>
      <c r="ACI86" s="6"/>
      <c r="ACJ86" s="6"/>
      <c r="ACK86" s="6"/>
      <c r="ACL86" s="6"/>
      <c r="ACM86" s="6"/>
      <c r="ACN86" s="6"/>
      <c r="ACO86" s="6"/>
      <c r="ACP86" s="6"/>
      <c r="ACQ86" s="6"/>
      <c r="ACR86" s="6"/>
      <c r="ACS86" s="6"/>
      <c r="ACT86" s="6"/>
      <c r="ACU86" s="6"/>
      <c r="ACV86" s="6"/>
      <c r="ACW86" s="6"/>
      <c r="ACX86" s="6"/>
      <c r="ACY86" s="6"/>
      <c r="ACZ86" s="6"/>
      <c r="ADA86" s="6"/>
      <c r="ADB86" s="6"/>
      <c r="ADC86" s="6"/>
      <c r="ADD86" s="6"/>
      <c r="ADE86" s="6"/>
      <c r="ADF86" s="6"/>
      <c r="ADG86" s="6"/>
      <c r="ADH86" s="6"/>
      <c r="ADI86" s="6"/>
      <c r="ADJ86" s="6"/>
      <c r="ADK86" s="6"/>
      <c r="ADL86" s="6"/>
      <c r="ADM86" s="6"/>
      <c r="ADN86" s="6"/>
      <c r="ADO86" s="6"/>
      <c r="ADP86" s="6"/>
      <c r="ADQ86" s="6"/>
      <c r="ADR86" s="6"/>
      <c r="ADS86" s="6"/>
      <c r="ADT86" s="6"/>
      <c r="ADU86" s="6"/>
      <c r="ADV86" s="6"/>
      <c r="ADW86" s="6"/>
      <c r="ADX86" s="6"/>
      <c r="ADY86" s="6"/>
      <c r="ADZ86" s="6"/>
      <c r="AEA86" s="6"/>
      <c r="AEB86" s="6"/>
      <c r="AEC86" s="6"/>
      <c r="AED86" s="6"/>
      <c r="AEE86" s="6"/>
      <c r="AEF86" s="6"/>
      <c r="AEG86" s="6"/>
      <c r="AEH86" s="6"/>
      <c r="AEI86" s="6"/>
      <c r="AEJ86" s="6"/>
      <c r="AEK86" s="6"/>
      <c r="AEL86" s="6"/>
      <c r="AEM86" s="6"/>
      <c r="AEN86" s="6"/>
      <c r="AEO86" s="6"/>
      <c r="AEP86" s="6"/>
      <c r="AEQ86" s="6"/>
      <c r="AER86" s="6"/>
      <c r="AES86" s="6"/>
      <c r="AET86" s="6"/>
      <c r="AEU86" s="6"/>
      <c r="AEV86" s="6"/>
      <c r="AEW86" s="6"/>
      <c r="AEX86" s="6"/>
      <c r="AEY86" s="6"/>
      <c r="AEZ86" s="6"/>
      <c r="AFA86" s="6"/>
      <c r="AFB86" s="6"/>
      <c r="AFC86" s="6"/>
      <c r="AFD86" s="6"/>
      <c r="AFE86" s="6"/>
      <c r="AFF86" s="6"/>
      <c r="AFG86" s="6"/>
      <c r="AFH86" s="6"/>
      <c r="AFI86" s="6"/>
      <c r="AFJ86" s="6"/>
      <c r="AFK86" s="6"/>
      <c r="AFL86" s="6"/>
      <c r="AFM86" s="6"/>
      <c r="AFN86" s="6"/>
      <c r="AFO86" s="6"/>
      <c r="AFP86" s="6"/>
      <c r="AFQ86" s="6"/>
      <c r="AFR86" s="6"/>
      <c r="AFS86" s="6"/>
      <c r="AFT86" s="6"/>
      <c r="AFU86" s="6"/>
      <c r="AFV86" s="6"/>
      <c r="AFW86" s="6"/>
      <c r="AFX86" s="6"/>
      <c r="AFY86" s="6"/>
      <c r="AFZ86" s="6"/>
      <c r="AGA86" s="6"/>
      <c r="AGB86" s="6"/>
      <c r="AGC86" s="6"/>
      <c r="AGD86" s="6"/>
      <c r="AGE86" s="6"/>
      <c r="AGF86" s="6"/>
      <c r="AGG86" s="6"/>
      <c r="AGH86" s="6"/>
      <c r="AGI86" s="6"/>
      <c r="AGJ86" s="6"/>
      <c r="AGK86" s="6"/>
      <c r="AGL86" s="6"/>
      <c r="AGM86" s="6"/>
      <c r="AGN86" s="6"/>
      <c r="AGO86" s="6"/>
      <c r="AGP86" s="6"/>
      <c r="AGQ86" s="6"/>
      <c r="AGR86" s="6"/>
      <c r="AGS86" s="6"/>
      <c r="AGT86" s="6"/>
      <c r="AGU86" s="6"/>
      <c r="AGV86" s="6"/>
      <c r="AGW86" s="6"/>
      <c r="AGX86" s="6"/>
      <c r="AGY86" s="6"/>
      <c r="AGZ86" s="6"/>
      <c r="AHA86" s="6"/>
      <c r="AHB86" s="6"/>
      <c r="AHC86" s="6"/>
      <c r="AHD86" s="6"/>
      <c r="AHE86" s="6"/>
      <c r="AHF86" s="6"/>
      <c r="AHG86" s="6"/>
      <c r="AHH86" s="6"/>
      <c r="AHI86" s="6"/>
      <c r="AHJ86" s="6"/>
      <c r="AHK86" s="6"/>
      <c r="AHL86" s="6"/>
      <c r="AHM86" s="6"/>
      <c r="AHN86" s="6"/>
      <c r="AHO86" s="6"/>
      <c r="AHP86" s="6"/>
      <c r="AHQ86" s="6"/>
      <c r="AHR86" s="6"/>
      <c r="AHS86" s="6"/>
      <c r="AHT86" s="6"/>
      <c r="AHU86" s="6"/>
      <c r="AHV86" s="6"/>
      <c r="AHW86" s="6"/>
      <c r="AHX86" s="6"/>
      <c r="AHY86" s="6"/>
      <c r="AHZ86" s="6"/>
      <c r="AIA86" s="6"/>
      <c r="AIB86" s="6"/>
      <c r="AIC86" s="6"/>
      <c r="AID86" s="6"/>
      <c r="AIE86" s="6"/>
      <c r="AIF86" s="6"/>
      <c r="AIG86" s="6"/>
      <c r="AIH86" s="6"/>
      <c r="AII86" s="6"/>
      <c r="AIJ86" s="6"/>
      <c r="AIK86" s="6"/>
      <c r="AIL86" s="6"/>
      <c r="AIM86" s="6"/>
      <c r="AIN86" s="6"/>
      <c r="AIO86" s="6"/>
      <c r="AIP86" s="6"/>
      <c r="AIQ86" s="6"/>
      <c r="AIR86" s="6"/>
      <c r="AIS86" s="6"/>
      <c r="AIT86" s="6"/>
      <c r="AIU86" s="6"/>
      <c r="AIV86" s="6"/>
      <c r="AIW86" s="6"/>
      <c r="AIX86" s="6"/>
      <c r="AIY86" s="6"/>
      <c r="AIZ86" s="6"/>
      <c r="AJA86" s="6"/>
      <c r="AJB86" s="6"/>
      <c r="AJC86" s="6"/>
      <c r="AJD86" s="6"/>
      <c r="AJE86" s="6"/>
      <c r="AJF86" s="6"/>
      <c r="AJG86" s="6"/>
      <c r="AJH86" s="6"/>
      <c r="AJI86" s="6"/>
      <c r="AJJ86" s="6"/>
      <c r="AJK86" s="6"/>
      <c r="AJL86" s="6"/>
      <c r="AJM86" s="6"/>
      <c r="AJN86" s="6"/>
      <c r="AJO86" s="6"/>
      <c r="AJP86" s="6"/>
      <c r="AJQ86" s="6"/>
      <c r="AJR86" s="6"/>
      <c r="AJS86" s="6"/>
      <c r="AJT86" s="6"/>
      <c r="AJU86" s="6"/>
      <c r="AJV86" s="6"/>
      <c r="AJW86" s="6"/>
      <c r="AJX86" s="6"/>
      <c r="AJY86" s="6"/>
      <c r="AJZ86" s="6"/>
      <c r="AKA86" s="6"/>
      <c r="AKB86" s="6"/>
      <c r="AKC86" s="6"/>
      <c r="AKD86" s="6"/>
      <c r="AKE86" s="6"/>
      <c r="AKF86" s="6"/>
      <c r="AKG86" s="6"/>
      <c r="AKH86" s="6"/>
      <c r="AKI86" s="6"/>
      <c r="AKJ86" s="6"/>
      <c r="AKK86" s="6"/>
      <c r="AKL86" s="6"/>
      <c r="AKM86" s="6"/>
      <c r="AKN86" s="6"/>
      <c r="AKO86" s="6"/>
      <c r="AKP86" s="6"/>
      <c r="AKQ86" s="6"/>
      <c r="AKR86" s="6"/>
      <c r="AKS86" s="6"/>
      <c r="AKT86" s="6"/>
      <c r="AKU86" s="6"/>
      <c r="AKV86" s="6"/>
      <c r="AKW86" s="6"/>
      <c r="AKX86" s="6"/>
      <c r="AKY86" s="6"/>
      <c r="AKZ86" s="6"/>
      <c r="ALA86" s="6"/>
      <c r="ALB86" s="6"/>
      <c r="ALC86" s="6"/>
      <c r="ALD86" s="6"/>
      <c r="ALE86" s="6"/>
      <c r="ALF86" s="6"/>
      <c r="ALG86" s="6"/>
      <c r="ALH86" s="6"/>
      <c r="ALI86" s="6"/>
      <c r="ALJ86" s="6"/>
      <c r="ALK86" s="6"/>
      <c r="ALL86" s="6"/>
      <c r="ALM86" s="6"/>
      <c r="ALN86" s="6"/>
      <c r="ALO86" s="6"/>
      <c r="ALP86" s="6"/>
      <c r="ALQ86" s="6"/>
      <c r="ALR86" s="6"/>
      <c r="ALS86" s="6"/>
      <c r="ALT86" s="6"/>
      <c r="ALU86" s="6"/>
      <c r="ALV86" s="6"/>
      <c r="ALW86" s="6"/>
      <c r="ALX86" s="6"/>
      <c r="ALY86" s="6"/>
      <c r="ALZ86" s="6"/>
      <c r="AMA86" s="6"/>
      <c r="AMB86" s="6"/>
      <c r="AMC86" s="6"/>
      <c r="AMD86" s="6"/>
      <c r="AME86" s="6"/>
      <c r="AMF86" s="6"/>
      <c r="AMG86" s="6"/>
      <c r="AMH86" s="6"/>
      <c r="AMI86" s="6"/>
      <c r="AMJ86" s="6"/>
      <c r="AMK86" s="6"/>
      <c r="AML86" s="6"/>
      <c r="AMM86" s="6"/>
      <c r="AMN86" s="6"/>
      <c r="AMO86" s="6"/>
      <c r="AMP86" s="6"/>
      <c r="AMQ86" s="6"/>
      <c r="AMR86" s="6"/>
      <c r="AMS86" s="6"/>
      <c r="AMT86" s="6"/>
      <c r="AMU86" s="6"/>
      <c r="AMV86" s="6"/>
      <c r="AMW86" s="6"/>
      <c r="AMX86" s="6"/>
      <c r="AMY86" s="6"/>
      <c r="AMZ86" s="6"/>
      <c r="ANA86" s="6"/>
      <c r="ANB86" s="6"/>
      <c r="ANC86" s="6"/>
      <c r="AND86" s="6"/>
      <c r="ANE86" s="6"/>
      <c r="ANF86" s="6"/>
      <c r="ANG86" s="6"/>
      <c r="ANH86" s="6"/>
      <c r="ANI86" s="6"/>
      <c r="ANJ86" s="6"/>
      <c r="ANK86" s="6"/>
      <c r="ANL86" s="6"/>
      <c r="ANM86" s="6"/>
      <c r="ANN86" s="6"/>
      <c r="ANO86" s="6"/>
      <c r="ANP86" s="6"/>
      <c r="ANQ86" s="6"/>
      <c r="ANR86" s="6"/>
      <c r="ANS86" s="6"/>
      <c r="ANT86" s="6"/>
      <c r="ANU86" s="6"/>
      <c r="ANV86" s="6"/>
      <c r="ANW86" s="6"/>
      <c r="ANX86" s="6"/>
      <c r="ANY86" s="6"/>
      <c r="ANZ86" s="6"/>
      <c r="AOA86" s="6"/>
      <c r="AOB86" s="6"/>
      <c r="AOC86" s="6"/>
      <c r="AOD86" s="6"/>
      <c r="AOE86" s="6"/>
      <c r="AOF86" s="6"/>
      <c r="AOG86" s="6"/>
      <c r="AOH86" s="6"/>
      <c r="AOI86" s="6"/>
      <c r="AOJ86" s="6"/>
      <c r="AOK86" s="6"/>
      <c r="AOL86" s="6"/>
      <c r="AOM86" s="6"/>
      <c r="AON86" s="6"/>
      <c r="AOO86" s="6"/>
      <c r="AOP86" s="6"/>
      <c r="AOQ86" s="6"/>
      <c r="AOR86" s="6"/>
      <c r="AOS86" s="6"/>
      <c r="AOT86" s="6"/>
      <c r="AOU86" s="6"/>
      <c r="AOV86" s="6"/>
      <c r="AOW86" s="6"/>
      <c r="AOX86" s="6"/>
      <c r="AOY86" s="6"/>
      <c r="AOZ86" s="6"/>
      <c r="APA86" s="6"/>
      <c r="APB86" s="6"/>
      <c r="APC86" s="6"/>
      <c r="APD86" s="6"/>
      <c r="APE86" s="6"/>
      <c r="APF86" s="6"/>
      <c r="APG86" s="6"/>
      <c r="APH86" s="6"/>
      <c r="API86" s="6"/>
      <c r="APJ86" s="6"/>
      <c r="APK86" s="6"/>
      <c r="APL86" s="6"/>
      <c r="APM86" s="6"/>
      <c r="APN86" s="6"/>
      <c r="APO86" s="6"/>
      <c r="APP86" s="6"/>
      <c r="APQ86" s="6"/>
      <c r="APR86" s="6"/>
      <c r="APS86" s="6"/>
      <c r="APT86" s="6"/>
      <c r="APU86" s="6"/>
      <c r="APV86" s="6"/>
      <c r="APW86" s="6"/>
      <c r="APX86" s="6"/>
      <c r="APY86" s="6"/>
      <c r="APZ86" s="6"/>
      <c r="AQA86" s="6"/>
      <c r="AQB86" s="6"/>
      <c r="AQC86" s="6"/>
      <c r="AQD86" s="6"/>
      <c r="AQE86" s="6"/>
      <c r="AQF86" s="6"/>
      <c r="AQG86" s="6"/>
      <c r="AQH86" s="6"/>
      <c r="AQI86" s="6"/>
      <c r="AQJ86" s="6"/>
      <c r="AQK86" s="6"/>
      <c r="AQL86" s="6"/>
      <c r="AQM86" s="6"/>
      <c r="AQN86" s="6"/>
      <c r="AQO86" s="6"/>
      <c r="AQP86" s="6"/>
      <c r="AQQ86" s="6"/>
      <c r="AQR86" s="6"/>
      <c r="AQS86" s="6"/>
      <c r="AQT86" s="6"/>
      <c r="AQU86" s="6"/>
      <c r="AQV86" s="6"/>
      <c r="AQW86" s="6"/>
      <c r="AQX86" s="6"/>
      <c r="AQY86" s="6"/>
      <c r="AQZ86" s="6"/>
      <c r="ARA86" s="6"/>
      <c r="ARB86" s="6"/>
      <c r="ARC86" s="6"/>
      <c r="ARD86" s="6"/>
      <c r="ARE86" s="6"/>
      <c r="ARF86" s="6"/>
      <c r="ARG86" s="6"/>
      <c r="ARH86" s="6"/>
      <c r="ARI86" s="6"/>
      <c r="ARJ86" s="6"/>
      <c r="ARK86" s="6"/>
      <c r="ARL86" s="6"/>
      <c r="ARM86" s="6"/>
      <c r="ARN86" s="6"/>
      <c r="ARO86" s="6"/>
      <c r="ARP86" s="6"/>
      <c r="ARQ86" s="6"/>
      <c r="ARR86" s="6"/>
      <c r="ARS86" s="6"/>
      <c r="ART86" s="6"/>
      <c r="ARU86" s="6"/>
      <c r="ARV86" s="6"/>
      <c r="ARW86" s="6"/>
      <c r="ARX86" s="6"/>
      <c r="ARY86" s="6"/>
      <c r="ARZ86" s="6"/>
      <c r="ASA86" s="6"/>
      <c r="ASB86" s="6"/>
      <c r="ASC86" s="6"/>
      <c r="ASD86" s="6"/>
      <c r="ASE86" s="6"/>
      <c r="ASF86" s="6"/>
      <c r="ASG86" s="6"/>
      <c r="ASH86" s="6"/>
      <c r="ASI86" s="6"/>
      <c r="ASJ86" s="6"/>
      <c r="ASK86" s="6"/>
      <c r="ASL86" s="6"/>
      <c r="ASM86" s="6"/>
      <c r="ASN86" s="6"/>
      <c r="ASO86" s="6"/>
      <c r="ASP86" s="6"/>
      <c r="ASQ86" s="6"/>
      <c r="ASR86" s="6"/>
      <c r="ASS86" s="6"/>
      <c r="AST86" s="6"/>
      <c r="ASU86" s="6"/>
      <c r="ASV86" s="6"/>
      <c r="ASW86" s="6"/>
      <c r="ASX86" s="6"/>
      <c r="ASY86" s="6"/>
      <c r="ASZ86" s="6"/>
      <c r="ATA86" s="6"/>
      <c r="ATB86" s="6"/>
      <c r="ATC86" s="6"/>
      <c r="ATD86" s="6"/>
      <c r="ATE86" s="6"/>
      <c r="ATF86" s="6"/>
      <c r="ATG86" s="6"/>
      <c r="ATH86" s="6"/>
      <c r="ATI86" s="6"/>
      <c r="ATJ86" s="6"/>
      <c r="ATK86" s="6"/>
      <c r="ATL86" s="6"/>
      <c r="ATM86" s="6"/>
      <c r="ATN86" s="6"/>
      <c r="ATO86" s="6"/>
      <c r="ATP86" s="6"/>
      <c r="ATQ86" s="6"/>
      <c r="ATR86" s="6"/>
      <c r="ATS86" s="6"/>
      <c r="ATT86" s="6"/>
      <c r="ATU86" s="6"/>
      <c r="ATV86" s="6"/>
      <c r="ATW86" s="6"/>
      <c r="ATX86" s="6"/>
      <c r="ATY86" s="6"/>
      <c r="ATZ86" s="6"/>
      <c r="AUA86" s="6"/>
      <c r="AUB86" s="6"/>
      <c r="AUC86" s="6"/>
      <c r="AUD86" s="6"/>
      <c r="AUE86" s="6"/>
      <c r="AUF86" s="6"/>
      <c r="AUG86" s="6"/>
      <c r="AUH86" s="6"/>
      <c r="AUI86" s="6"/>
      <c r="AUJ86" s="6"/>
      <c r="AUK86" s="6"/>
      <c r="AUL86" s="6"/>
      <c r="AUM86" s="6"/>
      <c r="AUN86" s="6"/>
      <c r="AUO86" s="6"/>
      <c r="AUP86" s="6"/>
      <c r="AUQ86" s="6"/>
      <c r="AUR86" s="6"/>
      <c r="AUS86" s="6"/>
      <c r="AUT86" s="6"/>
      <c r="AUU86" s="6"/>
      <c r="AUV86" s="6"/>
      <c r="AUW86" s="6"/>
      <c r="AUX86" s="6"/>
      <c r="AUY86" s="6"/>
      <c r="AUZ86" s="6"/>
      <c r="AVA86" s="6"/>
      <c r="AVB86" s="6"/>
      <c r="AVC86" s="6"/>
      <c r="AVD86" s="6"/>
      <c r="AVE86" s="6"/>
      <c r="AVF86" s="6"/>
      <c r="AVG86" s="6"/>
      <c r="AVH86" s="6"/>
      <c r="AVI86" s="6"/>
      <c r="AVJ86" s="6"/>
      <c r="AVK86" s="6"/>
      <c r="AVL86" s="6"/>
      <c r="AVM86" s="6"/>
      <c r="AVN86" s="6"/>
      <c r="AVO86" s="6"/>
      <c r="AVP86" s="6"/>
      <c r="AVQ86" s="6"/>
      <c r="AVR86" s="6"/>
      <c r="AVS86" s="6"/>
      <c r="AVT86" s="6"/>
      <c r="AVU86" s="6"/>
      <c r="AVV86" s="6"/>
      <c r="AVW86" s="6"/>
      <c r="AVX86" s="6"/>
      <c r="AVY86" s="6"/>
      <c r="AVZ86" s="6"/>
      <c r="AWA86" s="6"/>
      <c r="AWB86" s="6"/>
      <c r="AWC86" s="6"/>
      <c r="AWD86" s="6"/>
      <c r="AWE86" s="6"/>
      <c r="AWF86" s="6"/>
      <c r="AWG86" s="6"/>
      <c r="AWH86" s="6"/>
      <c r="AWI86" s="6"/>
      <c r="AWJ86" s="6"/>
      <c r="AWK86" s="6"/>
      <c r="AWL86" s="6"/>
      <c r="AWM86" s="6"/>
      <c r="AWN86" s="6"/>
      <c r="AWO86" s="6"/>
      <c r="AWP86" s="6"/>
      <c r="AWQ86" s="6"/>
      <c r="AWR86" s="6"/>
      <c r="AWS86" s="6"/>
      <c r="AWT86" s="6"/>
      <c r="AWU86" s="6"/>
      <c r="AWV86" s="6"/>
      <c r="AWW86" s="6"/>
      <c r="AWX86" s="6"/>
      <c r="AWY86" s="6"/>
      <c r="AWZ86" s="6"/>
      <c r="AXA86" s="6"/>
      <c r="AXB86" s="6"/>
      <c r="AXC86" s="6"/>
      <c r="AXD86" s="6"/>
      <c r="AXE86" s="6"/>
      <c r="AXF86" s="6"/>
      <c r="AXG86" s="6"/>
      <c r="AXH86" s="6"/>
      <c r="AXI86" s="6"/>
      <c r="AXJ86" s="6"/>
      <c r="AXK86" s="6"/>
      <c r="AXL86" s="6"/>
      <c r="AXM86" s="6"/>
      <c r="AXN86" s="6"/>
      <c r="AXO86" s="6"/>
      <c r="AXP86" s="6"/>
      <c r="AXQ86" s="6"/>
      <c r="AXR86" s="6"/>
      <c r="AXS86" s="6"/>
      <c r="AXT86" s="6"/>
      <c r="AXU86" s="6"/>
      <c r="AXV86" s="6"/>
      <c r="AXW86" s="6"/>
      <c r="AXX86" s="6"/>
      <c r="AXY86" s="6"/>
      <c r="AXZ86" s="6"/>
      <c r="AYA86" s="6"/>
      <c r="AYB86" s="6"/>
      <c r="AYC86" s="6"/>
      <c r="AYD86" s="6"/>
      <c r="AYE86" s="6"/>
      <c r="AYF86" s="6"/>
      <c r="AYG86" s="6"/>
      <c r="AYH86" s="6"/>
      <c r="AYI86" s="6"/>
      <c r="AYJ86" s="6"/>
      <c r="AYK86" s="6"/>
      <c r="AYL86" s="6"/>
      <c r="AYM86" s="6"/>
      <c r="AYN86" s="6"/>
      <c r="AYO86" s="6"/>
      <c r="AYP86" s="6"/>
      <c r="AYQ86" s="6"/>
      <c r="AYR86" s="6"/>
      <c r="AYS86" s="6"/>
      <c r="AYT86" s="6"/>
      <c r="AYU86" s="6"/>
      <c r="AYV86" s="6"/>
      <c r="AYW86" s="6"/>
      <c r="AYX86" s="6"/>
      <c r="AYY86" s="6"/>
      <c r="AYZ86" s="6"/>
      <c r="AZA86" s="6"/>
      <c r="AZB86" s="6"/>
      <c r="AZC86" s="6"/>
      <c r="AZD86" s="6"/>
      <c r="AZE86" s="6"/>
      <c r="AZF86" s="6"/>
      <c r="AZG86" s="6"/>
      <c r="AZH86" s="6"/>
      <c r="AZI86" s="6"/>
      <c r="AZJ86" s="6"/>
      <c r="AZK86" s="6"/>
      <c r="AZL86" s="6"/>
      <c r="AZM86" s="6"/>
      <c r="AZN86" s="6"/>
      <c r="AZO86" s="6"/>
      <c r="AZP86" s="6"/>
      <c r="AZQ86" s="6"/>
      <c r="AZR86" s="6"/>
      <c r="AZS86" s="6"/>
      <c r="AZT86" s="6"/>
      <c r="AZU86" s="6"/>
      <c r="AZV86" s="6"/>
      <c r="AZW86" s="6"/>
      <c r="AZX86" s="6"/>
      <c r="AZY86" s="6"/>
      <c r="AZZ86" s="6"/>
      <c r="BAA86" s="6"/>
      <c r="BAB86" s="6"/>
      <c r="BAC86" s="6"/>
      <c r="BAD86" s="6"/>
      <c r="BAE86" s="6"/>
      <c r="BAF86" s="6"/>
      <c r="BAG86" s="6"/>
      <c r="BAH86" s="6"/>
      <c r="BAI86" s="6"/>
      <c r="BAJ86" s="6"/>
      <c r="BAK86" s="6"/>
      <c r="BAL86" s="6"/>
      <c r="BAM86" s="6"/>
      <c r="BAN86" s="6"/>
      <c r="BAO86" s="6"/>
      <c r="BAP86" s="6"/>
      <c r="BAQ86" s="6"/>
      <c r="BAR86" s="6"/>
      <c r="BAS86" s="6"/>
      <c r="BAT86" s="6"/>
      <c r="BAU86" s="6"/>
      <c r="BAV86" s="6"/>
      <c r="BAW86" s="6"/>
      <c r="BAX86" s="6"/>
      <c r="BAY86" s="6"/>
      <c r="BAZ86" s="6"/>
      <c r="BBA86" s="6"/>
      <c r="BBB86" s="6"/>
      <c r="BBC86" s="6"/>
      <c r="BBD86" s="6"/>
      <c r="BBE86" s="6"/>
      <c r="BBF86" s="6"/>
      <c r="BBG86" s="6"/>
      <c r="BBH86" s="6"/>
      <c r="BBI86" s="6"/>
      <c r="BBJ86" s="6"/>
      <c r="BBK86" s="6"/>
      <c r="BBL86" s="6"/>
      <c r="BBM86" s="6"/>
      <c r="BBN86" s="6"/>
      <c r="BBO86" s="6"/>
      <c r="BBP86" s="6"/>
      <c r="BBQ86" s="6"/>
      <c r="BBR86" s="6"/>
      <c r="BBS86" s="6"/>
      <c r="BBT86" s="6"/>
      <c r="BBU86" s="6"/>
      <c r="BBV86" s="6"/>
      <c r="BBW86" s="6"/>
      <c r="BBX86" s="6"/>
      <c r="BBY86" s="6"/>
      <c r="BBZ86" s="6"/>
      <c r="BCA86" s="6"/>
      <c r="BCB86" s="6"/>
      <c r="BCC86" s="6"/>
      <c r="BCD86" s="6"/>
      <c r="BCE86" s="6"/>
      <c r="BCF86" s="6"/>
      <c r="BCG86" s="6"/>
      <c r="BCH86" s="6"/>
      <c r="BCI86" s="6"/>
      <c r="BCJ86" s="6"/>
      <c r="BCK86" s="6"/>
      <c r="BCL86" s="6"/>
      <c r="BCM86" s="6"/>
      <c r="BCN86" s="6"/>
      <c r="BCO86" s="6"/>
      <c r="BCP86" s="6"/>
      <c r="BCQ86" s="6"/>
      <c r="BCR86" s="6"/>
      <c r="BCS86" s="6"/>
      <c r="BCT86" s="6"/>
      <c r="BCU86" s="6"/>
      <c r="BCV86" s="6"/>
      <c r="BCW86" s="6"/>
      <c r="BCX86" s="6"/>
      <c r="BCY86" s="6"/>
      <c r="BCZ86" s="6"/>
      <c r="BDA86" s="6"/>
      <c r="BDB86" s="6"/>
      <c r="BDC86" s="6"/>
      <c r="BDD86" s="6"/>
      <c r="BDE86" s="6"/>
      <c r="BDF86" s="6"/>
      <c r="BDG86" s="6"/>
      <c r="BDH86" s="6"/>
      <c r="BDI86" s="6"/>
      <c r="BDJ86" s="6"/>
      <c r="BDK86" s="6"/>
      <c r="BDL86" s="6"/>
      <c r="BDM86" s="6"/>
      <c r="BDN86" s="6"/>
      <c r="BDO86" s="6"/>
      <c r="BDP86" s="6"/>
      <c r="BDQ86" s="6"/>
      <c r="BDR86" s="6"/>
      <c r="BDS86" s="6"/>
      <c r="BDT86" s="6"/>
      <c r="BDU86" s="6"/>
      <c r="BDV86" s="6"/>
      <c r="BDW86" s="6"/>
      <c r="BDX86" s="6"/>
      <c r="BDY86" s="6"/>
      <c r="BDZ86" s="6"/>
      <c r="BEA86" s="6"/>
      <c r="BEB86" s="6"/>
      <c r="BEC86" s="6"/>
      <c r="BED86" s="6"/>
      <c r="BEE86" s="6"/>
      <c r="BEF86" s="6"/>
      <c r="BEG86" s="6"/>
      <c r="BEH86" s="6"/>
      <c r="BEI86" s="6"/>
      <c r="BEJ86" s="6"/>
      <c r="BEK86" s="6"/>
      <c r="BEL86" s="6"/>
      <c r="BEM86" s="6"/>
      <c r="BEN86" s="6"/>
      <c r="BEO86" s="6"/>
      <c r="BEP86" s="6"/>
      <c r="BEQ86" s="6"/>
      <c r="BER86" s="6"/>
      <c r="BES86" s="6"/>
      <c r="BET86" s="6"/>
      <c r="BEU86" s="6"/>
      <c r="BEV86" s="6"/>
      <c r="BEW86" s="6"/>
      <c r="BEX86" s="6"/>
      <c r="BEY86" s="6"/>
      <c r="BEZ86" s="6"/>
      <c r="BFA86" s="6"/>
      <c r="BFB86" s="6"/>
      <c r="BFC86" s="6"/>
      <c r="BFD86" s="6"/>
      <c r="BFE86" s="6"/>
      <c r="BFF86" s="6"/>
      <c r="BFG86" s="6"/>
      <c r="BFH86" s="6"/>
      <c r="BFI86" s="6"/>
      <c r="BFJ86" s="6"/>
      <c r="BFK86" s="6"/>
      <c r="BFL86" s="6"/>
      <c r="BFM86" s="6"/>
      <c r="BFN86" s="6"/>
      <c r="BFO86" s="6"/>
      <c r="BFP86" s="6"/>
      <c r="BFQ86" s="6"/>
      <c r="BFR86" s="6"/>
      <c r="BFS86" s="6"/>
      <c r="BFT86" s="6"/>
      <c r="BFU86" s="6"/>
      <c r="BFV86" s="6"/>
      <c r="BFW86" s="6"/>
      <c r="BFX86" s="6"/>
      <c r="BFY86" s="6"/>
      <c r="BFZ86" s="6"/>
      <c r="BGA86" s="6"/>
      <c r="BGB86" s="6"/>
      <c r="BGC86" s="6"/>
      <c r="BGD86" s="6"/>
      <c r="BGE86" s="6"/>
      <c r="BGF86" s="6"/>
      <c r="BGG86" s="6"/>
      <c r="BGH86" s="6"/>
      <c r="BGI86" s="6"/>
      <c r="BGJ86" s="6"/>
      <c r="BGK86" s="6"/>
      <c r="BGL86" s="6"/>
      <c r="BGM86" s="6"/>
      <c r="BGN86" s="6"/>
      <c r="BGO86" s="6"/>
      <c r="BGP86" s="6"/>
      <c r="BGQ86" s="6"/>
      <c r="BGR86" s="6"/>
      <c r="BGS86" s="6"/>
      <c r="BGT86" s="6"/>
      <c r="BGU86" s="6"/>
      <c r="BGV86" s="6"/>
      <c r="BGW86" s="6"/>
      <c r="BGX86" s="6"/>
      <c r="BGY86" s="6"/>
      <c r="BGZ86" s="6"/>
      <c r="BHA86" s="6"/>
      <c r="BHB86" s="6"/>
      <c r="BHC86" s="6"/>
      <c r="BHD86" s="6"/>
      <c r="BHE86" s="6"/>
      <c r="BHF86" s="6"/>
      <c r="BHG86" s="6"/>
      <c r="BHH86" s="6"/>
      <c r="BHI86" s="6"/>
      <c r="BHJ86" s="6"/>
      <c r="BHK86" s="6"/>
      <c r="BHL86" s="6"/>
      <c r="BHM86" s="6"/>
      <c r="BHN86" s="6"/>
      <c r="BHO86" s="6"/>
      <c r="BHP86" s="6"/>
      <c r="BHQ86" s="6"/>
      <c r="BHR86" s="6"/>
      <c r="BHS86" s="6"/>
      <c r="BHT86" s="6"/>
      <c r="BHU86" s="6"/>
      <c r="BHV86" s="6"/>
      <c r="BHW86" s="6"/>
      <c r="BHX86" s="6"/>
      <c r="BHY86" s="6"/>
      <c r="BHZ86" s="6"/>
      <c r="BIA86" s="6"/>
      <c r="BIB86" s="6"/>
      <c r="BIC86" s="6"/>
      <c r="BID86" s="6"/>
      <c r="BIE86" s="6"/>
      <c r="BIF86" s="6"/>
      <c r="BIG86" s="6"/>
      <c r="BIH86" s="6"/>
      <c r="BII86" s="6"/>
      <c r="BIJ86" s="6"/>
      <c r="BIK86" s="6"/>
      <c r="BIL86" s="6"/>
      <c r="BIM86" s="6"/>
      <c r="BIN86" s="6"/>
      <c r="BIO86" s="6"/>
      <c r="BIP86" s="6"/>
      <c r="BIQ86" s="6"/>
      <c r="BIR86" s="6"/>
      <c r="BIS86" s="6"/>
      <c r="BIT86" s="6"/>
      <c r="BIU86" s="6"/>
      <c r="BIV86" s="6"/>
      <c r="BIW86" s="6"/>
      <c r="BIX86" s="6"/>
      <c r="BIY86" s="6"/>
      <c r="BIZ86" s="6"/>
      <c r="BJA86" s="6"/>
      <c r="BJB86" s="6"/>
      <c r="BJC86" s="6"/>
      <c r="BJD86" s="6"/>
      <c r="BJE86" s="6"/>
      <c r="BJF86" s="6"/>
      <c r="BJG86" s="6"/>
      <c r="BJH86" s="6"/>
      <c r="BJI86" s="6"/>
      <c r="BJJ86" s="6"/>
      <c r="BJK86" s="6"/>
      <c r="BJL86" s="6"/>
      <c r="BJM86" s="6"/>
      <c r="BJN86" s="6"/>
      <c r="BJO86" s="6"/>
      <c r="BJP86" s="6"/>
      <c r="BJQ86" s="6"/>
      <c r="BJR86" s="6"/>
      <c r="BJS86" s="6"/>
      <c r="BJT86" s="6"/>
      <c r="BJU86" s="6"/>
      <c r="BJV86" s="6"/>
      <c r="BJW86" s="6"/>
      <c r="BJX86" s="6"/>
      <c r="BJY86" s="6"/>
      <c r="BJZ86" s="6"/>
      <c r="BKA86" s="6"/>
      <c r="BKB86" s="6"/>
      <c r="BKC86" s="6"/>
      <c r="BKD86" s="6"/>
      <c r="BKE86" s="6"/>
      <c r="BKF86" s="6"/>
      <c r="BKG86" s="6"/>
      <c r="BKH86" s="6"/>
      <c r="BKI86" s="6"/>
      <c r="BKJ86" s="6"/>
      <c r="BKK86" s="6"/>
      <c r="BKL86" s="6"/>
      <c r="BKM86" s="6"/>
      <c r="BKN86" s="6"/>
      <c r="BKO86" s="6"/>
      <c r="BKP86" s="6"/>
      <c r="BKQ86" s="6"/>
      <c r="BKR86" s="6"/>
      <c r="BKS86" s="6"/>
      <c r="BKT86" s="6"/>
      <c r="BKU86" s="6"/>
      <c r="BKV86" s="6"/>
      <c r="BKW86" s="6"/>
      <c r="BKX86" s="6"/>
      <c r="BKY86" s="6"/>
      <c r="BKZ86" s="6"/>
      <c r="BLA86" s="6"/>
      <c r="BLB86" s="6"/>
      <c r="BLC86" s="6"/>
      <c r="BLD86" s="6"/>
      <c r="BLE86" s="6"/>
      <c r="BLF86" s="6"/>
      <c r="BLG86" s="6"/>
      <c r="BLH86" s="6"/>
      <c r="BLI86" s="6"/>
      <c r="BLJ86" s="6"/>
      <c r="BLK86" s="6"/>
      <c r="BLL86" s="6"/>
      <c r="BLM86" s="6"/>
      <c r="BLN86" s="6"/>
      <c r="BLO86" s="6"/>
      <c r="BLP86" s="6"/>
      <c r="BLQ86" s="6"/>
      <c r="BLR86" s="6"/>
      <c r="BLS86" s="6"/>
      <c r="BLT86" s="6"/>
      <c r="BLU86" s="6"/>
      <c r="BLV86" s="6"/>
      <c r="BLW86" s="6"/>
      <c r="BLX86" s="6"/>
      <c r="BLY86" s="6"/>
      <c r="BLZ86" s="6"/>
      <c r="BMA86" s="6"/>
      <c r="BMB86" s="6"/>
      <c r="BMC86" s="6"/>
      <c r="BMD86" s="6"/>
      <c r="BME86" s="6"/>
      <c r="BMF86" s="6"/>
      <c r="BMG86" s="6"/>
      <c r="BMH86" s="6"/>
      <c r="BMI86" s="6"/>
      <c r="BMJ86" s="6"/>
      <c r="BMK86" s="6"/>
      <c r="BML86" s="6"/>
      <c r="BMM86" s="6"/>
      <c r="BMN86" s="6"/>
      <c r="BMO86" s="6"/>
      <c r="BMP86" s="6"/>
      <c r="BMQ86" s="6"/>
      <c r="BMR86" s="6"/>
      <c r="BMS86" s="6"/>
      <c r="BMT86" s="6"/>
      <c r="BMU86" s="6"/>
      <c r="BMV86" s="6"/>
      <c r="BMW86" s="6"/>
      <c r="BMX86" s="6"/>
      <c r="BMY86" s="6"/>
      <c r="BMZ86" s="6"/>
      <c r="BNA86" s="6"/>
      <c r="BNB86" s="6"/>
      <c r="BNC86" s="6"/>
      <c r="BND86" s="6"/>
      <c r="BNE86" s="6"/>
      <c r="BNF86" s="6"/>
      <c r="BNG86" s="6"/>
      <c r="BNH86" s="6"/>
      <c r="BNI86" s="6"/>
      <c r="BNJ86" s="6"/>
      <c r="BNK86" s="6"/>
      <c r="BNL86" s="6"/>
      <c r="BNM86" s="6"/>
      <c r="BNN86" s="6"/>
      <c r="BNO86" s="6"/>
      <c r="BNP86" s="6"/>
      <c r="BNQ86" s="6"/>
      <c r="BNR86" s="6"/>
      <c r="BNS86" s="6"/>
      <c r="BNT86" s="6"/>
      <c r="BNU86" s="6"/>
      <c r="BNV86" s="6"/>
      <c r="BNW86" s="6"/>
      <c r="BNX86" s="6"/>
      <c r="BNY86" s="6"/>
      <c r="BNZ86" s="6"/>
      <c r="BOA86" s="6"/>
      <c r="BOB86" s="6"/>
      <c r="BOC86" s="6"/>
      <c r="BOD86" s="6"/>
      <c r="BOE86" s="6"/>
      <c r="BOF86" s="6"/>
      <c r="BOG86" s="6"/>
      <c r="BOH86" s="6"/>
      <c r="BOI86" s="6"/>
      <c r="BOJ86" s="6"/>
      <c r="BOK86" s="6"/>
      <c r="BOL86" s="6"/>
      <c r="BOM86" s="6"/>
      <c r="BON86" s="6"/>
      <c r="BOO86" s="6"/>
      <c r="BOP86" s="6"/>
      <c r="BOQ86" s="6"/>
      <c r="BOR86" s="6"/>
      <c r="BOS86" s="6"/>
      <c r="BOT86" s="6"/>
      <c r="BOU86" s="6"/>
      <c r="BOV86" s="6"/>
      <c r="BOW86" s="6"/>
      <c r="BOX86" s="6"/>
      <c r="BOY86" s="6"/>
      <c r="BOZ86" s="6"/>
      <c r="BPA86" s="6"/>
      <c r="BPB86" s="6"/>
      <c r="BPC86" s="6"/>
      <c r="BPD86" s="6"/>
      <c r="BPE86" s="6"/>
      <c r="BPF86" s="6"/>
      <c r="BPG86" s="6"/>
      <c r="BPH86" s="6"/>
      <c r="BPI86" s="6"/>
      <c r="BPJ86" s="6"/>
      <c r="BPK86" s="6"/>
      <c r="BPL86" s="6"/>
      <c r="BPM86" s="6"/>
      <c r="BPN86" s="6"/>
      <c r="BPO86" s="6"/>
      <c r="BPP86" s="6"/>
      <c r="BPQ86" s="6"/>
      <c r="BPR86" s="6"/>
      <c r="BPS86" s="6"/>
      <c r="BPT86" s="6"/>
      <c r="BPU86" s="6"/>
      <c r="BPV86" s="6"/>
      <c r="BPW86" s="6"/>
      <c r="BPX86" s="6"/>
      <c r="BPY86" s="6"/>
      <c r="BPZ86" s="6"/>
      <c r="BQA86" s="6"/>
      <c r="BQB86" s="6"/>
      <c r="BQC86" s="6"/>
      <c r="BQD86" s="6"/>
      <c r="BQE86" s="6"/>
      <c r="BQF86" s="6"/>
      <c r="BQG86" s="6"/>
      <c r="BQH86" s="6"/>
      <c r="BQI86" s="6"/>
      <c r="BQJ86" s="6"/>
      <c r="BQK86" s="6"/>
      <c r="BQL86" s="6"/>
      <c r="BQM86" s="6"/>
      <c r="BQN86" s="6"/>
      <c r="BQO86" s="6"/>
      <c r="BQP86" s="6"/>
      <c r="BQQ86" s="6"/>
      <c r="BQR86" s="6"/>
      <c r="BQS86" s="6"/>
      <c r="BQT86" s="6"/>
      <c r="BQU86" s="6"/>
      <c r="BQV86" s="6"/>
      <c r="BQW86" s="6"/>
      <c r="BQX86" s="6"/>
      <c r="BQY86" s="6"/>
      <c r="BQZ86" s="6"/>
      <c r="BRA86" s="6"/>
      <c r="BRB86" s="6"/>
      <c r="BRC86" s="6"/>
      <c r="BRD86" s="6"/>
      <c r="BRE86" s="6"/>
      <c r="BRF86" s="6"/>
      <c r="BRG86" s="6"/>
      <c r="BRH86" s="6"/>
      <c r="BRI86" s="6"/>
      <c r="BRJ86" s="6"/>
      <c r="BRK86" s="6"/>
      <c r="BRL86" s="6"/>
      <c r="BRM86" s="6"/>
      <c r="BRN86" s="6"/>
      <c r="BRO86" s="6"/>
      <c r="BRP86" s="6"/>
      <c r="BRQ86" s="6"/>
      <c r="BRR86" s="6"/>
      <c r="BRS86" s="6"/>
      <c r="BRT86" s="6"/>
      <c r="BRU86" s="6"/>
      <c r="BRV86" s="6"/>
      <c r="BRW86" s="6"/>
      <c r="BRX86" s="6"/>
      <c r="BRY86" s="6"/>
      <c r="BRZ86" s="6"/>
      <c r="BSA86" s="6"/>
      <c r="BSB86" s="6"/>
      <c r="BSC86" s="6"/>
      <c r="BSD86" s="6"/>
      <c r="BSE86" s="6"/>
      <c r="BSF86" s="6"/>
      <c r="BSG86" s="6"/>
      <c r="BSH86" s="6"/>
      <c r="BSI86" s="6"/>
      <c r="BSJ86" s="6"/>
      <c r="BSK86" s="6"/>
      <c r="BSL86" s="6"/>
      <c r="BSM86" s="6"/>
      <c r="BSN86" s="6"/>
      <c r="BSO86" s="6"/>
      <c r="BSP86" s="6"/>
      <c r="BSQ86" s="6"/>
      <c r="BSR86" s="6"/>
      <c r="BSS86" s="6"/>
      <c r="BST86" s="6"/>
      <c r="BSU86" s="6"/>
      <c r="BSV86" s="6"/>
      <c r="BSW86" s="6"/>
      <c r="BSX86" s="6"/>
      <c r="BSY86" s="6"/>
      <c r="BSZ86" s="6"/>
      <c r="BTA86" s="6"/>
      <c r="BTB86" s="6"/>
      <c r="BTC86" s="6"/>
      <c r="BTD86" s="6"/>
      <c r="BTE86" s="6"/>
      <c r="BTF86" s="6"/>
      <c r="BTG86" s="6"/>
      <c r="BTH86" s="6"/>
      <c r="BTI86" s="6"/>
      <c r="BTJ86" s="6"/>
      <c r="BTK86" s="6"/>
      <c r="BTL86" s="6"/>
      <c r="BTM86" s="6"/>
      <c r="BTN86" s="6"/>
      <c r="BTO86" s="6"/>
      <c r="BTP86" s="6"/>
      <c r="BTQ86" s="6"/>
      <c r="BTR86" s="6"/>
      <c r="BTS86" s="6"/>
      <c r="BTT86" s="6"/>
      <c r="BTU86" s="6"/>
      <c r="BTV86" s="6"/>
      <c r="BTW86" s="6"/>
      <c r="BTX86" s="6"/>
      <c r="BTY86" s="6"/>
      <c r="BTZ86" s="6"/>
      <c r="BUA86" s="6"/>
      <c r="BUB86" s="6"/>
      <c r="BUC86" s="6"/>
      <c r="BUD86" s="6"/>
      <c r="BUE86" s="6"/>
      <c r="BUF86" s="6"/>
      <c r="BUG86" s="6"/>
      <c r="BUH86" s="6"/>
      <c r="BUI86" s="6"/>
      <c r="BUJ86" s="6"/>
      <c r="BUK86" s="6"/>
      <c r="BUL86" s="6"/>
      <c r="BUM86" s="6"/>
      <c r="BUN86" s="6"/>
      <c r="BUO86" s="6"/>
      <c r="BUP86" s="6"/>
      <c r="BUQ86" s="6"/>
      <c r="BUR86" s="6"/>
      <c r="BUS86" s="6"/>
      <c r="BUT86" s="6"/>
      <c r="BUU86" s="6"/>
      <c r="BUV86" s="6"/>
      <c r="BUW86" s="6"/>
      <c r="BUX86" s="6"/>
      <c r="BUY86" s="6"/>
      <c r="BUZ86" s="6"/>
      <c r="BVA86" s="6"/>
      <c r="BVB86" s="6"/>
      <c r="BVC86" s="6"/>
      <c r="BVD86" s="6"/>
      <c r="BVE86" s="6"/>
      <c r="BVF86" s="6"/>
      <c r="BVG86" s="6"/>
      <c r="BVH86" s="6"/>
      <c r="BVI86" s="6"/>
      <c r="BVJ86" s="6"/>
      <c r="BVK86" s="6"/>
      <c r="BVL86" s="6"/>
      <c r="BVM86" s="6"/>
      <c r="BVN86" s="6"/>
      <c r="BVO86" s="6"/>
      <c r="BVP86" s="6"/>
      <c r="BVQ86" s="6"/>
      <c r="BVR86" s="6"/>
      <c r="BVS86" s="6"/>
      <c r="BVT86" s="6"/>
      <c r="BVU86" s="6"/>
      <c r="BVV86" s="6"/>
      <c r="BVW86" s="6"/>
      <c r="BVX86" s="6"/>
      <c r="BVY86" s="6"/>
      <c r="BVZ86" s="6"/>
      <c r="BWA86" s="6"/>
      <c r="BWB86" s="6"/>
      <c r="BWC86" s="6"/>
      <c r="BWD86" s="6"/>
      <c r="BWE86" s="6"/>
      <c r="BWF86" s="6"/>
      <c r="BWG86" s="6"/>
      <c r="BWH86" s="6"/>
      <c r="BWI86" s="6"/>
      <c r="BWJ86" s="6"/>
      <c r="BWK86" s="6"/>
      <c r="BWL86" s="6"/>
      <c r="BWM86" s="6"/>
      <c r="BWN86" s="6"/>
      <c r="BWO86" s="6"/>
      <c r="BWP86" s="6"/>
      <c r="BWQ86" s="6"/>
      <c r="BWR86" s="6"/>
      <c r="BWS86" s="6"/>
      <c r="BWT86" s="6"/>
      <c r="BWU86" s="6"/>
      <c r="BWV86" s="6"/>
      <c r="BWW86" s="6"/>
      <c r="BWX86" s="6"/>
      <c r="BWY86" s="6"/>
      <c r="BWZ86" s="6"/>
      <c r="BXA86" s="6"/>
      <c r="BXB86" s="6"/>
      <c r="BXC86" s="6"/>
      <c r="BXD86" s="6"/>
      <c r="BXE86" s="6"/>
      <c r="BXF86" s="6"/>
      <c r="BXG86" s="6"/>
      <c r="BXH86" s="6"/>
      <c r="BXI86" s="6"/>
      <c r="BXJ86" s="6"/>
      <c r="BXK86" s="6"/>
      <c r="BXL86" s="6"/>
      <c r="BXM86" s="6"/>
      <c r="BXN86" s="6"/>
      <c r="BXO86" s="6"/>
      <c r="BXP86" s="6"/>
      <c r="BXQ86" s="6"/>
      <c r="BXR86" s="6"/>
      <c r="BXS86" s="6"/>
      <c r="BXT86" s="6"/>
      <c r="BXU86" s="6"/>
      <c r="BXV86" s="6"/>
      <c r="BXW86" s="6"/>
      <c r="BXX86" s="6"/>
      <c r="BXY86" s="6"/>
      <c r="BXZ86" s="6"/>
      <c r="BYA86" s="6"/>
      <c r="BYB86" s="6"/>
      <c r="BYC86" s="6"/>
      <c r="BYD86" s="6"/>
      <c r="BYE86" s="6"/>
      <c r="BYF86" s="6"/>
      <c r="BYG86" s="6"/>
      <c r="BYH86" s="6"/>
      <c r="BYI86" s="6"/>
      <c r="BYJ86" s="6"/>
      <c r="BYK86" s="6"/>
      <c r="BYL86" s="6"/>
      <c r="BYM86" s="6"/>
      <c r="BYN86" s="6"/>
      <c r="BYO86" s="6"/>
      <c r="BYP86" s="6"/>
      <c r="BYQ86" s="6"/>
      <c r="BYR86" s="6"/>
      <c r="BYS86" s="6"/>
      <c r="BYT86" s="6"/>
      <c r="BYU86" s="6"/>
      <c r="BYV86" s="6"/>
      <c r="BYW86" s="6"/>
      <c r="BYX86" s="6"/>
      <c r="BYY86" s="6"/>
      <c r="BYZ86" s="6"/>
      <c r="BZA86" s="6"/>
      <c r="BZB86" s="6"/>
      <c r="BZC86" s="6"/>
      <c r="BZD86" s="6"/>
      <c r="BZE86" s="6"/>
      <c r="BZF86" s="6"/>
      <c r="BZG86" s="6"/>
      <c r="BZH86" s="6"/>
      <c r="BZI86" s="6"/>
      <c r="BZJ86" s="6"/>
      <c r="BZK86" s="6"/>
      <c r="BZL86" s="6"/>
      <c r="BZM86" s="6"/>
      <c r="BZN86" s="6"/>
      <c r="BZO86" s="6"/>
      <c r="BZP86" s="6"/>
      <c r="BZQ86" s="6"/>
      <c r="BZR86" s="6"/>
      <c r="BZS86" s="6"/>
      <c r="BZT86" s="6"/>
      <c r="BZU86" s="6"/>
      <c r="BZV86" s="6"/>
      <c r="BZW86" s="6"/>
      <c r="BZX86" s="6"/>
      <c r="BZY86" s="6"/>
      <c r="BZZ86" s="6"/>
      <c r="CAA86" s="6"/>
      <c r="CAB86" s="6"/>
      <c r="CAC86" s="6"/>
      <c r="CAD86" s="6"/>
      <c r="CAE86" s="6"/>
      <c r="CAF86" s="6"/>
      <c r="CAG86" s="6"/>
      <c r="CAH86" s="6"/>
      <c r="CAI86" s="6"/>
      <c r="CAJ86" s="6"/>
      <c r="CAK86" s="6"/>
      <c r="CAL86" s="6"/>
      <c r="CAM86" s="6"/>
      <c r="CAN86" s="6"/>
      <c r="CAO86" s="6"/>
      <c r="CAP86" s="6"/>
      <c r="CAQ86" s="6"/>
      <c r="CAR86" s="6"/>
      <c r="CAS86" s="6"/>
      <c r="CAT86" s="6"/>
      <c r="CAU86" s="6"/>
      <c r="CAV86" s="6"/>
      <c r="CAW86" s="6"/>
      <c r="CAX86" s="6"/>
      <c r="CAY86" s="6"/>
      <c r="CAZ86" s="6"/>
      <c r="CBA86" s="6"/>
      <c r="CBB86" s="6"/>
      <c r="CBC86" s="6"/>
      <c r="CBD86" s="6"/>
      <c r="CBE86" s="6"/>
      <c r="CBF86" s="6"/>
      <c r="CBG86" s="6"/>
      <c r="CBH86" s="6"/>
      <c r="CBI86" s="6"/>
      <c r="CBJ86" s="6"/>
      <c r="CBK86" s="6"/>
      <c r="CBL86" s="6"/>
      <c r="CBM86" s="6"/>
      <c r="CBN86" s="6"/>
      <c r="CBO86" s="6"/>
      <c r="CBP86" s="6"/>
      <c r="CBQ86" s="6"/>
      <c r="CBR86" s="6"/>
      <c r="CBS86" s="6"/>
      <c r="CBT86" s="6"/>
      <c r="CBU86" s="6"/>
      <c r="CBV86" s="6"/>
      <c r="CBW86" s="6"/>
      <c r="CBX86" s="6"/>
      <c r="CBY86" s="6"/>
      <c r="CBZ86" s="6"/>
      <c r="CCA86" s="6"/>
      <c r="CCB86" s="6"/>
      <c r="CCC86" s="6"/>
      <c r="CCD86" s="6"/>
      <c r="CCE86" s="6"/>
      <c r="CCF86" s="6"/>
      <c r="CCG86" s="6"/>
      <c r="CCH86" s="6"/>
      <c r="CCI86" s="6"/>
      <c r="CCJ86" s="6"/>
      <c r="CCK86" s="6"/>
      <c r="CCL86" s="6"/>
      <c r="CCM86" s="6"/>
      <c r="CCN86" s="6"/>
      <c r="CCO86" s="6"/>
      <c r="CCP86" s="6"/>
      <c r="CCQ86" s="6"/>
      <c r="CCR86" s="6"/>
      <c r="CCS86" s="6"/>
      <c r="CCT86" s="6"/>
      <c r="CCU86" s="6"/>
      <c r="CCV86" s="6"/>
      <c r="CCW86" s="6"/>
      <c r="CCX86" s="6"/>
      <c r="CCY86" s="6"/>
      <c r="CCZ86" s="6"/>
      <c r="CDA86" s="6"/>
      <c r="CDB86" s="6"/>
      <c r="CDC86" s="6"/>
      <c r="CDD86" s="6"/>
      <c r="CDE86" s="6"/>
      <c r="CDF86" s="6"/>
      <c r="CDG86" s="6"/>
      <c r="CDH86" s="6"/>
      <c r="CDI86" s="6"/>
      <c r="CDJ86" s="6"/>
      <c r="CDK86" s="6"/>
      <c r="CDL86" s="6"/>
      <c r="CDM86" s="6"/>
      <c r="CDN86" s="6"/>
      <c r="CDO86" s="6"/>
      <c r="CDP86" s="6"/>
      <c r="CDQ86" s="6"/>
      <c r="CDR86" s="6"/>
      <c r="CDS86" s="6"/>
      <c r="CDT86" s="6"/>
      <c r="CDU86" s="6"/>
      <c r="CDV86" s="6"/>
      <c r="CDW86" s="6"/>
      <c r="CDX86" s="6"/>
      <c r="CDY86" s="6"/>
      <c r="CDZ86" s="6"/>
      <c r="CEA86" s="6"/>
      <c r="CEB86" s="6"/>
      <c r="CEC86" s="6"/>
      <c r="CED86" s="6"/>
      <c r="CEE86" s="6"/>
      <c r="CEF86" s="6"/>
      <c r="CEG86" s="6"/>
      <c r="CEH86" s="6"/>
      <c r="CEI86" s="6"/>
      <c r="CEJ86" s="6"/>
      <c r="CEK86" s="6"/>
      <c r="CEL86" s="6"/>
      <c r="CEM86" s="6"/>
      <c r="CEN86" s="6"/>
      <c r="CEO86" s="6"/>
      <c r="CEP86" s="6"/>
      <c r="CEQ86" s="6"/>
      <c r="CER86" s="6"/>
      <c r="CES86" s="6"/>
      <c r="CET86" s="6"/>
      <c r="CEU86" s="6"/>
      <c r="CEV86" s="6"/>
      <c r="CEW86" s="6"/>
      <c r="CEX86" s="6"/>
      <c r="CEY86" s="6"/>
      <c r="CEZ86" s="6"/>
      <c r="CFA86" s="6"/>
      <c r="CFB86" s="6"/>
      <c r="CFC86" s="6"/>
      <c r="CFD86" s="6"/>
      <c r="CFE86" s="6"/>
      <c r="CFF86" s="6"/>
      <c r="CFG86" s="6"/>
      <c r="CFH86" s="6"/>
      <c r="CFI86" s="6"/>
      <c r="CFJ86" s="6"/>
      <c r="CFK86" s="6"/>
      <c r="CFL86" s="6"/>
      <c r="CFM86" s="6"/>
      <c r="CFN86" s="6"/>
      <c r="CFO86" s="6"/>
      <c r="CFP86" s="6"/>
      <c r="CFQ86" s="6"/>
      <c r="CFR86" s="6"/>
      <c r="CFS86" s="6"/>
      <c r="CFT86" s="6"/>
      <c r="CFU86" s="6"/>
      <c r="CFV86" s="6"/>
      <c r="CFW86" s="6"/>
      <c r="CFX86" s="6"/>
      <c r="CFY86" s="6"/>
      <c r="CFZ86" s="6"/>
      <c r="CGA86" s="6"/>
      <c r="CGB86" s="6"/>
      <c r="CGC86" s="6"/>
      <c r="CGD86" s="6"/>
      <c r="CGE86" s="6"/>
      <c r="CGF86" s="6"/>
      <c r="CGG86" s="6"/>
      <c r="CGH86" s="6"/>
      <c r="CGI86" s="6"/>
      <c r="CGJ86" s="6"/>
      <c r="CGK86" s="6"/>
      <c r="CGL86" s="6"/>
      <c r="CGM86" s="6"/>
      <c r="CGN86" s="6"/>
      <c r="CGO86" s="6"/>
      <c r="CGP86" s="6"/>
      <c r="CGQ86" s="6"/>
      <c r="CGR86" s="6"/>
      <c r="CGS86" s="6"/>
      <c r="CGT86" s="6"/>
      <c r="CGU86" s="6"/>
      <c r="CGV86" s="6"/>
      <c r="CGW86" s="6"/>
      <c r="CGX86" s="6"/>
      <c r="CGY86" s="6"/>
      <c r="CGZ86" s="6"/>
      <c r="CHA86" s="6"/>
      <c r="CHB86" s="6"/>
      <c r="CHC86" s="6"/>
      <c r="CHD86" s="6"/>
      <c r="CHE86" s="6"/>
      <c r="CHF86" s="6"/>
      <c r="CHG86" s="6"/>
      <c r="CHH86" s="6"/>
      <c r="CHI86" s="6"/>
      <c r="CHJ86" s="6"/>
      <c r="CHK86" s="6"/>
      <c r="CHL86" s="6"/>
      <c r="CHM86" s="6"/>
      <c r="CHN86" s="6"/>
      <c r="CHO86" s="6"/>
      <c r="CHP86" s="6"/>
      <c r="CHQ86" s="6"/>
      <c r="CHR86" s="6"/>
      <c r="CHS86" s="6"/>
      <c r="CHT86" s="6"/>
      <c r="CHU86" s="6"/>
      <c r="CHV86" s="6"/>
      <c r="CHW86" s="6"/>
      <c r="CHX86" s="6"/>
      <c r="CHY86" s="6"/>
      <c r="CHZ86" s="6"/>
      <c r="CIA86" s="6"/>
      <c r="CIB86" s="6"/>
      <c r="CIC86" s="6"/>
      <c r="CID86" s="6"/>
      <c r="CIE86" s="6"/>
      <c r="CIF86" s="6"/>
      <c r="CIG86" s="6"/>
      <c r="CIH86" s="6"/>
      <c r="CII86" s="6"/>
      <c r="CIJ86" s="6"/>
      <c r="CIK86" s="6"/>
      <c r="CIL86" s="6"/>
      <c r="CIM86" s="6"/>
      <c r="CIN86" s="6"/>
      <c r="CIO86" s="6"/>
      <c r="CIP86" s="6"/>
      <c r="CIQ86" s="6"/>
      <c r="CIR86" s="6"/>
      <c r="CIS86" s="6"/>
      <c r="CIT86" s="6"/>
      <c r="CIU86" s="6"/>
      <c r="CIV86" s="6"/>
      <c r="CIW86" s="6"/>
      <c r="CIX86" s="6"/>
      <c r="CIY86" s="6"/>
      <c r="CIZ86" s="6"/>
      <c r="CJA86" s="6"/>
      <c r="CJB86" s="6"/>
      <c r="CJC86" s="6"/>
      <c r="CJD86" s="6"/>
      <c r="CJE86" s="6"/>
      <c r="CJF86" s="6"/>
      <c r="CJG86" s="6"/>
      <c r="CJH86" s="6"/>
      <c r="CJI86" s="6"/>
      <c r="CJJ86" s="6"/>
      <c r="CJK86" s="6"/>
      <c r="CJL86" s="6"/>
      <c r="CJM86" s="6"/>
      <c r="CJN86" s="6"/>
      <c r="CJO86" s="6"/>
      <c r="CJP86" s="6"/>
      <c r="CJQ86" s="6"/>
      <c r="CJR86" s="6"/>
      <c r="CJS86" s="6"/>
      <c r="CJT86" s="6"/>
      <c r="CJU86" s="6"/>
      <c r="CJV86" s="6"/>
      <c r="CJW86" s="6"/>
      <c r="CJX86" s="6"/>
      <c r="CJY86" s="6"/>
      <c r="CJZ86" s="6"/>
      <c r="CKA86" s="6"/>
      <c r="CKB86" s="6"/>
      <c r="CKC86" s="6"/>
      <c r="CKD86" s="6"/>
      <c r="CKE86" s="6"/>
      <c r="CKF86" s="6"/>
      <c r="CKG86" s="6"/>
      <c r="CKH86" s="6"/>
      <c r="CKI86" s="6"/>
      <c r="CKJ86" s="6"/>
      <c r="CKK86" s="6"/>
      <c r="CKL86" s="6"/>
      <c r="CKM86" s="6"/>
      <c r="CKN86" s="6"/>
      <c r="CKO86" s="6"/>
      <c r="CKP86" s="6"/>
      <c r="CKQ86" s="6"/>
      <c r="CKR86" s="6"/>
      <c r="CKS86" s="6"/>
      <c r="CKT86" s="6"/>
      <c r="CKU86" s="6"/>
      <c r="CKV86" s="6"/>
      <c r="CKW86" s="6"/>
      <c r="CKX86" s="6"/>
      <c r="CKY86" s="6"/>
      <c r="CKZ86" s="6"/>
      <c r="CLA86" s="6"/>
      <c r="CLB86" s="6"/>
      <c r="CLC86" s="6"/>
      <c r="CLD86" s="6"/>
      <c r="CLE86" s="6"/>
      <c r="CLF86" s="6"/>
      <c r="CLG86" s="6"/>
      <c r="CLH86" s="6"/>
      <c r="CLI86" s="6"/>
      <c r="CLJ86" s="6"/>
      <c r="CLK86" s="6"/>
      <c r="CLL86" s="6"/>
      <c r="CLM86" s="6"/>
      <c r="CLN86" s="6"/>
      <c r="CLO86" s="6"/>
      <c r="CLP86" s="6"/>
      <c r="CLQ86" s="6"/>
      <c r="CLR86" s="6"/>
      <c r="CLS86" s="6"/>
      <c r="CLT86" s="6"/>
      <c r="CLU86" s="6"/>
      <c r="CLV86" s="6"/>
      <c r="CLW86" s="6"/>
      <c r="CLX86" s="6"/>
      <c r="CLY86" s="6"/>
      <c r="CLZ86" s="6"/>
      <c r="CMA86" s="6"/>
      <c r="CMB86" s="6"/>
      <c r="CMC86" s="6"/>
      <c r="CMD86" s="6"/>
      <c r="CME86" s="6"/>
      <c r="CMF86" s="6"/>
      <c r="CMG86" s="6"/>
      <c r="CMH86" s="6"/>
      <c r="CMI86" s="6"/>
      <c r="CMJ86" s="6"/>
      <c r="CMK86" s="6"/>
      <c r="CML86" s="6"/>
      <c r="CMM86" s="6"/>
      <c r="CMN86" s="6"/>
      <c r="CMO86" s="6"/>
      <c r="CMP86" s="6"/>
      <c r="CMQ86" s="6"/>
      <c r="CMR86" s="6"/>
      <c r="CMS86" s="6"/>
      <c r="CMT86" s="6"/>
      <c r="CMU86" s="6"/>
      <c r="CMV86" s="6"/>
      <c r="CMW86" s="6"/>
      <c r="CMX86" s="6"/>
      <c r="CMY86" s="6"/>
      <c r="CMZ86" s="6"/>
      <c r="CNA86" s="6"/>
      <c r="CNB86" s="6"/>
      <c r="CNC86" s="6"/>
      <c r="CND86" s="6"/>
      <c r="CNE86" s="6"/>
      <c r="CNF86" s="6"/>
      <c r="CNG86" s="6"/>
      <c r="CNH86" s="6"/>
      <c r="CNI86" s="6"/>
      <c r="CNJ86" s="6"/>
      <c r="CNK86" s="6"/>
      <c r="CNL86" s="6"/>
      <c r="CNM86" s="6"/>
      <c r="CNN86" s="6"/>
      <c r="CNO86" s="6"/>
      <c r="CNP86" s="6"/>
      <c r="CNQ86" s="6"/>
      <c r="CNR86" s="6"/>
      <c r="CNS86" s="6"/>
      <c r="CNT86" s="6"/>
      <c r="CNU86" s="6"/>
      <c r="CNV86" s="6"/>
      <c r="CNW86" s="6"/>
      <c r="CNX86" s="6"/>
      <c r="CNY86" s="6"/>
      <c r="CNZ86" s="6"/>
      <c r="COA86" s="6"/>
      <c r="COB86" s="6"/>
      <c r="COC86" s="6"/>
      <c r="COD86" s="6"/>
      <c r="COE86" s="6"/>
      <c r="COF86" s="6"/>
      <c r="COG86" s="6"/>
      <c r="COH86" s="6"/>
      <c r="COI86" s="6"/>
      <c r="COJ86" s="6"/>
      <c r="COK86" s="6"/>
      <c r="COL86" s="6"/>
      <c r="COM86" s="6"/>
      <c r="CON86" s="6"/>
      <c r="COO86" s="6"/>
      <c r="COP86" s="6"/>
      <c r="COQ86" s="6"/>
      <c r="COR86" s="6"/>
      <c r="COS86" s="6"/>
      <c r="COT86" s="6"/>
      <c r="COU86" s="6"/>
      <c r="COV86" s="6"/>
      <c r="COW86" s="6"/>
      <c r="COX86" s="6"/>
      <c r="COY86" s="6"/>
      <c r="COZ86" s="6"/>
      <c r="CPA86" s="6"/>
      <c r="CPB86" s="6"/>
      <c r="CPC86" s="6"/>
      <c r="CPD86" s="6"/>
      <c r="CPE86" s="6"/>
      <c r="CPF86" s="6"/>
      <c r="CPG86" s="6"/>
      <c r="CPH86" s="6"/>
      <c r="CPI86" s="6"/>
      <c r="CPJ86" s="6"/>
      <c r="CPK86" s="6"/>
      <c r="CPL86" s="6"/>
      <c r="CPM86" s="6"/>
      <c r="CPN86" s="6"/>
      <c r="CPO86" s="6"/>
      <c r="CPP86" s="6"/>
      <c r="CPQ86" s="6"/>
      <c r="CPR86" s="6"/>
      <c r="CPS86" s="6"/>
      <c r="CPT86" s="6"/>
      <c r="CPU86" s="6"/>
      <c r="CPV86" s="6"/>
      <c r="CPW86" s="6"/>
      <c r="CPX86" s="6"/>
      <c r="CPY86" s="6"/>
      <c r="CPZ86" s="6"/>
      <c r="CQA86" s="6"/>
      <c r="CQB86" s="6"/>
      <c r="CQC86" s="6"/>
      <c r="CQD86" s="6"/>
      <c r="CQE86" s="6"/>
      <c r="CQF86" s="6"/>
      <c r="CQG86" s="6"/>
      <c r="CQH86" s="6"/>
      <c r="CQI86" s="6"/>
      <c r="CQJ86" s="6"/>
      <c r="CQK86" s="6"/>
      <c r="CQL86" s="6"/>
      <c r="CQM86" s="6"/>
      <c r="CQN86" s="6"/>
      <c r="CQO86" s="6"/>
      <c r="CQP86" s="6"/>
      <c r="CQQ86" s="6"/>
      <c r="CQR86" s="6"/>
      <c r="CQS86" s="6"/>
      <c r="CQT86" s="6"/>
      <c r="CQU86" s="6"/>
      <c r="CQV86" s="6"/>
      <c r="CQW86" s="6"/>
      <c r="CQX86" s="6"/>
      <c r="CQY86" s="6"/>
      <c r="CQZ86" s="6"/>
      <c r="CRA86" s="6"/>
      <c r="CRB86" s="6"/>
      <c r="CRC86" s="6"/>
      <c r="CRD86" s="6"/>
      <c r="CRE86" s="6"/>
      <c r="CRF86" s="6"/>
      <c r="CRG86" s="6"/>
      <c r="CRH86" s="6"/>
      <c r="CRI86" s="6"/>
      <c r="CRJ86" s="6"/>
      <c r="CRK86" s="6"/>
      <c r="CRL86" s="6"/>
      <c r="CRM86" s="6"/>
      <c r="CRN86" s="6"/>
      <c r="CRO86" s="6"/>
      <c r="CRP86" s="6"/>
      <c r="CRQ86" s="6"/>
      <c r="CRR86" s="6"/>
      <c r="CRS86" s="6"/>
      <c r="CRT86" s="6"/>
      <c r="CRU86" s="6"/>
      <c r="CRV86" s="6"/>
      <c r="CRW86" s="6"/>
      <c r="CRX86" s="6"/>
      <c r="CRY86" s="6"/>
      <c r="CRZ86" s="6"/>
      <c r="CSA86" s="6"/>
      <c r="CSB86" s="6"/>
      <c r="CSC86" s="6"/>
      <c r="CSD86" s="6"/>
      <c r="CSE86" s="6"/>
      <c r="CSF86" s="6"/>
      <c r="CSG86" s="6"/>
      <c r="CSH86" s="6"/>
      <c r="CSI86" s="6"/>
      <c r="CSJ86" s="6"/>
      <c r="CSK86" s="6"/>
      <c r="CSL86" s="6"/>
      <c r="CSM86" s="6"/>
      <c r="CSN86" s="6"/>
      <c r="CSO86" s="6"/>
      <c r="CSP86" s="6"/>
      <c r="CSQ86" s="6"/>
      <c r="CSR86" s="6"/>
      <c r="CSS86" s="6"/>
      <c r="CST86" s="6"/>
      <c r="CSU86" s="6"/>
      <c r="CSV86" s="6"/>
      <c r="CSW86" s="6"/>
      <c r="CSX86" s="6"/>
      <c r="CSY86" s="6"/>
      <c r="CSZ86" s="6"/>
      <c r="CTA86" s="6"/>
      <c r="CTB86" s="6"/>
      <c r="CTC86" s="6"/>
      <c r="CTD86" s="6"/>
      <c r="CTE86" s="6"/>
      <c r="CTF86" s="6"/>
      <c r="CTG86" s="6"/>
      <c r="CTH86" s="6"/>
      <c r="CTI86" s="6"/>
      <c r="CTJ86" s="6"/>
      <c r="CTK86" s="6"/>
      <c r="CTL86" s="6"/>
      <c r="CTM86" s="6"/>
      <c r="CTN86" s="6"/>
      <c r="CTO86" s="6"/>
      <c r="CTP86" s="6"/>
      <c r="CTQ86" s="6"/>
      <c r="CTR86" s="6"/>
      <c r="CTS86" s="6"/>
      <c r="CTT86" s="6"/>
      <c r="CTU86" s="6"/>
      <c r="CTV86" s="6"/>
      <c r="CTW86" s="6"/>
      <c r="CTX86" s="6"/>
      <c r="CTY86" s="6"/>
      <c r="CTZ86" s="6"/>
      <c r="CUA86" s="6"/>
      <c r="CUB86" s="6"/>
      <c r="CUC86" s="6"/>
      <c r="CUD86" s="6"/>
      <c r="CUE86" s="6"/>
      <c r="CUF86" s="6"/>
      <c r="CUG86" s="6"/>
      <c r="CUH86" s="6"/>
      <c r="CUI86" s="6"/>
      <c r="CUJ86" s="6"/>
      <c r="CUK86" s="6"/>
      <c r="CUL86" s="6"/>
      <c r="CUM86" s="6"/>
      <c r="CUN86" s="6"/>
      <c r="CUO86" s="6"/>
      <c r="CUP86" s="6"/>
      <c r="CUQ86" s="6"/>
      <c r="CUR86" s="6"/>
      <c r="CUS86" s="6"/>
      <c r="CUT86" s="6"/>
      <c r="CUU86" s="6"/>
      <c r="CUV86" s="6"/>
      <c r="CUW86" s="6"/>
      <c r="CUX86" s="6"/>
      <c r="CUY86" s="6"/>
      <c r="CUZ86" s="6"/>
      <c r="CVA86" s="6"/>
      <c r="CVB86" s="6"/>
      <c r="CVC86" s="6"/>
      <c r="CVD86" s="6"/>
      <c r="CVE86" s="6"/>
      <c r="CVF86" s="6"/>
      <c r="CVG86" s="6"/>
      <c r="CVH86" s="6"/>
      <c r="CVI86" s="6"/>
      <c r="CVJ86" s="6"/>
      <c r="CVK86" s="6"/>
      <c r="CVL86" s="6"/>
      <c r="CVM86" s="6"/>
      <c r="CVN86" s="6"/>
      <c r="CVO86" s="6"/>
      <c r="CVP86" s="6"/>
      <c r="CVQ86" s="6"/>
      <c r="CVR86" s="6"/>
      <c r="CVS86" s="6"/>
      <c r="CVT86" s="6"/>
      <c r="CVU86" s="6"/>
      <c r="CVV86" s="6"/>
      <c r="CVW86" s="6"/>
      <c r="CVX86" s="6"/>
      <c r="CVY86" s="6"/>
      <c r="CVZ86" s="6"/>
      <c r="CWA86" s="6"/>
      <c r="CWB86" s="6"/>
      <c r="CWC86" s="6"/>
      <c r="CWD86" s="6"/>
      <c r="CWE86" s="6"/>
      <c r="CWF86" s="6"/>
      <c r="CWG86" s="6"/>
      <c r="CWH86" s="6"/>
      <c r="CWI86" s="6"/>
      <c r="CWJ86" s="6"/>
      <c r="CWK86" s="6"/>
      <c r="CWL86" s="6"/>
      <c r="CWM86" s="6"/>
      <c r="CWN86" s="6"/>
      <c r="CWO86" s="6"/>
      <c r="CWP86" s="6"/>
      <c r="CWQ86" s="6"/>
      <c r="CWR86" s="6"/>
      <c r="CWS86" s="6"/>
      <c r="CWT86" s="6"/>
      <c r="CWU86" s="6"/>
      <c r="CWV86" s="6"/>
      <c r="CWW86" s="6"/>
      <c r="CWX86" s="6"/>
      <c r="CWY86" s="6"/>
      <c r="CWZ86" s="6"/>
      <c r="CXA86" s="6"/>
      <c r="CXB86" s="6"/>
      <c r="CXC86" s="6"/>
      <c r="CXD86" s="6"/>
      <c r="CXE86" s="6"/>
      <c r="CXF86" s="6"/>
      <c r="CXG86" s="6"/>
      <c r="CXH86" s="6"/>
      <c r="CXI86" s="6"/>
      <c r="CXJ86" s="6"/>
      <c r="CXK86" s="6"/>
      <c r="CXL86" s="6"/>
      <c r="CXM86" s="6"/>
      <c r="CXN86" s="6"/>
      <c r="CXO86" s="6"/>
      <c r="CXP86" s="6"/>
      <c r="CXQ86" s="6"/>
      <c r="CXR86" s="6"/>
      <c r="CXS86" s="6"/>
      <c r="CXT86" s="6"/>
      <c r="CXU86" s="6"/>
      <c r="CXV86" s="6"/>
      <c r="CXW86" s="6"/>
      <c r="CXX86" s="6"/>
      <c r="CXY86" s="6"/>
      <c r="CXZ86" s="6"/>
      <c r="CYA86" s="6"/>
      <c r="CYB86" s="6"/>
      <c r="CYC86" s="6"/>
      <c r="CYD86" s="6"/>
      <c r="CYE86" s="6"/>
      <c r="CYF86" s="6"/>
      <c r="CYG86" s="6"/>
      <c r="CYH86" s="6"/>
      <c r="CYI86" s="6"/>
      <c r="CYJ86" s="6"/>
      <c r="CYK86" s="6"/>
      <c r="CYL86" s="6"/>
      <c r="CYM86" s="6"/>
      <c r="CYN86" s="6"/>
      <c r="CYO86" s="6"/>
      <c r="CYP86" s="6"/>
      <c r="CYQ86" s="6"/>
      <c r="CYR86" s="6"/>
      <c r="CYS86" s="6"/>
      <c r="CYT86" s="6"/>
      <c r="CYU86" s="6"/>
      <c r="CYV86" s="6"/>
      <c r="CYW86" s="6"/>
      <c r="CYX86" s="6"/>
      <c r="CYY86" s="6"/>
      <c r="CYZ86" s="6"/>
      <c r="CZA86" s="6"/>
      <c r="CZB86" s="6"/>
      <c r="CZC86" s="6"/>
      <c r="CZD86" s="6"/>
      <c r="CZE86" s="6"/>
      <c r="CZF86" s="6"/>
      <c r="CZG86" s="6"/>
      <c r="CZH86" s="6"/>
      <c r="CZI86" s="6"/>
      <c r="CZJ86" s="6"/>
      <c r="CZK86" s="6"/>
      <c r="CZL86" s="6"/>
      <c r="CZM86" s="6"/>
      <c r="CZN86" s="6"/>
      <c r="CZO86" s="6"/>
      <c r="CZP86" s="6"/>
      <c r="CZQ86" s="6"/>
      <c r="CZR86" s="6"/>
      <c r="CZS86" s="6"/>
      <c r="CZT86" s="6"/>
      <c r="CZU86" s="6"/>
      <c r="CZV86" s="6"/>
      <c r="CZW86" s="6"/>
      <c r="CZX86" s="6"/>
      <c r="CZY86" s="6"/>
      <c r="CZZ86" s="6"/>
      <c r="DAA86" s="6"/>
      <c r="DAB86" s="6"/>
      <c r="DAC86" s="6"/>
      <c r="DAD86" s="6"/>
      <c r="DAE86" s="6"/>
      <c r="DAF86" s="6"/>
      <c r="DAG86" s="6"/>
      <c r="DAH86" s="6"/>
      <c r="DAI86" s="6"/>
      <c r="DAJ86" s="6"/>
      <c r="DAK86" s="6"/>
      <c r="DAL86" s="6"/>
      <c r="DAM86" s="6"/>
      <c r="DAN86" s="6"/>
      <c r="DAO86" s="6"/>
      <c r="DAP86" s="6"/>
      <c r="DAQ86" s="6"/>
      <c r="DAR86" s="6"/>
      <c r="DAS86" s="6"/>
      <c r="DAT86" s="6"/>
      <c r="DAU86" s="6"/>
      <c r="DAV86" s="6"/>
      <c r="DAW86" s="6"/>
      <c r="DAX86" s="6"/>
      <c r="DAY86" s="6"/>
      <c r="DAZ86" s="6"/>
      <c r="DBA86" s="6"/>
      <c r="DBB86" s="6"/>
      <c r="DBC86" s="6"/>
      <c r="DBD86" s="6"/>
      <c r="DBE86" s="6"/>
      <c r="DBF86" s="6"/>
      <c r="DBG86" s="6"/>
      <c r="DBH86" s="6"/>
      <c r="DBI86" s="6"/>
      <c r="DBJ86" s="6"/>
      <c r="DBK86" s="6"/>
      <c r="DBL86" s="6"/>
      <c r="DBM86" s="6"/>
      <c r="DBN86" s="6"/>
      <c r="DBO86" s="6"/>
      <c r="DBP86" s="6"/>
      <c r="DBQ86" s="6"/>
      <c r="DBR86" s="6"/>
      <c r="DBS86" s="6"/>
      <c r="DBT86" s="6"/>
      <c r="DBU86" s="6"/>
      <c r="DBV86" s="6"/>
      <c r="DBW86" s="6"/>
      <c r="DBX86" s="6"/>
      <c r="DBY86" s="6"/>
      <c r="DBZ86" s="6"/>
      <c r="DCA86" s="6"/>
      <c r="DCB86" s="6"/>
      <c r="DCC86" s="6"/>
      <c r="DCD86" s="6"/>
      <c r="DCE86" s="6"/>
      <c r="DCF86" s="6"/>
      <c r="DCG86" s="6"/>
      <c r="DCH86" s="6"/>
      <c r="DCI86" s="6"/>
      <c r="DCJ86" s="6"/>
      <c r="DCK86" s="6"/>
      <c r="DCL86" s="6"/>
      <c r="DCM86" s="6"/>
      <c r="DCN86" s="6"/>
      <c r="DCO86" s="6"/>
      <c r="DCP86" s="6"/>
      <c r="DCQ86" s="6"/>
      <c r="DCR86" s="6"/>
      <c r="DCS86" s="6"/>
      <c r="DCT86" s="6"/>
      <c r="DCU86" s="6"/>
      <c r="DCV86" s="6"/>
      <c r="DCW86" s="6"/>
      <c r="DCX86" s="6"/>
      <c r="DCY86" s="6"/>
      <c r="DCZ86" s="6"/>
      <c r="DDA86" s="6"/>
      <c r="DDB86" s="6"/>
      <c r="DDC86" s="6"/>
      <c r="DDD86" s="6"/>
      <c r="DDE86" s="6"/>
      <c r="DDF86" s="6"/>
      <c r="DDG86" s="6"/>
      <c r="DDH86" s="6"/>
      <c r="DDI86" s="6"/>
      <c r="DDJ86" s="6"/>
      <c r="DDK86" s="6"/>
      <c r="DDL86" s="6"/>
      <c r="DDM86" s="6"/>
      <c r="DDN86" s="6"/>
      <c r="DDO86" s="6"/>
      <c r="DDP86" s="6"/>
      <c r="DDQ86" s="6"/>
      <c r="DDR86" s="6"/>
      <c r="DDS86" s="6"/>
      <c r="DDT86" s="6"/>
      <c r="DDU86" s="6"/>
      <c r="DDV86" s="6"/>
      <c r="DDW86" s="6"/>
      <c r="DDX86" s="6"/>
      <c r="DDY86" s="6"/>
      <c r="DDZ86" s="6"/>
      <c r="DEA86" s="6"/>
      <c r="DEB86" s="6"/>
      <c r="DEC86" s="6"/>
      <c r="DED86" s="6"/>
      <c r="DEE86" s="6"/>
      <c r="DEF86" s="6"/>
      <c r="DEG86" s="6"/>
      <c r="DEH86" s="6"/>
      <c r="DEI86" s="6"/>
      <c r="DEJ86" s="6"/>
      <c r="DEK86" s="6"/>
      <c r="DEL86" s="6"/>
      <c r="DEM86" s="6"/>
      <c r="DEN86" s="6"/>
      <c r="DEO86" s="6"/>
      <c r="DEP86" s="6"/>
      <c r="DEQ86" s="6"/>
      <c r="DER86" s="6"/>
      <c r="DES86" s="6"/>
      <c r="DET86" s="6"/>
      <c r="DEU86" s="6"/>
      <c r="DEV86" s="6"/>
      <c r="DEW86" s="6"/>
      <c r="DEX86" s="6"/>
      <c r="DEY86" s="6"/>
      <c r="DEZ86" s="6"/>
      <c r="DFA86" s="6"/>
      <c r="DFB86" s="6"/>
      <c r="DFC86" s="6"/>
      <c r="DFD86" s="6"/>
      <c r="DFE86" s="6"/>
      <c r="DFF86" s="6"/>
      <c r="DFG86" s="6"/>
      <c r="DFH86" s="6"/>
      <c r="DFI86" s="6"/>
      <c r="DFJ86" s="6"/>
      <c r="DFK86" s="6"/>
      <c r="DFL86" s="6"/>
      <c r="DFM86" s="6"/>
      <c r="DFN86" s="6"/>
      <c r="DFO86" s="6"/>
      <c r="DFP86" s="6"/>
      <c r="DFQ86" s="6"/>
      <c r="DFR86" s="6"/>
      <c r="DFS86" s="6"/>
      <c r="DFT86" s="6"/>
      <c r="DFU86" s="6"/>
      <c r="DFV86" s="6"/>
      <c r="DFW86" s="6"/>
      <c r="DFX86" s="6"/>
      <c r="DFY86" s="6"/>
      <c r="DFZ86" s="6"/>
      <c r="DGA86" s="6"/>
      <c r="DGB86" s="6"/>
      <c r="DGC86" s="6"/>
      <c r="DGD86" s="6"/>
      <c r="DGE86" s="6"/>
      <c r="DGF86" s="6"/>
      <c r="DGG86" s="6"/>
      <c r="DGH86" s="6"/>
      <c r="DGI86" s="6"/>
      <c r="DGJ86" s="6"/>
      <c r="DGK86" s="6"/>
      <c r="DGL86" s="6"/>
      <c r="DGM86" s="6"/>
      <c r="DGN86" s="6"/>
      <c r="DGO86" s="6"/>
      <c r="DGP86" s="6"/>
      <c r="DGQ86" s="6"/>
      <c r="DGR86" s="6"/>
      <c r="DGS86" s="6"/>
      <c r="DGT86" s="6"/>
      <c r="DGU86" s="6"/>
      <c r="DGV86" s="6"/>
      <c r="DGW86" s="6"/>
      <c r="DGX86" s="6"/>
      <c r="DGY86" s="6"/>
      <c r="DGZ86" s="6"/>
      <c r="DHA86" s="6"/>
      <c r="DHB86" s="6"/>
      <c r="DHC86" s="6"/>
      <c r="DHD86" s="6"/>
      <c r="DHE86" s="6"/>
      <c r="DHF86" s="6"/>
      <c r="DHG86" s="6"/>
      <c r="DHH86" s="6"/>
      <c r="DHI86" s="6"/>
      <c r="DHJ86" s="6"/>
      <c r="DHK86" s="6"/>
      <c r="DHL86" s="6"/>
      <c r="DHM86" s="6"/>
      <c r="DHN86" s="6"/>
      <c r="DHO86" s="6"/>
      <c r="DHP86" s="6"/>
      <c r="DHQ86" s="6"/>
      <c r="DHR86" s="6"/>
      <c r="DHS86" s="6"/>
      <c r="DHT86" s="6"/>
      <c r="DHU86" s="6"/>
      <c r="DHV86" s="6"/>
      <c r="DHW86" s="6"/>
      <c r="DHX86" s="6"/>
      <c r="DHY86" s="6"/>
      <c r="DHZ86" s="6"/>
      <c r="DIA86" s="6"/>
      <c r="DIB86" s="6"/>
      <c r="DIC86" s="6"/>
      <c r="DID86" s="6"/>
      <c r="DIE86" s="6"/>
      <c r="DIF86" s="6"/>
      <c r="DIG86" s="6"/>
      <c r="DIH86" s="6"/>
      <c r="DII86" s="6"/>
      <c r="DIJ86" s="6"/>
      <c r="DIK86" s="6"/>
      <c r="DIL86" s="6"/>
      <c r="DIM86" s="6"/>
      <c r="DIN86" s="6"/>
      <c r="DIO86" s="6"/>
      <c r="DIP86" s="6"/>
      <c r="DIQ86" s="6"/>
      <c r="DIR86" s="6"/>
      <c r="DIS86" s="6"/>
      <c r="DIT86" s="6"/>
      <c r="DIU86" s="6"/>
      <c r="DIV86" s="6"/>
      <c r="DIW86" s="6"/>
      <c r="DIX86" s="6"/>
      <c r="DIY86" s="6"/>
      <c r="DIZ86" s="6"/>
      <c r="DJA86" s="6"/>
      <c r="DJB86" s="6"/>
      <c r="DJC86" s="6"/>
      <c r="DJD86" s="6"/>
      <c r="DJE86" s="6"/>
      <c r="DJF86" s="6"/>
      <c r="DJG86" s="6"/>
      <c r="DJH86" s="6"/>
      <c r="DJI86" s="6"/>
      <c r="DJJ86" s="6"/>
      <c r="DJK86" s="6"/>
      <c r="DJL86" s="6"/>
      <c r="DJM86" s="6"/>
      <c r="DJN86" s="6"/>
      <c r="DJO86" s="6"/>
      <c r="DJP86" s="6"/>
      <c r="DJQ86" s="6"/>
      <c r="DJR86" s="6"/>
      <c r="DJS86" s="6"/>
      <c r="DJT86" s="6"/>
      <c r="DJU86" s="6"/>
      <c r="DJV86" s="6"/>
      <c r="DJW86" s="6"/>
      <c r="DJX86" s="6"/>
      <c r="DJY86" s="6"/>
      <c r="DJZ86" s="6"/>
      <c r="DKA86" s="6"/>
      <c r="DKB86" s="6"/>
      <c r="DKC86" s="6"/>
      <c r="DKD86" s="6"/>
      <c r="DKE86" s="6"/>
      <c r="DKF86" s="6"/>
      <c r="DKG86" s="6"/>
      <c r="DKH86" s="6"/>
      <c r="DKI86" s="6"/>
      <c r="DKJ86" s="6"/>
      <c r="DKK86" s="6"/>
      <c r="DKL86" s="6"/>
      <c r="DKM86" s="6"/>
      <c r="DKN86" s="6"/>
      <c r="DKO86" s="6"/>
      <c r="DKP86" s="6"/>
      <c r="DKQ86" s="6"/>
      <c r="DKR86" s="6"/>
      <c r="DKS86" s="6"/>
      <c r="DKT86" s="6"/>
      <c r="DKU86" s="6"/>
      <c r="DKV86" s="6"/>
      <c r="DKW86" s="6"/>
      <c r="DKX86" s="6"/>
      <c r="DKY86" s="6"/>
      <c r="DKZ86" s="6"/>
      <c r="DLA86" s="6"/>
      <c r="DLB86" s="6"/>
      <c r="DLC86" s="6"/>
      <c r="DLD86" s="6"/>
      <c r="DLE86" s="6"/>
      <c r="DLF86" s="6"/>
      <c r="DLG86" s="6"/>
      <c r="DLH86" s="6"/>
      <c r="DLI86" s="6"/>
      <c r="DLJ86" s="6"/>
      <c r="DLK86" s="6"/>
      <c r="DLL86" s="6"/>
      <c r="DLM86" s="6"/>
      <c r="DLN86" s="6"/>
      <c r="DLO86" s="6"/>
      <c r="DLP86" s="6"/>
      <c r="DLQ86" s="6"/>
      <c r="DLR86" s="6"/>
      <c r="DLS86" s="6"/>
      <c r="DLT86" s="6"/>
      <c r="DLU86" s="6"/>
      <c r="DLV86" s="6"/>
      <c r="DLW86" s="6"/>
      <c r="DLX86" s="6"/>
      <c r="DLY86" s="6"/>
      <c r="DLZ86" s="6"/>
      <c r="DMA86" s="6"/>
      <c r="DMB86" s="6"/>
      <c r="DMC86" s="6"/>
      <c r="DMD86" s="6"/>
      <c r="DME86" s="6"/>
      <c r="DMF86" s="6"/>
      <c r="DMG86" s="6"/>
      <c r="DMH86" s="6"/>
      <c r="DMI86" s="6"/>
      <c r="DMJ86" s="6"/>
      <c r="DMK86" s="6"/>
      <c r="DML86" s="6"/>
      <c r="DMM86" s="6"/>
      <c r="DMN86" s="6"/>
      <c r="DMO86" s="6"/>
      <c r="DMP86" s="6"/>
      <c r="DMQ86" s="6"/>
      <c r="DMR86" s="6"/>
      <c r="DMS86" s="6"/>
      <c r="DMT86" s="6"/>
      <c r="DMU86" s="6"/>
      <c r="DMV86" s="6"/>
      <c r="DMW86" s="6"/>
      <c r="DMX86" s="6"/>
      <c r="DMY86" s="6"/>
      <c r="DMZ86" s="6"/>
      <c r="DNA86" s="6"/>
      <c r="DNB86" s="6"/>
      <c r="DNC86" s="6"/>
      <c r="DND86" s="6"/>
      <c r="DNE86" s="6"/>
      <c r="DNF86" s="6"/>
      <c r="DNG86" s="6"/>
      <c r="DNH86" s="6"/>
      <c r="DNI86" s="6"/>
      <c r="DNJ86" s="6"/>
      <c r="DNK86" s="6"/>
      <c r="DNL86" s="6"/>
      <c r="DNM86" s="6"/>
      <c r="DNN86" s="6"/>
      <c r="DNO86" s="6"/>
      <c r="DNP86" s="6"/>
      <c r="DNQ86" s="6"/>
      <c r="DNR86" s="6"/>
      <c r="DNS86" s="6"/>
      <c r="DNT86" s="6"/>
      <c r="DNU86" s="6"/>
      <c r="DNV86" s="6"/>
      <c r="DNW86" s="6"/>
      <c r="DNX86" s="6"/>
      <c r="DNY86" s="6"/>
      <c r="DNZ86" s="6"/>
      <c r="DOA86" s="6"/>
      <c r="DOB86" s="6"/>
      <c r="DOC86" s="6"/>
      <c r="DOD86" s="6"/>
      <c r="DOE86" s="6"/>
      <c r="DOF86" s="6"/>
      <c r="DOG86" s="6"/>
      <c r="DOH86" s="6"/>
      <c r="DOI86" s="6"/>
      <c r="DOJ86" s="6"/>
      <c r="DOK86" s="6"/>
      <c r="DOL86" s="6"/>
      <c r="DOM86" s="6"/>
      <c r="DON86" s="6"/>
      <c r="DOO86" s="6"/>
      <c r="DOP86" s="6"/>
      <c r="DOQ86" s="6"/>
      <c r="DOR86" s="6"/>
      <c r="DOS86" s="6"/>
      <c r="DOT86" s="6"/>
      <c r="DOU86" s="6"/>
      <c r="DOV86" s="6"/>
      <c r="DOW86" s="6"/>
      <c r="DOX86" s="6"/>
      <c r="DOY86" s="6"/>
      <c r="DOZ86" s="6"/>
      <c r="DPA86" s="6"/>
      <c r="DPB86" s="6"/>
      <c r="DPC86" s="6"/>
      <c r="DPD86" s="6"/>
      <c r="DPE86" s="6"/>
      <c r="DPF86" s="6"/>
      <c r="DPG86" s="6"/>
      <c r="DPH86" s="6"/>
      <c r="DPI86" s="6"/>
      <c r="DPJ86" s="6"/>
      <c r="DPK86" s="6"/>
      <c r="DPL86" s="6"/>
      <c r="DPM86" s="6"/>
      <c r="DPN86" s="6"/>
      <c r="DPO86" s="6"/>
      <c r="DPP86" s="6"/>
      <c r="DPQ86" s="6"/>
      <c r="DPR86" s="6"/>
      <c r="DPS86" s="6"/>
      <c r="DPT86" s="6"/>
      <c r="DPU86" s="6"/>
      <c r="DPV86" s="6"/>
      <c r="DPW86" s="6"/>
      <c r="DPX86" s="6"/>
      <c r="DPY86" s="6"/>
      <c r="DPZ86" s="6"/>
      <c r="DQA86" s="6"/>
      <c r="DQB86" s="6"/>
      <c r="DQC86" s="6"/>
      <c r="DQD86" s="6"/>
      <c r="DQE86" s="6"/>
      <c r="DQF86" s="6"/>
      <c r="DQG86" s="6"/>
      <c r="DQH86" s="6"/>
      <c r="DQI86" s="6"/>
      <c r="DQJ86" s="6"/>
      <c r="DQK86" s="6"/>
      <c r="DQL86" s="6"/>
      <c r="DQM86" s="6"/>
      <c r="DQN86" s="6"/>
      <c r="DQO86" s="6"/>
      <c r="DQP86" s="6"/>
      <c r="DQQ86" s="6"/>
      <c r="DQR86" s="6"/>
      <c r="DQS86" s="6"/>
      <c r="DQT86" s="6"/>
      <c r="DQU86" s="6"/>
      <c r="DQV86" s="6"/>
      <c r="DQW86" s="6"/>
      <c r="DQX86" s="6"/>
      <c r="DQY86" s="6"/>
      <c r="DQZ86" s="6"/>
      <c r="DRA86" s="6"/>
      <c r="DRB86" s="6"/>
      <c r="DRC86" s="6"/>
      <c r="DRD86" s="6"/>
      <c r="DRE86" s="6"/>
      <c r="DRF86" s="6"/>
      <c r="DRG86" s="6"/>
      <c r="DRH86" s="6"/>
      <c r="DRI86" s="6"/>
      <c r="DRJ86" s="6"/>
      <c r="DRK86" s="6"/>
      <c r="DRL86" s="6"/>
      <c r="DRM86" s="6"/>
      <c r="DRN86" s="6"/>
      <c r="DRO86" s="6"/>
      <c r="DRP86" s="6"/>
      <c r="DRQ86" s="6"/>
      <c r="DRR86" s="6"/>
      <c r="DRS86" s="6"/>
      <c r="DRT86" s="6"/>
      <c r="DRU86" s="6"/>
      <c r="DRV86" s="6"/>
      <c r="DRW86" s="6"/>
      <c r="DRX86" s="6"/>
      <c r="DRY86" s="6"/>
      <c r="DRZ86" s="6"/>
      <c r="DSA86" s="6"/>
      <c r="DSB86" s="6"/>
      <c r="DSC86" s="6"/>
      <c r="DSD86" s="6"/>
      <c r="DSE86" s="6"/>
      <c r="DSF86" s="6"/>
      <c r="DSG86" s="6"/>
      <c r="DSH86" s="6"/>
      <c r="DSI86" s="6"/>
      <c r="DSJ86" s="6"/>
      <c r="DSK86" s="6"/>
      <c r="DSL86" s="6"/>
      <c r="DSM86" s="6"/>
      <c r="DSN86" s="6"/>
      <c r="DSO86" s="6"/>
      <c r="DSP86" s="6"/>
      <c r="DSQ86" s="6"/>
      <c r="DSR86" s="6"/>
      <c r="DSS86" s="6"/>
      <c r="DST86" s="6"/>
      <c r="DSU86" s="6"/>
      <c r="DSV86" s="6"/>
      <c r="DSW86" s="6"/>
      <c r="DSX86" s="6"/>
      <c r="DSY86" s="6"/>
      <c r="DSZ86" s="6"/>
      <c r="DTA86" s="6"/>
      <c r="DTB86" s="6"/>
      <c r="DTC86" s="6"/>
      <c r="DTD86" s="6"/>
      <c r="DTE86" s="6"/>
      <c r="DTF86" s="6"/>
      <c r="DTG86" s="6"/>
      <c r="DTH86" s="6"/>
      <c r="DTI86" s="6"/>
      <c r="DTJ86" s="6"/>
      <c r="DTK86" s="6"/>
      <c r="DTL86" s="6"/>
      <c r="DTM86" s="6"/>
      <c r="DTN86" s="6"/>
      <c r="DTO86" s="6"/>
      <c r="DTP86" s="6"/>
      <c r="DTQ86" s="6"/>
      <c r="DTR86" s="6"/>
      <c r="DTS86" s="6"/>
      <c r="DTT86" s="6"/>
      <c r="DTU86" s="6"/>
      <c r="DTV86" s="6"/>
      <c r="DTW86" s="6"/>
      <c r="DTX86" s="6"/>
      <c r="DTY86" s="6"/>
      <c r="DTZ86" s="6"/>
      <c r="DUA86" s="6"/>
      <c r="DUB86" s="6"/>
      <c r="DUC86" s="6"/>
      <c r="DUD86" s="6"/>
      <c r="DUE86" s="6"/>
      <c r="DUF86" s="6"/>
      <c r="DUG86" s="6"/>
      <c r="DUH86" s="6"/>
      <c r="DUI86" s="6"/>
      <c r="DUJ86" s="6"/>
      <c r="DUK86" s="6"/>
      <c r="DUL86" s="6"/>
      <c r="DUM86" s="6"/>
      <c r="DUN86" s="6"/>
      <c r="DUO86" s="6"/>
      <c r="DUP86" s="6"/>
      <c r="DUQ86" s="6"/>
      <c r="DUR86" s="6"/>
      <c r="DUS86" s="6"/>
      <c r="DUT86" s="6"/>
      <c r="DUU86" s="6"/>
      <c r="DUV86" s="6"/>
      <c r="DUW86" s="6"/>
      <c r="DUX86" s="6"/>
      <c r="DUY86" s="6"/>
      <c r="DUZ86" s="6"/>
      <c r="DVA86" s="6"/>
      <c r="DVB86" s="6"/>
      <c r="DVC86" s="6"/>
      <c r="DVD86" s="6"/>
      <c r="DVE86" s="6"/>
      <c r="DVF86" s="6"/>
      <c r="DVG86" s="6"/>
      <c r="DVH86" s="6"/>
      <c r="DVI86" s="6"/>
      <c r="DVJ86" s="6"/>
      <c r="DVK86" s="6"/>
      <c r="DVL86" s="6"/>
      <c r="DVM86" s="6"/>
      <c r="DVN86" s="6"/>
      <c r="DVO86" s="6"/>
      <c r="DVP86" s="6"/>
      <c r="DVQ86" s="6"/>
      <c r="DVR86" s="6"/>
      <c r="DVS86" s="6"/>
      <c r="DVT86" s="6"/>
      <c r="DVU86" s="6"/>
      <c r="DVV86" s="6"/>
      <c r="DVW86" s="6"/>
      <c r="DVX86" s="6"/>
      <c r="DVY86" s="6"/>
      <c r="DVZ86" s="6"/>
      <c r="DWA86" s="6"/>
      <c r="DWB86" s="6"/>
      <c r="DWC86" s="6"/>
      <c r="DWD86" s="6"/>
      <c r="DWE86" s="6"/>
      <c r="DWF86" s="6"/>
      <c r="DWG86" s="6"/>
      <c r="DWH86" s="6"/>
      <c r="DWI86" s="6"/>
      <c r="DWJ86" s="6"/>
      <c r="DWK86" s="6"/>
      <c r="DWL86" s="6"/>
      <c r="DWM86" s="6"/>
      <c r="DWN86" s="6"/>
      <c r="DWO86" s="6"/>
      <c r="DWP86" s="6"/>
      <c r="DWQ86" s="6"/>
      <c r="DWR86" s="6"/>
      <c r="DWS86" s="6"/>
      <c r="DWT86" s="6"/>
      <c r="DWU86" s="6"/>
      <c r="DWV86" s="6"/>
      <c r="DWW86" s="6"/>
      <c r="DWX86" s="6"/>
      <c r="DWY86" s="6"/>
      <c r="DWZ86" s="6"/>
      <c r="DXA86" s="6"/>
      <c r="DXB86" s="6"/>
      <c r="DXC86" s="6"/>
      <c r="DXD86" s="6"/>
      <c r="DXE86" s="6"/>
      <c r="DXF86" s="6"/>
      <c r="DXG86" s="6"/>
      <c r="DXH86" s="6"/>
      <c r="DXI86" s="6"/>
      <c r="DXJ86" s="6"/>
      <c r="DXK86" s="6"/>
      <c r="DXL86" s="6"/>
      <c r="DXM86" s="6"/>
      <c r="DXN86" s="6"/>
      <c r="DXO86" s="6"/>
      <c r="DXP86" s="6"/>
      <c r="DXQ86" s="6"/>
      <c r="DXR86" s="6"/>
      <c r="DXS86" s="6"/>
      <c r="DXT86" s="6"/>
      <c r="DXU86" s="6"/>
      <c r="DXV86" s="6"/>
      <c r="DXW86" s="6"/>
      <c r="DXX86" s="6"/>
      <c r="DXY86" s="6"/>
      <c r="DXZ86" s="6"/>
      <c r="DYA86" s="6"/>
      <c r="DYB86" s="6"/>
      <c r="DYC86" s="6"/>
      <c r="DYD86" s="6"/>
      <c r="DYE86" s="6"/>
      <c r="DYF86" s="6"/>
      <c r="DYG86" s="6"/>
      <c r="DYH86" s="6"/>
      <c r="DYI86" s="6"/>
      <c r="DYJ86" s="6"/>
      <c r="DYK86" s="6"/>
      <c r="DYL86" s="6"/>
      <c r="DYM86" s="6"/>
      <c r="DYN86" s="6"/>
      <c r="DYO86" s="6"/>
      <c r="DYP86" s="6"/>
      <c r="DYQ86" s="6"/>
      <c r="DYR86" s="6"/>
      <c r="DYS86" s="6"/>
      <c r="DYT86" s="6"/>
      <c r="DYU86" s="6"/>
      <c r="DYV86" s="6"/>
      <c r="DYW86" s="6"/>
      <c r="DYX86" s="6"/>
      <c r="DYY86" s="6"/>
      <c r="DYZ86" s="6"/>
      <c r="DZA86" s="6"/>
      <c r="DZB86" s="6"/>
      <c r="DZC86" s="6"/>
      <c r="DZD86" s="6"/>
      <c r="DZE86" s="6"/>
      <c r="DZF86" s="6"/>
      <c r="DZG86" s="6"/>
      <c r="DZH86" s="6"/>
      <c r="DZI86" s="6"/>
      <c r="DZJ86" s="6"/>
      <c r="DZK86" s="6"/>
      <c r="DZL86" s="6"/>
      <c r="DZM86" s="6"/>
      <c r="DZN86" s="6"/>
      <c r="DZO86" s="6"/>
      <c r="DZP86" s="6"/>
      <c r="DZQ86" s="6"/>
      <c r="DZR86" s="6"/>
      <c r="DZS86" s="6"/>
      <c r="DZT86" s="6"/>
      <c r="DZU86" s="6"/>
      <c r="DZV86" s="6"/>
      <c r="DZW86" s="6"/>
      <c r="DZX86" s="6"/>
      <c r="DZY86" s="6"/>
      <c r="DZZ86" s="6"/>
      <c r="EAA86" s="6"/>
      <c r="EAB86" s="6"/>
      <c r="EAC86" s="6"/>
      <c r="EAD86" s="6"/>
      <c r="EAE86" s="6"/>
      <c r="EAF86" s="6"/>
      <c r="EAG86" s="6"/>
      <c r="EAH86" s="6"/>
      <c r="EAI86" s="6"/>
      <c r="EAJ86" s="6"/>
      <c r="EAK86" s="6"/>
      <c r="EAL86" s="6"/>
      <c r="EAM86" s="6"/>
      <c r="EAN86" s="6"/>
      <c r="EAO86" s="6"/>
      <c r="EAP86" s="6"/>
      <c r="EAQ86" s="6"/>
      <c r="EAR86" s="6"/>
      <c r="EAS86" s="6"/>
      <c r="EAT86" s="6"/>
      <c r="EAU86" s="6"/>
      <c r="EAV86" s="6"/>
      <c r="EAW86" s="6"/>
      <c r="EAX86" s="6"/>
      <c r="EAY86" s="6"/>
      <c r="EAZ86" s="6"/>
      <c r="EBA86" s="6"/>
      <c r="EBB86" s="6"/>
      <c r="EBC86" s="6"/>
      <c r="EBD86" s="6"/>
      <c r="EBE86" s="6"/>
      <c r="EBF86" s="6"/>
      <c r="EBG86" s="6"/>
      <c r="EBH86" s="6"/>
      <c r="EBI86" s="6"/>
      <c r="EBJ86" s="6"/>
      <c r="EBK86" s="6"/>
      <c r="EBL86" s="6"/>
      <c r="EBM86" s="6"/>
      <c r="EBN86" s="6"/>
      <c r="EBO86" s="6"/>
      <c r="EBP86" s="6"/>
      <c r="EBQ86" s="6"/>
      <c r="EBR86" s="6"/>
      <c r="EBS86" s="6"/>
      <c r="EBT86" s="6"/>
      <c r="EBU86" s="6"/>
      <c r="EBV86" s="6"/>
      <c r="EBW86" s="6"/>
      <c r="EBX86" s="6"/>
      <c r="EBY86" s="6"/>
      <c r="EBZ86" s="6"/>
      <c r="ECA86" s="6"/>
      <c r="ECB86" s="6"/>
      <c r="ECC86" s="6"/>
      <c r="ECD86" s="6"/>
      <c r="ECE86" s="6"/>
      <c r="ECF86" s="6"/>
      <c r="ECG86" s="6"/>
      <c r="ECH86" s="6"/>
      <c r="ECI86" s="6"/>
      <c r="ECJ86" s="6"/>
      <c r="ECK86" s="6"/>
      <c r="ECL86" s="6"/>
      <c r="ECM86" s="6"/>
      <c r="ECN86" s="6"/>
      <c r="ECO86" s="6"/>
      <c r="ECP86" s="6"/>
      <c r="ECQ86" s="6"/>
      <c r="ECR86" s="6"/>
      <c r="ECS86" s="6"/>
      <c r="ECT86" s="6"/>
      <c r="ECU86" s="6"/>
      <c r="ECV86" s="6"/>
      <c r="ECW86" s="6"/>
      <c r="ECX86" s="6"/>
      <c r="ECY86" s="6"/>
      <c r="ECZ86" s="6"/>
      <c r="EDA86" s="6"/>
      <c r="EDB86" s="6"/>
      <c r="EDC86" s="6"/>
      <c r="EDD86" s="6"/>
      <c r="EDE86" s="6"/>
      <c r="EDF86" s="6"/>
      <c r="EDG86" s="6"/>
      <c r="EDH86" s="6"/>
      <c r="EDI86" s="6"/>
      <c r="EDJ86" s="6"/>
      <c r="EDK86" s="6"/>
      <c r="EDL86" s="6"/>
      <c r="EDM86" s="6"/>
      <c r="EDN86" s="6"/>
      <c r="EDO86" s="6"/>
      <c r="EDP86" s="6"/>
      <c r="EDQ86" s="6"/>
      <c r="EDR86" s="6"/>
      <c r="EDS86" s="6"/>
      <c r="EDT86" s="6"/>
      <c r="EDU86" s="6"/>
      <c r="EDV86" s="6"/>
      <c r="EDW86" s="6"/>
      <c r="EDX86" s="6"/>
      <c r="EDY86" s="6"/>
      <c r="EDZ86" s="6"/>
      <c r="EEA86" s="6"/>
      <c r="EEB86" s="6"/>
      <c r="EEC86" s="6"/>
      <c r="EED86" s="6"/>
      <c r="EEE86" s="6"/>
      <c r="EEF86" s="6"/>
      <c r="EEG86" s="6"/>
      <c r="EEH86" s="6"/>
      <c r="EEI86" s="6"/>
      <c r="EEJ86" s="6"/>
      <c r="EEK86" s="6"/>
      <c r="EEL86" s="6"/>
      <c r="EEM86" s="6"/>
      <c r="EEN86" s="6"/>
      <c r="EEO86" s="6"/>
      <c r="EEP86" s="6"/>
      <c r="EEQ86" s="6"/>
      <c r="EER86" s="6"/>
      <c r="EES86" s="6"/>
      <c r="EET86" s="6"/>
      <c r="EEU86" s="6"/>
      <c r="EEV86" s="6"/>
      <c r="EEW86" s="6"/>
      <c r="EEX86" s="6"/>
      <c r="EEY86" s="6"/>
      <c r="EEZ86" s="6"/>
      <c r="EFA86" s="6"/>
      <c r="EFB86" s="6"/>
      <c r="EFC86" s="6"/>
      <c r="EFD86" s="6"/>
      <c r="EFE86" s="6"/>
      <c r="EFF86" s="6"/>
      <c r="EFG86" s="6"/>
      <c r="EFH86" s="6"/>
      <c r="EFI86" s="6"/>
      <c r="EFJ86" s="6"/>
      <c r="EFK86" s="6"/>
      <c r="EFL86" s="6"/>
      <c r="EFM86" s="6"/>
      <c r="EFN86" s="6"/>
      <c r="EFO86" s="6"/>
      <c r="EFP86" s="6"/>
      <c r="EFQ86" s="6"/>
      <c r="EFR86" s="6"/>
      <c r="EFS86" s="6"/>
      <c r="EFT86" s="6"/>
      <c r="EFU86" s="6"/>
      <c r="EFV86" s="6"/>
      <c r="EFW86" s="6"/>
      <c r="EFX86" s="6"/>
      <c r="EFY86" s="6"/>
      <c r="EFZ86" s="6"/>
      <c r="EGA86" s="6"/>
      <c r="EGB86" s="6"/>
      <c r="EGC86" s="6"/>
      <c r="EGD86" s="6"/>
      <c r="EGE86" s="6"/>
      <c r="EGF86" s="6"/>
      <c r="EGG86" s="6"/>
      <c r="EGH86" s="6"/>
      <c r="EGI86" s="6"/>
      <c r="EGJ86" s="6"/>
      <c r="EGK86" s="6"/>
      <c r="EGL86" s="6"/>
      <c r="EGM86" s="6"/>
      <c r="EGN86" s="6"/>
      <c r="EGO86" s="6"/>
      <c r="EGP86" s="6"/>
      <c r="EGQ86" s="6"/>
      <c r="EGR86" s="6"/>
      <c r="EGS86" s="6"/>
      <c r="EGT86" s="6"/>
      <c r="EGU86" s="6"/>
      <c r="EGV86" s="6"/>
      <c r="EGW86" s="6"/>
      <c r="EGX86" s="6"/>
      <c r="EGY86" s="6"/>
      <c r="EGZ86" s="6"/>
      <c r="EHA86" s="6"/>
      <c r="EHB86" s="6"/>
      <c r="EHC86" s="6"/>
      <c r="EHD86" s="6"/>
      <c r="EHE86" s="6"/>
      <c r="EHF86" s="6"/>
      <c r="EHG86" s="6"/>
      <c r="EHH86" s="6"/>
      <c r="EHI86" s="6"/>
      <c r="EHJ86" s="6"/>
      <c r="EHK86" s="6"/>
      <c r="EHL86" s="6"/>
      <c r="EHM86" s="6"/>
      <c r="EHN86" s="6"/>
      <c r="EHO86" s="6"/>
      <c r="EHP86" s="6"/>
      <c r="EHQ86" s="6"/>
      <c r="EHR86" s="6"/>
      <c r="EHS86" s="6"/>
      <c r="EHT86" s="6"/>
      <c r="EHU86" s="6"/>
      <c r="EHV86" s="6"/>
      <c r="EHW86" s="6"/>
      <c r="EHX86" s="6"/>
      <c r="EHY86" s="6"/>
      <c r="EHZ86" s="6"/>
      <c r="EIA86" s="6"/>
      <c r="EIB86" s="6"/>
      <c r="EIC86" s="6"/>
      <c r="EID86" s="6"/>
      <c r="EIE86" s="6"/>
      <c r="EIF86" s="6"/>
      <c r="EIG86" s="6"/>
      <c r="EIH86" s="6"/>
      <c r="EII86" s="6"/>
      <c r="EIJ86" s="6"/>
      <c r="EIK86" s="6"/>
      <c r="EIL86" s="6"/>
      <c r="EIM86" s="6"/>
      <c r="EIN86" s="6"/>
      <c r="EIO86" s="6"/>
      <c r="EIP86" s="6"/>
      <c r="EIQ86" s="6"/>
      <c r="EIR86" s="6"/>
      <c r="EIS86" s="6"/>
      <c r="EIT86" s="6"/>
      <c r="EIU86" s="6"/>
      <c r="EIV86" s="6"/>
      <c r="EIW86" s="6"/>
      <c r="EIX86" s="6"/>
      <c r="EIY86" s="6"/>
      <c r="EIZ86" s="6"/>
      <c r="EJA86" s="6"/>
      <c r="EJB86" s="6"/>
      <c r="EJC86" s="6"/>
      <c r="EJD86" s="6"/>
      <c r="EJE86" s="6"/>
      <c r="EJF86" s="6"/>
      <c r="EJG86" s="6"/>
      <c r="EJH86" s="6"/>
      <c r="EJI86" s="6"/>
      <c r="EJJ86" s="6"/>
      <c r="EJK86" s="6"/>
      <c r="EJL86" s="6"/>
      <c r="EJM86" s="6"/>
      <c r="EJN86" s="6"/>
      <c r="EJO86" s="6"/>
      <c r="EJP86" s="6"/>
      <c r="EJQ86" s="6"/>
      <c r="EJR86" s="6"/>
      <c r="EJS86" s="6"/>
      <c r="EJT86" s="6"/>
      <c r="EJU86" s="6"/>
      <c r="EJV86" s="6"/>
      <c r="EJW86" s="6"/>
      <c r="EJX86" s="6"/>
      <c r="EJY86" s="6"/>
      <c r="EJZ86" s="6"/>
      <c r="EKA86" s="6"/>
      <c r="EKB86" s="6"/>
      <c r="EKC86" s="6"/>
      <c r="EKD86" s="6"/>
      <c r="EKE86" s="6"/>
      <c r="EKF86" s="6"/>
      <c r="EKG86" s="6"/>
      <c r="EKH86" s="6"/>
      <c r="EKI86" s="6"/>
      <c r="EKJ86" s="6"/>
      <c r="EKK86" s="6"/>
      <c r="EKL86" s="6"/>
      <c r="EKM86" s="6"/>
      <c r="EKN86" s="6"/>
      <c r="EKO86" s="6"/>
      <c r="EKP86" s="6"/>
      <c r="EKQ86" s="6"/>
      <c r="EKR86" s="6"/>
      <c r="EKS86" s="6"/>
      <c r="EKT86" s="6"/>
      <c r="EKU86" s="6"/>
      <c r="EKV86" s="6"/>
      <c r="EKW86" s="6"/>
      <c r="EKX86" s="6"/>
      <c r="EKY86" s="6"/>
      <c r="EKZ86" s="6"/>
      <c r="ELA86" s="6"/>
      <c r="ELB86" s="6"/>
      <c r="ELC86" s="6"/>
      <c r="ELD86" s="6"/>
      <c r="ELE86" s="6"/>
      <c r="ELF86" s="6"/>
      <c r="ELG86" s="6"/>
      <c r="ELH86" s="6"/>
      <c r="ELI86" s="6"/>
      <c r="ELJ86" s="6"/>
      <c r="ELK86" s="6"/>
      <c r="ELL86" s="6"/>
      <c r="ELM86" s="6"/>
      <c r="ELN86" s="6"/>
      <c r="ELO86" s="6"/>
      <c r="ELP86" s="6"/>
      <c r="ELQ86" s="6"/>
      <c r="ELR86" s="6"/>
      <c r="ELS86" s="6"/>
      <c r="ELT86" s="6"/>
      <c r="ELU86" s="6"/>
      <c r="ELV86" s="6"/>
      <c r="ELW86" s="6"/>
      <c r="ELX86" s="6"/>
      <c r="ELY86" s="6"/>
      <c r="ELZ86" s="6"/>
      <c r="EMA86" s="6"/>
      <c r="EMB86" s="6"/>
      <c r="EMC86" s="6"/>
      <c r="EMD86" s="6"/>
      <c r="EME86" s="6"/>
      <c r="EMF86" s="6"/>
      <c r="EMG86" s="6"/>
      <c r="EMH86" s="6"/>
      <c r="EMI86" s="6"/>
      <c r="EMJ86" s="6"/>
      <c r="EMK86" s="6"/>
      <c r="EML86" s="6"/>
      <c r="EMM86" s="6"/>
      <c r="EMN86" s="6"/>
      <c r="EMO86" s="6"/>
      <c r="EMP86" s="6"/>
      <c r="EMQ86" s="6"/>
      <c r="EMR86" s="6"/>
      <c r="EMS86" s="6"/>
      <c r="EMT86" s="6"/>
      <c r="EMU86" s="6"/>
      <c r="EMV86" s="6"/>
      <c r="EMW86" s="6"/>
      <c r="EMX86" s="6"/>
      <c r="EMY86" s="6"/>
      <c r="EMZ86" s="6"/>
      <c r="ENA86" s="6"/>
      <c r="ENB86" s="6"/>
      <c r="ENC86" s="6"/>
      <c r="END86" s="6"/>
      <c r="ENE86" s="6"/>
      <c r="ENF86" s="6"/>
      <c r="ENG86" s="6"/>
      <c r="ENH86" s="6"/>
      <c r="ENI86" s="6"/>
      <c r="ENJ86" s="6"/>
      <c r="ENK86" s="6"/>
      <c r="ENL86" s="6"/>
      <c r="ENM86" s="6"/>
      <c r="ENN86" s="6"/>
      <c r="ENO86" s="6"/>
      <c r="ENP86" s="6"/>
      <c r="ENQ86" s="6"/>
      <c r="ENR86" s="6"/>
      <c r="ENS86" s="6"/>
      <c r="ENT86" s="6"/>
      <c r="ENU86" s="6"/>
      <c r="ENV86" s="6"/>
      <c r="ENW86" s="6"/>
      <c r="ENX86" s="6"/>
      <c r="ENY86" s="6"/>
      <c r="ENZ86" s="6"/>
      <c r="EOA86" s="6"/>
      <c r="EOB86" s="6"/>
      <c r="EOC86" s="6"/>
      <c r="EOD86" s="6"/>
      <c r="EOE86" s="6"/>
      <c r="EOF86" s="6"/>
      <c r="EOG86" s="6"/>
      <c r="EOH86" s="6"/>
      <c r="EOI86" s="6"/>
      <c r="EOJ86" s="6"/>
      <c r="EOK86" s="6"/>
      <c r="EOL86" s="6"/>
      <c r="EOM86" s="6"/>
      <c r="EON86" s="6"/>
      <c r="EOO86" s="6"/>
      <c r="EOP86" s="6"/>
      <c r="EOQ86" s="6"/>
      <c r="EOR86" s="6"/>
      <c r="EOS86" s="6"/>
      <c r="EOT86" s="6"/>
      <c r="EOU86" s="6"/>
      <c r="EOV86" s="6"/>
      <c r="EOW86" s="6"/>
      <c r="EOX86" s="6"/>
      <c r="EOY86" s="6"/>
      <c r="EOZ86" s="6"/>
      <c r="EPA86" s="6"/>
      <c r="EPB86" s="6"/>
      <c r="EPC86" s="6"/>
      <c r="EPD86" s="6"/>
      <c r="EPE86" s="6"/>
      <c r="EPF86" s="6"/>
      <c r="EPG86" s="6"/>
      <c r="EPH86" s="6"/>
      <c r="EPI86" s="6"/>
      <c r="EPJ86" s="6"/>
      <c r="EPK86" s="6"/>
      <c r="EPL86" s="6"/>
      <c r="EPM86" s="6"/>
      <c r="EPN86" s="6"/>
      <c r="EPO86" s="6"/>
      <c r="EPP86" s="6"/>
      <c r="EPQ86" s="6"/>
      <c r="EPR86" s="6"/>
      <c r="EPS86" s="6"/>
      <c r="EPT86" s="6"/>
      <c r="EPU86" s="6"/>
      <c r="EPV86" s="6"/>
      <c r="EPW86" s="6"/>
      <c r="EPX86" s="6"/>
      <c r="EPY86" s="6"/>
      <c r="EPZ86" s="6"/>
      <c r="EQA86" s="6"/>
      <c r="EQB86" s="6"/>
      <c r="EQC86" s="6"/>
      <c r="EQD86" s="6"/>
      <c r="EQE86" s="6"/>
      <c r="EQF86" s="6"/>
      <c r="EQG86" s="6"/>
      <c r="EQH86" s="6"/>
      <c r="EQI86" s="6"/>
      <c r="EQJ86" s="6"/>
      <c r="EQK86" s="6"/>
      <c r="EQL86" s="6"/>
      <c r="EQM86" s="6"/>
      <c r="EQN86" s="6"/>
      <c r="EQO86" s="6"/>
      <c r="EQP86" s="6"/>
      <c r="EQQ86" s="6"/>
      <c r="EQR86" s="6"/>
      <c r="EQS86" s="6"/>
      <c r="EQT86" s="6"/>
      <c r="EQU86" s="6"/>
      <c r="EQV86" s="6"/>
      <c r="EQW86" s="6"/>
      <c r="EQX86" s="6"/>
      <c r="EQY86" s="6"/>
      <c r="EQZ86" s="6"/>
      <c r="ERA86" s="6"/>
      <c r="ERB86" s="6"/>
      <c r="ERC86" s="6"/>
      <c r="ERD86" s="6"/>
      <c r="ERE86" s="6"/>
      <c r="ERF86" s="6"/>
      <c r="ERG86" s="6"/>
      <c r="ERH86" s="6"/>
      <c r="ERI86" s="6"/>
      <c r="ERJ86" s="6"/>
      <c r="ERK86" s="6"/>
      <c r="ERL86" s="6"/>
      <c r="ERM86" s="6"/>
      <c r="ERN86" s="6"/>
      <c r="ERO86" s="6"/>
      <c r="ERP86" s="6"/>
      <c r="ERQ86" s="6"/>
      <c r="ERR86" s="6"/>
      <c r="ERS86" s="6"/>
      <c r="ERT86" s="6"/>
      <c r="ERU86" s="6"/>
      <c r="ERV86" s="6"/>
      <c r="ERW86" s="6"/>
      <c r="ERX86" s="6"/>
      <c r="ERY86" s="6"/>
      <c r="ERZ86" s="6"/>
      <c r="ESA86" s="6"/>
      <c r="ESB86" s="6"/>
      <c r="ESC86" s="6"/>
      <c r="ESD86" s="6"/>
      <c r="ESE86" s="6"/>
      <c r="ESF86" s="6"/>
      <c r="ESG86" s="6"/>
      <c r="ESH86" s="6"/>
      <c r="ESI86" s="6"/>
      <c r="ESJ86" s="6"/>
      <c r="ESK86" s="6"/>
      <c r="ESL86" s="6"/>
      <c r="ESM86" s="6"/>
      <c r="ESN86" s="6"/>
      <c r="ESO86" s="6"/>
      <c r="ESP86" s="6"/>
      <c r="ESQ86" s="6"/>
      <c r="ESR86" s="6"/>
      <c r="ESS86" s="6"/>
      <c r="EST86" s="6"/>
      <c r="ESU86" s="6"/>
      <c r="ESV86" s="6"/>
      <c r="ESW86" s="6"/>
      <c r="ESX86" s="6"/>
      <c r="ESY86" s="6"/>
      <c r="ESZ86" s="6"/>
      <c r="ETA86" s="6"/>
      <c r="ETB86" s="6"/>
      <c r="ETC86" s="6"/>
      <c r="ETD86" s="6"/>
      <c r="ETE86" s="6"/>
      <c r="ETF86" s="6"/>
      <c r="ETG86" s="6"/>
      <c r="ETH86" s="6"/>
      <c r="ETI86" s="6"/>
      <c r="ETJ86" s="6"/>
      <c r="ETK86" s="6"/>
      <c r="ETL86" s="6"/>
      <c r="ETM86" s="6"/>
      <c r="ETN86" s="6"/>
      <c r="ETO86" s="6"/>
      <c r="ETP86" s="6"/>
      <c r="ETQ86" s="6"/>
      <c r="ETR86" s="6"/>
      <c r="ETS86" s="6"/>
      <c r="ETT86" s="6"/>
      <c r="ETU86" s="6"/>
      <c r="ETV86" s="6"/>
      <c r="ETW86" s="6"/>
      <c r="ETX86" s="6"/>
      <c r="ETY86" s="6"/>
      <c r="ETZ86" s="6"/>
      <c r="EUA86" s="6"/>
      <c r="EUB86" s="6"/>
      <c r="EUC86" s="6"/>
      <c r="EUD86" s="6"/>
      <c r="EUE86" s="6"/>
      <c r="EUF86" s="6"/>
      <c r="EUG86" s="6"/>
      <c r="EUH86" s="6"/>
      <c r="EUI86" s="6"/>
      <c r="EUJ86" s="6"/>
      <c r="EUK86" s="6"/>
      <c r="EUL86" s="6"/>
      <c r="EUM86" s="6"/>
      <c r="EUN86" s="6"/>
      <c r="EUO86" s="6"/>
      <c r="EUP86" s="6"/>
      <c r="EUQ86" s="6"/>
      <c r="EUR86" s="6"/>
      <c r="EUS86" s="6"/>
      <c r="EUT86" s="6"/>
      <c r="EUU86" s="6"/>
      <c r="EUV86" s="6"/>
      <c r="EUW86" s="6"/>
      <c r="EUX86" s="6"/>
      <c r="EUY86" s="6"/>
      <c r="EUZ86" s="6"/>
      <c r="EVA86" s="6"/>
      <c r="EVB86" s="6"/>
      <c r="EVC86" s="6"/>
      <c r="EVD86" s="6"/>
      <c r="EVE86" s="6"/>
      <c r="EVF86" s="6"/>
      <c r="EVG86" s="6"/>
      <c r="EVH86" s="6"/>
      <c r="EVI86" s="6"/>
      <c r="EVJ86" s="6"/>
      <c r="EVK86" s="6"/>
      <c r="EVL86" s="6"/>
      <c r="EVM86" s="6"/>
      <c r="EVN86" s="6"/>
      <c r="EVO86" s="6"/>
      <c r="EVP86" s="6"/>
      <c r="EVQ86" s="6"/>
      <c r="EVR86" s="6"/>
      <c r="EVS86" s="6"/>
      <c r="EVT86" s="6"/>
      <c r="EVU86" s="6"/>
      <c r="EVV86" s="6"/>
      <c r="EVW86" s="6"/>
      <c r="EVX86" s="6"/>
      <c r="EVY86" s="6"/>
      <c r="EVZ86" s="6"/>
      <c r="EWA86" s="6"/>
      <c r="EWB86" s="6"/>
      <c r="EWC86" s="6"/>
      <c r="EWD86" s="6"/>
      <c r="EWE86" s="6"/>
      <c r="EWF86" s="6"/>
      <c r="EWG86" s="6"/>
      <c r="EWH86" s="6"/>
      <c r="EWI86" s="6"/>
      <c r="EWJ86" s="6"/>
      <c r="EWK86" s="6"/>
      <c r="EWL86" s="6"/>
      <c r="EWM86" s="6"/>
      <c r="EWN86" s="6"/>
      <c r="EWO86" s="6"/>
      <c r="EWP86" s="6"/>
      <c r="EWQ86" s="6"/>
      <c r="EWR86" s="6"/>
      <c r="EWS86" s="6"/>
      <c r="EWT86" s="6"/>
      <c r="EWU86" s="6"/>
      <c r="EWV86" s="6"/>
      <c r="EWW86" s="6"/>
      <c r="EWX86" s="6"/>
      <c r="EWY86" s="6"/>
      <c r="EWZ86" s="6"/>
      <c r="EXA86" s="6"/>
      <c r="EXB86" s="6"/>
      <c r="EXC86" s="6"/>
      <c r="EXD86" s="6"/>
      <c r="EXE86" s="6"/>
      <c r="EXF86" s="6"/>
      <c r="EXG86" s="6"/>
      <c r="EXH86" s="6"/>
      <c r="EXI86" s="6"/>
      <c r="EXJ86" s="6"/>
      <c r="EXK86" s="6"/>
      <c r="EXL86" s="6"/>
      <c r="EXM86" s="6"/>
      <c r="EXN86" s="6"/>
      <c r="EXO86" s="6"/>
      <c r="EXP86" s="6"/>
      <c r="EXQ86" s="6"/>
      <c r="EXR86" s="6"/>
      <c r="EXS86" s="6"/>
      <c r="EXT86" s="6"/>
      <c r="EXU86" s="6"/>
      <c r="EXV86" s="6"/>
      <c r="EXW86" s="6"/>
      <c r="EXX86" s="6"/>
      <c r="EXY86" s="6"/>
      <c r="EXZ86" s="6"/>
      <c r="EYA86" s="6"/>
      <c r="EYB86" s="6"/>
      <c r="EYC86" s="6"/>
      <c r="EYD86" s="6"/>
      <c r="EYE86" s="6"/>
      <c r="EYF86" s="6"/>
      <c r="EYG86" s="6"/>
      <c r="EYH86" s="6"/>
      <c r="EYI86" s="6"/>
      <c r="EYJ86" s="6"/>
      <c r="EYK86" s="6"/>
      <c r="EYL86" s="6"/>
      <c r="EYM86" s="6"/>
      <c r="EYN86" s="6"/>
      <c r="EYO86" s="6"/>
      <c r="EYP86" s="6"/>
      <c r="EYQ86" s="6"/>
      <c r="EYR86" s="6"/>
      <c r="EYS86" s="6"/>
      <c r="EYT86" s="6"/>
      <c r="EYU86" s="6"/>
      <c r="EYV86" s="6"/>
      <c r="EYW86" s="6"/>
      <c r="EYX86" s="6"/>
      <c r="EYY86" s="6"/>
      <c r="EYZ86" s="6"/>
      <c r="EZA86" s="6"/>
      <c r="EZB86" s="6"/>
      <c r="EZC86" s="6"/>
      <c r="EZD86" s="6"/>
      <c r="EZE86" s="6"/>
      <c r="EZF86" s="6"/>
      <c r="EZG86" s="6"/>
      <c r="EZH86" s="6"/>
      <c r="EZI86" s="6"/>
      <c r="EZJ86" s="6"/>
      <c r="EZK86" s="6"/>
      <c r="EZL86" s="6"/>
      <c r="EZM86" s="6"/>
      <c r="EZN86" s="6"/>
      <c r="EZO86" s="6"/>
      <c r="EZP86" s="6"/>
      <c r="EZQ86" s="6"/>
      <c r="EZR86" s="6"/>
      <c r="EZS86" s="6"/>
      <c r="EZT86" s="6"/>
      <c r="EZU86" s="6"/>
      <c r="EZV86" s="6"/>
      <c r="EZW86" s="6"/>
      <c r="EZX86" s="6"/>
      <c r="EZY86" s="6"/>
      <c r="EZZ86" s="6"/>
      <c r="FAA86" s="6"/>
      <c r="FAB86" s="6"/>
      <c r="FAC86" s="6"/>
      <c r="FAD86" s="6"/>
      <c r="FAE86" s="6"/>
      <c r="FAF86" s="6"/>
      <c r="FAG86" s="6"/>
      <c r="FAH86" s="6"/>
      <c r="FAI86" s="6"/>
      <c r="FAJ86" s="6"/>
      <c r="FAK86" s="6"/>
      <c r="FAL86" s="6"/>
      <c r="FAM86" s="6"/>
      <c r="FAN86" s="6"/>
      <c r="FAO86" s="6"/>
      <c r="FAP86" s="6"/>
      <c r="FAQ86" s="6"/>
      <c r="FAR86" s="6"/>
      <c r="FAS86" s="6"/>
      <c r="FAT86" s="6"/>
      <c r="FAU86" s="6"/>
      <c r="FAV86" s="6"/>
      <c r="FAW86" s="6"/>
      <c r="FAX86" s="6"/>
      <c r="FAY86" s="6"/>
      <c r="FAZ86" s="6"/>
      <c r="FBA86" s="6"/>
      <c r="FBB86" s="6"/>
      <c r="FBC86" s="6"/>
      <c r="FBD86" s="6"/>
      <c r="FBE86" s="6"/>
      <c r="FBF86" s="6"/>
      <c r="FBG86" s="6"/>
      <c r="FBH86" s="6"/>
      <c r="FBI86" s="6"/>
      <c r="FBJ86" s="6"/>
      <c r="FBK86" s="6"/>
      <c r="FBL86" s="6"/>
      <c r="FBM86" s="6"/>
      <c r="FBN86" s="6"/>
      <c r="FBO86" s="6"/>
      <c r="FBP86" s="6"/>
      <c r="FBQ86" s="6"/>
      <c r="FBR86" s="6"/>
      <c r="FBS86" s="6"/>
      <c r="FBT86" s="6"/>
      <c r="FBU86" s="6"/>
      <c r="FBV86" s="6"/>
      <c r="FBW86" s="6"/>
      <c r="FBX86" s="6"/>
      <c r="FBY86" s="6"/>
      <c r="FBZ86" s="6"/>
      <c r="FCA86" s="6"/>
      <c r="FCB86" s="6"/>
      <c r="FCC86" s="6"/>
      <c r="FCD86" s="6"/>
      <c r="FCE86" s="6"/>
      <c r="FCF86" s="6"/>
      <c r="FCG86" s="6"/>
      <c r="FCH86" s="6"/>
      <c r="FCI86" s="6"/>
      <c r="FCJ86" s="6"/>
      <c r="FCK86" s="6"/>
      <c r="FCL86" s="6"/>
      <c r="FCM86" s="6"/>
      <c r="FCN86" s="6"/>
      <c r="FCO86" s="6"/>
      <c r="FCP86" s="6"/>
      <c r="FCQ86" s="6"/>
      <c r="FCR86" s="6"/>
      <c r="FCS86" s="6"/>
      <c r="FCT86" s="6"/>
      <c r="FCU86" s="6"/>
      <c r="FCV86" s="6"/>
      <c r="FCW86" s="6"/>
      <c r="FCX86" s="6"/>
      <c r="FCY86" s="6"/>
      <c r="FCZ86" s="6"/>
      <c r="FDA86" s="6"/>
      <c r="FDB86" s="6"/>
      <c r="FDC86" s="6"/>
      <c r="FDD86" s="6"/>
      <c r="FDE86" s="6"/>
      <c r="FDF86" s="6"/>
      <c r="FDG86" s="6"/>
      <c r="FDH86" s="6"/>
      <c r="FDI86" s="6"/>
      <c r="FDJ86" s="6"/>
      <c r="FDK86" s="6"/>
      <c r="FDL86" s="6"/>
      <c r="FDM86" s="6"/>
      <c r="FDN86" s="6"/>
      <c r="FDO86" s="6"/>
      <c r="FDP86" s="6"/>
      <c r="FDQ86" s="6"/>
      <c r="FDR86" s="6"/>
      <c r="FDS86" s="6"/>
      <c r="FDT86" s="6"/>
      <c r="FDU86" s="6"/>
      <c r="FDV86" s="6"/>
      <c r="FDW86" s="6"/>
      <c r="FDX86" s="6"/>
      <c r="FDY86" s="6"/>
      <c r="FDZ86" s="6"/>
      <c r="FEA86" s="6"/>
      <c r="FEB86" s="6"/>
      <c r="FEC86" s="6"/>
      <c r="FED86" s="6"/>
      <c r="FEE86" s="6"/>
      <c r="FEF86" s="6"/>
      <c r="FEG86" s="6"/>
      <c r="FEH86" s="6"/>
      <c r="FEI86" s="6"/>
      <c r="FEJ86" s="6"/>
      <c r="FEK86" s="6"/>
      <c r="FEL86" s="6"/>
      <c r="FEM86" s="6"/>
      <c r="FEN86" s="6"/>
      <c r="FEO86" s="6"/>
      <c r="FEP86" s="6"/>
      <c r="FEQ86" s="6"/>
      <c r="FER86" s="6"/>
      <c r="FES86" s="6"/>
      <c r="FET86" s="6"/>
      <c r="FEU86" s="6"/>
      <c r="FEV86" s="6"/>
      <c r="FEW86" s="6"/>
      <c r="FEX86" s="6"/>
      <c r="FEY86" s="6"/>
      <c r="FEZ86" s="6"/>
      <c r="FFA86" s="6"/>
      <c r="FFB86" s="6"/>
      <c r="FFC86" s="6"/>
      <c r="FFD86" s="6"/>
      <c r="FFE86" s="6"/>
      <c r="FFF86" s="6"/>
      <c r="FFG86" s="6"/>
      <c r="FFH86" s="6"/>
      <c r="FFI86" s="6"/>
      <c r="FFJ86" s="6"/>
      <c r="FFK86" s="6"/>
      <c r="FFL86" s="6"/>
      <c r="FFM86" s="6"/>
      <c r="FFN86" s="6"/>
      <c r="FFO86" s="6"/>
      <c r="FFP86" s="6"/>
      <c r="FFQ86" s="6"/>
      <c r="FFR86" s="6"/>
      <c r="FFS86" s="6"/>
      <c r="FFT86" s="6"/>
      <c r="FFU86" s="6"/>
      <c r="FFV86" s="6"/>
      <c r="FFW86" s="6"/>
      <c r="FFX86" s="6"/>
      <c r="FFY86" s="6"/>
      <c r="FFZ86" s="6"/>
      <c r="FGA86" s="6"/>
      <c r="FGB86" s="6"/>
      <c r="FGC86" s="6"/>
      <c r="FGD86" s="6"/>
      <c r="FGE86" s="6"/>
      <c r="FGF86" s="6"/>
      <c r="FGG86" s="6"/>
      <c r="FGH86" s="6"/>
      <c r="FGI86" s="6"/>
      <c r="FGJ86" s="6"/>
      <c r="FGK86" s="6"/>
      <c r="FGL86" s="6"/>
      <c r="FGM86" s="6"/>
      <c r="FGN86" s="6"/>
      <c r="FGO86" s="6"/>
      <c r="FGP86" s="6"/>
      <c r="FGQ86" s="6"/>
      <c r="FGR86" s="6"/>
      <c r="FGS86" s="6"/>
      <c r="FGT86" s="6"/>
      <c r="FGU86" s="6"/>
      <c r="FGV86" s="6"/>
      <c r="FGW86" s="6"/>
      <c r="FGX86" s="6"/>
      <c r="FGY86" s="6"/>
      <c r="FGZ86" s="6"/>
      <c r="FHA86" s="6"/>
      <c r="FHB86" s="6"/>
      <c r="FHC86" s="6"/>
      <c r="FHD86" s="6"/>
      <c r="FHE86" s="6"/>
      <c r="FHF86" s="6"/>
      <c r="FHG86" s="6"/>
      <c r="FHH86" s="6"/>
      <c r="FHI86" s="6"/>
      <c r="FHJ86" s="6"/>
      <c r="FHK86" s="6"/>
      <c r="FHL86" s="6"/>
      <c r="FHM86" s="6"/>
      <c r="FHN86" s="6"/>
      <c r="FHO86" s="6"/>
      <c r="FHP86" s="6"/>
      <c r="FHQ86" s="6"/>
      <c r="FHR86" s="6"/>
      <c r="FHS86" s="6"/>
      <c r="FHT86" s="6"/>
      <c r="FHU86" s="6"/>
      <c r="FHV86" s="6"/>
      <c r="FHW86" s="6"/>
      <c r="FHX86" s="6"/>
      <c r="FHY86" s="6"/>
      <c r="FHZ86" s="6"/>
      <c r="FIA86" s="6"/>
      <c r="FIB86" s="6"/>
      <c r="FIC86" s="6"/>
      <c r="FID86" s="6"/>
      <c r="FIE86" s="6"/>
      <c r="FIF86" s="6"/>
      <c r="FIG86" s="6"/>
      <c r="FIH86" s="6"/>
      <c r="FII86" s="6"/>
      <c r="FIJ86" s="6"/>
      <c r="FIK86" s="6"/>
      <c r="FIL86" s="6"/>
      <c r="FIM86" s="6"/>
      <c r="FIN86" s="6"/>
      <c r="FIO86" s="6"/>
      <c r="FIP86" s="6"/>
      <c r="FIQ86" s="6"/>
      <c r="FIR86" s="6"/>
      <c r="FIS86" s="6"/>
      <c r="FIT86" s="6"/>
      <c r="FIU86" s="6"/>
      <c r="FIV86" s="6"/>
      <c r="FIW86" s="6"/>
      <c r="FIX86" s="6"/>
      <c r="FIY86" s="6"/>
      <c r="FIZ86" s="6"/>
      <c r="FJA86" s="6"/>
      <c r="FJB86" s="6"/>
      <c r="FJC86" s="6"/>
      <c r="FJD86" s="6"/>
      <c r="FJE86" s="6"/>
      <c r="FJF86" s="6"/>
      <c r="FJG86" s="6"/>
      <c r="FJH86" s="6"/>
      <c r="FJI86" s="6"/>
      <c r="FJJ86" s="6"/>
      <c r="FJK86" s="6"/>
      <c r="FJL86" s="6"/>
      <c r="FJM86" s="6"/>
      <c r="FJN86" s="6"/>
      <c r="FJO86" s="6"/>
      <c r="FJP86" s="6"/>
      <c r="FJQ86" s="6"/>
      <c r="FJR86" s="6"/>
      <c r="FJS86" s="6"/>
      <c r="FJT86" s="6"/>
      <c r="FJU86" s="6"/>
      <c r="FJV86" s="6"/>
      <c r="FJW86" s="6"/>
      <c r="FJX86" s="6"/>
      <c r="FJY86" s="6"/>
      <c r="FJZ86" s="6"/>
      <c r="FKA86" s="6"/>
      <c r="FKB86" s="6"/>
      <c r="FKC86" s="6"/>
      <c r="FKD86" s="6"/>
      <c r="FKE86" s="6"/>
      <c r="FKF86" s="6"/>
      <c r="FKG86" s="6"/>
      <c r="FKH86" s="6"/>
      <c r="FKI86" s="6"/>
      <c r="FKJ86" s="6"/>
      <c r="FKK86" s="6"/>
      <c r="FKL86" s="6"/>
      <c r="FKM86" s="6"/>
      <c r="FKN86" s="6"/>
      <c r="FKO86" s="6"/>
      <c r="FKP86" s="6"/>
      <c r="FKQ86" s="6"/>
      <c r="FKR86" s="6"/>
      <c r="FKS86" s="6"/>
      <c r="FKT86" s="6"/>
      <c r="FKU86" s="6"/>
      <c r="FKV86" s="6"/>
      <c r="FKW86" s="6"/>
      <c r="FKX86" s="6"/>
      <c r="FKY86" s="6"/>
      <c r="FKZ86" s="6"/>
      <c r="FLA86" s="6"/>
      <c r="FLB86" s="6"/>
      <c r="FLC86" s="6"/>
      <c r="FLD86" s="6"/>
      <c r="FLE86" s="6"/>
      <c r="FLF86" s="6"/>
      <c r="FLG86" s="6"/>
      <c r="FLH86" s="6"/>
      <c r="FLI86" s="6"/>
      <c r="FLJ86" s="6"/>
      <c r="FLK86" s="6"/>
      <c r="FLL86" s="6"/>
      <c r="FLM86" s="6"/>
      <c r="FLN86" s="6"/>
      <c r="FLO86" s="6"/>
      <c r="FLP86" s="6"/>
      <c r="FLQ86" s="6"/>
      <c r="FLR86" s="6"/>
      <c r="FLS86" s="6"/>
      <c r="FLT86" s="6"/>
      <c r="FLU86" s="6"/>
      <c r="FLV86" s="6"/>
      <c r="FLW86" s="6"/>
      <c r="FLX86" s="6"/>
      <c r="FLY86" s="6"/>
      <c r="FLZ86" s="6"/>
      <c r="FMA86" s="6"/>
      <c r="FMB86" s="6"/>
      <c r="FMC86" s="6"/>
      <c r="FMD86" s="6"/>
      <c r="FME86" s="6"/>
      <c r="FMF86" s="6"/>
      <c r="FMG86" s="6"/>
      <c r="FMH86" s="6"/>
      <c r="FMI86" s="6"/>
      <c r="FMJ86" s="6"/>
      <c r="FMK86" s="6"/>
      <c r="FML86" s="6"/>
      <c r="FMM86" s="6"/>
      <c r="FMN86" s="6"/>
      <c r="FMO86" s="6"/>
      <c r="FMP86" s="6"/>
      <c r="FMQ86" s="6"/>
      <c r="FMR86" s="6"/>
      <c r="FMS86" s="6"/>
      <c r="FMT86" s="6"/>
      <c r="FMU86" s="6"/>
      <c r="FMV86" s="6"/>
      <c r="FMW86" s="6"/>
      <c r="FMX86" s="6"/>
      <c r="FMY86" s="6"/>
      <c r="FMZ86" s="6"/>
      <c r="FNA86" s="6"/>
      <c r="FNB86" s="6"/>
      <c r="FNC86" s="6"/>
      <c r="FND86" s="6"/>
      <c r="FNE86" s="6"/>
      <c r="FNF86" s="6"/>
      <c r="FNG86" s="6"/>
      <c r="FNH86" s="6"/>
      <c r="FNI86" s="6"/>
      <c r="FNJ86" s="6"/>
      <c r="FNK86" s="6"/>
      <c r="FNL86" s="6"/>
      <c r="FNM86" s="6"/>
      <c r="FNN86" s="6"/>
      <c r="FNO86" s="6"/>
      <c r="FNP86" s="6"/>
      <c r="FNQ86" s="6"/>
      <c r="FNR86" s="6"/>
      <c r="FNS86" s="6"/>
      <c r="FNT86" s="6"/>
      <c r="FNU86" s="6"/>
      <c r="FNV86" s="6"/>
      <c r="FNW86" s="6"/>
      <c r="FNX86" s="6"/>
      <c r="FNY86" s="6"/>
      <c r="FNZ86" s="6"/>
      <c r="FOA86" s="6"/>
      <c r="FOB86" s="6"/>
      <c r="FOC86" s="6"/>
      <c r="FOD86" s="6"/>
      <c r="FOE86" s="6"/>
      <c r="FOF86" s="6"/>
      <c r="FOG86" s="6"/>
      <c r="FOH86" s="6"/>
      <c r="FOI86" s="6"/>
      <c r="FOJ86" s="6"/>
      <c r="FOK86" s="6"/>
      <c r="FOL86" s="6"/>
      <c r="FOM86" s="6"/>
      <c r="FON86" s="6"/>
      <c r="FOO86" s="6"/>
      <c r="FOP86" s="6"/>
      <c r="FOQ86" s="6"/>
      <c r="FOR86" s="6"/>
      <c r="FOS86" s="6"/>
      <c r="FOT86" s="6"/>
      <c r="FOU86" s="6"/>
      <c r="FOV86" s="6"/>
      <c r="FOW86" s="6"/>
      <c r="FOX86" s="6"/>
      <c r="FOY86" s="6"/>
      <c r="FOZ86" s="6"/>
      <c r="FPA86" s="6"/>
      <c r="FPB86" s="6"/>
      <c r="FPC86" s="6"/>
      <c r="FPD86" s="6"/>
      <c r="FPE86" s="6"/>
      <c r="FPF86" s="6"/>
      <c r="FPG86" s="6"/>
      <c r="FPH86" s="6"/>
      <c r="FPI86" s="6"/>
      <c r="FPJ86" s="6"/>
      <c r="FPK86" s="6"/>
      <c r="FPL86" s="6"/>
      <c r="FPM86" s="6"/>
      <c r="FPN86" s="6"/>
      <c r="FPO86" s="6"/>
      <c r="FPP86" s="6"/>
      <c r="FPQ86" s="6"/>
      <c r="FPR86" s="6"/>
      <c r="FPS86" s="6"/>
      <c r="FPT86" s="6"/>
      <c r="FPU86" s="6"/>
      <c r="FPV86" s="6"/>
      <c r="FPW86" s="6"/>
      <c r="FPX86" s="6"/>
      <c r="FPY86" s="6"/>
      <c r="FPZ86" s="6"/>
      <c r="FQA86" s="6"/>
      <c r="FQB86" s="6"/>
      <c r="FQC86" s="6"/>
      <c r="FQD86" s="6"/>
      <c r="FQE86" s="6"/>
      <c r="FQF86" s="6"/>
      <c r="FQG86" s="6"/>
      <c r="FQH86" s="6"/>
      <c r="FQI86" s="6"/>
      <c r="FQJ86" s="6"/>
      <c r="FQK86" s="6"/>
      <c r="FQL86" s="6"/>
      <c r="FQM86" s="6"/>
      <c r="FQN86" s="6"/>
      <c r="FQO86" s="6"/>
      <c r="FQP86" s="6"/>
      <c r="FQQ86" s="6"/>
      <c r="FQR86" s="6"/>
      <c r="FQS86" s="6"/>
      <c r="FQT86" s="6"/>
      <c r="FQU86" s="6"/>
      <c r="FQV86" s="6"/>
      <c r="FQW86" s="6"/>
      <c r="FQX86" s="6"/>
      <c r="FQY86" s="6"/>
      <c r="FQZ86" s="6"/>
      <c r="FRA86" s="6"/>
      <c r="FRB86" s="6"/>
      <c r="FRC86" s="6"/>
      <c r="FRD86" s="6"/>
      <c r="FRE86" s="6"/>
      <c r="FRF86" s="6"/>
      <c r="FRG86" s="6"/>
      <c r="FRH86" s="6"/>
      <c r="FRI86" s="6"/>
      <c r="FRJ86" s="6"/>
      <c r="FRK86" s="6"/>
      <c r="FRL86" s="6"/>
      <c r="FRM86" s="6"/>
      <c r="FRN86" s="6"/>
      <c r="FRO86" s="6"/>
      <c r="FRP86" s="6"/>
      <c r="FRQ86" s="6"/>
      <c r="FRR86" s="6"/>
      <c r="FRS86" s="6"/>
      <c r="FRT86" s="6"/>
      <c r="FRU86" s="6"/>
      <c r="FRV86" s="6"/>
      <c r="FRW86" s="6"/>
      <c r="FRX86" s="6"/>
      <c r="FRY86" s="6"/>
      <c r="FRZ86" s="6"/>
      <c r="FSA86" s="6"/>
      <c r="FSB86" s="6"/>
      <c r="FSC86" s="6"/>
      <c r="FSD86" s="6"/>
      <c r="FSE86" s="6"/>
      <c r="FSF86" s="6"/>
      <c r="FSG86" s="6"/>
      <c r="FSH86" s="6"/>
      <c r="FSI86" s="6"/>
      <c r="FSJ86" s="6"/>
      <c r="FSK86" s="6"/>
      <c r="FSL86" s="6"/>
      <c r="FSM86" s="6"/>
      <c r="FSN86" s="6"/>
      <c r="FSO86" s="6"/>
      <c r="FSP86" s="6"/>
      <c r="FSQ86" s="6"/>
      <c r="FSR86" s="6"/>
      <c r="FSS86" s="6"/>
      <c r="FST86" s="6"/>
      <c r="FSU86" s="6"/>
      <c r="FSV86" s="6"/>
      <c r="FSW86" s="6"/>
      <c r="FSX86" s="6"/>
      <c r="FSY86" s="6"/>
      <c r="FSZ86" s="6"/>
      <c r="FTA86" s="6"/>
      <c r="FTB86" s="6"/>
      <c r="FTC86" s="6"/>
      <c r="FTD86" s="6"/>
      <c r="FTE86" s="6"/>
      <c r="FTF86" s="6"/>
      <c r="FTG86" s="6"/>
      <c r="FTH86" s="6"/>
      <c r="FTI86" s="6"/>
      <c r="FTJ86" s="6"/>
      <c r="FTK86" s="6"/>
      <c r="FTL86" s="6"/>
      <c r="FTM86" s="6"/>
      <c r="FTN86" s="6"/>
      <c r="FTO86" s="6"/>
      <c r="FTP86" s="6"/>
      <c r="FTQ86" s="6"/>
      <c r="FTR86" s="6"/>
      <c r="FTS86" s="6"/>
      <c r="FTT86" s="6"/>
      <c r="FTU86" s="6"/>
      <c r="FTV86" s="6"/>
      <c r="FTW86" s="6"/>
      <c r="FTX86" s="6"/>
      <c r="FTY86" s="6"/>
      <c r="FTZ86" s="6"/>
      <c r="FUA86" s="6"/>
      <c r="FUB86" s="6"/>
      <c r="FUC86" s="6"/>
      <c r="FUD86" s="6"/>
      <c r="FUE86" s="6"/>
      <c r="FUF86" s="6"/>
      <c r="FUG86" s="6"/>
      <c r="FUH86" s="6"/>
      <c r="FUI86" s="6"/>
      <c r="FUJ86" s="6"/>
      <c r="FUK86" s="6"/>
      <c r="FUL86" s="6"/>
      <c r="FUM86" s="6"/>
      <c r="FUN86" s="6"/>
      <c r="FUO86" s="6"/>
      <c r="FUP86" s="6"/>
      <c r="FUQ86" s="6"/>
      <c r="FUR86" s="6"/>
      <c r="FUS86" s="6"/>
      <c r="FUT86" s="6"/>
      <c r="FUU86" s="6"/>
      <c r="FUV86" s="6"/>
      <c r="FUW86" s="6"/>
      <c r="FUX86" s="6"/>
      <c r="FUY86" s="6"/>
      <c r="FUZ86" s="6"/>
      <c r="FVA86" s="6"/>
      <c r="FVB86" s="6"/>
      <c r="FVC86" s="6"/>
      <c r="FVD86" s="6"/>
      <c r="FVE86" s="6"/>
      <c r="FVF86" s="6"/>
      <c r="FVG86" s="6"/>
      <c r="FVH86" s="6"/>
      <c r="FVI86" s="6"/>
      <c r="FVJ86" s="6"/>
      <c r="FVK86" s="6"/>
      <c r="FVL86" s="6"/>
      <c r="FVM86" s="6"/>
      <c r="FVN86" s="6"/>
      <c r="FVO86" s="6"/>
      <c r="FVP86" s="6"/>
      <c r="FVQ86" s="6"/>
      <c r="FVR86" s="6"/>
      <c r="FVS86" s="6"/>
      <c r="FVT86" s="6"/>
      <c r="FVU86" s="6"/>
      <c r="FVV86" s="6"/>
      <c r="FVW86" s="6"/>
      <c r="FVX86" s="6"/>
      <c r="FVY86" s="6"/>
      <c r="FVZ86" s="6"/>
      <c r="FWA86" s="6"/>
      <c r="FWB86" s="6"/>
      <c r="FWC86" s="6"/>
      <c r="FWD86" s="6"/>
      <c r="FWE86" s="6"/>
      <c r="FWF86" s="6"/>
      <c r="FWG86" s="6"/>
      <c r="FWH86" s="6"/>
      <c r="FWI86" s="6"/>
      <c r="FWJ86" s="6"/>
      <c r="FWK86" s="6"/>
      <c r="FWL86" s="6"/>
      <c r="FWM86" s="6"/>
      <c r="FWN86" s="6"/>
      <c r="FWO86" s="6"/>
      <c r="FWP86" s="6"/>
      <c r="FWQ86" s="6"/>
      <c r="FWR86" s="6"/>
      <c r="FWS86" s="6"/>
      <c r="FWT86" s="6"/>
      <c r="FWU86" s="6"/>
      <c r="FWV86" s="6"/>
      <c r="FWW86" s="6"/>
      <c r="FWX86" s="6"/>
      <c r="FWY86" s="6"/>
      <c r="FWZ86" s="6"/>
      <c r="FXA86" s="6"/>
      <c r="FXB86" s="6"/>
      <c r="FXC86" s="6"/>
      <c r="FXD86" s="6"/>
      <c r="FXE86" s="6"/>
      <c r="FXF86" s="6"/>
      <c r="FXG86" s="6"/>
      <c r="FXH86" s="6"/>
      <c r="FXI86" s="6"/>
      <c r="FXJ86" s="6"/>
      <c r="FXK86" s="6"/>
      <c r="FXL86" s="6"/>
      <c r="FXM86" s="6"/>
      <c r="FXN86" s="6"/>
      <c r="FXO86" s="6"/>
      <c r="FXP86" s="6"/>
      <c r="FXQ86" s="6"/>
      <c r="FXR86" s="6"/>
      <c r="FXS86" s="6"/>
      <c r="FXT86" s="6"/>
      <c r="FXU86" s="6"/>
      <c r="FXV86" s="6"/>
      <c r="FXW86" s="6"/>
      <c r="FXX86" s="6"/>
      <c r="FXY86" s="6"/>
      <c r="FXZ86" s="6"/>
      <c r="FYA86" s="6"/>
      <c r="FYB86" s="6"/>
      <c r="FYC86" s="6"/>
      <c r="FYD86" s="6"/>
      <c r="FYE86" s="6"/>
      <c r="FYF86" s="6"/>
      <c r="FYG86" s="6"/>
      <c r="FYH86" s="6"/>
      <c r="FYI86" s="6"/>
      <c r="FYJ86" s="6"/>
      <c r="FYK86" s="6"/>
      <c r="FYL86" s="6"/>
      <c r="FYM86" s="6"/>
      <c r="FYN86" s="6"/>
      <c r="FYO86" s="6"/>
      <c r="FYP86" s="6"/>
      <c r="FYQ86" s="6"/>
      <c r="FYR86" s="6"/>
      <c r="FYS86" s="6"/>
      <c r="FYT86" s="6"/>
      <c r="FYU86" s="6"/>
      <c r="FYV86" s="6"/>
      <c r="FYW86" s="6"/>
      <c r="FYX86" s="6"/>
      <c r="FYY86" s="6"/>
      <c r="FYZ86" s="6"/>
      <c r="FZA86" s="6"/>
      <c r="FZB86" s="6"/>
      <c r="FZC86" s="6"/>
      <c r="FZD86" s="6"/>
      <c r="FZE86" s="6"/>
      <c r="FZF86" s="6"/>
      <c r="FZG86" s="6"/>
      <c r="FZH86" s="6"/>
      <c r="FZI86" s="6"/>
      <c r="FZJ86" s="6"/>
      <c r="FZK86" s="6"/>
      <c r="FZL86" s="6"/>
      <c r="FZM86" s="6"/>
      <c r="FZN86" s="6"/>
      <c r="FZO86" s="6"/>
      <c r="FZP86" s="6"/>
      <c r="FZQ86" s="6"/>
      <c r="FZR86" s="6"/>
      <c r="FZS86" s="6"/>
      <c r="FZT86" s="6"/>
      <c r="FZU86" s="6"/>
      <c r="FZV86" s="6"/>
      <c r="FZW86" s="6"/>
      <c r="FZX86" s="6"/>
      <c r="FZY86" s="6"/>
      <c r="FZZ86" s="6"/>
      <c r="GAA86" s="6"/>
      <c r="GAB86" s="6"/>
      <c r="GAC86" s="6"/>
      <c r="GAD86" s="6"/>
      <c r="GAE86" s="6"/>
      <c r="GAF86" s="6"/>
      <c r="GAG86" s="6"/>
      <c r="GAH86" s="6"/>
      <c r="GAI86" s="6"/>
      <c r="GAJ86" s="6"/>
      <c r="GAK86" s="6"/>
      <c r="GAL86" s="6"/>
      <c r="GAM86" s="6"/>
      <c r="GAN86" s="6"/>
      <c r="GAO86" s="6"/>
      <c r="GAP86" s="6"/>
      <c r="GAQ86" s="6"/>
      <c r="GAR86" s="6"/>
      <c r="GAS86" s="6"/>
      <c r="GAT86" s="6"/>
      <c r="GAU86" s="6"/>
      <c r="GAV86" s="6"/>
      <c r="GAW86" s="6"/>
      <c r="GAX86" s="6"/>
      <c r="GAY86" s="6"/>
      <c r="GAZ86" s="6"/>
      <c r="GBA86" s="6"/>
      <c r="GBB86" s="6"/>
      <c r="GBC86" s="6"/>
      <c r="GBD86" s="6"/>
      <c r="GBE86" s="6"/>
      <c r="GBF86" s="6"/>
      <c r="GBG86" s="6"/>
      <c r="GBH86" s="6"/>
      <c r="GBI86" s="6"/>
      <c r="GBJ86" s="6"/>
      <c r="GBK86" s="6"/>
      <c r="GBL86" s="6"/>
      <c r="GBM86" s="6"/>
      <c r="GBN86" s="6"/>
      <c r="GBO86" s="6"/>
      <c r="GBP86" s="6"/>
      <c r="GBQ86" s="6"/>
      <c r="GBR86" s="6"/>
      <c r="GBS86" s="6"/>
      <c r="GBT86" s="6"/>
      <c r="GBU86" s="6"/>
      <c r="GBV86" s="6"/>
      <c r="GBW86" s="6"/>
      <c r="GBX86" s="6"/>
      <c r="GBY86" s="6"/>
      <c r="GBZ86" s="6"/>
      <c r="GCA86" s="6"/>
      <c r="GCB86" s="6"/>
      <c r="GCC86" s="6"/>
      <c r="GCD86" s="6"/>
      <c r="GCE86" s="6"/>
      <c r="GCF86" s="6"/>
      <c r="GCG86" s="6"/>
      <c r="GCH86" s="6"/>
      <c r="GCI86" s="6"/>
      <c r="GCJ86" s="6"/>
      <c r="GCK86" s="6"/>
      <c r="GCL86" s="6"/>
      <c r="GCM86" s="6"/>
      <c r="GCN86" s="6"/>
      <c r="GCO86" s="6"/>
      <c r="GCP86" s="6"/>
      <c r="GCQ86" s="6"/>
      <c r="GCR86" s="6"/>
      <c r="GCS86" s="6"/>
      <c r="GCT86" s="6"/>
      <c r="GCU86" s="6"/>
      <c r="GCV86" s="6"/>
      <c r="GCW86" s="6"/>
      <c r="GCX86" s="6"/>
      <c r="GCY86" s="6"/>
      <c r="GCZ86" s="6"/>
      <c r="GDA86" s="6"/>
      <c r="GDB86" s="6"/>
      <c r="GDC86" s="6"/>
      <c r="GDD86" s="6"/>
      <c r="GDE86" s="6"/>
      <c r="GDF86" s="6"/>
      <c r="GDG86" s="6"/>
      <c r="GDH86" s="6"/>
      <c r="GDI86" s="6"/>
      <c r="GDJ86" s="6"/>
      <c r="GDK86" s="6"/>
      <c r="GDL86" s="6"/>
      <c r="GDM86" s="6"/>
      <c r="GDN86" s="6"/>
      <c r="GDO86" s="6"/>
      <c r="GDP86" s="6"/>
      <c r="GDQ86" s="6"/>
      <c r="GDR86" s="6"/>
      <c r="GDS86" s="6"/>
      <c r="GDT86" s="6"/>
      <c r="GDU86" s="6"/>
      <c r="GDV86" s="6"/>
      <c r="GDW86" s="6"/>
      <c r="GDX86" s="6"/>
      <c r="GDY86" s="6"/>
      <c r="GDZ86" s="6"/>
      <c r="GEA86" s="6"/>
      <c r="GEB86" s="6"/>
      <c r="GEC86" s="6"/>
      <c r="GED86" s="6"/>
      <c r="GEE86" s="6"/>
      <c r="GEF86" s="6"/>
      <c r="GEG86" s="6"/>
      <c r="GEH86" s="6"/>
      <c r="GEI86" s="6"/>
      <c r="GEJ86" s="6"/>
      <c r="GEK86" s="6"/>
      <c r="GEL86" s="6"/>
      <c r="GEM86" s="6"/>
      <c r="GEN86" s="6"/>
      <c r="GEO86" s="6"/>
      <c r="GEP86" s="6"/>
      <c r="GEQ86" s="6"/>
      <c r="GER86" s="6"/>
      <c r="GES86" s="6"/>
      <c r="GET86" s="6"/>
      <c r="GEU86" s="6"/>
      <c r="GEV86" s="6"/>
      <c r="GEW86" s="6"/>
      <c r="GEX86" s="6"/>
      <c r="GEY86" s="6"/>
      <c r="GEZ86" s="6"/>
      <c r="GFA86" s="6"/>
      <c r="GFB86" s="6"/>
      <c r="GFC86" s="6"/>
      <c r="GFD86" s="6"/>
      <c r="GFE86" s="6"/>
      <c r="GFF86" s="6"/>
      <c r="GFG86" s="6"/>
      <c r="GFH86" s="6"/>
      <c r="GFI86" s="6"/>
      <c r="GFJ86" s="6"/>
      <c r="GFK86" s="6"/>
      <c r="GFL86" s="6"/>
      <c r="GFM86" s="6"/>
      <c r="GFN86" s="6"/>
      <c r="GFO86" s="6"/>
      <c r="GFP86" s="6"/>
      <c r="GFQ86" s="6"/>
      <c r="GFR86" s="6"/>
      <c r="GFS86" s="6"/>
      <c r="GFT86" s="6"/>
      <c r="GFU86" s="6"/>
      <c r="GFV86" s="6"/>
      <c r="GFW86" s="6"/>
      <c r="GFX86" s="6"/>
      <c r="GFY86" s="6"/>
      <c r="GFZ86" s="6"/>
      <c r="GGA86" s="6"/>
      <c r="GGB86" s="6"/>
      <c r="GGC86" s="6"/>
      <c r="GGD86" s="6"/>
      <c r="GGE86" s="6"/>
      <c r="GGF86" s="6"/>
      <c r="GGG86" s="6"/>
      <c r="GGH86" s="6"/>
      <c r="GGI86" s="6"/>
      <c r="GGJ86" s="6"/>
      <c r="GGK86" s="6"/>
      <c r="GGL86" s="6"/>
      <c r="GGM86" s="6"/>
      <c r="GGN86" s="6"/>
      <c r="GGO86" s="6"/>
      <c r="GGP86" s="6"/>
      <c r="GGQ86" s="6"/>
      <c r="GGR86" s="6"/>
      <c r="GGS86" s="6"/>
      <c r="GGT86" s="6"/>
      <c r="GGU86" s="6"/>
      <c r="GGV86" s="6"/>
      <c r="GGW86" s="6"/>
      <c r="GGX86" s="6"/>
      <c r="GGY86" s="6"/>
      <c r="GGZ86" s="6"/>
      <c r="GHA86" s="6"/>
      <c r="GHB86" s="6"/>
      <c r="GHC86" s="6"/>
      <c r="GHD86" s="6"/>
      <c r="GHE86" s="6"/>
      <c r="GHF86" s="6"/>
      <c r="GHG86" s="6"/>
      <c r="GHH86" s="6"/>
      <c r="GHI86" s="6"/>
      <c r="GHJ86" s="6"/>
      <c r="GHK86" s="6"/>
      <c r="GHL86" s="6"/>
      <c r="GHM86" s="6"/>
      <c r="GHN86" s="6"/>
      <c r="GHO86" s="6"/>
      <c r="GHP86" s="6"/>
      <c r="GHQ86" s="6"/>
      <c r="GHR86" s="6"/>
      <c r="GHS86" s="6"/>
      <c r="GHT86" s="6"/>
      <c r="GHU86" s="6"/>
      <c r="GHV86" s="6"/>
      <c r="GHW86" s="6"/>
      <c r="GHX86" s="6"/>
      <c r="GHY86" s="6"/>
      <c r="GHZ86" s="6"/>
      <c r="GIA86" s="6"/>
      <c r="GIB86" s="6"/>
      <c r="GIC86" s="6"/>
      <c r="GID86" s="6"/>
      <c r="GIE86" s="6"/>
      <c r="GIF86" s="6"/>
      <c r="GIG86" s="6"/>
      <c r="GIH86" s="6"/>
      <c r="GII86" s="6"/>
      <c r="GIJ86" s="6"/>
      <c r="GIK86" s="6"/>
      <c r="GIL86" s="6"/>
      <c r="GIM86" s="6"/>
      <c r="GIN86" s="6"/>
      <c r="GIO86" s="6"/>
      <c r="GIP86" s="6"/>
      <c r="GIQ86" s="6"/>
      <c r="GIR86" s="6"/>
      <c r="GIS86" s="6"/>
      <c r="GIT86" s="6"/>
      <c r="GIU86" s="6"/>
      <c r="GIV86" s="6"/>
      <c r="GIW86" s="6"/>
      <c r="GIX86" s="6"/>
      <c r="GIY86" s="6"/>
      <c r="GIZ86" s="6"/>
      <c r="GJA86" s="6"/>
      <c r="GJB86" s="6"/>
      <c r="GJC86" s="6"/>
      <c r="GJD86" s="6"/>
      <c r="GJE86" s="6"/>
      <c r="GJF86" s="6"/>
      <c r="GJG86" s="6"/>
      <c r="GJH86" s="6"/>
      <c r="GJI86" s="6"/>
      <c r="GJJ86" s="6"/>
      <c r="GJK86" s="6"/>
      <c r="GJL86" s="6"/>
      <c r="GJM86" s="6"/>
      <c r="GJN86" s="6"/>
      <c r="GJO86" s="6"/>
      <c r="GJP86" s="6"/>
      <c r="GJQ86" s="6"/>
      <c r="GJR86" s="6"/>
      <c r="GJS86" s="6"/>
      <c r="GJT86" s="6"/>
      <c r="GJU86" s="6"/>
      <c r="GJV86" s="6"/>
      <c r="GJW86" s="6"/>
      <c r="GJX86" s="6"/>
      <c r="GJY86" s="6"/>
      <c r="GJZ86" s="6"/>
      <c r="GKA86" s="6"/>
      <c r="GKB86" s="6"/>
      <c r="GKC86" s="6"/>
      <c r="GKD86" s="6"/>
      <c r="GKE86" s="6"/>
      <c r="GKF86" s="6"/>
      <c r="GKG86" s="6"/>
      <c r="GKH86" s="6"/>
      <c r="GKI86" s="6"/>
      <c r="GKJ86" s="6"/>
      <c r="GKK86" s="6"/>
      <c r="GKL86" s="6"/>
      <c r="GKM86" s="6"/>
      <c r="GKN86" s="6"/>
      <c r="GKO86" s="6"/>
      <c r="GKP86" s="6"/>
      <c r="GKQ86" s="6"/>
      <c r="GKR86" s="6"/>
      <c r="GKS86" s="6"/>
      <c r="GKT86" s="6"/>
      <c r="GKU86" s="6"/>
      <c r="GKV86" s="6"/>
      <c r="GKW86" s="6"/>
      <c r="GKX86" s="6"/>
      <c r="GKY86" s="6"/>
      <c r="GKZ86" s="6"/>
      <c r="GLA86" s="6"/>
      <c r="GLB86" s="6"/>
      <c r="GLC86" s="6"/>
      <c r="GLD86" s="6"/>
      <c r="GLE86" s="6"/>
      <c r="GLF86" s="6"/>
      <c r="GLG86" s="6"/>
      <c r="GLH86" s="6"/>
      <c r="GLI86" s="6"/>
      <c r="GLJ86" s="6"/>
      <c r="GLK86" s="6"/>
      <c r="GLL86" s="6"/>
      <c r="GLM86" s="6"/>
      <c r="GLN86" s="6"/>
      <c r="GLO86" s="6"/>
      <c r="GLP86" s="6"/>
      <c r="GLQ86" s="6"/>
      <c r="GLR86" s="6"/>
      <c r="GLS86" s="6"/>
      <c r="GLT86" s="6"/>
      <c r="GLU86" s="6"/>
      <c r="GLV86" s="6"/>
      <c r="GLW86" s="6"/>
      <c r="GLX86" s="6"/>
      <c r="GLY86" s="6"/>
      <c r="GLZ86" s="6"/>
      <c r="GMA86" s="6"/>
      <c r="GMB86" s="6"/>
      <c r="GMC86" s="6"/>
      <c r="GMD86" s="6"/>
      <c r="GME86" s="6"/>
      <c r="GMF86" s="6"/>
      <c r="GMG86" s="6"/>
      <c r="GMH86" s="6"/>
      <c r="GMI86" s="6"/>
      <c r="GMJ86" s="6"/>
      <c r="GMK86" s="6"/>
      <c r="GML86" s="6"/>
      <c r="GMM86" s="6"/>
      <c r="GMN86" s="6"/>
      <c r="GMO86" s="6"/>
      <c r="GMP86" s="6"/>
      <c r="GMQ86" s="6"/>
      <c r="GMR86" s="6"/>
      <c r="GMS86" s="6"/>
      <c r="GMT86" s="6"/>
      <c r="GMU86" s="6"/>
      <c r="GMV86" s="6"/>
      <c r="GMW86" s="6"/>
      <c r="GMX86" s="6"/>
      <c r="GMY86" s="6"/>
      <c r="GMZ86" s="6"/>
      <c r="GNA86" s="6"/>
      <c r="GNB86" s="6"/>
      <c r="GNC86" s="6"/>
      <c r="GND86" s="6"/>
      <c r="GNE86" s="6"/>
      <c r="GNF86" s="6"/>
      <c r="GNG86" s="6"/>
      <c r="GNH86" s="6"/>
      <c r="GNI86" s="6"/>
      <c r="GNJ86" s="6"/>
      <c r="GNK86" s="6"/>
      <c r="GNL86" s="6"/>
      <c r="GNM86" s="6"/>
      <c r="GNN86" s="6"/>
      <c r="GNO86" s="6"/>
      <c r="GNP86" s="6"/>
      <c r="GNQ86" s="6"/>
      <c r="GNR86" s="6"/>
      <c r="GNS86" s="6"/>
      <c r="GNT86" s="6"/>
      <c r="GNU86" s="6"/>
      <c r="GNV86" s="6"/>
      <c r="GNW86" s="6"/>
      <c r="GNX86" s="6"/>
      <c r="GNY86" s="6"/>
      <c r="GNZ86" s="6"/>
      <c r="GOA86" s="6"/>
      <c r="GOB86" s="6"/>
      <c r="GOC86" s="6"/>
      <c r="GOD86" s="6"/>
      <c r="GOE86" s="6"/>
      <c r="GOF86" s="6"/>
      <c r="GOG86" s="6"/>
      <c r="GOH86" s="6"/>
      <c r="GOI86" s="6"/>
      <c r="GOJ86" s="6"/>
      <c r="GOK86" s="6"/>
      <c r="GOL86" s="6"/>
      <c r="GOM86" s="6"/>
      <c r="GON86" s="6"/>
      <c r="GOO86" s="6"/>
      <c r="GOP86" s="6"/>
      <c r="GOQ86" s="6"/>
      <c r="GOR86" s="6"/>
      <c r="GOS86" s="6"/>
      <c r="GOT86" s="6"/>
      <c r="GOU86" s="6"/>
      <c r="GOV86" s="6"/>
      <c r="GOW86" s="6"/>
      <c r="GOX86" s="6"/>
      <c r="GOY86" s="6"/>
      <c r="GOZ86" s="6"/>
      <c r="GPA86" s="6"/>
      <c r="GPB86" s="6"/>
      <c r="GPC86" s="6"/>
      <c r="GPD86" s="6"/>
      <c r="GPE86" s="6"/>
      <c r="GPF86" s="6"/>
      <c r="GPG86" s="6"/>
      <c r="GPH86" s="6"/>
      <c r="GPI86" s="6"/>
      <c r="GPJ86" s="6"/>
      <c r="GPK86" s="6"/>
      <c r="GPL86" s="6"/>
      <c r="GPM86" s="6"/>
      <c r="GPN86" s="6"/>
      <c r="GPO86" s="6"/>
      <c r="GPP86" s="6"/>
      <c r="GPQ86" s="6"/>
      <c r="GPR86" s="6"/>
      <c r="GPS86" s="6"/>
      <c r="GPT86" s="6"/>
      <c r="GPU86" s="6"/>
      <c r="GPV86" s="6"/>
      <c r="GPW86" s="6"/>
      <c r="GPX86" s="6"/>
      <c r="GPY86" s="6"/>
      <c r="GPZ86" s="6"/>
      <c r="GQA86" s="6"/>
      <c r="GQB86" s="6"/>
      <c r="GQC86" s="6"/>
      <c r="GQD86" s="6"/>
      <c r="GQE86" s="6"/>
      <c r="GQF86" s="6"/>
      <c r="GQG86" s="6"/>
      <c r="GQH86" s="6"/>
      <c r="GQI86" s="6"/>
      <c r="GQJ86" s="6"/>
      <c r="GQK86" s="6"/>
      <c r="GQL86" s="6"/>
      <c r="GQM86" s="6"/>
      <c r="GQN86" s="6"/>
      <c r="GQO86" s="6"/>
      <c r="GQP86" s="6"/>
      <c r="GQQ86" s="6"/>
      <c r="GQR86" s="6"/>
      <c r="GQS86" s="6"/>
      <c r="GQT86" s="6"/>
      <c r="GQU86" s="6"/>
      <c r="GQV86" s="6"/>
      <c r="GQW86" s="6"/>
      <c r="GQX86" s="6"/>
      <c r="GQY86" s="6"/>
      <c r="GQZ86" s="6"/>
      <c r="GRA86" s="6"/>
      <c r="GRB86" s="6"/>
      <c r="GRC86" s="6"/>
      <c r="GRD86" s="6"/>
      <c r="GRE86" s="6"/>
      <c r="GRF86" s="6"/>
      <c r="GRG86" s="6"/>
      <c r="GRH86" s="6"/>
      <c r="GRI86" s="6"/>
      <c r="GRJ86" s="6"/>
      <c r="GRK86" s="6"/>
      <c r="GRL86" s="6"/>
      <c r="GRM86" s="6"/>
      <c r="GRN86" s="6"/>
      <c r="GRO86" s="6"/>
      <c r="GRP86" s="6"/>
      <c r="GRQ86" s="6"/>
      <c r="GRR86" s="6"/>
      <c r="GRS86" s="6"/>
      <c r="GRT86" s="6"/>
      <c r="GRU86" s="6"/>
      <c r="GRV86" s="6"/>
      <c r="GRW86" s="6"/>
      <c r="GRX86" s="6"/>
      <c r="GRY86" s="6"/>
      <c r="GRZ86" s="6"/>
      <c r="GSA86" s="6"/>
      <c r="GSB86" s="6"/>
      <c r="GSC86" s="6"/>
      <c r="GSD86" s="6"/>
      <c r="GSE86" s="6"/>
      <c r="GSF86" s="6"/>
      <c r="GSG86" s="6"/>
      <c r="GSH86" s="6"/>
      <c r="GSI86" s="6"/>
      <c r="GSJ86" s="6"/>
      <c r="GSK86" s="6"/>
      <c r="GSL86" s="6"/>
      <c r="GSM86" s="6"/>
      <c r="GSN86" s="6"/>
      <c r="GSO86" s="6"/>
      <c r="GSP86" s="6"/>
      <c r="GSQ86" s="6"/>
      <c r="GSR86" s="6"/>
      <c r="GSS86" s="6"/>
      <c r="GST86" s="6"/>
      <c r="GSU86" s="6"/>
      <c r="GSV86" s="6"/>
      <c r="GSW86" s="6"/>
      <c r="GSX86" s="6"/>
      <c r="GSY86" s="6"/>
      <c r="GSZ86" s="6"/>
      <c r="GTA86" s="6"/>
      <c r="GTB86" s="6"/>
      <c r="GTC86" s="6"/>
      <c r="GTD86" s="6"/>
      <c r="GTE86" s="6"/>
      <c r="GTF86" s="6"/>
      <c r="GTG86" s="6"/>
      <c r="GTH86" s="6"/>
      <c r="GTI86" s="6"/>
      <c r="GTJ86" s="6"/>
      <c r="GTK86" s="6"/>
      <c r="GTL86" s="6"/>
      <c r="GTM86" s="6"/>
      <c r="GTN86" s="6"/>
      <c r="GTO86" s="6"/>
      <c r="GTP86" s="6"/>
      <c r="GTQ86" s="6"/>
      <c r="GTR86" s="6"/>
      <c r="GTS86" s="6"/>
      <c r="GTT86" s="6"/>
      <c r="GTU86" s="6"/>
      <c r="GTV86" s="6"/>
      <c r="GTW86" s="6"/>
      <c r="GTX86" s="6"/>
      <c r="GTY86" s="6"/>
      <c r="GTZ86" s="6"/>
      <c r="GUA86" s="6"/>
      <c r="GUB86" s="6"/>
      <c r="GUC86" s="6"/>
      <c r="GUD86" s="6"/>
      <c r="GUE86" s="6"/>
      <c r="GUF86" s="6"/>
      <c r="GUG86" s="6"/>
      <c r="GUH86" s="6"/>
      <c r="GUI86" s="6"/>
      <c r="GUJ86" s="6"/>
      <c r="GUK86" s="6"/>
      <c r="GUL86" s="6"/>
      <c r="GUM86" s="6"/>
      <c r="GUN86" s="6"/>
      <c r="GUO86" s="6"/>
      <c r="GUP86" s="6"/>
      <c r="GUQ86" s="6"/>
      <c r="GUR86" s="6"/>
      <c r="GUS86" s="6"/>
      <c r="GUT86" s="6"/>
      <c r="GUU86" s="6"/>
      <c r="GUV86" s="6"/>
      <c r="GUW86" s="6"/>
      <c r="GUX86" s="6"/>
      <c r="GUY86" s="6"/>
      <c r="GUZ86" s="6"/>
      <c r="GVA86" s="6"/>
      <c r="GVB86" s="6"/>
      <c r="GVC86" s="6"/>
      <c r="GVD86" s="6"/>
      <c r="GVE86" s="6"/>
      <c r="GVF86" s="6"/>
      <c r="GVG86" s="6"/>
      <c r="GVH86" s="6"/>
      <c r="GVI86" s="6"/>
      <c r="GVJ86" s="6"/>
      <c r="GVK86" s="6"/>
      <c r="GVL86" s="6"/>
      <c r="GVM86" s="6"/>
      <c r="GVN86" s="6"/>
      <c r="GVO86" s="6"/>
      <c r="GVP86" s="6"/>
      <c r="GVQ86" s="6"/>
      <c r="GVR86" s="6"/>
      <c r="GVS86" s="6"/>
      <c r="GVT86" s="6"/>
      <c r="GVU86" s="6"/>
      <c r="GVV86" s="6"/>
      <c r="GVW86" s="6"/>
      <c r="GVX86" s="6"/>
      <c r="GVY86" s="6"/>
      <c r="GVZ86" s="6"/>
      <c r="GWA86" s="6"/>
      <c r="GWB86" s="6"/>
      <c r="GWC86" s="6"/>
      <c r="GWD86" s="6"/>
      <c r="GWE86" s="6"/>
      <c r="GWF86" s="6"/>
      <c r="GWG86" s="6"/>
      <c r="GWH86" s="6"/>
      <c r="GWI86" s="6"/>
      <c r="GWJ86" s="6"/>
      <c r="GWK86" s="6"/>
      <c r="GWL86" s="6"/>
      <c r="GWM86" s="6"/>
      <c r="GWN86" s="6"/>
      <c r="GWO86" s="6"/>
      <c r="GWP86" s="6"/>
      <c r="GWQ86" s="6"/>
      <c r="GWR86" s="6"/>
      <c r="GWS86" s="6"/>
      <c r="GWT86" s="6"/>
      <c r="GWU86" s="6"/>
      <c r="GWV86" s="6"/>
      <c r="GWW86" s="6"/>
      <c r="GWX86" s="6"/>
      <c r="GWY86" s="6"/>
      <c r="GWZ86" s="6"/>
      <c r="GXA86" s="6"/>
      <c r="GXB86" s="6"/>
      <c r="GXC86" s="6"/>
      <c r="GXD86" s="6"/>
      <c r="GXE86" s="6"/>
      <c r="GXF86" s="6"/>
      <c r="GXG86" s="6"/>
      <c r="GXH86" s="6"/>
      <c r="GXI86" s="6"/>
      <c r="GXJ86" s="6"/>
      <c r="GXK86" s="6"/>
      <c r="GXL86" s="6"/>
      <c r="GXM86" s="6"/>
      <c r="GXN86" s="6"/>
      <c r="GXO86" s="6"/>
      <c r="GXP86" s="6"/>
      <c r="GXQ86" s="6"/>
      <c r="GXR86" s="6"/>
      <c r="GXS86" s="6"/>
      <c r="GXT86" s="6"/>
      <c r="GXU86" s="6"/>
      <c r="GXV86" s="6"/>
      <c r="GXW86" s="6"/>
      <c r="GXX86" s="6"/>
      <c r="GXY86" s="6"/>
      <c r="GXZ86" s="6"/>
      <c r="GYA86" s="6"/>
      <c r="GYB86" s="6"/>
      <c r="GYC86" s="6"/>
      <c r="GYD86" s="6"/>
      <c r="GYE86" s="6"/>
      <c r="GYF86" s="6"/>
      <c r="GYG86" s="6"/>
      <c r="GYH86" s="6"/>
      <c r="GYI86" s="6"/>
      <c r="GYJ86" s="6"/>
      <c r="GYK86" s="6"/>
      <c r="GYL86" s="6"/>
      <c r="GYM86" s="6"/>
      <c r="GYN86" s="6"/>
      <c r="GYO86" s="6"/>
      <c r="GYP86" s="6"/>
      <c r="GYQ86" s="6"/>
      <c r="GYR86" s="6"/>
      <c r="GYS86" s="6"/>
      <c r="GYT86" s="6"/>
      <c r="GYU86" s="6"/>
      <c r="GYV86" s="6"/>
      <c r="GYW86" s="6"/>
      <c r="GYX86" s="6"/>
      <c r="GYY86" s="6"/>
      <c r="GYZ86" s="6"/>
      <c r="GZA86" s="6"/>
      <c r="GZB86" s="6"/>
      <c r="GZC86" s="6"/>
      <c r="GZD86" s="6"/>
      <c r="GZE86" s="6"/>
      <c r="GZF86" s="6"/>
      <c r="GZG86" s="6"/>
      <c r="GZH86" s="6"/>
      <c r="GZI86" s="6"/>
      <c r="GZJ86" s="6"/>
      <c r="GZK86" s="6"/>
      <c r="GZL86" s="6"/>
      <c r="GZM86" s="6"/>
      <c r="GZN86" s="6"/>
      <c r="GZO86" s="6"/>
      <c r="GZP86" s="6"/>
      <c r="GZQ86" s="6"/>
      <c r="GZR86" s="6"/>
      <c r="GZS86" s="6"/>
      <c r="GZT86" s="6"/>
      <c r="GZU86" s="6"/>
      <c r="GZV86" s="6"/>
      <c r="GZW86" s="6"/>
      <c r="GZX86" s="6"/>
      <c r="GZY86" s="6"/>
      <c r="GZZ86" s="6"/>
      <c r="HAA86" s="6"/>
      <c r="HAB86" s="6"/>
      <c r="HAC86" s="6"/>
      <c r="HAD86" s="6"/>
      <c r="HAE86" s="6"/>
      <c r="HAF86" s="6"/>
      <c r="HAG86" s="6"/>
      <c r="HAH86" s="6"/>
      <c r="HAI86" s="6"/>
      <c r="HAJ86" s="6"/>
      <c r="HAK86" s="6"/>
      <c r="HAL86" s="6"/>
      <c r="HAM86" s="6"/>
      <c r="HAN86" s="6"/>
      <c r="HAO86" s="6"/>
      <c r="HAP86" s="6"/>
      <c r="HAQ86" s="6"/>
      <c r="HAR86" s="6"/>
      <c r="HAS86" s="6"/>
      <c r="HAT86" s="6"/>
      <c r="HAU86" s="6"/>
      <c r="HAV86" s="6"/>
      <c r="HAW86" s="6"/>
      <c r="HAX86" s="6"/>
      <c r="HAY86" s="6"/>
      <c r="HAZ86" s="6"/>
      <c r="HBA86" s="6"/>
      <c r="HBB86" s="6"/>
      <c r="HBC86" s="6"/>
      <c r="HBD86" s="6"/>
      <c r="HBE86" s="6"/>
      <c r="HBF86" s="6"/>
      <c r="HBG86" s="6"/>
      <c r="HBH86" s="6"/>
      <c r="HBI86" s="6"/>
      <c r="HBJ86" s="6"/>
      <c r="HBK86" s="6"/>
      <c r="HBL86" s="6"/>
      <c r="HBM86" s="6"/>
      <c r="HBN86" s="6"/>
      <c r="HBO86" s="6"/>
      <c r="HBP86" s="6"/>
      <c r="HBQ86" s="6"/>
      <c r="HBR86" s="6"/>
      <c r="HBS86" s="6"/>
      <c r="HBT86" s="6"/>
      <c r="HBU86" s="6"/>
      <c r="HBV86" s="6"/>
      <c r="HBW86" s="6"/>
      <c r="HBX86" s="6"/>
      <c r="HBY86" s="6"/>
      <c r="HBZ86" s="6"/>
      <c r="HCA86" s="6"/>
      <c r="HCB86" s="6"/>
      <c r="HCC86" s="6"/>
      <c r="HCD86" s="6"/>
      <c r="HCE86" s="6"/>
      <c r="HCF86" s="6"/>
      <c r="HCG86" s="6"/>
      <c r="HCH86" s="6"/>
      <c r="HCI86" s="6"/>
      <c r="HCJ86" s="6"/>
      <c r="HCK86" s="6"/>
      <c r="HCL86" s="6"/>
      <c r="HCM86" s="6"/>
      <c r="HCN86" s="6"/>
      <c r="HCO86" s="6"/>
      <c r="HCP86" s="6"/>
      <c r="HCQ86" s="6"/>
      <c r="HCR86" s="6"/>
      <c r="HCS86" s="6"/>
      <c r="HCT86" s="6"/>
      <c r="HCU86" s="6"/>
      <c r="HCV86" s="6"/>
      <c r="HCW86" s="6"/>
      <c r="HCX86" s="6"/>
      <c r="HCY86" s="6"/>
      <c r="HCZ86" s="6"/>
      <c r="HDA86" s="6"/>
      <c r="HDB86" s="6"/>
      <c r="HDC86" s="6"/>
      <c r="HDD86" s="6"/>
      <c r="HDE86" s="6"/>
      <c r="HDF86" s="6"/>
      <c r="HDG86" s="6"/>
      <c r="HDH86" s="6"/>
      <c r="HDI86" s="6"/>
      <c r="HDJ86" s="6"/>
      <c r="HDK86" s="6"/>
      <c r="HDL86" s="6"/>
      <c r="HDM86" s="6"/>
      <c r="HDN86" s="6"/>
      <c r="HDO86" s="6"/>
      <c r="HDP86" s="6"/>
      <c r="HDQ86" s="6"/>
      <c r="HDR86" s="6"/>
      <c r="HDS86" s="6"/>
      <c r="HDT86" s="6"/>
      <c r="HDU86" s="6"/>
      <c r="HDV86" s="6"/>
      <c r="HDW86" s="6"/>
      <c r="HDX86" s="6"/>
      <c r="HDY86" s="6"/>
      <c r="HDZ86" s="6"/>
      <c r="HEA86" s="6"/>
      <c r="HEB86" s="6"/>
      <c r="HEC86" s="6"/>
      <c r="HED86" s="6"/>
      <c r="HEE86" s="6"/>
      <c r="HEF86" s="6"/>
      <c r="HEG86" s="6"/>
      <c r="HEH86" s="6"/>
      <c r="HEI86" s="6"/>
      <c r="HEJ86" s="6"/>
      <c r="HEK86" s="6"/>
      <c r="HEL86" s="6"/>
      <c r="HEM86" s="6"/>
      <c r="HEN86" s="6"/>
      <c r="HEO86" s="6"/>
      <c r="HEP86" s="6"/>
      <c r="HEQ86" s="6"/>
      <c r="HER86" s="6"/>
      <c r="HES86" s="6"/>
      <c r="HET86" s="6"/>
      <c r="HEU86" s="6"/>
      <c r="HEV86" s="6"/>
      <c r="HEW86" s="6"/>
      <c r="HEX86" s="6"/>
      <c r="HEY86" s="6"/>
      <c r="HEZ86" s="6"/>
      <c r="HFA86" s="6"/>
      <c r="HFB86" s="6"/>
      <c r="HFC86" s="6"/>
      <c r="HFD86" s="6"/>
      <c r="HFE86" s="6"/>
      <c r="HFF86" s="6"/>
      <c r="HFG86" s="6"/>
      <c r="HFH86" s="6"/>
      <c r="HFI86" s="6"/>
      <c r="HFJ86" s="6"/>
      <c r="HFK86" s="6"/>
      <c r="HFL86" s="6"/>
      <c r="HFM86" s="6"/>
      <c r="HFN86" s="6"/>
      <c r="HFO86" s="6"/>
      <c r="HFP86" s="6"/>
      <c r="HFQ86" s="6"/>
      <c r="HFR86" s="6"/>
      <c r="HFS86" s="6"/>
      <c r="HFT86" s="6"/>
      <c r="HFU86" s="6"/>
      <c r="HFV86" s="6"/>
      <c r="HFW86" s="6"/>
      <c r="HFX86" s="6"/>
      <c r="HFY86" s="6"/>
      <c r="HFZ86" s="6"/>
      <c r="HGA86" s="6"/>
      <c r="HGB86" s="6"/>
      <c r="HGC86" s="6"/>
      <c r="HGD86" s="6"/>
      <c r="HGE86" s="6"/>
      <c r="HGF86" s="6"/>
      <c r="HGG86" s="6"/>
      <c r="HGH86" s="6"/>
      <c r="HGI86" s="6"/>
      <c r="HGJ86" s="6"/>
      <c r="HGK86" s="6"/>
      <c r="HGL86" s="6"/>
      <c r="HGM86" s="6"/>
      <c r="HGN86" s="6"/>
      <c r="HGO86" s="6"/>
      <c r="HGP86" s="6"/>
      <c r="HGQ86" s="6"/>
      <c r="HGR86" s="6"/>
      <c r="HGS86" s="6"/>
      <c r="HGT86" s="6"/>
      <c r="HGU86" s="6"/>
      <c r="HGV86" s="6"/>
      <c r="HGW86" s="6"/>
      <c r="HGX86" s="6"/>
      <c r="HGY86" s="6"/>
      <c r="HGZ86" s="6"/>
      <c r="HHA86" s="6"/>
      <c r="HHB86" s="6"/>
      <c r="HHC86" s="6"/>
      <c r="HHD86" s="6"/>
      <c r="HHE86" s="6"/>
      <c r="HHF86" s="6"/>
      <c r="HHG86" s="6"/>
      <c r="HHH86" s="6"/>
      <c r="HHI86" s="6"/>
      <c r="HHJ86" s="6"/>
      <c r="HHK86" s="6"/>
      <c r="HHL86" s="6"/>
      <c r="HHM86" s="6"/>
      <c r="HHN86" s="6"/>
      <c r="HHO86" s="6"/>
      <c r="HHP86" s="6"/>
      <c r="HHQ86" s="6"/>
      <c r="HHR86" s="6"/>
      <c r="HHS86" s="6"/>
      <c r="HHT86" s="6"/>
      <c r="HHU86" s="6"/>
      <c r="HHV86" s="6"/>
      <c r="HHW86" s="6"/>
      <c r="HHX86" s="6"/>
      <c r="HHY86" s="6"/>
      <c r="HHZ86" s="6"/>
      <c r="HIA86" s="6"/>
      <c r="HIB86" s="6"/>
      <c r="HIC86" s="6"/>
      <c r="HID86" s="6"/>
      <c r="HIE86" s="6"/>
      <c r="HIF86" s="6"/>
      <c r="HIG86" s="6"/>
      <c r="HIH86" s="6"/>
      <c r="HII86" s="6"/>
      <c r="HIJ86" s="6"/>
      <c r="HIK86" s="6"/>
      <c r="HIL86" s="6"/>
      <c r="HIM86" s="6"/>
      <c r="HIN86" s="6"/>
      <c r="HIO86" s="6"/>
      <c r="HIP86" s="6"/>
      <c r="HIQ86" s="6"/>
      <c r="HIR86" s="6"/>
      <c r="HIS86" s="6"/>
      <c r="HIT86" s="6"/>
      <c r="HIU86" s="6"/>
      <c r="HIV86" s="6"/>
      <c r="HIW86" s="6"/>
      <c r="HIX86" s="6"/>
      <c r="HIY86" s="6"/>
      <c r="HIZ86" s="6"/>
      <c r="HJA86" s="6"/>
      <c r="HJB86" s="6"/>
      <c r="HJC86" s="6"/>
      <c r="HJD86" s="6"/>
      <c r="HJE86" s="6"/>
      <c r="HJF86" s="6"/>
      <c r="HJG86" s="6"/>
      <c r="HJH86" s="6"/>
      <c r="HJI86" s="6"/>
      <c r="HJJ86" s="6"/>
      <c r="HJK86" s="6"/>
      <c r="HJL86" s="6"/>
      <c r="HJM86" s="6"/>
      <c r="HJN86" s="6"/>
      <c r="HJO86" s="6"/>
      <c r="HJP86" s="6"/>
      <c r="HJQ86" s="6"/>
      <c r="HJR86" s="6"/>
      <c r="HJS86" s="6"/>
      <c r="HJT86" s="6"/>
      <c r="HJU86" s="6"/>
      <c r="HJV86" s="6"/>
      <c r="HJW86" s="6"/>
      <c r="HJX86" s="6"/>
      <c r="HJY86" s="6"/>
      <c r="HJZ86" s="6"/>
      <c r="HKA86" s="6"/>
      <c r="HKB86" s="6"/>
      <c r="HKC86" s="6"/>
      <c r="HKD86" s="6"/>
      <c r="HKE86" s="6"/>
      <c r="HKF86" s="6"/>
      <c r="HKG86" s="6"/>
      <c r="HKH86" s="6"/>
      <c r="HKI86" s="6"/>
      <c r="HKJ86" s="6"/>
      <c r="HKK86" s="6"/>
      <c r="HKL86" s="6"/>
      <c r="HKM86" s="6"/>
      <c r="HKN86" s="6"/>
      <c r="HKO86" s="6"/>
      <c r="HKP86" s="6"/>
      <c r="HKQ86" s="6"/>
      <c r="HKR86" s="6"/>
      <c r="HKS86" s="6"/>
      <c r="HKT86" s="6"/>
      <c r="HKU86" s="6"/>
      <c r="HKV86" s="6"/>
      <c r="HKW86" s="6"/>
      <c r="HKX86" s="6"/>
      <c r="HKY86" s="6"/>
      <c r="HKZ86" s="6"/>
      <c r="HLA86" s="6"/>
      <c r="HLB86" s="6"/>
      <c r="HLC86" s="6"/>
      <c r="HLD86" s="6"/>
      <c r="HLE86" s="6"/>
      <c r="HLF86" s="6"/>
      <c r="HLG86" s="6"/>
      <c r="HLH86" s="6"/>
      <c r="HLI86" s="6"/>
      <c r="HLJ86" s="6"/>
      <c r="HLK86" s="6"/>
      <c r="HLL86" s="6"/>
      <c r="HLM86" s="6"/>
      <c r="HLN86" s="6"/>
      <c r="HLO86" s="6"/>
      <c r="HLP86" s="6"/>
      <c r="HLQ86" s="6"/>
      <c r="HLR86" s="6"/>
      <c r="HLS86" s="6"/>
      <c r="HLT86" s="6"/>
      <c r="HLU86" s="6"/>
      <c r="HLV86" s="6"/>
      <c r="HLW86" s="6"/>
      <c r="HLX86" s="6"/>
      <c r="HLY86" s="6"/>
      <c r="HLZ86" s="6"/>
      <c r="HMA86" s="6"/>
      <c r="HMB86" s="6"/>
      <c r="HMC86" s="6"/>
      <c r="HMD86" s="6"/>
      <c r="HME86" s="6"/>
      <c r="HMF86" s="6"/>
      <c r="HMG86" s="6"/>
      <c r="HMH86" s="6"/>
      <c r="HMI86" s="6"/>
      <c r="HMJ86" s="6"/>
      <c r="HMK86" s="6"/>
      <c r="HML86" s="6"/>
      <c r="HMM86" s="6"/>
      <c r="HMN86" s="6"/>
      <c r="HMO86" s="6"/>
      <c r="HMP86" s="6"/>
      <c r="HMQ86" s="6"/>
      <c r="HMR86" s="6"/>
      <c r="HMS86" s="6"/>
      <c r="HMT86" s="6"/>
      <c r="HMU86" s="6"/>
      <c r="HMV86" s="6"/>
      <c r="HMW86" s="6"/>
      <c r="HMX86" s="6"/>
      <c r="HMY86" s="6"/>
      <c r="HMZ86" s="6"/>
      <c r="HNA86" s="6"/>
      <c r="HNB86" s="6"/>
      <c r="HNC86" s="6"/>
      <c r="HND86" s="6"/>
      <c r="HNE86" s="6"/>
      <c r="HNF86" s="6"/>
      <c r="HNG86" s="6"/>
      <c r="HNH86" s="6"/>
      <c r="HNI86" s="6"/>
      <c r="HNJ86" s="6"/>
      <c r="HNK86" s="6"/>
      <c r="HNL86" s="6"/>
      <c r="HNM86" s="6"/>
      <c r="HNN86" s="6"/>
      <c r="HNO86" s="6"/>
      <c r="HNP86" s="6"/>
      <c r="HNQ86" s="6"/>
      <c r="HNR86" s="6"/>
      <c r="HNS86" s="6"/>
      <c r="HNT86" s="6"/>
      <c r="HNU86" s="6"/>
      <c r="HNV86" s="6"/>
      <c r="HNW86" s="6"/>
      <c r="HNX86" s="6"/>
      <c r="HNY86" s="6"/>
      <c r="HNZ86" s="6"/>
      <c r="HOA86" s="6"/>
      <c r="HOB86" s="6"/>
      <c r="HOC86" s="6"/>
      <c r="HOD86" s="6"/>
      <c r="HOE86" s="6"/>
      <c r="HOF86" s="6"/>
      <c r="HOG86" s="6"/>
      <c r="HOH86" s="6"/>
      <c r="HOI86" s="6"/>
      <c r="HOJ86" s="6"/>
      <c r="HOK86" s="6"/>
      <c r="HOL86" s="6"/>
      <c r="HOM86" s="6"/>
      <c r="HON86" s="6"/>
      <c r="HOO86" s="6"/>
      <c r="HOP86" s="6"/>
      <c r="HOQ86" s="6"/>
      <c r="HOR86" s="6"/>
      <c r="HOS86" s="6"/>
      <c r="HOT86" s="6"/>
      <c r="HOU86" s="6"/>
      <c r="HOV86" s="6"/>
      <c r="HOW86" s="6"/>
      <c r="HOX86" s="6"/>
      <c r="HOY86" s="6"/>
      <c r="HOZ86" s="6"/>
      <c r="HPA86" s="6"/>
      <c r="HPB86" s="6"/>
      <c r="HPC86" s="6"/>
      <c r="HPD86" s="6"/>
      <c r="HPE86" s="6"/>
      <c r="HPF86" s="6"/>
      <c r="HPG86" s="6"/>
      <c r="HPH86" s="6"/>
      <c r="HPI86" s="6"/>
      <c r="HPJ86" s="6"/>
      <c r="HPK86" s="6"/>
      <c r="HPL86" s="6"/>
      <c r="HPM86" s="6"/>
      <c r="HPN86" s="6"/>
      <c r="HPO86" s="6"/>
      <c r="HPP86" s="6"/>
      <c r="HPQ86" s="6"/>
      <c r="HPR86" s="6"/>
      <c r="HPS86" s="6"/>
      <c r="HPT86" s="6"/>
      <c r="HPU86" s="6"/>
      <c r="HPV86" s="6"/>
      <c r="HPW86" s="6"/>
      <c r="HPX86" s="6"/>
      <c r="HPY86" s="6"/>
      <c r="HPZ86" s="6"/>
      <c r="HQA86" s="6"/>
      <c r="HQB86" s="6"/>
      <c r="HQC86" s="6"/>
      <c r="HQD86" s="6"/>
      <c r="HQE86" s="6"/>
      <c r="HQF86" s="6"/>
      <c r="HQG86" s="6"/>
      <c r="HQH86" s="6"/>
      <c r="HQI86" s="6"/>
      <c r="HQJ86" s="6"/>
      <c r="HQK86" s="6"/>
      <c r="HQL86" s="6"/>
      <c r="HQM86" s="6"/>
      <c r="HQN86" s="6"/>
      <c r="HQO86" s="6"/>
      <c r="HQP86" s="6"/>
      <c r="HQQ86" s="6"/>
      <c r="HQR86" s="6"/>
      <c r="HQS86" s="6"/>
      <c r="HQT86" s="6"/>
      <c r="HQU86" s="6"/>
      <c r="HQV86" s="6"/>
      <c r="HQW86" s="6"/>
      <c r="HQX86" s="6"/>
      <c r="HQY86" s="6"/>
      <c r="HQZ86" s="6"/>
      <c r="HRA86" s="6"/>
      <c r="HRB86" s="6"/>
      <c r="HRC86" s="6"/>
      <c r="HRD86" s="6"/>
      <c r="HRE86" s="6"/>
      <c r="HRF86" s="6"/>
      <c r="HRG86" s="6"/>
      <c r="HRH86" s="6"/>
      <c r="HRI86" s="6"/>
      <c r="HRJ86" s="6"/>
      <c r="HRK86" s="6"/>
      <c r="HRL86" s="6"/>
      <c r="HRM86" s="6"/>
      <c r="HRN86" s="6"/>
      <c r="HRO86" s="6"/>
      <c r="HRP86" s="6"/>
      <c r="HRQ86" s="6"/>
      <c r="HRR86" s="6"/>
      <c r="HRS86" s="6"/>
      <c r="HRT86" s="6"/>
      <c r="HRU86" s="6"/>
      <c r="HRV86" s="6"/>
      <c r="HRW86" s="6"/>
      <c r="HRX86" s="6"/>
      <c r="HRY86" s="6"/>
      <c r="HRZ86" s="6"/>
      <c r="HSA86" s="6"/>
      <c r="HSB86" s="6"/>
      <c r="HSC86" s="6"/>
      <c r="HSD86" s="6"/>
      <c r="HSE86" s="6"/>
      <c r="HSF86" s="6"/>
      <c r="HSG86" s="6"/>
      <c r="HSH86" s="6"/>
      <c r="HSI86" s="6"/>
      <c r="HSJ86" s="6"/>
      <c r="HSK86" s="6"/>
      <c r="HSL86" s="6"/>
      <c r="HSM86" s="6"/>
      <c r="HSN86" s="6"/>
      <c r="HSO86" s="6"/>
      <c r="HSP86" s="6"/>
      <c r="HSQ86" s="6"/>
      <c r="HSR86" s="6"/>
      <c r="HSS86" s="6"/>
      <c r="HST86" s="6"/>
      <c r="HSU86" s="6"/>
      <c r="HSV86" s="6"/>
      <c r="HSW86" s="6"/>
      <c r="HSX86" s="6"/>
      <c r="HSY86" s="6"/>
      <c r="HSZ86" s="6"/>
      <c r="HTA86" s="6"/>
      <c r="HTB86" s="6"/>
      <c r="HTC86" s="6"/>
      <c r="HTD86" s="6"/>
      <c r="HTE86" s="6"/>
      <c r="HTF86" s="6"/>
      <c r="HTG86" s="6"/>
      <c r="HTH86" s="6"/>
      <c r="HTI86" s="6"/>
      <c r="HTJ86" s="6"/>
      <c r="HTK86" s="6"/>
      <c r="HTL86" s="6"/>
      <c r="HTM86" s="6"/>
      <c r="HTN86" s="6"/>
      <c r="HTO86" s="6"/>
      <c r="HTP86" s="6"/>
      <c r="HTQ86" s="6"/>
      <c r="HTR86" s="6"/>
      <c r="HTS86" s="6"/>
      <c r="HTT86" s="6"/>
      <c r="HTU86" s="6"/>
      <c r="HTV86" s="6"/>
      <c r="HTW86" s="6"/>
      <c r="HTX86" s="6"/>
      <c r="HTY86" s="6"/>
      <c r="HTZ86" s="6"/>
      <c r="HUA86" s="6"/>
      <c r="HUB86" s="6"/>
      <c r="HUC86" s="6"/>
      <c r="HUD86" s="6"/>
      <c r="HUE86" s="6"/>
      <c r="HUF86" s="6"/>
      <c r="HUG86" s="6"/>
      <c r="HUH86" s="6"/>
      <c r="HUI86" s="6"/>
      <c r="HUJ86" s="6"/>
      <c r="HUK86" s="6"/>
      <c r="HUL86" s="6"/>
      <c r="HUM86" s="6"/>
      <c r="HUN86" s="6"/>
      <c r="HUO86" s="6"/>
      <c r="HUP86" s="6"/>
      <c r="HUQ86" s="6"/>
      <c r="HUR86" s="6"/>
      <c r="HUS86" s="6"/>
      <c r="HUT86" s="6"/>
      <c r="HUU86" s="6"/>
      <c r="HUV86" s="6"/>
      <c r="HUW86" s="6"/>
      <c r="HUX86" s="6"/>
      <c r="HUY86" s="6"/>
      <c r="HUZ86" s="6"/>
      <c r="HVA86" s="6"/>
      <c r="HVB86" s="6"/>
      <c r="HVC86" s="6"/>
      <c r="HVD86" s="6"/>
      <c r="HVE86" s="6"/>
      <c r="HVF86" s="6"/>
      <c r="HVG86" s="6"/>
      <c r="HVH86" s="6"/>
      <c r="HVI86" s="6"/>
      <c r="HVJ86" s="6"/>
      <c r="HVK86" s="6"/>
      <c r="HVL86" s="6"/>
      <c r="HVM86" s="6"/>
      <c r="HVN86" s="6"/>
      <c r="HVO86" s="6"/>
      <c r="HVP86" s="6"/>
      <c r="HVQ86" s="6"/>
      <c r="HVR86" s="6"/>
      <c r="HVS86" s="6"/>
      <c r="HVT86" s="6"/>
      <c r="HVU86" s="6"/>
      <c r="HVV86" s="6"/>
      <c r="HVW86" s="6"/>
      <c r="HVX86" s="6"/>
      <c r="HVY86" s="6"/>
      <c r="HVZ86" s="6"/>
      <c r="HWA86" s="6"/>
      <c r="HWB86" s="6"/>
      <c r="HWC86" s="6"/>
      <c r="HWD86" s="6"/>
      <c r="HWE86" s="6"/>
      <c r="HWF86" s="6"/>
      <c r="HWG86" s="6"/>
      <c r="HWH86" s="6"/>
      <c r="HWI86" s="6"/>
      <c r="HWJ86" s="6"/>
      <c r="HWK86" s="6"/>
      <c r="HWL86" s="6"/>
      <c r="HWM86" s="6"/>
      <c r="HWN86" s="6"/>
      <c r="HWO86" s="6"/>
      <c r="HWP86" s="6"/>
      <c r="HWQ86" s="6"/>
      <c r="HWR86" s="6"/>
      <c r="HWS86" s="6"/>
      <c r="HWT86" s="6"/>
      <c r="HWU86" s="6"/>
      <c r="HWV86" s="6"/>
      <c r="HWW86" s="6"/>
      <c r="HWX86" s="6"/>
      <c r="HWY86" s="6"/>
      <c r="HWZ86" s="6"/>
      <c r="HXA86" s="6"/>
      <c r="HXB86" s="6"/>
      <c r="HXC86" s="6"/>
      <c r="HXD86" s="6"/>
      <c r="HXE86" s="6"/>
      <c r="HXF86" s="6"/>
      <c r="HXG86" s="6"/>
      <c r="HXH86" s="6"/>
      <c r="HXI86" s="6"/>
      <c r="HXJ86" s="6"/>
      <c r="HXK86" s="6"/>
      <c r="HXL86" s="6"/>
      <c r="HXM86" s="6"/>
      <c r="HXN86" s="6"/>
      <c r="HXO86" s="6"/>
      <c r="HXP86" s="6"/>
      <c r="HXQ86" s="6"/>
      <c r="HXR86" s="6"/>
      <c r="HXS86" s="6"/>
      <c r="HXT86" s="6"/>
      <c r="HXU86" s="6"/>
      <c r="HXV86" s="6"/>
      <c r="HXW86" s="6"/>
      <c r="HXX86" s="6"/>
      <c r="HXY86" s="6"/>
      <c r="HXZ86" s="6"/>
      <c r="HYA86" s="6"/>
      <c r="HYB86" s="6"/>
      <c r="HYC86" s="6"/>
      <c r="HYD86" s="6"/>
      <c r="HYE86" s="6"/>
      <c r="HYF86" s="6"/>
      <c r="HYG86" s="6"/>
      <c r="HYH86" s="6"/>
      <c r="HYI86" s="6"/>
      <c r="HYJ86" s="6"/>
      <c r="HYK86" s="6"/>
      <c r="HYL86" s="6"/>
      <c r="HYM86" s="6"/>
      <c r="HYN86" s="6"/>
      <c r="HYO86" s="6"/>
      <c r="HYP86" s="6"/>
      <c r="HYQ86" s="6"/>
      <c r="HYR86" s="6"/>
      <c r="HYS86" s="6"/>
      <c r="HYT86" s="6"/>
      <c r="HYU86" s="6"/>
      <c r="HYV86" s="6"/>
      <c r="HYW86" s="6"/>
      <c r="HYX86" s="6"/>
      <c r="HYY86" s="6"/>
      <c r="HYZ86" s="6"/>
      <c r="HZA86" s="6"/>
      <c r="HZB86" s="6"/>
      <c r="HZC86" s="6"/>
      <c r="HZD86" s="6"/>
      <c r="HZE86" s="6"/>
      <c r="HZF86" s="6"/>
      <c r="HZG86" s="6"/>
      <c r="HZH86" s="6"/>
      <c r="HZI86" s="6"/>
      <c r="HZJ86" s="6"/>
      <c r="HZK86" s="6"/>
      <c r="HZL86" s="6"/>
      <c r="HZM86" s="6"/>
      <c r="HZN86" s="6"/>
      <c r="HZO86" s="6"/>
      <c r="HZP86" s="6"/>
      <c r="HZQ86" s="6"/>
      <c r="HZR86" s="6"/>
      <c r="HZS86" s="6"/>
      <c r="HZT86" s="6"/>
      <c r="HZU86" s="6"/>
      <c r="HZV86" s="6"/>
      <c r="HZW86" s="6"/>
      <c r="HZX86" s="6"/>
      <c r="HZY86" s="6"/>
      <c r="HZZ86" s="6"/>
      <c r="IAA86" s="6"/>
      <c r="IAB86" s="6"/>
      <c r="IAC86" s="6"/>
      <c r="IAD86" s="6"/>
      <c r="IAE86" s="6"/>
      <c r="IAF86" s="6"/>
      <c r="IAG86" s="6"/>
      <c r="IAH86" s="6"/>
      <c r="IAI86" s="6"/>
      <c r="IAJ86" s="6"/>
      <c r="IAK86" s="6"/>
      <c r="IAL86" s="6"/>
      <c r="IAM86" s="6"/>
      <c r="IAN86" s="6"/>
      <c r="IAO86" s="6"/>
      <c r="IAP86" s="6"/>
      <c r="IAQ86" s="6"/>
      <c r="IAR86" s="6"/>
      <c r="IAS86" s="6"/>
      <c r="IAT86" s="6"/>
      <c r="IAU86" s="6"/>
      <c r="IAV86" s="6"/>
      <c r="IAW86" s="6"/>
      <c r="IAX86" s="6"/>
      <c r="IAY86" s="6"/>
      <c r="IAZ86" s="6"/>
      <c r="IBA86" s="6"/>
      <c r="IBB86" s="6"/>
      <c r="IBC86" s="6"/>
      <c r="IBD86" s="6"/>
      <c r="IBE86" s="6"/>
      <c r="IBF86" s="6"/>
      <c r="IBG86" s="6"/>
      <c r="IBH86" s="6"/>
      <c r="IBI86" s="6"/>
      <c r="IBJ86" s="6"/>
      <c r="IBK86" s="6"/>
      <c r="IBL86" s="6"/>
      <c r="IBM86" s="6"/>
      <c r="IBN86" s="6"/>
      <c r="IBO86" s="6"/>
      <c r="IBP86" s="6"/>
      <c r="IBQ86" s="6"/>
      <c r="IBR86" s="6"/>
      <c r="IBS86" s="6"/>
      <c r="IBT86" s="6"/>
      <c r="IBU86" s="6"/>
      <c r="IBV86" s="6"/>
      <c r="IBW86" s="6"/>
      <c r="IBX86" s="6"/>
      <c r="IBY86" s="6"/>
      <c r="IBZ86" s="6"/>
      <c r="ICA86" s="6"/>
      <c r="ICB86" s="6"/>
      <c r="ICC86" s="6"/>
      <c r="ICD86" s="6"/>
      <c r="ICE86" s="6"/>
      <c r="ICF86" s="6"/>
      <c r="ICG86" s="6"/>
      <c r="ICH86" s="6"/>
      <c r="ICI86" s="6"/>
      <c r="ICJ86" s="6"/>
      <c r="ICK86" s="6"/>
      <c r="ICL86" s="6"/>
      <c r="ICM86" s="6"/>
      <c r="ICN86" s="6"/>
      <c r="ICO86" s="6"/>
      <c r="ICP86" s="6"/>
      <c r="ICQ86" s="6"/>
      <c r="ICR86" s="6"/>
      <c r="ICS86" s="6"/>
      <c r="ICT86" s="6"/>
      <c r="ICU86" s="6"/>
      <c r="ICV86" s="6"/>
      <c r="ICW86" s="6"/>
      <c r="ICX86" s="6"/>
      <c r="ICY86" s="6"/>
      <c r="ICZ86" s="6"/>
      <c r="IDA86" s="6"/>
      <c r="IDB86" s="6"/>
      <c r="IDC86" s="6"/>
      <c r="IDD86" s="6"/>
      <c r="IDE86" s="6"/>
      <c r="IDF86" s="6"/>
      <c r="IDG86" s="6"/>
      <c r="IDH86" s="6"/>
      <c r="IDI86" s="6"/>
      <c r="IDJ86" s="6"/>
      <c r="IDK86" s="6"/>
      <c r="IDL86" s="6"/>
      <c r="IDM86" s="6"/>
      <c r="IDN86" s="6"/>
      <c r="IDO86" s="6"/>
      <c r="IDP86" s="6"/>
      <c r="IDQ86" s="6"/>
      <c r="IDR86" s="6"/>
      <c r="IDS86" s="6"/>
      <c r="IDT86" s="6"/>
      <c r="IDU86" s="6"/>
      <c r="IDV86" s="6"/>
      <c r="IDW86" s="6"/>
      <c r="IDX86" s="6"/>
      <c r="IDY86" s="6"/>
      <c r="IDZ86" s="6"/>
      <c r="IEA86" s="6"/>
      <c r="IEB86" s="6"/>
      <c r="IEC86" s="6"/>
      <c r="IED86" s="6"/>
      <c r="IEE86" s="6"/>
      <c r="IEF86" s="6"/>
      <c r="IEG86" s="6"/>
      <c r="IEH86" s="6"/>
      <c r="IEI86" s="6"/>
      <c r="IEJ86" s="6"/>
      <c r="IEK86" s="6"/>
      <c r="IEL86" s="6"/>
      <c r="IEM86" s="6"/>
      <c r="IEN86" s="6"/>
      <c r="IEO86" s="6"/>
      <c r="IEP86" s="6"/>
      <c r="IEQ86" s="6"/>
      <c r="IER86" s="6"/>
      <c r="IES86" s="6"/>
      <c r="IET86" s="6"/>
      <c r="IEU86" s="6"/>
      <c r="IEV86" s="6"/>
      <c r="IEW86" s="6"/>
      <c r="IEX86" s="6"/>
      <c r="IEY86" s="6"/>
      <c r="IEZ86" s="6"/>
      <c r="IFA86" s="6"/>
      <c r="IFB86" s="6"/>
      <c r="IFC86" s="6"/>
      <c r="IFD86" s="6"/>
      <c r="IFE86" s="6"/>
      <c r="IFF86" s="6"/>
      <c r="IFG86" s="6"/>
      <c r="IFH86" s="6"/>
      <c r="IFI86" s="6"/>
      <c r="IFJ86" s="6"/>
      <c r="IFK86" s="6"/>
      <c r="IFL86" s="6"/>
      <c r="IFM86" s="6"/>
      <c r="IFN86" s="6"/>
      <c r="IFO86" s="6"/>
      <c r="IFP86" s="6"/>
      <c r="IFQ86" s="6"/>
      <c r="IFR86" s="6"/>
      <c r="IFS86" s="6"/>
      <c r="IFT86" s="6"/>
      <c r="IFU86" s="6"/>
      <c r="IFV86" s="6"/>
      <c r="IFW86" s="6"/>
      <c r="IFX86" s="6"/>
      <c r="IFY86" s="6"/>
      <c r="IFZ86" s="6"/>
      <c r="IGA86" s="6"/>
      <c r="IGB86" s="6"/>
      <c r="IGC86" s="6"/>
      <c r="IGD86" s="6"/>
      <c r="IGE86" s="6"/>
      <c r="IGF86" s="6"/>
      <c r="IGG86" s="6"/>
      <c r="IGH86" s="6"/>
      <c r="IGI86" s="6"/>
      <c r="IGJ86" s="6"/>
      <c r="IGK86" s="6"/>
      <c r="IGL86" s="6"/>
      <c r="IGM86" s="6"/>
      <c r="IGN86" s="6"/>
      <c r="IGO86" s="6"/>
      <c r="IGP86" s="6"/>
      <c r="IGQ86" s="6"/>
      <c r="IGR86" s="6"/>
      <c r="IGS86" s="6"/>
      <c r="IGT86" s="6"/>
      <c r="IGU86" s="6"/>
      <c r="IGV86" s="6"/>
      <c r="IGW86" s="6"/>
      <c r="IGX86" s="6"/>
      <c r="IGY86" s="6"/>
      <c r="IGZ86" s="6"/>
      <c r="IHA86" s="6"/>
      <c r="IHB86" s="6"/>
      <c r="IHC86" s="6"/>
      <c r="IHD86" s="6"/>
      <c r="IHE86" s="6"/>
      <c r="IHF86" s="6"/>
      <c r="IHG86" s="6"/>
      <c r="IHH86" s="6"/>
      <c r="IHI86" s="6"/>
      <c r="IHJ86" s="6"/>
      <c r="IHK86" s="6"/>
      <c r="IHL86" s="6"/>
      <c r="IHM86" s="6"/>
      <c r="IHN86" s="6"/>
      <c r="IHO86" s="6"/>
      <c r="IHP86" s="6"/>
      <c r="IHQ86" s="6"/>
      <c r="IHR86" s="6"/>
      <c r="IHS86" s="6"/>
      <c r="IHT86" s="6"/>
      <c r="IHU86" s="6"/>
      <c r="IHV86" s="6"/>
      <c r="IHW86" s="6"/>
      <c r="IHX86" s="6"/>
      <c r="IHY86" s="6"/>
      <c r="IHZ86" s="6"/>
      <c r="IIA86" s="6"/>
      <c r="IIB86" s="6"/>
      <c r="IIC86" s="6"/>
      <c r="IID86" s="6"/>
      <c r="IIE86" s="6"/>
      <c r="IIF86" s="6"/>
      <c r="IIG86" s="6"/>
      <c r="IIH86" s="6"/>
      <c r="III86" s="6"/>
      <c r="IIJ86" s="6"/>
      <c r="IIK86" s="6"/>
      <c r="IIL86" s="6"/>
      <c r="IIM86" s="6"/>
      <c r="IIN86" s="6"/>
      <c r="IIO86" s="6"/>
      <c r="IIP86" s="6"/>
      <c r="IIQ86" s="6"/>
      <c r="IIR86" s="6"/>
      <c r="IIS86" s="6"/>
      <c r="IIT86" s="6"/>
      <c r="IIU86" s="6"/>
      <c r="IIV86" s="6"/>
      <c r="IIW86" s="6"/>
      <c r="IIX86" s="6"/>
      <c r="IIY86" s="6"/>
      <c r="IIZ86" s="6"/>
      <c r="IJA86" s="6"/>
      <c r="IJB86" s="6"/>
      <c r="IJC86" s="6"/>
      <c r="IJD86" s="6"/>
      <c r="IJE86" s="6"/>
      <c r="IJF86" s="6"/>
      <c r="IJG86" s="6"/>
      <c r="IJH86" s="6"/>
      <c r="IJI86" s="6"/>
      <c r="IJJ86" s="6"/>
      <c r="IJK86" s="6"/>
      <c r="IJL86" s="6"/>
      <c r="IJM86" s="6"/>
      <c r="IJN86" s="6"/>
      <c r="IJO86" s="6"/>
      <c r="IJP86" s="6"/>
      <c r="IJQ86" s="6"/>
      <c r="IJR86" s="6"/>
      <c r="IJS86" s="6"/>
      <c r="IJT86" s="6"/>
      <c r="IJU86" s="6"/>
      <c r="IJV86" s="6"/>
      <c r="IJW86" s="6"/>
      <c r="IJX86" s="6"/>
      <c r="IJY86" s="6"/>
      <c r="IJZ86" s="6"/>
      <c r="IKA86" s="6"/>
      <c r="IKB86" s="6"/>
      <c r="IKC86" s="6"/>
      <c r="IKD86" s="6"/>
      <c r="IKE86" s="6"/>
      <c r="IKF86" s="6"/>
      <c r="IKG86" s="6"/>
      <c r="IKH86" s="6"/>
      <c r="IKI86" s="6"/>
      <c r="IKJ86" s="6"/>
      <c r="IKK86" s="6"/>
      <c r="IKL86" s="6"/>
      <c r="IKM86" s="6"/>
      <c r="IKN86" s="6"/>
      <c r="IKO86" s="6"/>
      <c r="IKP86" s="6"/>
      <c r="IKQ86" s="6"/>
      <c r="IKR86" s="6"/>
      <c r="IKS86" s="6"/>
      <c r="IKT86" s="6"/>
      <c r="IKU86" s="6"/>
      <c r="IKV86" s="6"/>
      <c r="IKW86" s="6"/>
      <c r="IKX86" s="6"/>
      <c r="IKY86" s="6"/>
      <c r="IKZ86" s="6"/>
      <c r="ILA86" s="6"/>
      <c r="ILB86" s="6"/>
      <c r="ILC86" s="6"/>
      <c r="ILD86" s="6"/>
      <c r="ILE86" s="6"/>
      <c r="ILF86" s="6"/>
      <c r="ILG86" s="6"/>
      <c r="ILH86" s="6"/>
      <c r="ILI86" s="6"/>
      <c r="ILJ86" s="6"/>
      <c r="ILK86" s="6"/>
      <c r="ILL86" s="6"/>
      <c r="ILM86" s="6"/>
      <c r="ILN86" s="6"/>
      <c r="ILO86" s="6"/>
      <c r="ILP86" s="6"/>
      <c r="ILQ86" s="6"/>
      <c r="ILR86" s="6"/>
      <c r="ILS86" s="6"/>
      <c r="ILT86" s="6"/>
      <c r="ILU86" s="6"/>
      <c r="ILV86" s="6"/>
      <c r="ILW86" s="6"/>
      <c r="ILX86" s="6"/>
      <c r="ILY86" s="6"/>
      <c r="ILZ86" s="6"/>
      <c r="IMA86" s="6"/>
      <c r="IMB86" s="6"/>
      <c r="IMC86" s="6"/>
      <c r="IMD86" s="6"/>
      <c r="IME86" s="6"/>
      <c r="IMF86" s="6"/>
      <c r="IMG86" s="6"/>
      <c r="IMH86" s="6"/>
      <c r="IMI86" s="6"/>
      <c r="IMJ86" s="6"/>
      <c r="IMK86" s="6"/>
      <c r="IML86" s="6"/>
      <c r="IMM86" s="6"/>
      <c r="IMN86" s="6"/>
      <c r="IMO86" s="6"/>
      <c r="IMP86" s="6"/>
      <c r="IMQ86" s="6"/>
      <c r="IMR86" s="6"/>
      <c r="IMS86" s="6"/>
      <c r="IMT86" s="6"/>
      <c r="IMU86" s="6"/>
      <c r="IMV86" s="6"/>
      <c r="IMW86" s="6"/>
      <c r="IMX86" s="6"/>
      <c r="IMY86" s="6"/>
      <c r="IMZ86" s="6"/>
      <c r="INA86" s="6"/>
      <c r="INB86" s="6"/>
      <c r="INC86" s="6"/>
      <c r="IND86" s="6"/>
      <c r="INE86" s="6"/>
      <c r="INF86" s="6"/>
      <c r="ING86" s="6"/>
      <c r="INH86" s="6"/>
      <c r="INI86" s="6"/>
      <c r="INJ86" s="6"/>
      <c r="INK86" s="6"/>
      <c r="INL86" s="6"/>
      <c r="INM86" s="6"/>
      <c r="INN86" s="6"/>
      <c r="INO86" s="6"/>
      <c r="INP86" s="6"/>
      <c r="INQ86" s="6"/>
      <c r="INR86" s="6"/>
      <c r="INS86" s="6"/>
      <c r="INT86" s="6"/>
      <c r="INU86" s="6"/>
      <c r="INV86" s="6"/>
      <c r="INW86" s="6"/>
      <c r="INX86" s="6"/>
      <c r="INY86" s="6"/>
      <c r="INZ86" s="6"/>
      <c r="IOA86" s="6"/>
      <c r="IOB86" s="6"/>
      <c r="IOC86" s="6"/>
      <c r="IOD86" s="6"/>
      <c r="IOE86" s="6"/>
      <c r="IOF86" s="6"/>
      <c r="IOG86" s="6"/>
      <c r="IOH86" s="6"/>
      <c r="IOI86" s="6"/>
      <c r="IOJ86" s="6"/>
      <c r="IOK86" s="6"/>
      <c r="IOL86" s="6"/>
      <c r="IOM86" s="6"/>
      <c r="ION86" s="6"/>
      <c r="IOO86" s="6"/>
      <c r="IOP86" s="6"/>
      <c r="IOQ86" s="6"/>
      <c r="IOR86" s="6"/>
      <c r="IOS86" s="6"/>
      <c r="IOT86" s="6"/>
      <c r="IOU86" s="6"/>
      <c r="IOV86" s="6"/>
      <c r="IOW86" s="6"/>
      <c r="IOX86" s="6"/>
      <c r="IOY86" s="6"/>
      <c r="IOZ86" s="6"/>
      <c r="IPA86" s="6"/>
      <c r="IPB86" s="6"/>
      <c r="IPC86" s="6"/>
      <c r="IPD86" s="6"/>
      <c r="IPE86" s="6"/>
      <c r="IPF86" s="6"/>
      <c r="IPG86" s="6"/>
      <c r="IPH86" s="6"/>
      <c r="IPI86" s="6"/>
      <c r="IPJ86" s="6"/>
      <c r="IPK86" s="6"/>
      <c r="IPL86" s="6"/>
      <c r="IPM86" s="6"/>
      <c r="IPN86" s="6"/>
      <c r="IPO86" s="6"/>
      <c r="IPP86" s="6"/>
      <c r="IPQ86" s="6"/>
      <c r="IPR86" s="6"/>
      <c r="IPS86" s="6"/>
      <c r="IPT86" s="6"/>
      <c r="IPU86" s="6"/>
      <c r="IPV86" s="6"/>
      <c r="IPW86" s="6"/>
      <c r="IPX86" s="6"/>
      <c r="IPY86" s="6"/>
      <c r="IPZ86" s="6"/>
      <c r="IQA86" s="6"/>
      <c r="IQB86" s="6"/>
      <c r="IQC86" s="6"/>
      <c r="IQD86" s="6"/>
      <c r="IQE86" s="6"/>
      <c r="IQF86" s="6"/>
      <c r="IQG86" s="6"/>
      <c r="IQH86" s="6"/>
      <c r="IQI86" s="6"/>
      <c r="IQJ86" s="6"/>
      <c r="IQK86" s="6"/>
      <c r="IQL86" s="6"/>
      <c r="IQM86" s="6"/>
      <c r="IQN86" s="6"/>
      <c r="IQO86" s="6"/>
      <c r="IQP86" s="6"/>
      <c r="IQQ86" s="6"/>
      <c r="IQR86" s="6"/>
      <c r="IQS86" s="6"/>
      <c r="IQT86" s="6"/>
      <c r="IQU86" s="6"/>
      <c r="IQV86" s="6"/>
      <c r="IQW86" s="6"/>
      <c r="IQX86" s="6"/>
      <c r="IQY86" s="6"/>
      <c r="IQZ86" s="6"/>
      <c r="IRA86" s="6"/>
      <c r="IRB86" s="6"/>
      <c r="IRC86" s="6"/>
      <c r="IRD86" s="6"/>
      <c r="IRE86" s="6"/>
      <c r="IRF86" s="6"/>
      <c r="IRG86" s="6"/>
      <c r="IRH86" s="6"/>
      <c r="IRI86" s="6"/>
      <c r="IRJ86" s="6"/>
      <c r="IRK86" s="6"/>
      <c r="IRL86" s="6"/>
      <c r="IRM86" s="6"/>
      <c r="IRN86" s="6"/>
      <c r="IRO86" s="6"/>
      <c r="IRP86" s="6"/>
      <c r="IRQ86" s="6"/>
      <c r="IRR86" s="6"/>
      <c r="IRS86" s="6"/>
      <c r="IRT86" s="6"/>
      <c r="IRU86" s="6"/>
      <c r="IRV86" s="6"/>
      <c r="IRW86" s="6"/>
      <c r="IRX86" s="6"/>
      <c r="IRY86" s="6"/>
      <c r="IRZ86" s="6"/>
      <c r="ISA86" s="6"/>
      <c r="ISB86" s="6"/>
      <c r="ISC86" s="6"/>
      <c r="ISD86" s="6"/>
      <c r="ISE86" s="6"/>
      <c r="ISF86" s="6"/>
      <c r="ISG86" s="6"/>
      <c r="ISH86" s="6"/>
      <c r="ISI86" s="6"/>
      <c r="ISJ86" s="6"/>
      <c r="ISK86" s="6"/>
      <c r="ISL86" s="6"/>
      <c r="ISM86" s="6"/>
      <c r="ISN86" s="6"/>
      <c r="ISO86" s="6"/>
      <c r="ISP86" s="6"/>
      <c r="ISQ86" s="6"/>
      <c r="ISR86" s="6"/>
      <c r="ISS86" s="6"/>
      <c r="IST86" s="6"/>
      <c r="ISU86" s="6"/>
      <c r="ISV86" s="6"/>
      <c r="ISW86" s="6"/>
      <c r="ISX86" s="6"/>
      <c r="ISY86" s="6"/>
      <c r="ISZ86" s="6"/>
      <c r="ITA86" s="6"/>
      <c r="ITB86" s="6"/>
      <c r="ITC86" s="6"/>
      <c r="ITD86" s="6"/>
      <c r="ITE86" s="6"/>
      <c r="ITF86" s="6"/>
      <c r="ITG86" s="6"/>
      <c r="ITH86" s="6"/>
      <c r="ITI86" s="6"/>
      <c r="ITJ86" s="6"/>
      <c r="ITK86" s="6"/>
      <c r="ITL86" s="6"/>
      <c r="ITM86" s="6"/>
      <c r="ITN86" s="6"/>
      <c r="ITO86" s="6"/>
      <c r="ITP86" s="6"/>
      <c r="ITQ86" s="6"/>
      <c r="ITR86" s="6"/>
      <c r="ITS86" s="6"/>
      <c r="ITT86" s="6"/>
      <c r="ITU86" s="6"/>
      <c r="ITV86" s="6"/>
      <c r="ITW86" s="6"/>
      <c r="ITX86" s="6"/>
      <c r="ITY86" s="6"/>
      <c r="ITZ86" s="6"/>
      <c r="IUA86" s="6"/>
      <c r="IUB86" s="6"/>
      <c r="IUC86" s="6"/>
      <c r="IUD86" s="6"/>
      <c r="IUE86" s="6"/>
      <c r="IUF86" s="6"/>
      <c r="IUG86" s="6"/>
      <c r="IUH86" s="6"/>
      <c r="IUI86" s="6"/>
      <c r="IUJ86" s="6"/>
      <c r="IUK86" s="6"/>
      <c r="IUL86" s="6"/>
      <c r="IUM86" s="6"/>
      <c r="IUN86" s="6"/>
      <c r="IUO86" s="6"/>
      <c r="IUP86" s="6"/>
      <c r="IUQ86" s="6"/>
      <c r="IUR86" s="6"/>
      <c r="IUS86" s="6"/>
      <c r="IUT86" s="6"/>
      <c r="IUU86" s="6"/>
      <c r="IUV86" s="6"/>
      <c r="IUW86" s="6"/>
      <c r="IUX86" s="6"/>
      <c r="IUY86" s="6"/>
      <c r="IUZ86" s="6"/>
      <c r="IVA86" s="6"/>
      <c r="IVB86" s="6"/>
      <c r="IVC86" s="6"/>
      <c r="IVD86" s="6"/>
      <c r="IVE86" s="6"/>
      <c r="IVF86" s="6"/>
      <c r="IVG86" s="6"/>
      <c r="IVH86" s="6"/>
      <c r="IVI86" s="6"/>
      <c r="IVJ86" s="6"/>
      <c r="IVK86" s="6"/>
      <c r="IVL86" s="6"/>
      <c r="IVM86" s="6"/>
      <c r="IVN86" s="6"/>
      <c r="IVO86" s="6"/>
      <c r="IVP86" s="6"/>
      <c r="IVQ86" s="6"/>
      <c r="IVR86" s="6"/>
      <c r="IVS86" s="6"/>
      <c r="IVT86" s="6"/>
      <c r="IVU86" s="6"/>
      <c r="IVV86" s="6"/>
      <c r="IVW86" s="6"/>
      <c r="IVX86" s="6"/>
      <c r="IVY86" s="6"/>
      <c r="IVZ86" s="6"/>
      <c r="IWA86" s="6"/>
      <c r="IWB86" s="6"/>
      <c r="IWC86" s="6"/>
      <c r="IWD86" s="6"/>
      <c r="IWE86" s="6"/>
      <c r="IWF86" s="6"/>
      <c r="IWG86" s="6"/>
      <c r="IWH86" s="6"/>
      <c r="IWI86" s="6"/>
      <c r="IWJ86" s="6"/>
      <c r="IWK86" s="6"/>
      <c r="IWL86" s="6"/>
      <c r="IWM86" s="6"/>
      <c r="IWN86" s="6"/>
      <c r="IWO86" s="6"/>
      <c r="IWP86" s="6"/>
      <c r="IWQ86" s="6"/>
      <c r="IWR86" s="6"/>
      <c r="IWS86" s="6"/>
      <c r="IWT86" s="6"/>
      <c r="IWU86" s="6"/>
      <c r="IWV86" s="6"/>
      <c r="IWW86" s="6"/>
      <c r="IWX86" s="6"/>
      <c r="IWY86" s="6"/>
      <c r="IWZ86" s="6"/>
      <c r="IXA86" s="6"/>
      <c r="IXB86" s="6"/>
      <c r="IXC86" s="6"/>
      <c r="IXD86" s="6"/>
      <c r="IXE86" s="6"/>
      <c r="IXF86" s="6"/>
      <c r="IXG86" s="6"/>
      <c r="IXH86" s="6"/>
      <c r="IXI86" s="6"/>
      <c r="IXJ86" s="6"/>
      <c r="IXK86" s="6"/>
      <c r="IXL86" s="6"/>
      <c r="IXM86" s="6"/>
      <c r="IXN86" s="6"/>
      <c r="IXO86" s="6"/>
      <c r="IXP86" s="6"/>
      <c r="IXQ86" s="6"/>
      <c r="IXR86" s="6"/>
      <c r="IXS86" s="6"/>
      <c r="IXT86" s="6"/>
      <c r="IXU86" s="6"/>
      <c r="IXV86" s="6"/>
      <c r="IXW86" s="6"/>
      <c r="IXX86" s="6"/>
      <c r="IXY86" s="6"/>
      <c r="IXZ86" s="6"/>
      <c r="IYA86" s="6"/>
      <c r="IYB86" s="6"/>
      <c r="IYC86" s="6"/>
      <c r="IYD86" s="6"/>
      <c r="IYE86" s="6"/>
      <c r="IYF86" s="6"/>
      <c r="IYG86" s="6"/>
      <c r="IYH86" s="6"/>
      <c r="IYI86" s="6"/>
      <c r="IYJ86" s="6"/>
      <c r="IYK86" s="6"/>
      <c r="IYL86" s="6"/>
      <c r="IYM86" s="6"/>
      <c r="IYN86" s="6"/>
      <c r="IYO86" s="6"/>
      <c r="IYP86" s="6"/>
      <c r="IYQ86" s="6"/>
      <c r="IYR86" s="6"/>
      <c r="IYS86" s="6"/>
      <c r="IYT86" s="6"/>
      <c r="IYU86" s="6"/>
      <c r="IYV86" s="6"/>
      <c r="IYW86" s="6"/>
      <c r="IYX86" s="6"/>
      <c r="IYY86" s="6"/>
      <c r="IYZ86" s="6"/>
      <c r="IZA86" s="6"/>
      <c r="IZB86" s="6"/>
      <c r="IZC86" s="6"/>
      <c r="IZD86" s="6"/>
      <c r="IZE86" s="6"/>
      <c r="IZF86" s="6"/>
      <c r="IZG86" s="6"/>
      <c r="IZH86" s="6"/>
      <c r="IZI86" s="6"/>
      <c r="IZJ86" s="6"/>
      <c r="IZK86" s="6"/>
      <c r="IZL86" s="6"/>
      <c r="IZM86" s="6"/>
      <c r="IZN86" s="6"/>
      <c r="IZO86" s="6"/>
      <c r="IZP86" s="6"/>
      <c r="IZQ86" s="6"/>
      <c r="IZR86" s="6"/>
      <c r="IZS86" s="6"/>
      <c r="IZT86" s="6"/>
      <c r="IZU86" s="6"/>
      <c r="IZV86" s="6"/>
      <c r="IZW86" s="6"/>
      <c r="IZX86" s="6"/>
      <c r="IZY86" s="6"/>
      <c r="IZZ86" s="6"/>
      <c r="JAA86" s="6"/>
      <c r="JAB86" s="6"/>
      <c r="JAC86" s="6"/>
      <c r="JAD86" s="6"/>
      <c r="JAE86" s="6"/>
      <c r="JAF86" s="6"/>
      <c r="JAG86" s="6"/>
      <c r="JAH86" s="6"/>
      <c r="JAI86" s="6"/>
      <c r="JAJ86" s="6"/>
      <c r="JAK86" s="6"/>
      <c r="JAL86" s="6"/>
      <c r="JAM86" s="6"/>
      <c r="JAN86" s="6"/>
      <c r="JAO86" s="6"/>
      <c r="JAP86" s="6"/>
      <c r="JAQ86" s="6"/>
      <c r="JAR86" s="6"/>
      <c r="JAS86" s="6"/>
      <c r="JAT86" s="6"/>
      <c r="JAU86" s="6"/>
      <c r="JAV86" s="6"/>
      <c r="JAW86" s="6"/>
      <c r="JAX86" s="6"/>
      <c r="JAY86" s="6"/>
      <c r="JAZ86" s="6"/>
      <c r="JBA86" s="6"/>
      <c r="JBB86" s="6"/>
      <c r="JBC86" s="6"/>
      <c r="JBD86" s="6"/>
      <c r="JBE86" s="6"/>
      <c r="JBF86" s="6"/>
      <c r="JBG86" s="6"/>
      <c r="JBH86" s="6"/>
      <c r="JBI86" s="6"/>
      <c r="JBJ86" s="6"/>
      <c r="JBK86" s="6"/>
      <c r="JBL86" s="6"/>
      <c r="JBM86" s="6"/>
      <c r="JBN86" s="6"/>
      <c r="JBO86" s="6"/>
      <c r="JBP86" s="6"/>
      <c r="JBQ86" s="6"/>
      <c r="JBR86" s="6"/>
      <c r="JBS86" s="6"/>
      <c r="JBT86" s="6"/>
      <c r="JBU86" s="6"/>
      <c r="JBV86" s="6"/>
      <c r="JBW86" s="6"/>
      <c r="JBX86" s="6"/>
      <c r="JBY86" s="6"/>
      <c r="JBZ86" s="6"/>
      <c r="JCA86" s="6"/>
      <c r="JCB86" s="6"/>
      <c r="JCC86" s="6"/>
      <c r="JCD86" s="6"/>
      <c r="JCE86" s="6"/>
      <c r="JCF86" s="6"/>
      <c r="JCG86" s="6"/>
      <c r="JCH86" s="6"/>
      <c r="JCI86" s="6"/>
      <c r="JCJ86" s="6"/>
      <c r="JCK86" s="6"/>
      <c r="JCL86" s="6"/>
      <c r="JCM86" s="6"/>
      <c r="JCN86" s="6"/>
      <c r="JCO86" s="6"/>
      <c r="JCP86" s="6"/>
      <c r="JCQ86" s="6"/>
      <c r="JCR86" s="6"/>
      <c r="JCS86" s="6"/>
      <c r="JCT86" s="6"/>
      <c r="JCU86" s="6"/>
      <c r="JCV86" s="6"/>
      <c r="JCW86" s="6"/>
      <c r="JCX86" s="6"/>
      <c r="JCY86" s="6"/>
      <c r="JCZ86" s="6"/>
      <c r="JDA86" s="6"/>
      <c r="JDB86" s="6"/>
      <c r="JDC86" s="6"/>
      <c r="JDD86" s="6"/>
      <c r="JDE86" s="6"/>
      <c r="JDF86" s="6"/>
      <c r="JDG86" s="6"/>
      <c r="JDH86" s="6"/>
      <c r="JDI86" s="6"/>
      <c r="JDJ86" s="6"/>
      <c r="JDK86" s="6"/>
      <c r="JDL86" s="6"/>
      <c r="JDM86" s="6"/>
      <c r="JDN86" s="6"/>
      <c r="JDO86" s="6"/>
      <c r="JDP86" s="6"/>
      <c r="JDQ86" s="6"/>
      <c r="JDR86" s="6"/>
      <c r="JDS86" s="6"/>
      <c r="JDT86" s="6"/>
      <c r="JDU86" s="6"/>
      <c r="JDV86" s="6"/>
      <c r="JDW86" s="6"/>
      <c r="JDX86" s="6"/>
      <c r="JDY86" s="6"/>
      <c r="JDZ86" s="6"/>
      <c r="JEA86" s="6"/>
      <c r="JEB86" s="6"/>
      <c r="JEC86" s="6"/>
      <c r="JED86" s="6"/>
      <c r="JEE86" s="6"/>
      <c r="JEF86" s="6"/>
      <c r="JEG86" s="6"/>
      <c r="JEH86" s="6"/>
      <c r="JEI86" s="6"/>
      <c r="JEJ86" s="6"/>
      <c r="JEK86" s="6"/>
      <c r="JEL86" s="6"/>
      <c r="JEM86" s="6"/>
      <c r="JEN86" s="6"/>
      <c r="JEO86" s="6"/>
      <c r="JEP86" s="6"/>
      <c r="JEQ86" s="6"/>
      <c r="JER86" s="6"/>
      <c r="JES86" s="6"/>
      <c r="JET86" s="6"/>
      <c r="JEU86" s="6"/>
      <c r="JEV86" s="6"/>
      <c r="JEW86" s="6"/>
      <c r="JEX86" s="6"/>
      <c r="JEY86" s="6"/>
      <c r="JEZ86" s="6"/>
      <c r="JFA86" s="6"/>
      <c r="JFB86" s="6"/>
      <c r="JFC86" s="6"/>
      <c r="JFD86" s="6"/>
      <c r="JFE86" s="6"/>
      <c r="JFF86" s="6"/>
      <c r="JFG86" s="6"/>
      <c r="JFH86" s="6"/>
      <c r="JFI86" s="6"/>
      <c r="JFJ86" s="6"/>
      <c r="JFK86" s="6"/>
      <c r="JFL86" s="6"/>
      <c r="JFM86" s="6"/>
      <c r="JFN86" s="6"/>
      <c r="JFO86" s="6"/>
      <c r="JFP86" s="6"/>
      <c r="JFQ86" s="6"/>
      <c r="JFR86" s="6"/>
      <c r="JFS86" s="6"/>
      <c r="JFT86" s="6"/>
      <c r="JFU86" s="6"/>
      <c r="JFV86" s="6"/>
      <c r="JFW86" s="6"/>
      <c r="JFX86" s="6"/>
      <c r="JFY86" s="6"/>
      <c r="JFZ86" s="6"/>
      <c r="JGA86" s="6"/>
      <c r="JGB86" s="6"/>
      <c r="JGC86" s="6"/>
      <c r="JGD86" s="6"/>
      <c r="JGE86" s="6"/>
      <c r="JGF86" s="6"/>
      <c r="JGG86" s="6"/>
      <c r="JGH86" s="6"/>
      <c r="JGI86" s="6"/>
      <c r="JGJ86" s="6"/>
      <c r="JGK86" s="6"/>
      <c r="JGL86" s="6"/>
      <c r="JGM86" s="6"/>
      <c r="JGN86" s="6"/>
      <c r="JGO86" s="6"/>
      <c r="JGP86" s="6"/>
      <c r="JGQ86" s="6"/>
      <c r="JGR86" s="6"/>
      <c r="JGS86" s="6"/>
      <c r="JGT86" s="6"/>
      <c r="JGU86" s="6"/>
      <c r="JGV86" s="6"/>
      <c r="JGW86" s="6"/>
      <c r="JGX86" s="6"/>
      <c r="JGY86" s="6"/>
      <c r="JGZ86" s="6"/>
      <c r="JHA86" s="6"/>
      <c r="JHB86" s="6"/>
      <c r="JHC86" s="6"/>
      <c r="JHD86" s="6"/>
      <c r="JHE86" s="6"/>
      <c r="JHF86" s="6"/>
      <c r="JHG86" s="6"/>
      <c r="JHH86" s="6"/>
      <c r="JHI86" s="6"/>
      <c r="JHJ86" s="6"/>
      <c r="JHK86" s="6"/>
      <c r="JHL86" s="6"/>
      <c r="JHM86" s="6"/>
      <c r="JHN86" s="6"/>
      <c r="JHO86" s="6"/>
      <c r="JHP86" s="6"/>
      <c r="JHQ86" s="6"/>
      <c r="JHR86" s="6"/>
      <c r="JHS86" s="6"/>
      <c r="JHT86" s="6"/>
      <c r="JHU86" s="6"/>
      <c r="JHV86" s="6"/>
      <c r="JHW86" s="6"/>
      <c r="JHX86" s="6"/>
      <c r="JHY86" s="6"/>
      <c r="JHZ86" s="6"/>
      <c r="JIA86" s="6"/>
      <c r="JIB86" s="6"/>
      <c r="JIC86" s="6"/>
      <c r="JID86" s="6"/>
      <c r="JIE86" s="6"/>
      <c r="JIF86" s="6"/>
      <c r="JIG86" s="6"/>
      <c r="JIH86" s="6"/>
      <c r="JII86" s="6"/>
      <c r="JIJ86" s="6"/>
      <c r="JIK86" s="6"/>
      <c r="JIL86" s="6"/>
      <c r="JIM86" s="6"/>
      <c r="JIN86" s="6"/>
      <c r="JIO86" s="6"/>
      <c r="JIP86" s="6"/>
      <c r="JIQ86" s="6"/>
      <c r="JIR86" s="6"/>
      <c r="JIS86" s="6"/>
      <c r="JIT86" s="6"/>
      <c r="JIU86" s="6"/>
      <c r="JIV86" s="6"/>
      <c r="JIW86" s="6"/>
      <c r="JIX86" s="6"/>
      <c r="JIY86" s="6"/>
      <c r="JIZ86" s="6"/>
      <c r="JJA86" s="6"/>
      <c r="JJB86" s="6"/>
      <c r="JJC86" s="6"/>
      <c r="JJD86" s="6"/>
      <c r="JJE86" s="6"/>
      <c r="JJF86" s="6"/>
      <c r="JJG86" s="6"/>
      <c r="JJH86" s="6"/>
      <c r="JJI86" s="6"/>
      <c r="JJJ86" s="6"/>
      <c r="JJK86" s="6"/>
      <c r="JJL86" s="6"/>
      <c r="JJM86" s="6"/>
      <c r="JJN86" s="6"/>
      <c r="JJO86" s="6"/>
      <c r="JJP86" s="6"/>
      <c r="JJQ86" s="6"/>
      <c r="JJR86" s="6"/>
      <c r="JJS86" s="6"/>
      <c r="JJT86" s="6"/>
      <c r="JJU86" s="6"/>
      <c r="JJV86" s="6"/>
      <c r="JJW86" s="6"/>
      <c r="JJX86" s="6"/>
      <c r="JJY86" s="6"/>
      <c r="JJZ86" s="6"/>
      <c r="JKA86" s="6"/>
      <c r="JKB86" s="6"/>
      <c r="JKC86" s="6"/>
      <c r="JKD86" s="6"/>
      <c r="JKE86" s="6"/>
      <c r="JKF86" s="6"/>
      <c r="JKG86" s="6"/>
      <c r="JKH86" s="6"/>
      <c r="JKI86" s="6"/>
      <c r="JKJ86" s="6"/>
      <c r="JKK86" s="6"/>
      <c r="JKL86" s="6"/>
      <c r="JKM86" s="6"/>
      <c r="JKN86" s="6"/>
      <c r="JKO86" s="6"/>
      <c r="JKP86" s="6"/>
      <c r="JKQ86" s="6"/>
      <c r="JKR86" s="6"/>
      <c r="JKS86" s="6"/>
      <c r="JKT86" s="6"/>
      <c r="JKU86" s="6"/>
      <c r="JKV86" s="6"/>
      <c r="JKW86" s="6"/>
      <c r="JKX86" s="6"/>
      <c r="JKY86" s="6"/>
      <c r="JKZ86" s="6"/>
      <c r="JLA86" s="6"/>
      <c r="JLB86" s="6"/>
      <c r="JLC86" s="6"/>
      <c r="JLD86" s="6"/>
      <c r="JLE86" s="6"/>
      <c r="JLF86" s="6"/>
      <c r="JLG86" s="6"/>
      <c r="JLH86" s="6"/>
      <c r="JLI86" s="6"/>
      <c r="JLJ86" s="6"/>
      <c r="JLK86" s="6"/>
      <c r="JLL86" s="6"/>
      <c r="JLM86" s="6"/>
      <c r="JLN86" s="6"/>
      <c r="JLO86" s="6"/>
      <c r="JLP86" s="6"/>
      <c r="JLQ86" s="6"/>
      <c r="JLR86" s="6"/>
      <c r="JLS86" s="6"/>
      <c r="JLT86" s="6"/>
      <c r="JLU86" s="6"/>
      <c r="JLV86" s="6"/>
      <c r="JLW86" s="6"/>
      <c r="JLX86" s="6"/>
      <c r="JLY86" s="6"/>
      <c r="JLZ86" s="6"/>
      <c r="JMA86" s="6"/>
      <c r="JMB86" s="6"/>
      <c r="JMC86" s="6"/>
      <c r="JMD86" s="6"/>
      <c r="JME86" s="6"/>
      <c r="JMF86" s="6"/>
      <c r="JMG86" s="6"/>
      <c r="JMH86" s="6"/>
      <c r="JMI86" s="6"/>
      <c r="JMJ86" s="6"/>
      <c r="JMK86" s="6"/>
      <c r="JML86" s="6"/>
      <c r="JMM86" s="6"/>
      <c r="JMN86" s="6"/>
      <c r="JMO86" s="6"/>
      <c r="JMP86" s="6"/>
      <c r="JMQ86" s="6"/>
      <c r="JMR86" s="6"/>
      <c r="JMS86" s="6"/>
      <c r="JMT86" s="6"/>
      <c r="JMU86" s="6"/>
      <c r="JMV86" s="6"/>
      <c r="JMW86" s="6"/>
      <c r="JMX86" s="6"/>
      <c r="JMY86" s="6"/>
      <c r="JMZ86" s="6"/>
      <c r="JNA86" s="6"/>
      <c r="JNB86" s="6"/>
      <c r="JNC86" s="6"/>
      <c r="JND86" s="6"/>
      <c r="JNE86" s="6"/>
      <c r="JNF86" s="6"/>
      <c r="JNG86" s="6"/>
      <c r="JNH86" s="6"/>
      <c r="JNI86" s="6"/>
      <c r="JNJ86" s="6"/>
      <c r="JNK86" s="6"/>
      <c r="JNL86" s="6"/>
      <c r="JNM86" s="6"/>
      <c r="JNN86" s="6"/>
      <c r="JNO86" s="6"/>
      <c r="JNP86" s="6"/>
      <c r="JNQ86" s="6"/>
      <c r="JNR86" s="6"/>
      <c r="JNS86" s="6"/>
      <c r="JNT86" s="6"/>
      <c r="JNU86" s="6"/>
      <c r="JNV86" s="6"/>
      <c r="JNW86" s="6"/>
      <c r="JNX86" s="6"/>
      <c r="JNY86" s="6"/>
      <c r="JNZ86" s="6"/>
      <c r="JOA86" s="6"/>
      <c r="JOB86" s="6"/>
      <c r="JOC86" s="6"/>
      <c r="JOD86" s="6"/>
      <c r="JOE86" s="6"/>
      <c r="JOF86" s="6"/>
      <c r="JOG86" s="6"/>
      <c r="JOH86" s="6"/>
      <c r="JOI86" s="6"/>
      <c r="JOJ86" s="6"/>
      <c r="JOK86" s="6"/>
      <c r="JOL86" s="6"/>
      <c r="JOM86" s="6"/>
      <c r="JON86" s="6"/>
      <c r="JOO86" s="6"/>
      <c r="JOP86" s="6"/>
      <c r="JOQ86" s="6"/>
      <c r="JOR86" s="6"/>
      <c r="JOS86" s="6"/>
      <c r="JOT86" s="6"/>
      <c r="JOU86" s="6"/>
      <c r="JOV86" s="6"/>
      <c r="JOW86" s="6"/>
      <c r="JOX86" s="6"/>
      <c r="JOY86" s="6"/>
      <c r="JOZ86" s="6"/>
      <c r="JPA86" s="6"/>
      <c r="JPB86" s="6"/>
      <c r="JPC86" s="6"/>
      <c r="JPD86" s="6"/>
      <c r="JPE86" s="6"/>
      <c r="JPF86" s="6"/>
      <c r="JPG86" s="6"/>
      <c r="JPH86" s="6"/>
      <c r="JPI86" s="6"/>
      <c r="JPJ86" s="6"/>
      <c r="JPK86" s="6"/>
      <c r="JPL86" s="6"/>
      <c r="JPM86" s="6"/>
      <c r="JPN86" s="6"/>
      <c r="JPO86" s="6"/>
      <c r="JPP86" s="6"/>
      <c r="JPQ86" s="6"/>
      <c r="JPR86" s="6"/>
      <c r="JPS86" s="6"/>
      <c r="JPT86" s="6"/>
      <c r="JPU86" s="6"/>
      <c r="JPV86" s="6"/>
      <c r="JPW86" s="6"/>
      <c r="JPX86" s="6"/>
      <c r="JPY86" s="6"/>
      <c r="JPZ86" s="6"/>
      <c r="JQA86" s="6"/>
      <c r="JQB86" s="6"/>
      <c r="JQC86" s="6"/>
      <c r="JQD86" s="6"/>
      <c r="JQE86" s="6"/>
      <c r="JQF86" s="6"/>
      <c r="JQG86" s="6"/>
      <c r="JQH86" s="6"/>
      <c r="JQI86" s="6"/>
      <c r="JQJ86" s="6"/>
      <c r="JQK86" s="6"/>
      <c r="JQL86" s="6"/>
      <c r="JQM86" s="6"/>
      <c r="JQN86" s="6"/>
      <c r="JQO86" s="6"/>
      <c r="JQP86" s="6"/>
      <c r="JQQ86" s="6"/>
      <c r="JQR86" s="6"/>
      <c r="JQS86" s="6"/>
      <c r="JQT86" s="6"/>
      <c r="JQU86" s="6"/>
      <c r="JQV86" s="6"/>
      <c r="JQW86" s="6"/>
      <c r="JQX86" s="6"/>
      <c r="JQY86" s="6"/>
      <c r="JQZ86" s="6"/>
      <c r="JRA86" s="6"/>
      <c r="JRB86" s="6"/>
      <c r="JRC86" s="6"/>
      <c r="JRD86" s="6"/>
      <c r="JRE86" s="6"/>
      <c r="JRF86" s="6"/>
      <c r="JRG86" s="6"/>
      <c r="JRH86" s="6"/>
      <c r="JRI86" s="6"/>
      <c r="JRJ86" s="6"/>
      <c r="JRK86" s="6"/>
      <c r="JRL86" s="6"/>
      <c r="JRM86" s="6"/>
      <c r="JRN86" s="6"/>
      <c r="JRO86" s="6"/>
      <c r="JRP86" s="6"/>
      <c r="JRQ86" s="6"/>
      <c r="JRR86" s="6"/>
      <c r="JRS86" s="6"/>
      <c r="JRT86" s="6"/>
      <c r="JRU86" s="6"/>
      <c r="JRV86" s="6"/>
      <c r="JRW86" s="6"/>
      <c r="JRX86" s="6"/>
      <c r="JRY86" s="6"/>
      <c r="JRZ86" s="6"/>
      <c r="JSA86" s="6"/>
      <c r="JSB86" s="6"/>
      <c r="JSC86" s="6"/>
      <c r="JSD86" s="6"/>
      <c r="JSE86" s="6"/>
      <c r="JSF86" s="6"/>
      <c r="JSG86" s="6"/>
      <c r="JSH86" s="6"/>
      <c r="JSI86" s="6"/>
      <c r="JSJ86" s="6"/>
      <c r="JSK86" s="6"/>
      <c r="JSL86" s="6"/>
      <c r="JSM86" s="6"/>
      <c r="JSN86" s="6"/>
      <c r="JSO86" s="6"/>
      <c r="JSP86" s="6"/>
      <c r="JSQ86" s="6"/>
      <c r="JSR86" s="6"/>
      <c r="JSS86" s="6"/>
      <c r="JST86" s="6"/>
      <c r="JSU86" s="6"/>
      <c r="JSV86" s="6"/>
      <c r="JSW86" s="6"/>
      <c r="JSX86" s="6"/>
      <c r="JSY86" s="6"/>
      <c r="JSZ86" s="6"/>
      <c r="JTA86" s="6"/>
      <c r="JTB86" s="6"/>
      <c r="JTC86" s="6"/>
      <c r="JTD86" s="6"/>
      <c r="JTE86" s="6"/>
      <c r="JTF86" s="6"/>
      <c r="JTG86" s="6"/>
      <c r="JTH86" s="6"/>
      <c r="JTI86" s="6"/>
      <c r="JTJ86" s="6"/>
      <c r="JTK86" s="6"/>
      <c r="JTL86" s="6"/>
      <c r="JTM86" s="6"/>
      <c r="JTN86" s="6"/>
      <c r="JTO86" s="6"/>
      <c r="JTP86" s="6"/>
      <c r="JTQ86" s="6"/>
      <c r="JTR86" s="6"/>
      <c r="JTS86" s="6"/>
      <c r="JTT86" s="6"/>
      <c r="JTU86" s="6"/>
      <c r="JTV86" s="6"/>
      <c r="JTW86" s="6"/>
      <c r="JTX86" s="6"/>
      <c r="JTY86" s="6"/>
      <c r="JTZ86" s="6"/>
      <c r="JUA86" s="6"/>
      <c r="JUB86" s="6"/>
      <c r="JUC86" s="6"/>
      <c r="JUD86" s="6"/>
      <c r="JUE86" s="6"/>
      <c r="JUF86" s="6"/>
      <c r="JUG86" s="6"/>
      <c r="JUH86" s="6"/>
      <c r="JUI86" s="6"/>
      <c r="JUJ86" s="6"/>
      <c r="JUK86" s="6"/>
      <c r="JUL86" s="6"/>
      <c r="JUM86" s="6"/>
      <c r="JUN86" s="6"/>
      <c r="JUO86" s="6"/>
      <c r="JUP86" s="6"/>
      <c r="JUQ86" s="6"/>
      <c r="JUR86" s="6"/>
      <c r="JUS86" s="6"/>
      <c r="JUT86" s="6"/>
      <c r="JUU86" s="6"/>
      <c r="JUV86" s="6"/>
      <c r="JUW86" s="6"/>
      <c r="JUX86" s="6"/>
      <c r="JUY86" s="6"/>
      <c r="JUZ86" s="6"/>
      <c r="JVA86" s="6"/>
      <c r="JVB86" s="6"/>
      <c r="JVC86" s="6"/>
      <c r="JVD86" s="6"/>
      <c r="JVE86" s="6"/>
      <c r="JVF86" s="6"/>
      <c r="JVG86" s="6"/>
      <c r="JVH86" s="6"/>
      <c r="JVI86" s="6"/>
      <c r="JVJ86" s="6"/>
      <c r="JVK86" s="6"/>
      <c r="JVL86" s="6"/>
      <c r="JVM86" s="6"/>
      <c r="JVN86" s="6"/>
      <c r="JVO86" s="6"/>
      <c r="JVP86" s="6"/>
      <c r="JVQ86" s="6"/>
      <c r="JVR86" s="6"/>
      <c r="JVS86" s="6"/>
      <c r="JVT86" s="6"/>
      <c r="JVU86" s="6"/>
      <c r="JVV86" s="6"/>
      <c r="JVW86" s="6"/>
      <c r="JVX86" s="6"/>
      <c r="JVY86" s="6"/>
      <c r="JVZ86" s="6"/>
      <c r="JWA86" s="6"/>
      <c r="JWB86" s="6"/>
      <c r="JWC86" s="6"/>
      <c r="JWD86" s="6"/>
      <c r="JWE86" s="6"/>
      <c r="JWF86" s="6"/>
      <c r="JWG86" s="6"/>
      <c r="JWH86" s="6"/>
      <c r="JWI86" s="6"/>
      <c r="JWJ86" s="6"/>
      <c r="JWK86" s="6"/>
      <c r="JWL86" s="6"/>
      <c r="JWM86" s="6"/>
      <c r="JWN86" s="6"/>
      <c r="JWO86" s="6"/>
      <c r="JWP86" s="6"/>
      <c r="JWQ86" s="6"/>
      <c r="JWR86" s="6"/>
      <c r="JWS86" s="6"/>
      <c r="JWT86" s="6"/>
      <c r="JWU86" s="6"/>
      <c r="JWV86" s="6"/>
      <c r="JWW86" s="6"/>
      <c r="JWX86" s="6"/>
      <c r="JWY86" s="6"/>
      <c r="JWZ86" s="6"/>
      <c r="JXA86" s="6"/>
      <c r="JXB86" s="6"/>
      <c r="JXC86" s="6"/>
      <c r="JXD86" s="6"/>
      <c r="JXE86" s="6"/>
      <c r="JXF86" s="6"/>
      <c r="JXG86" s="6"/>
      <c r="JXH86" s="6"/>
      <c r="JXI86" s="6"/>
      <c r="JXJ86" s="6"/>
      <c r="JXK86" s="6"/>
      <c r="JXL86" s="6"/>
      <c r="JXM86" s="6"/>
      <c r="JXN86" s="6"/>
      <c r="JXO86" s="6"/>
      <c r="JXP86" s="6"/>
      <c r="JXQ86" s="6"/>
      <c r="JXR86" s="6"/>
      <c r="JXS86" s="6"/>
      <c r="JXT86" s="6"/>
      <c r="JXU86" s="6"/>
      <c r="JXV86" s="6"/>
      <c r="JXW86" s="6"/>
      <c r="JXX86" s="6"/>
      <c r="JXY86" s="6"/>
      <c r="JXZ86" s="6"/>
      <c r="JYA86" s="6"/>
      <c r="JYB86" s="6"/>
      <c r="JYC86" s="6"/>
      <c r="JYD86" s="6"/>
      <c r="JYE86" s="6"/>
      <c r="JYF86" s="6"/>
      <c r="JYG86" s="6"/>
      <c r="JYH86" s="6"/>
      <c r="JYI86" s="6"/>
      <c r="JYJ86" s="6"/>
      <c r="JYK86" s="6"/>
      <c r="JYL86" s="6"/>
      <c r="JYM86" s="6"/>
      <c r="JYN86" s="6"/>
      <c r="JYO86" s="6"/>
      <c r="JYP86" s="6"/>
      <c r="JYQ86" s="6"/>
      <c r="JYR86" s="6"/>
      <c r="JYS86" s="6"/>
      <c r="JYT86" s="6"/>
      <c r="JYU86" s="6"/>
      <c r="JYV86" s="6"/>
      <c r="JYW86" s="6"/>
      <c r="JYX86" s="6"/>
      <c r="JYY86" s="6"/>
      <c r="JYZ86" s="6"/>
      <c r="JZA86" s="6"/>
      <c r="JZB86" s="6"/>
      <c r="JZC86" s="6"/>
      <c r="JZD86" s="6"/>
      <c r="JZE86" s="6"/>
      <c r="JZF86" s="6"/>
      <c r="JZG86" s="6"/>
      <c r="JZH86" s="6"/>
      <c r="JZI86" s="6"/>
      <c r="JZJ86" s="6"/>
      <c r="JZK86" s="6"/>
      <c r="JZL86" s="6"/>
      <c r="JZM86" s="6"/>
      <c r="JZN86" s="6"/>
      <c r="JZO86" s="6"/>
      <c r="JZP86" s="6"/>
      <c r="JZQ86" s="6"/>
      <c r="JZR86" s="6"/>
      <c r="JZS86" s="6"/>
      <c r="JZT86" s="6"/>
      <c r="JZU86" s="6"/>
      <c r="JZV86" s="6"/>
      <c r="JZW86" s="6"/>
      <c r="JZX86" s="6"/>
      <c r="JZY86" s="6"/>
      <c r="JZZ86" s="6"/>
      <c r="KAA86" s="6"/>
      <c r="KAB86" s="6"/>
      <c r="KAC86" s="6"/>
      <c r="KAD86" s="6"/>
      <c r="KAE86" s="6"/>
      <c r="KAF86" s="6"/>
      <c r="KAG86" s="6"/>
      <c r="KAH86" s="6"/>
      <c r="KAI86" s="6"/>
      <c r="KAJ86" s="6"/>
      <c r="KAK86" s="6"/>
      <c r="KAL86" s="6"/>
      <c r="KAM86" s="6"/>
      <c r="KAN86" s="6"/>
      <c r="KAO86" s="6"/>
      <c r="KAP86" s="6"/>
      <c r="KAQ86" s="6"/>
      <c r="KAR86" s="6"/>
      <c r="KAS86" s="6"/>
      <c r="KAT86" s="6"/>
      <c r="KAU86" s="6"/>
      <c r="KAV86" s="6"/>
      <c r="KAW86" s="6"/>
      <c r="KAX86" s="6"/>
      <c r="KAY86" s="6"/>
      <c r="KAZ86" s="6"/>
      <c r="KBA86" s="6"/>
      <c r="KBB86" s="6"/>
      <c r="KBC86" s="6"/>
      <c r="KBD86" s="6"/>
      <c r="KBE86" s="6"/>
      <c r="KBF86" s="6"/>
      <c r="KBG86" s="6"/>
      <c r="KBH86" s="6"/>
      <c r="KBI86" s="6"/>
      <c r="KBJ86" s="6"/>
      <c r="KBK86" s="6"/>
      <c r="KBL86" s="6"/>
      <c r="KBM86" s="6"/>
      <c r="KBN86" s="6"/>
      <c r="KBO86" s="6"/>
      <c r="KBP86" s="6"/>
      <c r="KBQ86" s="6"/>
      <c r="KBR86" s="6"/>
      <c r="KBS86" s="6"/>
      <c r="KBT86" s="6"/>
      <c r="KBU86" s="6"/>
      <c r="KBV86" s="6"/>
      <c r="KBW86" s="6"/>
      <c r="KBX86" s="6"/>
      <c r="KBY86" s="6"/>
      <c r="KBZ86" s="6"/>
      <c r="KCA86" s="6"/>
      <c r="KCB86" s="6"/>
      <c r="KCC86" s="6"/>
      <c r="KCD86" s="6"/>
      <c r="KCE86" s="6"/>
      <c r="KCF86" s="6"/>
      <c r="KCG86" s="6"/>
      <c r="KCH86" s="6"/>
      <c r="KCI86" s="6"/>
      <c r="KCJ86" s="6"/>
      <c r="KCK86" s="6"/>
      <c r="KCL86" s="6"/>
      <c r="KCM86" s="6"/>
      <c r="KCN86" s="6"/>
      <c r="KCO86" s="6"/>
      <c r="KCP86" s="6"/>
      <c r="KCQ86" s="6"/>
      <c r="KCR86" s="6"/>
      <c r="KCS86" s="6"/>
      <c r="KCT86" s="6"/>
      <c r="KCU86" s="6"/>
      <c r="KCV86" s="6"/>
      <c r="KCW86" s="6"/>
      <c r="KCX86" s="6"/>
      <c r="KCY86" s="6"/>
      <c r="KCZ86" s="6"/>
      <c r="KDA86" s="6"/>
      <c r="KDB86" s="6"/>
      <c r="KDC86" s="6"/>
      <c r="KDD86" s="6"/>
      <c r="KDE86" s="6"/>
      <c r="KDF86" s="6"/>
      <c r="KDG86" s="6"/>
      <c r="KDH86" s="6"/>
      <c r="KDI86" s="6"/>
      <c r="KDJ86" s="6"/>
      <c r="KDK86" s="6"/>
      <c r="KDL86" s="6"/>
      <c r="KDM86" s="6"/>
      <c r="KDN86" s="6"/>
      <c r="KDO86" s="6"/>
      <c r="KDP86" s="6"/>
      <c r="KDQ86" s="6"/>
      <c r="KDR86" s="6"/>
      <c r="KDS86" s="6"/>
      <c r="KDT86" s="6"/>
      <c r="KDU86" s="6"/>
      <c r="KDV86" s="6"/>
      <c r="KDW86" s="6"/>
      <c r="KDX86" s="6"/>
      <c r="KDY86" s="6"/>
      <c r="KDZ86" s="6"/>
      <c r="KEA86" s="6"/>
      <c r="KEB86" s="6"/>
      <c r="KEC86" s="6"/>
      <c r="KED86" s="6"/>
      <c r="KEE86" s="6"/>
      <c r="KEF86" s="6"/>
      <c r="KEG86" s="6"/>
      <c r="KEH86" s="6"/>
      <c r="KEI86" s="6"/>
      <c r="KEJ86" s="6"/>
      <c r="KEK86" s="6"/>
      <c r="KEL86" s="6"/>
      <c r="KEM86" s="6"/>
      <c r="KEN86" s="6"/>
      <c r="KEO86" s="6"/>
      <c r="KEP86" s="6"/>
      <c r="KEQ86" s="6"/>
      <c r="KER86" s="6"/>
      <c r="KES86" s="6"/>
      <c r="KET86" s="6"/>
      <c r="KEU86" s="6"/>
      <c r="KEV86" s="6"/>
      <c r="KEW86" s="6"/>
      <c r="KEX86" s="6"/>
      <c r="KEY86" s="6"/>
      <c r="KEZ86" s="6"/>
      <c r="KFA86" s="6"/>
      <c r="KFB86" s="6"/>
      <c r="KFC86" s="6"/>
      <c r="KFD86" s="6"/>
      <c r="KFE86" s="6"/>
      <c r="KFF86" s="6"/>
      <c r="KFG86" s="6"/>
      <c r="KFH86" s="6"/>
      <c r="KFI86" s="6"/>
      <c r="KFJ86" s="6"/>
      <c r="KFK86" s="6"/>
      <c r="KFL86" s="6"/>
      <c r="KFM86" s="6"/>
      <c r="KFN86" s="6"/>
      <c r="KFO86" s="6"/>
      <c r="KFP86" s="6"/>
      <c r="KFQ86" s="6"/>
      <c r="KFR86" s="6"/>
      <c r="KFS86" s="6"/>
      <c r="KFT86" s="6"/>
      <c r="KFU86" s="6"/>
      <c r="KFV86" s="6"/>
      <c r="KFW86" s="6"/>
      <c r="KFX86" s="6"/>
      <c r="KFY86" s="6"/>
      <c r="KFZ86" s="6"/>
      <c r="KGA86" s="6"/>
      <c r="KGB86" s="6"/>
      <c r="KGC86" s="6"/>
      <c r="KGD86" s="6"/>
      <c r="KGE86" s="6"/>
      <c r="KGF86" s="6"/>
      <c r="KGG86" s="6"/>
      <c r="KGH86" s="6"/>
      <c r="KGI86" s="6"/>
      <c r="KGJ86" s="6"/>
      <c r="KGK86" s="6"/>
      <c r="KGL86" s="6"/>
      <c r="KGM86" s="6"/>
      <c r="KGN86" s="6"/>
      <c r="KGO86" s="6"/>
      <c r="KGP86" s="6"/>
      <c r="KGQ86" s="6"/>
      <c r="KGR86" s="6"/>
      <c r="KGS86" s="6"/>
      <c r="KGT86" s="6"/>
      <c r="KGU86" s="6"/>
      <c r="KGV86" s="6"/>
      <c r="KGW86" s="6"/>
      <c r="KGX86" s="6"/>
      <c r="KGY86" s="6"/>
      <c r="KGZ86" s="6"/>
      <c r="KHA86" s="6"/>
      <c r="KHB86" s="6"/>
      <c r="KHC86" s="6"/>
      <c r="KHD86" s="6"/>
      <c r="KHE86" s="6"/>
      <c r="KHF86" s="6"/>
      <c r="KHG86" s="6"/>
      <c r="KHH86" s="6"/>
      <c r="KHI86" s="6"/>
      <c r="KHJ86" s="6"/>
      <c r="KHK86" s="6"/>
      <c r="KHL86" s="6"/>
      <c r="KHM86" s="6"/>
      <c r="KHN86" s="6"/>
      <c r="KHO86" s="6"/>
      <c r="KHP86" s="6"/>
      <c r="KHQ86" s="6"/>
      <c r="KHR86" s="6"/>
      <c r="KHS86" s="6"/>
      <c r="KHT86" s="6"/>
      <c r="KHU86" s="6"/>
      <c r="KHV86" s="6"/>
      <c r="KHW86" s="6"/>
      <c r="KHX86" s="6"/>
      <c r="KHY86" s="6"/>
      <c r="KHZ86" s="6"/>
      <c r="KIA86" s="6"/>
      <c r="KIB86" s="6"/>
      <c r="KIC86" s="6"/>
      <c r="KID86" s="6"/>
      <c r="KIE86" s="6"/>
      <c r="KIF86" s="6"/>
      <c r="KIG86" s="6"/>
      <c r="KIH86" s="6"/>
      <c r="KII86" s="6"/>
      <c r="KIJ86" s="6"/>
      <c r="KIK86" s="6"/>
      <c r="KIL86" s="6"/>
      <c r="KIM86" s="6"/>
      <c r="KIN86" s="6"/>
      <c r="KIO86" s="6"/>
      <c r="KIP86" s="6"/>
      <c r="KIQ86" s="6"/>
      <c r="KIR86" s="6"/>
      <c r="KIS86" s="6"/>
      <c r="KIT86" s="6"/>
      <c r="KIU86" s="6"/>
      <c r="KIV86" s="6"/>
      <c r="KIW86" s="6"/>
      <c r="KIX86" s="6"/>
      <c r="KIY86" s="6"/>
      <c r="KIZ86" s="6"/>
      <c r="KJA86" s="6"/>
      <c r="KJB86" s="6"/>
      <c r="KJC86" s="6"/>
      <c r="KJD86" s="6"/>
      <c r="KJE86" s="6"/>
      <c r="KJF86" s="6"/>
      <c r="KJG86" s="6"/>
      <c r="KJH86" s="6"/>
      <c r="KJI86" s="6"/>
      <c r="KJJ86" s="6"/>
      <c r="KJK86" s="6"/>
      <c r="KJL86" s="6"/>
      <c r="KJM86" s="6"/>
      <c r="KJN86" s="6"/>
      <c r="KJO86" s="6"/>
      <c r="KJP86" s="6"/>
      <c r="KJQ86" s="6"/>
      <c r="KJR86" s="6"/>
      <c r="KJS86" s="6"/>
      <c r="KJT86" s="6"/>
      <c r="KJU86" s="6"/>
      <c r="KJV86" s="6"/>
      <c r="KJW86" s="6"/>
      <c r="KJX86" s="6"/>
      <c r="KJY86" s="6"/>
      <c r="KJZ86" s="6"/>
      <c r="KKA86" s="6"/>
      <c r="KKB86" s="6"/>
      <c r="KKC86" s="6"/>
      <c r="KKD86" s="6"/>
      <c r="KKE86" s="6"/>
      <c r="KKF86" s="6"/>
      <c r="KKG86" s="6"/>
      <c r="KKH86" s="6"/>
      <c r="KKI86" s="6"/>
      <c r="KKJ86" s="6"/>
      <c r="KKK86" s="6"/>
      <c r="KKL86" s="6"/>
      <c r="KKM86" s="6"/>
      <c r="KKN86" s="6"/>
      <c r="KKO86" s="6"/>
      <c r="KKP86" s="6"/>
      <c r="KKQ86" s="6"/>
      <c r="KKR86" s="6"/>
      <c r="KKS86" s="6"/>
      <c r="KKT86" s="6"/>
      <c r="KKU86" s="6"/>
      <c r="KKV86" s="6"/>
      <c r="KKW86" s="6"/>
      <c r="KKX86" s="6"/>
      <c r="KKY86" s="6"/>
      <c r="KKZ86" s="6"/>
      <c r="KLA86" s="6"/>
      <c r="KLB86" s="6"/>
      <c r="KLC86" s="6"/>
      <c r="KLD86" s="6"/>
      <c r="KLE86" s="6"/>
      <c r="KLF86" s="6"/>
      <c r="KLG86" s="6"/>
      <c r="KLH86" s="6"/>
      <c r="KLI86" s="6"/>
      <c r="KLJ86" s="6"/>
      <c r="KLK86" s="6"/>
      <c r="KLL86" s="6"/>
      <c r="KLM86" s="6"/>
      <c r="KLN86" s="6"/>
      <c r="KLO86" s="6"/>
      <c r="KLP86" s="6"/>
      <c r="KLQ86" s="6"/>
      <c r="KLR86" s="6"/>
      <c r="KLS86" s="6"/>
      <c r="KLT86" s="6"/>
      <c r="KLU86" s="6"/>
      <c r="KLV86" s="6"/>
      <c r="KLW86" s="6"/>
      <c r="KLX86" s="6"/>
      <c r="KLY86" s="6"/>
      <c r="KLZ86" s="6"/>
      <c r="KMA86" s="6"/>
      <c r="KMB86" s="6"/>
      <c r="KMC86" s="6"/>
      <c r="KMD86" s="6"/>
      <c r="KME86" s="6"/>
      <c r="KMF86" s="6"/>
      <c r="KMG86" s="6"/>
      <c r="KMH86" s="6"/>
      <c r="KMI86" s="6"/>
      <c r="KMJ86" s="6"/>
      <c r="KMK86" s="6"/>
      <c r="KML86" s="6"/>
      <c r="KMM86" s="6"/>
      <c r="KMN86" s="6"/>
      <c r="KMO86" s="6"/>
      <c r="KMP86" s="6"/>
      <c r="KMQ86" s="6"/>
      <c r="KMR86" s="6"/>
      <c r="KMS86" s="6"/>
      <c r="KMT86" s="6"/>
      <c r="KMU86" s="6"/>
      <c r="KMV86" s="6"/>
      <c r="KMW86" s="6"/>
      <c r="KMX86" s="6"/>
      <c r="KMY86" s="6"/>
      <c r="KMZ86" s="6"/>
      <c r="KNA86" s="6"/>
      <c r="KNB86" s="6"/>
      <c r="KNC86" s="6"/>
      <c r="KND86" s="6"/>
      <c r="KNE86" s="6"/>
      <c r="KNF86" s="6"/>
      <c r="KNG86" s="6"/>
      <c r="KNH86" s="6"/>
      <c r="KNI86" s="6"/>
      <c r="KNJ86" s="6"/>
      <c r="KNK86" s="6"/>
      <c r="KNL86" s="6"/>
      <c r="KNM86" s="6"/>
      <c r="KNN86" s="6"/>
      <c r="KNO86" s="6"/>
      <c r="KNP86" s="6"/>
      <c r="KNQ86" s="6"/>
      <c r="KNR86" s="6"/>
      <c r="KNS86" s="6"/>
      <c r="KNT86" s="6"/>
      <c r="KNU86" s="6"/>
      <c r="KNV86" s="6"/>
      <c r="KNW86" s="6"/>
      <c r="KNX86" s="6"/>
      <c r="KNY86" s="6"/>
      <c r="KNZ86" s="6"/>
      <c r="KOA86" s="6"/>
      <c r="KOB86" s="6"/>
      <c r="KOC86" s="6"/>
      <c r="KOD86" s="6"/>
      <c r="KOE86" s="6"/>
      <c r="KOF86" s="6"/>
      <c r="KOG86" s="6"/>
      <c r="KOH86" s="6"/>
      <c r="KOI86" s="6"/>
      <c r="KOJ86" s="6"/>
      <c r="KOK86" s="6"/>
      <c r="KOL86" s="6"/>
      <c r="KOM86" s="6"/>
      <c r="KON86" s="6"/>
      <c r="KOO86" s="6"/>
      <c r="KOP86" s="6"/>
      <c r="KOQ86" s="6"/>
      <c r="KOR86" s="6"/>
      <c r="KOS86" s="6"/>
      <c r="KOT86" s="6"/>
      <c r="KOU86" s="6"/>
      <c r="KOV86" s="6"/>
      <c r="KOW86" s="6"/>
      <c r="KOX86" s="6"/>
      <c r="KOY86" s="6"/>
      <c r="KOZ86" s="6"/>
      <c r="KPA86" s="6"/>
      <c r="KPB86" s="6"/>
      <c r="KPC86" s="6"/>
      <c r="KPD86" s="6"/>
      <c r="KPE86" s="6"/>
      <c r="KPF86" s="6"/>
      <c r="KPG86" s="6"/>
      <c r="KPH86" s="6"/>
      <c r="KPI86" s="6"/>
      <c r="KPJ86" s="6"/>
      <c r="KPK86" s="6"/>
      <c r="KPL86" s="6"/>
      <c r="KPM86" s="6"/>
      <c r="KPN86" s="6"/>
      <c r="KPO86" s="6"/>
      <c r="KPP86" s="6"/>
      <c r="KPQ86" s="6"/>
      <c r="KPR86" s="6"/>
      <c r="KPS86" s="6"/>
      <c r="KPT86" s="6"/>
      <c r="KPU86" s="6"/>
      <c r="KPV86" s="6"/>
      <c r="KPW86" s="6"/>
      <c r="KPX86" s="6"/>
      <c r="KPY86" s="6"/>
      <c r="KPZ86" s="6"/>
      <c r="KQA86" s="6"/>
      <c r="KQB86" s="6"/>
      <c r="KQC86" s="6"/>
      <c r="KQD86" s="6"/>
      <c r="KQE86" s="6"/>
      <c r="KQF86" s="6"/>
      <c r="KQG86" s="6"/>
      <c r="KQH86" s="6"/>
      <c r="KQI86" s="6"/>
      <c r="KQJ86" s="6"/>
      <c r="KQK86" s="6"/>
      <c r="KQL86" s="6"/>
      <c r="KQM86" s="6"/>
      <c r="KQN86" s="6"/>
      <c r="KQO86" s="6"/>
      <c r="KQP86" s="6"/>
      <c r="KQQ86" s="6"/>
      <c r="KQR86" s="6"/>
      <c r="KQS86" s="6"/>
      <c r="KQT86" s="6"/>
      <c r="KQU86" s="6"/>
      <c r="KQV86" s="6"/>
      <c r="KQW86" s="6"/>
      <c r="KQX86" s="6"/>
      <c r="KQY86" s="6"/>
      <c r="KQZ86" s="6"/>
      <c r="KRA86" s="6"/>
      <c r="KRB86" s="6"/>
      <c r="KRC86" s="6"/>
      <c r="KRD86" s="6"/>
      <c r="KRE86" s="6"/>
      <c r="KRF86" s="6"/>
      <c r="KRG86" s="6"/>
      <c r="KRH86" s="6"/>
      <c r="KRI86" s="6"/>
      <c r="KRJ86" s="6"/>
      <c r="KRK86" s="6"/>
      <c r="KRL86" s="6"/>
      <c r="KRM86" s="6"/>
      <c r="KRN86" s="6"/>
      <c r="KRO86" s="6"/>
      <c r="KRP86" s="6"/>
      <c r="KRQ86" s="6"/>
      <c r="KRR86" s="6"/>
      <c r="KRS86" s="6"/>
      <c r="KRT86" s="6"/>
      <c r="KRU86" s="6"/>
      <c r="KRV86" s="6"/>
      <c r="KRW86" s="6"/>
      <c r="KRX86" s="6"/>
      <c r="KRY86" s="6"/>
      <c r="KRZ86" s="6"/>
      <c r="KSA86" s="6"/>
      <c r="KSB86" s="6"/>
      <c r="KSC86" s="6"/>
      <c r="KSD86" s="6"/>
      <c r="KSE86" s="6"/>
      <c r="KSF86" s="6"/>
      <c r="KSG86" s="6"/>
      <c r="KSH86" s="6"/>
      <c r="KSI86" s="6"/>
      <c r="KSJ86" s="6"/>
      <c r="KSK86" s="6"/>
      <c r="KSL86" s="6"/>
      <c r="KSM86" s="6"/>
      <c r="KSN86" s="6"/>
      <c r="KSO86" s="6"/>
      <c r="KSP86" s="6"/>
      <c r="KSQ86" s="6"/>
      <c r="KSR86" s="6"/>
      <c r="KSS86" s="6"/>
      <c r="KST86" s="6"/>
      <c r="KSU86" s="6"/>
      <c r="KSV86" s="6"/>
      <c r="KSW86" s="6"/>
      <c r="KSX86" s="6"/>
      <c r="KSY86" s="6"/>
      <c r="KSZ86" s="6"/>
      <c r="KTA86" s="6"/>
      <c r="KTB86" s="6"/>
      <c r="KTC86" s="6"/>
      <c r="KTD86" s="6"/>
      <c r="KTE86" s="6"/>
      <c r="KTF86" s="6"/>
      <c r="KTG86" s="6"/>
      <c r="KTH86" s="6"/>
      <c r="KTI86" s="6"/>
      <c r="KTJ86" s="6"/>
      <c r="KTK86" s="6"/>
      <c r="KTL86" s="6"/>
      <c r="KTM86" s="6"/>
      <c r="KTN86" s="6"/>
      <c r="KTO86" s="6"/>
      <c r="KTP86" s="6"/>
      <c r="KTQ86" s="6"/>
      <c r="KTR86" s="6"/>
      <c r="KTS86" s="6"/>
      <c r="KTT86" s="6"/>
      <c r="KTU86" s="6"/>
      <c r="KTV86" s="6"/>
      <c r="KTW86" s="6"/>
      <c r="KTX86" s="6"/>
      <c r="KTY86" s="6"/>
      <c r="KTZ86" s="6"/>
      <c r="KUA86" s="6"/>
      <c r="KUB86" s="6"/>
      <c r="KUC86" s="6"/>
      <c r="KUD86" s="6"/>
      <c r="KUE86" s="6"/>
      <c r="KUF86" s="6"/>
      <c r="KUG86" s="6"/>
      <c r="KUH86" s="6"/>
      <c r="KUI86" s="6"/>
      <c r="KUJ86" s="6"/>
      <c r="KUK86" s="6"/>
      <c r="KUL86" s="6"/>
      <c r="KUM86" s="6"/>
      <c r="KUN86" s="6"/>
      <c r="KUO86" s="6"/>
      <c r="KUP86" s="6"/>
      <c r="KUQ86" s="6"/>
      <c r="KUR86" s="6"/>
      <c r="KUS86" s="6"/>
      <c r="KUT86" s="6"/>
      <c r="KUU86" s="6"/>
      <c r="KUV86" s="6"/>
      <c r="KUW86" s="6"/>
      <c r="KUX86" s="6"/>
      <c r="KUY86" s="6"/>
      <c r="KUZ86" s="6"/>
      <c r="KVA86" s="6"/>
      <c r="KVB86" s="6"/>
      <c r="KVC86" s="6"/>
      <c r="KVD86" s="6"/>
      <c r="KVE86" s="6"/>
      <c r="KVF86" s="6"/>
      <c r="KVG86" s="6"/>
      <c r="KVH86" s="6"/>
      <c r="KVI86" s="6"/>
      <c r="KVJ86" s="6"/>
      <c r="KVK86" s="6"/>
      <c r="KVL86" s="6"/>
      <c r="KVM86" s="6"/>
      <c r="KVN86" s="6"/>
      <c r="KVO86" s="6"/>
      <c r="KVP86" s="6"/>
      <c r="KVQ86" s="6"/>
      <c r="KVR86" s="6"/>
      <c r="KVS86" s="6"/>
      <c r="KVT86" s="6"/>
      <c r="KVU86" s="6"/>
      <c r="KVV86" s="6"/>
      <c r="KVW86" s="6"/>
      <c r="KVX86" s="6"/>
      <c r="KVY86" s="6"/>
      <c r="KVZ86" s="6"/>
      <c r="KWA86" s="6"/>
      <c r="KWB86" s="6"/>
      <c r="KWC86" s="6"/>
      <c r="KWD86" s="6"/>
      <c r="KWE86" s="6"/>
      <c r="KWF86" s="6"/>
      <c r="KWG86" s="6"/>
      <c r="KWH86" s="6"/>
      <c r="KWI86" s="6"/>
      <c r="KWJ86" s="6"/>
      <c r="KWK86" s="6"/>
      <c r="KWL86" s="6"/>
      <c r="KWM86" s="6"/>
      <c r="KWN86" s="6"/>
      <c r="KWO86" s="6"/>
      <c r="KWP86" s="6"/>
      <c r="KWQ86" s="6"/>
      <c r="KWR86" s="6"/>
      <c r="KWS86" s="6"/>
      <c r="KWT86" s="6"/>
      <c r="KWU86" s="6"/>
      <c r="KWV86" s="6"/>
      <c r="KWW86" s="6"/>
      <c r="KWX86" s="6"/>
      <c r="KWY86" s="6"/>
      <c r="KWZ86" s="6"/>
      <c r="KXA86" s="6"/>
      <c r="KXB86" s="6"/>
      <c r="KXC86" s="6"/>
      <c r="KXD86" s="6"/>
      <c r="KXE86" s="6"/>
      <c r="KXF86" s="6"/>
      <c r="KXG86" s="6"/>
      <c r="KXH86" s="6"/>
      <c r="KXI86" s="6"/>
      <c r="KXJ86" s="6"/>
      <c r="KXK86" s="6"/>
      <c r="KXL86" s="6"/>
      <c r="KXM86" s="6"/>
      <c r="KXN86" s="6"/>
      <c r="KXO86" s="6"/>
      <c r="KXP86" s="6"/>
      <c r="KXQ86" s="6"/>
      <c r="KXR86" s="6"/>
      <c r="KXS86" s="6"/>
      <c r="KXT86" s="6"/>
      <c r="KXU86" s="6"/>
      <c r="KXV86" s="6"/>
      <c r="KXW86" s="6"/>
      <c r="KXX86" s="6"/>
      <c r="KXY86" s="6"/>
      <c r="KXZ86" s="6"/>
      <c r="KYA86" s="6"/>
      <c r="KYB86" s="6"/>
      <c r="KYC86" s="6"/>
      <c r="KYD86" s="6"/>
      <c r="KYE86" s="6"/>
      <c r="KYF86" s="6"/>
      <c r="KYG86" s="6"/>
      <c r="KYH86" s="6"/>
      <c r="KYI86" s="6"/>
      <c r="KYJ86" s="6"/>
      <c r="KYK86" s="6"/>
      <c r="KYL86" s="6"/>
      <c r="KYM86" s="6"/>
      <c r="KYN86" s="6"/>
      <c r="KYO86" s="6"/>
      <c r="KYP86" s="6"/>
      <c r="KYQ86" s="6"/>
      <c r="KYR86" s="6"/>
      <c r="KYS86" s="6"/>
      <c r="KYT86" s="6"/>
      <c r="KYU86" s="6"/>
      <c r="KYV86" s="6"/>
      <c r="KYW86" s="6"/>
      <c r="KYX86" s="6"/>
      <c r="KYY86" s="6"/>
      <c r="KYZ86" s="6"/>
      <c r="KZA86" s="6"/>
      <c r="KZB86" s="6"/>
      <c r="KZC86" s="6"/>
      <c r="KZD86" s="6"/>
      <c r="KZE86" s="6"/>
      <c r="KZF86" s="6"/>
      <c r="KZG86" s="6"/>
      <c r="KZH86" s="6"/>
      <c r="KZI86" s="6"/>
      <c r="KZJ86" s="6"/>
      <c r="KZK86" s="6"/>
      <c r="KZL86" s="6"/>
      <c r="KZM86" s="6"/>
      <c r="KZN86" s="6"/>
      <c r="KZO86" s="6"/>
      <c r="KZP86" s="6"/>
      <c r="KZQ86" s="6"/>
      <c r="KZR86" s="6"/>
      <c r="KZS86" s="6"/>
      <c r="KZT86" s="6"/>
      <c r="KZU86" s="6"/>
      <c r="KZV86" s="6"/>
      <c r="KZW86" s="6"/>
      <c r="KZX86" s="6"/>
      <c r="KZY86" s="6"/>
      <c r="KZZ86" s="6"/>
      <c r="LAA86" s="6"/>
      <c r="LAB86" s="6"/>
      <c r="LAC86" s="6"/>
      <c r="LAD86" s="6"/>
      <c r="LAE86" s="6"/>
      <c r="LAF86" s="6"/>
      <c r="LAG86" s="6"/>
      <c r="LAH86" s="6"/>
      <c r="LAI86" s="6"/>
      <c r="LAJ86" s="6"/>
      <c r="LAK86" s="6"/>
      <c r="LAL86" s="6"/>
      <c r="LAM86" s="6"/>
      <c r="LAN86" s="6"/>
      <c r="LAO86" s="6"/>
      <c r="LAP86" s="6"/>
      <c r="LAQ86" s="6"/>
      <c r="LAR86" s="6"/>
      <c r="LAS86" s="6"/>
      <c r="LAT86" s="6"/>
      <c r="LAU86" s="6"/>
      <c r="LAV86" s="6"/>
      <c r="LAW86" s="6"/>
      <c r="LAX86" s="6"/>
      <c r="LAY86" s="6"/>
      <c r="LAZ86" s="6"/>
      <c r="LBA86" s="6"/>
      <c r="LBB86" s="6"/>
      <c r="LBC86" s="6"/>
      <c r="LBD86" s="6"/>
      <c r="LBE86" s="6"/>
      <c r="LBF86" s="6"/>
      <c r="LBG86" s="6"/>
      <c r="LBH86" s="6"/>
      <c r="LBI86" s="6"/>
      <c r="LBJ86" s="6"/>
      <c r="LBK86" s="6"/>
      <c r="LBL86" s="6"/>
      <c r="LBM86" s="6"/>
      <c r="LBN86" s="6"/>
      <c r="LBO86" s="6"/>
      <c r="LBP86" s="6"/>
      <c r="LBQ86" s="6"/>
      <c r="LBR86" s="6"/>
      <c r="LBS86" s="6"/>
      <c r="LBT86" s="6"/>
      <c r="LBU86" s="6"/>
      <c r="LBV86" s="6"/>
      <c r="LBW86" s="6"/>
      <c r="LBX86" s="6"/>
      <c r="LBY86" s="6"/>
      <c r="LBZ86" s="6"/>
      <c r="LCA86" s="6"/>
      <c r="LCB86" s="6"/>
      <c r="LCC86" s="6"/>
      <c r="LCD86" s="6"/>
      <c r="LCE86" s="6"/>
      <c r="LCF86" s="6"/>
      <c r="LCG86" s="6"/>
      <c r="LCH86" s="6"/>
      <c r="LCI86" s="6"/>
      <c r="LCJ86" s="6"/>
      <c r="LCK86" s="6"/>
      <c r="LCL86" s="6"/>
      <c r="LCM86" s="6"/>
      <c r="LCN86" s="6"/>
      <c r="LCO86" s="6"/>
      <c r="LCP86" s="6"/>
      <c r="LCQ86" s="6"/>
      <c r="LCR86" s="6"/>
      <c r="LCS86" s="6"/>
      <c r="LCT86" s="6"/>
      <c r="LCU86" s="6"/>
      <c r="LCV86" s="6"/>
      <c r="LCW86" s="6"/>
      <c r="LCX86" s="6"/>
      <c r="LCY86" s="6"/>
      <c r="LCZ86" s="6"/>
      <c r="LDA86" s="6"/>
      <c r="LDB86" s="6"/>
      <c r="LDC86" s="6"/>
      <c r="LDD86" s="6"/>
      <c r="LDE86" s="6"/>
      <c r="LDF86" s="6"/>
      <c r="LDG86" s="6"/>
      <c r="LDH86" s="6"/>
      <c r="LDI86" s="6"/>
      <c r="LDJ86" s="6"/>
      <c r="LDK86" s="6"/>
      <c r="LDL86" s="6"/>
      <c r="LDM86" s="6"/>
      <c r="LDN86" s="6"/>
      <c r="LDO86" s="6"/>
      <c r="LDP86" s="6"/>
      <c r="LDQ86" s="6"/>
      <c r="LDR86" s="6"/>
      <c r="LDS86" s="6"/>
      <c r="LDT86" s="6"/>
      <c r="LDU86" s="6"/>
      <c r="LDV86" s="6"/>
      <c r="LDW86" s="6"/>
      <c r="LDX86" s="6"/>
      <c r="LDY86" s="6"/>
      <c r="LDZ86" s="6"/>
      <c r="LEA86" s="6"/>
      <c r="LEB86" s="6"/>
      <c r="LEC86" s="6"/>
      <c r="LED86" s="6"/>
      <c r="LEE86" s="6"/>
      <c r="LEF86" s="6"/>
      <c r="LEG86" s="6"/>
      <c r="LEH86" s="6"/>
      <c r="LEI86" s="6"/>
      <c r="LEJ86" s="6"/>
      <c r="LEK86" s="6"/>
      <c r="LEL86" s="6"/>
      <c r="LEM86" s="6"/>
      <c r="LEN86" s="6"/>
      <c r="LEO86" s="6"/>
      <c r="LEP86" s="6"/>
      <c r="LEQ86" s="6"/>
      <c r="LER86" s="6"/>
      <c r="LES86" s="6"/>
      <c r="LET86" s="6"/>
      <c r="LEU86" s="6"/>
      <c r="LEV86" s="6"/>
      <c r="LEW86" s="6"/>
      <c r="LEX86" s="6"/>
      <c r="LEY86" s="6"/>
      <c r="LEZ86" s="6"/>
      <c r="LFA86" s="6"/>
      <c r="LFB86" s="6"/>
      <c r="LFC86" s="6"/>
      <c r="LFD86" s="6"/>
      <c r="LFE86" s="6"/>
      <c r="LFF86" s="6"/>
      <c r="LFG86" s="6"/>
      <c r="LFH86" s="6"/>
      <c r="LFI86" s="6"/>
      <c r="LFJ86" s="6"/>
      <c r="LFK86" s="6"/>
      <c r="LFL86" s="6"/>
      <c r="LFM86" s="6"/>
      <c r="LFN86" s="6"/>
      <c r="LFO86" s="6"/>
      <c r="LFP86" s="6"/>
      <c r="LFQ86" s="6"/>
      <c r="LFR86" s="6"/>
      <c r="LFS86" s="6"/>
      <c r="LFT86" s="6"/>
      <c r="LFU86" s="6"/>
      <c r="LFV86" s="6"/>
      <c r="LFW86" s="6"/>
      <c r="LFX86" s="6"/>
      <c r="LFY86" s="6"/>
      <c r="LFZ86" s="6"/>
      <c r="LGA86" s="6"/>
      <c r="LGB86" s="6"/>
      <c r="LGC86" s="6"/>
      <c r="LGD86" s="6"/>
      <c r="LGE86" s="6"/>
      <c r="LGF86" s="6"/>
      <c r="LGG86" s="6"/>
      <c r="LGH86" s="6"/>
      <c r="LGI86" s="6"/>
      <c r="LGJ86" s="6"/>
      <c r="LGK86" s="6"/>
      <c r="LGL86" s="6"/>
      <c r="LGM86" s="6"/>
      <c r="LGN86" s="6"/>
      <c r="LGO86" s="6"/>
      <c r="LGP86" s="6"/>
      <c r="LGQ86" s="6"/>
      <c r="LGR86" s="6"/>
      <c r="LGS86" s="6"/>
      <c r="LGT86" s="6"/>
      <c r="LGU86" s="6"/>
      <c r="LGV86" s="6"/>
      <c r="LGW86" s="6"/>
      <c r="LGX86" s="6"/>
      <c r="LGY86" s="6"/>
      <c r="LGZ86" s="6"/>
      <c r="LHA86" s="6"/>
      <c r="LHB86" s="6"/>
      <c r="LHC86" s="6"/>
      <c r="LHD86" s="6"/>
      <c r="LHE86" s="6"/>
      <c r="LHF86" s="6"/>
      <c r="LHG86" s="6"/>
      <c r="LHH86" s="6"/>
      <c r="LHI86" s="6"/>
      <c r="LHJ86" s="6"/>
      <c r="LHK86" s="6"/>
      <c r="LHL86" s="6"/>
      <c r="LHM86" s="6"/>
      <c r="LHN86" s="6"/>
      <c r="LHO86" s="6"/>
      <c r="LHP86" s="6"/>
      <c r="LHQ86" s="6"/>
      <c r="LHR86" s="6"/>
      <c r="LHS86" s="6"/>
      <c r="LHT86" s="6"/>
      <c r="LHU86" s="6"/>
      <c r="LHV86" s="6"/>
      <c r="LHW86" s="6"/>
      <c r="LHX86" s="6"/>
      <c r="LHY86" s="6"/>
      <c r="LHZ86" s="6"/>
      <c r="LIA86" s="6"/>
      <c r="LIB86" s="6"/>
      <c r="LIC86" s="6"/>
      <c r="LID86" s="6"/>
      <c r="LIE86" s="6"/>
      <c r="LIF86" s="6"/>
      <c r="LIG86" s="6"/>
      <c r="LIH86" s="6"/>
      <c r="LII86" s="6"/>
      <c r="LIJ86" s="6"/>
      <c r="LIK86" s="6"/>
      <c r="LIL86" s="6"/>
      <c r="LIM86" s="6"/>
      <c r="LIN86" s="6"/>
      <c r="LIO86" s="6"/>
      <c r="LIP86" s="6"/>
      <c r="LIQ86" s="6"/>
      <c r="LIR86" s="6"/>
      <c r="LIS86" s="6"/>
      <c r="LIT86" s="6"/>
      <c r="LIU86" s="6"/>
      <c r="LIV86" s="6"/>
      <c r="LIW86" s="6"/>
      <c r="LIX86" s="6"/>
      <c r="LIY86" s="6"/>
      <c r="LIZ86" s="6"/>
      <c r="LJA86" s="6"/>
      <c r="LJB86" s="6"/>
      <c r="LJC86" s="6"/>
      <c r="LJD86" s="6"/>
      <c r="LJE86" s="6"/>
      <c r="LJF86" s="6"/>
      <c r="LJG86" s="6"/>
      <c r="LJH86" s="6"/>
      <c r="LJI86" s="6"/>
      <c r="LJJ86" s="6"/>
      <c r="LJK86" s="6"/>
      <c r="LJL86" s="6"/>
      <c r="LJM86" s="6"/>
      <c r="LJN86" s="6"/>
      <c r="LJO86" s="6"/>
      <c r="LJP86" s="6"/>
      <c r="LJQ86" s="6"/>
      <c r="LJR86" s="6"/>
      <c r="LJS86" s="6"/>
      <c r="LJT86" s="6"/>
      <c r="LJU86" s="6"/>
      <c r="LJV86" s="6"/>
      <c r="LJW86" s="6"/>
      <c r="LJX86" s="6"/>
      <c r="LJY86" s="6"/>
      <c r="LJZ86" s="6"/>
      <c r="LKA86" s="6"/>
      <c r="LKB86" s="6"/>
      <c r="LKC86" s="6"/>
      <c r="LKD86" s="6"/>
      <c r="LKE86" s="6"/>
      <c r="LKF86" s="6"/>
      <c r="LKG86" s="6"/>
      <c r="LKH86" s="6"/>
      <c r="LKI86" s="6"/>
      <c r="LKJ86" s="6"/>
      <c r="LKK86" s="6"/>
      <c r="LKL86" s="6"/>
      <c r="LKM86" s="6"/>
      <c r="LKN86" s="6"/>
      <c r="LKO86" s="6"/>
      <c r="LKP86" s="6"/>
      <c r="LKQ86" s="6"/>
      <c r="LKR86" s="6"/>
      <c r="LKS86" s="6"/>
      <c r="LKT86" s="6"/>
      <c r="LKU86" s="6"/>
      <c r="LKV86" s="6"/>
      <c r="LKW86" s="6"/>
      <c r="LKX86" s="6"/>
      <c r="LKY86" s="6"/>
      <c r="LKZ86" s="6"/>
      <c r="LLA86" s="6"/>
      <c r="LLB86" s="6"/>
      <c r="LLC86" s="6"/>
      <c r="LLD86" s="6"/>
      <c r="LLE86" s="6"/>
      <c r="LLF86" s="6"/>
      <c r="LLG86" s="6"/>
      <c r="LLH86" s="6"/>
      <c r="LLI86" s="6"/>
      <c r="LLJ86" s="6"/>
      <c r="LLK86" s="6"/>
      <c r="LLL86" s="6"/>
      <c r="LLM86" s="6"/>
      <c r="LLN86" s="6"/>
      <c r="LLO86" s="6"/>
      <c r="LLP86" s="6"/>
      <c r="LLQ86" s="6"/>
      <c r="LLR86" s="6"/>
      <c r="LLS86" s="6"/>
      <c r="LLT86" s="6"/>
      <c r="LLU86" s="6"/>
      <c r="LLV86" s="6"/>
      <c r="LLW86" s="6"/>
      <c r="LLX86" s="6"/>
      <c r="LLY86" s="6"/>
      <c r="LLZ86" s="6"/>
      <c r="LMA86" s="6"/>
      <c r="LMB86" s="6"/>
      <c r="LMC86" s="6"/>
      <c r="LMD86" s="6"/>
      <c r="LME86" s="6"/>
      <c r="LMF86" s="6"/>
      <c r="LMG86" s="6"/>
      <c r="LMH86" s="6"/>
      <c r="LMI86" s="6"/>
      <c r="LMJ86" s="6"/>
      <c r="LMK86" s="6"/>
      <c r="LML86" s="6"/>
      <c r="LMM86" s="6"/>
      <c r="LMN86" s="6"/>
      <c r="LMO86" s="6"/>
      <c r="LMP86" s="6"/>
      <c r="LMQ86" s="6"/>
      <c r="LMR86" s="6"/>
      <c r="LMS86" s="6"/>
      <c r="LMT86" s="6"/>
      <c r="LMU86" s="6"/>
      <c r="LMV86" s="6"/>
      <c r="LMW86" s="6"/>
      <c r="LMX86" s="6"/>
      <c r="LMY86" s="6"/>
      <c r="LMZ86" s="6"/>
      <c r="LNA86" s="6"/>
      <c r="LNB86" s="6"/>
      <c r="LNC86" s="6"/>
      <c r="LND86" s="6"/>
      <c r="LNE86" s="6"/>
      <c r="LNF86" s="6"/>
      <c r="LNG86" s="6"/>
      <c r="LNH86" s="6"/>
      <c r="LNI86" s="6"/>
      <c r="LNJ86" s="6"/>
      <c r="LNK86" s="6"/>
      <c r="LNL86" s="6"/>
      <c r="LNM86" s="6"/>
      <c r="LNN86" s="6"/>
      <c r="LNO86" s="6"/>
      <c r="LNP86" s="6"/>
      <c r="LNQ86" s="6"/>
      <c r="LNR86" s="6"/>
      <c r="LNS86" s="6"/>
      <c r="LNT86" s="6"/>
      <c r="LNU86" s="6"/>
      <c r="LNV86" s="6"/>
      <c r="LNW86" s="6"/>
      <c r="LNX86" s="6"/>
      <c r="LNY86" s="6"/>
      <c r="LNZ86" s="6"/>
      <c r="LOA86" s="6"/>
      <c r="LOB86" s="6"/>
      <c r="LOC86" s="6"/>
      <c r="LOD86" s="6"/>
      <c r="LOE86" s="6"/>
      <c r="LOF86" s="6"/>
      <c r="LOG86" s="6"/>
      <c r="LOH86" s="6"/>
      <c r="LOI86" s="6"/>
      <c r="LOJ86" s="6"/>
      <c r="LOK86" s="6"/>
      <c r="LOL86" s="6"/>
      <c r="LOM86" s="6"/>
      <c r="LON86" s="6"/>
      <c r="LOO86" s="6"/>
      <c r="LOP86" s="6"/>
      <c r="LOQ86" s="6"/>
      <c r="LOR86" s="6"/>
      <c r="LOS86" s="6"/>
      <c r="LOT86" s="6"/>
      <c r="LOU86" s="6"/>
      <c r="LOV86" s="6"/>
      <c r="LOW86" s="6"/>
      <c r="LOX86" s="6"/>
      <c r="LOY86" s="6"/>
      <c r="LOZ86" s="6"/>
      <c r="LPA86" s="6"/>
      <c r="LPB86" s="6"/>
      <c r="LPC86" s="6"/>
      <c r="LPD86" s="6"/>
      <c r="LPE86" s="6"/>
      <c r="LPF86" s="6"/>
      <c r="LPG86" s="6"/>
      <c r="LPH86" s="6"/>
      <c r="LPI86" s="6"/>
      <c r="LPJ86" s="6"/>
      <c r="LPK86" s="6"/>
      <c r="LPL86" s="6"/>
      <c r="LPM86" s="6"/>
      <c r="LPN86" s="6"/>
      <c r="LPO86" s="6"/>
      <c r="LPP86" s="6"/>
      <c r="LPQ86" s="6"/>
      <c r="LPR86" s="6"/>
      <c r="LPS86" s="6"/>
      <c r="LPT86" s="6"/>
      <c r="LPU86" s="6"/>
      <c r="LPV86" s="6"/>
      <c r="LPW86" s="6"/>
      <c r="LPX86" s="6"/>
      <c r="LPY86" s="6"/>
      <c r="LPZ86" s="6"/>
      <c r="LQA86" s="6"/>
      <c r="LQB86" s="6"/>
      <c r="LQC86" s="6"/>
      <c r="LQD86" s="6"/>
      <c r="LQE86" s="6"/>
      <c r="LQF86" s="6"/>
      <c r="LQG86" s="6"/>
      <c r="LQH86" s="6"/>
      <c r="LQI86" s="6"/>
      <c r="LQJ86" s="6"/>
      <c r="LQK86" s="6"/>
      <c r="LQL86" s="6"/>
      <c r="LQM86" s="6"/>
      <c r="LQN86" s="6"/>
      <c r="LQO86" s="6"/>
      <c r="LQP86" s="6"/>
      <c r="LQQ86" s="6"/>
      <c r="LQR86" s="6"/>
      <c r="LQS86" s="6"/>
      <c r="LQT86" s="6"/>
      <c r="LQU86" s="6"/>
      <c r="LQV86" s="6"/>
      <c r="LQW86" s="6"/>
      <c r="LQX86" s="6"/>
      <c r="LQY86" s="6"/>
      <c r="LQZ86" s="6"/>
      <c r="LRA86" s="6"/>
      <c r="LRB86" s="6"/>
      <c r="LRC86" s="6"/>
      <c r="LRD86" s="6"/>
      <c r="LRE86" s="6"/>
      <c r="LRF86" s="6"/>
      <c r="LRG86" s="6"/>
      <c r="LRH86" s="6"/>
      <c r="LRI86" s="6"/>
      <c r="LRJ86" s="6"/>
      <c r="LRK86" s="6"/>
      <c r="LRL86" s="6"/>
      <c r="LRM86" s="6"/>
      <c r="LRN86" s="6"/>
      <c r="LRO86" s="6"/>
      <c r="LRP86" s="6"/>
      <c r="LRQ86" s="6"/>
      <c r="LRR86" s="6"/>
      <c r="LRS86" s="6"/>
      <c r="LRT86" s="6"/>
      <c r="LRU86" s="6"/>
      <c r="LRV86" s="6"/>
      <c r="LRW86" s="6"/>
      <c r="LRX86" s="6"/>
      <c r="LRY86" s="6"/>
      <c r="LRZ86" s="6"/>
      <c r="LSA86" s="6"/>
      <c r="LSB86" s="6"/>
      <c r="LSC86" s="6"/>
      <c r="LSD86" s="6"/>
      <c r="LSE86" s="6"/>
      <c r="LSF86" s="6"/>
      <c r="LSG86" s="6"/>
      <c r="LSH86" s="6"/>
      <c r="LSI86" s="6"/>
      <c r="LSJ86" s="6"/>
      <c r="LSK86" s="6"/>
      <c r="LSL86" s="6"/>
      <c r="LSM86" s="6"/>
      <c r="LSN86" s="6"/>
      <c r="LSO86" s="6"/>
      <c r="LSP86" s="6"/>
      <c r="LSQ86" s="6"/>
      <c r="LSR86" s="6"/>
      <c r="LSS86" s="6"/>
      <c r="LST86" s="6"/>
      <c r="LSU86" s="6"/>
      <c r="LSV86" s="6"/>
      <c r="LSW86" s="6"/>
      <c r="LSX86" s="6"/>
      <c r="LSY86" s="6"/>
      <c r="LSZ86" s="6"/>
      <c r="LTA86" s="6"/>
      <c r="LTB86" s="6"/>
      <c r="LTC86" s="6"/>
      <c r="LTD86" s="6"/>
      <c r="LTE86" s="6"/>
      <c r="LTF86" s="6"/>
      <c r="LTG86" s="6"/>
      <c r="LTH86" s="6"/>
      <c r="LTI86" s="6"/>
      <c r="LTJ86" s="6"/>
      <c r="LTK86" s="6"/>
      <c r="LTL86" s="6"/>
      <c r="LTM86" s="6"/>
      <c r="LTN86" s="6"/>
      <c r="LTO86" s="6"/>
      <c r="LTP86" s="6"/>
      <c r="LTQ86" s="6"/>
      <c r="LTR86" s="6"/>
      <c r="LTS86" s="6"/>
      <c r="LTT86" s="6"/>
      <c r="LTU86" s="6"/>
      <c r="LTV86" s="6"/>
      <c r="LTW86" s="6"/>
      <c r="LTX86" s="6"/>
      <c r="LTY86" s="6"/>
      <c r="LTZ86" s="6"/>
      <c r="LUA86" s="6"/>
      <c r="LUB86" s="6"/>
      <c r="LUC86" s="6"/>
      <c r="LUD86" s="6"/>
      <c r="LUE86" s="6"/>
      <c r="LUF86" s="6"/>
      <c r="LUG86" s="6"/>
      <c r="LUH86" s="6"/>
      <c r="LUI86" s="6"/>
      <c r="LUJ86" s="6"/>
      <c r="LUK86" s="6"/>
      <c r="LUL86" s="6"/>
      <c r="LUM86" s="6"/>
      <c r="LUN86" s="6"/>
      <c r="LUO86" s="6"/>
      <c r="LUP86" s="6"/>
      <c r="LUQ86" s="6"/>
      <c r="LUR86" s="6"/>
      <c r="LUS86" s="6"/>
      <c r="LUT86" s="6"/>
      <c r="LUU86" s="6"/>
      <c r="LUV86" s="6"/>
      <c r="LUW86" s="6"/>
      <c r="LUX86" s="6"/>
      <c r="LUY86" s="6"/>
      <c r="LUZ86" s="6"/>
      <c r="LVA86" s="6"/>
      <c r="LVB86" s="6"/>
      <c r="LVC86" s="6"/>
      <c r="LVD86" s="6"/>
      <c r="LVE86" s="6"/>
      <c r="LVF86" s="6"/>
      <c r="LVG86" s="6"/>
      <c r="LVH86" s="6"/>
      <c r="LVI86" s="6"/>
      <c r="LVJ86" s="6"/>
      <c r="LVK86" s="6"/>
      <c r="LVL86" s="6"/>
      <c r="LVM86" s="6"/>
      <c r="LVN86" s="6"/>
      <c r="LVO86" s="6"/>
      <c r="LVP86" s="6"/>
      <c r="LVQ86" s="6"/>
      <c r="LVR86" s="6"/>
      <c r="LVS86" s="6"/>
      <c r="LVT86" s="6"/>
      <c r="LVU86" s="6"/>
      <c r="LVV86" s="6"/>
      <c r="LVW86" s="6"/>
      <c r="LVX86" s="6"/>
      <c r="LVY86" s="6"/>
      <c r="LVZ86" s="6"/>
      <c r="LWA86" s="6"/>
      <c r="LWB86" s="6"/>
      <c r="LWC86" s="6"/>
      <c r="LWD86" s="6"/>
      <c r="LWE86" s="6"/>
      <c r="LWF86" s="6"/>
      <c r="LWG86" s="6"/>
      <c r="LWH86" s="6"/>
      <c r="LWI86" s="6"/>
      <c r="LWJ86" s="6"/>
      <c r="LWK86" s="6"/>
      <c r="LWL86" s="6"/>
      <c r="LWM86" s="6"/>
      <c r="LWN86" s="6"/>
      <c r="LWO86" s="6"/>
      <c r="LWP86" s="6"/>
      <c r="LWQ86" s="6"/>
      <c r="LWR86" s="6"/>
      <c r="LWS86" s="6"/>
      <c r="LWT86" s="6"/>
      <c r="LWU86" s="6"/>
      <c r="LWV86" s="6"/>
      <c r="LWW86" s="6"/>
      <c r="LWX86" s="6"/>
      <c r="LWY86" s="6"/>
      <c r="LWZ86" s="6"/>
      <c r="LXA86" s="6"/>
      <c r="LXB86" s="6"/>
      <c r="LXC86" s="6"/>
      <c r="LXD86" s="6"/>
      <c r="LXE86" s="6"/>
      <c r="LXF86" s="6"/>
      <c r="LXG86" s="6"/>
      <c r="LXH86" s="6"/>
      <c r="LXI86" s="6"/>
      <c r="LXJ86" s="6"/>
      <c r="LXK86" s="6"/>
      <c r="LXL86" s="6"/>
      <c r="LXM86" s="6"/>
      <c r="LXN86" s="6"/>
      <c r="LXO86" s="6"/>
      <c r="LXP86" s="6"/>
      <c r="LXQ86" s="6"/>
      <c r="LXR86" s="6"/>
      <c r="LXS86" s="6"/>
      <c r="LXT86" s="6"/>
      <c r="LXU86" s="6"/>
      <c r="LXV86" s="6"/>
      <c r="LXW86" s="6"/>
      <c r="LXX86" s="6"/>
      <c r="LXY86" s="6"/>
      <c r="LXZ86" s="6"/>
      <c r="LYA86" s="6"/>
      <c r="LYB86" s="6"/>
      <c r="LYC86" s="6"/>
      <c r="LYD86" s="6"/>
      <c r="LYE86" s="6"/>
      <c r="LYF86" s="6"/>
      <c r="LYG86" s="6"/>
      <c r="LYH86" s="6"/>
      <c r="LYI86" s="6"/>
      <c r="LYJ86" s="6"/>
      <c r="LYK86" s="6"/>
      <c r="LYL86" s="6"/>
      <c r="LYM86" s="6"/>
      <c r="LYN86" s="6"/>
      <c r="LYO86" s="6"/>
      <c r="LYP86" s="6"/>
      <c r="LYQ86" s="6"/>
      <c r="LYR86" s="6"/>
      <c r="LYS86" s="6"/>
      <c r="LYT86" s="6"/>
      <c r="LYU86" s="6"/>
      <c r="LYV86" s="6"/>
      <c r="LYW86" s="6"/>
      <c r="LYX86" s="6"/>
      <c r="LYY86" s="6"/>
      <c r="LYZ86" s="6"/>
      <c r="LZA86" s="6"/>
      <c r="LZB86" s="6"/>
      <c r="LZC86" s="6"/>
      <c r="LZD86" s="6"/>
      <c r="LZE86" s="6"/>
      <c r="LZF86" s="6"/>
      <c r="LZG86" s="6"/>
      <c r="LZH86" s="6"/>
      <c r="LZI86" s="6"/>
      <c r="LZJ86" s="6"/>
      <c r="LZK86" s="6"/>
      <c r="LZL86" s="6"/>
      <c r="LZM86" s="6"/>
      <c r="LZN86" s="6"/>
      <c r="LZO86" s="6"/>
      <c r="LZP86" s="6"/>
      <c r="LZQ86" s="6"/>
      <c r="LZR86" s="6"/>
      <c r="LZS86" s="6"/>
      <c r="LZT86" s="6"/>
      <c r="LZU86" s="6"/>
      <c r="LZV86" s="6"/>
      <c r="LZW86" s="6"/>
      <c r="LZX86" s="6"/>
      <c r="LZY86" s="6"/>
      <c r="LZZ86" s="6"/>
      <c r="MAA86" s="6"/>
      <c r="MAB86" s="6"/>
      <c r="MAC86" s="6"/>
      <c r="MAD86" s="6"/>
      <c r="MAE86" s="6"/>
      <c r="MAF86" s="6"/>
      <c r="MAG86" s="6"/>
      <c r="MAH86" s="6"/>
      <c r="MAI86" s="6"/>
      <c r="MAJ86" s="6"/>
      <c r="MAK86" s="6"/>
      <c r="MAL86" s="6"/>
      <c r="MAM86" s="6"/>
      <c r="MAN86" s="6"/>
      <c r="MAO86" s="6"/>
      <c r="MAP86" s="6"/>
      <c r="MAQ86" s="6"/>
      <c r="MAR86" s="6"/>
      <c r="MAS86" s="6"/>
      <c r="MAT86" s="6"/>
      <c r="MAU86" s="6"/>
      <c r="MAV86" s="6"/>
      <c r="MAW86" s="6"/>
      <c r="MAX86" s="6"/>
      <c r="MAY86" s="6"/>
      <c r="MAZ86" s="6"/>
      <c r="MBA86" s="6"/>
      <c r="MBB86" s="6"/>
      <c r="MBC86" s="6"/>
      <c r="MBD86" s="6"/>
      <c r="MBE86" s="6"/>
      <c r="MBF86" s="6"/>
      <c r="MBG86" s="6"/>
      <c r="MBH86" s="6"/>
      <c r="MBI86" s="6"/>
      <c r="MBJ86" s="6"/>
      <c r="MBK86" s="6"/>
      <c r="MBL86" s="6"/>
      <c r="MBM86" s="6"/>
      <c r="MBN86" s="6"/>
      <c r="MBO86" s="6"/>
      <c r="MBP86" s="6"/>
      <c r="MBQ86" s="6"/>
      <c r="MBR86" s="6"/>
      <c r="MBS86" s="6"/>
      <c r="MBT86" s="6"/>
      <c r="MBU86" s="6"/>
      <c r="MBV86" s="6"/>
      <c r="MBW86" s="6"/>
      <c r="MBX86" s="6"/>
      <c r="MBY86" s="6"/>
      <c r="MBZ86" s="6"/>
      <c r="MCA86" s="6"/>
      <c r="MCB86" s="6"/>
      <c r="MCC86" s="6"/>
      <c r="MCD86" s="6"/>
      <c r="MCE86" s="6"/>
      <c r="MCF86" s="6"/>
      <c r="MCG86" s="6"/>
      <c r="MCH86" s="6"/>
      <c r="MCI86" s="6"/>
      <c r="MCJ86" s="6"/>
      <c r="MCK86" s="6"/>
      <c r="MCL86" s="6"/>
      <c r="MCM86" s="6"/>
      <c r="MCN86" s="6"/>
      <c r="MCO86" s="6"/>
      <c r="MCP86" s="6"/>
      <c r="MCQ86" s="6"/>
      <c r="MCR86" s="6"/>
      <c r="MCS86" s="6"/>
      <c r="MCT86" s="6"/>
      <c r="MCU86" s="6"/>
      <c r="MCV86" s="6"/>
      <c r="MCW86" s="6"/>
      <c r="MCX86" s="6"/>
      <c r="MCY86" s="6"/>
      <c r="MCZ86" s="6"/>
      <c r="MDA86" s="6"/>
      <c r="MDB86" s="6"/>
      <c r="MDC86" s="6"/>
      <c r="MDD86" s="6"/>
      <c r="MDE86" s="6"/>
      <c r="MDF86" s="6"/>
      <c r="MDG86" s="6"/>
      <c r="MDH86" s="6"/>
      <c r="MDI86" s="6"/>
      <c r="MDJ86" s="6"/>
      <c r="MDK86" s="6"/>
      <c r="MDL86" s="6"/>
      <c r="MDM86" s="6"/>
      <c r="MDN86" s="6"/>
      <c r="MDO86" s="6"/>
      <c r="MDP86" s="6"/>
      <c r="MDQ86" s="6"/>
      <c r="MDR86" s="6"/>
      <c r="MDS86" s="6"/>
      <c r="MDT86" s="6"/>
      <c r="MDU86" s="6"/>
      <c r="MDV86" s="6"/>
      <c r="MDW86" s="6"/>
      <c r="MDX86" s="6"/>
      <c r="MDY86" s="6"/>
      <c r="MDZ86" s="6"/>
      <c r="MEA86" s="6"/>
      <c r="MEB86" s="6"/>
      <c r="MEC86" s="6"/>
      <c r="MED86" s="6"/>
      <c r="MEE86" s="6"/>
      <c r="MEF86" s="6"/>
      <c r="MEG86" s="6"/>
      <c r="MEH86" s="6"/>
      <c r="MEI86" s="6"/>
      <c r="MEJ86" s="6"/>
      <c r="MEK86" s="6"/>
      <c r="MEL86" s="6"/>
      <c r="MEM86" s="6"/>
      <c r="MEN86" s="6"/>
      <c r="MEO86" s="6"/>
      <c r="MEP86" s="6"/>
      <c r="MEQ86" s="6"/>
      <c r="MER86" s="6"/>
      <c r="MES86" s="6"/>
      <c r="MET86" s="6"/>
      <c r="MEU86" s="6"/>
      <c r="MEV86" s="6"/>
      <c r="MEW86" s="6"/>
      <c r="MEX86" s="6"/>
      <c r="MEY86" s="6"/>
      <c r="MEZ86" s="6"/>
      <c r="MFA86" s="6"/>
      <c r="MFB86" s="6"/>
      <c r="MFC86" s="6"/>
      <c r="MFD86" s="6"/>
      <c r="MFE86" s="6"/>
      <c r="MFF86" s="6"/>
      <c r="MFG86" s="6"/>
      <c r="MFH86" s="6"/>
      <c r="MFI86" s="6"/>
      <c r="MFJ86" s="6"/>
      <c r="MFK86" s="6"/>
      <c r="MFL86" s="6"/>
      <c r="MFM86" s="6"/>
      <c r="MFN86" s="6"/>
      <c r="MFO86" s="6"/>
      <c r="MFP86" s="6"/>
      <c r="MFQ86" s="6"/>
      <c r="MFR86" s="6"/>
      <c r="MFS86" s="6"/>
      <c r="MFT86" s="6"/>
      <c r="MFU86" s="6"/>
      <c r="MFV86" s="6"/>
      <c r="MFW86" s="6"/>
      <c r="MFX86" s="6"/>
      <c r="MFY86" s="6"/>
      <c r="MFZ86" s="6"/>
      <c r="MGA86" s="6"/>
      <c r="MGB86" s="6"/>
      <c r="MGC86" s="6"/>
      <c r="MGD86" s="6"/>
      <c r="MGE86" s="6"/>
      <c r="MGF86" s="6"/>
      <c r="MGG86" s="6"/>
      <c r="MGH86" s="6"/>
      <c r="MGI86" s="6"/>
      <c r="MGJ86" s="6"/>
      <c r="MGK86" s="6"/>
      <c r="MGL86" s="6"/>
      <c r="MGM86" s="6"/>
      <c r="MGN86" s="6"/>
      <c r="MGO86" s="6"/>
      <c r="MGP86" s="6"/>
      <c r="MGQ86" s="6"/>
      <c r="MGR86" s="6"/>
      <c r="MGS86" s="6"/>
      <c r="MGT86" s="6"/>
      <c r="MGU86" s="6"/>
      <c r="MGV86" s="6"/>
      <c r="MGW86" s="6"/>
      <c r="MGX86" s="6"/>
      <c r="MGY86" s="6"/>
      <c r="MGZ86" s="6"/>
      <c r="MHA86" s="6"/>
      <c r="MHB86" s="6"/>
      <c r="MHC86" s="6"/>
      <c r="MHD86" s="6"/>
      <c r="MHE86" s="6"/>
      <c r="MHF86" s="6"/>
      <c r="MHG86" s="6"/>
      <c r="MHH86" s="6"/>
      <c r="MHI86" s="6"/>
      <c r="MHJ86" s="6"/>
      <c r="MHK86" s="6"/>
      <c r="MHL86" s="6"/>
      <c r="MHM86" s="6"/>
      <c r="MHN86" s="6"/>
      <c r="MHO86" s="6"/>
      <c r="MHP86" s="6"/>
      <c r="MHQ86" s="6"/>
      <c r="MHR86" s="6"/>
      <c r="MHS86" s="6"/>
      <c r="MHT86" s="6"/>
      <c r="MHU86" s="6"/>
      <c r="MHV86" s="6"/>
      <c r="MHW86" s="6"/>
      <c r="MHX86" s="6"/>
      <c r="MHY86" s="6"/>
      <c r="MHZ86" s="6"/>
      <c r="MIA86" s="6"/>
      <c r="MIB86" s="6"/>
      <c r="MIC86" s="6"/>
      <c r="MID86" s="6"/>
      <c r="MIE86" s="6"/>
      <c r="MIF86" s="6"/>
      <c r="MIG86" s="6"/>
      <c r="MIH86" s="6"/>
      <c r="MII86" s="6"/>
      <c r="MIJ86" s="6"/>
      <c r="MIK86" s="6"/>
      <c r="MIL86" s="6"/>
      <c r="MIM86" s="6"/>
      <c r="MIN86" s="6"/>
      <c r="MIO86" s="6"/>
      <c r="MIP86" s="6"/>
      <c r="MIQ86" s="6"/>
      <c r="MIR86" s="6"/>
      <c r="MIS86" s="6"/>
      <c r="MIT86" s="6"/>
      <c r="MIU86" s="6"/>
      <c r="MIV86" s="6"/>
      <c r="MIW86" s="6"/>
      <c r="MIX86" s="6"/>
      <c r="MIY86" s="6"/>
      <c r="MIZ86" s="6"/>
      <c r="MJA86" s="6"/>
      <c r="MJB86" s="6"/>
      <c r="MJC86" s="6"/>
      <c r="MJD86" s="6"/>
      <c r="MJE86" s="6"/>
      <c r="MJF86" s="6"/>
      <c r="MJG86" s="6"/>
      <c r="MJH86" s="6"/>
      <c r="MJI86" s="6"/>
      <c r="MJJ86" s="6"/>
      <c r="MJK86" s="6"/>
      <c r="MJL86" s="6"/>
      <c r="MJM86" s="6"/>
      <c r="MJN86" s="6"/>
      <c r="MJO86" s="6"/>
      <c r="MJP86" s="6"/>
      <c r="MJQ86" s="6"/>
      <c r="MJR86" s="6"/>
      <c r="MJS86" s="6"/>
      <c r="MJT86" s="6"/>
      <c r="MJU86" s="6"/>
      <c r="MJV86" s="6"/>
      <c r="MJW86" s="6"/>
      <c r="MJX86" s="6"/>
      <c r="MJY86" s="6"/>
      <c r="MJZ86" s="6"/>
      <c r="MKA86" s="6"/>
      <c r="MKB86" s="6"/>
      <c r="MKC86" s="6"/>
      <c r="MKD86" s="6"/>
      <c r="MKE86" s="6"/>
      <c r="MKF86" s="6"/>
      <c r="MKG86" s="6"/>
      <c r="MKH86" s="6"/>
      <c r="MKI86" s="6"/>
      <c r="MKJ86" s="6"/>
      <c r="MKK86" s="6"/>
      <c r="MKL86" s="6"/>
      <c r="MKM86" s="6"/>
      <c r="MKN86" s="6"/>
      <c r="MKO86" s="6"/>
      <c r="MKP86" s="6"/>
      <c r="MKQ86" s="6"/>
      <c r="MKR86" s="6"/>
      <c r="MKS86" s="6"/>
      <c r="MKT86" s="6"/>
      <c r="MKU86" s="6"/>
      <c r="MKV86" s="6"/>
      <c r="MKW86" s="6"/>
      <c r="MKX86" s="6"/>
      <c r="MKY86" s="6"/>
      <c r="MKZ86" s="6"/>
      <c r="MLA86" s="6"/>
      <c r="MLB86" s="6"/>
      <c r="MLC86" s="6"/>
      <c r="MLD86" s="6"/>
      <c r="MLE86" s="6"/>
      <c r="MLF86" s="6"/>
      <c r="MLG86" s="6"/>
      <c r="MLH86" s="6"/>
      <c r="MLI86" s="6"/>
      <c r="MLJ86" s="6"/>
      <c r="MLK86" s="6"/>
      <c r="MLL86" s="6"/>
      <c r="MLM86" s="6"/>
      <c r="MLN86" s="6"/>
      <c r="MLO86" s="6"/>
      <c r="MLP86" s="6"/>
      <c r="MLQ86" s="6"/>
      <c r="MLR86" s="6"/>
      <c r="MLS86" s="6"/>
      <c r="MLT86" s="6"/>
      <c r="MLU86" s="6"/>
      <c r="MLV86" s="6"/>
      <c r="MLW86" s="6"/>
      <c r="MLX86" s="6"/>
      <c r="MLY86" s="6"/>
      <c r="MLZ86" s="6"/>
      <c r="MMA86" s="6"/>
      <c r="MMB86" s="6"/>
      <c r="MMC86" s="6"/>
      <c r="MMD86" s="6"/>
      <c r="MME86" s="6"/>
      <c r="MMF86" s="6"/>
      <c r="MMG86" s="6"/>
      <c r="MMH86" s="6"/>
      <c r="MMI86" s="6"/>
      <c r="MMJ86" s="6"/>
      <c r="MMK86" s="6"/>
      <c r="MML86" s="6"/>
      <c r="MMM86" s="6"/>
      <c r="MMN86" s="6"/>
      <c r="MMO86" s="6"/>
      <c r="MMP86" s="6"/>
      <c r="MMQ86" s="6"/>
      <c r="MMR86" s="6"/>
      <c r="MMS86" s="6"/>
      <c r="MMT86" s="6"/>
      <c r="MMU86" s="6"/>
      <c r="MMV86" s="6"/>
      <c r="MMW86" s="6"/>
      <c r="MMX86" s="6"/>
      <c r="MMY86" s="6"/>
      <c r="MMZ86" s="6"/>
      <c r="MNA86" s="6"/>
      <c r="MNB86" s="6"/>
      <c r="MNC86" s="6"/>
      <c r="MND86" s="6"/>
      <c r="MNE86" s="6"/>
      <c r="MNF86" s="6"/>
      <c r="MNG86" s="6"/>
      <c r="MNH86" s="6"/>
      <c r="MNI86" s="6"/>
      <c r="MNJ86" s="6"/>
      <c r="MNK86" s="6"/>
      <c r="MNL86" s="6"/>
      <c r="MNM86" s="6"/>
      <c r="MNN86" s="6"/>
      <c r="MNO86" s="6"/>
      <c r="MNP86" s="6"/>
      <c r="MNQ86" s="6"/>
      <c r="MNR86" s="6"/>
      <c r="MNS86" s="6"/>
      <c r="MNT86" s="6"/>
      <c r="MNU86" s="6"/>
      <c r="MNV86" s="6"/>
      <c r="MNW86" s="6"/>
      <c r="MNX86" s="6"/>
      <c r="MNY86" s="6"/>
      <c r="MNZ86" s="6"/>
      <c r="MOA86" s="6"/>
      <c r="MOB86" s="6"/>
      <c r="MOC86" s="6"/>
      <c r="MOD86" s="6"/>
      <c r="MOE86" s="6"/>
      <c r="MOF86" s="6"/>
      <c r="MOG86" s="6"/>
      <c r="MOH86" s="6"/>
      <c r="MOI86" s="6"/>
      <c r="MOJ86" s="6"/>
      <c r="MOK86" s="6"/>
      <c r="MOL86" s="6"/>
      <c r="MOM86" s="6"/>
      <c r="MON86" s="6"/>
      <c r="MOO86" s="6"/>
      <c r="MOP86" s="6"/>
      <c r="MOQ86" s="6"/>
      <c r="MOR86" s="6"/>
      <c r="MOS86" s="6"/>
      <c r="MOT86" s="6"/>
      <c r="MOU86" s="6"/>
      <c r="MOV86" s="6"/>
      <c r="MOW86" s="6"/>
      <c r="MOX86" s="6"/>
      <c r="MOY86" s="6"/>
      <c r="MOZ86" s="6"/>
      <c r="MPA86" s="6"/>
      <c r="MPB86" s="6"/>
      <c r="MPC86" s="6"/>
      <c r="MPD86" s="6"/>
      <c r="MPE86" s="6"/>
      <c r="MPF86" s="6"/>
      <c r="MPG86" s="6"/>
      <c r="MPH86" s="6"/>
      <c r="MPI86" s="6"/>
      <c r="MPJ86" s="6"/>
      <c r="MPK86" s="6"/>
      <c r="MPL86" s="6"/>
      <c r="MPM86" s="6"/>
      <c r="MPN86" s="6"/>
      <c r="MPO86" s="6"/>
      <c r="MPP86" s="6"/>
      <c r="MPQ86" s="6"/>
      <c r="MPR86" s="6"/>
      <c r="MPS86" s="6"/>
      <c r="MPT86" s="6"/>
      <c r="MPU86" s="6"/>
      <c r="MPV86" s="6"/>
      <c r="MPW86" s="6"/>
      <c r="MPX86" s="6"/>
      <c r="MPY86" s="6"/>
      <c r="MPZ86" s="6"/>
      <c r="MQA86" s="6"/>
      <c r="MQB86" s="6"/>
      <c r="MQC86" s="6"/>
      <c r="MQD86" s="6"/>
      <c r="MQE86" s="6"/>
      <c r="MQF86" s="6"/>
      <c r="MQG86" s="6"/>
      <c r="MQH86" s="6"/>
      <c r="MQI86" s="6"/>
      <c r="MQJ86" s="6"/>
      <c r="MQK86" s="6"/>
      <c r="MQL86" s="6"/>
      <c r="MQM86" s="6"/>
      <c r="MQN86" s="6"/>
      <c r="MQO86" s="6"/>
      <c r="MQP86" s="6"/>
      <c r="MQQ86" s="6"/>
      <c r="MQR86" s="6"/>
      <c r="MQS86" s="6"/>
      <c r="MQT86" s="6"/>
      <c r="MQU86" s="6"/>
      <c r="MQV86" s="6"/>
      <c r="MQW86" s="6"/>
      <c r="MQX86" s="6"/>
      <c r="MQY86" s="6"/>
      <c r="MQZ86" s="6"/>
      <c r="MRA86" s="6"/>
      <c r="MRB86" s="6"/>
      <c r="MRC86" s="6"/>
      <c r="MRD86" s="6"/>
      <c r="MRE86" s="6"/>
      <c r="MRF86" s="6"/>
      <c r="MRG86" s="6"/>
      <c r="MRH86" s="6"/>
      <c r="MRI86" s="6"/>
      <c r="MRJ86" s="6"/>
      <c r="MRK86" s="6"/>
      <c r="MRL86" s="6"/>
      <c r="MRM86" s="6"/>
      <c r="MRN86" s="6"/>
      <c r="MRO86" s="6"/>
      <c r="MRP86" s="6"/>
      <c r="MRQ86" s="6"/>
      <c r="MRR86" s="6"/>
      <c r="MRS86" s="6"/>
      <c r="MRT86" s="6"/>
      <c r="MRU86" s="6"/>
      <c r="MRV86" s="6"/>
      <c r="MRW86" s="6"/>
      <c r="MRX86" s="6"/>
      <c r="MRY86" s="6"/>
      <c r="MRZ86" s="6"/>
      <c r="MSA86" s="6"/>
      <c r="MSB86" s="6"/>
      <c r="MSC86" s="6"/>
      <c r="MSD86" s="6"/>
      <c r="MSE86" s="6"/>
      <c r="MSF86" s="6"/>
      <c r="MSG86" s="6"/>
      <c r="MSH86" s="6"/>
      <c r="MSI86" s="6"/>
      <c r="MSJ86" s="6"/>
      <c r="MSK86" s="6"/>
      <c r="MSL86" s="6"/>
      <c r="MSM86" s="6"/>
      <c r="MSN86" s="6"/>
      <c r="MSO86" s="6"/>
      <c r="MSP86" s="6"/>
      <c r="MSQ86" s="6"/>
      <c r="MSR86" s="6"/>
      <c r="MSS86" s="6"/>
      <c r="MST86" s="6"/>
      <c r="MSU86" s="6"/>
      <c r="MSV86" s="6"/>
      <c r="MSW86" s="6"/>
      <c r="MSX86" s="6"/>
      <c r="MSY86" s="6"/>
      <c r="MSZ86" s="6"/>
      <c r="MTA86" s="6"/>
      <c r="MTB86" s="6"/>
      <c r="MTC86" s="6"/>
      <c r="MTD86" s="6"/>
      <c r="MTE86" s="6"/>
      <c r="MTF86" s="6"/>
      <c r="MTG86" s="6"/>
      <c r="MTH86" s="6"/>
      <c r="MTI86" s="6"/>
      <c r="MTJ86" s="6"/>
      <c r="MTK86" s="6"/>
      <c r="MTL86" s="6"/>
      <c r="MTM86" s="6"/>
      <c r="MTN86" s="6"/>
      <c r="MTO86" s="6"/>
      <c r="MTP86" s="6"/>
      <c r="MTQ86" s="6"/>
      <c r="MTR86" s="6"/>
      <c r="MTS86" s="6"/>
      <c r="MTT86" s="6"/>
      <c r="MTU86" s="6"/>
      <c r="MTV86" s="6"/>
      <c r="MTW86" s="6"/>
      <c r="MTX86" s="6"/>
      <c r="MTY86" s="6"/>
      <c r="MTZ86" s="6"/>
      <c r="MUA86" s="6"/>
      <c r="MUB86" s="6"/>
      <c r="MUC86" s="6"/>
      <c r="MUD86" s="6"/>
      <c r="MUE86" s="6"/>
      <c r="MUF86" s="6"/>
      <c r="MUG86" s="6"/>
      <c r="MUH86" s="6"/>
      <c r="MUI86" s="6"/>
      <c r="MUJ86" s="6"/>
      <c r="MUK86" s="6"/>
      <c r="MUL86" s="6"/>
      <c r="MUM86" s="6"/>
      <c r="MUN86" s="6"/>
      <c r="MUO86" s="6"/>
      <c r="MUP86" s="6"/>
      <c r="MUQ86" s="6"/>
      <c r="MUR86" s="6"/>
      <c r="MUS86" s="6"/>
      <c r="MUT86" s="6"/>
      <c r="MUU86" s="6"/>
      <c r="MUV86" s="6"/>
      <c r="MUW86" s="6"/>
      <c r="MUX86" s="6"/>
      <c r="MUY86" s="6"/>
      <c r="MUZ86" s="6"/>
      <c r="MVA86" s="6"/>
      <c r="MVB86" s="6"/>
      <c r="MVC86" s="6"/>
      <c r="MVD86" s="6"/>
      <c r="MVE86" s="6"/>
      <c r="MVF86" s="6"/>
      <c r="MVG86" s="6"/>
      <c r="MVH86" s="6"/>
      <c r="MVI86" s="6"/>
      <c r="MVJ86" s="6"/>
      <c r="MVK86" s="6"/>
      <c r="MVL86" s="6"/>
      <c r="MVM86" s="6"/>
      <c r="MVN86" s="6"/>
      <c r="MVO86" s="6"/>
      <c r="MVP86" s="6"/>
      <c r="MVQ86" s="6"/>
      <c r="MVR86" s="6"/>
      <c r="MVS86" s="6"/>
      <c r="MVT86" s="6"/>
      <c r="MVU86" s="6"/>
      <c r="MVV86" s="6"/>
      <c r="MVW86" s="6"/>
      <c r="MVX86" s="6"/>
      <c r="MVY86" s="6"/>
      <c r="MVZ86" s="6"/>
      <c r="MWA86" s="6"/>
      <c r="MWB86" s="6"/>
      <c r="MWC86" s="6"/>
      <c r="MWD86" s="6"/>
      <c r="MWE86" s="6"/>
      <c r="MWF86" s="6"/>
      <c r="MWG86" s="6"/>
      <c r="MWH86" s="6"/>
      <c r="MWI86" s="6"/>
      <c r="MWJ86" s="6"/>
      <c r="MWK86" s="6"/>
      <c r="MWL86" s="6"/>
      <c r="MWM86" s="6"/>
      <c r="MWN86" s="6"/>
      <c r="MWO86" s="6"/>
      <c r="MWP86" s="6"/>
      <c r="MWQ86" s="6"/>
      <c r="MWR86" s="6"/>
      <c r="MWS86" s="6"/>
      <c r="MWT86" s="6"/>
      <c r="MWU86" s="6"/>
      <c r="MWV86" s="6"/>
      <c r="MWW86" s="6"/>
      <c r="MWX86" s="6"/>
      <c r="MWY86" s="6"/>
      <c r="MWZ86" s="6"/>
      <c r="MXA86" s="6"/>
      <c r="MXB86" s="6"/>
      <c r="MXC86" s="6"/>
      <c r="MXD86" s="6"/>
      <c r="MXE86" s="6"/>
      <c r="MXF86" s="6"/>
      <c r="MXG86" s="6"/>
      <c r="MXH86" s="6"/>
      <c r="MXI86" s="6"/>
      <c r="MXJ86" s="6"/>
      <c r="MXK86" s="6"/>
      <c r="MXL86" s="6"/>
      <c r="MXM86" s="6"/>
      <c r="MXN86" s="6"/>
      <c r="MXO86" s="6"/>
      <c r="MXP86" s="6"/>
      <c r="MXQ86" s="6"/>
      <c r="MXR86" s="6"/>
      <c r="MXS86" s="6"/>
      <c r="MXT86" s="6"/>
      <c r="MXU86" s="6"/>
      <c r="MXV86" s="6"/>
      <c r="MXW86" s="6"/>
      <c r="MXX86" s="6"/>
      <c r="MXY86" s="6"/>
      <c r="MXZ86" s="6"/>
      <c r="MYA86" s="6"/>
      <c r="MYB86" s="6"/>
      <c r="MYC86" s="6"/>
      <c r="MYD86" s="6"/>
      <c r="MYE86" s="6"/>
      <c r="MYF86" s="6"/>
      <c r="MYG86" s="6"/>
      <c r="MYH86" s="6"/>
      <c r="MYI86" s="6"/>
      <c r="MYJ86" s="6"/>
      <c r="MYK86" s="6"/>
      <c r="MYL86" s="6"/>
      <c r="MYM86" s="6"/>
      <c r="MYN86" s="6"/>
      <c r="MYO86" s="6"/>
      <c r="MYP86" s="6"/>
      <c r="MYQ86" s="6"/>
      <c r="MYR86" s="6"/>
      <c r="MYS86" s="6"/>
      <c r="MYT86" s="6"/>
      <c r="MYU86" s="6"/>
      <c r="MYV86" s="6"/>
      <c r="MYW86" s="6"/>
      <c r="MYX86" s="6"/>
      <c r="MYY86" s="6"/>
      <c r="MYZ86" s="6"/>
      <c r="MZA86" s="6"/>
      <c r="MZB86" s="6"/>
      <c r="MZC86" s="6"/>
      <c r="MZD86" s="6"/>
      <c r="MZE86" s="6"/>
      <c r="MZF86" s="6"/>
      <c r="MZG86" s="6"/>
      <c r="MZH86" s="6"/>
      <c r="MZI86" s="6"/>
      <c r="MZJ86" s="6"/>
      <c r="MZK86" s="6"/>
      <c r="MZL86" s="6"/>
      <c r="MZM86" s="6"/>
      <c r="MZN86" s="6"/>
      <c r="MZO86" s="6"/>
      <c r="MZP86" s="6"/>
      <c r="MZQ86" s="6"/>
      <c r="MZR86" s="6"/>
      <c r="MZS86" s="6"/>
      <c r="MZT86" s="6"/>
      <c r="MZU86" s="6"/>
      <c r="MZV86" s="6"/>
      <c r="MZW86" s="6"/>
      <c r="MZX86" s="6"/>
      <c r="MZY86" s="6"/>
      <c r="MZZ86" s="6"/>
      <c r="NAA86" s="6"/>
      <c r="NAB86" s="6"/>
      <c r="NAC86" s="6"/>
      <c r="NAD86" s="6"/>
      <c r="NAE86" s="6"/>
      <c r="NAF86" s="6"/>
      <c r="NAG86" s="6"/>
      <c r="NAH86" s="6"/>
      <c r="NAI86" s="6"/>
      <c r="NAJ86" s="6"/>
      <c r="NAK86" s="6"/>
      <c r="NAL86" s="6"/>
      <c r="NAM86" s="6"/>
      <c r="NAN86" s="6"/>
      <c r="NAO86" s="6"/>
      <c r="NAP86" s="6"/>
      <c r="NAQ86" s="6"/>
      <c r="NAR86" s="6"/>
      <c r="NAS86" s="6"/>
      <c r="NAT86" s="6"/>
      <c r="NAU86" s="6"/>
      <c r="NAV86" s="6"/>
      <c r="NAW86" s="6"/>
      <c r="NAX86" s="6"/>
      <c r="NAY86" s="6"/>
      <c r="NAZ86" s="6"/>
      <c r="NBA86" s="6"/>
      <c r="NBB86" s="6"/>
      <c r="NBC86" s="6"/>
      <c r="NBD86" s="6"/>
      <c r="NBE86" s="6"/>
      <c r="NBF86" s="6"/>
      <c r="NBG86" s="6"/>
      <c r="NBH86" s="6"/>
      <c r="NBI86" s="6"/>
      <c r="NBJ86" s="6"/>
      <c r="NBK86" s="6"/>
      <c r="NBL86" s="6"/>
      <c r="NBM86" s="6"/>
      <c r="NBN86" s="6"/>
      <c r="NBO86" s="6"/>
      <c r="NBP86" s="6"/>
      <c r="NBQ86" s="6"/>
      <c r="NBR86" s="6"/>
      <c r="NBS86" s="6"/>
      <c r="NBT86" s="6"/>
      <c r="NBU86" s="6"/>
      <c r="NBV86" s="6"/>
      <c r="NBW86" s="6"/>
      <c r="NBX86" s="6"/>
      <c r="NBY86" s="6"/>
      <c r="NBZ86" s="6"/>
      <c r="NCA86" s="6"/>
      <c r="NCB86" s="6"/>
      <c r="NCC86" s="6"/>
      <c r="NCD86" s="6"/>
      <c r="NCE86" s="6"/>
      <c r="NCF86" s="6"/>
      <c r="NCG86" s="6"/>
      <c r="NCH86" s="6"/>
      <c r="NCI86" s="6"/>
      <c r="NCJ86" s="6"/>
      <c r="NCK86" s="6"/>
      <c r="NCL86" s="6"/>
      <c r="NCM86" s="6"/>
      <c r="NCN86" s="6"/>
      <c r="NCO86" s="6"/>
      <c r="NCP86" s="6"/>
      <c r="NCQ86" s="6"/>
      <c r="NCR86" s="6"/>
      <c r="NCS86" s="6"/>
      <c r="NCT86" s="6"/>
      <c r="NCU86" s="6"/>
      <c r="NCV86" s="6"/>
      <c r="NCW86" s="6"/>
      <c r="NCX86" s="6"/>
      <c r="NCY86" s="6"/>
      <c r="NCZ86" s="6"/>
      <c r="NDA86" s="6"/>
      <c r="NDB86" s="6"/>
      <c r="NDC86" s="6"/>
      <c r="NDD86" s="6"/>
      <c r="NDE86" s="6"/>
      <c r="NDF86" s="6"/>
      <c r="NDG86" s="6"/>
      <c r="NDH86" s="6"/>
      <c r="NDI86" s="6"/>
      <c r="NDJ86" s="6"/>
      <c r="NDK86" s="6"/>
      <c r="NDL86" s="6"/>
      <c r="NDM86" s="6"/>
      <c r="NDN86" s="6"/>
      <c r="NDO86" s="6"/>
      <c r="NDP86" s="6"/>
      <c r="NDQ86" s="6"/>
      <c r="NDR86" s="6"/>
      <c r="NDS86" s="6"/>
      <c r="NDT86" s="6"/>
      <c r="NDU86" s="6"/>
      <c r="NDV86" s="6"/>
      <c r="NDW86" s="6"/>
      <c r="NDX86" s="6"/>
      <c r="NDY86" s="6"/>
      <c r="NDZ86" s="6"/>
      <c r="NEA86" s="6"/>
      <c r="NEB86" s="6"/>
      <c r="NEC86" s="6"/>
      <c r="NED86" s="6"/>
      <c r="NEE86" s="6"/>
      <c r="NEF86" s="6"/>
      <c r="NEG86" s="6"/>
      <c r="NEH86" s="6"/>
      <c r="NEI86" s="6"/>
      <c r="NEJ86" s="6"/>
      <c r="NEK86" s="6"/>
      <c r="NEL86" s="6"/>
      <c r="NEM86" s="6"/>
      <c r="NEN86" s="6"/>
      <c r="NEO86" s="6"/>
      <c r="NEP86" s="6"/>
      <c r="NEQ86" s="6"/>
      <c r="NER86" s="6"/>
      <c r="NES86" s="6"/>
      <c r="NET86" s="6"/>
      <c r="NEU86" s="6"/>
      <c r="NEV86" s="6"/>
      <c r="NEW86" s="6"/>
      <c r="NEX86" s="6"/>
      <c r="NEY86" s="6"/>
      <c r="NEZ86" s="6"/>
      <c r="NFA86" s="6"/>
      <c r="NFB86" s="6"/>
      <c r="NFC86" s="6"/>
      <c r="NFD86" s="6"/>
      <c r="NFE86" s="6"/>
      <c r="NFF86" s="6"/>
      <c r="NFG86" s="6"/>
      <c r="NFH86" s="6"/>
      <c r="NFI86" s="6"/>
      <c r="NFJ86" s="6"/>
      <c r="NFK86" s="6"/>
      <c r="NFL86" s="6"/>
      <c r="NFM86" s="6"/>
      <c r="NFN86" s="6"/>
      <c r="NFO86" s="6"/>
      <c r="NFP86" s="6"/>
      <c r="NFQ86" s="6"/>
      <c r="NFR86" s="6"/>
      <c r="NFS86" s="6"/>
      <c r="NFT86" s="6"/>
      <c r="NFU86" s="6"/>
      <c r="NFV86" s="6"/>
      <c r="NFW86" s="6"/>
      <c r="NFX86" s="6"/>
      <c r="NFY86" s="6"/>
      <c r="NFZ86" s="6"/>
      <c r="NGA86" s="6"/>
      <c r="NGB86" s="6"/>
      <c r="NGC86" s="6"/>
      <c r="NGD86" s="6"/>
      <c r="NGE86" s="6"/>
      <c r="NGF86" s="6"/>
      <c r="NGG86" s="6"/>
      <c r="NGH86" s="6"/>
      <c r="NGI86" s="6"/>
      <c r="NGJ86" s="6"/>
      <c r="NGK86" s="6"/>
      <c r="NGL86" s="6"/>
      <c r="NGM86" s="6"/>
      <c r="NGN86" s="6"/>
      <c r="NGO86" s="6"/>
      <c r="NGP86" s="6"/>
      <c r="NGQ86" s="6"/>
      <c r="NGR86" s="6"/>
      <c r="NGS86" s="6"/>
      <c r="NGT86" s="6"/>
      <c r="NGU86" s="6"/>
      <c r="NGV86" s="6"/>
      <c r="NGW86" s="6"/>
      <c r="NGX86" s="6"/>
      <c r="NGY86" s="6"/>
      <c r="NGZ86" s="6"/>
      <c r="NHA86" s="6"/>
      <c r="NHB86" s="6"/>
      <c r="NHC86" s="6"/>
      <c r="NHD86" s="6"/>
      <c r="NHE86" s="6"/>
      <c r="NHF86" s="6"/>
      <c r="NHG86" s="6"/>
      <c r="NHH86" s="6"/>
      <c r="NHI86" s="6"/>
      <c r="NHJ86" s="6"/>
      <c r="NHK86" s="6"/>
      <c r="NHL86" s="6"/>
      <c r="NHM86" s="6"/>
      <c r="NHN86" s="6"/>
      <c r="NHO86" s="6"/>
      <c r="NHP86" s="6"/>
      <c r="NHQ86" s="6"/>
      <c r="NHR86" s="6"/>
      <c r="NHS86" s="6"/>
      <c r="NHT86" s="6"/>
      <c r="NHU86" s="6"/>
      <c r="NHV86" s="6"/>
      <c r="NHW86" s="6"/>
      <c r="NHX86" s="6"/>
      <c r="NHY86" s="6"/>
      <c r="NHZ86" s="6"/>
      <c r="NIA86" s="6"/>
      <c r="NIB86" s="6"/>
      <c r="NIC86" s="6"/>
      <c r="NID86" s="6"/>
      <c r="NIE86" s="6"/>
      <c r="NIF86" s="6"/>
      <c r="NIG86" s="6"/>
      <c r="NIH86" s="6"/>
      <c r="NII86" s="6"/>
      <c r="NIJ86" s="6"/>
      <c r="NIK86" s="6"/>
      <c r="NIL86" s="6"/>
      <c r="NIM86" s="6"/>
      <c r="NIN86" s="6"/>
      <c r="NIO86" s="6"/>
      <c r="NIP86" s="6"/>
      <c r="NIQ86" s="6"/>
      <c r="NIR86" s="6"/>
      <c r="NIS86" s="6"/>
      <c r="NIT86" s="6"/>
      <c r="NIU86" s="6"/>
      <c r="NIV86" s="6"/>
      <c r="NIW86" s="6"/>
      <c r="NIX86" s="6"/>
      <c r="NIY86" s="6"/>
      <c r="NIZ86" s="6"/>
      <c r="NJA86" s="6"/>
      <c r="NJB86" s="6"/>
      <c r="NJC86" s="6"/>
      <c r="NJD86" s="6"/>
      <c r="NJE86" s="6"/>
      <c r="NJF86" s="6"/>
      <c r="NJG86" s="6"/>
      <c r="NJH86" s="6"/>
      <c r="NJI86" s="6"/>
      <c r="NJJ86" s="6"/>
      <c r="NJK86" s="6"/>
      <c r="NJL86" s="6"/>
      <c r="NJM86" s="6"/>
      <c r="NJN86" s="6"/>
      <c r="NJO86" s="6"/>
      <c r="NJP86" s="6"/>
      <c r="NJQ86" s="6"/>
      <c r="NJR86" s="6"/>
      <c r="NJS86" s="6"/>
      <c r="NJT86" s="6"/>
      <c r="NJU86" s="6"/>
      <c r="NJV86" s="6"/>
      <c r="NJW86" s="6"/>
      <c r="NJX86" s="6"/>
      <c r="NJY86" s="6"/>
      <c r="NJZ86" s="6"/>
      <c r="NKA86" s="6"/>
      <c r="NKB86" s="6"/>
      <c r="NKC86" s="6"/>
      <c r="NKD86" s="6"/>
      <c r="NKE86" s="6"/>
      <c r="NKF86" s="6"/>
      <c r="NKG86" s="6"/>
      <c r="NKH86" s="6"/>
      <c r="NKI86" s="6"/>
      <c r="NKJ86" s="6"/>
      <c r="NKK86" s="6"/>
      <c r="NKL86" s="6"/>
      <c r="NKM86" s="6"/>
      <c r="NKN86" s="6"/>
      <c r="NKO86" s="6"/>
      <c r="NKP86" s="6"/>
      <c r="NKQ86" s="6"/>
      <c r="NKR86" s="6"/>
      <c r="NKS86" s="6"/>
      <c r="NKT86" s="6"/>
      <c r="NKU86" s="6"/>
      <c r="NKV86" s="6"/>
      <c r="NKW86" s="6"/>
      <c r="NKX86" s="6"/>
      <c r="NKY86" s="6"/>
      <c r="NKZ86" s="6"/>
      <c r="NLA86" s="6"/>
      <c r="NLB86" s="6"/>
      <c r="NLC86" s="6"/>
      <c r="NLD86" s="6"/>
      <c r="NLE86" s="6"/>
      <c r="NLF86" s="6"/>
      <c r="NLG86" s="6"/>
      <c r="NLH86" s="6"/>
      <c r="NLI86" s="6"/>
      <c r="NLJ86" s="6"/>
      <c r="NLK86" s="6"/>
      <c r="NLL86" s="6"/>
      <c r="NLM86" s="6"/>
      <c r="NLN86" s="6"/>
      <c r="NLO86" s="6"/>
      <c r="NLP86" s="6"/>
      <c r="NLQ86" s="6"/>
      <c r="NLR86" s="6"/>
      <c r="NLS86" s="6"/>
      <c r="NLT86" s="6"/>
      <c r="NLU86" s="6"/>
      <c r="NLV86" s="6"/>
      <c r="NLW86" s="6"/>
      <c r="NLX86" s="6"/>
      <c r="NLY86" s="6"/>
      <c r="NLZ86" s="6"/>
      <c r="NMA86" s="6"/>
      <c r="NMB86" s="6"/>
      <c r="NMC86" s="6"/>
      <c r="NMD86" s="6"/>
      <c r="NME86" s="6"/>
      <c r="NMF86" s="6"/>
      <c r="NMG86" s="6"/>
      <c r="NMH86" s="6"/>
      <c r="NMI86" s="6"/>
      <c r="NMJ86" s="6"/>
      <c r="NMK86" s="6"/>
      <c r="NML86" s="6"/>
      <c r="NMM86" s="6"/>
      <c r="NMN86" s="6"/>
      <c r="NMO86" s="6"/>
      <c r="NMP86" s="6"/>
      <c r="NMQ86" s="6"/>
      <c r="NMR86" s="6"/>
      <c r="NMS86" s="6"/>
      <c r="NMT86" s="6"/>
      <c r="NMU86" s="6"/>
      <c r="NMV86" s="6"/>
      <c r="NMW86" s="6"/>
      <c r="NMX86" s="6"/>
      <c r="NMY86" s="6"/>
      <c r="NMZ86" s="6"/>
      <c r="NNA86" s="6"/>
      <c r="NNB86" s="6"/>
      <c r="NNC86" s="6"/>
      <c r="NND86" s="6"/>
      <c r="NNE86" s="6"/>
      <c r="NNF86" s="6"/>
      <c r="NNG86" s="6"/>
      <c r="NNH86" s="6"/>
      <c r="NNI86" s="6"/>
      <c r="NNJ86" s="6"/>
      <c r="NNK86" s="6"/>
      <c r="NNL86" s="6"/>
      <c r="NNM86" s="6"/>
      <c r="NNN86" s="6"/>
      <c r="NNO86" s="6"/>
      <c r="NNP86" s="6"/>
      <c r="NNQ86" s="6"/>
      <c r="NNR86" s="6"/>
      <c r="NNS86" s="6"/>
      <c r="NNT86" s="6"/>
      <c r="NNU86" s="6"/>
      <c r="NNV86" s="6"/>
      <c r="NNW86" s="6"/>
      <c r="NNX86" s="6"/>
      <c r="NNY86" s="6"/>
      <c r="NNZ86" s="6"/>
      <c r="NOA86" s="6"/>
      <c r="NOB86" s="6"/>
      <c r="NOC86" s="6"/>
      <c r="NOD86" s="6"/>
      <c r="NOE86" s="6"/>
      <c r="NOF86" s="6"/>
      <c r="NOG86" s="6"/>
      <c r="NOH86" s="6"/>
      <c r="NOI86" s="6"/>
      <c r="NOJ86" s="6"/>
      <c r="NOK86" s="6"/>
      <c r="NOL86" s="6"/>
      <c r="NOM86" s="6"/>
      <c r="NON86" s="6"/>
      <c r="NOO86" s="6"/>
      <c r="NOP86" s="6"/>
      <c r="NOQ86" s="6"/>
      <c r="NOR86" s="6"/>
      <c r="NOS86" s="6"/>
      <c r="NOT86" s="6"/>
      <c r="NOU86" s="6"/>
      <c r="NOV86" s="6"/>
      <c r="NOW86" s="6"/>
      <c r="NOX86" s="6"/>
      <c r="NOY86" s="6"/>
      <c r="NOZ86" s="6"/>
      <c r="NPA86" s="6"/>
      <c r="NPB86" s="6"/>
      <c r="NPC86" s="6"/>
      <c r="NPD86" s="6"/>
      <c r="NPE86" s="6"/>
      <c r="NPF86" s="6"/>
      <c r="NPG86" s="6"/>
      <c r="NPH86" s="6"/>
      <c r="NPI86" s="6"/>
      <c r="NPJ86" s="6"/>
      <c r="NPK86" s="6"/>
      <c r="NPL86" s="6"/>
      <c r="NPM86" s="6"/>
      <c r="NPN86" s="6"/>
      <c r="NPO86" s="6"/>
      <c r="NPP86" s="6"/>
      <c r="NPQ86" s="6"/>
      <c r="NPR86" s="6"/>
      <c r="NPS86" s="6"/>
      <c r="NPT86" s="6"/>
      <c r="NPU86" s="6"/>
      <c r="NPV86" s="6"/>
      <c r="NPW86" s="6"/>
      <c r="NPX86" s="6"/>
      <c r="NPY86" s="6"/>
      <c r="NPZ86" s="6"/>
      <c r="NQA86" s="6"/>
      <c r="NQB86" s="6"/>
      <c r="NQC86" s="6"/>
      <c r="NQD86" s="6"/>
      <c r="NQE86" s="6"/>
      <c r="NQF86" s="6"/>
      <c r="NQG86" s="6"/>
      <c r="NQH86" s="6"/>
      <c r="NQI86" s="6"/>
      <c r="NQJ86" s="6"/>
      <c r="NQK86" s="6"/>
      <c r="NQL86" s="6"/>
      <c r="NQM86" s="6"/>
      <c r="NQN86" s="6"/>
      <c r="NQO86" s="6"/>
      <c r="NQP86" s="6"/>
      <c r="NQQ86" s="6"/>
      <c r="NQR86" s="6"/>
      <c r="NQS86" s="6"/>
      <c r="NQT86" s="6"/>
      <c r="NQU86" s="6"/>
      <c r="NQV86" s="6"/>
      <c r="NQW86" s="6"/>
      <c r="NQX86" s="6"/>
      <c r="NQY86" s="6"/>
      <c r="NQZ86" s="6"/>
      <c r="NRA86" s="6"/>
      <c r="NRB86" s="6"/>
      <c r="NRC86" s="6"/>
      <c r="NRD86" s="6"/>
      <c r="NRE86" s="6"/>
      <c r="NRF86" s="6"/>
      <c r="NRG86" s="6"/>
      <c r="NRH86" s="6"/>
      <c r="NRI86" s="6"/>
      <c r="NRJ86" s="6"/>
      <c r="NRK86" s="6"/>
      <c r="NRL86" s="6"/>
      <c r="NRM86" s="6"/>
      <c r="NRN86" s="6"/>
      <c r="NRO86" s="6"/>
      <c r="NRP86" s="6"/>
      <c r="NRQ86" s="6"/>
      <c r="NRR86" s="6"/>
      <c r="NRS86" s="6"/>
      <c r="NRT86" s="6"/>
      <c r="NRU86" s="6"/>
      <c r="NRV86" s="6"/>
      <c r="NRW86" s="6"/>
      <c r="NRX86" s="6"/>
      <c r="NRY86" s="6"/>
      <c r="NRZ86" s="6"/>
      <c r="NSA86" s="6"/>
      <c r="NSB86" s="6"/>
      <c r="NSC86" s="6"/>
      <c r="NSD86" s="6"/>
      <c r="NSE86" s="6"/>
      <c r="NSF86" s="6"/>
      <c r="NSG86" s="6"/>
      <c r="NSH86" s="6"/>
      <c r="NSI86" s="6"/>
      <c r="NSJ86" s="6"/>
      <c r="NSK86" s="6"/>
      <c r="NSL86" s="6"/>
      <c r="NSM86" s="6"/>
      <c r="NSN86" s="6"/>
      <c r="NSO86" s="6"/>
      <c r="NSP86" s="6"/>
      <c r="NSQ86" s="6"/>
      <c r="NSR86" s="6"/>
      <c r="NSS86" s="6"/>
      <c r="NST86" s="6"/>
      <c r="NSU86" s="6"/>
      <c r="NSV86" s="6"/>
      <c r="NSW86" s="6"/>
      <c r="NSX86" s="6"/>
      <c r="NSY86" s="6"/>
      <c r="NSZ86" s="6"/>
      <c r="NTA86" s="6"/>
      <c r="NTB86" s="6"/>
      <c r="NTC86" s="6"/>
      <c r="NTD86" s="6"/>
      <c r="NTE86" s="6"/>
      <c r="NTF86" s="6"/>
      <c r="NTG86" s="6"/>
      <c r="NTH86" s="6"/>
      <c r="NTI86" s="6"/>
      <c r="NTJ86" s="6"/>
      <c r="NTK86" s="6"/>
      <c r="NTL86" s="6"/>
      <c r="NTM86" s="6"/>
      <c r="NTN86" s="6"/>
      <c r="NTO86" s="6"/>
      <c r="NTP86" s="6"/>
      <c r="NTQ86" s="6"/>
      <c r="NTR86" s="6"/>
      <c r="NTS86" s="6"/>
      <c r="NTT86" s="6"/>
      <c r="NTU86" s="6"/>
      <c r="NTV86" s="6"/>
      <c r="NTW86" s="6"/>
      <c r="NTX86" s="6"/>
      <c r="NTY86" s="6"/>
      <c r="NTZ86" s="6"/>
      <c r="NUA86" s="6"/>
      <c r="NUB86" s="6"/>
      <c r="NUC86" s="6"/>
      <c r="NUD86" s="6"/>
      <c r="NUE86" s="6"/>
      <c r="NUF86" s="6"/>
      <c r="NUG86" s="6"/>
      <c r="NUH86" s="6"/>
      <c r="NUI86" s="6"/>
      <c r="NUJ86" s="6"/>
      <c r="NUK86" s="6"/>
      <c r="NUL86" s="6"/>
      <c r="NUM86" s="6"/>
      <c r="NUN86" s="6"/>
      <c r="NUO86" s="6"/>
      <c r="NUP86" s="6"/>
      <c r="NUQ86" s="6"/>
      <c r="NUR86" s="6"/>
      <c r="NUS86" s="6"/>
      <c r="NUT86" s="6"/>
      <c r="NUU86" s="6"/>
      <c r="NUV86" s="6"/>
      <c r="NUW86" s="6"/>
      <c r="NUX86" s="6"/>
      <c r="NUY86" s="6"/>
      <c r="NUZ86" s="6"/>
      <c r="NVA86" s="6"/>
      <c r="NVB86" s="6"/>
      <c r="NVC86" s="6"/>
      <c r="NVD86" s="6"/>
      <c r="NVE86" s="6"/>
      <c r="NVF86" s="6"/>
      <c r="NVG86" s="6"/>
      <c r="NVH86" s="6"/>
      <c r="NVI86" s="6"/>
      <c r="NVJ86" s="6"/>
      <c r="NVK86" s="6"/>
      <c r="NVL86" s="6"/>
      <c r="NVM86" s="6"/>
      <c r="NVN86" s="6"/>
      <c r="NVO86" s="6"/>
      <c r="NVP86" s="6"/>
      <c r="NVQ86" s="6"/>
      <c r="NVR86" s="6"/>
      <c r="NVS86" s="6"/>
      <c r="NVT86" s="6"/>
      <c r="NVU86" s="6"/>
      <c r="NVV86" s="6"/>
      <c r="NVW86" s="6"/>
      <c r="NVX86" s="6"/>
      <c r="NVY86" s="6"/>
      <c r="NVZ86" s="6"/>
      <c r="NWA86" s="6"/>
      <c r="NWB86" s="6"/>
      <c r="NWC86" s="6"/>
      <c r="NWD86" s="6"/>
      <c r="NWE86" s="6"/>
      <c r="NWF86" s="6"/>
      <c r="NWG86" s="6"/>
      <c r="NWH86" s="6"/>
      <c r="NWI86" s="6"/>
      <c r="NWJ86" s="6"/>
      <c r="NWK86" s="6"/>
      <c r="NWL86" s="6"/>
      <c r="NWM86" s="6"/>
      <c r="NWN86" s="6"/>
      <c r="NWO86" s="6"/>
      <c r="NWP86" s="6"/>
      <c r="NWQ86" s="6"/>
      <c r="NWR86" s="6"/>
      <c r="NWS86" s="6"/>
      <c r="NWT86" s="6"/>
      <c r="NWU86" s="6"/>
      <c r="NWV86" s="6"/>
      <c r="NWW86" s="6"/>
      <c r="NWX86" s="6"/>
      <c r="NWY86" s="6"/>
      <c r="NWZ86" s="6"/>
      <c r="NXA86" s="6"/>
      <c r="NXB86" s="6"/>
      <c r="NXC86" s="6"/>
      <c r="NXD86" s="6"/>
      <c r="NXE86" s="6"/>
      <c r="NXF86" s="6"/>
      <c r="NXG86" s="6"/>
      <c r="NXH86" s="6"/>
      <c r="NXI86" s="6"/>
      <c r="NXJ86" s="6"/>
      <c r="NXK86" s="6"/>
      <c r="NXL86" s="6"/>
      <c r="NXM86" s="6"/>
      <c r="NXN86" s="6"/>
      <c r="NXO86" s="6"/>
      <c r="NXP86" s="6"/>
      <c r="NXQ86" s="6"/>
      <c r="NXR86" s="6"/>
      <c r="NXS86" s="6"/>
      <c r="NXT86" s="6"/>
      <c r="NXU86" s="6"/>
      <c r="NXV86" s="6"/>
      <c r="NXW86" s="6"/>
      <c r="NXX86" s="6"/>
      <c r="NXY86" s="6"/>
      <c r="NXZ86" s="6"/>
      <c r="NYA86" s="6"/>
      <c r="NYB86" s="6"/>
      <c r="NYC86" s="6"/>
      <c r="NYD86" s="6"/>
      <c r="NYE86" s="6"/>
      <c r="NYF86" s="6"/>
      <c r="NYG86" s="6"/>
      <c r="NYH86" s="6"/>
      <c r="NYI86" s="6"/>
      <c r="NYJ86" s="6"/>
      <c r="NYK86" s="6"/>
      <c r="NYL86" s="6"/>
      <c r="NYM86" s="6"/>
      <c r="NYN86" s="6"/>
      <c r="NYO86" s="6"/>
      <c r="NYP86" s="6"/>
      <c r="NYQ86" s="6"/>
      <c r="NYR86" s="6"/>
      <c r="NYS86" s="6"/>
      <c r="NYT86" s="6"/>
      <c r="NYU86" s="6"/>
      <c r="NYV86" s="6"/>
      <c r="NYW86" s="6"/>
      <c r="NYX86" s="6"/>
      <c r="NYY86" s="6"/>
      <c r="NYZ86" s="6"/>
      <c r="NZA86" s="6"/>
      <c r="NZB86" s="6"/>
      <c r="NZC86" s="6"/>
      <c r="NZD86" s="6"/>
      <c r="NZE86" s="6"/>
      <c r="NZF86" s="6"/>
      <c r="NZG86" s="6"/>
      <c r="NZH86" s="6"/>
      <c r="NZI86" s="6"/>
      <c r="NZJ86" s="6"/>
      <c r="NZK86" s="6"/>
      <c r="NZL86" s="6"/>
      <c r="NZM86" s="6"/>
      <c r="NZN86" s="6"/>
      <c r="NZO86" s="6"/>
      <c r="NZP86" s="6"/>
      <c r="NZQ86" s="6"/>
      <c r="NZR86" s="6"/>
      <c r="NZS86" s="6"/>
      <c r="NZT86" s="6"/>
      <c r="NZU86" s="6"/>
      <c r="NZV86" s="6"/>
      <c r="NZW86" s="6"/>
      <c r="NZX86" s="6"/>
      <c r="NZY86" s="6"/>
      <c r="NZZ86" s="6"/>
      <c r="OAA86" s="6"/>
      <c r="OAB86" s="6"/>
      <c r="OAC86" s="6"/>
      <c r="OAD86" s="6"/>
      <c r="OAE86" s="6"/>
      <c r="OAF86" s="6"/>
      <c r="OAG86" s="6"/>
      <c r="OAH86" s="6"/>
      <c r="OAI86" s="6"/>
      <c r="OAJ86" s="6"/>
      <c r="OAK86" s="6"/>
      <c r="OAL86" s="6"/>
      <c r="OAM86" s="6"/>
      <c r="OAN86" s="6"/>
      <c r="OAO86" s="6"/>
      <c r="OAP86" s="6"/>
      <c r="OAQ86" s="6"/>
      <c r="OAR86" s="6"/>
      <c r="OAS86" s="6"/>
      <c r="OAT86" s="6"/>
      <c r="OAU86" s="6"/>
      <c r="OAV86" s="6"/>
      <c r="OAW86" s="6"/>
      <c r="OAX86" s="6"/>
      <c r="OAY86" s="6"/>
      <c r="OAZ86" s="6"/>
      <c r="OBA86" s="6"/>
      <c r="OBB86" s="6"/>
      <c r="OBC86" s="6"/>
      <c r="OBD86" s="6"/>
      <c r="OBE86" s="6"/>
      <c r="OBF86" s="6"/>
      <c r="OBG86" s="6"/>
      <c r="OBH86" s="6"/>
      <c r="OBI86" s="6"/>
      <c r="OBJ86" s="6"/>
      <c r="OBK86" s="6"/>
      <c r="OBL86" s="6"/>
      <c r="OBM86" s="6"/>
      <c r="OBN86" s="6"/>
      <c r="OBO86" s="6"/>
      <c r="OBP86" s="6"/>
      <c r="OBQ86" s="6"/>
      <c r="OBR86" s="6"/>
      <c r="OBS86" s="6"/>
      <c r="OBT86" s="6"/>
      <c r="OBU86" s="6"/>
      <c r="OBV86" s="6"/>
      <c r="OBW86" s="6"/>
      <c r="OBX86" s="6"/>
      <c r="OBY86" s="6"/>
      <c r="OBZ86" s="6"/>
      <c r="OCA86" s="6"/>
      <c r="OCB86" s="6"/>
      <c r="OCC86" s="6"/>
      <c r="OCD86" s="6"/>
      <c r="OCE86" s="6"/>
      <c r="OCF86" s="6"/>
      <c r="OCG86" s="6"/>
      <c r="OCH86" s="6"/>
      <c r="OCI86" s="6"/>
      <c r="OCJ86" s="6"/>
      <c r="OCK86" s="6"/>
      <c r="OCL86" s="6"/>
      <c r="OCM86" s="6"/>
      <c r="OCN86" s="6"/>
      <c r="OCO86" s="6"/>
      <c r="OCP86" s="6"/>
      <c r="OCQ86" s="6"/>
      <c r="OCR86" s="6"/>
      <c r="OCS86" s="6"/>
      <c r="OCT86" s="6"/>
      <c r="OCU86" s="6"/>
      <c r="OCV86" s="6"/>
      <c r="OCW86" s="6"/>
      <c r="OCX86" s="6"/>
      <c r="OCY86" s="6"/>
      <c r="OCZ86" s="6"/>
      <c r="ODA86" s="6"/>
      <c r="ODB86" s="6"/>
      <c r="ODC86" s="6"/>
      <c r="ODD86" s="6"/>
      <c r="ODE86" s="6"/>
      <c r="ODF86" s="6"/>
      <c r="ODG86" s="6"/>
      <c r="ODH86" s="6"/>
      <c r="ODI86" s="6"/>
      <c r="ODJ86" s="6"/>
      <c r="ODK86" s="6"/>
      <c r="ODL86" s="6"/>
      <c r="ODM86" s="6"/>
      <c r="ODN86" s="6"/>
      <c r="ODO86" s="6"/>
      <c r="ODP86" s="6"/>
      <c r="ODQ86" s="6"/>
      <c r="ODR86" s="6"/>
      <c r="ODS86" s="6"/>
      <c r="ODT86" s="6"/>
      <c r="ODU86" s="6"/>
      <c r="ODV86" s="6"/>
      <c r="ODW86" s="6"/>
      <c r="ODX86" s="6"/>
      <c r="ODY86" s="6"/>
      <c r="ODZ86" s="6"/>
      <c r="OEA86" s="6"/>
      <c r="OEB86" s="6"/>
      <c r="OEC86" s="6"/>
      <c r="OED86" s="6"/>
      <c r="OEE86" s="6"/>
      <c r="OEF86" s="6"/>
      <c r="OEG86" s="6"/>
      <c r="OEH86" s="6"/>
      <c r="OEI86" s="6"/>
      <c r="OEJ86" s="6"/>
      <c r="OEK86" s="6"/>
      <c r="OEL86" s="6"/>
      <c r="OEM86" s="6"/>
      <c r="OEN86" s="6"/>
      <c r="OEO86" s="6"/>
      <c r="OEP86" s="6"/>
      <c r="OEQ86" s="6"/>
      <c r="OER86" s="6"/>
      <c r="OES86" s="6"/>
      <c r="OET86" s="6"/>
      <c r="OEU86" s="6"/>
      <c r="OEV86" s="6"/>
      <c r="OEW86" s="6"/>
      <c r="OEX86" s="6"/>
      <c r="OEY86" s="6"/>
      <c r="OEZ86" s="6"/>
      <c r="OFA86" s="6"/>
      <c r="OFB86" s="6"/>
      <c r="OFC86" s="6"/>
      <c r="OFD86" s="6"/>
      <c r="OFE86" s="6"/>
      <c r="OFF86" s="6"/>
      <c r="OFG86" s="6"/>
      <c r="OFH86" s="6"/>
      <c r="OFI86" s="6"/>
      <c r="OFJ86" s="6"/>
      <c r="OFK86" s="6"/>
      <c r="OFL86" s="6"/>
      <c r="OFM86" s="6"/>
      <c r="OFN86" s="6"/>
      <c r="OFO86" s="6"/>
      <c r="OFP86" s="6"/>
      <c r="OFQ86" s="6"/>
      <c r="OFR86" s="6"/>
      <c r="OFS86" s="6"/>
      <c r="OFT86" s="6"/>
      <c r="OFU86" s="6"/>
      <c r="OFV86" s="6"/>
      <c r="OFW86" s="6"/>
      <c r="OFX86" s="6"/>
      <c r="OFY86" s="6"/>
      <c r="OFZ86" s="6"/>
      <c r="OGA86" s="6"/>
      <c r="OGB86" s="6"/>
      <c r="OGC86" s="6"/>
      <c r="OGD86" s="6"/>
      <c r="OGE86" s="6"/>
      <c r="OGF86" s="6"/>
      <c r="OGG86" s="6"/>
      <c r="OGH86" s="6"/>
      <c r="OGI86" s="6"/>
      <c r="OGJ86" s="6"/>
      <c r="OGK86" s="6"/>
      <c r="OGL86" s="6"/>
      <c r="OGM86" s="6"/>
      <c r="OGN86" s="6"/>
      <c r="OGO86" s="6"/>
      <c r="OGP86" s="6"/>
      <c r="OGQ86" s="6"/>
      <c r="OGR86" s="6"/>
      <c r="OGS86" s="6"/>
      <c r="OGT86" s="6"/>
      <c r="OGU86" s="6"/>
      <c r="OGV86" s="6"/>
      <c r="OGW86" s="6"/>
      <c r="OGX86" s="6"/>
      <c r="OGY86" s="6"/>
      <c r="OGZ86" s="6"/>
      <c r="OHA86" s="6"/>
      <c r="OHB86" s="6"/>
      <c r="OHC86" s="6"/>
      <c r="OHD86" s="6"/>
      <c r="OHE86" s="6"/>
      <c r="OHF86" s="6"/>
      <c r="OHG86" s="6"/>
      <c r="OHH86" s="6"/>
      <c r="OHI86" s="6"/>
      <c r="OHJ86" s="6"/>
      <c r="OHK86" s="6"/>
      <c r="OHL86" s="6"/>
      <c r="OHM86" s="6"/>
      <c r="OHN86" s="6"/>
      <c r="OHO86" s="6"/>
      <c r="OHP86" s="6"/>
      <c r="OHQ86" s="6"/>
      <c r="OHR86" s="6"/>
      <c r="OHS86" s="6"/>
      <c r="OHT86" s="6"/>
      <c r="OHU86" s="6"/>
      <c r="OHV86" s="6"/>
      <c r="OHW86" s="6"/>
      <c r="OHX86" s="6"/>
      <c r="OHY86" s="6"/>
      <c r="OHZ86" s="6"/>
      <c r="OIA86" s="6"/>
      <c r="OIB86" s="6"/>
      <c r="OIC86" s="6"/>
      <c r="OID86" s="6"/>
      <c r="OIE86" s="6"/>
      <c r="OIF86" s="6"/>
      <c r="OIG86" s="6"/>
      <c r="OIH86" s="6"/>
      <c r="OII86" s="6"/>
      <c r="OIJ86" s="6"/>
      <c r="OIK86" s="6"/>
      <c r="OIL86" s="6"/>
      <c r="OIM86" s="6"/>
      <c r="OIN86" s="6"/>
      <c r="OIO86" s="6"/>
      <c r="OIP86" s="6"/>
      <c r="OIQ86" s="6"/>
      <c r="OIR86" s="6"/>
      <c r="OIS86" s="6"/>
      <c r="OIT86" s="6"/>
      <c r="OIU86" s="6"/>
      <c r="OIV86" s="6"/>
      <c r="OIW86" s="6"/>
      <c r="OIX86" s="6"/>
      <c r="OIY86" s="6"/>
      <c r="OIZ86" s="6"/>
      <c r="OJA86" s="6"/>
      <c r="OJB86" s="6"/>
      <c r="OJC86" s="6"/>
      <c r="OJD86" s="6"/>
      <c r="OJE86" s="6"/>
      <c r="OJF86" s="6"/>
      <c r="OJG86" s="6"/>
      <c r="OJH86" s="6"/>
      <c r="OJI86" s="6"/>
      <c r="OJJ86" s="6"/>
      <c r="OJK86" s="6"/>
      <c r="OJL86" s="6"/>
      <c r="OJM86" s="6"/>
      <c r="OJN86" s="6"/>
      <c r="OJO86" s="6"/>
      <c r="OJP86" s="6"/>
      <c r="OJQ86" s="6"/>
      <c r="OJR86" s="6"/>
      <c r="OJS86" s="6"/>
      <c r="OJT86" s="6"/>
      <c r="OJU86" s="6"/>
      <c r="OJV86" s="6"/>
      <c r="OJW86" s="6"/>
      <c r="OJX86" s="6"/>
      <c r="OJY86" s="6"/>
      <c r="OJZ86" s="6"/>
      <c r="OKA86" s="6"/>
      <c r="OKB86" s="6"/>
      <c r="OKC86" s="6"/>
      <c r="OKD86" s="6"/>
      <c r="OKE86" s="6"/>
      <c r="OKF86" s="6"/>
      <c r="OKG86" s="6"/>
      <c r="OKH86" s="6"/>
      <c r="OKI86" s="6"/>
      <c r="OKJ86" s="6"/>
      <c r="OKK86" s="6"/>
      <c r="OKL86" s="6"/>
      <c r="OKM86" s="6"/>
      <c r="OKN86" s="6"/>
      <c r="OKO86" s="6"/>
      <c r="OKP86" s="6"/>
      <c r="OKQ86" s="6"/>
      <c r="OKR86" s="6"/>
      <c r="OKS86" s="6"/>
      <c r="OKT86" s="6"/>
      <c r="OKU86" s="6"/>
      <c r="OKV86" s="6"/>
      <c r="OKW86" s="6"/>
      <c r="OKX86" s="6"/>
      <c r="OKY86" s="6"/>
      <c r="OKZ86" s="6"/>
      <c r="OLA86" s="6"/>
      <c r="OLB86" s="6"/>
      <c r="OLC86" s="6"/>
      <c r="OLD86" s="6"/>
      <c r="OLE86" s="6"/>
      <c r="OLF86" s="6"/>
      <c r="OLG86" s="6"/>
      <c r="OLH86" s="6"/>
      <c r="OLI86" s="6"/>
      <c r="OLJ86" s="6"/>
      <c r="OLK86" s="6"/>
      <c r="OLL86" s="6"/>
      <c r="OLM86" s="6"/>
      <c r="OLN86" s="6"/>
      <c r="OLO86" s="6"/>
      <c r="OLP86" s="6"/>
      <c r="OLQ86" s="6"/>
      <c r="OLR86" s="6"/>
      <c r="OLS86" s="6"/>
      <c r="OLT86" s="6"/>
      <c r="OLU86" s="6"/>
      <c r="OLV86" s="6"/>
      <c r="OLW86" s="6"/>
      <c r="OLX86" s="6"/>
      <c r="OLY86" s="6"/>
      <c r="OLZ86" s="6"/>
      <c r="OMA86" s="6"/>
      <c r="OMB86" s="6"/>
      <c r="OMC86" s="6"/>
      <c r="OMD86" s="6"/>
      <c r="OME86" s="6"/>
      <c r="OMF86" s="6"/>
      <c r="OMG86" s="6"/>
      <c r="OMH86" s="6"/>
      <c r="OMI86" s="6"/>
      <c r="OMJ86" s="6"/>
      <c r="OMK86" s="6"/>
      <c r="OML86" s="6"/>
      <c r="OMM86" s="6"/>
      <c r="OMN86" s="6"/>
      <c r="OMO86" s="6"/>
      <c r="OMP86" s="6"/>
      <c r="OMQ86" s="6"/>
      <c r="OMR86" s="6"/>
      <c r="OMS86" s="6"/>
      <c r="OMT86" s="6"/>
      <c r="OMU86" s="6"/>
      <c r="OMV86" s="6"/>
      <c r="OMW86" s="6"/>
      <c r="OMX86" s="6"/>
      <c r="OMY86" s="6"/>
      <c r="OMZ86" s="6"/>
      <c r="ONA86" s="6"/>
      <c r="ONB86" s="6"/>
      <c r="ONC86" s="6"/>
      <c r="OND86" s="6"/>
      <c r="ONE86" s="6"/>
      <c r="ONF86" s="6"/>
      <c r="ONG86" s="6"/>
      <c r="ONH86" s="6"/>
      <c r="ONI86" s="6"/>
      <c r="ONJ86" s="6"/>
      <c r="ONK86" s="6"/>
      <c r="ONL86" s="6"/>
      <c r="ONM86" s="6"/>
      <c r="ONN86" s="6"/>
      <c r="ONO86" s="6"/>
      <c r="ONP86" s="6"/>
      <c r="ONQ86" s="6"/>
      <c r="ONR86" s="6"/>
      <c r="ONS86" s="6"/>
      <c r="ONT86" s="6"/>
      <c r="ONU86" s="6"/>
      <c r="ONV86" s="6"/>
      <c r="ONW86" s="6"/>
      <c r="ONX86" s="6"/>
      <c r="ONY86" s="6"/>
      <c r="ONZ86" s="6"/>
      <c r="OOA86" s="6"/>
      <c r="OOB86" s="6"/>
      <c r="OOC86" s="6"/>
      <c r="OOD86" s="6"/>
      <c r="OOE86" s="6"/>
      <c r="OOF86" s="6"/>
      <c r="OOG86" s="6"/>
      <c r="OOH86" s="6"/>
      <c r="OOI86" s="6"/>
      <c r="OOJ86" s="6"/>
      <c r="OOK86" s="6"/>
      <c r="OOL86" s="6"/>
      <c r="OOM86" s="6"/>
      <c r="OON86" s="6"/>
      <c r="OOO86" s="6"/>
      <c r="OOP86" s="6"/>
      <c r="OOQ86" s="6"/>
      <c r="OOR86" s="6"/>
      <c r="OOS86" s="6"/>
      <c r="OOT86" s="6"/>
      <c r="OOU86" s="6"/>
      <c r="OOV86" s="6"/>
      <c r="OOW86" s="6"/>
      <c r="OOX86" s="6"/>
      <c r="OOY86" s="6"/>
      <c r="OOZ86" s="6"/>
      <c r="OPA86" s="6"/>
      <c r="OPB86" s="6"/>
      <c r="OPC86" s="6"/>
      <c r="OPD86" s="6"/>
      <c r="OPE86" s="6"/>
      <c r="OPF86" s="6"/>
      <c r="OPG86" s="6"/>
      <c r="OPH86" s="6"/>
      <c r="OPI86" s="6"/>
      <c r="OPJ86" s="6"/>
      <c r="OPK86" s="6"/>
      <c r="OPL86" s="6"/>
      <c r="OPM86" s="6"/>
      <c r="OPN86" s="6"/>
      <c r="OPO86" s="6"/>
      <c r="OPP86" s="6"/>
      <c r="OPQ86" s="6"/>
      <c r="OPR86" s="6"/>
      <c r="OPS86" s="6"/>
      <c r="OPT86" s="6"/>
      <c r="OPU86" s="6"/>
      <c r="OPV86" s="6"/>
      <c r="OPW86" s="6"/>
      <c r="OPX86" s="6"/>
      <c r="OPY86" s="6"/>
      <c r="OPZ86" s="6"/>
      <c r="OQA86" s="6"/>
      <c r="OQB86" s="6"/>
      <c r="OQC86" s="6"/>
      <c r="OQD86" s="6"/>
      <c r="OQE86" s="6"/>
      <c r="OQF86" s="6"/>
      <c r="OQG86" s="6"/>
      <c r="OQH86" s="6"/>
      <c r="OQI86" s="6"/>
      <c r="OQJ86" s="6"/>
      <c r="OQK86" s="6"/>
      <c r="OQL86" s="6"/>
      <c r="OQM86" s="6"/>
      <c r="OQN86" s="6"/>
      <c r="OQO86" s="6"/>
      <c r="OQP86" s="6"/>
      <c r="OQQ86" s="6"/>
      <c r="OQR86" s="6"/>
      <c r="OQS86" s="6"/>
      <c r="OQT86" s="6"/>
      <c r="OQU86" s="6"/>
      <c r="OQV86" s="6"/>
      <c r="OQW86" s="6"/>
      <c r="OQX86" s="6"/>
      <c r="OQY86" s="6"/>
      <c r="OQZ86" s="6"/>
      <c r="ORA86" s="6"/>
      <c r="ORB86" s="6"/>
      <c r="ORC86" s="6"/>
      <c r="ORD86" s="6"/>
      <c r="ORE86" s="6"/>
      <c r="ORF86" s="6"/>
      <c r="ORG86" s="6"/>
      <c r="ORH86" s="6"/>
      <c r="ORI86" s="6"/>
      <c r="ORJ86" s="6"/>
      <c r="ORK86" s="6"/>
      <c r="ORL86" s="6"/>
      <c r="ORM86" s="6"/>
      <c r="ORN86" s="6"/>
      <c r="ORO86" s="6"/>
      <c r="ORP86" s="6"/>
      <c r="ORQ86" s="6"/>
      <c r="ORR86" s="6"/>
      <c r="ORS86" s="6"/>
      <c r="ORT86" s="6"/>
      <c r="ORU86" s="6"/>
      <c r="ORV86" s="6"/>
      <c r="ORW86" s="6"/>
      <c r="ORX86" s="6"/>
      <c r="ORY86" s="6"/>
      <c r="ORZ86" s="6"/>
      <c r="OSA86" s="6"/>
      <c r="OSB86" s="6"/>
      <c r="OSC86" s="6"/>
      <c r="OSD86" s="6"/>
      <c r="OSE86" s="6"/>
      <c r="OSF86" s="6"/>
      <c r="OSG86" s="6"/>
      <c r="OSH86" s="6"/>
      <c r="OSI86" s="6"/>
      <c r="OSJ86" s="6"/>
      <c r="OSK86" s="6"/>
      <c r="OSL86" s="6"/>
      <c r="OSM86" s="6"/>
      <c r="OSN86" s="6"/>
      <c r="OSO86" s="6"/>
      <c r="OSP86" s="6"/>
      <c r="OSQ86" s="6"/>
      <c r="OSR86" s="6"/>
      <c r="OSS86" s="6"/>
      <c r="OST86" s="6"/>
      <c r="OSU86" s="6"/>
      <c r="OSV86" s="6"/>
      <c r="OSW86" s="6"/>
      <c r="OSX86" s="6"/>
      <c r="OSY86" s="6"/>
      <c r="OSZ86" s="6"/>
      <c r="OTA86" s="6"/>
      <c r="OTB86" s="6"/>
      <c r="OTC86" s="6"/>
      <c r="OTD86" s="6"/>
      <c r="OTE86" s="6"/>
      <c r="OTF86" s="6"/>
      <c r="OTG86" s="6"/>
      <c r="OTH86" s="6"/>
      <c r="OTI86" s="6"/>
      <c r="OTJ86" s="6"/>
      <c r="OTK86" s="6"/>
      <c r="OTL86" s="6"/>
      <c r="OTM86" s="6"/>
      <c r="OTN86" s="6"/>
      <c r="OTO86" s="6"/>
      <c r="OTP86" s="6"/>
      <c r="OTQ86" s="6"/>
      <c r="OTR86" s="6"/>
      <c r="OTS86" s="6"/>
      <c r="OTT86" s="6"/>
      <c r="OTU86" s="6"/>
      <c r="OTV86" s="6"/>
      <c r="OTW86" s="6"/>
      <c r="OTX86" s="6"/>
      <c r="OTY86" s="6"/>
      <c r="OTZ86" s="6"/>
      <c r="OUA86" s="6"/>
      <c r="OUB86" s="6"/>
      <c r="OUC86" s="6"/>
      <c r="OUD86" s="6"/>
      <c r="OUE86" s="6"/>
      <c r="OUF86" s="6"/>
      <c r="OUG86" s="6"/>
      <c r="OUH86" s="6"/>
      <c r="OUI86" s="6"/>
      <c r="OUJ86" s="6"/>
      <c r="OUK86" s="6"/>
      <c r="OUL86" s="6"/>
      <c r="OUM86" s="6"/>
      <c r="OUN86" s="6"/>
      <c r="OUO86" s="6"/>
      <c r="OUP86" s="6"/>
      <c r="OUQ86" s="6"/>
      <c r="OUR86" s="6"/>
      <c r="OUS86" s="6"/>
      <c r="OUT86" s="6"/>
      <c r="OUU86" s="6"/>
      <c r="OUV86" s="6"/>
      <c r="OUW86" s="6"/>
      <c r="OUX86" s="6"/>
      <c r="OUY86" s="6"/>
      <c r="OUZ86" s="6"/>
      <c r="OVA86" s="6"/>
      <c r="OVB86" s="6"/>
      <c r="OVC86" s="6"/>
      <c r="OVD86" s="6"/>
      <c r="OVE86" s="6"/>
      <c r="OVF86" s="6"/>
      <c r="OVG86" s="6"/>
      <c r="OVH86" s="6"/>
      <c r="OVI86" s="6"/>
      <c r="OVJ86" s="6"/>
      <c r="OVK86" s="6"/>
      <c r="OVL86" s="6"/>
      <c r="OVM86" s="6"/>
      <c r="OVN86" s="6"/>
      <c r="OVO86" s="6"/>
      <c r="OVP86" s="6"/>
      <c r="OVQ86" s="6"/>
      <c r="OVR86" s="6"/>
      <c r="OVS86" s="6"/>
      <c r="OVT86" s="6"/>
      <c r="OVU86" s="6"/>
      <c r="OVV86" s="6"/>
      <c r="OVW86" s="6"/>
      <c r="OVX86" s="6"/>
      <c r="OVY86" s="6"/>
      <c r="OVZ86" s="6"/>
      <c r="OWA86" s="6"/>
      <c r="OWB86" s="6"/>
      <c r="OWC86" s="6"/>
      <c r="OWD86" s="6"/>
      <c r="OWE86" s="6"/>
      <c r="OWF86" s="6"/>
      <c r="OWG86" s="6"/>
      <c r="OWH86" s="6"/>
      <c r="OWI86" s="6"/>
      <c r="OWJ86" s="6"/>
      <c r="OWK86" s="6"/>
      <c r="OWL86" s="6"/>
      <c r="OWM86" s="6"/>
      <c r="OWN86" s="6"/>
      <c r="OWO86" s="6"/>
      <c r="OWP86" s="6"/>
      <c r="OWQ86" s="6"/>
      <c r="OWR86" s="6"/>
      <c r="OWS86" s="6"/>
      <c r="OWT86" s="6"/>
      <c r="OWU86" s="6"/>
      <c r="OWV86" s="6"/>
      <c r="OWW86" s="6"/>
      <c r="OWX86" s="6"/>
      <c r="OWY86" s="6"/>
      <c r="OWZ86" s="6"/>
      <c r="OXA86" s="6"/>
      <c r="OXB86" s="6"/>
      <c r="OXC86" s="6"/>
      <c r="OXD86" s="6"/>
      <c r="OXE86" s="6"/>
      <c r="OXF86" s="6"/>
      <c r="OXG86" s="6"/>
      <c r="OXH86" s="6"/>
      <c r="OXI86" s="6"/>
      <c r="OXJ86" s="6"/>
      <c r="OXK86" s="6"/>
      <c r="OXL86" s="6"/>
      <c r="OXM86" s="6"/>
      <c r="OXN86" s="6"/>
      <c r="OXO86" s="6"/>
      <c r="OXP86" s="6"/>
      <c r="OXQ86" s="6"/>
      <c r="OXR86" s="6"/>
      <c r="OXS86" s="6"/>
      <c r="OXT86" s="6"/>
      <c r="OXU86" s="6"/>
      <c r="OXV86" s="6"/>
      <c r="OXW86" s="6"/>
      <c r="OXX86" s="6"/>
      <c r="OXY86" s="6"/>
      <c r="OXZ86" s="6"/>
      <c r="OYA86" s="6"/>
      <c r="OYB86" s="6"/>
      <c r="OYC86" s="6"/>
      <c r="OYD86" s="6"/>
      <c r="OYE86" s="6"/>
      <c r="OYF86" s="6"/>
      <c r="OYG86" s="6"/>
      <c r="OYH86" s="6"/>
      <c r="OYI86" s="6"/>
      <c r="OYJ86" s="6"/>
      <c r="OYK86" s="6"/>
      <c r="OYL86" s="6"/>
      <c r="OYM86" s="6"/>
      <c r="OYN86" s="6"/>
      <c r="OYO86" s="6"/>
      <c r="OYP86" s="6"/>
      <c r="OYQ86" s="6"/>
      <c r="OYR86" s="6"/>
      <c r="OYS86" s="6"/>
      <c r="OYT86" s="6"/>
      <c r="OYU86" s="6"/>
      <c r="OYV86" s="6"/>
      <c r="OYW86" s="6"/>
      <c r="OYX86" s="6"/>
      <c r="OYY86" s="6"/>
      <c r="OYZ86" s="6"/>
      <c r="OZA86" s="6"/>
      <c r="OZB86" s="6"/>
      <c r="OZC86" s="6"/>
      <c r="OZD86" s="6"/>
      <c r="OZE86" s="6"/>
      <c r="OZF86" s="6"/>
      <c r="OZG86" s="6"/>
      <c r="OZH86" s="6"/>
      <c r="OZI86" s="6"/>
      <c r="OZJ86" s="6"/>
      <c r="OZK86" s="6"/>
      <c r="OZL86" s="6"/>
      <c r="OZM86" s="6"/>
      <c r="OZN86" s="6"/>
      <c r="OZO86" s="6"/>
      <c r="OZP86" s="6"/>
      <c r="OZQ86" s="6"/>
      <c r="OZR86" s="6"/>
      <c r="OZS86" s="6"/>
      <c r="OZT86" s="6"/>
      <c r="OZU86" s="6"/>
      <c r="OZV86" s="6"/>
      <c r="OZW86" s="6"/>
      <c r="OZX86" s="6"/>
      <c r="OZY86" s="6"/>
      <c r="OZZ86" s="6"/>
      <c r="PAA86" s="6"/>
      <c r="PAB86" s="6"/>
      <c r="PAC86" s="6"/>
      <c r="PAD86" s="6"/>
      <c r="PAE86" s="6"/>
      <c r="PAF86" s="6"/>
      <c r="PAG86" s="6"/>
      <c r="PAH86" s="6"/>
      <c r="PAI86" s="6"/>
      <c r="PAJ86" s="6"/>
      <c r="PAK86" s="6"/>
      <c r="PAL86" s="6"/>
      <c r="PAM86" s="6"/>
      <c r="PAN86" s="6"/>
      <c r="PAO86" s="6"/>
      <c r="PAP86" s="6"/>
      <c r="PAQ86" s="6"/>
      <c r="PAR86" s="6"/>
      <c r="PAS86" s="6"/>
      <c r="PAT86" s="6"/>
      <c r="PAU86" s="6"/>
      <c r="PAV86" s="6"/>
      <c r="PAW86" s="6"/>
      <c r="PAX86" s="6"/>
      <c r="PAY86" s="6"/>
      <c r="PAZ86" s="6"/>
      <c r="PBA86" s="6"/>
      <c r="PBB86" s="6"/>
      <c r="PBC86" s="6"/>
      <c r="PBD86" s="6"/>
      <c r="PBE86" s="6"/>
      <c r="PBF86" s="6"/>
      <c r="PBG86" s="6"/>
      <c r="PBH86" s="6"/>
      <c r="PBI86" s="6"/>
      <c r="PBJ86" s="6"/>
      <c r="PBK86" s="6"/>
      <c r="PBL86" s="6"/>
      <c r="PBM86" s="6"/>
      <c r="PBN86" s="6"/>
      <c r="PBO86" s="6"/>
      <c r="PBP86" s="6"/>
      <c r="PBQ86" s="6"/>
      <c r="PBR86" s="6"/>
      <c r="PBS86" s="6"/>
      <c r="PBT86" s="6"/>
      <c r="PBU86" s="6"/>
      <c r="PBV86" s="6"/>
      <c r="PBW86" s="6"/>
      <c r="PBX86" s="6"/>
      <c r="PBY86" s="6"/>
      <c r="PBZ86" s="6"/>
      <c r="PCA86" s="6"/>
      <c r="PCB86" s="6"/>
      <c r="PCC86" s="6"/>
      <c r="PCD86" s="6"/>
      <c r="PCE86" s="6"/>
      <c r="PCF86" s="6"/>
      <c r="PCG86" s="6"/>
      <c r="PCH86" s="6"/>
      <c r="PCI86" s="6"/>
      <c r="PCJ86" s="6"/>
      <c r="PCK86" s="6"/>
      <c r="PCL86" s="6"/>
      <c r="PCM86" s="6"/>
      <c r="PCN86" s="6"/>
      <c r="PCO86" s="6"/>
      <c r="PCP86" s="6"/>
      <c r="PCQ86" s="6"/>
      <c r="PCR86" s="6"/>
      <c r="PCS86" s="6"/>
      <c r="PCT86" s="6"/>
      <c r="PCU86" s="6"/>
      <c r="PCV86" s="6"/>
      <c r="PCW86" s="6"/>
      <c r="PCX86" s="6"/>
      <c r="PCY86" s="6"/>
      <c r="PCZ86" s="6"/>
      <c r="PDA86" s="6"/>
      <c r="PDB86" s="6"/>
      <c r="PDC86" s="6"/>
      <c r="PDD86" s="6"/>
      <c r="PDE86" s="6"/>
      <c r="PDF86" s="6"/>
      <c r="PDG86" s="6"/>
      <c r="PDH86" s="6"/>
      <c r="PDI86" s="6"/>
      <c r="PDJ86" s="6"/>
      <c r="PDK86" s="6"/>
      <c r="PDL86" s="6"/>
      <c r="PDM86" s="6"/>
      <c r="PDN86" s="6"/>
      <c r="PDO86" s="6"/>
      <c r="PDP86" s="6"/>
      <c r="PDQ86" s="6"/>
      <c r="PDR86" s="6"/>
      <c r="PDS86" s="6"/>
      <c r="PDT86" s="6"/>
      <c r="PDU86" s="6"/>
      <c r="PDV86" s="6"/>
      <c r="PDW86" s="6"/>
      <c r="PDX86" s="6"/>
      <c r="PDY86" s="6"/>
      <c r="PDZ86" s="6"/>
      <c r="PEA86" s="6"/>
      <c r="PEB86" s="6"/>
      <c r="PEC86" s="6"/>
      <c r="PED86" s="6"/>
      <c r="PEE86" s="6"/>
      <c r="PEF86" s="6"/>
      <c r="PEG86" s="6"/>
      <c r="PEH86" s="6"/>
      <c r="PEI86" s="6"/>
      <c r="PEJ86" s="6"/>
      <c r="PEK86" s="6"/>
      <c r="PEL86" s="6"/>
      <c r="PEM86" s="6"/>
      <c r="PEN86" s="6"/>
      <c r="PEO86" s="6"/>
      <c r="PEP86" s="6"/>
      <c r="PEQ86" s="6"/>
      <c r="PER86" s="6"/>
      <c r="PES86" s="6"/>
      <c r="PET86" s="6"/>
      <c r="PEU86" s="6"/>
      <c r="PEV86" s="6"/>
      <c r="PEW86" s="6"/>
      <c r="PEX86" s="6"/>
      <c r="PEY86" s="6"/>
      <c r="PEZ86" s="6"/>
      <c r="PFA86" s="6"/>
      <c r="PFB86" s="6"/>
      <c r="PFC86" s="6"/>
      <c r="PFD86" s="6"/>
      <c r="PFE86" s="6"/>
      <c r="PFF86" s="6"/>
      <c r="PFG86" s="6"/>
      <c r="PFH86" s="6"/>
      <c r="PFI86" s="6"/>
      <c r="PFJ86" s="6"/>
      <c r="PFK86" s="6"/>
      <c r="PFL86" s="6"/>
      <c r="PFM86" s="6"/>
      <c r="PFN86" s="6"/>
      <c r="PFO86" s="6"/>
      <c r="PFP86" s="6"/>
      <c r="PFQ86" s="6"/>
      <c r="PFR86" s="6"/>
      <c r="PFS86" s="6"/>
      <c r="PFT86" s="6"/>
      <c r="PFU86" s="6"/>
      <c r="PFV86" s="6"/>
      <c r="PFW86" s="6"/>
      <c r="PFX86" s="6"/>
      <c r="PFY86" s="6"/>
      <c r="PFZ86" s="6"/>
      <c r="PGA86" s="6"/>
      <c r="PGB86" s="6"/>
      <c r="PGC86" s="6"/>
      <c r="PGD86" s="6"/>
      <c r="PGE86" s="6"/>
      <c r="PGF86" s="6"/>
      <c r="PGG86" s="6"/>
      <c r="PGH86" s="6"/>
      <c r="PGI86" s="6"/>
      <c r="PGJ86" s="6"/>
      <c r="PGK86" s="6"/>
      <c r="PGL86" s="6"/>
      <c r="PGM86" s="6"/>
      <c r="PGN86" s="6"/>
      <c r="PGO86" s="6"/>
      <c r="PGP86" s="6"/>
      <c r="PGQ86" s="6"/>
      <c r="PGR86" s="6"/>
      <c r="PGS86" s="6"/>
      <c r="PGT86" s="6"/>
      <c r="PGU86" s="6"/>
      <c r="PGV86" s="6"/>
      <c r="PGW86" s="6"/>
      <c r="PGX86" s="6"/>
      <c r="PGY86" s="6"/>
      <c r="PGZ86" s="6"/>
      <c r="PHA86" s="6"/>
      <c r="PHB86" s="6"/>
      <c r="PHC86" s="6"/>
      <c r="PHD86" s="6"/>
      <c r="PHE86" s="6"/>
      <c r="PHF86" s="6"/>
      <c r="PHG86" s="6"/>
      <c r="PHH86" s="6"/>
      <c r="PHI86" s="6"/>
      <c r="PHJ86" s="6"/>
      <c r="PHK86" s="6"/>
      <c r="PHL86" s="6"/>
      <c r="PHM86" s="6"/>
      <c r="PHN86" s="6"/>
      <c r="PHO86" s="6"/>
      <c r="PHP86" s="6"/>
      <c r="PHQ86" s="6"/>
      <c r="PHR86" s="6"/>
      <c r="PHS86" s="6"/>
      <c r="PHT86" s="6"/>
      <c r="PHU86" s="6"/>
      <c r="PHV86" s="6"/>
      <c r="PHW86" s="6"/>
      <c r="PHX86" s="6"/>
      <c r="PHY86" s="6"/>
      <c r="PHZ86" s="6"/>
      <c r="PIA86" s="6"/>
      <c r="PIB86" s="6"/>
      <c r="PIC86" s="6"/>
      <c r="PID86" s="6"/>
      <c r="PIE86" s="6"/>
      <c r="PIF86" s="6"/>
      <c r="PIG86" s="6"/>
      <c r="PIH86" s="6"/>
      <c r="PII86" s="6"/>
      <c r="PIJ86" s="6"/>
      <c r="PIK86" s="6"/>
      <c r="PIL86" s="6"/>
      <c r="PIM86" s="6"/>
      <c r="PIN86" s="6"/>
      <c r="PIO86" s="6"/>
      <c r="PIP86" s="6"/>
      <c r="PIQ86" s="6"/>
      <c r="PIR86" s="6"/>
      <c r="PIS86" s="6"/>
      <c r="PIT86" s="6"/>
      <c r="PIU86" s="6"/>
      <c r="PIV86" s="6"/>
      <c r="PIW86" s="6"/>
      <c r="PIX86" s="6"/>
      <c r="PIY86" s="6"/>
      <c r="PIZ86" s="6"/>
      <c r="PJA86" s="6"/>
      <c r="PJB86" s="6"/>
      <c r="PJC86" s="6"/>
      <c r="PJD86" s="6"/>
      <c r="PJE86" s="6"/>
      <c r="PJF86" s="6"/>
      <c r="PJG86" s="6"/>
      <c r="PJH86" s="6"/>
      <c r="PJI86" s="6"/>
      <c r="PJJ86" s="6"/>
      <c r="PJK86" s="6"/>
      <c r="PJL86" s="6"/>
      <c r="PJM86" s="6"/>
      <c r="PJN86" s="6"/>
      <c r="PJO86" s="6"/>
      <c r="PJP86" s="6"/>
      <c r="PJQ86" s="6"/>
      <c r="PJR86" s="6"/>
      <c r="PJS86" s="6"/>
      <c r="PJT86" s="6"/>
      <c r="PJU86" s="6"/>
      <c r="PJV86" s="6"/>
      <c r="PJW86" s="6"/>
      <c r="PJX86" s="6"/>
      <c r="PJY86" s="6"/>
      <c r="PJZ86" s="6"/>
      <c r="PKA86" s="6"/>
      <c r="PKB86" s="6"/>
      <c r="PKC86" s="6"/>
      <c r="PKD86" s="6"/>
      <c r="PKE86" s="6"/>
      <c r="PKF86" s="6"/>
      <c r="PKG86" s="6"/>
      <c r="PKH86" s="6"/>
      <c r="PKI86" s="6"/>
      <c r="PKJ86" s="6"/>
      <c r="PKK86" s="6"/>
      <c r="PKL86" s="6"/>
      <c r="PKM86" s="6"/>
      <c r="PKN86" s="6"/>
      <c r="PKO86" s="6"/>
      <c r="PKP86" s="6"/>
      <c r="PKQ86" s="6"/>
      <c r="PKR86" s="6"/>
      <c r="PKS86" s="6"/>
      <c r="PKT86" s="6"/>
      <c r="PKU86" s="6"/>
      <c r="PKV86" s="6"/>
      <c r="PKW86" s="6"/>
      <c r="PKX86" s="6"/>
      <c r="PKY86" s="6"/>
      <c r="PKZ86" s="6"/>
      <c r="PLA86" s="6"/>
      <c r="PLB86" s="6"/>
      <c r="PLC86" s="6"/>
      <c r="PLD86" s="6"/>
      <c r="PLE86" s="6"/>
      <c r="PLF86" s="6"/>
      <c r="PLG86" s="6"/>
      <c r="PLH86" s="6"/>
      <c r="PLI86" s="6"/>
      <c r="PLJ86" s="6"/>
      <c r="PLK86" s="6"/>
      <c r="PLL86" s="6"/>
      <c r="PLM86" s="6"/>
      <c r="PLN86" s="6"/>
      <c r="PLO86" s="6"/>
      <c r="PLP86" s="6"/>
      <c r="PLQ86" s="6"/>
      <c r="PLR86" s="6"/>
      <c r="PLS86" s="6"/>
      <c r="PLT86" s="6"/>
      <c r="PLU86" s="6"/>
      <c r="PLV86" s="6"/>
      <c r="PLW86" s="6"/>
      <c r="PLX86" s="6"/>
      <c r="PLY86" s="6"/>
      <c r="PLZ86" s="6"/>
      <c r="PMA86" s="6"/>
      <c r="PMB86" s="6"/>
      <c r="PMC86" s="6"/>
      <c r="PMD86" s="6"/>
      <c r="PME86" s="6"/>
      <c r="PMF86" s="6"/>
      <c r="PMG86" s="6"/>
      <c r="PMH86" s="6"/>
      <c r="PMI86" s="6"/>
      <c r="PMJ86" s="6"/>
      <c r="PMK86" s="6"/>
      <c r="PML86" s="6"/>
      <c r="PMM86" s="6"/>
      <c r="PMN86" s="6"/>
      <c r="PMO86" s="6"/>
      <c r="PMP86" s="6"/>
      <c r="PMQ86" s="6"/>
      <c r="PMR86" s="6"/>
      <c r="PMS86" s="6"/>
      <c r="PMT86" s="6"/>
      <c r="PMU86" s="6"/>
      <c r="PMV86" s="6"/>
      <c r="PMW86" s="6"/>
      <c r="PMX86" s="6"/>
      <c r="PMY86" s="6"/>
      <c r="PMZ86" s="6"/>
      <c r="PNA86" s="6"/>
      <c r="PNB86" s="6"/>
      <c r="PNC86" s="6"/>
      <c r="PND86" s="6"/>
      <c r="PNE86" s="6"/>
      <c r="PNF86" s="6"/>
      <c r="PNG86" s="6"/>
      <c r="PNH86" s="6"/>
      <c r="PNI86" s="6"/>
      <c r="PNJ86" s="6"/>
      <c r="PNK86" s="6"/>
      <c r="PNL86" s="6"/>
      <c r="PNM86" s="6"/>
      <c r="PNN86" s="6"/>
      <c r="PNO86" s="6"/>
      <c r="PNP86" s="6"/>
      <c r="PNQ86" s="6"/>
      <c r="PNR86" s="6"/>
      <c r="PNS86" s="6"/>
      <c r="PNT86" s="6"/>
      <c r="PNU86" s="6"/>
      <c r="PNV86" s="6"/>
      <c r="PNW86" s="6"/>
      <c r="PNX86" s="6"/>
      <c r="PNY86" s="6"/>
      <c r="PNZ86" s="6"/>
      <c r="POA86" s="6"/>
      <c r="POB86" s="6"/>
      <c r="POC86" s="6"/>
      <c r="POD86" s="6"/>
      <c r="POE86" s="6"/>
      <c r="POF86" s="6"/>
      <c r="POG86" s="6"/>
      <c r="POH86" s="6"/>
      <c r="POI86" s="6"/>
      <c r="POJ86" s="6"/>
      <c r="POK86" s="6"/>
      <c r="POL86" s="6"/>
      <c r="POM86" s="6"/>
      <c r="PON86" s="6"/>
      <c r="POO86" s="6"/>
      <c r="POP86" s="6"/>
      <c r="POQ86" s="6"/>
      <c r="POR86" s="6"/>
      <c r="POS86" s="6"/>
      <c r="POT86" s="6"/>
      <c r="POU86" s="6"/>
      <c r="POV86" s="6"/>
      <c r="POW86" s="6"/>
      <c r="POX86" s="6"/>
      <c r="POY86" s="6"/>
      <c r="POZ86" s="6"/>
      <c r="PPA86" s="6"/>
      <c r="PPB86" s="6"/>
      <c r="PPC86" s="6"/>
      <c r="PPD86" s="6"/>
      <c r="PPE86" s="6"/>
      <c r="PPF86" s="6"/>
      <c r="PPG86" s="6"/>
      <c r="PPH86" s="6"/>
      <c r="PPI86" s="6"/>
      <c r="PPJ86" s="6"/>
      <c r="PPK86" s="6"/>
      <c r="PPL86" s="6"/>
      <c r="PPM86" s="6"/>
      <c r="PPN86" s="6"/>
      <c r="PPO86" s="6"/>
      <c r="PPP86" s="6"/>
      <c r="PPQ86" s="6"/>
      <c r="PPR86" s="6"/>
      <c r="PPS86" s="6"/>
      <c r="PPT86" s="6"/>
      <c r="PPU86" s="6"/>
      <c r="PPV86" s="6"/>
      <c r="PPW86" s="6"/>
      <c r="PPX86" s="6"/>
      <c r="PPY86" s="6"/>
      <c r="PPZ86" s="6"/>
      <c r="PQA86" s="6"/>
      <c r="PQB86" s="6"/>
      <c r="PQC86" s="6"/>
      <c r="PQD86" s="6"/>
      <c r="PQE86" s="6"/>
      <c r="PQF86" s="6"/>
      <c r="PQG86" s="6"/>
      <c r="PQH86" s="6"/>
      <c r="PQI86" s="6"/>
      <c r="PQJ86" s="6"/>
      <c r="PQK86" s="6"/>
      <c r="PQL86" s="6"/>
      <c r="PQM86" s="6"/>
      <c r="PQN86" s="6"/>
      <c r="PQO86" s="6"/>
      <c r="PQP86" s="6"/>
      <c r="PQQ86" s="6"/>
      <c r="PQR86" s="6"/>
      <c r="PQS86" s="6"/>
      <c r="PQT86" s="6"/>
      <c r="PQU86" s="6"/>
      <c r="PQV86" s="6"/>
      <c r="PQW86" s="6"/>
      <c r="PQX86" s="6"/>
      <c r="PQY86" s="6"/>
      <c r="PQZ86" s="6"/>
      <c r="PRA86" s="6"/>
      <c r="PRB86" s="6"/>
      <c r="PRC86" s="6"/>
      <c r="PRD86" s="6"/>
      <c r="PRE86" s="6"/>
      <c r="PRF86" s="6"/>
      <c r="PRG86" s="6"/>
      <c r="PRH86" s="6"/>
      <c r="PRI86" s="6"/>
      <c r="PRJ86" s="6"/>
      <c r="PRK86" s="6"/>
      <c r="PRL86" s="6"/>
      <c r="PRM86" s="6"/>
      <c r="PRN86" s="6"/>
      <c r="PRO86" s="6"/>
      <c r="PRP86" s="6"/>
      <c r="PRQ86" s="6"/>
      <c r="PRR86" s="6"/>
      <c r="PRS86" s="6"/>
      <c r="PRT86" s="6"/>
      <c r="PRU86" s="6"/>
      <c r="PRV86" s="6"/>
      <c r="PRW86" s="6"/>
      <c r="PRX86" s="6"/>
      <c r="PRY86" s="6"/>
      <c r="PRZ86" s="6"/>
      <c r="PSA86" s="6"/>
      <c r="PSB86" s="6"/>
      <c r="PSC86" s="6"/>
      <c r="PSD86" s="6"/>
      <c r="PSE86" s="6"/>
      <c r="PSF86" s="6"/>
      <c r="PSG86" s="6"/>
      <c r="PSH86" s="6"/>
      <c r="PSI86" s="6"/>
      <c r="PSJ86" s="6"/>
      <c r="PSK86" s="6"/>
      <c r="PSL86" s="6"/>
      <c r="PSM86" s="6"/>
      <c r="PSN86" s="6"/>
      <c r="PSO86" s="6"/>
      <c r="PSP86" s="6"/>
      <c r="PSQ86" s="6"/>
      <c r="PSR86" s="6"/>
      <c r="PSS86" s="6"/>
      <c r="PST86" s="6"/>
      <c r="PSU86" s="6"/>
      <c r="PSV86" s="6"/>
      <c r="PSW86" s="6"/>
      <c r="PSX86" s="6"/>
      <c r="PSY86" s="6"/>
      <c r="PSZ86" s="6"/>
      <c r="PTA86" s="6"/>
      <c r="PTB86" s="6"/>
      <c r="PTC86" s="6"/>
      <c r="PTD86" s="6"/>
      <c r="PTE86" s="6"/>
      <c r="PTF86" s="6"/>
      <c r="PTG86" s="6"/>
      <c r="PTH86" s="6"/>
      <c r="PTI86" s="6"/>
      <c r="PTJ86" s="6"/>
      <c r="PTK86" s="6"/>
      <c r="PTL86" s="6"/>
      <c r="PTM86" s="6"/>
      <c r="PTN86" s="6"/>
      <c r="PTO86" s="6"/>
      <c r="PTP86" s="6"/>
      <c r="PTQ86" s="6"/>
      <c r="PTR86" s="6"/>
      <c r="PTS86" s="6"/>
      <c r="PTT86" s="6"/>
      <c r="PTU86" s="6"/>
      <c r="PTV86" s="6"/>
      <c r="PTW86" s="6"/>
      <c r="PTX86" s="6"/>
      <c r="PTY86" s="6"/>
      <c r="PTZ86" s="6"/>
      <c r="PUA86" s="6"/>
      <c r="PUB86" s="6"/>
      <c r="PUC86" s="6"/>
      <c r="PUD86" s="6"/>
      <c r="PUE86" s="6"/>
      <c r="PUF86" s="6"/>
      <c r="PUG86" s="6"/>
      <c r="PUH86" s="6"/>
      <c r="PUI86" s="6"/>
      <c r="PUJ86" s="6"/>
      <c r="PUK86" s="6"/>
      <c r="PUL86" s="6"/>
      <c r="PUM86" s="6"/>
      <c r="PUN86" s="6"/>
      <c r="PUO86" s="6"/>
      <c r="PUP86" s="6"/>
      <c r="PUQ86" s="6"/>
      <c r="PUR86" s="6"/>
      <c r="PUS86" s="6"/>
      <c r="PUT86" s="6"/>
      <c r="PUU86" s="6"/>
      <c r="PUV86" s="6"/>
      <c r="PUW86" s="6"/>
      <c r="PUX86" s="6"/>
      <c r="PUY86" s="6"/>
      <c r="PUZ86" s="6"/>
      <c r="PVA86" s="6"/>
      <c r="PVB86" s="6"/>
      <c r="PVC86" s="6"/>
      <c r="PVD86" s="6"/>
      <c r="PVE86" s="6"/>
      <c r="PVF86" s="6"/>
      <c r="PVG86" s="6"/>
      <c r="PVH86" s="6"/>
      <c r="PVI86" s="6"/>
      <c r="PVJ86" s="6"/>
      <c r="PVK86" s="6"/>
      <c r="PVL86" s="6"/>
      <c r="PVM86" s="6"/>
      <c r="PVN86" s="6"/>
      <c r="PVO86" s="6"/>
      <c r="PVP86" s="6"/>
      <c r="PVQ86" s="6"/>
      <c r="PVR86" s="6"/>
      <c r="PVS86" s="6"/>
      <c r="PVT86" s="6"/>
      <c r="PVU86" s="6"/>
      <c r="PVV86" s="6"/>
      <c r="PVW86" s="6"/>
      <c r="PVX86" s="6"/>
      <c r="PVY86" s="6"/>
      <c r="PVZ86" s="6"/>
      <c r="PWA86" s="6"/>
      <c r="PWB86" s="6"/>
      <c r="PWC86" s="6"/>
      <c r="PWD86" s="6"/>
      <c r="PWE86" s="6"/>
      <c r="PWF86" s="6"/>
      <c r="PWG86" s="6"/>
      <c r="PWH86" s="6"/>
      <c r="PWI86" s="6"/>
      <c r="PWJ86" s="6"/>
      <c r="PWK86" s="6"/>
      <c r="PWL86" s="6"/>
      <c r="PWM86" s="6"/>
      <c r="PWN86" s="6"/>
      <c r="PWO86" s="6"/>
      <c r="PWP86" s="6"/>
      <c r="PWQ86" s="6"/>
      <c r="PWR86" s="6"/>
      <c r="PWS86" s="6"/>
      <c r="PWT86" s="6"/>
      <c r="PWU86" s="6"/>
      <c r="PWV86" s="6"/>
      <c r="PWW86" s="6"/>
      <c r="PWX86" s="6"/>
      <c r="PWY86" s="6"/>
      <c r="PWZ86" s="6"/>
      <c r="PXA86" s="6"/>
      <c r="PXB86" s="6"/>
      <c r="PXC86" s="6"/>
      <c r="PXD86" s="6"/>
      <c r="PXE86" s="6"/>
      <c r="PXF86" s="6"/>
      <c r="PXG86" s="6"/>
      <c r="PXH86" s="6"/>
      <c r="PXI86" s="6"/>
      <c r="PXJ86" s="6"/>
      <c r="PXK86" s="6"/>
      <c r="PXL86" s="6"/>
      <c r="PXM86" s="6"/>
      <c r="PXN86" s="6"/>
      <c r="PXO86" s="6"/>
      <c r="PXP86" s="6"/>
      <c r="PXQ86" s="6"/>
      <c r="PXR86" s="6"/>
      <c r="PXS86" s="6"/>
      <c r="PXT86" s="6"/>
      <c r="PXU86" s="6"/>
      <c r="PXV86" s="6"/>
      <c r="PXW86" s="6"/>
      <c r="PXX86" s="6"/>
      <c r="PXY86" s="6"/>
      <c r="PXZ86" s="6"/>
      <c r="PYA86" s="6"/>
      <c r="PYB86" s="6"/>
      <c r="PYC86" s="6"/>
      <c r="PYD86" s="6"/>
      <c r="PYE86" s="6"/>
      <c r="PYF86" s="6"/>
      <c r="PYG86" s="6"/>
      <c r="PYH86" s="6"/>
      <c r="PYI86" s="6"/>
      <c r="PYJ86" s="6"/>
      <c r="PYK86" s="6"/>
      <c r="PYL86" s="6"/>
      <c r="PYM86" s="6"/>
      <c r="PYN86" s="6"/>
      <c r="PYO86" s="6"/>
      <c r="PYP86" s="6"/>
      <c r="PYQ86" s="6"/>
      <c r="PYR86" s="6"/>
      <c r="PYS86" s="6"/>
      <c r="PYT86" s="6"/>
      <c r="PYU86" s="6"/>
      <c r="PYV86" s="6"/>
      <c r="PYW86" s="6"/>
      <c r="PYX86" s="6"/>
      <c r="PYY86" s="6"/>
      <c r="PYZ86" s="6"/>
      <c r="PZA86" s="6"/>
      <c r="PZB86" s="6"/>
      <c r="PZC86" s="6"/>
      <c r="PZD86" s="6"/>
      <c r="PZE86" s="6"/>
      <c r="PZF86" s="6"/>
      <c r="PZG86" s="6"/>
      <c r="PZH86" s="6"/>
      <c r="PZI86" s="6"/>
      <c r="PZJ86" s="6"/>
      <c r="PZK86" s="6"/>
      <c r="PZL86" s="6"/>
      <c r="PZM86" s="6"/>
      <c r="PZN86" s="6"/>
      <c r="PZO86" s="6"/>
      <c r="PZP86" s="6"/>
      <c r="PZQ86" s="6"/>
      <c r="PZR86" s="6"/>
      <c r="PZS86" s="6"/>
      <c r="PZT86" s="6"/>
      <c r="PZU86" s="6"/>
      <c r="PZV86" s="6"/>
      <c r="PZW86" s="6"/>
      <c r="PZX86" s="6"/>
      <c r="PZY86" s="6"/>
      <c r="PZZ86" s="6"/>
      <c r="QAA86" s="6"/>
      <c r="QAB86" s="6"/>
      <c r="QAC86" s="6"/>
      <c r="QAD86" s="6"/>
      <c r="QAE86" s="6"/>
      <c r="QAF86" s="6"/>
      <c r="QAG86" s="6"/>
      <c r="QAH86" s="6"/>
      <c r="QAI86" s="6"/>
      <c r="QAJ86" s="6"/>
      <c r="QAK86" s="6"/>
      <c r="QAL86" s="6"/>
      <c r="QAM86" s="6"/>
      <c r="QAN86" s="6"/>
      <c r="QAO86" s="6"/>
      <c r="QAP86" s="6"/>
      <c r="QAQ86" s="6"/>
      <c r="QAR86" s="6"/>
      <c r="QAS86" s="6"/>
      <c r="QAT86" s="6"/>
      <c r="QAU86" s="6"/>
      <c r="QAV86" s="6"/>
      <c r="QAW86" s="6"/>
      <c r="QAX86" s="6"/>
      <c r="QAY86" s="6"/>
      <c r="QAZ86" s="6"/>
      <c r="QBA86" s="6"/>
      <c r="QBB86" s="6"/>
      <c r="QBC86" s="6"/>
      <c r="QBD86" s="6"/>
      <c r="QBE86" s="6"/>
      <c r="QBF86" s="6"/>
      <c r="QBG86" s="6"/>
      <c r="QBH86" s="6"/>
      <c r="QBI86" s="6"/>
      <c r="QBJ86" s="6"/>
      <c r="QBK86" s="6"/>
      <c r="QBL86" s="6"/>
      <c r="QBM86" s="6"/>
      <c r="QBN86" s="6"/>
      <c r="QBO86" s="6"/>
      <c r="QBP86" s="6"/>
      <c r="QBQ86" s="6"/>
      <c r="QBR86" s="6"/>
      <c r="QBS86" s="6"/>
      <c r="QBT86" s="6"/>
      <c r="QBU86" s="6"/>
      <c r="QBV86" s="6"/>
      <c r="QBW86" s="6"/>
      <c r="QBX86" s="6"/>
      <c r="QBY86" s="6"/>
      <c r="QBZ86" s="6"/>
      <c r="QCA86" s="6"/>
      <c r="QCB86" s="6"/>
      <c r="QCC86" s="6"/>
      <c r="QCD86" s="6"/>
      <c r="QCE86" s="6"/>
      <c r="QCF86" s="6"/>
      <c r="QCG86" s="6"/>
      <c r="QCH86" s="6"/>
      <c r="QCI86" s="6"/>
      <c r="QCJ86" s="6"/>
      <c r="QCK86" s="6"/>
      <c r="QCL86" s="6"/>
      <c r="QCM86" s="6"/>
      <c r="QCN86" s="6"/>
      <c r="QCO86" s="6"/>
      <c r="QCP86" s="6"/>
      <c r="QCQ86" s="6"/>
      <c r="QCR86" s="6"/>
      <c r="QCS86" s="6"/>
      <c r="QCT86" s="6"/>
      <c r="QCU86" s="6"/>
      <c r="QCV86" s="6"/>
      <c r="QCW86" s="6"/>
      <c r="QCX86" s="6"/>
      <c r="QCY86" s="6"/>
      <c r="QCZ86" s="6"/>
      <c r="QDA86" s="6"/>
      <c r="QDB86" s="6"/>
      <c r="QDC86" s="6"/>
      <c r="QDD86" s="6"/>
      <c r="QDE86" s="6"/>
      <c r="QDF86" s="6"/>
      <c r="QDG86" s="6"/>
      <c r="QDH86" s="6"/>
      <c r="QDI86" s="6"/>
      <c r="QDJ86" s="6"/>
      <c r="QDK86" s="6"/>
      <c r="QDL86" s="6"/>
      <c r="QDM86" s="6"/>
      <c r="QDN86" s="6"/>
      <c r="QDO86" s="6"/>
      <c r="QDP86" s="6"/>
      <c r="QDQ86" s="6"/>
      <c r="QDR86" s="6"/>
      <c r="QDS86" s="6"/>
      <c r="QDT86" s="6"/>
      <c r="QDU86" s="6"/>
      <c r="QDV86" s="6"/>
      <c r="QDW86" s="6"/>
      <c r="QDX86" s="6"/>
      <c r="QDY86" s="6"/>
      <c r="QDZ86" s="6"/>
      <c r="QEA86" s="6"/>
      <c r="QEB86" s="6"/>
      <c r="QEC86" s="6"/>
      <c r="QED86" s="6"/>
      <c r="QEE86" s="6"/>
      <c r="QEF86" s="6"/>
      <c r="QEG86" s="6"/>
      <c r="QEH86" s="6"/>
      <c r="QEI86" s="6"/>
      <c r="QEJ86" s="6"/>
      <c r="QEK86" s="6"/>
      <c r="QEL86" s="6"/>
      <c r="QEM86" s="6"/>
      <c r="QEN86" s="6"/>
      <c r="QEO86" s="6"/>
      <c r="QEP86" s="6"/>
      <c r="QEQ86" s="6"/>
      <c r="QER86" s="6"/>
      <c r="QES86" s="6"/>
      <c r="QET86" s="6"/>
      <c r="QEU86" s="6"/>
      <c r="QEV86" s="6"/>
      <c r="QEW86" s="6"/>
      <c r="QEX86" s="6"/>
      <c r="QEY86" s="6"/>
      <c r="QEZ86" s="6"/>
      <c r="QFA86" s="6"/>
      <c r="QFB86" s="6"/>
      <c r="QFC86" s="6"/>
      <c r="QFD86" s="6"/>
      <c r="QFE86" s="6"/>
      <c r="QFF86" s="6"/>
      <c r="QFG86" s="6"/>
      <c r="QFH86" s="6"/>
      <c r="QFI86" s="6"/>
      <c r="QFJ86" s="6"/>
      <c r="QFK86" s="6"/>
      <c r="QFL86" s="6"/>
      <c r="QFM86" s="6"/>
      <c r="QFN86" s="6"/>
      <c r="QFO86" s="6"/>
      <c r="QFP86" s="6"/>
      <c r="QFQ86" s="6"/>
      <c r="QFR86" s="6"/>
      <c r="QFS86" s="6"/>
      <c r="QFT86" s="6"/>
      <c r="QFU86" s="6"/>
      <c r="QFV86" s="6"/>
      <c r="QFW86" s="6"/>
      <c r="QFX86" s="6"/>
      <c r="QFY86" s="6"/>
      <c r="QFZ86" s="6"/>
      <c r="QGA86" s="6"/>
      <c r="QGB86" s="6"/>
      <c r="QGC86" s="6"/>
      <c r="QGD86" s="6"/>
      <c r="QGE86" s="6"/>
      <c r="QGF86" s="6"/>
      <c r="QGG86" s="6"/>
      <c r="QGH86" s="6"/>
      <c r="QGI86" s="6"/>
      <c r="QGJ86" s="6"/>
      <c r="QGK86" s="6"/>
      <c r="QGL86" s="6"/>
      <c r="QGM86" s="6"/>
      <c r="QGN86" s="6"/>
      <c r="QGO86" s="6"/>
      <c r="QGP86" s="6"/>
      <c r="QGQ86" s="6"/>
      <c r="QGR86" s="6"/>
      <c r="QGS86" s="6"/>
      <c r="QGT86" s="6"/>
      <c r="QGU86" s="6"/>
      <c r="QGV86" s="6"/>
      <c r="QGW86" s="6"/>
      <c r="QGX86" s="6"/>
      <c r="QGY86" s="6"/>
      <c r="QGZ86" s="6"/>
      <c r="QHA86" s="6"/>
      <c r="QHB86" s="6"/>
      <c r="QHC86" s="6"/>
      <c r="QHD86" s="6"/>
      <c r="QHE86" s="6"/>
      <c r="QHF86" s="6"/>
      <c r="QHG86" s="6"/>
      <c r="QHH86" s="6"/>
      <c r="QHI86" s="6"/>
      <c r="QHJ86" s="6"/>
      <c r="QHK86" s="6"/>
      <c r="QHL86" s="6"/>
      <c r="QHM86" s="6"/>
      <c r="QHN86" s="6"/>
      <c r="QHO86" s="6"/>
      <c r="QHP86" s="6"/>
      <c r="QHQ86" s="6"/>
      <c r="QHR86" s="6"/>
      <c r="QHS86" s="6"/>
      <c r="QHT86" s="6"/>
      <c r="QHU86" s="6"/>
      <c r="QHV86" s="6"/>
      <c r="QHW86" s="6"/>
      <c r="QHX86" s="6"/>
      <c r="QHY86" s="6"/>
      <c r="QHZ86" s="6"/>
      <c r="QIA86" s="6"/>
      <c r="QIB86" s="6"/>
      <c r="QIC86" s="6"/>
      <c r="QID86" s="6"/>
      <c r="QIE86" s="6"/>
      <c r="QIF86" s="6"/>
      <c r="QIG86" s="6"/>
      <c r="QIH86" s="6"/>
      <c r="QII86" s="6"/>
      <c r="QIJ86" s="6"/>
      <c r="QIK86" s="6"/>
      <c r="QIL86" s="6"/>
      <c r="QIM86" s="6"/>
      <c r="QIN86" s="6"/>
      <c r="QIO86" s="6"/>
      <c r="QIP86" s="6"/>
      <c r="QIQ86" s="6"/>
      <c r="QIR86" s="6"/>
      <c r="QIS86" s="6"/>
      <c r="QIT86" s="6"/>
      <c r="QIU86" s="6"/>
      <c r="QIV86" s="6"/>
      <c r="QIW86" s="6"/>
      <c r="QIX86" s="6"/>
      <c r="QIY86" s="6"/>
      <c r="QIZ86" s="6"/>
      <c r="QJA86" s="6"/>
      <c r="QJB86" s="6"/>
      <c r="QJC86" s="6"/>
      <c r="QJD86" s="6"/>
      <c r="QJE86" s="6"/>
      <c r="QJF86" s="6"/>
      <c r="QJG86" s="6"/>
      <c r="QJH86" s="6"/>
      <c r="QJI86" s="6"/>
      <c r="QJJ86" s="6"/>
      <c r="QJK86" s="6"/>
      <c r="QJL86" s="6"/>
      <c r="QJM86" s="6"/>
      <c r="QJN86" s="6"/>
      <c r="QJO86" s="6"/>
      <c r="QJP86" s="6"/>
      <c r="QJQ86" s="6"/>
      <c r="QJR86" s="6"/>
      <c r="QJS86" s="6"/>
      <c r="QJT86" s="6"/>
      <c r="QJU86" s="6"/>
      <c r="QJV86" s="6"/>
      <c r="QJW86" s="6"/>
      <c r="QJX86" s="6"/>
      <c r="QJY86" s="6"/>
      <c r="QJZ86" s="6"/>
      <c r="QKA86" s="6"/>
      <c r="QKB86" s="6"/>
      <c r="QKC86" s="6"/>
      <c r="QKD86" s="6"/>
      <c r="QKE86" s="6"/>
      <c r="QKF86" s="6"/>
      <c r="QKG86" s="6"/>
      <c r="QKH86" s="6"/>
      <c r="QKI86" s="6"/>
      <c r="QKJ86" s="6"/>
      <c r="QKK86" s="6"/>
      <c r="QKL86" s="6"/>
      <c r="QKM86" s="6"/>
      <c r="QKN86" s="6"/>
      <c r="QKO86" s="6"/>
      <c r="QKP86" s="6"/>
      <c r="QKQ86" s="6"/>
      <c r="QKR86" s="6"/>
      <c r="QKS86" s="6"/>
      <c r="QKT86" s="6"/>
      <c r="QKU86" s="6"/>
      <c r="QKV86" s="6"/>
      <c r="QKW86" s="6"/>
      <c r="QKX86" s="6"/>
      <c r="QKY86" s="6"/>
      <c r="QKZ86" s="6"/>
      <c r="QLA86" s="6"/>
      <c r="QLB86" s="6"/>
      <c r="QLC86" s="6"/>
      <c r="QLD86" s="6"/>
      <c r="QLE86" s="6"/>
      <c r="QLF86" s="6"/>
      <c r="QLG86" s="6"/>
      <c r="QLH86" s="6"/>
      <c r="QLI86" s="6"/>
      <c r="QLJ86" s="6"/>
      <c r="QLK86" s="6"/>
      <c r="QLL86" s="6"/>
      <c r="QLM86" s="6"/>
      <c r="QLN86" s="6"/>
      <c r="QLO86" s="6"/>
      <c r="QLP86" s="6"/>
      <c r="QLQ86" s="6"/>
      <c r="QLR86" s="6"/>
      <c r="QLS86" s="6"/>
      <c r="QLT86" s="6"/>
      <c r="QLU86" s="6"/>
      <c r="QLV86" s="6"/>
      <c r="QLW86" s="6"/>
      <c r="QLX86" s="6"/>
      <c r="QLY86" s="6"/>
      <c r="QLZ86" s="6"/>
      <c r="QMA86" s="6"/>
      <c r="QMB86" s="6"/>
      <c r="QMC86" s="6"/>
      <c r="QMD86" s="6"/>
      <c r="QME86" s="6"/>
      <c r="QMF86" s="6"/>
      <c r="QMG86" s="6"/>
      <c r="QMH86" s="6"/>
      <c r="QMI86" s="6"/>
      <c r="QMJ86" s="6"/>
      <c r="QMK86" s="6"/>
      <c r="QML86" s="6"/>
      <c r="QMM86" s="6"/>
      <c r="QMN86" s="6"/>
      <c r="QMO86" s="6"/>
      <c r="QMP86" s="6"/>
      <c r="QMQ86" s="6"/>
      <c r="QMR86" s="6"/>
      <c r="QMS86" s="6"/>
      <c r="QMT86" s="6"/>
      <c r="QMU86" s="6"/>
      <c r="QMV86" s="6"/>
      <c r="QMW86" s="6"/>
      <c r="QMX86" s="6"/>
      <c r="QMY86" s="6"/>
      <c r="QMZ86" s="6"/>
      <c r="QNA86" s="6"/>
      <c r="QNB86" s="6"/>
      <c r="QNC86" s="6"/>
      <c r="QND86" s="6"/>
      <c r="QNE86" s="6"/>
      <c r="QNF86" s="6"/>
      <c r="QNG86" s="6"/>
      <c r="QNH86" s="6"/>
      <c r="QNI86" s="6"/>
      <c r="QNJ86" s="6"/>
      <c r="QNK86" s="6"/>
      <c r="QNL86" s="6"/>
      <c r="QNM86" s="6"/>
      <c r="QNN86" s="6"/>
      <c r="QNO86" s="6"/>
      <c r="QNP86" s="6"/>
      <c r="QNQ86" s="6"/>
      <c r="QNR86" s="6"/>
      <c r="QNS86" s="6"/>
      <c r="QNT86" s="6"/>
      <c r="QNU86" s="6"/>
      <c r="QNV86" s="6"/>
      <c r="QNW86" s="6"/>
      <c r="QNX86" s="6"/>
      <c r="QNY86" s="6"/>
      <c r="QNZ86" s="6"/>
      <c r="QOA86" s="6"/>
      <c r="QOB86" s="6"/>
      <c r="QOC86" s="6"/>
      <c r="QOD86" s="6"/>
      <c r="QOE86" s="6"/>
      <c r="QOF86" s="6"/>
      <c r="QOG86" s="6"/>
      <c r="QOH86" s="6"/>
      <c r="QOI86" s="6"/>
      <c r="QOJ86" s="6"/>
      <c r="QOK86" s="6"/>
      <c r="QOL86" s="6"/>
      <c r="QOM86" s="6"/>
      <c r="QON86" s="6"/>
      <c r="QOO86" s="6"/>
      <c r="QOP86" s="6"/>
      <c r="QOQ86" s="6"/>
      <c r="QOR86" s="6"/>
      <c r="QOS86" s="6"/>
      <c r="QOT86" s="6"/>
      <c r="QOU86" s="6"/>
      <c r="QOV86" s="6"/>
      <c r="QOW86" s="6"/>
      <c r="QOX86" s="6"/>
      <c r="QOY86" s="6"/>
      <c r="QOZ86" s="6"/>
      <c r="QPA86" s="6"/>
      <c r="QPB86" s="6"/>
      <c r="QPC86" s="6"/>
      <c r="QPD86" s="6"/>
      <c r="QPE86" s="6"/>
      <c r="QPF86" s="6"/>
      <c r="QPG86" s="6"/>
      <c r="QPH86" s="6"/>
      <c r="QPI86" s="6"/>
      <c r="QPJ86" s="6"/>
      <c r="QPK86" s="6"/>
      <c r="QPL86" s="6"/>
      <c r="QPM86" s="6"/>
      <c r="QPN86" s="6"/>
      <c r="QPO86" s="6"/>
      <c r="QPP86" s="6"/>
      <c r="QPQ86" s="6"/>
      <c r="QPR86" s="6"/>
      <c r="QPS86" s="6"/>
      <c r="QPT86" s="6"/>
      <c r="QPU86" s="6"/>
      <c r="QPV86" s="6"/>
      <c r="QPW86" s="6"/>
      <c r="QPX86" s="6"/>
      <c r="QPY86" s="6"/>
      <c r="QPZ86" s="6"/>
      <c r="QQA86" s="6"/>
      <c r="QQB86" s="6"/>
      <c r="QQC86" s="6"/>
      <c r="QQD86" s="6"/>
      <c r="QQE86" s="6"/>
      <c r="QQF86" s="6"/>
      <c r="QQG86" s="6"/>
      <c r="QQH86" s="6"/>
      <c r="QQI86" s="6"/>
      <c r="QQJ86" s="6"/>
      <c r="QQK86" s="6"/>
      <c r="QQL86" s="6"/>
      <c r="QQM86" s="6"/>
      <c r="QQN86" s="6"/>
      <c r="QQO86" s="6"/>
      <c r="QQP86" s="6"/>
      <c r="QQQ86" s="6"/>
      <c r="QQR86" s="6"/>
      <c r="QQS86" s="6"/>
      <c r="QQT86" s="6"/>
      <c r="QQU86" s="6"/>
      <c r="QQV86" s="6"/>
      <c r="QQW86" s="6"/>
      <c r="QQX86" s="6"/>
      <c r="QQY86" s="6"/>
      <c r="QQZ86" s="6"/>
      <c r="QRA86" s="6"/>
      <c r="QRB86" s="6"/>
      <c r="QRC86" s="6"/>
      <c r="QRD86" s="6"/>
      <c r="QRE86" s="6"/>
      <c r="QRF86" s="6"/>
      <c r="QRG86" s="6"/>
      <c r="QRH86" s="6"/>
      <c r="QRI86" s="6"/>
      <c r="QRJ86" s="6"/>
      <c r="QRK86" s="6"/>
      <c r="QRL86" s="6"/>
      <c r="QRM86" s="6"/>
      <c r="QRN86" s="6"/>
      <c r="QRO86" s="6"/>
      <c r="QRP86" s="6"/>
      <c r="QRQ86" s="6"/>
      <c r="QRR86" s="6"/>
      <c r="QRS86" s="6"/>
      <c r="QRT86" s="6"/>
      <c r="QRU86" s="6"/>
      <c r="QRV86" s="6"/>
      <c r="QRW86" s="6"/>
      <c r="QRX86" s="6"/>
      <c r="QRY86" s="6"/>
      <c r="QRZ86" s="6"/>
      <c r="QSA86" s="6"/>
      <c r="QSB86" s="6"/>
      <c r="QSC86" s="6"/>
      <c r="QSD86" s="6"/>
      <c r="QSE86" s="6"/>
      <c r="QSF86" s="6"/>
      <c r="QSG86" s="6"/>
      <c r="QSH86" s="6"/>
      <c r="QSI86" s="6"/>
      <c r="QSJ86" s="6"/>
      <c r="QSK86" s="6"/>
      <c r="QSL86" s="6"/>
      <c r="QSM86" s="6"/>
      <c r="QSN86" s="6"/>
      <c r="QSO86" s="6"/>
      <c r="QSP86" s="6"/>
      <c r="QSQ86" s="6"/>
      <c r="QSR86" s="6"/>
      <c r="QSS86" s="6"/>
      <c r="QST86" s="6"/>
      <c r="QSU86" s="6"/>
      <c r="QSV86" s="6"/>
      <c r="QSW86" s="6"/>
      <c r="QSX86" s="6"/>
      <c r="QSY86" s="6"/>
      <c r="QSZ86" s="6"/>
      <c r="QTA86" s="6"/>
      <c r="QTB86" s="6"/>
      <c r="QTC86" s="6"/>
      <c r="QTD86" s="6"/>
      <c r="QTE86" s="6"/>
      <c r="QTF86" s="6"/>
      <c r="QTG86" s="6"/>
      <c r="QTH86" s="6"/>
      <c r="QTI86" s="6"/>
      <c r="QTJ86" s="6"/>
      <c r="QTK86" s="6"/>
      <c r="QTL86" s="6"/>
      <c r="QTM86" s="6"/>
      <c r="QTN86" s="6"/>
      <c r="QTO86" s="6"/>
      <c r="QTP86" s="6"/>
      <c r="QTQ86" s="6"/>
      <c r="QTR86" s="6"/>
      <c r="QTS86" s="6"/>
      <c r="QTT86" s="6"/>
      <c r="QTU86" s="6"/>
      <c r="QTV86" s="6"/>
      <c r="QTW86" s="6"/>
      <c r="QTX86" s="6"/>
      <c r="QTY86" s="6"/>
      <c r="QTZ86" s="6"/>
      <c r="QUA86" s="6"/>
      <c r="QUB86" s="6"/>
      <c r="QUC86" s="6"/>
      <c r="QUD86" s="6"/>
      <c r="QUE86" s="6"/>
      <c r="QUF86" s="6"/>
      <c r="QUG86" s="6"/>
      <c r="QUH86" s="6"/>
      <c r="QUI86" s="6"/>
      <c r="QUJ86" s="6"/>
      <c r="QUK86" s="6"/>
      <c r="QUL86" s="6"/>
      <c r="QUM86" s="6"/>
      <c r="QUN86" s="6"/>
      <c r="QUO86" s="6"/>
      <c r="QUP86" s="6"/>
      <c r="QUQ86" s="6"/>
      <c r="QUR86" s="6"/>
      <c r="QUS86" s="6"/>
      <c r="QUT86" s="6"/>
      <c r="QUU86" s="6"/>
      <c r="QUV86" s="6"/>
      <c r="QUW86" s="6"/>
      <c r="QUX86" s="6"/>
      <c r="QUY86" s="6"/>
      <c r="QUZ86" s="6"/>
      <c r="QVA86" s="6"/>
      <c r="QVB86" s="6"/>
      <c r="QVC86" s="6"/>
      <c r="QVD86" s="6"/>
      <c r="QVE86" s="6"/>
      <c r="QVF86" s="6"/>
      <c r="QVG86" s="6"/>
      <c r="QVH86" s="6"/>
      <c r="QVI86" s="6"/>
      <c r="QVJ86" s="6"/>
      <c r="QVK86" s="6"/>
      <c r="QVL86" s="6"/>
      <c r="QVM86" s="6"/>
      <c r="QVN86" s="6"/>
      <c r="QVO86" s="6"/>
      <c r="QVP86" s="6"/>
      <c r="QVQ86" s="6"/>
      <c r="QVR86" s="6"/>
      <c r="QVS86" s="6"/>
      <c r="QVT86" s="6"/>
      <c r="QVU86" s="6"/>
      <c r="QVV86" s="6"/>
      <c r="QVW86" s="6"/>
      <c r="QVX86" s="6"/>
      <c r="QVY86" s="6"/>
      <c r="QVZ86" s="6"/>
      <c r="QWA86" s="6"/>
      <c r="QWB86" s="6"/>
      <c r="QWC86" s="6"/>
      <c r="QWD86" s="6"/>
      <c r="QWE86" s="6"/>
      <c r="QWF86" s="6"/>
      <c r="QWG86" s="6"/>
      <c r="QWH86" s="6"/>
      <c r="QWI86" s="6"/>
      <c r="QWJ86" s="6"/>
      <c r="QWK86" s="6"/>
      <c r="QWL86" s="6"/>
      <c r="QWM86" s="6"/>
      <c r="QWN86" s="6"/>
      <c r="QWO86" s="6"/>
      <c r="QWP86" s="6"/>
      <c r="QWQ86" s="6"/>
      <c r="QWR86" s="6"/>
      <c r="QWS86" s="6"/>
      <c r="QWT86" s="6"/>
      <c r="QWU86" s="6"/>
      <c r="QWV86" s="6"/>
      <c r="QWW86" s="6"/>
      <c r="QWX86" s="6"/>
      <c r="QWY86" s="6"/>
      <c r="QWZ86" s="6"/>
      <c r="QXA86" s="6"/>
      <c r="QXB86" s="6"/>
      <c r="QXC86" s="6"/>
      <c r="QXD86" s="6"/>
      <c r="QXE86" s="6"/>
      <c r="QXF86" s="6"/>
      <c r="QXG86" s="6"/>
      <c r="QXH86" s="6"/>
      <c r="QXI86" s="6"/>
      <c r="QXJ86" s="6"/>
      <c r="QXK86" s="6"/>
      <c r="QXL86" s="6"/>
      <c r="QXM86" s="6"/>
      <c r="QXN86" s="6"/>
      <c r="QXO86" s="6"/>
      <c r="QXP86" s="6"/>
      <c r="QXQ86" s="6"/>
      <c r="QXR86" s="6"/>
      <c r="QXS86" s="6"/>
      <c r="QXT86" s="6"/>
      <c r="QXU86" s="6"/>
      <c r="QXV86" s="6"/>
      <c r="QXW86" s="6"/>
      <c r="QXX86" s="6"/>
      <c r="QXY86" s="6"/>
      <c r="QXZ86" s="6"/>
      <c r="QYA86" s="6"/>
      <c r="QYB86" s="6"/>
      <c r="QYC86" s="6"/>
      <c r="QYD86" s="6"/>
      <c r="QYE86" s="6"/>
      <c r="QYF86" s="6"/>
      <c r="QYG86" s="6"/>
      <c r="QYH86" s="6"/>
      <c r="QYI86" s="6"/>
      <c r="QYJ86" s="6"/>
      <c r="QYK86" s="6"/>
      <c r="QYL86" s="6"/>
      <c r="QYM86" s="6"/>
      <c r="QYN86" s="6"/>
      <c r="QYO86" s="6"/>
      <c r="QYP86" s="6"/>
      <c r="QYQ86" s="6"/>
      <c r="QYR86" s="6"/>
      <c r="QYS86" s="6"/>
      <c r="QYT86" s="6"/>
      <c r="QYU86" s="6"/>
      <c r="QYV86" s="6"/>
      <c r="QYW86" s="6"/>
      <c r="QYX86" s="6"/>
      <c r="QYY86" s="6"/>
      <c r="QYZ86" s="6"/>
      <c r="QZA86" s="6"/>
      <c r="QZB86" s="6"/>
      <c r="QZC86" s="6"/>
      <c r="QZD86" s="6"/>
      <c r="QZE86" s="6"/>
      <c r="QZF86" s="6"/>
      <c r="QZG86" s="6"/>
      <c r="QZH86" s="6"/>
      <c r="QZI86" s="6"/>
      <c r="QZJ86" s="6"/>
      <c r="QZK86" s="6"/>
      <c r="QZL86" s="6"/>
      <c r="QZM86" s="6"/>
      <c r="QZN86" s="6"/>
      <c r="QZO86" s="6"/>
      <c r="QZP86" s="6"/>
      <c r="QZQ86" s="6"/>
      <c r="QZR86" s="6"/>
      <c r="QZS86" s="6"/>
      <c r="QZT86" s="6"/>
      <c r="QZU86" s="6"/>
      <c r="QZV86" s="6"/>
      <c r="QZW86" s="6"/>
      <c r="QZX86" s="6"/>
      <c r="QZY86" s="6"/>
      <c r="QZZ86" s="6"/>
      <c r="RAA86" s="6"/>
      <c r="RAB86" s="6"/>
      <c r="RAC86" s="6"/>
      <c r="RAD86" s="6"/>
      <c r="RAE86" s="6"/>
      <c r="RAF86" s="6"/>
      <c r="RAG86" s="6"/>
      <c r="RAH86" s="6"/>
      <c r="RAI86" s="6"/>
      <c r="RAJ86" s="6"/>
      <c r="RAK86" s="6"/>
      <c r="RAL86" s="6"/>
      <c r="RAM86" s="6"/>
      <c r="RAN86" s="6"/>
      <c r="RAO86" s="6"/>
      <c r="RAP86" s="6"/>
      <c r="RAQ86" s="6"/>
      <c r="RAR86" s="6"/>
      <c r="RAS86" s="6"/>
      <c r="RAT86" s="6"/>
      <c r="RAU86" s="6"/>
      <c r="RAV86" s="6"/>
      <c r="RAW86" s="6"/>
      <c r="RAX86" s="6"/>
      <c r="RAY86" s="6"/>
      <c r="RAZ86" s="6"/>
      <c r="RBA86" s="6"/>
      <c r="RBB86" s="6"/>
      <c r="RBC86" s="6"/>
      <c r="RBD86" s="6"/>
      <c r="RBE86" s="6"/>
      <c r="RBF86" s="6"/>
      <c r="RBG86" s="6"/>
      <c r="RBH86" s="6"/>
      <c r="RBI86" s="6"/>
      <c r="RBJ86" s="6"/>
      <c r="RBK86" s="6"/>
      <c r="RBL86" s="6"/>
      <c r="RBM86" s="6"/>
      <c r="RBN86" s="6"/>
      <c r="RBO86" s="6"/>
      <c r="RBP86" s="6"/>
      <c r="RBQ86" s="6"/>
      <c r="RBR86" s="6"/>
      <c r="RBS86" s="6"/>
      <c r="RBT86" s="6"/>
      <c r="RBU86" s="6"/>
      <c r="RBV86" s="6"/>
      <c r="RBW86" s="6"/>
      <c r="RBX86" s="6"/>
      <c r="RBY86" s="6"/>
      <c r="RBZ86" s="6"/>
      <c r="RCA86" s="6"/>
      <c r="RCB86" s="6"/>
      <c r="RCC86" s="6"/>
      <c r="RCD86" s="6"/>
      <c r="RCE86" s="6"/>
      <c r="RCF86" s="6"/>
      <c r="RCG86" s="6"/>
      <c r="RCH86" s="6"/>
      <c r="RCI86" s="6"/>
      <c r="RCJ86" s="6"/>
      <c r="RCK86" s="6"/>
      <c r="RCL86" s="6"/>
      <c r="RCM86" s="6"/>
      <c r="RCN86" s="6"/>
      <c r="RCO86" s="6"/>
      <c r="RCP86" s="6"/>
      <c r="RCQ86" s="6"/>
      <c r="RCR86" s="6"/>
      <c r="RCS86" s="6"/>
      <c r="RCT86" s="6"/>
      <c r="RCU86" s="6"/>
      <c r="RCV86" s="6"/>
      <c r="RCW86" s="6"/>
      <c r="RCX86" s="6"/>
      <c r="RCY86" s="6"/>
      <c r="RCZ86" s="6"/>
      <c r="RDA86" s="6"/>
      <c r="RDB86" s="6"/>
      <c r="RDC86" s="6"/>
      <c r="RDD86" s="6"/>
      <c r="RDE86" s="6"/>
      <c r="RDF86" s="6"/>
      <c r="RDG86" s="6"/>
      <c r="RDH86" s="6"/>
      <c r="RDI86" s="6"/>
      <c r="RDJ86" s="6"/>
      <c r="RDK86" s="6"/>
      <c r="RDL86" s="6"/>
      <c r="RDM86" s="6"/>
      <c r="RDN86" s="6"/>
      <c r="RDO86" s="6"/>
      <c r="RDP86" s="6"/>
      <c r="RDQ86" s="6"/>
      <c r="RDR86" s="6"/>
      <c r="RDS86" s="6"/>
      <c r="RDT86" s="6"/>
      <c r="RDU86" s="6"/>
      <c r="RDV86" s="6"/>
      <c r="RDW86" s="6"/>
      <c r="RDX86" s="6"/>
      <c r="RDY86" s="6"/>
      <c r="RDZ86" s="6"/>
      <c r="REA86" s="6"/>
      <c r="REB86" s="6"/>
      <c r="REC86" s="6"/>
      <c r="RED86" s="6"/>
      <c r="REE86" s="6"/>
      <c r="REF86" s="6"/>
      <c r="REG86" s="6"/>
      <c r="REH86" s="6"/>
      <c r="REI86" s="6"/>
      <c r="REJ86" s="6"/>
      <c r="REK86" s="6"/>
      <c r="REL86" s="6"/>
      <c r="REM86" s="6"/>
      <c r="REN86" s="6"/>
      <c r="REO86" s="6"/>
      <c r="REP86" s="6"/>
      <c r="REQ86" s="6"/>
      <c r="RER86" s="6"/>
      <c r="RES86" s="6"/>
      <c r="RET86" s="6"/>
      <c r="REU86" s="6"/>
      <c r="REV86" s="6"/>
      <c r="REW86" s="6"/>
      <c r="REX86" s="6"/>
      <c r="REY86" s="6"/>
      <c r="REZ86" s="6"/>
      <c r="RFA86" s="6"/>
      <c r="RFB86" s="6"/>
      <c r="RFC86" s="6"/>
      <c r="RFD86" s="6"/>
      <c r="RFE86" s="6"/>
      <c r="RFF86" s="6"/>
      <c r="RFG86" s="6"/>
      <c r="RFH86" s="6"/>
      <c r="RFI86" s="6"/>
      <c r="RFJ86" s="6"/>
      <c r="RFK86" s="6"/>
      <c r="RFL86" s="6"/>
      <c r="RFM86" s="6"/>
      <c r="RFN86" s="6"/>
      <c r="RFO86" s="6"/>
      <c r="RFP86" s="6"/>
      <c r="RFQ86" s="6"/>
      <c r="RFR86" s="6"/>
      <c r="RFS86" s="6"/>
      <c r="RFT86" s="6"/>
      <c r="RFU86" s="6"/>
      <c r="RFV86" s="6"/>
      <c r="RFW86" s="6"/>
      <c r="RFX86" s="6"/>
      <c r="RFY86" s="6"/>
      <c r="RFZ86" s="6"/>
      <c r="RGA86" s="6"/>
      <c r="RGB86" s="6"/>
      <c r="RGC86" s="6"/>
      <c r="RGD86" s="6"/>
      <c r="RGE86" s="6"/>
      <c r="RGF86" s="6"/>
      <c r="RGG86" s="6"/>
      <c r="RGH86" s="6"/>
      <c r="RGI86" s="6"/>
      <c r="RGJ86" s="6"/>
      <c r="RGK86" s="6"/>
      <c r="RGL86" s="6"/>
      <c r="RGM86" s="6"/>
      <c r="RGN86" s="6"/>
      <c r="RGO86" s="6"/>
      <c r="RGP86" s="6"/>
      <c r="RGQ86" s="6"/>
      <c r="RGR86" s="6"/>
      <c r="RGS86" s="6"/>
      <c r="RGT86" s="6"/>
      <c r="RGU86" s="6"/>
      <c r="RGV86" s="6"/>
      <c r="RGW86" s="6"/>
      <c r="RGX86" s="6"/>
      <c r="RGY86" s="6"/>
      <c r="RGZ86" s="6"/>
      <c r="RHA86" s="6"/>
      <c r="RHB86" s="6"/>
      <c r="RHC86" s="6"/>
      <c r="RHD86" s="6"/>
      <c r="RHE86" s="6"/>
      <c r="RHF86" s="6"/>
      <c r="RHG86" s="6"/>
      <c r="RHH86" s="6"/>
      <c r="RHI86" s="6"/>
      <c r="RHJ86" s="6"/>
      <c r="RHK86" s="6"/>
      <c r="RHL86" s="6"/>
      <c r="RHM86" s="6"/>
      <c r="RHN86" s="6"/>
      <c r="RHO86" s="6"/>
      <c r="RHP86" s="6"/>
      <c r="RHQ86" s="6"/>
      <c r="RHR86" s="6"/>
      <c r="RHS86" s="6"/>
      <c r="RHT86" s="6"/>
      <c r="RHU86" s="6"/>
      <c r="RHV86" s="6"/>
      <c r="RHW86" s="6"/>
      <c r="RHX86" s="6"/>
      <c r="RHY86" s="6"/>
      <c r="RHZ86" s="6"/>
      <c r="RIA86" s="6"/>
      <c r="RIB86" s="6"/>
      <c r="RIC86" s="6"/>
      <c r="RID86" s="6"/>
      <c r="RIE86" s="6"/>
      <c r="RIF86" s="6"/>
      <c r="RIG86" s="6"/>
      <c r="RIH86" s="6"/>
      <c r="RII86" s="6"/>
      <c r="RIJ86" s="6"/>
      <c r="RIK86" s="6"/>
      <c r="RIL86" s="6"/>
      <c r="RIM86" s="6"/>
      <c r="RIN86" s="6"/>
      <c r="RIO86" s="6"/>
      <c r="RIP86" s="6"/>
      <c r="RIQ86" s="6"/>
      <c r="RIR86" s="6"/>
      <c r="RIS86" s="6"/>
      <c r="RIT86" s="6"/>
      <c r="RIU86" s="6"/>
      <c r="RIV86" s="6"/>
      <c r="RIW86" s="6"/>
      <c r="RIX86" s="6"/>
      <c r="RIY86" s="6"/>
      <c r="RIZ86" s="6"/>
      <c r="RJA86" s="6"/>
      <c r="RJB86" s="6"/>
      <c r="RJC86" s="6"/>
      <c r="RJD86" s="6"/>
      <c r="RJE86" s="6"/>
      <c r="RJF86" s="6"/>
      <c r="RJG86" s="6"/>
      <c r="RJH86" s="6"/>
      <c r="RJI86" s="6"/>
      <c r="RJJ86" s="6"/>
      <c r="RJK86" s="6"/>
      <c r="RJL86" s="6"/>
      <c r="RJM86" s="6"/>
      <c r="RJN86" s="6"/>
      <c r="RJO86" s="6"/>
      <c r="RJP86" s="6"/>
      <c r="RJQ86" s="6"/>
      <c r="RJR86" s="6"/>
      <c r="RJS86" s="6"/>
      <c r="RJT86" s="6"/>
      <c r="RJU86" s="6"/>
      <c r="RJV86" s="6"/>
      <c r="RJW86" s="6"/>
      <c r="RJX86" s="6"/>
      <c r="RJY86" s="6"/>
      <c r="RJZ86" s="6"/>
      <c r="RKA86" s="6"/>
      <c r="RKB86" s="6"/>
      <c r="RKC86" s="6"/>
      <c r="RKD86" s="6"/>
      <c r="RKE86" s="6"/>
      <c r="RKF86" s="6"/>
      <c r="RKG86" s="6"/>
      <c r="RKH86" s="6"/>
      <c r="RKI86" s="6"/>
      <c r="RKJ86" s="6"/>
      <c r="RKK86" s="6"/>
      <c r="RKL86" s="6"/>
      <c r="RKM86" s="6"/>
      <c r="RKN86" s="6"/>
      <c r="RKO86" s="6"/>
      <c r="RKP86" s="6"/>
      <c r="RKQ86" s="6"/>
      <c r="RKR86" s="6"/>
      <c r="RKS86" s="6"/>
      <c r="RKT86" s="6"/>
      <c r="RKU86" s="6"/>
      <c r="RKV86" s="6"/>
      <c r="RKW86" s="6"/>
      <c r="RKX86" s="6"/>
      <c r="RKY86" s="6"/>
      <c r="RKZ86" s="6"/>
      <c r="RLA86" s="6"/>
      <c r="RLB86" s="6"/>
      <c r="RLC86" s="6"/>
      <c r="RLD86" s="6"/>
      <c r="RLE86" s="6"/>
      <c r="RLF86" s="6"/>
      <c r="RLG86" s="6"/>
      <c r="RLH86" s="6"/>
      <c r="RLI86" s="6"/>
      <c r="RLJ86" s="6"/>
      <c r="RLK86" s="6"/>
      <c r="RLL86" s="6"/>
      <c r="RLM86" s="6"/>
      <c r="RLN86" s="6"/>
      <c r="RLO86" s="6"/>
      <c r="RLP86" s="6"/>
      <c r="RLQ86" s="6"/>
      <c r="RLR86" s="6"/>
      <c r="RLS86" s="6"/>
      <c r="RLT86" s="6"/>
      <c r="RLU86" s="6"/>
      <c r="RLV86" s="6"/>
      <c r="RLW86" s="6"/>
      <c r="RLX86" s="6"/>
      <c r="RLY86" s="6"/>
      <c r="RLZ86" s="6"/>
      <c r="RMA86" s="6"/>
      <c r="RMB86" s="6"/>
      <c r="RMC86" s="6"/>
      <c r="RMD86" s="6"/>
      <c r="RME86" s="6"/>
      <c r="RMF86" s="6"/>
      <c r="RMG86" s="6"/>
      <c r="RMH86" s="6"/>
      <c r="RMI86" s="6"/>
      <c r="RMJ86" s="6"/>
      <c r="RMK86" s="6"/>
      <c r="RML86" s="6"/>
      <c r="RMM86" s="6"/>
      <c r="RMN86" s="6"/>
      <c r="RMO86" s="6"/>
      <c r="RMP86" s="6"/>
      <c r="RMQ86" s="6"/>
      <c r="RMR86" s="6"/>
      <c r="RMS86" s="6"/>
      <c r="RMT86" s="6"/>
      <c r="RMU86" s="6"/>
      <c r="RMV86" s="6"/>
      <c r="RMW86" s="6"/>
      <c r="RMX86" s="6"/>
      <c r="RMY86" s="6"/>
      <c r="RMZ86" s="6"/>
      <c r="RNA86" s="6"/>
      <c r="RNB86" s="6"/>
      <c r="RNC86" s="6"/>
      <c r="RND86" s="6"/>
      <c r="RNE86" s="6"/>
      <c r="RNF86" s="6"/>
      <c r="RNG86" s="6"/>
      <c r="RNH86" s="6"/>
      <c r="RNI86" s="6"/>
      <c r="RNJ86" s="6"/>
      <c r="RNK86" s="6"/>
      <c r="RNL86" s="6"/>
      <c r="RNM86" s="6"/>
      <c r="RNN86" s="6"/>
      <c r="RNO86" s="6"/>
      <c r="RNP86" s="6"/>
      <c r="RNQ86" s="6"/>
      <c r="RNR86" s="6"/>
      <c r="RNS86" s="6"/>
      <c r="RNT86" s="6"/>
      <c r="RNU86" s="6"/>
      <c r="RNV86" s="6"/>
      <c r="RNW86" s="6"/>
      <c r="RNX86" s="6"/>
      <c r="RNY86" s="6"/>
      <c r="RNZ86" s="6"/>
      <c r="ROA86" s="6"/>
      <c r="ROB86" s="6"/>
      <c r="ROC86" s="6"/>
      <c r="ROD86" s="6"/>
      <c r="ROE86" s="6"/>
      <c r="ROF86" s="6"/>
      <c r="ROG86" s="6"/>
      <c r="ROH86" s="6"/>
      <c r="ROI86" s="6"/>
      <c r="ROJ86" s="6"/>
      <c r="ROK86" s="6"/>
      <c r="ROL86" s="6"/>
      <c r="ROM86" s="6"/>
      <c r="RON86" s="6"/>
      <c r="ROO86" s="6"/>
      <c r="ROP86" s="6"/>
      <c r="ROQ86" s="6"/>
      <c r="ROR86" s="6"/>
      <c r="ROS86" s="6"/>
      <c r="ROT86" s="6"/>
      <c r="ROU86" s="6"/>
      <c r="ROV86" s="6"/>
      <c r="ROW86" s="6"/>
      <c r="ROX86" s="6"/>
      <c r="ROY86" s="6"/>
      <c r="ROZ86" s="6"/>
      <c r="RPA86" s="6"/>
      <c r="RPB86" s="6"/>
      <c r="RPC86" s="6"/>
      <c r="RPD86" s="6"/>
      <c r="RPE86" s="6"/>
      <c r="RPF86" s="6"/>
      <c r="RPG86" s="6"/>
      <c r="RPH86" s="6"/>
      <c r="RPI86" s="6"/>
      <c r="RPJ86" s="6"/>
      <c r="RPK86" s="6"/>
      <c r="RPL86" s="6"/>
      <c r="RPM86" s="6"/>
      <c r="RPN86" s="6"/>
      <c r="RPO86" s="6"/>
      <c r="RPP86" s="6"/>
      <c r="RPQ86" s="6"/>
      <c r="RPR86" s="6"/>
      <c r="RPS86" s="6"/>
      <c r="RPT86" s="6"/>
      <c r="RPU86" s="6"/>
      <c r="RPV86" s="6"/>
      <c r="RPW86" s="6"/>
      <c r="RPX86" s="6"/>
      <c r="RPY86" s="6"/>
      <c r="RPZ86" s="6"/>
      <c r="RQA86" s="6"/>
      <c r="RQB86" s="6"/>
      <c r="RQC86" s="6"/>
      <c r="RQD86" s="6"/>
      <c r="RQE86" s="6"/>
      <c r="RQF86" s="6"/>
      <c r="RQG86" s="6"/>
      <c r="RQH86" s="6"/>
      <c r="RQI86" s="6"/>
      <c r="RQJ86" s="6"/>
      <c r="RQK86" s="6"/>
      <c r="RQL86" s="6"/>
      <c r="RQM86" s="6"/>
      <c r="RQN86" s="6"/>
      <c r="RQO86" s="6"/>
      <c r="RQP86" s="6"/>
      <c r="RQQ86" s="6"/>
      <c r="RQR86" s="6"/>
      <c r="RQS86" s="6"/>
      <c r="RQT86" s="6"/>
      <c r="RQU86" s="6"/>
      <c r="RQV86" s="6"/>
      <c r="RQW86" s="6"/>
      <c r="RQX86" s="6"/>
      <c r="RQY86" s="6"/>
      <c r="RQZ86" s="6"/>
      <c r="RRA86" s="6"/>
      <c r="RRB86" s="6"/>
      <c r="RRC86" s="6"/>
      <c r="RRD86" s="6"/>
      <c r="RRE86" s="6"/>
      <c r="RRF86" s="6"/>
      <c r="RRG86" s="6"/>
      <c r="RRH86" s="6"/>
      <c r="RRI86" s="6"/>
      <c r="RRJ86" s="6"/>
      <c r="RRK86" s="6"/>
      <c r="RRL86" s="6"/>
      <c r="RRM86" s="6"/>
      <c r="RRN86" s="6"/>
      <c r="RRO86" s="6"/>
      <c r="RRP86" s="6"/>
      <c r="RRQ86" s="6"/>
      <c r="RRR86" s="6"/>
      <c r="RRS86" s="6"/>
      <c r="RRT86" s="6"/>
      <c r="RRU86" s="6"/>
      <c r="RRV86" s="6"/>
      <c r="RRW86" s="6"/>
      <c r="RRX86" s="6"/>
      <c r="RRY86" s="6"/>
      <c r="RRZ86" s="6"/>
      <c r="RSA86" s="6"/>
      <c r="RSB86" s="6"/>
      <c r="RSC86" s="6"/>
      <c r="RSD86" s="6"/>
      <c r="RSE86" s="6"/>
      <c r="RSF86" s="6"/>
      <c r="RSG86" s="6"/>
      <c r="RSH86" s="6"/>
      <c r="RSI86" s="6"/>
      <c r="RSJ86" s="6"/>
      <c r="RSK86" s="6"/>
      <c r="RSL86" s="6"/>
      <c r="RSM86" s="6"/>
      <c r="RSN86" s="6"/>
      <c r="RSO86" s="6"/>
      <c r="RSP86" s="6"/>
      <c r="RSQ86" s="6"/>
      <c r="RSR86" s="6"/>
      <c r="RSS86" s="6"/>
      <c r="RST86" s="6"/>
      <c r="RSU86" s="6"/>
      <c r="RSV86" s="6"/>
      <c r="RSW86" s="6"/>
      <c r="RSX86" s="6"/>
      <c r="RSY86" s="6"/>
      <c r="RSZ86" s="6"/>
      <c r="RTA86" s="6"/>
      <c r="RTB86" s="6"/>
      <c r="RTC86" s="6"/>
      <c r="RTD86" s="6"/>
      <c r="RTE86" s="6"/>
      <c r="RTF86" s="6"/>
      <c r="RTG86" s="6"/>
      <c r="RTH86" s="6"/>
      <c r="RTI86" s="6"/>
      <c r="RTJ86" s="6"/>
      <c r="RTK86" s="6"/>
      <c r="RTL86" s="6"/>
      <c r="RTM86" s="6"/>
      <c r="RTN86" s="6"/>
      <c r="RTO86" s="6"/>
      <c r="RTP86" s="6"/>
      <c r="RTQ86" s="6"/>
      <c r="RTR86" s="6"/>
      <c r="RTS86" s="6"/>
      <c r="RTT86" s="6"/>
      <c r="RTU86" s="6"/>
      <c r="RTV86" s="6"/>
      <c r="RTW86" s="6"/>
      <c r="RTX86" s="6"/>
      <c r="RTY86" s="6"/>
      <c r="RTZ86" s="6"/>
      <c r="RUA86" s="6"/>
      <c r="RUB86" s="6"/>
      <c r="RUC86" s="6"/>
      <c r="RUD86" s="6"/>
      <c r="RUE86" s="6"/>
      <c r="RUF86" s="6"/>
      <c r="RUG86" s="6"/>
      <c r="RUH86" s="6"/>
      <c r="RUI86" s="6"/>
      <c r="RUJ86" s="6"/>
      <c r="RUK86" s="6"/>
      <c r="RUL86" s="6"/>
      <c r="RUM86" s="6"/>
      <c r="RUN86" s="6"/>
      <c r="RUO86" s="6"/>
      <c r="RUP86" s="6"/>
      <c r="RUQ86" s="6"/>
      <c r="RUR86" s="6"/>
      <c r="RUS86" s="6"/>
      <c r="RUT86" s="6"/>
      <c r="RUU86" s="6"/>
      <c r="RUV86" s="6"/>
      <c r="RUW86" s="6"/>
      <c r="RUX86" s="6"/>
      <c r="RUY86" s="6"/>
      <c r="RUZ86" s="6"/>
      <c r="RVA86" s="6"/>
      <c r="RVB86" s="6"/>
      <c r="RVC86" s="6"/>
      <c r="RVD86" s="6"/>
      <c r="RVE86" s="6"/>
      <c r="RVF86" s="6"/>
      <c r="RVG86" s="6"/>
      <c r="RVH86" s="6"/>
      <c r="RVI86" s="6"/>
      <c r="RVJ86" s="6"/>
      <c r="RVK86" s="6"/>
      <c r="RVL86" s="6"/>
      <c r="RVM86" s="6"/>
      <c r="RVN86" s="6"/>
      <c r="RVO86" s="6"/>
      <c r="RVP86" s="6"/>
      <c r="RVQ86" s="6"/>
      <c r="RVR86" s="6"/>
      <c r="RVS86" s="6"/>
      <c r="RVT86" s="6"/>
      <c r="RVU86" s="6"/>
      <c r="RVV86" s="6"/>
      <c r="RVW86" s="6"/>
      <c r="RVX86" s="6"/>
      <c r="RVY86" s="6"/>
      <c r="RVZ86" s="6"/>
      <c r="RWA86" s="6"/>
      <c r="RWB86" s="6"/>
      <c r="RWC86" s="6"/>
      <c r="RWD86" s="6"/>
      <c r="RWE86" s="6"/>
      <c r="RWF86" s="6"/>
      <c r="RWG86" s="6"/>
      <c r="RWH86" s="6"/>
      <c r="RWI86" s="6"/>
      <c r="RWJ86" s="6"/>
      <c r="RWK86" s="6"/>
      <c r="RWL86" s="6"/>
      <c r="RWM86" s="6"/>
      <c r="RWN86" s="6"/>
      <c r="RWO86" s="6"/>
      <c r="RWP86" s="6"/>
      <c r="RWQ86" s="6"/>
      <c r="RWR86" s="6"/>
      <c r="RWS86" s="6"/>
      <c r="RWT86" s="6"/>
      <c r="RWU86" s="6"/>
      <c r="RWV86" s="6"/>
      <c r="RWW86" s="6"/>
      <c r="RWX86" s="6"/>
      <c r="RWY86" s="6"/>
      <c r="RWZ86" s="6"/>
      <c r="RXA86" s="6"/>
      <c r="RXB86" s="6"/>
      <c r="RXC86" s="6"/>
      <c r="RXD86" s="6"/>
      <c r="RXE86" s="6"/>
      <c r="RXF86" s="6"/>
      <c r="RXG86" s="6"/>
      <c r="RXH86" s="6"/>
      <c r="RXI86" s="6"/>
      <c r="RXJ86" s="6"/>
      <c r="RXK86" s="6"/>
      <c r="RXL86" s="6"/>
      <c r="RXM86" s="6"/>
      <c r="RXN86" s="6"/>
      <c r="RXO86" s="6"/>
      <c r="RXP86" s="6"/>
      <c r="RXQ86" s="6"/>
      <c r="RXR86" s="6"/>
      <c r="RXS86" s="6"/>
      <c r="RXT86" s="6"/>
      <c r="RXU86" s="6"/>
      <c r="RXV86" s="6"/>
      <c r="RXW86" s="6"/>
      <c r="RXX86" s="6"/>
      <c r="RXY86" s="6"/>
      <c r="RXZ86" s="6"/>
      <c r="RYA86" s="6"/>
      <c r="RYB86" s="6"/>
      <c r="RYC86" s="6"/>
      <c r="RYD86" s="6"/>
      <c r="RYE86" s="6"/>
      <c r="RYF86" s="6"/>
      <c r="RYG86" s="6"/>
      <c r="RYH86" s="6"/>
      <c r="RYI86" s="6"/>
      <c r="RYJ86" s="6"/>
      <c r="RYK86" s="6"/>
      <c r="RYL86" s="6"/>
      <c r="RYM86" s="6"/>
      <c r="RYN86" s="6"/>
      <c r="RYO86" s="6"/>
      <c r="RYP86" s="6"/>
      <c r="RYQ86" s="6"/>
      <c r="RYR86" s="6"/>
      <c r="RYS86" s="6"/>
      <c r="RYT86" s="6"/>
      <c r="RYU86" s="6"/>
      <c r="RYV86" s="6"/>
      <c r="RYW86" s="6"/>
      <c r="RYX86" s="6"/>
      <c r="RYY86" s="6"/>
      <c r="RYZ86" s="6"/>
      <c r="RZA86" s="6"/>
      <c r="RZB86" s="6"/>
      <c r="RZC86" s="6"/>
      <c r="RZD86" s="6"/>
      <c r="RZE86" s="6"/>
      <c r="RZF86" s="6"/>
      <c r="RZG86" s="6"/>
      <c r="RZH86" s="6"/>
      <c r="RZI86" s="6"/>
      <c r="RZJ86" s="6"/>
      <c r="RZK86" s="6"/>
      <c r="RZL86" s="6"/>
      <c r="RZM86" s="6"/>
      <c r="RZN86" s="6"/>
      <c r="RZO86" s="6"/>
      <c r="RZP86" s="6"/>
      <c r="RZQ86" s="6"/>
      <c r="RZR86" s="6"/>
      <c r="RZS86" s="6"/>
      <c r="RZT86" s="6"/>
      <c r="RZU86" s="6"/>
      <c r="RZV86" s="6"/>
      <c r="RZW86" s="6"/>
      <c r="RZX86" s="6"/>
      <c r="RZY86" s="6"/>
      <c r="RZZ86" s="6"/>
      <c r="SAA86" s="6"/>
      <c r="SAB86" s="6"/>
      <c r="SAC86" s="6"/>
      <c r="SAD86" s="6"/>
      <c r="SAE86" s="6"/>
      <c r="SAF86" s="6"/>
      <c r="SAG86" s="6"/>
      <c r="SAH86" s="6"/>
      <c r="SAI86" s="6"/>
      <c r="SAJ86" s="6"/>
      <c r="SAK86" s="6"/>
      <c r="SAL86" s="6"/>
      <c r="SAM86" s="6"/>
      <c r="SAN86" s="6"/>
      <c r="SAO86" s="6"/>
      <c r="SAP86" s="6"/>
      <c r="SAQ86" s="6"/>
      <c r="SAR86" s="6"/>
      <c r="SAS86" s="6"/>
      <c r="SAT86" s="6"/>
      <c r="SAU86" s="6"/>
      <c r="SAV86" s="6"/>
      <c r="SAW86" s="6"/>
      <c r="SAX86" s="6"/>
      <c r="SAY86" s="6"/>
      <c r="SAZ86" s="6"/>
      <c r="SBA86" s="6"/>
      <c r="SBB86" s="6"/>
      <c r="SBC86" s="6"/>
      <c r="SBD86" s="6"/>
      <c r="SBE86" s="6"/>
      <c r="SBF86" s="6"/>
      <c r="SBG86" s="6"/>
      <c r="SBH86" s="6"/>
      <c r="SBI86" s="6"/>
      <c r="SBJ86" s="6"/>
      <c r="SBK86" s="6"/>
      <c r="SBL86" s="6"/>
      <c r="SBM86" s="6"/>
      <c r="SBN86" s="6"/>
      <c r="SBO86" s="6"/>
      <c r="SBP86" s="6"/>
      <c r="SBQ86" s="6"/>
      <c r="SBR86" s="6"/>
      <c r="SBS86" s="6"/>
      <c r="SBT86" s="6"/>
      <c r="SBU86" s="6"/>
      <c r="SBV86" s="6"/>
      <c r="SBW86" s="6"/>
      <c r="SBX86" s="6"/>
      <c r="SBY86" s="6"/>
      <c r="SBZ86" s="6"/>
      <c r="SCA86" s="6"/>
      <c r="SCB86" s="6"/>
      <c r="SCC86" s="6"/>
      <c r="SCD86" s="6"/>
      <c r="SCE86" s="6"/>
      <c r="SCF86" s="6"/>
      <c r="SCG86" s="6"/>
      <c r="SCH86" s="6"/>
      <c r="SCI86" s="6"/>
      <c r="SCJ86" s="6"/>
      <c r="SCK86" s="6"/>
      <c r="SCL86" s="6"/>
      <c r="SCM86" s="6"/>
      <c r="SCN86" s="6"/>
      <c r="SCO86" s="6"/>
      <c r="SCP86" s="6"/>
      <c r="SCQ86" s="6"/>
      <c r="SCR86" s="6"/>
      <c r="SCS86" s="6"/>
      <c r="SCT86" s="6"/>
      <c r="SCU86" s="6"/>
      <c r="SCV86" s="6"/>
      <c r="SCW86" s="6"/>
      <c r="SCX86" s="6"/>
      <c r="SCY86" s="6"/>
      <c r="SCZ86" s="6"/>
      <c r="SDA86" s="6"/>
      <c r="SDB86" s="6"/>
      <c r="SDC86" s="6"/>
      <c r="SDD86" s="6"/>
      <c r="SDE86" s="6"/>
      <c r="SDF86" s="6"/>
      <c r="SDG86" s="6"/>
      <c r="SDH86" s="6"/>
      <c r="SDI86" s="6"/>
      <c r="SDJ86" s="6"/>
      <c r="SDK86" s="6"/>
      <c r="SDL86" s="6"/>
      <c r="SDM86" s="6"/>
      <c r="SDN86" s="6"/>
      <c r="SDO86" s="6"/>
      <c r="SDP86" s="6"/>
      <c r="SDQ86" s="6"/>
      <c r="SDR86" s="6"/>
      <c r="SDS86" s="6"/>
      <c r="SDT86" s="6"/>
      <c r="SDU86" s="6"/>
      <c r="SDV86" s="6"/>
      <c r="SDW86" s="6"/>
      <c r="SDX86" s="6"/>
      <c r="SDY86" s="6"/>
      <c r="SDZ86" s="6"/>
      <c r="SEA86" s="6"/>
      <c r="SEB86" s="6"/>
      <c r="SEC86" s="6"/>
      <c r="SED86" s="6"/>
      <c r="SEE86" s="6"/>
      <c r="SEF86" s="6"/>
      <c r="SEG86" s="6"/>
      <c r="SEH86" s="6"/>
      <c r="SEI86" s="6"/>
      <c r="SEJ86" s="6"/>
      <c r="SEK86" s="6"/>
      <c r="SEL86" s="6"/>
      <c r="SEM86" s="6"/>
      <c r="SEN86" s="6"/>
      <c r="SEO86" s="6"/>
      <c r="SEP86" s="6"/>
      <c r="SEQ86" s="6"/>
      <c r="SER86" s="6"/>
      <c r="SES86" s="6"/>
      <c r="SET86" s="6"/>
      <c r="SEU86" s="6"/>
      <c r="SEV86" s="6"/>
      <c r="SEW86" s="6"/>
      <c r="SEX86" s="6"/>
      <c r="SEY86" s="6"/>
      <c r="SEZ86" s="6"/>
      <c r="SFA86" s="6"/>
      <c r="SFB86" s="6"/>
      <c r="SFC86" s="6"/>
      <c r="SFD86" s="6"/>
      <c r="SFE86" s="6"/>
      <c r="SFF86" s="6"/>
      <c r="SFG86" s="6"/>
      <c r="SFH86" s="6"/>
      <c r="SFI86" s="6"/>
      <c r="SFJ86" s="6"/>
      <c r="SFK86" s="6"/>
      <c r="SFL86" s="6"/>
      <c r="SFM86" s="6"/>
      <c r="SFN86" s="6"/>
      <c r="SFO86" s="6"/>
      <c r="SFP86" s="6"/>
      <c r="SFQ86" s="6"/>
      <c r="SFR86" s="6"/>
      <c r="SFS86" s="6"/>
      <c r="SFT86" s="6"/>
      <c r="SFU86" s="6"/>
      <c r="SFV86" s="6"/>
      <c r="SFW86" s="6"/>
      <c r="SFX86" s="6"/>
      <c r="SFY86" s="6"/>
      <c r="SFZ86" s="6"/>
      <c r="SGA86" s="6"/>
      <c r="SGB86" s="6"/>
      <c r="SGC86" s="6"/>
      <c r="SGD86" s="6"/>
      <c r="SGE86" s="6"/>
      <c r="SGF86" s="6"/>
      <c r="SGG86" s="6"/>
      <c r="SGH86" s="6"/>
      <c r="SGI86" s="6"/>
      <c r="SGJ86" s="6"/>
      <c r="SGK86" s="6"/>
      <c r="SGL86" s="6"/>
      <c r="SGM86" s="6"/>
      <c r="SGN86" s="6"/>
      <c r="SGO86" s="6"/>
      <c r="SGP86" s="6"/>
      <c r="SGQ86" s="6"/>
      <c r="SGR86" s="6"/>
      <c r="SGS86" s="6"/>
      <c r="SGT86" s="6"/>
      <c r="SGU86" s="6"/>
      <c r="SGV86" s="6"/>
      <c r="SGW86" s="6"/>
      <c r="SGX86" s="6"/>
      <c r="SGY86" s="6"/>
      <c r="SGZ86" s="6"/>
      <c r="SHA86" s="6"/>
      <c r="SHB86" s="6"/>
      <c r="SHC86" s="6"/>
      <c r="SHD86" s="6"/>
      <c r="SHE86" s="6"/>
      <c r="SHF86" s="6"/>
      <c r="SHG86" s="6"/>
      <c r="SHH86" s="6"/>
      <c r="SHI86" s="6"/>
      <c r="SHJ86" s="6"/>
      <c r="SHK86" s="6"/>
      <c r="SHL86" s="6"/>
      <c r="SHM86" s="6"/>
      <c r="SHN86" s="6"/>
      <c r="SHO86" s="6"/>
      <c r="SHP86" s="6"/>
      <c r="SHQ86" s="6"/>
      <c r="SHR86" s="6"/>
      <c r="SHS86" s="6"/>
      <c r="SHT86" s="6"/>
      <c r="SHU86" s="6"/>
      <c r="SHV86" s="6"/>
      <c r="SHW86" s="6"/>
      <c r="SHX86" s="6"/>
      <c r="SHY86" s="6"/>
      <c r="SHZ86" s="6"/>
      <c r="SIA86" s="6"/>
      <c r="SIB86" s="6"/>
      <c r="SIC86" s="6"/>
      <c r="SID86" s="6"/>
      <c r="SIE86" s="6"/>
      <c r="SIF86" s="6"/>
      <c r="SIG86" s="6"/>
      <c r="SIH86" s="6"/>
      <c r="SII86" s="6"/>
      <c r="SIJ86" s="6"/>
      <c r="SIK86" s="6"/>
      <c r="SIL86" s="6"/>
      <c r="SIM86" s="6"/>
      <c r="SIN86" s="6"/>
      <c r="SIO86" s="6"/>
      <c r="SIP86" s="6"/>
      <c r="SIQ86" s="6"/>
      <c r="SIR86" s="6"/>
      <c r="SIS86" s="6"/>
      <c r="SIT86" s="6"/>
      <c r="SIU86" s="6"/>
      <c r="SIV86" s="6"/>
      <c r="SIW86" s="6"/>
      <c r="SIX86" s="6"/>
      <c r="SIY86" s="6"/>
      <c r="SIZ86" s="6"/>
      <c r="SJA86" s="6"/>
      <c r="SJB86" s="6"/>
      <c r="SJC86" s="6"/>
      <c r="SJD86" s="6"/>
      <c r="SJE86" s="6"/>
      <c r="SJF86" s="6"/>
      <c r="SJG86" s="6"/>
      <c r="SJH86" s="6"/>
      <c r="SJI86" s="6"/>
      <c r="SJJ86" s="6"/>
      <c r="SJK86" s="6"/>
      <c r="SJL86" s="6"/>
      <c r="SJM86" s="6"/>
      <c r="SJN86" s="6"/>
      <c r="SJO86" s="6"/>
      <c r="SJP86" s="6"/>
      <c r="SJQ86" s="6"/>
      <c r="SJR86" s="6"/>
      <c r="SJS86" s="6"/>
      <c r="SJT86" s="6"/>
      <c r="SJU86" s="6"/>
      <c r="SJV86" s="6"/>
      <c r="SJW86" s="6"/>
      <c r="SJX86" s="6"/>
      <c r="SJY86" s="6"/>
      <c r="SJZ86" s="6"/>
      <c r="SKA86" s="6"/>
      <c r="SKB86" s="6"/>
      <c r="SKC86" s="6"/>
      <c r="SKD86" s="6"/>
      <c r="SKE86" s="6"/>
      <c r="SKF86" s="6"/>
      <c r="SKG86" s="6"/>
      <c r="SKH86" s="6"/>
      <c r="SKI86" s="6"/>
      <c r="SKJ86" s="6"/>
      <c r="SKK86" s="6"/>
      <c r="SKL86" s="6"/>
      <c r="SKM86" s="6"/>
      <c r="SKN86" s="6"/>
      <c r="SKO86" s="6"/>
      <c r="SKP86" s="6"/>
      <c r="SKQ86" s="6"/>
      <c r="SKR86" s="6"/>
      <c r="SKS86" s="6"/>
      <c r="SKT86" s="6"/>
      <c r="SKU86" s="6"/>
      <c r="SKV86" s="6"/>
      <c r="SKW86" s="6"/>
      <c r="SKX86" s="6"/>
      <c r="SKY86" s="6"/>
      <c r="SKZ86" s="6"/>
      <c r="SLA86" s="6"/>
      <c r="SLB86" s="6"/>
      <c r="SLC86" s="6"/>
      <c r="SLD86" s="6"/>
      <c r="SLE86" s="6"/>
      <c r="SLF86" s="6"/>
      <c r="SLG86" s="6"/>
      <c r="SLH86" s="6"/>
      <c r="SLI86" s="6"/>
      <c r="SLJ86" s="6"/>
      <c r="SLK86" s="6"/>
      <c r="SLL86" s="6"/>
      <c r="SLM86" s="6"/>
      <c r="SLN86" s="6"/>
      <c r="SLO86" s="6"/>
      <c r="SLP86" s="6"/>
      <c r="SLQ86" s="6"/>
      <c r="SLR86" s="6"/>
      <c r="SLS86" s="6"/>
      <c r="SLT86" s="6"/>
      <c r="SLU86" s="6"/>
      <c r="SLV86" s="6"/>
      <c r="SLW86" s="6"/>
      <c r="SLX86" s="6"/>
      <c r="SLY86" s="6"/>
      <c r="SLZ86" s="6"/>
      <c r="SMA86" s="6"/>
      <c r="SMB86" s="6"/>
      <c r="SMC86" s="6"/>
      <c r="SMD86" s="6"/>
      <c r="SME86" s="6"/>
      <c r="SMF86" s="6"/>
      <c r="SMG86" s="6"/>
      <c r="SMH86" s="6"/>
      <c r="SMI86" s="6"/>
      <c r="SMJ86" s="6"/>
      <c r="SMK86" s="6"/>
      <c r="SML86" s="6"/>
      <c r="SMM86" s="6"/>
      <c r="SMN86" s="6"/>
      <c r="SMO86" s="6"/>
      <c r="SMP86" s="6"/>
      <c r="SMQ86" s="6"/>
      <c r="SMR86" s="6"/>
      <c r="SMS86" s="6"/>
      <c r="SMT86" s="6"/>
      <c r="SMU86" s="6"/>
      <c r="SMV86" s="6"/>
      <c r="SMW86" s="6"/>
      <c r="SMX86" s="6"/>
      <c r="SMY86" s="6"/>
      <c r="SMZ86" s="6"/>
      <c r="SNA86" s="6"/>
      <c r="SNB86" s="6"/>
      <c r="SNC86" s="6"/>
      <c r="SND86" s="6"/>
      <c r="SNE86" s="6"/>
      <c r="SNF86" s="6"/>
      <c r="SNG86" s="6"/>
      <c r="SNH86" s="6"/>
      <c r="SNI86" s="6"/>
      <c r="SNJ86" s="6"/>
      <c r="SNK86" s="6"/>
      <c r="SNL86" s="6"/>
      <c r="SNM86" s="6"/>
      <c r="SNN86" s="6"/>
      <c r="SNO86" s="6"/>
      <c r="SNP86" s="6"/>
      <c r="SNQ86" s="6"/>
      <c r="SNR86" s="6"/>
      <c r="SNS86" s="6"/>
      <c r="SNT86" s="6"/>
      <c r="SNU86" s="6"/>
      <c r="SNV86" s="6"/>
      <c r="SNW86" s="6"/>
      <c r="SNX86" s="6"/>
      <c r="SNY86" s="6"/>
      <c r="SNZ86" s="6"/>
      <c r="SOA86" s="6"/>
      <c r="SOB86" s="6"/>
      <c r="SOC86" s="6"/>
      <c r="SOD86" s="6"/>
      <c r="SOE86" s="6"/>
      <c r="SOF86" s="6"/>
      <c r="SOG86" s="6"/>
      <c r="SOH86" s="6"/>
      <c r="SOI86" s="6"/>
      <c r="SOJ86" s="6"/>
      <c r="SOK86" s="6"/>
      <c r="SOL86" s="6"/>
      <c r="SOM86" s="6"/>
      <c r="SON86" s="6"/>
      <c r="SOO86" s="6"/>
      <c r="SOP86" s="6"/>
      <c r="SOQ86" s="6"/>
      <c r="SOR86" s="6"/>
      <c r="SOS86" s="6"/>
      <c r="SOT86" s="6"/>
      <c r="SOU86" s="6"/>
      <c r="SOV86" s="6"/>
      <c r="SOW86" s="6"/>
      <c r="SOX86" s="6"/>
      <c r="SOY86" s="6"/>
      <c r="SOZ86" s="6"/>
      <c r="SPA86" s="6"/>
      <c r="SPB86" s="6"/>
      <c r="SPC86" s="6"/>
      <c r="SPD86" s="6"/>
      <c r="SPE86" s="6"/>
      <c r="SPF86" s="6"/>
      <c r="SPG86" s="6"/>
      <c r="SPH86" s="6"/>
      <c r="SPI86" s="6"/>
      <c r="SPJ86" s="6"/>
      <c r="SPK86" s="6"/>
      <c r="SPL86" s="6"/>
      <c r="SPM86" s="6"/>
      <c r="SPN86" s="6"/>
      <c r="SPO86" s="6"/>
      <c r="SPP86" s="6"/>
      <c r="SPQ86" s="6"/>
      <c r="SPR86" s="6"/>
      <c r="SPS86" s="6"/>
      <c r="SPT86" s="6"/>
      <c r="SPU86" s="6"/>
      <c r="SPV86" s="6"/>
      <c r="SPW86" s="6"/>
      <c r="SPX86" s="6"/>
      <c r="SPY86" s="6"/>
      <c r="SPZ86" s="6"/>
      <c r="SQA86" s="6"/>
      <c r="SQB86" s="6"/>
      <c r="SQC86" s="6"/>
      <c r="SQD86" s="6"/>
      <c r="SQE86" s="6"/>
      <c r="SQF86" s="6"/>
      <c r="SQG86" s="6"/>
      <c r="SQH86" s="6"/>
      <c r="SQI86" s="6"/>
      <c r="SQJ86" s="6"/>
      <c r="SQK86" s="6"/>
      <c r="SQL86" s="6"/>
      <c r="SQM86" s="6"/>
      <c r="SQN86" s="6"/>
      <c r="SQO86" s="6"/>
      <c r="SQP86" s="6"/>
      <c r="SQQ86" s="6"/>
      <c r="SQR86" s="6"/>
      <c r="SQS86" s="6"/>
      <c r="SQT86" s="6"/>
      <c r="SQU86" s="6"/>
      <c r="SQV86" s="6"/>
      <c r="SQW86" s="6"/>
      <c r="SQX86" s="6"/>
      <c r="SQY86" s="6"/>
      <c r="SQZ86" s="6"/>
      <c r="SRA86" s="6"/>
      <c r="SRB86" s="6"/>
      <c r="SRC86" s="6"/>
      <c r="SRD86" s="6"/>
      <c r="SRE86" s="6"/>
      <c r="SRF86" s="6"/>
      <c r="SRG86" s="6"/>
      <c r="SRH86" s="6"/>
      <c r="SRI86" s="6"/>
      <c r="SRJ86" s="6"/>
      <c r="SRK86" s="6"/>
      <c r="SRL86" s="6"/>
      <c r="SRM86" s="6"/>
      <c r="SRN86" s="6"/>
      <c r="SRO86" s="6"/>
      <c r="SRP86" s="6"/>
      <c r="SRQ86" s="6"/>
      <c r="SRR86" s="6"/>
      <c r="SRS86" s="6"/>
      <c r="SRT86" s="6"/>
      <c r="SRU86" s="6"/>
      <c r="SRV86" s="6"/>
      <c r="SRW86" s="6"/>
      <c r="SRX86" s="6"/>
      <c r="SRY86" s="6"/>
      <c r="SRZ86" s="6"/>
      <c r="SSA86" s="6"/>
      <c r="SSB86" s="6"/>
      <c r="SSC86" s="6"/>
      <c r="SSD86" s="6"/>
      <c r="SSE86" s="6"/>
      <c r="SSF86" s="6"/>
      <c r="SSG86" s="6"/>
      <c r="SSH86" s="6"/>
      <c r="SSI86" s="6"/>
      <c r="SSJ86" s="6"/>
      <c r="SSK86" s="6"/>
      <c r="SSL86" s="6"/>
      <c r="SSM86" s="6"/>
      <c r="SSN86" s="6"/>
      <c r="SSO86" s="6"/>
      <c r="SSP86" s="6"/>
      <c r="SSQ86" s="6"/>
      <c r="SSR86" s="6"/>
      <c r="SSS86" s="6"/>
      <c r="SST86" s="6"/>
      <c r="SSU86" s="6"/>
      <c r="SSV86" s="6"/>
      <c r="SSW86" s="6"/>
      <c r="SSX86" s="6"/>
      <c r="SSY86" s="6"/>
      <c r="SSZ86" s="6"/>
      <c r="STA86" s="6"/>
      <c r="STB86" s="6"/>
      <c r="STC86" s="6"/>
      <c r="STD86" s="6"/>
      <c r="STE86" s="6"/>
      <c r="STF86" s="6"/>
      <c r="STG86" s="6"/>
      <c r="STH86" s="6"/>
      <c r="STI86" s="6"/>
      <c r="STJ86" s="6"/>
      <c r="STK86" s="6"/>
      <c r="STL86" s="6"/>
      <c r="STM86" s="6"/>
      <c r="STN86" s="6"/>
      <c r="STO86" s="6"/>
      <c r="STP86" s="6"/>
      <c r="STQ86" s="6"/>
      <c r="STR86" s="6"/>
      <c r="STS86" s="6"/>
      <c r="STT86" s="6"/>
      <c r="STU86" s="6"/>
      <c r="STV86" s="6"/>
      <c r="STW86" s="6"/>
      <c r="STX86" s="6"/>
      <c r="STY86" s="6"/>
      <c r="STZ86" s="6"/>
      <c r="SUA86" s="6"/>
      <c r="SUB86" s="6"/>
      <c r="SUC86" s="6"/>
      <c r="SUD86" s="6"/>
      <c r="SUE86" s="6"/>
      <c r="SUF86" s="6"/>
      <c r="SUG86" s="6"/>
      <c r="SUH86" s="6"/>
      <c r="SUI86" s="6"/>
      <c r="SUJ86" s="6"/>
      <c r="SUK86" s="6"/>
      <c r="SUL86" s="6"/>
      <c r="SUM86" s="6"/>
      <c r="SUN86" s="6"/>
      <c r="SUO86" s="6"/>
      <c r="SUP86" s="6"/>
      <c r="SUQ86" s="6"/>
      <c r="SUR86" s="6"/>
      <c r="SUS86" s="6"/>
      <c r="SUT86" s="6"/>
      <c r="SUU86" s="6"/>
      <c r="SUV86" s="6"/>
      <c r="SUW86" s="6"/>
      <c r="SUX86" s="6"/>
      <c r="SUY86" s="6"/>
      <c r="SUZ86" s="6"/>
      <c r="SVA86" s="6"/>
      <c r="SVB86" s="6"/>
      <c r="SVC86" s="6"/>
      <c r="SVD86" s="6"/>
      <c r="SVE86" s="6"/>
      <c r="SVF86" s="6"/>
      <c r="SVG86" s="6"/>
      <c r="SVH86" s="6"/>
      <c r="SVI86" s="6"/>
      <c r="SVJ86" s="6"/>
      <c r="SVK86" s="6"/>
      <c r="SVL86" s="6"/>
      <c r="SVM86" s="6"/>
      <c r="SVN86" s="6"/>
      <c r="SVO86" s="6"/>
      <c r="SVP86" s="6"/>
      <c r="SVQ86" s="6"/>
      <c r="SVR86" s="6"/>
      <c r="SVS86" s="6"/>
      <c r="SVT86" s="6"/>
      <c r="SVU86" s="6"/>
      <c r="SVV86" s="6"/>
      <c r="SVW86" s="6"/>
      <c r="SVX86" s="6"/>
      <c r="SVY86" s="6"/>
      <c r="SVZ86" s="6"/>
      <c r="SWA86" s="6"/>
      <c r="SWB86" s="6"/>
      <c r="SWC86" s="6"/>
      <c r="SWD86" s="6"/>
      <c r="SWE86" s="6"/>
      <c r="SWF86" s="6"/>
      <c r="SWG86" s="6"/>
      <c r="SWH86" s="6"/>
      <c r="SWI86" s="6"/>
      <c r="SWJ86" s="6"/>
      <c r="SWK86" s="6"/>
      <c r="SWL86" s="6"/>
      <c r="SWM86" s="6"/>
      <c r="SWN86" s="6"/>
      <c r="SWO86" s="6"/>
      <c r="SWP86" s="6"/>
      <c r="SWQ86" s="6"/>
      <c r="SWR86" s="6"/>
      <c r="SWS86" s="6"/>
      <c r="SWT86" s="6"/>
      <c r="SWU86" s="6"/>
      <c r="SWV86" s="6"/>
      <c r="SWW86" s="6"/>
      <c r="SWX86" s="6"/>
      <c r="SWY86" s="6"/>
      <c r="SWZ86" s="6"/>
      <c r="SXA86" s="6"/>
      <c r="SXB86" s="6"/>
      <c r="SXC86" s="6"/>
      <c r="SXD86" s="6"/>
      <c r="SXE86" s="6"/>
      <c r="SXF86" s="6"/>
      <c r="SXG86" s="6"/>
      <c r="SXH86" s="6"/>
      <c r="SXI86" s="6"/>
      <c r="SXJ86" s="6"/>
      <c r="SXK86" s="6"/>
      <c r="SXL86" s="6"/>
      <c r="SXM86" s="6"/>
      <c r="SXN86" s="6"/>
      <c r="SXO86" s="6"/>
      <c r="SXP86" s="6"/>
      <c r="SXQ86" s="6"/>
      <c r="SXR86" s="6"/>
      <c r="SXS86" s="6"/>
      <c r="SXT86" s="6"/>
      <c r="SXU86" s="6"/>
      <c r="SXV86" s="6"/>
      <c r="SXW86" s="6"/>
      <c r="SXX86" s="6"/>
      <c r="SXY86" s="6"/>
      <c r="SXZ86" s="6"/>
      <c r="SYA86" s="6"/>
      <c r="SYB86" s="6"/>
      <c r="SYC86" s="6"/>
      <c r="SYD86" s="6"/>
      <c r="SYE86" s="6"/>
      <c r="SYF86" s="6"/>
      <c r="SYG86" s="6"/>
      <c r="SYH86" s="6"/>
      <c r="SYI86" s="6"/>
      <c r="SYJ86" s="6"/>
      <c r="SYK86" s="6"/>
      <c r="SYL86" s="6"/>
      <c r="SYM86" s="6"/>
      <c r="SYN86" s="6"/>
      <c r="SYO86" s="6"/>
      <c r="SYP86" s="6"/>
      <c r="SYQ86" s="6"/>
      <c r="SYR86" s="6"/>
      <c r="SYS86" s="6"/>
      <c r="SYT86" s="6"/>
      <c r="SYU86" s="6"/>
      <c r="SYV86" s="6"/>
      <c r="SYW86" s="6"/>
      <c r="SYX86" s="6"/>
      <c r="SYY86" s="6"/>
      <c r="SYZ86" s="6"/>
      <c r="SZA86" s="6"/>
      <c r="SZB86" s="6"/>
      <c r="SZC86" s="6"/>
      <c r="SZD86" s="6"/>
      <c r="SZE86" s="6"/>
      <c r="SZF86" s="6"/>
      <c r="SZG86" s="6"/>
      <c r="SZH86" s="6"/>
      <c r="SZI86" s="6"/>
      <c r="SZJ86" s="6"/>
      <c r="SZK86" s="6"/>
      <c r="SZL86" s="6"/>
      <c r="SZM86" s="6"/>
      <c r="SZN86" s="6"/>
      <c r="SZO86" s="6"/>
      <c r="SZP86" s="6"/>
      <c r="SZQ86" s="6"/>
      <c r="SZR86" s="6"/>
      <c r="SZS86" s="6"/>
      <c r="SZT86" s="6"/>
      <c r="SZU86" s="6"/>
      <c r="SZV86" s="6"/>
      <c r="SZW86" s="6"/>
      <c r="SZX86" s="6"/>
      <c r="SZY86" s="6"/>
      <c r="SZZ86" s="6"/>
      <c r="TAA86" s="6"/>
      <c r="TAB86" s="6"/>
      <c r="TAC86" s="6"/>
      <c r="TAD86" s="6"/>
      <c r="TAE86" s="6"/>
      <c r="TAF86" s="6"/>
      <c r="TAG86" s="6"/>
      <c r="TAH86" s="6"/>
      <c r="TAI86" s="6"/>
      <c r="TAJ86" s="6"/>
      <c r="TAK86" s="6"/>
      <c r="TAL86" s="6"/>
      <c r="TAM86" s="6"/>
      <c r="TAN86" s="6"/>
      <c r="TAO86" s="6"/>
      <c r="TAP86" s="6"/>
      <c r="TAQ86" s="6"/>
      <c r="TAR86" s="6"/>
      <c r="TAS86" s="6"/>
      <c r="TAT86" s="6"/>
      <c r="TAU86" s="6"/>
      <c r="TAV86" s="6"/>
      <c r="TAW86" s="6"/>
      <c r="TAX86" s="6"/>
      <c r="TAY86" s="6"/>
      <c r="TAZ86" s="6"/>
      <c r="TBA86" s="6"/>
      <c r="TBB86" s="6"/>
      <c r="TBC86" s="6"/>
      <c r="TBD86" s="6"/>
      <c r="TBE86" s="6"/>
      <c r="TBF86" s="6"/>
      <c r="TBG86" s="6"/>
      <c r="TBH86" s="6"/>
      <c r="TBI86" s="6"/>
      <c r="TBJ86" s="6"/>
      <c r="TBK86" s="6"/>
      <c r="TBL86" s="6"/>
      <c r="TBM86" s="6"/>
      <c r="TBN86" s="6"/>
      <c r="TBO86" s="6"/>
      <c r="TBP86" s="6"/>
      <c r="TBQ86" s="6"/>
      <c r="TBR86" s="6"/>
      <c r="TBS86" s="6"/>
      <c r="TBT86" s="6"/>
      <c r="TBU86" s="6"/>
      <c r="TBV86" s="6"/>
      <c r="TBW86" s="6"/>
      <c r="TBX86" s="6"/>
      <c r="TBY86" s="6"/>
      <c r="TBZ86" s="6"/>
      <c r="TCA86" s="6"/>
      <c r="TCB86" s="6"/>
      <c r="TCC86" s="6"/>
      <c r="TCD86" s="6"/>
      <c r="TCE86" s="6"/>
      <c r="TCF86" s="6"/>
      <c r="TCG86" s="6"/>
      <c r="TCH86" s="6"/>
      <c r="TCI86" s="6"/>
      <c r="TCJ86" s="6"/>
      <c r="TCK86" s="6"/>
      <c r="TCL86" s="6"/>
      <c r="TCM86" s="6"/>
      <c r="TCN86" s="6"/>
      <c r="TCO86" s="6"/>
      <c r="TCP86" s="6"/>
      <c r="TCQ86" s="6"/>
      <c r="TCR86" s="6"/>
      <c r="TCS86" s="6"/>
      <c r="TCT86" s="6"/>
      <c r="TCU86" s="6"/>
      <c r="TCV86" s="6"/>
      <c r="TCW86" s="6"/>
      <c r="TCX86" s="6"/>
      <c r="TCY86" s="6"/>
      <c r="TCZ86" s="6"/>
      <c r="TDA86" s="6"/>
      <c r="TDB86" s="6"/>
      <c r="TDC86" s="6"/>
      <c r="TDD86" s="6"/>
      <c r="TDE86" s="6"/>
      <c r="TDF86" s="6"/>
      <c r="TDG86" s="6"/>
      <c r="TDH86" s="6"/>
      <c r="TDI86" s="6"/>
      <c r="TDJ86" s="6"/>
      <c r="TDK86" s="6"/>
      <c r="TDL86" s="6"/>
      <c r="TDM86" s="6"/>
      <c r="TDN86" s="6"/>
      <c r="TDO86" s="6"/>
      <c r="TDP86" s="6"/>
      <c r="TDQ86" s="6"/>
      <c r="TDR86" s="6"/>
      <c r="TDS86" s="6"/>
      <c r="TDT86" s="6"/>
      <c r="TDU86" s="6"/>
      <c r="TDV86" s="6"/>
      <c r="TDW86" s="6"/>
      <c r="TDX86" s="6"/>
      <c r="TDY86" s="6"/>
      <c r="TDZ86" s="6"/>
      <c r="TEA86" s="6"/>
      <c r="TEB86" s="6"/>
      <c r="TEC86" s="6"/>
      <c r="TED86" s="6"/>
      <c r="TEE86" s="6"/>
      <c r="TEF86" s="6"/>
      <c r="TEG86" s="6"/>
      <c r="TEH86" s="6"/>
      <c r="TEI86" s="6"/>
      <c r="TEJ86" s="6"/>
      <c r="TEK86" s="6"/>
      <c r="TEL86" s="6"/>
      <c r="TEM86" s="6"/>
      <c r="TEN86" s="6"/>
      <c r="TEO86" s="6"/>
      <c r="TEP86" s="6"/>
      <c r="TEQ86" s="6"/>
      <c r="TER86" s="6"/>
      <c r="TES86" s="6"/>
      <c r="TET86" s="6"/>
      <c r="TEU86" s="6"/>
      <c r="TEV86" s="6"/>
      <c r="TEW86" s="6"/>
      <c r="TEX86" s="6"/>
      <c r="TEY86" s="6"/>
      <c r="TEZ86" s="6"/>
      <c r="TFA86" s="6"/>
      <c r="TFB86" s="6"/>
      <c r="TFC86" s="6"/>
      <c r="TFD86" s="6"/>
      <c r="TFE86" s="6"/>
      <c r="TFF86" s="6"/>
      <c r="TFG86" s="6"/>
      <c r="TFH86" s="6"/>
      <c r="TFI86" s="6"/>
      <c r="TFJ86" s="6"/>
      <c r="TFK86" s="6"/>
      <c r="TFL86" s="6"/>
      <c r="TFM86" s="6"/>
      <c r="TFN86" s="6"/>
      <c r="TFO86" s="6"/>
      <c r="TFP86" s="6"/>
      <c r="TFQ86" s="6"/>
      <c r="TFR86" s="6"/>
      <c r="TFS86" s="6"/>
      <c r="TFT86" s="6"/>
      <c r="TFU86" s="6"/>
      <c r="TFV86" s="6"/>
      <c r="TFW86" s="6"/>
      <c r="TFX86" s="6"/>
      <c r="TFY86" s="6"/>
      <c r="TFZ86" s="6"/>
      <c r="TGA86" s="6"/>
      <c r="TGB86" s="6"/>
      <c r="TGC86" s="6"/>
      <c r="TGD86" s="6"/>
      <c r="TGE86" s="6"/>
      <c r="TGF86" s="6"/>
      <c r="TGG86" s="6"/>
      <c r="TGH86" s="6"/>
      <c r="TGI86" s="6"/>
      <c r="TGJ86" s="6"/>
      <c r="TGK86" s="6"/>
      <c r="TGL86" s="6"/>
      <c r="TGM86" s="6"/>
      <c r="TGN86" s="6"/>
      <c r="TGO86" s="6"/>
      <c r="TGP86" s="6"/>
      <c r="TGQ86" s="6"/>
      <c r="TGR86" s="6"/>
      <c r="TGS86" s="6"/>
      <c r="TGT86" s="6"/>
      <c r="TGU86" s="6"/>
      <c r="TGV86" s="6"/>
      <c r="TGW86" s="6"/>
      <c r="TGX86" s="6"/>
      <c r="TGY86" s="6"/>
      <c r="TGZ86" s="6"/>
      <c r="THA86" s="6"/>
      <c r="THB86" s="6"/>
      <c r="THC86" s="6"/>
      <c r="THD86" s="6"/>
      <c r="THE86" s="6"/>
      <c r="THF86" s="6"/>
      <c r="THG86" s="6"/>
      <c r="THH86" s="6"/>
      <c r="THI86" s="6"/>
      <c r="THJ86" s="6"/>
      <c r="THK86" s="6"/>
      <c r="THL86" s="6"/>
      <c r="THM86" s="6"/>
      <c r="THN86" s="6"/>
      <c r="THO86" s="6"/>
      <c r="THP86" s="6"/>
      <c r="THQ86" s="6"/>
      <c r="THR86" s="6"/>
      <c r="THS86" s="6"/>
      <c r="THT86" s="6"/>
      <c r="THU86" s="6"/>
      <c r="THV86" s="6"/>
      <c r="THW86" s="6"/>
      <c r="THX86" s="6"/>
      <c r="THY86" s="6"/>
      <c r="THZ86" s="6"/>
      <c r="TIA86" s="6"/>
      <c r="TIB86" s="6"/>
      <c r="TIC86" s="6"/>
      <c r="TID86" s="6"/>
      <c r="TIE86" s="6"/>
      <c r="TIF86" s="6"/>
      <c r="TIG86" s="6"/>
      <c r="TIH86" s="6"/>
      <c r="TII86" s="6"/>
      <c r="TIJ86" s="6"/>
      <c r="TIK86" s="6"/>
      <c r="TIL86" s="6"/>
      <c r="TIM86" s="6"/>
      <c r="TIN86" s="6"/>
      <c r="TIO86" s="6"/>
      <c r="TIP86" s="6"/>
      <c r="TIQ86" s="6"/>
      <c r="TIR86" s="6"/>
      <c r="TIS86" s="6"/>
      <c r="TIT86" s="6"/>
      <c r="TIU86" s="6"/>
      <c r="TIV86" s="6"/>
      <c r="TIW86" s="6"/>
      <c r="TIX86" s="6"/>
      <c r="TIY86" s="6"/>
      <c r="TIZ86" s="6"/>
      <c r="TJA86" s="6"/>
      <c r="TJB86" s="6"/>
      <c r="TJC86" s="6"/>
      <c r="TJD86" s="6"/>
      <c r="TJE86" s="6"/>
      <c r="TJF86" s="6"/>
      <c r="TJG86" s="6"/>
      <c r="TJH86" s="6"/>
      <c r="TJI86" s="6"/>
      <c r="TJJ86" s="6"/>
      <c r="TJK86" s="6"/>
      <c r="TJL86" s="6"/>
      <c r="TJM86" s="6"/>
      <c r="TJN86" s="6"/>
      <c r="TJO86" s="6"/>
      <c r="TJP86" s="6"/>
      <c r="TJQ86" s="6"/>
      <c r="TJR86" s="6"/>
      <c r="TJS86" s="6"/>
      <c r="TJT86" s="6"/>
      <c r="TJU86" s="6"/>
      <c r="TJV86" s="6"/>
      <c r="TJW86" s="6"/>
      <c r="TJX86" s="6"/>
      <c r="TJY86" s="6"/>
      <c r="TJZ86" s="6"/>
      <c r="TKA86" s="6"/>
      <c r="TKB86" s="6"/>
      <c r="TKC86" s="6"/>
      <c r="TKD86" s="6"/>
      <c r="TKE86" s="6"/>
      <c r="TKF86" s="6"/>
      <c r="TKG86" s="6"/>
      <c r="TKH86" s="6"/>
      <c r="TKI86" s="6"/>
      <c r="TKJ86" s="6"/>
      <c r="TKK86" s="6"/>
      <c r="TKL86" s="6"/>
      <c r="TKM86" s="6"/>
      <c r="TKN86" s="6"/>
      <c r="TKO86" s="6"/>
      <c r="TKP86" s="6"/>
      <c r="TKQ86" s="6"/>
      <c r="TKR86" s="6"/>
      <c r="TKS86" s="6"/>
      <c r="TKT86" s="6"/>
      <c r="TKU86" s="6"/>
      <c r="TKV86" s="6"/>
      <c r="TKW86" s="6"/>
      <c r="TKX86" s="6"/>
      <c r="TKY86" s="6"/>
      <c r="TKZ86" s="6"/>
      <c r="TLA86" s="6"/>
      <c r="TLB86" s="6"/>
      <c r="TLC86" s="6"/>
      <c r="TLD86" s="6"/>
      <c r="TLE86" s="6"/>
      <c r="TLF86" s="6"/>
      <c r="TLG86" s="6"/>
      <c r="TLH86" s="6"/>
      <c r="TLI86" s="6"/>
      <c r="TLJ86" s="6"/>
      <c r="TLK86" s="6"/>
      <c r="TLL86" s="6"/>
      <c r="TLM86" s="6"/>
      <c r="TLN86" s="6"/>
      <c r="TLO86" s="6"/>
      <c r="TLP86" s="6"/>
      <c r="TLQ86" s="6"/>
      <c r="TLR86" s="6"/>
      <c r="TLS86" s="6"/>
      <c r="TLT86" s="6"/>
      <c r="TLU86" s="6"/>
      <c r="TLV86" s="6"/>
      <c r="TLW86" s="6"/>
      <c r="TLX86" s="6"/>
      <c r="TLY86" s="6"/>
      <c r="TLZ86" s="6"/>
      <c r="TMA86" s="6"/>
      <c r="TMB86" s="6"/>
      <c r="TMC86" s="6"/>
      <c r="TMD86" s="6"/>
      <c r="TME86" s="6"/>
      <c r="TMF86" s="6"/>
      <c r="TMG86" s="6"/>
      <c r="TMH86" s="6"/>
      <c r="TMI86" s="6"/>
      <c r="TMJ86" s="6"/>
      <c r="TMK86" s="6"/>
      <c r="TML86" s="6"/>
      <c r="TMM86" s="6"/>
      <c r="TMN86" s="6"/>
      <c r="TMO86" s="6"/>
      <c r="TMP86" s="6"/>
      <c r="TMQ86" s="6"/>
      <c r="TMR86" s="6"/>
      <c r="TMS86" s="6"/>
      <c r="TMT86" s="6"/>
      <c r="TMU86" s="6"/>
      <c r="TMV86" s="6"/>
      <c r="TMW86" s="6"/>
      <c r="TMX86" s="6"/>
      <c r="TMY86" s="6"/>
      <c r="TMZ86" s="6"/>
      <c r="TNA86" s="6"/>
      <c r="TNB86" s="6"/>
      <c r="TNC86" s="6"/>
      <c r="TND86" s="6"/>
      <c r="TNE86" s="6"/>
      <c r="TNF86" s="6"/>
      <c r="TNG86" s="6"/>
      <c r="TNH86" s="6"/>
      <c r="TNI86" s="6"/>
      <c r="TNJ86" s="6"/>
      <c r="TNK86" s="6"/>
      <c r="TNL86" s="6"/>
      <c r="TNM86" s="6"/>
      <c r="TNN86" s="6"/>
      <c r="TNO86" s="6"/>
      <c r="TNP86" s="6"/>
      <c r="TNQ86" s="6"/>
      <c r="TNR86" s="6"/>
      <c r="TNS86" s="6"/>
      <c r="TNT86" s="6"/>
      <c r="TNU86" s="6"/>
      <c r="TNV86" s="6"/>
      <c r="TNW86" s="6"/>
      <c r="TNX86" s="6"/>
      <c r="TNY86" s="6"/>
      <c r="TNZ86" s="6"/>
      <c r="TOA86" s="6"/>
      <c r="TOB86" s="6"/>
      <c r="TOC86" s="6"/>
      <c r="TOD86" s="6"/>
      <c r="TOE86" s="6"/>
      <c r="TOF86" s="6"/>
      <c r="TOG86" s="6"/>
      <c r="TOH86" s="6"/>
      <c r="TOI86" s="6"/>
      <c r="TOJ86" s="6"/>
      <c r="TOK86" s="6"/>
      <c r="TOL86" s="6"/>
      <c r="TOM86" s="6"/>
      <c r="TON86" s="6"/>
      <c r="TOO86" s="6"/>
      <c r="TOP86" s="6"/>
      <c r="TOQ86" s="6"/>
      <c r="TOR86" s="6"/>
      <c r="TOS86" s="6"/>
      <c r="TOT86" s="6"/>
      <c r="TOU86" s="6"/>
      <c r="TOV86" s="6"/>
      <c r="TOW86" s="6"/>
      <c r="TOX86" s="6"/>
      <c r="TOY86" s="6"/>
      <c r="TOZ86" s="6"/>
      <c r="TPA86" s="6"/>
      <c r="TPB86" s="6"/>
      <c r="TPC86" s="6"/>
      <c r="TPD86" s="6"/>
      <c r="TPE86" s="6"/>
      <c r="TPF86" s="6"/>
      <c r="TPG86" s="6"/>
      <c r="TPH86" s="6"/>
      <c r="TPI86" s="6"/>
      <c r="TPJ86" s="6"/>
      <c r="TPK86" s="6"/>
      <c r="TPL86" s="6"/>
      <c r="TPM86" s="6"/>
      <c r="TPN86" s="6"/>
      <c r="TPO86" s="6"/>
      <c r="TPP86" s="6"/>
      <c r="TPQ86" s="6"/>
      <c r="TPR86" s="6"/>
      <c r="TPS86" s="6"/>
      <c r="TPT86" s="6"/>
      <c r="TPU86" s="6"/>
      <c r="TPV86" s="6"/>
      <c r="TPW86" s="6"/>
      <c r="TPX86" s="6"/>
      <c r="TPY86" s="6"/>
      <c r="TPZ86" s="6"/>
      <c r="TQA86" s="6"/>
      <c r="TQB86" s="6"/>
      <c r="TQC86" s="6"/>
      <c r="TQD86" s="6"/>
      <c r="TQE86" s="6"/>
      <c r="TQF86" s="6"/>
      <c r="TQG86" s="6"/>
      <c r="TQH86" s="6"/>
      <c r="TQI86" s="6"/>
      <c r="TQJ86" s="6"/>
      <c r="TQK86" s="6"/>
      <c r="TQL86" s="6"/>
      <c r="TQM86" s="6"/>
      <c r="TQN86" s="6"/>
      <c r="TQO86" s="6"/>
      <c r="TQP86" s="6"/>
      <c r="TQQ86" s="6"/>
      <c r="TQR86" s="6"/>
      <c r="TQS86" s="6"/>
      <c r="TQT86" s="6"/>
      <c r="TQU86" s="6"/>
      <c r="TQV86" s="6"/>
      <c r="TQW86" s="6"/>
      <c r="TQX86" s="6"/>
      <c r="TQY86" s="6"/>
      <c r="TQZ86" s="6"/>
      <c r="TRA86" s="6"/>
      <c r="TRB86" s="6"/>
      <c r="TRC86" s="6"/>
      <c r="TRD86" s="6"/>
      <c r="TRE86" s="6"/>
      <c r="TRF86" s="6"/>
      <c r="TRG86" s="6"/>
      <c r="TRH86" s="6"/>
      <c r="TRI86" s="6"/>
      <c r="TRJ86" s="6"/>
      <c r="TRK86" s="6"/>
      <c r="TRL86" s="6"/>
      <c r="TRM86" s="6"/>
      <c r="TRN86" s="6"/>
      <c r="TRO86" s="6"/>
      <c r="TRP86" s="6"/>
      <c r="TRQ86" s="6"/>
      <c r="TRR86" s="6"/>
      <c r="TRS86" s="6"/>
      <c r="TRT86" s="6"/>
      <c r="TRU86" s="6"/>
      <c r="TRV86" s="6"/>
      <c r="TRW86" s="6"/>
      <c r="TRX86" s="6"/>
      <c r="TRY86" s="6"/>
      <c r="TRZ86" s="6"/>
      <c r="TSA86" s="6"/>
      <c r="TSB86" s="6"/>
      <c r="TSC86" s="6"/>
      <c r="TSD86" s="6"/>
      <c r="TSE86" s="6"/>
      <c r="TSF86" s="6"/>
      <c r="TSG86" s="6"/>
      <c r="TSH86" s="6"/>
      <c r="TSI86" s="6"/>
      <c r="TSJ86" s="6"/>
      <c r="TSK86" s="6"/>
      <c r="TSL86" s="6"/>
      <c r="TSM86" s="6"/>
      <c r="TSN86" s="6"/>
      <c r="TSO86" s="6"/>
      <c r="TSP86" s="6"/>
      <c r="TSQ86" s="6"/>
      <c r="TSR86" s="6"/>
      <c r="TSS86" s="6"/>
      <c r="TST86" s="6"/>
      <c r="TSU86" s="6"/>
      <c r="TSV86" s="6"/>
      <c r="TSW86" s="6"/>
      <c r="TSX86" s="6"/>
      <c r="TSY86" s="6"/>
      <c r="TSZ86" s="6"/>
      <c r="TTA86" s="6"/>
      <c r="TTB86" s="6"/>
      <c r="TTC86" s="6"/>
      <c r="TTD86" s="6"/>
      <c r="TTE86" s="6"/>
      <c r="TTF86" s="6"/>
      <c r="TTG86" s="6"/>
      <c r="TTH86" s="6"/>
      <c r="TTI86" s="6"/>
      <c r="TTJ86" s="6"/>
      <c r="TTK86" s="6"/>
      <c r="TTL86" s="6"/>
      <c r="TTM86" s="6"/>
      <c r="TTN86" s="6"/>
      <c r="TTO86" s="6"/>
      <c r="TTP86" s="6"/>
      <c r="TTQ86" s="6"/>
      <c r="TTR86" s="6"/>
      <c r="TTS86" s="6"/>
      <c r="TTT86" s="6"/>
      <c r="TTU86" s="6"/>
      <c r="TTV86" s="6"/>
      <c r="TTW86" s="6"/>
      <c r="TTX86" s="6"/>
      <c r="TTY86" s="6"/>
      <c r="TTZ86" s="6"/>
      <c r="TUA86" s="6"/>
      <c r="TUB86" s="6"/>
      <c r="TUC86" s="6"/>
      <c r="TUD86" s="6"/>
      <c r="TUE86" s="6"/>
      <c r="TUF86" s="6"/>
      <c r="TUG86" s="6"/>
      <c r="TUH86" s="6"/>
      <c r="TUI86" s="6"/>
      <c r="TUJ86" s="6"/>
      <c r="TUK86" s="6"/>
      <c r="TUL86" s="6"/>
      <c r="TUM86" s="6"/>
      <c r="TUN86" s="6"/>
      <c r="TUO86" s="6"/>
      <c r="TUP86" s="6"/>
      <c r="TUQ86" s="6"/>
      <c r="TUR86" s="6"/>
      <c r="TUS86" s="6"/>
      <c r="TUT86" s="6"/>
      <c r="TUU86" s="6"/>
      <c r="TUV86" s="6"/>
      <c r="TUW86" s="6"/>
      <c r="TUX86" s="6"/>
      <c r="TUY86" s="6"/>
      <c r="TUZ86" s="6"/>
      <c r="TVA86" s="6"/>
      <c r="TVB86" s="6"/>
      <c r="TVC86" s="6"/>
      <c r="TVD86" s="6"/>
      <c r="TVE86" s="6"/>
      <c r="TVF86" s="6"/>
      <c r="TVG86" s="6"/>
      <c r="TVH86" s="6"/>
      <c r="TVI86" s="6"/>
      <c r="TVJ86" s="6"/>
      <c r="TVK86" s="6"/>
      <c r="TVL86" s="6"/>
      <c r="TVM86" s="6"/>
      <c r="TVN86" s="6"/>
      <c r="TVO86" s="6"/>
      <c r="TVP86" s="6"/>
      <c r="TVQ86" s="6"/>
      <c r="TVR86" s="6"/>
      <c r="TVS86" s="6"/>
      <c r="TVT86" s="6"/>
      <c r="TVU86" s="6"/>
      <c r="TVV86" s="6"/>
      <c r="TVW86" s="6"/>
      <c r="TVX86" s="6"/>
      <c r="TVY86" s="6"/>
      <c r="TVZ86" s="6"/>
      <c r="TWA86" s="6"/>
      <c r="TWB86" s="6"/>
      <c r="TWC86" s="6"/>
      <c r="TWD86" s="6"/>
      <c r="TWE86" s="6"/>
      <c r="TWF86" s="6"/>
      <c r="TWG86" s="6"/>
      <c r="TWH86" s="6"/>
      <c r="TWI86" s="6"/>
      <c r="TWJ86" s="6"/>
      <c r="TWK86" s="6"/>
      <c r="TWL86" s="6"/>
      <c r="TWM86" s="6"/>
      <c r="TWN86" s="6"/>
      <c r="TWO86" s="6"/>
      <c r="TWP86" s="6"/>
      <c r="TWQ86" s="6"/>
      <c r="TWR86" s="6"/>
      <c r="TWS86" s="6"/>
      <c r="TWT86" s="6"/>
      <c r="TWU86" s="6"/>
      <c r="TWV86" s="6"/>
      <c r="TWW86" s="6"/>
      <c r="TWX86" s="6"/>
      <c r="TWY86" s="6"/>
      <c r="TWZ86" s="6"/>
      <c r="TXA86" s="6"/>
      <c r="TXB86" s="6"/>
      <c r="TXC86" s="6"/>
      <c r="TXD86" s="6"/>
      <c r="TXE86" s="6"/>
      <c r="TXF86" s="6"/>
      <c r="TXG86" s="6"/>
      <c r="TXH86" s="6"/>
      <c r="TXI86" s="6"/>
      <c r="TXJ86" s="6"/>
      <c r="TXK86" s="6"/>
      <c r="TXL86" s="6"/>
      <c r="TXM86" s="6"/>
      <c r="TXN86" s="6"/>
      <c r="TXO86" s="6"/>
      <c r="TXP86" s="6"/>
      <c r="TXQ86" s="6"/>
      <c r="TXR86" s="6"/>
      <c r="TXS86" s="6"/>
      <c r="TXT86" s="6"/>
      <c r="TXU86" s="6"/>
      <c r="TXV86" s="6"/>
      <c r="TXW86" s="6"/>
      <c r="TXX86" s="6"/>
      <c r="TXY86" s="6"/>
      <c r="TXZ86" s="6"/>
      <c r="TYA86" s="6"/>
      <c r="TYB86" s="6"/>
      <c r="TYC86" s="6"/>
      <c r="TYD86" s="6"/>
      <c r="TYE86" s="6"/>
      <c r="TYF86" s="6"/>
      <c r="TYG86" s="6"/>
      <c r="TYH86" s="6"/>
      <c r="TYI86" s="6"/>
      <c r="TYJ86" s="6"/>
      <c r="TYK86" s="6"/>
      <c r="TYL86" s="6"/>
      <c r="TYM86" s="6"/>
      <c r="TYN86" s="6"/>
      <c r="TYO86" s="6"/>
      <c r="TYP86" s="6"/>
      <c r="TYQ86" s="6"/>
      <c r="TYR86" s="6"/>
      <c r="TYS86" s="6"/>
      <c r="TYT86" s="6"/>
      <c r="TYU86" s="6"/>
      <c r="TYV86" s="6"/>
      <c r="TYW86" s="6"/>
      <c r="TYX86" s="6"/>
      <c r="TYY86" s="6"/>
      <c r="TYZ86" s="6"/>
      <c r="TZA86" s="6"/>
      <c r="TZB86" s="6"/>
      <c r="TZC86" s="6"/>
      <c r="TZD86" s="6"/>
      <c r="TZE86" s="6"/>
      <c r="TZF86" s="6"/>
      <c r="TZG86" s="6"/>
      <c r="TZH86" s="6"/>
      <c r="TZI86" s="6"/>
      <c r="TZJ86" s="6"/>
      <c r="TZK86" s="6"/>
      <c r="TZL86" s="6"/>
      <c r="TZM86" s="6"/>
      <c r="TZN86" s="6"/>
      <c r="TZO86" s="6"/>
      <c r="TZP86" s="6"/>
      <c r="TZQ86" s="6"/>
      <c r="TZR86" s="6"/>
      <c r="TZS86" s="6"/>
      <c r="TZT86" s="6"/>
      <c r="TZU86" s="6"/>
      <c r="TZV86" s="6"/>
      <c r="TZW86" s="6"/>
      <c r="TZX86" s="6"/>
      <c r="TZY86" s="6"/>
      <c r="TZZ86" s="6"/>
      <c r="UAA86" s="6"/>
      <c r="UAB86" s="6"/>
      <c r="UAC86" s="6"/>
      <c r="UAD86" s="6"/>
      <c r="UAE86" s="6"/>
      <c r="UAF86" s="6"/>
      <c r="UAG86" s="6"/>
      <c r="UAH86" s="6"/>
      <c r="UAI86" s="6"/>
      <c r="UAJ86" s="6"/>
      <c r="UAK86" s="6"/>
      <c r="UAL86" s="6"/>
      <c r="UAM86" s="6"/>
      <c r="UAN86" s="6"/>
      <c r="UAO86" s="6"/>
      <c r="UAP86" s="6"/>
      <c r="UAQ86" s="6"/>
      <c r="UAR86" s="6"/>
      <c r="UAS86" s="6"/>
      <c r="UAT86" s="6"/>
      <c r="UAU86" s="6"/>
      <c r="UAV86" s="6"/>
      <c r="UAW86" s="6"/>
      <c r="UAX86" s="6"/>
      <c r="UAY86" s="6"/>
      <c r="UAZ86" s="6"/>
      <c r="UBA86" s="6"/>
      <c r="UBB86" s="6"/>
      <c r="UBC86" s="6"/>
      <c r="UBD86" s="6"/>
      <c r="UBE86" s="6"/>
      <c r="UBF86" s="6"/>
      <c r="UBG86" s="6"/>
      <c r="UBH86" s="6"/>
      <c r="UBI86" s="6"/>
      <c r="UBJ86" s="6"/>
      <c r="UBK86" s="6"/>
      <c r="UBL86" s="6"/>
      <c r="UBM86" s="6"/>
      <c r="UBN86" s="6"/>
      <c r="UBO86" s="6"/>
      <c r="UBP86" s="6"/>
      <c r="UBQ86" s="6"/>
      <c r="UBR86" s="6"/>
      <c r="UBS86" s="6"/>
      <c r="UBT86" s="6"/>
      <c r="UBU86" s="6"/>
      <c r="UBV86" s="6"/>
      <c r="UBW86" s="6"/>
      <c r="UBX86" s="6"/>
      <c r="UBY86" s="6"/>
      <c r="UBZ86" s="6"/>
      <c r="UCA86" s="6"/>
      <c r="UCB86" s="6"/>
      <c r="UCC86" s="6"/>
      <c r="UCD86" s="6"/>
      <c r="UCE86" s="6"/>
      <c r="UCF86" s="6"/>
      <c r="UCG86" s="6"/>
      <c r="UCH86" s="6"/>
      <c r="UCI86" s="6"/>
      <c r="UCJ86" s="6"/>
      <c r="UCK86" s="6"/>
      <c r="UCL86" s="6"/>
      <c r="UCM86" s="6"/>
      <c r="UCN86" s="6"/>
      <c r="UCO86" s="6"/>
      <c r="UCP86" s="6"/>
      <c r="UCQ86" s="6"/>
      <c r="UCR86" s="6"/>
      <c r="UCS86" s="6"/>
      <c r="UCT86" s="6"/>
      <c r="UCU86" s="6"/>
      <c r="UCV86" s="6"/>
      <c r="UCW86" s="6"/>
      <c r="UCX86" s="6"/>
      <c r="UCY86" s="6"/>
      <c r="UCZ86" s="6"/>
      <c r="UDA86" s="6"/>
      <c r="UDB86" s="6"/>
      <c r="UDC86" s="6"/>
      <c r="UDD86" s="6"/>
      <c r="UDE86" s="6"/>
      <c r="UDF86" s="6"/>
      <c r="UDG86" s="6"/>
      <c r="UDH86" s="6"/>
      <c r="UDI86" s="6"/>
      <c r="UDJ86" s="6"/>
      <c r="UDK86" s="6"/>
      <c r="UDL86" s="6"/>
      <c r="UDM86" s="6"/>
      <c r="UDN86" s="6"/>
      <c r="UDO86" s="6"/>
      <c r="UDP86" s="6"/>
      <c r="UDQ86" s="6"/>
      <c r="UDR86" s="6"/>
      <c r="UDS86" s="6"/>
      <c r="UDT86" s="6"/>
      <c r="UDU86" s="6"/>
      <c r="UDV86" s="6"/>
      <c r="UDW86" s="6"/>
      <c r="UDX86" s="6"/>
      <c r="UDY86" s="6"/>
      <c r="UDZ86" s="6"/>
      <c r="UEA86" s="6"/>
      <c r="UEB86" s="6"/>
      <c r="UEC86" s="6"/>
      <c r="UED86" s="6"/>
      <c r="UEE86" s="6"/>
      <c r="UEF86" s="6"/>
      <c r="UEG86" s="6"/>
      <c r="UEH86" s="6"/>
      <c r="UEI86" s="6"/>
      <c r="UEJ86" s="6"/>
      <c r="UEK86" s="6"/>
      <c r="UEL86" s="6"/>
      <c r="UEM86" s="6"/>
      <c r="UEN86" s="6"/>
      <c r="UEO86" s="6"/>
      <c r="UEP86" s="6"/>
      <c r="UEQ86" s="6"/>
      <c r="UER86" s="6"/>
      <c r="UES86" s="6"/>
      <c r="UET86" s="6"/>
      <c r="UEU86" s="6"/>
      <c r="UEV86" s="6"/>
      <c r="UEW86" s="6"/>
      <c r="UEX86" s="6"/>
      <c r="UEY86" s="6"/>
      <c r="UEZ86" s="6"/>
      <c r="UFA86" s="6"/>
      <c r="UFB86" s="6"/>
      <c r="UFC86" s="6"/>
      <c r="UFD86" s="6"/>
      <c r="UFE86" s="6"/>
      <c r="UFF86" s="6"/>
      <c r="UFG86" s="6"/>
      <c r="UFH86" s="6"/>
      <c r="UFI86" s="6"/>
      <c r="UFJ86" s="6"/>
      <c r="UFK86" s="6"/>
      <c r="UFL86" s="6"/>
      <c r="UFM86" s="6"/>
      <c r="UFN86" s="6"/>
      <c r="UFO86" s="6"/>
      <c r="UFP86" s="6"/>
      <c r="UFQ86" s="6"/>
      <c r="UFR86" s="6"/>
      <c r="UFS86" s="6"/>
      <c r="UFT86" s="6"/>
      <c r="UFU86" s="6"/>
      <c r="UFV86" s="6"/>
      <c r="UFW86" s="6"/>
      <c r="UFX86" s="6"/>
      <c r="UFY86" s="6"/>
      <c r="UFZ86" s="6"/>
      <c r="UGA86" s="6"/>
      <c r="UGB86" s="6"/>
      <c r="UGC86" s="6"/>
      <c r="UGD86" s="6"/>
      <c r="UGE86" s="6"/>
      <c r="UGF86" s="6"/>
      <c r="UGG86" s="6"/>
      <c r="UGH86" s="6"/>
      <c r="UGI86" s="6"/>
      <c r="UGJ86" s="6"/>
      <c r="UGK86" s="6"/>
      <c r="UGL86" s="6"/>
      <c r="UGM86" s="6"/>
      <c r="UGN86" s="6"/>
      <c r="UGO86" s="6"/>
      <c r="UGP86" s="6"/>
      <c r="UGQ86" s="6"/>
      <c r="UGR86" s="6"/>
      <c r="UGS86" s="6"/>
      <c r="UGT86" s="6"/>
      <c r="UGU86" s="6"/>
      <c r="UGV86" s="6"/>
      <c r="UGW86" s="6"/>
      <c r="UGX86" s="6"/>
      <c r="UGY86" s="6"/>
      <c r="UGZ86" s="6"/>
      <c r="UHA86" s="6"/>
      <c r="UHB86" s="6"/>
      <c r="UHC86" s="6"/>
      <c r="UHD86" s="6"/>
      <c r="UHE86" s="6"/>
      <c r="UHF86" s="6"/>
      <c r="UHG86" s="6"/>
      <c r="UHH86" s="6"/>
      <c r="UHI86" s="6"/>
      <c r="UHJ86" s="6"/>
      <c r="UHK86" s="6"/>
      <c r="UHL86" s="6"/>
      <c r="UHM86" s="6"/>
      <c r="UHN86" s="6"/>
      <c r="UHO86" s="6"/>
      <c r="UHP86" s="6"/>
      <c r="UHQ86" s="6"/>
      <c r="UHR86" s="6"/>
      <c r="UHS86" s="6"/>
      <c r="UHT86" s="6"/>
      <c r="UHU86" s="6"/>
      <c r="UHV86" s="6"/>
      <c r="UHW86" s="6"/>
      <c r="UHX86" s="6"/>
      <c r="UHY86" s="6"/>
      <c r="UHZ86" s="6"/>
      <c r="UIA86" s="6"/>
      <c r="UIB86" s="6"/>
      <c r="UIC86" s="6"/>
      <c r="UID86" s="6"/>
      <c r="UIE86" s="6"/>
      <c r="UIF86" s="6"/>
      <c r="UIG86" s="6"/>
      <c r="UIH86" s="6"/>
      <c r="UII86" s="6"/>
      <c r="UIJ86" s="6"/>
      <c r="UIK86" s="6"/>
      <c r="UIL86" s="6"/>
      <c r="UIM86" s="6"/>
      <c r="UIN86" s="6"/>
      <c r="UIO86" s="6"/>
      <c r="UIP86" s="6"/>
      <c r="UIQ86" s="6"/>
      <c r="UIR86" s="6"/>
      <c r="UIS86" s="6"/>
      <c r="UIT86" s="6"/>
      <c r="UIU86" s="6"/>
      <c r="UIV86" s="6"/>
      <c r="UIW86" s="6"/>
      <c r="UIX86" s="6"/>
      <c r="UIY86" s="6"/>
      <c r="UIZ86" s="6"/>
      <c r="UJA86" s="6"/>
      <c r="UJB86" s="6"/>
      <c r="UJC86" s="6"/>
      <c r="UJD86" s="6"/>
      <c r="UJE86" s="6"/>
      <c r="UJF86" s="6"/>
      <c r="UJG86" s="6"/>
      <c r="UJH86" s="6"/>
      <c r="UJI86" s="6"/>
      <c r="UJJ86" s="6"/>
      <c r="UJK86" s="6"/>
      <c r="UJL86" s="6"/>
      <c r="UJM86" s="6"/>
      <c r="UJN86" s="6"/>
      <c r="UJO86" s="6"/>
      <c r="UJP86" s="6"/>
      <c r="UJQ86" s="6"/>
      <c r="UJR86" s="6"/>
      <c r="UJS86" s="6"/>
      <c r="UJT86" s="6"/>
      <c r="UJU86" s="6"/>
      <c r="UJV86" s="6"/>
      <c r="UJW86" s="6"/>
      <c r="UJX86" s="6"/>
      <c r="UJY86" s="6"/>
      <c r="UJZ86" s="6"/>
      <c r="UKA86" s="6"/>
      <c r="UKB86" s="6"/>
      <c r="UKC86" s="6"/>
      <c r="UKD86" s="6"/>
      <c r="UKE86" s="6"/>
      <c r="UKF86" s="6"/>
      <c r="UKG86" s="6"/>
      <c r="UKH86" s="6"/>
      <c r="UKI86" s="6"/>
      <c r="UKJ86" s="6"/>
      <c r="UKK86" s="6"/>
      <c r="UKL86" s="6"/>
      <c r="UKM86" s="6"/>
      <c r="UKN86" s="6"/>
      <c r="UKO86" s="6"/>
      <c r="UKP86" s="6"/>
      <c r="UKQ86" s="6"/>
      <c r="UKR86" s="6"/>
      <c r="UKS86" s="6"/>
      <c r="UKT86" s="6"/>
      <c r="UKU86" s="6"/>
      <c r="UKV86" s="6"/>
      <c r="UKW86" s="6"/>
      <c r="UKX86" s="6"/>
      <c r="UKY86" s="6"/>
      <c r="UKZ86" s="6"/>
      <c r="ULA86" s="6"/>
      <c r="ULB86" s="6"/>
      <c r="ULC86" s="6"/>
      <c r="ULD86" s="6"/>
      <c r="ULE86" s="6"/>
      <c r="ULF86" s="6"/>
      <c r="ULG86" s="6"/>
      <c r="ULH86" s="6"/>
      <c r="ULI86" s="6"/>
      <c r="ULJ86" s="6"/>
      <c r="ULK86" s="6"/>
      <c r="ULL86" s="6"/>
      <c r="ULM86" s="6"/>
      <c r="ULN86" s="6"/>
      <c r="ULO86" s="6"/>
      <c r="ULP86" s="6"/>
      <c r="ULQ86" s="6"/>
      <c r="ULR86" s="6"/>
      <c r="ULS86" s="6"/>
      <c r="ULT86" s="6"/>
      <c r="ULU86" s="6"/>
      <c r="ULV86" s="6"/>
      <c r="ULW86" s="6"/>
      <c r="ULX86" s="6"/>
      <c r="ULY86" s="6"/>
      <c r="ULZ86" s="6"/>
      <c r="UMA86" s="6"/>
      <c r="UMB86" s="6"/>
      <c r="UMC86" s="6"/>
      <c r="UMD86" s="6"/>
      <c r="UME86" s="6"/>
      <c r="UMF86" s="6"/>
      <c r="UMG86" s="6"/>
      <c r="UMH86" s="6"/>
      <c r="UMI86" s="6"/>
      <c r="UMJ86" s="6"/>
      <c r="UMK86" s="6"/>
      <c r="UML86" s="6"/>
      <c r="UMM86" s="6"/>
      <c r="UMN86" s="6"/>
      <c r="UMO86" s="6"/>
      <c r="UMP86" s="6"/>
      <c r="UMQ86" s="6"/>
      <c r="UMR86" s="6"/>
      <c r="UMS86" s="6"/>
      <c r="UMT86" s="6"/>
      <c r="UMU86" s="6"/>
      <c r="UMV86" s="6"/>
      <c r="UMW86" s="6"/>
      <c r="UMX86" s="6"/>
      <c r="UMY86" s="6"/>
      <c r="UMZ86" s="6"/>
      <c r="UNA86" s="6"/>
      <c r="UNB86" s="6"/>
      <c r="UNC86" s="6"/>
      <c r="UND86" s="6"/>
      <c r="UNE86" s="6"/>
      <c r="UNF86" s="6"/>
      <c r="UNG86" s="6"/>
      <c r="UNH86" s="6"/>
      <c r="UNI86" s="6"/>
      <c r="UNJ86" s="6"/>
      <c r="UNK86" s="6"/>
      <c r="UNL86" s="6"/>
      <c r="UNM86" s="6"/>
      <c r="UNN86" s="6"/>
      <c r="UNO86" s="6"/>
      <c r="UNP86" s="6"/>
      <c r="UNQ86" s="6"/>
      <c r="UNR86" s="6"/>
      <c r="UNS86" s="6"/>
      <c r="UNT86" s="6"/>
      <c r="UNU86" s="6"/>
      <c r="UNV86" s="6"/>
      <c r="UNW86" s="6"/>
      <c r="UNX86" s="6"/>
      <c r="UNY86" s="6"/>
      <c r="UNZ86" s="6"/>
      <c r="UOA86" s="6"/>
      <c r="UOB86" s="6"/>
      <c r="UOC86" s="6"/>
      <c r="UOD86" s="6"/>
      <c r="UOE86" s="6"/>
      <c r="UOF86" s="6"/>
      <c r="UOG86" s="6"/>
      <c r="UOH86" s="6"/>
      <c r="UOI86" s="6"/>
      <c r="UOJ86" s="6"/>
      <c r="UOK86" s="6"/>
      <c r="UOL86" s="6"/>
      <c r="UOM86" s="6"/>
      <c r="UON86" s="6"/>
      <c r="UOO86" s="6"/>
      <c r="UOP86" s="6"/>
      <c r="UOQ86" s="6"/>
      <c r="UOR86" s="6"/>
      <c r="UOS86" s="6"/>
      <c r="UOT86" s="6"/>
      <c r="UOU86" s="6"/>
      <c r="UOV86" s="6"/>
      <c r="UOW86" s="6"/>
      <c r="UOX86" s="6"/>
      <c r="UOY86" s="6"/>
      <c r="UOZ86" s="6"/>
      <c r="UPA86" s="6"/>
      <c r="UPB86" s="6"/>
      <c r="UPC86" s="6"/>
      <c r="UPD86" s="6"/>
      <c r="UPE86" s="6"/>
      <c r="UPF86" s="6"/>
      <c r="UPG86" s="6"/>
      <c r="UPH86" s="6"/>
      <c r="UPI86" s="6"/>
      <c r="UPJ86" s="6"/>
      <c r="UPK86" s="6"/>
      <c r="UPL86" s="6"/>
      <c r="UPM86" s="6"/>
      <c r="UPN86" s="6"/>
      <c r="UPO86" s="6"/>
      <c r="UPP86" s="6"/>
      <c r="UPQ86" s="6"/>
      <c r="UPR86" s="6"/>
      <c r="UPS86" s="6"/>
      <c r="UPT86" s="6"/>
      <c r="UPU86" s="6"/>
      <c r="UPV86" s="6"/>
      <c r="UPW86" s="6"/>
      <c r="UPX86" s="6"/>
      <c r="UPY86" s="6"/>
      <c r="UPZ86" s="6"/>
      <c r="UQA86" s="6"/>
      <c r="UQB86" s="6"/>
      <c r="UQC86" s="6"/>
      <c r="UQD86" s="6"/>
      <c r="UQE86" s="6"/>
      <c r="UQF86" s="6"/>
      <c r="UQG86" s="6"/>
      <c r="UQH86" s="6"/>
      <c r="UQI86" s="6"/>
      <c r="UQJ86" s="6"/>
      <c r="UQK86" s="6"/>
      <c r="UQL86" s="6"/>
      <c r="UQM86" s="6"/>
      <c r="UQN86" s="6"/>
      <c r="UQO86" s="6"/>
      <c r="UQP86" s="6"/>
      <c r="UQQ86" s="6"/>
      <c r="UQR86" s="6"/>
      <c r="UQS86" s="6"/>
      <c r="UQT86" s="6"/>
      <c r="UQU86" s="6"/>
      <c r="UQV86" s="6"/>
      <c r="UQW86" s="6"/>
      <c r="UQX86" s="6"/>
      <c r="UQY86" s="6"/>
      <c r="UQZ86" s="6"/>
      <c r="URA86" s="6"/>
      <c r="URB86" s="6"/>
      <c r="URC86" s="6"/>
      <c r="URD86" s="6"/>
      <c r="URE86" s="6"/>
      <c r="URF86" s="6"/>
      <c r="URG86" s="6"/>
      <c r="URH86" s="6"/>
      <c r="URI86" s="6"/>
      <c r="URJ86" s="6"/>
      <c r="URK86" s="6"/>
      <c r="URL86" s="6"/>
      <c r="URM86" s="6"/>
      <c r="URN86" s="6"/>
      <c r="URO86" s="6"/>
      <c r="URP86" s="6"/>
      <c r="URQ86" s="6"/>
      <c r="URR86" s="6"/>
      <c r="URS86" s="6"/>
      <c r="URT86" s="6"/>
      <c r="URU86" s="6"/>
      <c r="URV86" s="6"/>
      <c r="URW86" s="6"/>
      <c r="URX86" s="6"/>
      <c r="URY86" s="6"/>
      <c r="URZ86" s="6"/>
      <c r="USA86" s="6"/>
      <c r="USB86" s="6"/>
      <c r="USC86" s="6"/>
      <c r="USD86" s="6"/>
      <c r="USE86" s="6"/>
      <c r="USF86" s="6"/>
      <c r="USG86" s="6"/>
      <c r="USH86" s="6"/>
      <c r="USI86" s="6"/>
      <c r="USJ86" s="6"/>
      <c r="USK86" s="6"/>
      <c r="USL86" s="6"/>
      <c r="USM86" s="6"/>
      <c r="USN86" s="6"/>
      <c r="USO86" s="6"/>
      <c r="USP86" s="6"/>
      <c r="USQ86" s="6"/>
      <c r="USR86" s="6"/>
      <c r="USS86" s="6"/>
      <c r="UST86" s="6"/>
      <c r="USU86" s="6"/>
      <c r="USV86" s="6"/>
      <c r="USW86" s="6"/>
      <c r="USX86" s="6"/>
      <c r="USY86" s="6"/>
      <c r="USZ86" s="6"/>
      <c r="UTA86" s="6"/>
      <c r="UTB86" s="6"/>
      <c r="UTC86" s="6"/>
      <c r="UTD86" s="6"/>
      <c r="UTE86" s="6"/>
      <c r="UTF86" s="6"/>
      <c r="UTG86" s="6"/>
      <c r="UTH86" s="6"/>
      <c r="UTI86" s="6"/>
      <c r="UTJ86" s="6"/>
      <c r="UTK86" s="6"/>
      <c r="UTL86" s="6"/>
      <c r="UTM86" s="6"/>
      <c r="UTN86" s="6"/>
      <c r="UTO86" s="6"/>
      <c r="UTP86" s="6"/>
      <c r="UTQ86" s="6"/>
      <c r="UTR86" s="6"/>
      <c r="UTS86" s="6"/>
      <c r="UTT86" s="6"/>
      <c r="UTU86" s="6"/>
      <c r="UTV86" s="6"/>
      <c r="UTW86" s="6"/>
      <c r="UTX86" s="6"/>
      <c r="UTY86" s="6"/>
      <c r="UTZ86" s="6"/>
      <c r="UUA86" s="6"/>
      <c r="UUB86" s="6"/>
      <c r="UUC86" s="6"/>
      <c r="UUD86" s="6"/>
      <c r="UUE86" s="6"/>
      <c r="UUF86" s="6"/>
      <c r="UUG86" s="6"/>
      <c r="UUH86" s="6"/>
      <c r="UUI86" s="6"/>
      <c r="UUJ86" s="6"/>
      <c r="UUK86" s="6"/>
      <c r="UUL86" s="6"/>
      <c r="UUM86" s="6"/>
      <c r="UUN86" s="6"/>
      <c r="UUO86" s="6"/>
      <c r="UUP86" s="6"/>
      <c r="UUQ86" s="6"/>
      <c r="UUR86" s="6"/>
      <c r="UUS86" s="6"/>
      <c r="UUT86" s="6"/>
      <c r="UUU86" s="6"/>
      <c r="UUV86" s="6"/>
      <c r="UUW86" s="6"/>
      <c r="UUX86" s="6"/>
      <c r="UUY86" s="6"/>
      <c r="UUZ86" s="6"/>
      <c r="UVA86" s="6"/>
      <c r="UVB86" s="6"/>
      <c r="UVC86" s="6"/>
      <c r="UVD86" s="6"/>
      <c r="UVE86" s="6"/>
      <c r="UVF86" s="6"/>
      <c r="UVG86" s="6"/>
      <c r="UVH86" s="6"/>
      <c r="UVI86" s="6"/>
      <c r="UVJ86" s="6"/>
      <c r="UVK86" s="6"/>
      <c r="UVL86" s="6"/>
      <c r="UVM86" s="6"/>
      <c r="UVN86" s="6"/>
      <c r="UVO86" s="6"/>
      <c r="UVP86" s="6"/>
      <c r="UVQ86" s="6"/>
      <c r="UVR86" s="6"/>
      <c r="UVS86" s="6"/>
      <c r="UVT86" s="6"/>
      <c r="UVU86" s="6"/>
      <c r="UVV86" s="6"/>
      <c r="UVW86" s="6"/>
      <c r="UVX86" s="6"/>
      <c r="UVY86" s="6"/>
      <c r="UVZ86" s="6"/>
      <c r="UWA86" s="6"/>
      <c r="UWB86" s="6"/>
      <c r="UWC86" s="6"/>
      <c r="UWD86" s="6"/>
      <c r="UWE86" s="6"/>
      <c r="UWF86" s="6"/>
      <c r="UWG86" s="6"/>
      <c r="UWH86" s="6"/>
      <c r="UWI86" s="6"/>
      <c r="UWJ86" s="6"/>
      <c r="UWK86" s="6"/>
      <c r="UWL86" s="6"/>
      <c r="UWM86" s="6"/>
      <c r="UWN86" s="6"/>
      <c r="UWO86" s="6"/>
      <c r="UWP86" s="6"/>
      <c r="UWQ86" s="6"/>
      <c r="UWR86" s="6"/>
      <c r="UWS86" s="6"/>
      <c r="UWT86" s="6"/>
      <c r="UWU86" s="6"/>
      <c r="UWV86" s="6"/>
      <c r="UWW86" s="6"/>
      <c r="UWX86" s="6"/>
      <c r="UWY86" s="6"/>
      <c r="UWZ86" s="6"/>
      <c r="UXA86" s="6"/>
      <c r="UXB86" s="6"/>
      <c r="UXC86" s="6"/>
      <c r="UXD86" s="6"/>
      <c r="UXE86" s="6"/>
      <c r="UXF86" s="6"/>
      <c r="UXG86" s="6"/>
      <c r="UXH86" s="6"/>
      <c r="UXI86" s="6"/>
      <c r="UXJ86" s="6"/>
      <c r="UXK86" s="6"/>
      <c r="UXL86" s="6"/>
      <c r="UXM86" s="6"/>
      <c r="UXN86" s="6"/>
      <c r="UXO86" s="6"/>
      <c r="UXP86" s="6"/>
      <c r="UXQ86" s="6"/>
      <c r="UXR86" s="6"/>
      <c r="UXS86" s="6"/>
      <c r="UXT86" s="6"/>
      <c r="UXU86" s="6"/>
      <c r="UXV86" s="6"/>
      <c r="UXW86" s="6"/>
      <c r="UXX86" s="6"/>
      <c r="UXY86" s="6"/>
      <c r="UXZ86" s="6"/>
      <c r="UYA86" s="6"/>
      <c r="UYB86" s="6"/>
      <c r="UYC86" s="6"/>
      <c r="UYD86" s="6"/>
      <c r="UYE86" s="6"/>
      <c r="UYF86" s="6"/>
      <c r="UYG86" s="6"/>
      <c r="UYH86" s="6"/>
      <c r="UYI86" s="6"/>
      <c r="UYJ86" s="6"/>
      <c r="UYK86" s="6"/>
      <c r="UYL86" s="6"/>
      <c r="UYM86" s="6"/>
      <c r="UYN86" s="6"/>
      <c r="UYO86" s="6"/>
      <c r="UYP86" s="6"/>
      <c r="UYQ86" s="6"/>
      <c r="UYR86" s="6"/>
      <c r="UYS86" s="6"/>
      <c r="UYT86" s="6"/>
      <c r="UYU86" s="6"/>
      <c r="UYV86" s="6"/>
      <c r="UYW86" s="6"/>
      <c r="UYX86" s="6"/>
      <c r="UYY86" s="6"/>
      <c r="UYZ86" s="6"/>
      <c r="UZA86" s="6"/>
      <c r="UZB86" s="6"/>
      <c r="UZC86" s="6"/>
      <c r="UZD86" s="6"/>
      <c r="UZE86" s="6"/>
      <c r="UZF86" s="6"/>
      <c r="UZG86" s="6"/>
      <c r="UZH86" s="6"/>
      <c r="UZI86" s="6"/>
      <c r="UZJ86" s="6"/>
      <c r="UZK86" s="6"/>
      <c r="UZL86" s="6"/>
      <c r="UZM86" s="6"/>
      <c r="UZN86" s="6"/>
      <c r="UZO86" s="6"/>
      <c r="UZP86" s="6"/>
      <c r="UZQ86" s="6"/>
      <c r="UZR86" s="6"/>
      <c r="UZS86" s="6"/>
      <c r="UZT86" s="6"/>
      <c r="UZU86" s="6"/>
      <c r="UZV86" s="6"/>
      <c r="UZW86" s="6"/>
      <c r="UZX86" s="6"/>
      <c r="UZY86" s="6"/>
      <c r="UZZ86" s="6"/>
      <c r="VAA86" s="6"/>
      <c r="VAB86" s="6"/>
      <c r="VAC86" s="6"/>
      <c r="VAD86" s="6"/>
      <c r="VAE86" s="6"/>
      <c r="VAF86" s="6"/>
      <c r="VAG86" s="6"/>
      <c r="VAH86" s="6"/>
      <c r="VAI86" s="6"/>
      <c r="VAJ86" s="6"/>
      <c r="VAK86" s="6"/>
      <c r="VAL86" s="6"/>
      <c r="VAM86" s="6"/>
      <c r="VAN86" s="6"/>
      <c r="VAO86" s="6"/>
      <c r="VAP86" s="6"/>
      <c r="VAQ86" s="6"/>
      <c r="VAR86" s="6"/>
      <c r="VAS86" s="6"/>
      <c r="VAT86" s="6"/>
      <c r="VAU86" s="6"/>
      <c r="VAV86" s="6"/>
      <c r="VAW86" s="6"/>
      <c r="VAX86" s="6"/>
      <c r="VAY86" s="6"/>
      <c r="VAZ86" s="6"/>
      <c r="VBA86" s="6"/>
      <c r="VBB86" s="6"/>
      <c r="VBC86" s="6"/>
      <c r="VBD86" s="6"/>
      <c r="VBE86" s="6"/>
      <c r="VBF86" s="6"/>
      <c r="VBG86" s="6"/>
      <c r="VBH86" s="6"/>
      <c r="VBI86" s="6"/>
      <c r="VBJ86" s="6"/>
      <c r="VBK86" s="6"/>
      <c r="VBL86" s="6"/>
      <c r="VBM86" s="6"/>
      <c r="VBN86" s="6"/>
      <c r="VBO86" s="6"/>
      <c r="VBP86" s="6"/>
      <c r="VBQ86" s="6"/>
      <c r="VBR86" s="6"/>
      <c r="VBS86" s="6"/>
      <c r="VBT86" s="6"/>
      <c r="VBU86" s="6"/>
      <c r="VBV86" s="6"/>
      <c r="VBW86" s="6"/>
      <c r="VBX86" s="6"/>
      <c r="VBY86" s="6"/>
      <c r="VBZ86" s="6"/>
      <c r="VCA86" s="6"/>
      <c r="VCB86" s="6"/>
      <c r="VCC86" s="6"/>
      <c r="VCD86" s="6"/>
      <c r="VCE86" s="6"/>
      <c r="VCF86" s="6"/>
      <c r="VCG86" s="6"/>
      <c r="VCH86" s="6"/>
      <c r="VCI86" s="6"/>
      <c r="VCJ86" s="6"/>
      <c r="VCK86" s="6"/>
      <c r="VCL86" s="6"/>
      <c r="VCM86" s="6"/>
      <c r="VCN86" s="6"/>
      <c r="VCO86" s="6"/>
      <c r="VCP86" s="6"/>
      <c r="VCQ86" s="6"/>
      <c r="VCR86" s="6"/>
      <c r="VCS86" s="6"/>
      <c r="VCT86" s="6"/>
      <c r="VCU86" s="6"/>
      <c r="VCV86" s="6"/>
      <c r="VCW86" s="6"/>
      <c r="VCX86" s="6"/>
      <c r="VCY86" s="6"/>
      <c r="VCZ86" s="6"/>
      <c r="VDA86" s="6"/>
      <c r="VDB86" s="6"/>
      <c r="VDC86" s="6"/>
      <c r="VDD86" s="6"/>
      <c r="VDE86" s="6"/>
      <c r="VDF86" s="6"/>
      <c r="VDG86" s="6"/>
      <c r="VDH86" s="6"/>
      <c r="VDI86" s="6"/>
      <c r="VDJ86" s="6"/>
      <c r="VDK86" s="6"/>
      <c r="VDL86" s="6"/>
      <c r="VDM86" s="6"/>
      <c r="VDN86" s="6"/>
      <c r="VDO86" s="6"/>
      <c r="VDP86" s="6"/>
      <c r="VDQ86" s="6"/>
      <c r="VDR86" s="6"/>
      <c r="VDS86" s="6"/>
      <c r="VDT86" s="6"/>
      <c r="VDU86" s="6"/>
      <c r="VDV86" s="6"/>
      <c r="VDW86" s="6"/>
      <c r="VDX86" s="6"/>
      <c r="VDY86" s="6"/>
      <c r="VDZ86" s="6"/>
      <c r="VEA86" s="6"/>
      <c r="VEB86" s="6"/>
      <c r="VEC86" s="6"/>
      <c r="VED86" s="6"/>
      <c r="VEE86" s="6"/>
      <c r="VEF86" s="6"/>
      <c r="VEG86" s="6"/>
      <c r="VEH86" s="6"/>
      <c r="VEI86" s="6"/>
      <c r="VEJ86" s="6"/>
      <c r="VEK86" s="6"/>
      <c r="VEL86" s="6"/>
      <c r="VEM86" s="6"/>
      <c r="VEN86" s="6"/>
      <c r="VEO86" s="6"/>
      <c r="VEP86" s="6"/>
      <c r="VEQ86" s="6"/>
      <c r="VER86" s="6"/>
      <c r="VES86" s="6"/>
      <c r="VET86" s="6"/>
      <c r="VEU86" s="6"/>
      <c r="VEV86" s="6"/>
      <c r="VEW86" s="6"/>
      <c r="VEX86" s="6"/>
      <c r="VEY86" s="6"/>
      <c r="VEZ86" s="6"/>
      <c r="VFA86" s="6"/>
      <c r="VFB86" s="6"/>
      <c r="VFC86" s="6"/>
      <c r="VFD86" s="6"/>
      <c r="VFE86" s="6"/>
      <c r="VFF86" s="6"/>
      <c r="VFG86" s="6"/>
      <c r="VFH86" s="6"/>
      <c r="VFI86" s="6"/>
      <c r="VFJ86" s="6"/>
      <c r="VFK86" s="6"/>
      <c r="VFL86" s="6"/>
      <c r="VFM86" s="6"/>
      <c r="VFN86" s="6"/>
      <c r="VFO86" s="6"/>
      <c r="VFP86" s="6"/>
      <c r="VFQ86" s="6"/>
      <c r="VFR86" s="6"/>
      <c r="VFS86" s="6"/>
      <c r="VFT86" s="6"/>
      <c r="VFU86" s="6"/>
      <c r="VFV86" s="6"/>
      <c r="VFW86" s="6"/>
      <c r="VFX86" s="6"/>
      <c r="VFY86" s="6"/>
      <c r="VFZ86" s="6"/>
      <c r="VGA86" s="6"/>
      <c r="VGB86" s="6"/>
      <c r="VGC86" s="6"/>
      <c r="VGD86" s="6"/>
      <c r="VGE86" s="6"/>
      <c r="VGF86" s="6"/>
      <c r="VGG86" s="6"/>
      <c r="VGH86" s="6"/>
      <c r="VGI86" s="6"/>
      <c r="VGJ86" s="6"/>
      <c r="VGK86" s="6"/>
      <c r="VGL86" s="6"/>
      <c r="VGM86" s="6"/>
      <c r="VGN86" s="6"/>
      <c r="VGO86" s="6"/>
      <c r="VGP86" s="6"/>
      <c r="VGQ86" s="6"/>
      <c r="VGR86" s="6"/>
      <c r="VGS86" s="6"/>
      <c r="VGT86" s="6"/>
      <c r="VGU86" s="6"/>
      <c r="VGV86" s="6"/>
      <c r="VGW86" s="6"/>
      <c r="VGX86" s="6"/>
      <c r="VGY86" s="6"/>
      <c r="VGZ86" s="6"/>
      <c r="VHA86" s="6"/>
      <c r="VHB86" s="6"/>
      <c r="VHC86" s="6"/>
      <c r="VHD86" s="6"/>
      <c r="VHE86" s="6"/>
      <c r="VHF86" s="6"/>
      <c r="VHG86" s="6"/>
      <c r="VHH86" s="6"/>
      <c r="VHI86" s="6"/>
      <c r="VHJ86" s="6"/>
      <c r="VHK86" s="6"/>
      <c r="VHL86" s="6"/>
      <c r="VHM86" s="6"/>
      <c r="VHN86" s="6"/>
      <c r="VHO86" s="6"/>
      <c r="VHP86" s="6"/>
      <c r="VHQ86" s="6"/>
      <c r="VHR86" s="6"/>
      <c r="VHS86" s="6"/>
      <c r="VHT86" s="6"/>
      <c r="VHU86" s="6"/>
      <c r="VHV86" s="6"/>
      <c r="VHW86" s="6"/>
      <c r="VHX86" s="6"/>
      <c r="VHY86" s="6"/>
      <c r="VHZ86" s="6"/>
      <c r="VIA86" s="6"/>
      <c r="VIB86" s="6"/>
      <c r="VIC86" s="6"/>
      <c r="VID86" s="6"/>
      <c r="VIE86" s="6"/>
      <c r="VIF86" s="6"/>
      <c r="VIG86" s="6"/>
      <c r="VIH86" s="6"/>
      <c r="VII86" s="6"/>
      <c r="VIJ86" s="6"/>
      <c r="VIK86" s="6"/>
      <c r="VIL86" s="6"/>
      <c r="VIM86" s="6"/>
      <c r="VIN86" s="6"/>
      <c r="VIO86" s="6"/>
      <c r="VIP86" s="6"/>
      <c r="VIQ86" s="6"/>
      <c r="VIR86" s="6"/>
      <c r="VIS86" s="6"/>
      <c r="VIT86" s="6"/>
      <c r="VIU86" s="6"/>
      <c r="VIV86" s="6"/>
      <c r="VIW86" s="6"/>
      <c r="VIX86" s="6"/>
      <c r="VIY86" s="6"/>
      <c r="VIZ86" s="6"/>
      <c r="VJA86" s="6"/>
      <c r="VJB86" s="6"/>
      <c r="VJC86" s="6"/>
      <c r="VJD86" s="6"/>
      <c r="VJE86" s="6"/>
      <c r="VJF86" s="6"/>
      <c r="VJG86" s="6"/>
      <c r="VJH86" s="6"/>
      <c r="VJI86" s="6"/>
      <c r="VJJ86" s="6"/>
      <c r="VJK86" s="6"/>
      <c r="VJL86" s="6"/>
      <c r="VJM86" s="6"/>
      <c r="VJN86" s="6"/>
      <c r="VJO86" s="6"/>
      <c r="VJP86" s="6"/>
      <c r="VJQ86" s="6"/>
      <c r="VJR86" s="6"/>
      <c r="VJS86" s="6"/>
      <c r="VJT86" s="6"/>
      <c r="VJU86" s="6"/>
      <c r="VJV86" s="6"/>
      <c r="VJW86" s="6"/>
      <c r="VJX86" s="6"/>
      <c r="VJY86" s="6"/>
      <c r="VJZ86" s="6"/>
      <c r="VKA86" s="6"/>
      <c r="VKB86" s="6"/>
      <c r="VKC86" s="6"/>
      <c r="VKD86" s="6"/>
      <c r="VKE86" s="6"/>
      <c r="VKF86" s="6"/>
      <c r="VKG86" s="6"/>
      <c r="VKH86" s="6"/>
      <c r="VKI86" s="6"/>
      <c r="VKJ86" s="6"/>
      <c r="VKK86" s="6"/>
      <c r="VKL86" s="6"/>
      <c r="VKM86" s="6"/>
      <c r="VKN86" s="6"/>
      <c r="VKO86" s="6"/>
      <c r="VKP86" s="6"/>
      <c r="VKQ86" s="6"/>
      <c r="VKR86" s="6"/>
      <c r="VKS86" s="6"/>
      <c r="VKT86" s="6"/>
      <c r="VKU86" s="6"/>
      <c r="VKV86" s="6"/>
      <c r="VKW86" s="6"/>
      <c r="VKX86" s="6"/>
      <c r="VKY86" s="6"/>
      <c r="VKZ86" s="6"/>
      <c r="VLA86" s="6"/>
      <c r="VLB86" s="6"/>
      <c r="VLC86" s="6"/>
      <c r="VLD86" s="6"/>
      <c r="VLE86" s="6"/>
      <c r="VLF86" s="6"/>
      <c r="VLG86" s="6"/>
      <c r="VLH86" s="6"/>
      <c r="VLI86" s="6"/>
      <c r="VLJ86" s="6"/>
      <c r="VLK86" s="6"/>
      <c r="VLL86" s="6"/>
      <c r="VLM86" s="6"/>
      <c r="VLN86" s="6"/>
      <c r="VLO86" s="6"/>
      <c r="VLP86" s="6"/>
      <c r="VLQ86" s="6"/>
      <c r="VLR86" s="6"/>
      <c r="VLS86" s="6"/>
      <c r="VLT86" s="6"/>
      <c r="VLU86" s="6"/>
      <c r="VLV86" s="6"/>
      <c r="VLW86" s="6"/>
      <c r="VLX86" s="6"/>
      <c r="VLY86" s="6"/>
      <c r="VLZ86" s="6"/>
      <c r="VMA86" s="6"/>
      <c r="VMB86" s="6"/>
      <c r="VMC86" s="6"/>
      <c r="VMD86" s="6"/>
      <c r="VME86" s="6"/>
      <c r="VMF86" s="6"/>
      <c r="VMG86" s="6"/>
      <c r="VMH86" s="6"/>
      <c r="VMI86" s="6"/>
      <c r="VMJ86" s="6"/>
      <c r="VMK86" s="6"/>
      <c r="VML86" s="6"/>
      <c r="VMM86" s="6"/>
      <c r="VMN86" s="6"/>
      <c r="VMO86" s="6"/>
      <c r="VMP86" s="6"/>
      <c r="VMQ86" s="6"/>
      <c r="VMR86" s="6"/>
      <c r="VMS86" s="6"/>
      <c r="VMT86" s="6"/>
      <c r="VMU86" s="6"/>
      <c r="VMV86" s="6"/>
      <c r="VMW86" s="6"/>
      <c r="VMX86" s="6"/>
      <c r="VMY86" s="6"/>
      <c r="VMZ86" s="6"/>
      <c r="VNA86" s="6"/>
      <c r="VNB86" s="6"/>
      <c r="VNC86" s="6"/>
      <c r="VND86" s="6"/>
      <c r="VNE86" s="6"/>
      <c r="VNF86" s="6"/>
      <c r="VNG86" s="6"/>
      <c r="VNH86" s="6"/>
      <c r="VNI86" s="6"/>
      <c r="VNJ86" s="6"/>
      <c r="VNK86" s="6"/>
      <c r="VNL86" s="6"/>
      <c r="VNM86" s="6"/>
      <c r="VNN86" s="6"/>
      <c r="VNO86" s="6"/>
      <c r="VNP86" s="6"/>
      <c r="VNQ86" s="6"/>
      <c r="VNR86" s="6"/>
      <c r="VNS86" s="6"/>
      <c r="VNT86" s="6"/>
      <c r="VNU86" s="6"/>
      <c r="VNV86" s="6"/>
      <c r="VNW86" s="6"/>
      <c r="VNX86" s="6"/>
      <c r="VNY86" s="6"/>
      <c r="VNZ86" s="6"/>
      <c r="VOA86" s="6"/>
      <c r="VOB86" s="6"/>
      <c r="VOC86" s="6"/>
      <c r="VOD86" s="6"/>
      <c r="VOE86" s="6"/>
      <c r="VOF86" s="6"/>
      <c r="VOG86" s="6"/>
      <c r="VOH86" s="6"/>
      <c r="VOI86" s="6"/>
      <c r="VOJ86" s="6"/>
      <c r="VOK86" s="6"/>
      <c r="VOL86" s="6"/>
      <c r="VOM86" s="6"/>
      <c r="VON86" s="6"/>
      <c r="VOO86" s="6"/>
      <c r="VOP86" s="6"/>
      <c r="VOQ86" s="6"/>
      <c r="VOR86" s="6"/>
      <c r="VOS86" s="6"/>
      <c r="VOT86" s="6"/>
      <c r="VOU86" s="6"/>
      <c r="VOV86" s="6"/>
      <c r="VOW86" s="6"/>
      <c r="VOX86" s="6"/>
      <c r="VOY86" s="6"/>
      <c r="VOZ86" s="6"/>
      <c r="VPA86" s="6"/>
      <c r="VPB86" s="6"/>
      <c r="VPC86" s="6"/>
      <c r="VPD86" s="6"/>
      <c r="VPE86" s="6"/>
      <c r="VPF86" s="6"/>
      <c r="VPG86" s="6"/>
      <c r="VPH86" s="6"/>
      <c r="VPI86" s="6"/>
      <c r="VPJ86" s="6"/>
      <c r="VPK86" s="6"/>
      <c r="VPL86" s="6"/>
      <c r="VPM86" s="6"/>
      <c r="VPN86" s="6"/>
      <c r="VPO86" s="6"/>
      <c r="VPP86" s="6"/>
      <c r="VPQ86" s="6"/>
      <c r="VPR86" s="6"/>
      <c r="VPS86" s="6"/>
      <c r="VPT86" s="6"/>
      <c r="VPU86" s="6"/>
      <c r="VPV86" s="6"/>
      <c r="VPW86" s="6"/>
      <c r="VPX86" s="6"/>
      <c r="VPY86" s="6"/>
      <c r="VPZ86" s="6"/>
      <c r="VQA86" s="6"/>
      <c r="VQB86" s="6"/>
      <c r="VQC86" s="6"/>
      <c r="VQD86" s="6"/>
      <c r="VQE86" s="6"/>
      <c r="VQF86" s="6"/>
      <c r="VQG86" s="6"/>
      <c r="VQH86" s="6"/>
      <c r="VQI86" s="6"/>
      <c r="VQJ86" s="6"/>
      <c r="VQK86" s="6"/>
      <c r="VQL86" s="6"/>
      <c r="VQM86" s="6"/>
      <c r="VQN86" s="6"/>
      <c r="VQO86" s="6"/>
      <c r="VQP86" s="6"/>
      <c r="VQQ86" s="6"/>
      <c r="VQR86" s="6"/>
      <c r="VQS86" s="6"/>
      <c r="VQT86" s="6"/>
      <c r="VQU86" s="6"/>
      <c r="VQV86" s="6"/>
      <c r="VQW86" s="6"/>
      <c r="VQX86" s="6"/>
      <c r="VQY86" s="6"/>
      <c r="VQZ86" s="6"/>
      <c r="VRA86" s="6"/>
      <c r="VRB86" s="6"/>
      <c r="VRC86" s="6"/>
      <c r="VRD86" s="6"/>
      <c r="VRE86" s="6"/>
      <c r="VRF86" s="6"/>
      <c r="VRG86" s="6"/>
      <c r="VRH86" s="6"/>
      <c r="VRI86" s="6"/>
      <c r="VRJ86" s="6"/>
      <c r="VRK86" s="6"/>
      <c r="VRL86" s="6"/>
      <c r="VRM86" s="6"/>
      <c r="VRN86" s="6"/>
      <c r="VRO86" s="6"/>
      <c r="VRP86" s="6"/>
      <c r="VRQ86" s="6"/>
      <c r="VRR86" s="6"/>
      <c r="VRS86" s="6"/>
      <c r="VRT86" s="6"/>
      <c r="VRU86" s="6"/>
      <c r="VRV86" s="6"/>
      <c r="VRW86" s="6"/>
      <c r="VRX86" s="6"/>
      <c r="VRY86" s="6"/>
      <c r="VRZ86" s="6"/>
      <c r="VSA86" s="6"/>
      <c r="VSB86" s="6"/>
      <c r="VSC86" s="6"/>
      <c r="VSD86" s="6"/>
      <c r="VSE86" s="6"/>
      <c r="VSF86" s="6"/>
      <c r="VSG86" s="6"/>
      <c r="VSH86" s="6"/>
      <c r="VSI86" s="6"/>
      <c r="VSJ86" s="6"/>
      <c r="VSK86" s="6"/>
      <c r="VSL86" s="6"/>
      <c r="VSM86" s="6"/>
      <c r="VSN86" s="6"/>
      <c r="VSO86" s="6"/>
      <c r="VSP86" s="6"/>
      <c r="VSQ86" s="6"/>
      <c r="VSR86" s="6"/>
      <c r="VSS86" s="6"/>
      <c r="VST86" s="6"/>
      <c r="VSU86" s="6"/>
      <c r="VSV86" s="6"/>
      <c r="VSW86" s="6"/>
      <c r="VSX86" s="6"/>
      <c r="VSY86" s="6"/>
      <c r="VSZ86" s="6"/>
      <c r="VTA86" s="6"/>
      <c r="VTB86" s="6"/>
      <c r="VTC86" s="6"/>
      <c r="VTD86" s="6"/>
      <c r="VTE86" s="6"/>
      <c r="VTF86" s="6"/>
      <c r="VTG86" s="6"/>
      <c r="VTH86" s="6"/>
      <c r="VTI86" s="6"/>
      <c r="VTJ86" s="6"/>
      <c r="VTK86" s="6"/>
      <c r="VTL86" s="6"/>
      <c r="VTM86" s="6"/>
      <c r="VTN86" s="6"/>
      <c r="VTO86" s="6"/>
      <c r="VTP86" s="6"/>
      <c r="VTQ86" s="6"/>
      <c r="VTR86" s="6"/>
      <c r="VTS86" s="6"/>
      <c r="VTT86" s="6"/>
      <c r="VTU86" s="6"/>
      <c r="VTV86" s="6"/>
      <c r="VTW86" s="6"/>
      <c r="VTX86" s="6"/>
      <c r="VTY86" s="6"/>
      <c r="VTZ86" s="6"/>
      <c r="VUA86" s="6"/>
      <c r="VUB86" s="6"/>
      <c r="VUC86" s="6"/>
      <c r="VUD86" s="6"/>
      <c r="VUE86" s="6"/>
      <c r="VUF86" s="6"/>
      <c r="VUG86" s="6"/>
      <c r="VUH86" s="6"/>
      <c r="VUI86" s="6"/>
      <c r="VUJ86" s="6"/>
      <c r="VUK86" s="6"/>
      <c r="VUL86" s="6"/>
      <c r="VUM86" s="6"/>
      <c r="VUN86" s="6"/>
      <c r="VUO86" s="6"/>
      <c r="VUP86" s="6"/>
      <c r="VUQ86" s="6"/>
      <c r="VUR86" s="6"/>
      <c r="VUS86" s="6"/>
      <c r="VUT86" s="6"/>
      <c r="VUU86" s="6"/>
      <c r="VUV86" s="6"/>
      <c r="VUW86" s="6"/>
      <c r="VUX86" s="6"/>
      <c r="VUY86" s="6"/>
      <c r="VUZ86" s="6"/>
      <c r="VVA86" s="6"/>
      <c r="VVB86" s="6"/>
      <c r="VVC86" s="6"/>
      <c r="VVD86" s="6"/>
      <c r="VVE86" s="6"/>
      <c r="VVF86" s="6"/>
      <c r="VVG86" s="6"/>
      <c r="VVH86" s="6"/>
      <c r="VVI86" s="6"/>
      <c r="VVJ86" s="6"/>
      <c r="VVK86" s="6"/>
      <c r="VVL86" s="6"/>
      <c r="VVM86" s="6"/>
      <c r="VVN86" s="6"/>
      <c r="VVO86" s="6"/>
      <c r="VVP86" s="6"/>
      <c r="VVQ86" s="6"/>
      <c r="VVR86" s="6"/>
      <c r="VVS86" s="6"/>
      <c r="VVT86" s="6"/>
      <c r="VVU86" s="6"/>
      <c r="VVV86" s="6"/>
      <c r="VVW86" s="6"/>
      <c r="VVX86" s="6"/>
      <c r="VVY86" s="6"/>
      <c r="VVZ86" s="6"/>
      <c r="VWA86" s="6"/>
      <c r="VWB86" s="6"/>
      <c r="VWC86" s="6"/>
      <c r="VWD86" s="6"/>
      <c r="VWE86" s="6"/>
      <c r="VWF86" s="6"/>
      <c r="VWG86" s="6"/>
      <c r="VWH86" s="6"/>
      <c r="VWI86" s="6"/>
      <c r="VWJ86" s="6"/>
      <c r="VWK86" s="6"/>
      <c r="VWL86" s="6"/>
      <c r="VWM86" s="6"/>
      <c r="VWN86" s="6"/>
      <c r="VWO86" s="6"/>
      <c r="VWP86" s="6"/>
      <c r="VWQ86" s="6"/>
      <c r="VWR86" s="6"/>
      <c r="VWS86" s="6"/>
      <c r="VWT86" s="6"/>
      <c r="VWU86" s="6"/>
      <c r="VWV86" s="6"/>
      <c r="VWW86" s="6"/>
      <c r="VWX86" s="6"/>
      <c r="VWY86" s="6"/>
      <c r="VWZ86" s="6"/>
      <c r="VXA86" s="6"/>
      <c r="VXB86" s="6"/>
      <c r="VXC86" s="6"/>
      <c r="VXD86" s="6"/>
      <c r="VXE86" s="6"/>
      <c r="VXF86" s="6"/>
      <c r="VXG86" s="6"/>
      <c r="VXH86" s="6"/>
      <c r="VXI86" s="6"/>
      <c r="VXJ86" s="6"/>
      <c r="VXK86" s="6"/>
      <c r="VXL86" s="6"/>
      <c r="VXM86" s="6"/>
      <c r="VXN86" s="6"/>
      <c r="VXO86" s="6"/>
      <c r="VXP86" s="6"/>
      <c r="VXQ86" s="6"/>
      <c r="VXR86" s="6"/>
      <c r="VXS86" s="6"/>
      <c r="VXT86" s="6"/>
      <c r="VXU86" s="6"/>
      <c r="VXV86" s="6"/>
      <c r="VXW86" s="6"/>
      <c r="VXX86" s="6"/>
      <c r="VXY86" s="6"/>
      <c r="VXZ86" s="6"/>
      <c r="VYA86" s="6"/>
      <c r="VYB86" s="6"/>
      <c r="VYC86" s="6"/>
      <c r="VYD86" s="6"/>
      <c r="VYE86" s="6"/>
      <c r="VYF86" s="6"/>
      <c r="VYG86" s="6"/>
      <c r="VYH86" s="6"/>
      <c r="VYI86" s="6"/>
      <c r="VYJ86" s="6"/>
      <c r="VYK86" s="6"/>
      <c r="VYL86" s="6"/>
      <c r="VYM86" s="6"/>
      <c r="VYN86" s="6"/>
      <c r="VYO86" s="6"/>
      <c r="VYP86" s="6"/>
      <c r="VYQ86" s="6"/>
      <c r="VYR86" s="6"/>
      <c r="VYS86" s="6"/>
      <c r="VYT86" s="6"/>
      <c r="VYU86" s="6"/>
      <c r="VYV86" s="6"/>
      <c r="VYW86" s="6"/>
      <c r="VYX86" s="6"/>
      <c r="VYY86" s="6"/>
      <c r="VYZ86" s="6"/>
      <c r="VZA86" s="6"/>
      <c r="VZB86" s="6"/>
      <c r="VZC86" s="6"/>
      <c r="VZD86" s="6"/>
      <c r="VZE86" s="6"/>
      <c r="VZF86" s="6"/>
      <c r="VZG86" s="6"/>
      <c r="VZH86" s="6"/>
      <c r="VZI86" s="6"/>
      <c r="VZJ86" s="6"/>
      <c r="VZK86" s="6"/>
      <c r="VZL86" s="6"/>
      <c r="VZM86" s="6"/>
      <c r="VZN86" s="6"/>
      <c r="VZO86" s="6"/>
      <c r="VZP86" s="6"/>
      <c r="VZQ86" s="6"/>
      <c r="VZR86" s="6"/>
      <c r="VZS86" s="6"/>
      <c r="VZT86" s="6"/>
      <c r="VZU86" s="6"/>
      <c r="VZV86" s="6"/>
      <c r="VZW86" s="6"/>
      <c r="VZX86" s="6"/>
      <c r="VZY86" s="6"/>
      <c r="VZZ86" s="6"/>
      <c r="WAA86" s="6"/>
      <c r="WAB86" s="6"/>
      <c r="WAC86" s="6"/>
      <c r="WAD86" s="6"/>
      <c r="WAE86" s="6"/>
      <c r="WAF86" s="6"/>
      <c r="WAG86" s="6"/>
      <c r="WAH86" s="6"/>
      <c r="WAI86" s="6"/>
      <c r="WAJ86" s="6"/>
      <c r="WAK86" s="6"/>
      <c r="WAL86" s="6"/>
      <c r="WAM86" s="6"/>
      <c r="WAN86" s="6"/>
      <c r="WAO86" s="6"/>
      <c r="WAP86" s="6"/>
      <c r="WAQ86" s="6"/>
      <c r="WAR86" s="6"/>
      <c r="WAS86" s="6"/>
      <c r="WAT86" s="6"/>
      <c r="WAU86" s="6"/>
      <c r="WAV86" s="6"/>
      <c r="WAW86" s="6"/>
      <c r="WAX86" s="6"/>
      <c r="WAY86" s="6"/>
      <c r="WAZ86" s="6"/>
      <c r="WBA86" s="6"/>
      <c r="WBB86" s="6"/>
      <c r="WBC86" s="6"/>
      <c r="WBD86" s="6"/>
      <c r="WBE86" s="6"/>
      <c r="WBF86" s="6"/>
      <c r="WBG86" s="6"/>
      <c r="WBH86" s="6"/>
      <c r="WBI86" s="6"/>
      <c r="WBJ86" s="6"/>
      <c r="WBK86" s="6"/>
      <c r="WBL86" s="6"/>
      <c r="WBM86" s="6"/>
      <c r="WBN86" s="6"/>
      <c r="WBO86" s="6"/>
      <c r="WBP86" s="6"/>
      <c r="WBQ86" s="6"/>
      <c r="WBR86" s="6"/>
      <c r="WBS86" s="6"/>
      <c r="WBT86" s="6"/>
      <c r="WBU86" s="6"/>
      <c r="WBV86" s="6"/>
      <c r="WBW86" s="6"/>
      <c r="WBX86" s="6"/>
      <c r="WBY86" s="6"/>
      <c r="WBZ86" s="6"/>
      <c r="WCA86" s="6"/>
      <c r="WCB86" s="6"/>
      <c r="WCC86" s="6"/>
      <c r="WCD86" s="6"/>
      <c r="WCE86" s="6"/>
      <c r="WCF86" s="6"/>
      <c r="WCG86" s="6"/>
      <c r="WCH86" s="6"/>
      <c r="WCI86" s="6"/>
      <c r="WCJ86" s="6"/>
      <c r="WCK86" s="6"/>
      <c r="WCL86" s="6"/>
      <c r="WCM86" s="6"/>
      <c r="WCN86" s="6"/>
      <c r="WCO86" s="6"/>
      <c r="WCP86" s="6"/>
      <c r="WCQ86" s="6"/>
      <c r="WCR86" s="6"/>
      <c r="WCS86" s="6"/>
      <c r="WCT86" s="6"/>
      <c r="WCU86" s="6"/>
      <c r="WCV86" s="6"/>
      <c r="WCW86" s="6"/>
      <c r="WCX86" s="6"/>
      <c r="WCY86" s="6"/>
      <c r="WCZ86" s="6"/>
      <c r="WDA86" s="6"/>
      <c r="WDB86" s="6"/>
      <c r="WDC86" s="6"/>
      <c r="WDD86" s="6"/>
      <c r="WDE86" s="6"/>
      <c r="WDF86" s="6"/>
      <c r="WDG86" s="6"/>
      <c r="WDH86" s="6"/>
      <c r="WDI86" s="6"/>
      <c r="WDJ86" s="6"/>
      <c r="WDK86" s="6"/>
      <c r="WDL86" s="6"/>
      <c r="WDM86" s="6"/>
      <c r="WDN86" s="6"/>
      <c r="WDO86" s="6"/>
      <c r="WDP86" s="6"/>
      <c r="WDQ86" s="6"/>
      <c r="WDR86" s="6"/>
      <c r="WDS86" s="6"/>
      <c r="WDT86" s="6"/>
      <c r="WDU86" s="6"/>
      <c r="WDV86" s="6"/>
      <c r="WDW86" s="6"/>
      <c r="WDX86" s="6"/>
      <c r="WDY86" s="6"/>
      <c r="WDZ86" s="6"/>
      <c r="WEA86" s="6"/>
      <c r="WEB86" s="6"/>
      <c r="WEC86" s="6"/>
      <c r="WED86" s="6"/>
      <c r="WEE86" s="6"/>
      <c r="WEF86" s="6"/>
      <c r="WEG86" s="6"/>
      <c r="WEH86" s="6"/>
      <c r="WEI86" s="6"/>
      <c r="WEJ86" s="6"/>
      <c r="WEK86" s="6"/>
      <c r="WEL86" s="6"/>
      <c r="WEM86" s="6"/>
      <c r="WEN86" s="6"/>
      <c r="WEO86" s="6"/>
      <c r="WEP86" s="6"/>
      <c r="WEQ86" s="6"/>
      <c r="WER86" s="6"/>
      <c r="WES86" s="6"/>
      <c r="WET86" s="6"/>
      <c r="WEU86" s="6"/>
      <c r="WEV86" s="6"/>
      <c r="WEW86" s="6"/>
      <c r="WEX86" s="6"/>
      <c r="WEY86" s="6"/>
      <c r="WEZ86" s="6"/>
      <c r="WFA86" s="6"/>
      <c r="WFB86" s="6"/>
      <c r="WFC86" s="6"/>
      <c r="WFD86" s="6"/>
      <c r="WFE86" s="6"/>
      <c r="WFF86" s="6"/>
      <c r="WFG86" s="6"/>
      <c r="WFH86" s="6"/>
      <c r="WFI86" s="6"/>
      <c r="WFJ86" s="6"/>
      <c r="WFK86" s="6"/>
      <c r="WFL86" s="6"/>
      <c r="WFM86" s="6"/>
      <c r="WFN86" s="6"/>
      <c r="WFO86" s="6"/>
      <c r="WFP86" s="6"/>
      <c r="WFQ86" s="6"/>
      <c r="WFR86" s="6"/>
      <c r="WFS86" s="6"/>
      <c r="WFT86" s="6"/>
      <c r="WFU86" s="6"/>
      <c r="WFV86" s="6"/>
      <c r="WFW86" s="6"/>
      <c r="WFX86" s="6"/>
      <c r="WFY86" s="6"/>
      <c r="WFZ86" s="6"/>
      <c r="WGA86" s="6"/>
      <c r="WGB86" s="6"/>
      <c r="WGC86" s="6"/>
      <c r="WGD86" s="6"/>
      <c r="WGE86" s="6"/>
      <c r="WGF86" s="6"/>
      <c r="WGG86" s="6"/>
      <c r="WGH86" s="6"/>
      <c r="WGI86" s="6"/>
      <c r="WGJ86" s="6"/>
      <c r="WGK86" s="6"/>
      <c r="WGL86" s="6"/>
      <c r="WGM86" s="6"/>
      <c r="WGN86" s="6"/>
      <c r="WGO86" s="6"/>
      <c r="WGP86" s="6"/>
      <c r="WGQ86" s="6"/>
      <c r="WGR86" s="6"/>
      <c r="WGS86" s="6"/>
      <c r="WGT86" s="6"/>
      <c r="WGU86" s="6"/>
      <c r="WGV86" s="6"/>
      <c r="WGW86" s="6"/>
      <c r="WGX86" s="6"/>
      <c r="WGY86" s="6"/>
      <c r="WGZ86" s="6"/>
      <c r="WHA86" s="6"/>
      <c r="WHB86" s="6"/>
      <c r="WHC86" s="6"/>
      <c r="WHD86" s="6"/>
      <c r="WHE86" s="6"/>
      <c r="WHF86" s="6"/>
      <c r="WHG86" s="6"/>
      <c r="WHH86" s="6"/>
      <c r="WHI86" s="6"/>
      <c r="WHJ86" s="6"/>
      <c r="WHK86" s="6"/>
      <c r="WHL86" s="6"/>
      <c r="WHM86" s="6"/>
      <c r="WHN86" s="6"/>
      <c r="WHO86" s="6"/>
      <c r="WHP86" s="6"/>
      <c r="WHQ86" s="6"/>
      <c r="WHR86" s="6"/>
      <c r="WHS86" s="6"/>
      <c r="WHT86" s="6"/>
      <c r="WHU86" s="6"/>
      <c r="WHV86" s="6"/>
      <c r="WHW86" s="6"/>
      <c r="WHX86" s="6"/>
      <c r="WHY86" s="6"/>
      <c r="WHZ86" s="6"/>
      <c r="WIA86" s="6"/>
      <c r="WIB86" s="6"/>
      <c r="WIC86" s="6"/>
      <c r="WID86" s="6"/>
      <c r="WIE86" s="6"/>
      <c r="WIF86" s="6"/>
      <c r="WIG86" s="6"/>
      <c r="WIH86" s="6"/>
      <c r="WII86" s="6"/>
      <c r="WIJ86" s="6"/>
      <c r="WIK86" s="6"/>
      <c r="WIL86" s="6"/>
      <c r="WIM86" s="6"/>
      <c r="WIN86" s="6"/>
      <c r="WIO86" s="6"/>
      <c r="WIP86" s="6"/>
      <c r="WIQ86" s="6"/>
      <c r="WIR86" s="6"/>
      <c r="WIS86" s="6"/>
      <c r="WIT86" s="6"/>
      <c r="WIU86" s="6"/>
      <c r="WIV86" s="6"/>
      <c r="WIW86" s="6"/>
      <c r="WIX86" s="6"/>
      <c r="WIY86" s="6"/>
      <c r="WIZ86" s="6"/>
      <c r="WJA86" s="6"/>
      <c r="WJB86" s="6"/>
      <c r="WJC86" s="6"/>
      <c r="WJD86" s="6"/>
      <c r="WJE86" s="6"/>
      <c r="WJF86" s="6"/>
      <c r="WJG86" s="6"/>
      <c r="WJH86" s="6"/>
      <c r="WJI86" s="6"/>
      <c r="WJJ86" s="6"/>
      <c r="WJK86" s="6"/>
      <c r="WJL86" s="6"/>
      <c r="WJM86" s="6"/>
      <c r="WJN86" s="6"/>
      <c r="WJO86" s="6"/>
      <c r="WJP86" s="6"/>
      <c r="WJQ86" s="6"/>
      <c r="WJR86" s="6"/>
      <c r="WJS86" s="6"/>
      <c r="WJT86" s="6"/>
      <c r="WJU86" s="6"/>
      <c r="WJV86" s="6"/>
      <c r="WJW86" s="6"/>
      <c r="WJX86" s="6"/>
      <c r="WJY86" s="6"/>
      <c r="WJZ86" s="6"/>
      <c r="WKA86" s="6"/>
      <c r="WKB86" s="6"/>
      <c r="WKC86" s="6"/>
      <c r="WKD86" s="6"/>
      <c r="WKE86" s="6"/>
      <c r="WKF86" s="6"/>
      <c r="WKG86" s="6"/>
      <c r="WKH86" s="6"/>
      <c r="WKI86" s="6"/>
      <c r="WKJ86" s="6"/>
      <c r="WKK86" s="6"/>
      <c r="WKL86" s="6"/>
      <c r="WKM86" s="6"/>
      <c r="WKN86" s="6"/>
      <c r="WKO86" s="6"/>
      <c r="WKP86" s="6"/>
      <c r="WKQ86" s="6"/>
      <c r="WKR86" s="6"/>
      <c r="WKS86" s="6"/>
      <c r="WKT86" s="6"/>
      <c r="WKU86" s="6"/>
      <c r="WKV86" s="6"/>
      <c r="WKW86" s="6"/>
      <c r="WKX86" s="6"/>
      <c r="WKY86" s="6"/>
      <c r="WKZ86" s="6"/>
      <c r="WLA86" s="6"/>
      <c r="WLB86" s="6"/>
      <c r="WLC86" s="6"/>
      <c r="WLD86" s="6"/>
      <c r="WLE86" s="6"/>
      <c r="WLF86" s="6"/>
      <c r="WLG86" s="6"/>
      <c r="WLH86" s="6"/>
      <c r="WLI86" s="6"/>
      <c r="WLJ86" s="6"/>
      <c r="WLK86" s="6"/>
      <c r="WLL86" s="6"/>
      <c r="WLM86" s="6"/>
      <c r="WLN86" s="6"/>
      <c r="WLO86" s="6"/>
      <c r="WLP86" s="6"/>
      <c r="WLQ86" s="6"/>
      <c r="WLR86" s="6"/>
      <c r="WLS86" s="6"/>
      <c r="WLT86" s="6"/>
      <c r="WLU86" s="6"/>
      <c r="WLV86" s="6"/>
      <c r="WLW86" s="6"/>
      <c r="WLX86" s="6"/>
      <c r="WLY86" s="6"/>
      <c r="WLZ86" s="6"/>
      <c r="WMA86" s="6"/>
      <c r="WMB86" s="6"/>
      <c r="WMC86" s="6"/>
      <c r="WMD86" s="6"/>
      <c r="WME86" s="6"/>
      <c r="WMF86" s="6"/>
      <c r="WMG86" s="6"/>
      <c r="WMH86" s="6"/>
      <c r="WMI86" s="6"/>
      <c r="WMJ86" s="6"/>
      <c r="WMK86" s="6"/>
      <c r="WML86" s="6"/>
      <c r="WMM86" s="6"/>
      <c r="WMN86" s="6"/>
      <c r="WMO86" s="6"/>
      <c r="WMP86" s="6"/>
      <c r="WMQ86" s="6"/>
      <c r="WMR86" s="6"/>
      <c r="WMS86" s="6"/>
      <c r="WMT86" s="6"/>
      <c r="WMU86" s="6"/>
      <c r="WMV86" s="6"/>
      <c r="WMW86" s="6"/>
      <c r="WMX86" s="6"/>
      <c r="WMY86" s="6"/>
      <c r="WMZ86" s="6"/>
      <c r="WNA86" s="6"/>
      <c r="WNB86" s="6"/>
      <c r="WNC86" s="6"/>
      <c r="WND86" s="6"/>
      <c r="WNE86" s="6"/>
      <c r="WNF86" s="6"/>
      <c r="WNG86" s="6"/>
      <c r="WNH86" s="6"/>
      <c r="WNI86" s="6"/>
      <c r="WNJ86" s="6"/>
      <c r="WNK86" s="6"/>
      <c r="WNL86" s="6"/>
      <c r="WNM86" s="6"/>
      <c r="WNN86" s="6"/>
      <c r="WNO86" s="6"/>
      <c r="WNP86" s="6"/>
      <c r="WNQ86" s="6"/>
      <c r="WNR86" s="6"/>
      <c r="WNS86" s="6"/>
      <c r="WNT86" s="6"/>
      <c r="WNU86" s="6"/>
      <c r="WNV86" s="6"/>
      <c r="WNW86" s="6"/>
      <c r="WNX86" s="6"/>
      <c r="WNY86" s="6"/>
      <c r="WNZ86" s="6"/>
      <c r="WOA86" s="6"/>
      <c r="WOB86" s="6"/>
      <c r="WOC86" s="6"/>
      <c r="WOD86" s="6"/>
      <c r="WOE86" s="6"/>
      <c r="WOF86" s="6"/>
      <c r="WOG86" s="6"/>
      <c r="WOH86" s="6"/>
      <c r="WOI86" s="6"/>
      <c r="WOJ86" s="6"/>
      <c r="WOK86" s="6"/>
      <c r="WOL86" s="6"/>
      <c r="WOM86" s="6"/>
      <c r="WON86" s="6"/>
      <c r="WOO86" s="6"/>
      <c r="WOP86" s="6"/>
      <c r="WOQ86" s="6"/>
      <c r="WOR86" s="6"/>
      <c r="WOS86" s="6"/>
      <c r="WOT86" s="6"/>
      <c r="WOU86" s="6"/>
      <c r="WOV86" s="6"/>
      <c r="WOW86" s="6"/>
      <c r="WOX86" s="6"/>
      <c r="WOY86" s="6"/>
      <c r="WOZ86" s="6"/>
      <c r="WPA86" s="6"/>
      <c r="WPB86" s="6"/>
      <c r="WPC86" s="6"/>
      <c r="WPD86" s="6"/>
      <c r="WPE86" s="6"/>
      <c r="WPF86" s="6"/>
      <c r="WPG86" s="6"/>
      <c r="WPH86" s="6"/>
      <c r="WPI86" s="6"/>
      <c r="WPJ86" s="6"/>
      <c r="WPK86" s="6"/>
      <c r="WPL86" s="6"/>
      <c r="WPM86" s="6"/>
      <c r="WPN86" s="6"/>
      <c r="WPO86" s="6"/>
      <c r="WPP86" s="6"/>
      <c r="WPQ86" s="6"/>
      <c r="WPR86" s="6"/>
      <c r="WPS86" s="6"/>
      <c r="WPT86" s="6"/>
      <c r="WPU86" s="6"/>
      <c r="WPV86" s="6"/>
      <c r="WPW86" s="6"/>
      <c r="WPX86" s="6"/>
      <c r="WPY86" s="6"/>
      <c r="WPZ86" s="6"/>
      <c r="WQA86" s="6"/>
      <c r="WQB86" s="6"/>
      <c r="WQC86" s="6"/>
      <c r="WQD86" s="6"/>
      <c r="WQE86" s="6"/>
      <c r="WQF86" s="6"/>
      <c r="WQG86" s="6"/>
      <c r="WQH86" s="6"/>
      <c r="WQI86" s="6"/>
      <c r="WQJ86" s="6"/>
      <c r="WQK86" s="6"/>
      <c r="WQL86" s="6"/>
      <c r="WQM86" s="6"/>
      <c r="WQN86" s="6"/>
      <c r="WQO86" s="6"/>
      <c r="WQP86" s="6"/>
      <c r="WQQ86" s="6"/>
      <c r="WQR86" s="6"/>
      <c r="WQS86" s="6"/>
      <c r="WQT86" s="6"/>
      <c r="WQU86" s="6"/>
      <c r="WQV86" s="6"/>
      <c r="WQW86" s="6"/>
      <c r="WQX86" s="6"/>
      <c r="WQY86" s="6"/>
      <c r="WQZ86" s="6"/>
      <c r="WRA86" s="6"/>
      <c r="WRB86" s="6"/>
      <c r="WRC86" s="6"/>
      <c r="WRD86" s="6"/>
      <c r="WRE86" s="6"/>
      <c r="WRF86" s="6"/>
      <c r="WRG86" s="6"/>
      <c r="WRH86" s="6"/>
      <c r="WRI86" s="6"/>
      <c r="WRJ86" s="6"/>
      <c r="WRK86" s="6"/>
      <c r="WRL86" s="6"/>
      <c r="WRM86" s="6"/>
      <c r="WRN86" s="6"/>
      <c r="WRO86" s="6"/>
      <c r="WRP86" s="6"/>
      <c r="WRQ86" s="6"/>
      <c r="WRR86" s="6"/>
      <c r="WRS86" s="6"/>
      <c r="WRT86" s="6"/>
      <c r="WRU86" s="6"/>
      <c r="WRV86" s="6"/>
      <c r="WRW86" s="6"/>
      <c r="WRX86" s="6"/>
      <c r="WRY86" s="6"/>
      <c r="WRZ86" s="6"/>
      <c r="WSA86" s="6"/>
      <c r="WSB86" s="6"/>
      <c r="WSC86" s="6"/>
      <c r="WSD86" s="6"/>
      <c r="WSE86" s="6"/>
      <c r="WSF86" s="6"/>
      <c r="WSG86" s="6"/>
      <c r="WSH86" s="6"/>
      <c r="WSI86" s="6"/>
      <c r="WSJ86" s="6"/>
      <c r="WSK86" s="6"/>
      <c r="WSL86" s="6"/>
      <c r="WSM86" s="6"/>
      <c r="WSN86" s="6"/>
      <c r="WSO86" s="6"/>
      <c r="WSP86" s="6"/>
      <c r="WSQ86" s="6"/>
      <c r="WSR86" s="6"/>
      <c r="WSS86" s="6"/>
      <c r="WST86" s="6"/>
      <c r="WSU86" s="6"/>
      <c r="WSV86" s="6"/>
      <c r="WSW86" s="6"/>
      <c r="WSX86" s="6"/>
      <c r="WSY86" s="6"/>
      <c r="WSZ86" s="6"/>
      <c r="WTA86" s="6"/>
      <c r="WTB86" s="6"/>
      <c r="WTC86" s="6"/>
      <c r="WTD86" s="6"/>
      <c r="WTE86" s="6"/>
      <c r="WTF86" s="6"/>
      <c r="WTG86" s="6"/>
      <c r="WTH86" s="6"/>
      <c r="WTI86" s="6"/>
      <c r="WTJ86" s="6"/>
      <c r="WTK86" s="6"/>
      <c r="WTL86" s="6"/>
      <c r="WTM86" s="6"/>
      <c r="WTN86" s="6"/>
      <c r="WTO86" s="6"/>
      <c r="WTP86" s="6"/>
      <c r="WTQ86" s="6"/>
      <c r="WTR86" s="6"/>
      <c r="WTS86" s="6"/>
      <c r="WTT86" s="6"/>
      <c r="WTU86" s="6"/>
      <c r="WTV86" s="6"/>
      <c r="WTW86" s="6"/>
      <c r="WTX86" s="6"/>
      <c r="WTY86" s="6"/>
      <c r="WTZ86" s="6"/>
      <c r="WUA86" s="6"/>
      <c r="WUB86" s="6"/>
      <c r="WUC86" s="6"/>
      <c r="WUD86" s="6"/>
      <c r="WUE86" s="6"/>
      <c r="WUF86" s="6"/>
      <c r="WUG86" s="6"/>
      <c r="WUH86" s="6"/>
      <c r="WUI86" s="6"/>
      <c r="WUJ86" s="6"/>
      <c r="WUK86" s="6"/>
      <c r="WUL86" s="6"/>
      <c r="WUM86" s="6"/>
      <c r="WUN86" s="6"/>
      <c r="WUO86" s="6"/>
      <c r="WUP86" s="6"/>
      <c r="WUQ86" s="6"/>
      <c r="WUR86" s="6"/>
      <c r="WUS86" s="6"/>
      <c r="WUT86" s="6"/>
      <c r="WUU86" s="6"/>
      <c r="WUV86" s="6"/>
      <c r="WUW86" s="6"/>
      <c r="WUX86" s="6"/>
      <c r="WUY86" s="6"/>
      <c r="WUZ86" s="6"/>
      <c r="WVA86" s="6"/>
      <c r="WVB86" s="6"/>
      <c r="WVC86" s="6"/>
      <c r="WVD86" s="6"/>
      <c r="WVE86" s="6"/>
      <c r="WVF86" s="6"/>
      <c r="WVG86" s="6"/>
      <c r="WVH86" s="6"/>
      <c r="WVI86" s="6"/>
      <c r="WVJ86" s="6"/>
      <c r="WVK86" s="6"/>
      <c r="WVL86" s="6"/>
      <c r="WVM86" s="6"/>
      <c r="WVN86" s="6"/>
      <c r="WVO86" s="6"/>
      <c r="WVP86" s="6"/>
      <c r="WVQ86" s="6"/>
      <c r="WVR86" s="6"/>
      <c r="WVS86" s="6"/>
      <c r="WVT86" s="6"/>
      <c r="WVU86" s="6"/>
      <c r="WVV86" s="6"/>
      <c r="WVW86" s="6"/>
      <c r="WVX86" s="6"/>
      <c r="WVY86" s="6"/>
      <c r="WVZ86" s="6"/>
      <c r="WWA86" s="6"/>
      <c r="WWB86" s="6"/>
      <c r="WWC86" s="6"/>
      <c r="WWD86" s="6"/>
      <c r="WWE86" s="6"/>
      <c r="WWF86" s="6"/>
      <c r="WWG86" s="6"/>
      <c r="WWH86" s="6"/>
      <c r="WWI86" s="6"/>
      <c r="WWJ86" s="6"/>
      <c r="WWK86" s="6"/>
      <c r="WWL86" s="6"/>
      <c r="WWM86" s="6"/>
      <c r="WWN86" s="6"/>
      <c r="WWO86" s="6"/>
      <c r="WWP86" s="6"/>
      <c r="WWQ86" s="6"/>
      <c r="WWR86" s="6"/>
      <c r="WWS86" s="6"/>
      <c r="WWT86" s="6"/>
      <c r="WWU86" s="6"/>
      <c r="WWV86" s="6"/>
      <c r="WWW86" s="6"/>
      <c r="WWX86" s="6"/>
      <c r="WWY86" s="6"/>
      <c r="WWZ86" s="6"/>
      <c r="WXA86" s="6"/>
      <c r="WXB86" s="6"/>
      <c r="WXC86" s="6"/>
      <c r="WXD86" s="6"/>
      <c r="WXE86" s="6"/>
      <c r="WXF86" s="6"/>
      <c r="WXG86" s="6"/>
      <c r="WXH86" s="6"/>
      <c r="WXI86" s="6"/>
      <c r="WXJ86" s="6"/>
      <c r="WXK86" s="6"/>
      <c r="WXL86" s="6"/>
      <c r="WXM86" s="6"/>
      <c r="WXN86" s="6"/>
      <c r="WXO86" s="6"/>
      <c r="WXP86" s="6"/>
      <c r="WXQ86" s="6"/>
      <c r="WXR86" s="6"/>
      <c r="WXS86" s="6"/>
      <c r="WXT86" s="6"/>
      <c r="WXU86" s="6"/>
      <c r="WXV86" s="6"/>
      <c r="WXW86" s="6"/>
      <c r="WXX86" s="6"/>
      <c r="WXY86" s="6"/>
      <c r="WXZ86" s="6"/>
      <c r="WYA86" s="6"/>
      <c r="WYB86" s="6"/>
      <c r="WYC86" s="6"/>
      <c r="WYD86" s="6"/>
      <c r="WYE86" s="6"/>
      <c r="WYF86" s="6"/>
      <c r="WYG86" s="6"/>
      <c r="WYH86" s="6"/>
      <c r="WYI86" s="6"/>
      <c r="WYJ86" s="6"/>
      <c r="WYK86" s="6"/>
      <c r="WYL86" s="6"/>
      <c r="WYM86" s="6"/>
      <c r="WYN86" s="6"/>
      <c r="WYO86" s="6"/>
      <c r="WYP86" s="6"/>
      <c r="WYQ86" s="6"/>
      <c r="WYR86" s="6"/>
      <c r="WYS86" s="6"/>
      <c r="WYT86" s="6"/>
      <c r="WYU86" s="6"/>
      <c r="WYV86" s="6"/>
      <c r="WYW86" s="6"/>
      <c r="WYX86" s="6"/>
      <c r="WYY86" s="6"/>
      <c r="WYZ86" s="6"/>
      <c r="WZA86" s="6"/>
      <c r="WZB86" s="6"/>
      <c r="WZC86" s="6"/>
      <c r="WZD86" s="6"/>
      <c r="WZE86" s="6"/>
      <c r="WZF86" s="6"/>
      <c r="WZG86" s="6"/>
      <c r="WZH86" s="6"/>
      <c r="WZI86" s="6"/>
      <c r="WZJ86" s="6"/>
      <c r="WZK86" s="6"/>
      <c r="WZL86" s="6"/>
      <c r="WZM86" s="6"/>
      <c r="WZN86" s="6"/>
      <c r="WZO86" s="6"/>
      <c r="WZP86" s="6"/>
      <c r="WZQ86" s="6"/>
      <c r="WZR86" s="6"/>
      <c r="WZS86" s="6"/>
      <c r="WZT86" s="6"/>
      <c r="WZU86" s="6"/>
      <c r="WZV86" s="6"/>
      <c r="WZW86" s="6"/>
      <c r="WZX86" s="6"/>
      <c r="WZY86" s="6"/>
      <c r="WZZ86" s="6"/>
      <c r="XAA86" s="6"/>
      <c r="XAB86" s="6"/>
      <c r="XAC86" s="6"/>
      <c r="XAD86" s="6"/>
      <c r="XAE86" s="6"/>
      <c r="XAF86" s="6"/>
      <c r="XAG86" s="6"/>
      <c r="XAH86" s="6"/>
      <c r="XAI86" s="6"/>
      <c r="XAJ86" s="6"/>
      <c r="XAK86" s="6"/>
      <c r="XAL86" s="6"/>
      <c r="XAM86" s="6"/>
      <c r="XAN86" s="6"/>
      <c r="XAO86" s="6"/>
      <c r="XAP86" s="6"/>
      <c r="XAQ86" s="6"/>
      <c r="XAR86" s="6"/>
      <c r="XAS86" s="6"/>
      <c r="XAT86" s="6"/>
      <c r="XAU86" s="6"/>
      <c r="XAV86" s="6"/>
      <c r="XAW86" s="6"/>
      <c r="XAX86" s="6"/>
      <c r="XAY86" s="6"/>
      <c r="XAZ86" s="6"/>
      <c r="XBA86" s="6"/>
      <c r="XBB86" s="6"/>
      <c r="XBC86" s="6"/>
      <c r="XBD86" s="6"/>
      <c r="XBE86" s="6"/>
      <c r="XBF86" s="6"/>
      <c r="XBG86" s="6"/>
      <c r="XBH86" s="6"/>
      <c r="XBI86" s="6"/>
      <c r="XBJ86" s="6"/>
      <c r="XBK86" s="6"/>
      <c r="XBL86" s="6"/>
      <c r="XBM86" s="6"/>
      <c r="XBN86" s="6"/>
      <c r="XBO86" s="6"/>
      <c r="XBP86" s="6"/>
      <c r="XBQ86" s="6"/>
      <c r="XBR86" s="6"/>
      <c r="XBS86" s="6"/>
      <c r="XBT86" s="6"/>
      <c r="XBU86" s="6"/>
      <c r="XBV86" s="6"/>
      <c r="XBW86" s="6"/>
      <c r="XBX86" s="6"/>
      <c r="XBY86" s="6"/>
      <c r="XBZ86" s="6"/>
      <c r="XCA86" s="6"/>
      <c r="XCB86" s="6"/>
      <c r="XCC86" s="6"/>
      <c r="XCD86" s="6"/>
      <c r="XCE86" s="6"/>
      <c r="XCF86" s="6"/>
      <c r="XCG86" s="6"/>
      <c r="XCH86" s="6"/>
      <c r="XCI86" s="6"/>
      <c r="XCJ86" s="6"/>
      <c r="XCK86" s="6"/>
      <c r="XCL86" s="6"/>
      <c r="XCM86" s="6"/>
      <c r="XCN86" s="6"/>
      <c r="XCO86" s="6"/>
      <c r="XCP86" s="6"/>
      <c r="XCQ86" s="6"/>
      <c r="XCR86" s="6"/>
      <c r="XCS86" s="6"/>
      <c r="XCT86" s="6"/>
      <c r="XCU86" s="6"/>
      <c r="XCV86" s="6"/>
      <c r="XCW86" s="6"/>
    </row>
    <row r="87" spans="1:16325" s="153" customFormat="1" hidden="1">
      <c r="A87" s="6"/>
      <c r="B87" s="162" t="s">
        <v>93</v>
      </c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  <c r="AA87" s="6"/>
      <c r="AB87" s="6"/>
      <c r="AC87" s="6"/>
      <c r="AD87" s="6"/>
      <c r="AE87" s="6"/>
      <c r="AF87" s="6"/>
      <c r="AG87" s="6"/>
      <c r="AH87" s="6"/>
      <c r="AI87" s="6"/>
      <c r="AJ87" s="6"/>
      <c r="AK87" s="6"/>
      <c r="AL87" s="6"/>
      <c r="AM87" s="6"/>
      <c r="AN87" s="6"/>
      <c r="AO87" s="6"/>
      <c r="AP87" s="6"/>
      <c r="AQ87" s="6"/>
      <c r="AR87" s="6"/>
      <c r="AS87" s="143">
        <v>0</v>
      </c>
      <c r="AT87" s="143">
        <v>5</v>
      </c>
      <c r="AU87" s="139">
        <f>SUM(AQ87:AT87)</f>
        <v>5</v>
      </c>
      <c r="AV87" s="143">
        <v>5</v>
      </c>
      <c r="AW87" s="143">
        <v>10</v>
      </c>
      <c r="AX87" s="143">
        <v>20</v>
      </c>
      <c r="AY87" s="143">
        <v>25</v>
      </c>
      <c r="AZ87" s="139">
        <f>SUM(AV87:AY87)</f>
        <v>60</v>
      </c>
      <c r="BA87" s="6"/>
      <c r="BB87" s="6"/>
      <c r="BC87" s="6"/>
      <c r="BD87" s="6"/>
      <c r="BE87" s="6"/>
      <c r="BF87" s="6"/>
      <c r="BG87" s="6"/>
      <c r="BH87" s="6"/>
      <c r="BI87" s="6"/>
      <c r="BJ87" s="6"/>
      <c r="BK87" s="6"/>
      <c r="BL87" s="6"/>
      <c r="BM87" s="6"/>
      <c r="BN87" s="6"/>
      <c r="BO87" s="6"/>
      <c r="BP87" s="6"/>
      <c r="BQ87" s="6"/>
      <c r="BR87" s="6"/>
      <c r="BS87" s="6"/>
      <c r="BT87" s="6"/>
      <c r="BU87" s="6"/>
      <c r="BV87" s="6"/>
      <c r="BW87" s="6"/>
      <c r="BX87" s="6"/>
      <c r="BY87" s="6"/>
      <c r="BZ87" s="6"/>
      <c r="CA87" s="6"/>
      <c r="CB87" s="6"/>
      <c r="CC87" s="6"/>
      <c r="CD87" s="6"/>
      <c r="CE87" s="6"/>
      <c r="CF87" s="6"/>
      <c r="CG87" s="6"/>
      <c r="CH87" s="6"/>
      <c r="CI87" s="6"/>
      <c r="CJ87" s="6"/>
      <c r="CK87" s="6"/>
      <c r="CL87" s="6"/>
      <c r="CM87" s="6"/>
      <c r="CN87" s="6"/>
      <c r="CO87" s="6"/>
      <c r="CP87" s="6"/>
      <c r="CQ87" s="6"/>
      <c r="CR87" s="6"/>
      <c r="CS87" s="6"/>
      <c r="CT87" s="6"/>
      <c r="CU87" s="6"/>
      <c r="CV87" s="6"/>
      <c r="CW87" s="6"/>
      <c r="CX87" s="6"/>
      <c r="CY87" s="6"/>
      <c r="CZ87" s="6"/>
      <c r="DA87" s="6"/>
      <c r="DB87" s="6"/>
      <c r="DC87" s="6"/>
      <c r="DD87" s="6"/>
      <c r="DE87" s="6"/>
      <c r="DF87" s="6"/>
      <c r="DG87" s="6"/>
      <c r="DH87" s="6"/>
      <c r="DI87" s="6"/>
      <c r="DJ87" s="6"/>
      <c r="DK87" s="6"/>
      <c r="DL87" s="6"/>
      <c r="DM87" s="6"/>
      <c r="DN87" s="6"/>
      <c r="DO87" s="6"/>
      <c r="DP87" s="6"/>
      <c r="DQ87" s="6"/>
      <c r="DR87" s="6"/>
      <c r="DS87" s="6"/>
      <c r="DT87" s="6"/>
      <c r="DU87" s="6"/>
      <c r="DV87" s="6"/>
      <c r="DW87" s="6"/>
      <c r="DX87" s="6"/>
      <c r="DY87" s="6"/>
      <c r="DZ87" s="6"/>
      <c r="EA87" s="6"/>
      <c r="EB87" s="6"/>
      <c r="EC87" s="6"/>
      <c r="ED87" s="6"/>
      <c r="EE87" s="6"/>
      <c r="EF87" s="6"/>
      <c r="EG87" s="6"/>
      <c r="EH87" s="6"/>
      <c r="EI87" s="6"/>
      <c r="EJ87" s="6"/>
      <c r="EK87" s="6"/>
      <c r="EL87" s="6"/>
      <c r="EM87" s="6"/>
      <c r="EN87" s="6"/>
      <c r="EO87" s="6"/>
      <c r="EP87" s="6"/>
      <c r="EQ87" s="6"/>
      <c r="ER87" s="6"/>
      <c r="ES87" s="6"/>
      <c r="ET87" s="6"/>
      <c r="EU87" s="6"/>
      <c r="EV87" s="6"/>
      <c r="EW87" s="6"/>
      <c r="EX87" s="6"/>
      <c r="EY87" s="6"/>
      <c r="EZ87" s="6"/>
      <c r="FA87" s="6"/>
      <c r="FB87" s="6"/>
      <c r="FC87" s="6"/>
      <c r="FD87" s="6"/>
      <c r="FE87" s="6"/>
      <c r="FF87" s="6"/>
      <c r="FG87" s="6"/>
      <c r="FH87" s="6"/>
      <c r="FI87" s="6"/>
      <c r="FJ87" s="6"/>
      <c r="FK87" s="6"/>
      <c r="FL87" s="6"/>
      <c r="FM87" s="6"/>
      <c r="FN87" s="6"/>
      <c r="FO87" s="6"/>
      <c r="FP87" s="6"/>
      <c r="FQ87" s="6"/>
      <c r="FR87" s="6"/>
      <c r="FS87" s="6"/>
      <c r="FT87" s="6"/>
      <c r="FU87" s="6"/>
      <c r="FV87" s="6"/>
      <c r="FW87" s="6"/>
      <c r="FX87" s="6"/>
      <c r="FY87" s="6"/>
      <c r="FZ87" s="6"/>
      <c r="GA87" s="6"/>
      <c r="GB87" s="6"/>
      <c r="GC87" s="6"/>
      <c r="GD87" s="6"/>
      <c r="GE87" s="6"/>
      <c r="GF87" s="6"/>
      <c r="GG87" s="6"/>
      <c r="GH87" s="6"/>
      <c r="GI87" s="6"/>
      <c r="GJ87" s="6"/>
      <c r="GK87" s="6"/>
      <c r="GL87" s="6"/>
      <c r="GM87" s="6"/>
      <c r="GN87" s="6"/>
      <c r="GO87" s="6"/>
      <c r="GP87" s="6"/>
      <c r="GQ87" s="6"/>
      <c r="GR87" s="6"/>
      <c r="GS87" s="6"/>
      <c r="GT87" s="6"/>
      <c r="GU87" s="6"/>
      <c r="GV87" s="6"/>
      <c r="GW87" s="6"/>
      <c r="GX87" s="6"/>
      <c r="GY87" s="6"/>
      <c r="GZ87" s="6"/>
      <c r="HA87" s="6"/>
      <c r="HB87" s="6"/>
      <c r="HC87" s="6"/>
      <c r="HD87" s="6"/>
      <c r="HE87" s="6"/>
      <c r="HF87" s="6"/>
      <c r="HG87" s="6"/>
      <c r="HH87" s="6"/>
      <c r="HI87" s="6"/>
      <c r="HJ87" s="6"/>
      <c r="HK87" s="6"/>
      <c r="HL87" s="6"/>
      <c r="HM87" s="6"/>
      <c r="HN87" s="6"/>
      <c r="HO87" s="6"/>
      <c r="HP87" s="6"/>
      <c r="HQ87" s="6"/>
      <c r="HR87" s="6"/>
      <c r="HS87" s="6"/>
      <c r="HT87" s="6"/>
      <c r="HU87" s="6"/>
      <c r="HV87" s="6"/>
      <c r="HW87" s="6"/>
      <c r="HX87" s="6"/>
      <c r="HY87" s="6"/>
      <c r="HZ87" s="6"/>
      <c r="IA87" s="6"/>
      <c r="IB87" s="6"/>
      <c r="IC87" s="6"/>
      <c r="ID87" s="6"/>
      <c r="IE87" s="6"/>
      <c r="IF87" s="6"/>
      <c r="IG87" s="6"/>
      <c r="IH87" s="6"/>
      <c r="II87" s="6"/>
      <c r="IJ87" s="6"/>
      <c r="IK87" s="6"/>
      <c r="IL87" s="6"/>
      <c r="IM87" s="6"/>
      <c r="IN87" s="6"/>
      <c r="IO87" s="6"/>
      <c r="IP87" s="6"/>
      <c r="IQ87" s="6"/>
      <c r="IR87" s="6"/>
      <c r="IS87" s="6"/>
      <c r="IT87" s="6"/>
      <c r="IU87" s="6"/>
      <c r="IV87" s="6"/>
      <c r="IW87" s="6"/>
      <c r="IX87" s="6"/>
      <c r="IY87" s="6"/>
      <c r="IZ87" s="6"/>
      <c r="JA87" s="6"/>
      <c r="JB87" s="6"/>
      <c r="JC87" s="6"/>
      <c r="JD87" s="6"/>
      <c r="JE87" s="6"/>
      <c r="JF87" s="6"/>
      <c r="JG87" s="6"/>
      <c r="JH87" s="6"/>
      <c r="JI87" s="6"/>
      <c r="JJ87" s="6"/>
      <c r="JK87" s="6"/>
      <c r="JL87" s="6"/>
      <c r="JM87" s="6"/>
      <c r="JN87" s="6"/>
      <c r="JO87" s="6"/>
      <c r="JP87" s="6"/>
      <c r="JQ87" s="6"/>
      <c r="JR87" s="6"/>
      <c r="JS87" s="6"/>
      <c r="JT87" s="6"/>
      <c r="JU87" s="6"/>
      <c r="JV87" s="6"/>
      <c r="JW87" s="6"/>
      <c r="JX87" s="6"/>
      <c r="JY87" s="6"/>
      <c r="JZ87" s="6"/>
      <c r="KA87" s="6"/>
      <c r="KB87" s="6"/>
      <c r="KC87" s="6"/>
      <c r="KD87" s="6"/>
      <c r="KE87" s="6"/>
      <c r="KF87" s="6"/>
      <c r="KG87" s="6"/>
      <c r="KH87" s="6"/>
      <c r="KI87" s="6"/>
      <c r="KJ87" s="6"/>
      <c r="KK87" s="6"/>
      <c r="KL87" s="6"/>
      <c r="KM87" s="6"/>
      <c r="KN87" s="6"/>
      <c r="KO87" s="6"/>
      <c r="KP87" s="6"/>
      <c r="KQ87" s="6"/>
      <c r="KR87" s="6"/>
      <c r="KS87" s="6"/>
      <c r="KT87" s="6"/>
      <c r="KU87" s="6"/>
      <c r="KV87" s="6"/>
      <c r="KW87" s="6"/>
      <c r="KX87" s="6"/>
      <c r="KY87" s="6"/>
      <c r="KZ87" s="6"/>
      <c r="LA87" s="6"/>
      <c r="LB87" s="6"/>
      <c r="LC87" s="6"/>
      <c r="LD87" s="6"/>
      <c r="LE87" s="6"/>
      <c r="LF87" s="6"/>
      <c r="LG87" s="6"/>
      <c r="LH87" s="6"/>
      <c r="LI87" s="6"/>
      <c r="LJ87" s="6"/>
      <c r="LK87" s="6"/>
      <c r="LL87" s="6"/>
      <c r="LM87" s="6"/>
      <c r="LN87" s="6"/>
      <c r="LO87" s="6"/>
      <c r="LP87" s="6"/>
      <c r="LQ87" s="6"/>
      <c r="LR87" s="6"/>
      <c r="LS87" s="6"/>
      <c r="LT87" s="6"/>
      <c r="LU87" s="6"/>
      <c r="LV87" s="6"/>
      <c r="LW87" s="6"/>
      <c r="LX87" s="6"/>
      <c r="LY87" s="6"/>
      <c r="LZ87" s="6"/>
      <c r="MA87" s="6"/>
      <c r="MB87" s="6"/>
      <c r="MC87" s="6"/>
      <c r="MD87" s="6"/>
      <c r="ME87" s="6"/>
      <c r="MF87" s="6"/>
      <c r="MG87" s="6"/>
      <c r="MH87" s="6"/>
      <c r="MI87" s="6"/>
      <c r="MJ87" s="6"/>
      <c r="MK87" s="6"/>
      <c r="ML87" s="6"/>
      <c r="MM87" s="6"/>
      <c r="MN87" s="6"/>
      <c r="MO87" s="6"/>
      <c r="MP87" s="6"/>
      <c r="MQ87" s="6"/>
      <c r="MR87" s="6"/>
      <c r="MS87" s="6"/>
      <c r="MT87" s="6"/>
      <c r="MU87" s="6"/>
      <c r="MV87" s="6"/>
      <c r="MW87" s="6"/>
      <c r="MX87" s="6"/>
      <c r="MY87" s="6"/>
      <c r="MZ87" s="6"/>
      <c r="NA87" s="6"/>
      <c r="NB87" s="6"/>
      <c r="NC87" s="6"/>
      <c r="ND87" s="6"/>
      <c r="NE87" s="6"/>
      <c r="NF87" s="6"/>
      <c r="NG87" s="6"/>
      <c r="NH87" s="6"/>
      <c r="NI87" s="6"/>
      <c r="NJ87" s="6"/>
      <c r="NK87" s="6"/>
      <c r="NL87" s="6"/>
      <c r="NM87" s="6"/>
      <c r="NN87" s="6"/>
      <c r="NO87" s="6"/>
      <c r="NP87" s="6"/>
      <c r="NQ87" s="6"/>
      <c r="NR87" s="6"/>
      <c r="NS87" s="6"/>
      <c r="NT87" s="6"/>
      <c r="NU87" s="6"/>
      <c r="NV87" s="6"/>
      <c r="NW87" s="6"/>
      <c r="NX87" s="6"/>
      <c r="NY87" s="6"/>
      <c r="NZ87" s="6"/>
      <c r="OA87" s="6"/>
      <c r="OB87" s="6"/>
      <c r="OC87" s="6"/>
      <c r="OD87" s="6"/>
      <c r="OE87" s="6"/>
      <c r="OF87" s="6"/>
      <c r="OG87" s="6"/>
      <c r="OH87" s="6"/>
      <c r="OI87" s="6"/>
      <c r="OJ87" s="6"/>
      <c r="OK87" s="6"/>
      <c r="OL87" s="6"/>
      <c r="OM87" s="6"/>
      <c r="ON87" s="6"/>
      <c r="OO87" s="6"/>
      <c r="OP87" s="6"/>
      <c r="OQ87" s="6"/>
      <c r="OR87" s="6"/>
      <c r="OS87" s="6"/>
      <c r="OT87" s="6"/>
      <c r="OU87" s="6"/>
      <c r="OV87" s="6"/>
      <c r="OW87" s="6"/>
      <c r="OX87" s="6"/>
      <c r="OY87" s="6"/>
      <c r="OZ87" s="6"/>
      <c r="PA87" s="6"/>
      <c r="PB87" s="6"/>
      <c r="PC87" s="6"/>
      <c r="PD87" s="6"/>
      <c r="PE87" s="6"/>
      <c r="PF87" s="6"/>
      <c r="PG87" s="6"/>
      <c r="PH87" s="6"/>
      <c r="PI87" s="6"/>
      <c r="PJ87" s="6"/>
      <c r="PK87" s="6"/>
      <c r="PL87" s="6"/>
      <c r="PM87" s="6"/>
      <c r="PN87" s="6"/>
      <c r="PO87" s="6"/>
      <c r="PP87" s="6"/>
      <c r="PQ87" s="6"/>
      <c r="PR87" s="6"/>
      <c r="PS87" s="6"/>
      <c r="PT87" s="6"/>
      <c r="PU87" s="6"/>
      <c r="PV87" s="6"/>
      <c r="PW87" s="6"/>
      <c r="PX87" s="6"/>
      <c r="PY87" s="6"/>
      <c r="PZ87" s="6"/>
      <c r="QA87" s="6"/>
      <c r="QB87" s="6"/>
      <c r="QC87" s="6"/>
      <c r="QD87" s="6"/>
      <c r="QE87" s="6"/>
      <c r="QF87" s="6"/>
      <c r="QG87" s="6"/>
      <c r="QH87" s="6"/>
      <c r="QI87" s="6"/>
      <c r="QJ87" s="6"/>
      <c r="QK87" s="6"/>
      <c r="QL87" s="6"/>
      <c r="QM87" s="6"/>
      <c r="QN87" s="6"/>
      <c r="QO87" s="6"/>
      <c r="QP87" s="6"/>
      <c r="QQ87" s="6"/>
      <c r="QR87" s="6"/>
      <c r="QS87" s="6"/>
      <c r="QT87" s="6"/>
      <c r="QU87" s="6"/>
      <c r="QV87" s="6"/>
      <c r="QW87" s="6"/>
      <c r="QX87" s="6"/>
      <c r="QY87" s="6"/>
      <c r="QZ87" s="6"/>
      <c r="RA87" s="6"/>
      <c r="RB87" s="6"/>
      <c r="RC87" s="6"/>
      <c r="RD87" s="6"/>
      <c r="RE87" s="6"/>
      <c r="RF87" s="6"/>
      <c r="RG87" s="6"/>
      <c r="RH87" s="6"/>
      <c r="RI87" s="6"/>
      <c r="RJ87" s="6"/>
      <c r="RK87" s="6"/>
      <c r="RL87" s="6"/>
      <c r="RM87" s="6"/>
      <c r="RN87" s="6"/>
      <c r="RO87" s="6"/>
      <c r="RP87" s="6"/>
      <c r="RQ87" s="6"/>
      <c r="RR87" s="6"/>
      <c r="RS87" s="6"/>
      <c r="RT87" s="6"/>
      <c r="RU87" s="6"/>
      <c r="RV87" s="6"/>
      <c r="RW87" s="6"/>
      <c r="RX87" s="6"/>
      <c r="RY87" s="6"/>
      <c r="RZ87" s="6"/>
      <c r="SA87" s="6"/>
      <c r="SB87" s="6"/>
      <c r="SC87" s="6"/>
      <c r="SD87" s="6"/>
      <c r="SE87" s="6"/>
      <c r="SF87" s="6"/>
      <c r="SG87" s="6"/>
      <c r="SH87" s="6"/>
      <c r="SI87" s="6"/>
      <c r="SJ87" s="6"/>
      <c r="SK87" s="6"/>
      <c r="SL87" s="6"/>
      <c r="SM87" s="6"/>
      <c r="SN87" s="6"/>
      <c r="SO87" s="6"/>
      <c r="SP87" s="6"/>
      <c r="SQ87" s="6"/>
      <c r="SR87" s="6"/>
      <c r="SS87" s="6"/>
      <c r="ST87" s="6"/>
      <c r="SU87" s="6"/>
      <c r="SV87" s="6"/>
      <c r="SW87" s="6"/>
      <c r="SX87" s="6"/>
      <c r="SY87" s="6"/>
      <c r="SZ87" s="6"/>
      <c r="TA87" s="6"/>
      <c r="TB87" s="6"/>
      <c r="TC87" s="6"/>
      <c r="TD87" s="6"/>
      <c r="TE87" s="6"/>
      <c r="TF87" s="6"/>
      <c r="TG87" s="6"/>
      <c r="TH87" s="6"/>
      <c r="TI87" s="6"/>
      <c r="TJ87" s="6"/>
      <c r="TK87" s="6"/>
      <c r="TL87" s="6"/>
      <c r="TM87" s="6"/>
      <c r="TN87" s="6"/>
      <c r="TO87" s="6"/>
      <c r="TP87" s="6"/>
      <c r="TQ87" s="6"/>
      <c r="TR87" s="6"/>
      <c r="TS87" s="6"/>
      <c r="TT87" s="6"/>
      <c r="TU87" s="6"/>
      <c r="TV87" s="6"/>
      <c r="TW87" s="6"/>
      <c r="TX87" s="6"/>
      <c r="TY87" s="6"/>
      <c r="TZ87" s="6"/>
      <c r="UA87" s="6"/>
      <c r="UB87" s="6"/>
      <c r="UC87" s="6"/>
      <c r="UD87" s="6"/>
      <c r="UE87" s="6"/>
      <c r="UF87" s="6"/>
      <c r="UG87" s="6"/>
      <c r="UH87" s="6"/>
      <c r="UI87" s="6"/>
      <c r="UJ87" s="6"/>
      <c r="UK87" s="6"/>
      <c r="UL87" s="6"/>
      <c r="UM87" s="6"/>
      <c r="UN87" s="6"/>
      <c r="UO87" s="6"/>
      <c r="UP87" s="6"/>
      <c r="UQ87" s="6"/>
      <c r="UR87" s="6"/>
      <c r="US87" s="6"/>
      <c r="UT87" s="6"/>
      <c r="UU87" s="6"/>
      <c r="UV87" s="6"/>
      <c r="UW87" s="6"/>
      <c r="UX87" s="6"/>
      <c r="UY87" s="6"/>
      <c r="UZ87" s="6"/>
      <c r="VA87" s="6"/>
      <c r="VB87" s="6"/>
      <c r="VC87" s="6"/>
      <c r="VD87" s="6"/>
      <c r="VE87" s="6"/>
      <c r="VF87" s="6"/>
      <c r="VG87" s="6"/>
      <c r="VH87" s="6"/>
      <c r="VI87" s="6"/>
      <c r="VJ87" s="6"/>
      <c r="VK87" s="6"/>
      <c r="VL87" s="6"/>
      <c r="VM87" s="6"/>
      <c r="VN87" s="6"/>
      <c r="VO87" s="6"/>
      <c r="VP87" s="6"/>
      <c r="VQ87" s="6"/>
      <c r="VR87" s="6"/>
      <c r="VS87" s="6"/>
      <c r="VT87" s="6"/>
      <c r="VU87" s="6"/>
      <c r="VV87" s="6"/>
      <c r="VW87" s="6"/>
      <c r="VX87" s="6"/>
      <c r="VY87" s="6"/>
      <c r="VZ87" s="6"/>
      <c r="WA87" s="6"/>
      <c r="WB87" s="6"/>
      <c r="WC87" s="6"/>
      <c r="WD87" s="6"/>
      <c r="WE87" s="6"/>
      <c r="WF87" s="6"/>
      <c r="WG87" s="6"/>
      <c r="WH87" s="6"/>
      <c r="WI87" s="6"/>
      <c r="WJ87" s="6"/>
      <c r="WK87" s="6"/>
      <c r="WL87" s="6"/>
      <c r="WM87" s="6"/>
      <c r="WN87" s="6"/>
      <c r="WO87" s="6"/>
      <c r="WP87" s="6"/>
      <c r="WQ87" s="6"/>
      <c r="WR87" s="6"/>
      <c r="WS87" s="6"/>
      <c r="WT87" s="6"/>
      <c r="WU87" s="6"/>
      <c r="WV87" s="6"/>
      <c r="WW87" s="6"/>
      <c r="WX87" s="6"/>
      <c r="WY87" s="6"/>
      <c r="WZ87" s="6"/>
      <c r="XA87" s="6"/>
      <c r="XB87" s="6"/>
      <c r="XC87" s="6"/>
      <c r="XD87" s="6"/>
      <c r="XE87" s="6"/>
      <c r="XF87" s="6"/>
      <c r="XG87" s="6"/>
      <c r="XH87" s="6"/>
      <c r="XI87" s="6"/>
      <c r="XJ87" s="6"/>
      <c r="XK87" s="6"/>
      <c r="XL87" s="6"/>
      <c r="XM87" s="6"/>
      <c r="XN87" s="6"/>
      <c r="XO87" s="6"/>
      <c r="XP87" s="6"/>
      <c r="XQ87" s="6"/>
      <c r="XR87" s="6"/>
      <c r="XS87" s="6"/>
      <c r="XT87" s="6"/>
      <c r="XU87" s="6"/>
      <c r="XV87" s="6"/>
      <c r="XW87" s="6"/>
      <c r="XX87" s="6"/>
      <c r="XY87" s="6"/>
      <c r="XZ87" s="6"/>
      <c r="YA87" s="6"/>
      <c r="YB87" s="6"/>
      <c r="YC87" s="6"/>
      <c r="YD87" s="6"/>
      <c r="YE87" s="6"/>
      <c r="YF87" s="6"/>
      <c r="YG87" s="6"/>
      <c r="YH87" s="6"/>
      <c r="YI87" s="6"/>
      <c r="YJ87" s="6"/>
      <c r="YK87" s="6"/>
      <c r="YL87" s="6"/>
      <c r="YM87" s="6"/>
      <c r="YN87" s="6"/>
      <c r="YO87" s="6"/>
      <c r="YP87" s="6"/>
      <c r="YQ87" s="6"/>
      <c r="YR87" s="6"/>
      <c r="YS87" s="6"/>
      <c r="YT87" s="6"/>
      <c r="YU87" s="6"/>
      <c r="YV87" s="6"/>
      <c r="YW87" s="6"/>
      <c r="YX87" s="6"/>
      <c r="YY87" s="6"/>
      <c r="YZ87" s="6"/>
      <c r="ZA87" s="6"/>
      <c r="ZB87" s="6"/>
      <c r="ZC87" s="6"/>
      <c r="ZD87" s="6"/>
      <c r="ZE87" s="6"/>
      <c r="ZF87" s="6"/>
      <c r="ZG87" s="6"/>
      <c r="ZH87" s="6"/>
      <c r="ZI87" s="6"/>
      <c r="ZJ87" s="6"/>
      <c r="ZK87" s="6"/>
      <c r="ZL87" s="6"/>
      <c r="ZM87" s="6"/>
      <c r="ZN87" s="6"/>
      <c r="ZO87" s="6"/>
      <c r="ZP87" s="6"/>
      <c r="ZQ87" s="6"/>
      <c r="ZR87" s="6"/>
      <c r="ZS87" s="6"/>
      <c r="ZT87" s="6"/>
      <c r="ZU87" s="6"/>
      <c r="ZV87" s="6"/>
      <c r="ZW87" s="6"/>
      <c r="ZX87" s="6"/>
      <c r="ZY87" s="6"/>
      <c r="ZZ87" s="6"/>
      <c r="AAA87" s="6"/>
      <c r="AAB87" s="6"/>
      <c r="AAC87" s="6"/>
      <c r="AAD87" s="6"/>
      <c r="AAE87" s="6"/>
      <c r="AAF87" s="6"/>
      <c r="AAG87" s="6"/>
      <c r="AAH87" s="6"/>
      <c r="AAI87" s="6"/>
      <c r="AAJ87" s="6"/>
      <c r="AAK87" s="6"/>
      <c r="AAL87" s="6"/>
      <c r="AAM87" s="6"/>
      <c r="AAN87" s="6"/>
      <c r="AAO87" s="6"/>
      <c r="AAP87" s="6"/>
      <c r="AAQ87" s="6"/>
      <c r="AAR87" s="6"/>
      <c r="AAS87" s="6"/>
      <c r="AAT87" s="6"/>
      <c r="AAU87" s="6"/>
      <c r="AAV87" s="6"/>
      <c r="AAW87" s="6"/>
      <c r="AAX87" s="6"/>
      <c r="AAY87" s="6"/>
      <c r="AAZ87" s="6"/>
      <c r="ABA87" s="6"/>
      <c r="ABB87" s="6"/>
      <c r="ABC87" s="6"/>
      <c r="ABD87" s="6"/>
      <c r="ABE87" s="6"/>
      <c r="ABF87" s="6"/>
      <c r="ABG87" s="6"/>
      <c r="ABH87" s="6"/>
      <c r="ABI87" s="6"/>
      <c r="ABJ87" s="6"/>
      <c r="ABK87" s="6"/>
      <c r="ABL87" s="6"/>
      <c r="ABM87" s="6"/>
      <c r="ABN87" s="6"/>
      <c r="ABO87" s="6"/>
      <c r="ABP87" s="6"/>
      <c r="ABQ87" s="6"/>
      <c r="ABR87" s="6"/>
      <c r="ABS87" s="6"/>
      <c r="ABT87" s="6"/>
      <c r="ABU87" s="6"/>
      <c r="ABV87" s="6"/>
      <c r="ABW87" s="6"/>
      <c r="ABX87" s="6"/>
      <c r="ABY87" s="6"/>
      <c r="ABZ87" s="6"/>
      <c r="ACA87" s="6"/>
      <c r="ACB87" s="6"/>
      <c r="ACC87" s="6"/>
      <c r="ACD87" s="6"/>
      <c r="ACE87" s="6"/>
      <c r="ACF87" s="6"/>
      <c r="ACG87" s="6"/>
      <c r="ACH87" s="6"/>
      <c r="ACI87" s="6"/>
      <c r="ACJ87" s="6"/>
      <c r="ACK87" s="6"/>
      <c r="ACL87" s="6"/>
      <c r="ACM87" s="6"/>
      <c r="ACN87" s="6"/>
      <c r="ACO87" s="6"/>
      <c r="ACP87" s="6"/>
      <c r="ACQ87" s="6"/>
      <c r="ACR87" s="6"/>
      <c r="ACS87" s="6"/>
      <c r="ACT87" s="6"/>
      <c r="ACU87" s="6"/>
      <c r="ACV87" s="6"/>
      <c r="ACW87" s="6"/>
      <c r="ACX87" s="6"/>
      <c r="ACY87" s="6"/>
      <c r="ACZ87" s="6"/>
      <c r="ADA87" s="6"/>
      <c r="ADB87" s="6"/>
      <c r="ADC87" s="6"/>
      <c r="ADD87" s="6"/>
      <c r="ADE87" s="6"/>
      <c r="ADF87" s="6"/>
      <c r="ADG87" s="6"/>
      <c r="ADH87" s="6"/>
      <c r="ADI87" s="6"/>
      <c r="ADJ87" s="6"/>
      <c r="ADK87" s="6"/>
      <c r="ADL87" s="6"/>
      <c r="ADM87" s="6"/>
      <c r="ADN87" s="6"/>
      <c r="ADO87" s="6"/>
      <c r="ADP87" s="6"/>
      <c r="ADQ87" s="6"/>
      <c r="ADR87" s="6"/>
      <c r="ADS87" s="6"/>
      <c r="ADT87" s="6"/>
      <c r="ADU87" s="6"/>
      <c r="ADV87" s="6"/>
      <c r="ADW87" s="6"/>
      <c r="ADX87" s="6"/>
      <c r="ADY87" s="6"/>
      <c r="ADZ87" s="6"/>
      <c r="AEA87" s="6"/>
      <c r="AEB87" s="6"/>
      <c r="AEC87" s="6"/>
      <c r="AED87" s="6"/>
      <c r="AEE87" s="6"/>
      <c r="AEF87" s="6"/>
      <c r="AEG87" s="6"/>
      <c r="AEH87" s="6"/>
      <c r="AEI87" s="6"/>
      <c r="AEJ87" s="6"/>
      <c r="AEK87" s="6"/>
      <c r="AEL87" s="6"/>
      <c r="AEM87" s="6"/>
      <c r="AEN87" s="6"/>
      <c r="AEO87" s="6"/>
      <c r="AEP87" s="6"/>
      <c r="AEQ87" s="6"/>
      <c r="AER87" s="6"/>
      <c r="AES87" s="6"/>
      <c r="AET87" s="6"/>
      <c r="AEU87" s="6"/>
      <c r="AEV87" s="6"/>
      <c r="AEW87" s="6"/>
      <c r="AEX87" s="6"/>
      <c r="AEY87" s="6"/>
      <c r="AEZ87" s="6"/>
      <c r="AFA87" s="6"/>
      <c r="AFB87" s="6"/>
      <c r="AFC87" s="6"/>
      <c r="AFD87" s="6"/>
      <c r="AFE87" s="6"/>
      <c r="AFF87" s="6"/>
      <c r="AFG87" s="6"/>
      <c r="AFH87" s="6"/>
      <c r="AFI87" s="6"/>
      <c r="AFJ87" s="6"/>
      <c r="AFK87" s="6"/>
      <c r="AFL87" s="6"/>
      <c r="AFM87" s="6"/>
      <c r="AFN87" s="6"/>
      <c r="AFO87" s="6"/>
      <c r="AFP87" s="6"/>
      <c r="AFQ87" s="6"/>
      <c r="AFR87" s="6"/>
      <c r="AFS87" s="6"/>
      <c r="AFT87" s="6"/>
      <c r="AFU87" s="6"/>
      <c r="AFV87" s="6"/>
      <c r="AFW87" s="6"/>
      <c r="AFX87" s="6"/>
      <c r="AFY87" s="6"/>
      <c r="AFZ87" s="6"/>
      <c r="AGA87" s="6"/>
      <c r="AGB87" s="6"/>
      <c r="AGC87" s="6"/>
      <c r="AGD87" s="6"/>
      <c r="AGE87" s="6"/>
      <c r="AGF87" s="6"/>
      <c r="AGG87" s="6"/>
      <c r="AGH87" s="6"/>
      <c r="AGI87" s="6"/>
      <c r="AGJ87" s="6"/>
      <c r="AGK87" s="6"/>
      <c r="AGL87" s="6"/>
      <c r="AGM87" s="6"/>
      <c r="AGN87" s="6"/>
      <c r="AGO87" s="6"/>
      <c r="AGP87" s="6"/>
      <c r="AGQ87" s="6"/>
      <c r="AGR87" s="6"/>
      <c r="AGS87" s="6"/>
      <c r="AGT87" s="6"/>
      <c r="AGU87" s="6"/>
      <c r="AGV87" s="6"/>
      <c r="AGW87" s="6"/>
      <c r="AGX87" s="6"/>
      <c r="AGY87" s="6"/>
      <c r="AGZ87" s="6"/>
      <c r="AHA87" s="6"/>
      <c r="AHB87" s="6"/>
      <c r="AHC87" s="6"/>
      <c r="AHD87" s="6"/>
      <c r="AHE87" s="6"/>
      <c r="AHF87" s="6"/>
      <c r="AHG87" s="6"/>
      <c r="AHH87" s="6"/>
      <c r="AHI87" s="6"/>
      <c r="AHJ87" s="6"/>
      <c r="AHK87" s="6"/>
      <c r="AHL87" s="6"/>
      <c r="AHM87" s="6"/>
      <c r="AHN87" s="6"/>
      <c r="AHO87" s="6"/>
      <c r="AHP87" s="6"/>
      <c r="AHQ87" s="6"/>
      <c r="AHR87" s="6"/>
      <c r="AHS87" s="6"/>
      <c r="AHT87" s="6"/>
      <c r="AHU87" s="6"/>
      <c r="AHV87" s="6"/>
      <c r="AHW87" s="6"/>
      <c r="AHX87" s="6"/>
      <c r="AHY87" s="6"/>
      <c r="AHZ87" s="6"/>
      <c r="AIA87" s="6"/>
      <c r="AIB87" s="6"/>
      <c r="AIC87" s="6"/>
      <c r="AID87" s="6"/>
      <c r="AIE87" s="6"/>
      <c r="AIF87" s="6"/>
      <c r="AIG87" s="6"/>
      <c r="AIH87" s="6"/>
      <c r="AII87" s="6"/>
      <c r="AIJ87" s="6"/>
      <c r="AIK87" s="6"/>
      <c r="AIL87" s="6"/>
      <c r="AIM87" s="6"/>
      <c r="AIN87" s="6"/>
      <c r="AIO87" s="6"/>
      <c r="AIP87" s="6"/>
      <c r="AIQ87" s="6"/>
      <c r="AIR87" s="6"/>
      <c r="AIS87" s="6"/>
      <c r="AIT87" s="6"/>
      <c r="AIU87" s="6"/>
      <c r="AIV87" s="6"/>
      <c r="AIW87" s="6"/>
      <c r="AIX87" s="6"/>
      <c r="AIY87" s="6"/>
      <c r="AIZ87" s="6"/>
      <c r="AJA87" s="6"/>
      <c r="AJB87" s="6"/>
      <c r="AJC87" s="6"/>
      <c r="AJD87" s="6"/>
      <c r="AJE87" s="6"/>
      <c r="AJF87" s="6"/>
      <c r="AJG87" s="6"/>
      <c r="AJH87" s="6"/>
      <c r="AJI87" s="6"/>
      <c r="AJJ87" s="6"/>
      <c r="AJK87" s="6"/>
      <c r="AJL87" s="6"/>
      <c r="AJM87" s="6"/>
      <c r="AJN87" s="6"/>
      <c r="AJO87" s="6"/>
      <c r="AJP87" s="6"/>
      <c r="AJQ87" s="6"/>
      <c r="AJR87" s="6"/>
      <c r="AJS87" s="6"/>
      <c r="AJT87" s="6"/>
      <c r="AJU87" s="6"/>
      <c r="AJV87" s="6"/>
      <c r="AJW87" s="6"/>
      <c r="AJX87" s="6"/>
      <c r="AJY87" s="6"/>
      <c r="AJZ87" s="6"/>
      <c r="AKA87" s="6"/>
      <c r="AKB87" s="6"/>
      <c r="AKC87" s="6"/>
      <c r="AKD87" s="6"/>
      <c r="AKE87" s="6"/>
      <c r="AKF87" s="6"/>
      <c r="AKG87" s="6"/>
      <c r="AKH87" s="6"/>
      <c r="AKI87" s="6"/>
      <c r="AKJ87" s="6"/>
      <c r="AKK87" s="6"/>
      <c r="AKL87" s="6"/>
      <c r="AKM87" s="6"/>
      <c r="AKN87" s="6"/>
      <c r="AKO87" s="6"/>
      <c r="AKP87" s="6"/>
      <c r="AKQ87" s="6"/>
      <c r="AKR87" s="6"/>
      <c r="AKS87" s="6"/>
      <c r="AKT87" s="6"/>
      <c r="AKU87" s="6"/>
      <c r="AKV87" s="6"/>
      <c r="AKW87" s="6"/>
      <c r="AKX87" s="6"/>
      <c r="AKY87" s="6"/>
      <c r="AKZ87" s="6"/>
      <c r="ALA87" s="6"/>
      <c r="ALB87" s="6"/>
      <c r="ALC87" s="6"/>
      <c r="ALD87" s="6"/>
      <c r="ALE87" s="6"/>
      <c r="ALF87" s="6"/>
      <c r="ALG87" s="6"/>
      <c r="ALH87" s="6"/>
      <c r="ALI87" s="6"/>
      <c r="ALJ87" s="6"/>
      <c r="ALK87" s="6"/>
      <c r="ALL87" s="6"/>
      <c r="ALM87" s="6"/>
      <c r="ALN87" s="6"/>
      <c r="ALO87" s="6"/>
      <c r="ALP87" s="6"/>
      <c r="ALQ87" s="6"/>
      <c r="ALR87" s="6"/>
      <c r="ALS87" s="6"/>
      <c r="ALT87" s="6"/>
      <c r="ALU87" s="6"/>
      <c r="ALV87" s="6"/>
      <c r="ALW87" s="6"/>
      <c r="ALX87" s="6"/>
      <c r="ALY87" s="6"/>
      <c r="ALZ87" s="6"/>
      <c r="AMA87" s="6"/>
      <c r="AMB87" s="6"/>
      <c r="AMC87" s="6"/>
      <c r="AMD87" s="6"/>
      <c r="AME87" s="6"/>
      <c r="AMF87" s="6"/>
      <c r="AMG87" s="6"/>
      <c r="AMH87" s="6"/>
      <c r="AMI87" s="6"/>
      <c r="AMJ87" s="6"/>
      <c r="AMK87" s="6"/>
      <c r="AML87" s="6"/>
      <c r="AMM87" s="6"/>
      <c r="AMN87" s="6"/>
      <c r="AMO87" s="6"/>
      <c r="AMP87" s="6"/>
      <c r="AMQ87" s="6"/>
      <c r="AMR87" s="6"/>
      <c r="AMS87" s="6"/>
      <c r="AMT87" s="6"/>
      <c r="AMU87" s="6"/>
      <c r="AMV87" s="6"/>
      <c r="AMW87" s="6"/>
      <c r="AMX87" s="6"/>
      <c r="AMY87" s="6"/>
      <c r="AMZ87" s="6"/>
      <c r="ANA87" s="6"/>
      <c r="ANB87" s="6"/>
      <c r="ANC87" s="6"/>
      <c r="AND87" s="6"/>
      <c r="ANE87" s="6"/>
      <c r="ANF87" s="6"/>
      <c r="ANG87" s="6"/>
      <c r="ANH87" s="6"/>
      <c r="ANI87" s="6"/>
      <c r="ANJ87" s="6"/>
      <c r="ANK87" s="6"/>
      <c r="ANL87" s="6"/>
      <c r="ANM87" s="6"/>
      <c r="ANN87" s="6"/>
      <c r="ANO87" s="6"/>
      <c r="ANP87" s="6"/>
      <c r="ANQ87" s="6"/>
      <c r="ANR87" s="6"/>
      <c r="ANS87" s="6"/>
      <c r="ANT87" s="6"/>
      <c r="ANU87" s="6"/>
      <c r="ANV87" s="6"/>
      <c r="ANW87" s="6"/>
      <c r="ANX87" s="6"/>
      <c r="ANY87" s="6"/>
      <c r="ANZ87" s="6"/>
      <c r="AOA87" s="6"/>
      <c r="AOB87" s="6"/>
      <c r="AOC87" s="6"/>
      <c r="AOD87" s="6"/>
      <c r="AOE87" s="6"/>
      <c r="AOF87" s="6"/>
      <c r="AOG87" s="6"/>
      <c r="AOH87" s="6"/>
      <c r="AOI87" s="6"/>
      <c r="AOJ87" s="6"/>
      <c r="AOK87" s="6"/>
      <c r="AOL87" s="6"/>
      <c r="AOM87" s="6"/>
      <c r="AON87" s="6"/>
      <c r="AOO87" s="6"/>
      <c r="AOP87" s="6"/>
      <c r="AOQ87" s="6"/>
      <c r="AOR87" s="6"/>
      <c r="AOS87" s="6"/>
      <c r="AOT87" s="6"/>
      <c r="AOU87" s="6"/>
      <c r="AOV87" s="6"/>
      <c r="AOW87" s="6"/>
      <c r="AOX87" s="6"/>
      <c r="AOY87" s="6"/>
      <c r="AOZ87" s="6"/>
      <c r="APA87" s="6"/>
      <c r="APB87" s="6"/>
      <c r="APC87" s="6"/>
      <c r="APD87" s="6"/>
      <c r="APE87" s="6"/>
      <c r="APF87" s="6"/>
      <c r="APG87" s="6"/>
      <c r="APH87" s="6"/>
      <c r="API87" s="6"/>
      <c r="APJ87" s="6"/>
      <c r="APK87" s="6"/>
      <c r="APL87" s="6"/>
      <c r="APM87" s="6"/>
      <c r="APN87" s="6"/>
      <c r="APO87" s="6"/>
      <c r="APP87" s="6"/>
      <c r="APQ87" s="6"/>
      <c r="APR87" s="6"/>
      <c r="APS87" s="6"/>
      <c r="APT87" s="6"/>
      <c r="APU87" s="6"/>
      <c r="APV87" s="6"/>
      <c r="APW87" s="6"/>
      <c r="APX87" s="6"/>
      <c r="APY87" s="6"/>
      <c r="APZ87" s="6"/>
      <c r="AQA87" s="6"/>
      <c r="AQB87" s="6"/>
      <c r="AQC87" s="6"/>
      <c r="AQD87" s="6"/>
      <c r="AQE87" s="6"/>
      <c r="AQF87" s="6"/>
      <c r="AQG87" s="6"/>
      <c r="AQH87" s="6"/>
      <c r="AQI87" s="6"/>
      <c r="AQJ87" s="6"/>
      <c r="AQK87" s="6"/>
      <c r="AQL87" s="6"/>
      <c r="AQM87" s="6"/>
      <c r="AQN87" s="6"/>
      <c r="AQO87" s="6"/>
      <c r="AQP87" s="6"/>
      <c r="AQQ87" s="6"/>
      <c r="AQR87" s="6"/>
      <c r="AQS87" s="6"/>
      <c r="AQT87" s="6"/>
      <c r="AQU87" s="6"/>
      <c r="AQV87" s="6"/>
      <c r="AQW87" s="6"/>
      <c r="AQX87" s="6"/>
      <c r="AQY87" s="6"/>
      <c r="AQZ87" s="6"/>
      <c r="ARA87" s="6"/>
      <c r="ARB87" s="6"/>
      <c r="ARC87" s="6"/>
      <c r="ARD87" s="6"/>
      <c r="ARE87" s="6"/>
      <c r="ARF87" s="6"/>
      <c r="ARG87" s="6"/>
      <c r="ARH87" s="6"/>
      <c r="ARI87" s="6"/>
      <c r="ARJ87" s="6"/>
      <c r="ARK87" s="6"/>
      <c r="ARL87" s="6"/>
      <c r="ARM87" s="6"/>
      <c r="ARN87" s="6"/>
      <c r="ARO87" s="6"/>
      <c r="ARP87" s="6"/>
      <c r="ARQ87" s="6"/>
      <c r="ARR87" s="6"/>
      <c r="ARS87" s="6"/>
      <c r="ART87" s="6"/>
      <c r="ARU87" s="6"/>
      <c r="ARV87" s="6"/>
      <c r="ARW87" s="6"/>
      <c r="ARX87" s="6"/>
      <c r="ARY87" s="6"/>
      <c r="ARZ87" s="6"/>
      <c r="ASA87" s="6"/>
      <c r="ASB87" s="6"/>
      <c r="ASC87" s="6"/>
      <c r="ASD87" s="6"/>
      <c r="ASE87" s="6"/>
      <c r="ASF87" s="6"/>
      <c r="ASG87" s="6"/>
      <c r="ASH87" s="6"/>
      <c r="ASI87" s="6"/>
      <c r="ASJ87" s="6"/>
      <c r="ASK87" s="6"/>
      <c r="ASL87" s="6"/>
      <c r="ASM87" s="6"/>
      <c r="ASN87" s="6"/>
      <c r="ASO87" s="6"/>
      <c r="ASP87" s="6"/>
      <c r="ASQ87" s="6"/>
      <c r="ASR87" s="6"/>
      <c r="ASS87" s="6"/>
      <c r="AST87" s="6"/>
      <c r="ASU87" s="6"/>
      <c r="ASV87" s="6"/>
      <c r="ASW87" s="6"/>
      <c r="ASX87" s="6"/>
      <c r="ASY87" s="6"/>
      <c r="ASZ87" s="6"/>
      <c r="ATA87" s="6"/>
      <c r="ATB87" s="6"/>
      <c r="ATC87" s="6"/>
      <c r="ATD87" s="6"/>
      <c r="ATE87" s="6"/>
      <c r="ATF87" s="6"/>
      <c r="ATG87" s="6"/>
      <c r="ATH87" s="6"/>
      <c r="ATI87" s="6"/>
      <c r="ATJ87" s="6"/>
      <c r="ATK87" s="6"/>
      <c r="ATL87" s="6"/>
      <c r="ATM87" s="6"/>
      <c r="ATN87" s="6"/>
      <c r="ATO87" s="6"/>
      <c r="ATP87" s="6"/>
      <c r="ATQ87" s="6"/>
      <c r="ATR87" s="6"/>
      <c r="ATS87" s="6"/>
      <c r="ATT87" s="6"/>
      <c r="ATU87" s="6"/>
      <c r="ATV87" s="6"/>
      <c r="ATW87" s="6"/>
      <c r="ATX87" s="6"/>
      <c r="ATY87" s="6"/>
      <c r="ATZ87" s="6"/>
      <c r="AUA87" s="6"/>
      <c r="AUB87" s="6"/>
      <c r="AUC87" s="6"/>
      <c r="AUD87" s="6"/>
      <c r="AUE87" s="6"/>
      <c r="AUF87" s="6"/>
      <c r="AUG87" s="6"/>
      <c r="AUH87" s="6"/>
      <c r="AUI87" s="6"/>
      <c r="AUJ87" s="6"/>
      <c r="AUK87" s="6"/>
      <c r="AUL87" s="6"/>
      <c r="AUM87" s="6"/>
      <c r="AUN87" s="6"/>
      <c r="AUO87" s="6"/>
      <c r="AUP87" s="6"/>
      <c r="AUQ87" s="6"/>
      <c r="AUR87" s="6"/>
      <c r="AUS87" s="6"/>
      <c r="AUT87" s="6"/>
      <c r="AUU87" s="6"/>
      <c r="AUV87" s="6"/>
      <c r="AUW87" s="6"/>
      <c r="AUX87" s="6"/>
      <c r="AUY87" s="6"/>
      <c r="AUZ87" s="6"/>
      <c r="AVA87" s="6"/>
      <c r="AVB87" s="6"/>
      <c r="AVC87" s="6"/>
      <c r="AVD87" s="6"/>
      <c r="AVE87" s="6"/>
      <c r="AVF87" s="6"/>
      <c r="AVG87" s="6"/>
      <c r="AVH87" s="6"/>
      <c r="AVI87" s="6"/>
      <c r="AVJ87" s="6"/>
      <c r="AVK87" s="6"/>
      <c r="AVL87" s="6"/>
      <c r="AVM87" s="6"/>
      <c r="AVN87" s="6"/>
      <c r="AVO87" s="6"/>
      <c r="AVP87" s="6"/>
      <c r="AVQ87" s="6"/>
      <c r="AVR87" s="6"/>
      <c r="AVS87" s="6"/>
      <c r="AVT87" s="6"/>
      <c r="AVU87" s="6"/>
      <c r="AVV87" s="6"/>
      <c r="AVW87" s="6"/>
      <c r="AVX87" s="6"/>
      <c r="AVY87" s="6"/>
      <c r="AVZ87" s="6"/>
      <c r="AWA87" s="6"/>
      <c r="AWB87" s="6"/>
      <c r="AWC87" s="6"/>
      <c r="AWD87" s="6"/>
      <c r="AWE87" s="6"/>
      <c r="AWF87" s="6"/>
      <c r="AWG87" s="6"/>
      <c r="AWH87" s="6"/>
      <c r="AWI87" s="6"/>
      <c r="AWJ87" s="6"/>
      <c r="AWK87" s="6"/>
      <c r="AWL87" s="6"/>
      <c r="AWM87" s="6"/>
      <c r="AWN87" s="6"/>
      <c r="AWO87" s="6"/>
      <c r="AWP87" s="6"/>
      <c r="AWQ87" s="6"/>
      <c r="AWR87" s="6"/>
      <c r="AWS87" s="6"/>
      <c r="AWT87" s="6"/>
      <c r="AWU87" s="6"/>
      <c r="AWV87" s="6"/>
      <c r="AWW87" s="6"/>
      <c r="AWX87" s="6"/>
      <c r="AWY87" s="6"/>
      <c r="AWZ87" s="6"/>
      <c r="AXA87" s="6"/>
      <c r="AXB87" s="6"/>
      <c r="AXC87" s="6"/>
      <c r="AXD87" s="6"/>
      <c r="AXE87" s="6"/>
      <c r="AXF87" s="6"/>
      <c r="AXG87" s="6"/>
      <c r="AXH87" s="6"/>
      <c r="AXI87" s="6"/>
      <c r="AXJ87" s="6"/>
      <c r="AXK87" s="6"/>
      <c r="AXL87" s="6"/>
      <c r="AXM87" s="6"/>
      <c r="AXN87" s="6"/>
      <c r="AXO87" s="6"/>
      <c r="AXP87" s="6"/>
      <c r="AXQ87" s="6"/>
      <c r="AXR87" s="6"/>
      <c r="AXS87" s="6"/>
      <c r="AXT87" s="6"/>
      <c r="AXU87" s="6"/>
      <c r="AXV87" s="6"/>
      <c r="AXW87" s="6"/>
      <c r="AXX87" s="6"/>
      <c r="AXY87" s="6"/>
      <c r="AXZ87" s="6"/>
      <c r="AYA87" s="6"/>
      <c r="AYB87" s="6"/>
      <c r="AYC87" s="6"/>
      <c r="AYD87" s="6"/>
      <c r="AYE87" s="6"/>
      <c r="AYF87" s="6"/>
      <c r="AYG87" s="6"/>
      <c r="AYH87" s="6"/>
      <c r="AYI87" s="6"/>
      <c r="AYJ87" s="6"/>
      <c r="AYK87" s="6"/>
      <c r="AYL87" s="6"/>
      <c r="AYM87" s="6"/>
      <c r="AYN87" s="6"/>
      <c r="AYO87" s="6"/>
      <c r="AYP87" s="6"/>
      <c r="AYQ87" s="6"/>
      <c r="AYR87" s="6"/>
      <c r="AYS87" s="6"/>
      <c r="AYT87" s="6"/>
      <c r="AYU87" s="6"/>
      <c r="AYV87" s="6"/>
      <c r="AYW87" s="6"/>
      <c r="AYX87" s="6"/>
      <c r="AYY87" s="6"/>
      <c r="AYZ87" s="6"/>
      <c r="AZA87" s="6"/>
      <c r="AZB87" s="6"/>
      <c r="AZC87" s="6"/>
      <c r="AZD87" s="6"/>
      <c r="AZE87" s="6"/>
      <c r="AZF87" s="6"/>
      <c r="AZG87" s="6"/>
      <c r="AZH87" s="6"/>
      <c r="AZI87" s="6"/>
      <c r="AZJ87" s="6"/>
      <c r="AZK87" s="6"/>
      <c r="AZL87" s="6"/>
      <c r="AZM87" s="6"/>
      <c r="AZN87" s="6"/>
      <c r="AZO87" s="6"/>
      <c r="AZP87" s="6"/>
      <c r="AZQ87" s="6"/>
      <c r="AZR87" s="6"/>
      <c r="AZS87" s="6"/>
      <c r="AZT87" s="6"/>
      <c r="AZU87" s="6"/>
      <c r="AZV87" s="6"/>
      <c r="AZW87" s="6"/>
      <c r="AZX87" s="6"/>
      <c r="AZY87" s="6"/>
      <c r="AZZ87" s="6"/>
      <c r="BAA87" s="6"/>
      <c r="BAB87" s="6"/>
      <c r="BAC87" s="6"/>
      <c r="BAD87" s="6"/>
      <c r="BAE87" s="6"/>
      <c r="BAF87" s="6"/>
      <c r="BAG87" s="6"/>
      <c r="BAH87" s="6"/>
      <c r="BAI87" s="6"/>
      <c r="BAJ87" s="6"/>
      <c r="BAK87" s="6"/>
      <c r="BAL87" s="6"/>
      <c r="BAM87" s="6"/>
      <c r="BAN87" s="6"/>
      <c r="BAO87" s="6"/>
      <c r="BAP87" s="6"/>
      <c r="BAQ87" s="6"/>
      <c r="BAR87" s="6"/>
      <c r="BAS87" s="6"/>
      <c r="BAT87" s="6"/>
      <c r="BAU87" s="6"/>
      <c r="BAV87" s="6"/>
      <c r="BAW87" s="6"/>
      <c r="BAX87" s="6"/>
      <c r="BAY87" s="6"/>
      <c r="BAZ87" s="6"/>
      <c r="BBA87" s="6"/>
      <c r="BBB87" s="6"/>
      <c r="BBC87" s="6"/>
      <c r="BBD87" s="6"/>
      <c r="BBE87" s="6"/>
      <c r="BBF87" s="6"/>
      <c r="BBG87" s="6"/>
      <c r="BBH87" s="6"/>
      <c r="BBI87" s="6"/>
      <c r="BBJ87" s="6"/>
      <c r="BBK87" s="6"/>
      <c r="BBL87" s="6"/>
      <c r="BBM87" s="6"/>
      <c r="BBN87" s="6"/>
      <c r="BBO87" s="6"/>
      <c r="BBP87" s="6"/>
      <c r="BBQ87" s="6"/>
      <c r="BBR87" s="6"/>
      <c r="BBS87" s="6"/>
      <c r="BBT87" s="6"/>
      <c r="BBU87" s="6"/>
      <c r="BBV87" s="6"/>
      <c r="BBW87" s="6"/>
      <c r="BBX87" s="6"/>
      <c r="BBY87" s="6"/>
      <c r="BBZ87" s="6"/>
      <c r="BCA87" s="6"/>
      <c r="BCB87" s="6"/>
      <c r="BCC87" s="6"/>
      <c r="BCD87" s="6"/>
      <c r="BCE87" s="6"/>
      <c r="BCF87" s="6"/>
      <c r="BCG87" s="6"/>
      <c r="BCH87" s="6"/>
      <c r="BCI87" s="6"/>
      <c r="BCJ87" s="6"/>
      <c r="BCK87" s="6"/>
      <c r="BCL87" s="6"/>
      <c r="BCM87" s="6"/>
      <c r="BCN87" s="6"/>
      <c r="BCO87" s="6"/>
      <c r="BCP87" s="6"/>
      <c r="BCQ87" s="6"/>
      <c r="BCR87" s="6"/>
      <c r="BCS87" s="6"/>
      <c r="BCT87" s="6"/>
      <c r="BCU87" s="6"/>
      <c r="BCV87" s="6"/>
      <c r="BCW87" s="6"/>
      <c r="BCX87" s="6"/>
      <c r="BCY87" s="6"/>
      <c r="BCZ87" s="6"/>
      <c r="BDA87" s="6"/>
      <c r="BDB87" s="6"/>
      <c r="BDC87" s="6"/>
      <c r="BDD87" s="6"/>
      <c r="BDE87" s="6"/>
      <c r="BDF87" s="6"/>
      <c r="BDG87" s="6"/>
      <c r="BDH87" s="6"/>
      <c r="BDI87" s="6"/>
      <c r="BDJ87" s="6"/>
      <c r="BDK87" s="6"/>
      <c r="BDL87" s="6"/>
      <c r="BDM87" s="6"/>
      <c r="BDN87" s="6"/>
      <c r="BDO87" s="6"/>
      <c r="BDP87" s="6"/>
      <c r="BDQ87" s="6"/>
      <c r="BDR87" s="6"/>
      <c r="BDS87" s="6"/>
      <c r="BDT87" s="6"/>
      <c r="BDU87" s="6"/>
      <c r="BDV87" s="6"/>
      <c r="BDW87" s="6"/>
      <c r="BDX87" s="6"/>
      <c r="BDY87" s="6"/>
      <c r="BDZ87" s="6"/>
      <c r="BEA87" s="6"/>
      <c r="BEB87" s="6"/>
      <c r="BEC87" s="6"/>
      <c r="BED87" s="6"/>
      <c r="BEE87" s="6"/>
      <c r="BEF87" s="6"/>
      <c r="BEG87" s="6"/>
      <c r="BEH87" s="6"/>
      <c r="BEI87" s="6"/>
      <c r="BEJ87" s="6"/>
      <c r="BEK87" s="6"/>
      <c r="BEL87" s="6"/>
      <c r="BEM87" s="6"/>
      <c r="BEN87" s="6"/>
      <c r="BEO87" s="6"/>
      <c r="BEP87" s="6"/>
      <c r="BEQ87" s="6"/>
      <c r="BER87" s="6"/>
      <c r="BES87" s="6"/>
      <c r="BET87" s="6"/>
      <c r="BEU87" s="6"/>
      <c r="BEV87" s="6"/>
      <c r="BEW87" s="6"/>
      <c r="BEX87" s="6"/>
      <c r="BEY87" s="6"/>
      <c r="BEZ87" s="6"/>
      <c r="BFA87" s="6"/>
      <c r="BFB87" s="6"/>
      <c r="BFC87" s="6"/>
      <c r="BFD87" s="6"/>
      <c r="BFE87" s="6"/>
      <c r="BFF87" s="6"/>
      <c r="BFG87" s="6"/>
      <c r="BFH87" s="6"/>
      <c r="BFI87" s="6"/>
      <c r="BFJ87" s="6"/>
      <c r="BFK87" s="6"/>
      <c r="BFL87" s="6"/>
      <c r="BFM87" s="6"/>
      <c r="BFN87" s="6"/>
      <c r="BFO87" s="6"/>
      <c r="BFP87" s="6"/>
      <c r="BFQ87" s="6"/>
      <c r="BFR87" s="6"/>
      <c r="BFS87" s="6"/>
      <c r="BFT87" s="6"/>
      <c r="BFU87" s="6"/>
      <c r="BFV87" s="6"/>
      <c r="BFW87" s="6"/>
      <c r="BFX87" s="6"/>
      <c r="BFY87" s="6"/>
      <c r="BFZ87" s="6"/>
      <c r="BGA87" s="6"/>
      <c r="BGB87" s="6"/>
      <c r="BGC87" s="6"/>
      <c r="BGD87" s="6"/>
      <c r="BGE87" s="6"/>
      <c r="BGF87" s="6"/>
      <c r="BGG87" s="6"/>
      <c r="BGH87" s="6"/>
      <c r="BGI87" s="6"/>
      <c r="BGJ87" s="6"/>
      <c r="BGK87" s="6"/>
      <c r="BGL87" s="6"/>
      <c r="BGM87" s="6"/>
      <c r="BGN87" s="6"/>
      <c r="BGO87" s="6"/>
      <c r="BGP87" s="6"/>
      <c r="BGQ87" s="6"/>
      <c r="BGR87" s="6"/>
      <c r="BGS87" s="6"/>
      <c r="BGT87" s="6"/>
      <c r="BGU87" s="6"/>
      <c r="BGV87" s="6"/>
      <c r="BGW87" s="6"/>
      <c r="BGX87" s="6"/>
      <c r="BGY87" s="6"/>
      <c r="BGZ87" s="6"/>
      <c r="BHA87" s="6"/>
      <c r="BHB87" s="6"/>
      <c r="BHC87" s="6"/>
      <c r="BHD87" s="6"/>
      <c r="BHE87" s="6"/>
      <c r="BHF87" s="6"/>
      <c r="BHG87" s="6"/>
      <c r="BHH87" s="6"/>
      <c r="BHI87" s="6"/>
      <c r="BHJ87" s="6"/>
      <c r="BHK87" s="6"/>
      <c r="BHL87" s="6"/>
      <c r="BHM87" s="6"/>
      <c r="BHN87" s="6"/>
      <c r="BHO87" s="6"/>
      <c r="BHP87" s="6"/>
      <c r="BHQ87" s="6"/>
      <c r="BHR87" s="6"/>
      <c r="BHS87" s="6"/>
      <c r="BHT87" s="6"/>
      <c r="BHU87" s="6"/>
      <c r="BHV87" s="6"/>
      <c r="BHW87" s="6"/>
      <c r="BHX87" s="6"/>
      <c r="BHY87" s="6"/>
      <c r="BHZ87" s="6"/>
      <c r="BIA87" s="6"/>
      <c r="BIB87" s="6"/>
      <c r="BIC87" s="6"/>
      <c r="BID87" s="6"/>
      <c r="BIE87" s="6"/>
      <c r="BIF87" s="6"/>
      <c r="BIG87" s="6"/>
      <c r="BIH87" s="6"/>
      <c r="BII87" s="6"/>
      <c r="BIJ87" s="6"/>
      <c r="BIK87" s="6"/>
      <c r="BIL87" s="6"/>
      <c r="BIM87" s="6"/>
      <c r="BIN87" s="6"/>
      <c r="BIO87" s="6"/>
      <c r="BIP87" s="6"/>
      <c r="BIQ87" s="6"/>
      <c r="BIR87" s="6"/>
      <c r="BIS87" s="6"/>
      <c r="BIT87" s="6"/>
      <c r="BIU87" s="6"/>
      <c r="BIV87" s="6"/>
      <c r="BIW87" s="6"/>
      <c r="BIX87" s="6"/>
      <c r="BIY87" s="6"/>
      <c r="BIZ87" s="6"/>
      <c r="BJA87" s="6"/>
      <c r="BJB87" s="6"/>
      <c r="BJC87" s="6"/>
      <c r="BJD87" s="6"/>
      <c r="BJE87" s="6"/>
      <c r="BJF87" s="6"/>
      <c r="BJG87" s="6"/>
      <c r="BJH87" s="6"/>
      <c r="BJI87" s="6"/>
      <c r="BJJ87" s="6"/>
      <c r="BJK87" s="6"/>
      <c r="BJL87" s="6"/>
      <c r="BJM87" s="6"/>
      <c r="BJN87" s="6"/>
      <c r="BJO87" s="6"/>
      <c r="BJP87" s="6"/>
      <c r="BJQ87" s="6"/>
      <c r="BJR87" s="6"/>
      <c r="BJS87" s="6"/>
      <c r="BJT87" s="6"/>
      <c r="BJU87" s="6"/>
      <c r="BJV87" s="6"/>
      <c r="BJW87" s="6"/>
      <c r="BJX87" s="6"/>
      <c r="BJY87" s="6"/>
      <c r="BJZ87" s="6"/>
      <c r="BKA87" s="6"/>
      <c r="BKB87" s="6"/>
      <c r="BKC87" s="6"/>
      <c r="BKD87" s="6"/>
      <c r="BKE87" s="6"/>
      <c r="BKF87" s="6"/>
      <c r="BKG87" s="6"/>
      <c r="BKH87" s="6"/>
      <c r="BKI87" s="6"/>
      <c r="BKJ87" s="6"/>
      <c r="BKK87" s="6"/>
      <c r="BKL87" s="6"/>
      <c r="BKM87" s="6"/>
      <c r="BKN87" s="6"/>
      <c r="BKO87" s="6"/>
      <c r="BKP87" s="6"/>
      <c r="BKQ87" s="6"/>
      <c r="BKR87" s="6"/>
      <c r="BKS87" s="6"/>
      <c r="BKT87" s="6"/>
      <c r="BKU87" s="6"/>
      <c r="BKV87" s="6"/>
      <c r="BKW87" s="6"/>
      <c r="BKX87" s="6"/>
      <c r="BKY87" s="6"/>
      <c r="BKZ87" s="6"/>
      <c r="BLA87" s="6"/>
      <c r="BLB87" s="6"/>
      <c r="BLC87" s="6"/>
      <c r="BLD87" s="6"/>
      <c r="BLE87" s="6"/>
      <c r="BLF87" s="6"/>
      <c r="BLG87" s="6"/>
      <c r="BLH87" s="6"/>
      <c r="BLI87" s="6"/>
      <c r="BLJ87" s="6"/>
      <c r="BLK87" s="6"/>
      <c r="BLL87" s="6"/>
      <c r="BLM87" s="6"/>
      <c r="BLN87" s="6"/>
      <c r="BLO87" s="6"/>
      <c r="BLP87" s="6"/>
      <c r="BLQ87" s="6"/>
      <c r="BLR87" s="6"/>
      <c r="BLS87" s="6"/>
      <c r="BLT87" s="6"/>
      <c r="BLU87" s="6"/>
      <c r="BLV87" s="6"/>
      <c r="BLW87" s="6"/>
      <c r="BLX87" s="6"/>
      <c r="BLY87" s="6"/>
      <c r="BLZ87" s="6"/>
      <c r="BMA87" s="6"/>
      <c r="BMB87" s="6"/>
      <c r="BMC87" s="6"/>
      <c r="BMD87" s="6"/>
      <c r="BME87" s="6"/>
      <c r="BMF87" s="6"/>
      <c r="BMG87" s="6"/>
      <c r="BMH87" s="6"/>
      <c r="BMI87" s="6"/>
      <c r="BMJ87" s="6"/>
      <c r="BMK87" s="6"/>
      <c r="BML87" s="6"/>
      <c r="BMM87" s="6"/>
      <c r="BMN87" s="6"/>
      <c r="BMO87" s="6"/>
      <c r="BMP87" s="6"/>
      <c r="BMQ87" s="6"/>
      <c r="BMR87" s="6"/>
      <c r="BMS87" s="6"/>
      <c r="BMT87" s="6"/>
      <c r="BMU87" s="6"/>
      <c r="BMV87" s="6"/>
      <c r="BMW87" s="6"/>
      <c r="BMX87" s="6"/>
      <c r="BMY87" s="6"/>
      <c r="BMZ87" s="6"/>
      <c r="BNA87" s="6"/>
      <c r="BNB87" s="6"/>
      <c r="BNC87" s="6"/>
      <c r="BND87" s="6"/>
      <c r="BNE87" s="6"/>
      <c r="BNF87" s="6"/>
      <c r="BNG87" s="6"/>
      <c r="BNH87" s="6"/>
      <c r="BNI87" s="6"/>
      <c r="BNJ87" s="6"/>
      <c r="BNK87" s="6"/>
      <c r="BNL87" s="6"/>
      <c r="BNM87" s="6"/>
      <c r="BNN87" s="6"/>
      <c r="BNO87" s="6"/>
      <c r="BNP87" s="6"/>
      <c r="BNQ87" s="6"/>
      <c r="BNR87" s="6"/>
      <c r="BNS87" s="6"/>
      <c r="BNT87" s="6"/>
      <c r="BNU87" s="6"/>
      <c r="BNV87" s="6"/>
      <c r="BNW87" s="6"/>
      <c r="BNX87" s="6"/>
      <c r="BNY87" s="6"/>
      <c r="BNZ87" s="6"/>
      <c r="BOA87" s="6"/>
      <c r="BOB87" s="6"/>
      <c r="BOC87" s="6"/>
      <c r="BOD87" s="6"/>
      <c r="BOE87" s="6"/>
      <c r="BOF87" s="6"/>
      <c r="BOG87" s="6"/>
      <c r="BOH87" s="6"/>
      <c r="BOI87" s="6"/>
      <c r="BOJ87" s="6"/>
      <c r="BOK87" s="6"/>
      <c r="BOL87" s="6"/>
      <c r="BOM87" s="6"/>
      <c r="BON87" s="6"/>
      <c r="BOO87" s="6"/>
      <c r="BOP87" s="6"/>
      <c r="BOQ87" s="6"/>
      <c r="BOR87" s="6"/>
      <c r="BOS87" s="6"/>
      <c r="BOT87" s="6"/>
      <c r="BOU87" s="6"/>
      <c r="BOV87" s="6"/>
      <c r="BOW87" s="6"/>
      <c r="BOX87" s="6"/>
      <c r="BOY87" s="6"/>
      <c r="BOZ87" s="6"/>
      <c r="BPA87" s="6"/>
      <c r="BPB87" s="6"/>
      <c r="BPC87" s="6"/>
      <c r="BPD87" s="6"/>
      <c r="BPE87" s="6"/>
      <c r="BPF87" s="6"/>
      <c r="BPG87" s="6"/>
      <c r="BPH87" s="6"/>
      <c r="BPI87" s="6"/>
      <c r="BPJ87" s="6"/>
      <c r="BPK87" s="6"/>
      <c r="BPL87" s="6"/>
      <c r="BPM87" s="6"/>
      <c r="BPN87" s="6"/>
      <c r="BPO87" s="6"/>
      <c r="BPP87" s="6"/>
      <c r="BPQ87" s="6"/>
      <c r="BPR87" s="6"/>
      <c r="BPS87" s="6"/>
      <c r="BPT87" s="6"/>
      <c r="BPU87" s="6"/>
      <c r="BPV87" s="6"/>
      <c r="BPW87" s="6"/>
      <c r="BPX87" s="6"/>
      <c r="BPY87" s="6"/>
      <c r="BPZ87" s="6"/>
      <c r="BQA87" s="6"/>
      <c r="BQB87" s="6"/>
      <c r="BQC87" s="6"/>
      <c r="BQD87" s="6"/>
      <c r="BQE87" s="6"/>
      <c r="BQF87" s="6"/>
      <c r="BQG87" s="6"/>
      <c r="BQH87" s="6"/>
      <c r="BQI87" s="6"/>
      <c r="BQJ87" s="6"/>
      <c r="BQK87" s="6"/>
      <c r="BQL87" s="6"/>
      <c r="BQM87" s="6"/>
      <c r="BQN87" s="6"/>
      <c r="BQO87" s="6"/>
      <c r="BQP87" s="6"/>
      <c r="BQQ87" s="6"/>
      <c r="BQR87" s="6"/>
      <c r="BQS87" s="6"/>
      <c r="BQT87" s="6"/>
      <c r="BQU87" s="6"/>
      <c r="BQV87" s="6"/>
      <c r="BQW87" s="6"/>
      <c r="BQX87" s="6"/>
      <c r="BQY87" s="6"/>
      <c r="BQZ87" s="6"/>
      <c r="BRA87" s="6"/>
      <c r="BRB87" s="6"/>
      <c r="BRC87" s="6"/>
      <c r="BRD87" s="6"/>
      <c r="BRE87" s="6"/>
      <c r="BRF87" s="6"/>
      <c r="BRG87" s="6"/>
      <c r="BRH87" s="6"/>
      <c r="BRI87" s="6"/>
      <c r="BRJ87" s="6"/>
      <c r="BRK87" s="6"/>
      <c r="BRL87" s="6"/>
      <c r="BRM87" s="6"/>
      <c r="BRN87" s="6"/>
      <c r="BRO87" s="6"/>
      <c r="BRP87" s="6"/>
      <c r="BRQ87" s="6"/>
      <c r="BRR87" s="6"/>
      <c r="BRS87" s="6"/>
      <c r="BRT87" s="6"/>
      <c r="BRU87" s="6"/>
      <c r="BRV87" s="6"/>
      <c r="BRW87" s="6"/>
      <c r="BRX87" s="6"/>
      <c r="BRY87" s="6"/>
      <c r="BRZ87" s="6"/>
      <c r="BSA87" s="6"/>
      <c r="BSB87" s="6"/>
      <c r="BSC87" s="6"/>
      <c r="BSD87" s="6"/>
      <c r="BSE87" s="6"/>
      <c r="BSF87" s="6"/>
      <c r="BSG87" s="6"/>
      <c r="BSH87" s="6"/>
      <c r="BSI87" s="6"/>
      <c r="BSJ87" s="6"/>
      <c r="BSK87" s="6"/>
      <c r="BSL87" s="6"/>
      <c r="BSM87" s="6"/>
      <c r="BSN87" s="6"/>
      <c r="BSO87" s="6"/>
      <c r="BSP87" s="6"/>
      <c r="BSQ87" s="6"/>
      <c r="BSR87" s="6"/>
      <c r="BSS87" s="6"/>
      <c r="BST87" s="6"/>
      <c r="BSU87" s="6"/>
      <c r="BSV87" s="6"/>
      <c r="BSW87" s="6"/>
      <c r="BSX87" s="6"/>
      <c r="BSY87" s="6"/>
      <c r="BSZ87" s="6"/>
      <c r="BTA87" s="6"/>
      <c r="BTB87" s="6"/>
      <c r="BTC87" s="6"/>
      <c r="BTD87" s="6"/>
      <c r="BTE87" s="6"/>
      <c r="BTF87" s="6"/>
      <c r="BTG87" s="6"/>
      <c r="BTH87" s="6"/>
      <c r="BTI87" s="6"/>
      <c r="BTJ87" s="6"/>
      <c r="BTK87" s="6"/>
      <c r="BTL87" s="6"/>
      <c r="BTM87" s="6"/>
      <c r="BTN87" s="6"/>
      <c r="BTO87" s="6"/>
      <c r="BTP87" s="6"/>
      <c r="BTQ87" s="6"/>
      <c r="BTR87" s="6"/>
      <c r="BTS87" s="6"/>
      <c r="BTT87" s="6"/>
      <c r="BTU87" s="6"/>
      <c r="BTV87" s="6"/>
      <c r="BTW87" s="6"/>
      <c r="BTX87" s="6"/>
      <c r="BTY87" s="6"/>
      <c r="BTZ87" s="6"/>
      <c r="BUA87" s="6"/>
      <c r="BUB87" s="6"/>
      <c r="BUC87" s="6"/>
      <c r="BUD87" s="6"/>
      <c r="BUE87" s="6"/>
      <c r="BUF87" s="6"/>
      <c r="BUG87" s="6"/>
      <c r="BUH87" s="6"/>
      <c r="BUI87" s="6"/>
      <c r="BUJ87" s="6"/>
      <c r="BUK87" s="6"/>
      <c r="BUL87" s="6"/>
      <c r="BUM87" s="6"/>
      <c r="BUN87" s="6"/>
      <c r="BUO87" s="6"/>
      <c r="BUP87" s="6"/>
      <c r="BUQ87" s="6"/>
      <c r="BUR87" s="6"/>
      <c r="BUS87" s="6"/>
      <c r="BUT87" s="6"/>
      <c r="BUU87" s="6"/>
      <c r="BUV87" s="6"/>
      <c r="BUW87" s="6"/>
      <c r="BUX87" s="6"/>
      <c r="BUY87" s="6"/>
      <c r="BUZ87" s="6"/>
      <c r="BVA87" s="6"/>
      <c r="BVB87" s="6"/>
      <c r="BVC87" s="6"/>
      <c r="BVD87" s="6"/>
      <c r="BVE87" s="6"/>
      <c r="BVF87" s="6"/>
      <c r="BVG87" s="6"/>
      <c r="BVH87" s="6"/>
      <c r="BVI87" s="6"/>
      <c r="BVJ87" s="6"/>
      <c r="BVK87" s="6"/>
      <c r="BVL87" s="6"/>
      <c r="BVM87" s="6"/>
      <c r="BVN87" s="6"/>
      <c r="BVO87" s="6"/>
      <c r="BVP87" s="6"/>
      <c r="BVQ87" s="6"/>
      <c r="BVR87" s="6"/>
      <c r="BVS87" s="6"/>
      <c r="BVT87" s="6"/>
      <c r="BVU87" s="6"/>
      <c r="BVV87" s="6"/>
      <c r="BVW87" s="6"/>
      <c r="BVX87" s="6"/>
      <c r="BVY87" s="6"/>
      <c r="BVZ87" s="6"/>
      <c r="BWA87" s="6"/>
      <c r="BWB87" s="6"/>
      <c r="BWC87" s="6"/>
      <c r="BWD87" s="6"/>
      <c r="BWE87" s="6"/>
      <c r="BWF87" s="6"/>
      <c r="BWG87" s="6"/>
      <c r="BWH87" s="6"/>
      <c r="BWI87" s="6"/>
      <c r="BWJ87" s="6"/>
      <c r="BWK87" s="6"/>
      <c r="BWL87" s="6"/>
      <c r="BWM87" s="6"/>
      <c r="BWN87" s="6"/>
      <c r="BWO87" s="6"/>
      <c r="BWP87" s="6"/>
      <c r="BWQ87" s="6"/>
      <c r="BWR87" s="6"/>
      <c r="BWS87" s="6"/>
      <c r="BWT87" s="6"/>
      <c r="BWU87" s="6"/>
      <c r="BWV87" s="6"/>
      <c r="BWW87" s="6"/>
      <c r="BWX87" s="6"/>
      <c r="BWY87" s="6"/>
      <c r="BWZ87" s="6"/>
      <c r="BXA87" s="6"/>
      <c r="BXB87" s="6"/>
      <c r="BXC87" s="6"/>
      <c r="BXD87" s="6"/>
      <c r="BXE87" s="6"/>
      <c r="BXF87" s="6"/>
      <c r="BXG87" s="6"/>
      <c r="BXH87" s="6"/>
      <c r="BXI87" s="6"/>
      <c r="BXJ87" s="6"/>
      <c r="BXK87" s="6"/>
      <c r="BXL87" s="6"/>
      <c r="BXM87" s="6"/>
      <c r="BXN87" s="6"/>
      <c r="BXO87" s="6"/>
      <c r="BXP87" s="6"/>
      <c r="BXQ87" s="6"/>
      <c r="BXR87" s="6"/>
      <c r="BXS87" s="6"/>
      <c r="BXT87" s="6"/>
      <c r="BXU87" s="6"/>
      <c r="BXV87" s="6"/>
      <c r="BXW87" s="6"/>
      <c r="BXX87" s="6"/>
      <c r="BXY87" s="6"/>
      <c r="BXZ87" s="6"/>
      <c r="BYA87" s="6"/>
      <c r="BYB87" s="6"/>
      <c r="BYC87" s="6"/>
      <c r="BYD87" s="6"/>
      <c r="BYE87" s="6"/>
      <c r="BYF87" s="6"/>
      <c r="BYG87" s="6"/>
      <c r="BYH87" s="6"/>
      <c r="BYI87" s="6"/>
      <c r="BYJ87" s="6"/>
      <c r="BYK87" s="6"/>
      <c r="BYL87" s="6"/>
      <c r="BYM87" s="6"/>
      <c r="BYN87" s="6"/>
      <c r="BYO87" s="6"/>
      <c r="BYP87" s="6"/>
      <c r="BYQ87" s="6"/>
      <c r="BYR87" s="6"/>
      <c r="BYS87" s="6"/>
      <c r="BYT87" s="6"/>
      <c r="BYU87" s="6"/>
      <c r="BYV87" s="6"/>
      <c r="BYW87" s="6"/>
      <c r="BYX87" s="6"/>
      <c r="BYY87" s="6"/>
      <c r="BYZ87" s="6"/>
      <c r="BZA87" s="6"/>
      <c r="BZB87" s="6"/>
      <c r="BZC87" s="6"/>
      <c r="BZD87" s="6"/>
      <c r="BZE87" s="6"/>
      <c r="BZF87" s="6"/>
      <c r="BZG87" s="6"/>
      <c r="BZH87" s="6"/>
      <c r="BZI87" s="6"/>
      <c r="BZJ87" s="6"/>
      <c r="BZK87" s="6"/>
      <c r="BZL87" s="6"/>
      <c r="BZM87" s="6"/>
      <c r="BZN87" s="6"/>
      <c r="BZO87" s="6"/>
      <c r="BZP87" s="6"/>
      <c r="BZQ87" s="6"/>
      <c r="BZR87" s="6"/>
      <c r="BZS87" s="6"/>
      <c r="BZT87" s="6"/>
      <c r="BZU87" s="6"/>
      <c r="BZV87" s="6"/>
      <c r="BZW87" s="6"/>
      <c r="BZX87" s="6"/>
      <c r="BZY87" s="6"/>
      <c r="BZZ87" s="6"/>
      <c r="CAA87" s="6"/>
      <c r="CAB87" s="6"/>
      <c r="CAC87" s="6"/>
      <c r="CAD87" s="6"/>
      <c r="CAE87" s="6"/>
      <c r="CAF87" s="6"/>
      <c r="CAG87" s="6"/>
      <c r="CAH87" s="6"/>
      <c r="CAI87" s="6"/>
      <c r="CAJ87" s="6"/>
      <c r="CAK87" s="6"/>
      <c r="CAL87" s="6"/>
      <c r="CAM87" s="6"/>
      <c r="CAN87" s="6"/>
      <c r="CAO87" s="6"/>
      <c r="CAP87" s="6"/>
      <c r="CAQ87" s="6"/>
      <c r="CAR87" s="6"/>
      <c r="CAS87" s="6"/>
      <c r="CAT87" s="6"/>
      <c r="CAU87" s="6"/>
      <c r="CAV87" s="6"/>
      <c r="CAW87" s="6"/>
      <c r="CAX87" s="6"/>
      <c r="CAY87" s="6"/>
      <c r="CAZ87" s="6"/>
      <c r="CBA87" s="6"/>
      <c r="CBB87" s="6"/>
      <c r="CBC87" s="6"/>
      <c r="CBD87" s="6"/>
      <c r="CBE87" s="6"/>
      <c r="CBF87" s="6"/>
      <c r="CBG87" s="6"/>
      <c r="CBH87" s="6"/>
      <c r="CBI87" s="6"/>
      <c r="CBJ87" s="6"/>
      <c r="CBK87" s="6"/>
      <c r="CBL87" s="6"/>
      <c r="CBM87" s="6"/>
      <c r="CBN87" s="6"/>
      <c r="CBO87" s="6"/>
      <c r="CBP87" s="6"/>
      <c r="CBQ87" s="6"/>
      <c r="CBR87" s="6"/>
      <c r="CBS87" s="6"/>
      <c r="CBT87" s="6"/>
      <c r="CBU87" s="6"/>
      <c r="CBV87" s="6"/>
      <c r="CBW87" s="6"/>
      <c r="CBX87" s="6"/>
      <c r="CBY87" s="6"/>
      <c r="CBZ87" s="6"/>
      <c r="CCA87" s="6"/>
      <c r="CCB87" s="6"/>
      <c r="CCC87" s="6"/>
      <c r="CCD87" s="6"/>
      <c r="CCE87" s="6"/>
      <c r="CCF87" s="6"/>
      <c r="CCG87" s="6"/>
      <c r="CCH87" s="6"/>
      <c r="CCI87" s="6"/>
      <c r="CCJ87" s="6"/>
      <c r="CCK87" s="6"/>
      <c r="CCL87" s="6"/>
      <c r="CCM87" s="6"/>
      <c r="CCN87" s="6"/>
      <c r="CCO87" s="6"/>
      <c r="CCP87" s="6"/>
      <c r="CCQ87" s="6"/>
      <c r="CCR87" s="6"/>
      <c r="CCS87" s="6"/>
      <c r="CCT87" s="6"/>
      <c r="CCU87" s="6"/>
      <c r="CCV87" s="6"/>
      <c r="CCW87" s="6"/>
      <c r="CCX87" s="6"/>
      <c r="CCY87" s="6"/>
      <c r="CCZ87" s="6"/>
      <c r="CDA87" s="6"/>
      <c r="CDB87" s="6"/>
      <c r="CDC87" s="6"/>
      <c r="CDD87" s="6"/>
      <c r="CDE87" s="6"/>
      <c r="CDF87" s="6"/>
      <c r="CDG87" s="6"/>
      <c r="CDH87" s="6"/>
      <c r="CDI87" s="6"/>
      <c r="CDJ87" s="6"/>
      <c r="CDK87" s="6"/>
      <c r="CDL87" s="6"/>
      <c r="CDM87" s="6"/>
      <c r="CDN87" s="6"/>
      <c r="CDO87" s="6"/>
      <c r="CDP87" s="6"/>
      <c r="CDQ87" s="6"/>
      <c r="CDR87" s="6"/>
      <c r="CDS87" s="6"/>
      <c r="CDT87" s="6"/>
      <c r="CDU87" s="6"/>
      <c r="CDV87" s="6"/>
      <c r="CDW87" s="6"/>
      <c r="CDX87" s="6"/>
      <c r="CDY87" s="6"/>
      <c r="CDZ87" s="6"/>
      <c r="CEA87" s="6"/>
      <c r="CEB87" s="6"/>
      <c r="CEC87" s="6"/>
      <c r="CED87" s="6"/>
      <c r="CEE87" s="6"/>
      <c r="CEF87" s="6"/>
      <c r="CEG87" s="6"/>
      <c r="CEH87" s="6"/>
      <c r="CEI87" s="6"/>
      <c r="CEJ87" s="6"/>
      <c r="CEK87" s="6"/>
      <c r="CEL87" s="6"/>
      <c r="CEM87" s="6"/>
      <c r="CEN87" s="6"/>
      <c r="CEO87" s="6"/>
      <c r="CEP87" s="6"/>
      <c r="CEQ87" s="6"/>
      <c r="CER87" s="6"/>
      <c r="CES87" s="6"/>
      <c r="CET87" s="6"/>
      <c r="CEU87" s="6"/>
      <c r="CEV87" s="6"/>
      <c r="CEW87" s="6"/>
      <c r="CEX87" s="6"/>
      <c r="CEY87" s="6"/>
      <c r="CEZ87" s="6"/>
      <c r="CFA87" s="6"/>
      <c r="CFB87" s="6"/>
      <c r="CFC87" s="6"/>
      <c r="CFD87" s="6"/>
      <c r="CFE87" s="6"/>
      <c r="CFF87" s="6"/>
      <c r="CFG87" s="6"/>
      <c r="CFH87" s="6"/>
      <c r="CFI87" s="6"/>
      <c r="CFJ87" s="6"/>
      <c r="CFK87" s="6"/>
      <c r="CFL87" s="6"/>
      <c r="CFM87" s="6"/>
      <c r="CFN87" s="6"/>
      <c r="CFO87" s="6"/>
      <c r="CFP87" s="6"/>
      <c r="CFQ87" s="6"/>
      <c r="CFR87" s="6"/>
      <c r="CFS87" s="6"/>
      <c r="CFT87" s="6"/>
      <c r="CFU87" s="6"/>
      <c r="CFV87" s="6"/>
      <c r="CFW87" s="6"/>
      <c r="CFX87" s="6"/>
      <c r="CFY87" s="6"/>
      <c r="CFZ87" s="6"/>
      <c r="CGA87" s="6"/>
      <c r="CGB87" s="6"/>
      <c r="CGC87" s="6"/>
      <c r="CGD87" s="6"/>
      <c r="CGE87" s="6"/>
      <c r="CGF87" s="6"/>
      <c r="CGG87" s="6"/>
      <c r="CGH87" s="6"/>
      <c r="CGI87" s="6"/>
      <c r="CGJ87" s="6"/>
      <c r="CGK87" s="6"/>
      <c r="CGL87" s="6"/>
      <c r="CGM87" s="6"/>
      <c r="CGN87" s="6"/>
      <c r="CGO87" s="6"/>
      <c r="CGP87" s="6"/>
      <c r="CGQ87" s="6"/>
      <c r="CGR87" s="6"/>
      <c r="CGS87" s="6"/>
      <c r="CGT87" s="6"/>
      <c r="CGU87" s="6"/>
      <c r="CGV87" s="6"/>
      <c r="CGW87" s="6"/>
      <c r="CGX87" s="6"/>
      <c r="CGY87" s="6"/>
      <c r="CGZ87" s="6"/>
      <c r="CHA87" s="6"/>
      <c r="CHB87" s="6"/>
      <c r="CHC87" s="6"/>
      <c r="CHD87" s="6"/>
      <c r="CHE87" s="6"/>
      <c r="CHF87" s="6"/>
      <c r="CHG87" s="6"/>
      <c r="CHH87" s="6"/>
      <c r="CHI87" s="6"/>
      <c r="CHJ87" s="6"/>
      <c r="CHK87" s="6"/>
      <c r="CHL87" s="6"/>
      <c r="CHM87" s="6"/>
      <c r="CHN87" s="6"/>
      <c r="CHO87" s="6"/>
      <c r="CHP87" s="6"/>
      <c r="CHQ87" s="6"/>
      <c r="CHR87" s="6"/>
      <c r="CHS87" s="6"/>
      <c r="CHT87" s="6"/>
      <c r="CHU87" s="6"/>
      <c r="CHV87" s="6"/>
      <c r="CHW87" s="6"/>
      <c r="CHX87" s="6"/>
      <c r="CHY87" s="6"/>
      <c r="CHZ87" s="6"/>
      <c r="CIA87" s="6"/>
      <c r="CIB87" s="6"/>
      <c r="CIC87" s="6"/>
      <c r="CID87" s="6"/>
      <c r="CIE87" s="6"/>
      <c r="CIF87" s="6"/>
      <c r="CIG87" s="6"/>
      <c r="CIH87" s="6"/>
      <c r="CII87" s="6"/>
      <c r="CIJ87" s="6"/>
      <c r="CIK87" s="6"/>
      <c r="CIL87" s="6"/>
      <c r="CIM87" s="6"/>
      <c r="CIN87" s="6"/>
      <c r="CIO87" s="6"/>
      <c r="CIP87" s="6"/>
      <c r="CIQ87" s="6"/>
      <c r="CIR87" s="6"/>
      <c r="CIS87" s="6"/>
      <c r="CIT87" s="6"/>
      <c r="CIU87" s="6"/>
      <c r="CIV87" s="6"/>
      <c r="CIW87" s="6"/>
      <c r="CIX87" s="6"/>
      <c r="CIY87" s="6"/>
      <c r="CIZ87" s="6"/>
      <c r="CJA87" s="6"/>
      <c r="CJB87" s="6"/>
      <c r="CJC87" s="6"/>
      <c r="CJD87" s="6"/>
      <c r="CJE87" s="6"/>
      <c r="CJF87" s="6"/>
      <c r="CJG87" s="6"/>
      <c r="CJH87" s="6"/>
      <c r="CJI87" s="6"/>
      <c r="CJJ87" s="6"/>
      <c r="CJK87" s="6"/>
      <c r="CJL87" s="6"/>
      <c r="CJM87" s="6"/>
      <c r="CJN87" s="6"/>
      <c r="CJO87" s="6"/>
      <c r="CJP87" s="6"/>
      <c r="CJQ87" s="6"/>
      <c r="CJR87" s="6"/>
      <c r="CJS87" s="6"/>
      <c r="CJT87" s="6"/>
      <c r="CJU87" s="6"/>
      <c r="CJV87" s="6"/>
      <c r="CJW87" s="6"/>
      <c r="CJX87" s="6"/>
      <c r="CJY87" s="6"/>
      <c r="CJZ87" s="6"/>
      <c r="CKA87" s="6"/>
      <c r="CKB87" s="6"/>
      <c r="CKC87" s="6"/>
      <c r="CKD87" s="6"/>
      <c r="CKE87" s="6"/>
      <c r="CKF87" s="6"/>
      <c r="CKG87" s="6"/>
      <c r="CKH87" s="6"/>
      <c r="CKI87" s="6"/>
      <c r="CKJ87" s="6"/>
      <c r="CKK87" s="6"/>
      <c r="CKL87" s="6"/>
      <c r="CKM87" s="6"/>
      <c r="CKN87" s="6"/>
      <c r="CKO87" s="6"/>
      <c r="CKP87" s="6"/>
      <c r="CKQ87" s="6"/>
      <c r="CKR87" s="6"/>
      <c r="CKS87" s="6"/>
      <c r="CKT87" s="6"/>
      <c r="CKU87" s="6"/>
      <c r="CKV87" s="6"/>
      <c r="CKW87" s="6"/>
      <c r="CKX87" s="6"/>
      <c r="CKY87" s="6"/>
      <c r="CKZ87" s="6"/>
      <c r="CLA87" s="6"/>
      <c r="CLB87" s="6"/>
      <c r="CLC87" s="6"/>
      <c r="CLD87" s="6"/>
      <c r="CLE87" s="6"/>
      <c r="CLF87" s="6"/>
      <c r="CLG87" s="6"/>
      <c r="CLH87" s="6"/>
      <c r="CLI87" s="6"/>
      <c r="CLJ87" s="6"/>
      <c r="CLK87" s="6"/>
      <c r="CLL87" s="6"/>
      <c r="CLM87" s="6"/>
      <c r="CLN87" s="6"/>
      <c r="CLO87" s="6"/>
      <c r="CLP87" s="6"/>
      <c r="CLQ87" s="6"/>
      <c r="CLR87" s="6"/>
      <c r="CLS87" s="6"/>
      <c r="CLT87" s="6"/>
      <c r="CLU87" s="6"/>
      <c r="CLV87" s="6"/>
      <c r="CLW87" s="6"/>
      <c r="CLX87" s="6"/>
      <c r="CLY87" s="6"/>
      <c r="CLZ87" s="6"/>
      <c r="CMA87" s="6"/>
      <c r="CMB87" s="6"/>
      <c r="CMC87" s="6"/>
      <c r="CMD87" s="6"/>
      <c r="CME87" s="6"/>
      <c r="CMF87" s="6"/>
      <c r="CMG87" s="6"/>
      <c r="CMH87" s="6"/>
      <c r="CMI87" s="6"/>
      <c r="CMJ87" s="6"/>
      <c r="CMK87" s="6"/>
      <c r="CML87" s="6"/>
      <c r="CMM87" s="6"/>
      <c r="CMN87" s="6"/>
      <c r="CMO87" s="6"/>
      <c r="CMP87" s="6"/>
      <c r="CMQ87" s="6"/>
      <c r="CMR87" s="6"/>
      <c r="CMS87" s="6"/>
      <c r="CMT87" s="6"/>
      <c r="CMU87" s="6"/>
      <c r="CMV87" s="6"/>
      <c r="CMW87" s="6"/>
      <c r="CMX87" s="6"/>
      <c r="CMY87" s="6"/>
      <c r="CMZ87" s="6"/>
      <c r="CNA87" s="6"/>
      <c r="CNB87" s="6"/>
      <c r="CNC87" s="6"/>
      <c r="CND87" s="6"/>
      <c r="CNE87" s="6"/>
      <c r="CNF87" s="6"/>
      <c r="CNG87" s="6"/>
      <c r="CNH87" s="6"/>
      <c r="CNI87" s="6"/>
      <c r="CNJ87" s="6"/>
      <c r="CNK87" s="6"/>
      <c r="CNL87" s="6"/>
      <c r="CNM87" s="6"/>
      <c r="CNN87" s="6"/>
      <c r="CNO87" s="6"/>
      <c r="CNP87" s="6"/>
      <c r="CNQ87" s="6"/>
      <c r="CNR87" s="6"/>
      <c r="CNS87" s="6"/>
      <c r="CNT87" s="6"/>
      <c r="CNU87" s="6"/>
      <c r="CNV87" s="6"/>
      <c r="CNW87" s="6"/>
      <c r="CNX87" s="6"/>
      <c r="CNY87" s="6"/>
      <c r="CNZ87" s="6"/>
      <c r="COA87" s="6"/>
      <c r="COB87" s="6"/>
      <c r="COC87" s="6"/>
      <c r="COD87" s="6"/>
      <c r="COE87" s="6"/>
      <c r="COF87" s="6"/>
      <c r="COG87" s="6"/>
      <c r="COH87" s="6"/>
      <c r="COI87" s="6"/>
      <c r="COJ87" s="6"/>
      <c r="COK87" s="6"/>
      <c r="COL87" s="6"/>
      <c r="COM87" s="6"/>
      <c r="CON87" s="6"/>
      <c r="COO87" s="6"/>
      <c r="COP87" s="6"/>
      <c r="COQ87" s="6"/>
      <c r="COR87" s="6"/>
      <c r="COS87" s="6"/>
      <c r="COT87" s="6"/>
      <c r="COU87" s="6"/>
      <c r="COV87" s="6"/>
      <c r="COW87" s="6"/>
      <c r="COX87" s="6"/>
      <c r="COY87" s="6"/>
      <c r="COZ87" s="6"/>
      <c r="CPA87" s="6"/>
      <c r="CPB87" s="6"/>
      <c r="CPC87" s="6"/>
      <c r="CPD87" s="6"/>
      <c r="CPE87" s="6"/>
      <c r="CPF87" s="6"/>
      <c r="CPG87" s="6"/>
      <c r="CPH87" s="6"/>
      <c r="CPI87" s="6"/>
      <c r="CPJ87" s="6"/>
      <c r="CPK87" s="6"/>
      <c r="CPL87" s="6"/>
      <c r="CPM87" s="6"/>
      <c r="CPN87" s="6"/>
      <c r="CPO87" s="6"/>
      <c r="CPP87" s="6"/>
      <c r="CPQ87" s="6"/>
      <c r="CPR87" s="6"/>
      <c r="CPS87" s="6"/>
      <c r="CPT87" s="6"/>
      <c r="CPU87" s="6"/>
      <c r="CPV87" s="6"/>
      <c r="CPW87" s="6"/>
      <c r="CPX87" s="6"/>
      <c r="CPY87" s="6"/>
      <c r="CPZ87" s="6"/>
      <c r="CQA87" s="6"/>
      <c r="CQB87" s="6"/>
      <c r="CQC87" s="6"/>
      <c r="CQD87" s="6"/>
      <c r="CQE87" s="6"/>
      <c r="CQF87" s="6"/>
      <c r="CQG87" s="6"/>
      <c r="CQH87" s="6"/>
      <c r="CQI87" s="6"/>
      <c r="CQJ87" s="6"/>
      <c r="CQK87" s="6"/>
      <c r="CQL87" s="6"/>
      <c r="CQM87" s="6"/>
      <c r="CQN87" s="6"/>
      <c r="CQO87" s="6"/>
      <c r="CQP87" s="6"/>
      <c r="CQQ87" s="6"/>
      <c r="CQR87" s="6"/>
      <c r="CQS87" s="6"/>
      <c r="CQT87" s="6"/>
      <c r="CQU87" s="6"/>
      <c r="CQV87" s="6"/>
      <c r="CQW87" s="6"/>
      <c r="CQX87" s="6"/>
      <c r="CQY87" s="6"/>
      <c r="CQZ87" s="6"/>
      <c r="CRA87" s="6"/>
      <c r="CRB87" s="6"/>
      <c r="CRC87" s="6"/>
      <c r="CRD87" s="6"/>
      <c r="CRE87" s="6"/>
      <c r="CRF87" s="6"/>
      <c r="CRG87" s="6"/>
      <c r="CRH87" s="6"/>
      <c r="CRI87" s="6"/>
      <c r="CRJ87" s="6"/>
      <c r="CRK87" s="6"/>
      <c r="CRL87" s="6"/>
      <c r="CRM87" s="6"/>
      <c r="CRN87" s="6"/>
      <c r="CRO87" s="6"/>
      <c r="CRP87" s="6"/>
      <c r="CRQ87" s="6"/>
      <c r="CRR87" s="6"/>
      <c r="CRS87" s="6"/>
      <c r="CRT87" s="6"/>
      <c r="CRU87" s="6"/>
      <c r="CRV87" s="6"/>
      <c r="CRW87" s="6"/>
      <c r="CRX87" s="6"/>
      <c r="CRY87" s="6"/>
      <c r="CRZ87" s="6"/>
      <c r="CSA87" s="6"/>
      <c r="CSB87" s="6"/>
      <c r="CSC87" s="6"/>
      <c r="CSD87" s="6"/>
      <c r="CSE87" s="6"/>
      <c r="CSF87" s="6"/>
      <c r="CSG87" s="6"/>
      <c r="CSH87" s="6"/>
      <c r="CSI87" s="6"/>
      <c r="CSJ87" s="6"/>
      <c r="CSK87" s="6"/>
      <c r="CSL87" s="6"/>
      <c r="CSM87" s="6"/>
      <c r="CSN87" s="6"/>
      <c r="CSO87" s="6"/>
      <c r="CSP87" s="6"/>
      <c r="CSQ87" s="6"/>
      <c r="CSR87" s="6"/>
      <c r="CSS87" s="6"/>
      <c r="CST87" s="6"/>
      <c r="CSU87" s="6"/>
      <c r="CSV87" s="6"/>
      <c r="CSW87" s="6"/>
      <c r="CSX87" s="6"/>
      <c r="CSY87" s="6"/>
      <c r="CSZ87" s="6"/>
      <c r="CTA87" s="6"/>
      <c r="CTB87" s="6"/>
      <c r="CTC87" s="6"/>
      <c r="CTD87" s="6"/>
      <c r="CTE87" s="6"/>
      <c r="CTF87" s="6"/>
      <c r="CTG87" s="6"/>
      <c r="CTH87" s="6"/>
      <c r="CTI87" s="6"/>
      <c r="CTJ87" s="6"/>
      <c r="CTK87" s="6"/>
      <c r="CTL87" s="6"/>
      <c r="CTM87" s="6"/>
      <c r="CTN87" s="6"/>
      <c r="CTO87" s="6"/>
      <c r="CTP87" s="6"/>
      <c r="CTQ87" s="6"/>
      <c r="CTR87" s="6"/>
      <c r="CTS87" s="6"/>
      <c r="CTT87" s="6"/>
      <c r="CTU87" s="6"/>
      <c r="CTV87" s="6"/>
      <c r="CTW87" s="6"/>
      <c r="CTX87" s="6"/>
      <c r="CTY87" s="6"/>
      <c r="CTZ87" s="6"/>
      <c r="CUA87" s="6"/>
      <c r="CUB87" s="6"/>
      <c r="CUC87" s="6"/>
      <c r="CUD87" s="6"/>
      <c r="CUE87" s="6"/>
      <c r="CUF87" s="6"/>
      <c r="CUG87" s="6"/>
      <c r="CUH87" s="6"/>
      <c r="CUI87" s="6"/>
      <c r="CUJ87" s="6"/>
      <c r="CUK87" s="6"/>
      <c r="CUL87" s="6"/>
      <c r="CUM87" s="6"/>
      <c r="CUN87" s="6"/>
      <c r="CUO87" s="6"/>
      <c r="CUP87" s="6"/>
      <c r="CUQ87" s="6"/>
      <c r="CUR87" s="6"/>
      <c r="CUS87" s="6"/>
      <c r="CUT87" s="6"/>
      <c r="CUU87" s="6"/>
      <c r="CUV87" s="6"/>
      <c r="CUW87" s="6"/>
      <c r="CUX87" s="6"/>
      <c r="CUY87" s="6"/>
      <c r="CUZ87" s="6"/>
      <c r="CVA87" s="6"/>
      <c r="CVB87" s="6"/>
      <c r="CVC87" s="6"/>
      <c r="CVD87" s="6"/>
      <c r="CVE87" s="6"/>
      <c r="CVF87" s="6"/>
      <c r="CVG87" s="6"/>
      <c r="CVH87" s="6"/>
      <c r="CVI87" s="6"/>
      <c r="CVJ87" s="6"/>
      <c r="CVK87" s="6"/>
      <c r="CVL87" s="6"/>
      <c r="CVM87" s="6"/>
      <c r="CVN87" s="6"/>
      <c r="CVO87" s="6"/>
      <c r="CVP87" s="6"/>
      <c r="CVQ87" s="6"/>
      <c r="CVR87" s="6"/>
      <c r="CVS87" s="6"/>
      <c r="CVT87" s="6"/>
      <c r="CVU87" s="6"/>
      <c r="CVV87" s="6"/>
      <c r="CVW87" s="6"/>
      <c r="CVX87" s="6"/>
      <c r="CVY87" s="6"/>
      <c r="CVZ87" s="6"/>
      <c r="CWA87" s="6"/>
      <c r="CWB87" s="6"/>
      <c r="CWC87" s="6"/>
      <c r="CWD87" s="6"/>
      <c r="CWE87" s="6"/>
      <c r="CWF87" s="6"/>
      <c r="CWG87" s="6"/>
      <c r="CWH87" s="6"/>
      <c r="CWI87" s="6"/>
      <c r="CWJ87" s="6"/>
      <c r="CWK87" s="6"/>
      <c r="CWL87" s="6"/>
      <c r="CWM87" s="6"/>
      <c r="CWN87" s="6"/>
      <c r="CWO87" s="6"/>
      <c r="CWP87" s="6"/>
      <c r="CWQ87" s="6"/>
      <c r="CWR87" s="6"/>
      <c r="CWS87" s="6"/>
      <c r="CWT87" s="6"/>
      <c r="CWU87" s="6"/>
      <c r="CWV87" s="6"/>
      <c r="CWW87" s="6"/>
      <c r="CWX87" s="6"/>
      <c r="CWY87" s="6"/>
      <c r="CWZ87" s="6"/>
      <c r="CXA87" s="6"/>
      <c r="CXB87" s="6"/>
      <c r="CXC87" s="6"/>
      <c r="CXD87" s="6"/>
      <c r="CXE87" s="6"/>
      <c r="CXF87" s="6"/>
      <c r="CXG87" s="6"/>
      <c r="CXH87" s="6"/>
      <c r="CXI87" s="6"/>
      <c r="CXJ87" s="6"/>
      <c r="CXK87" s="6"/>
      <c r="CXL87" s="6"/>
      <c r="CXM87" s="6"/>
      <c r="CXN87" s="6"/>
      <c r="CXO87" s="6"/>
      <c r="CXP87" s="6"/>
      <c r="CXQ87" s="6"/>
      <c r="CXR87" s="6"/>
      <c r="CXS87" s="6"/>
      <c r="CXT87" s="6"/>
      <c r="CXU87" s="6"/>
      <c r="CXV87" s="6"/>
      <c r="CXW87" s="6"/>
      <c r="CXX87" s="6"/>
      <c r="CXY87" s="6"/>
      <c r="CXZ87" s="6"/>
      <c r="CYA87" s="6"/>
      <c r="CYB87" s="6"/>
      <c r="CYC87" s="6"/>
      <c r="CYD87" s="6"/>
      <c r="CYE87" s="6"/>
      <c r="CYF87" s="6"/>
      <c r="CYG87" s="6"/>
      <c r="CYH87" s="6"/>
      <c r="CYI87" s="6"/>
      <c r="CYJ87" s="6"/>
      <c r="CYK87" s="6"/>
      <c r="CYL87" s="6"/>
      <c r="CYM87" s="6"/>
      <c r="CYN87" s="6"/>
      <c r="CYO87" s="6"/>
      <c r="CYP87" s="6"/>
      <c r="CYQ87" s="6"/>
      <c r="CYR87" s="6"/>
      <c r="CYS87" s="6"/>
      <c r="CYT87" s="6"/>
      <c r="CYU87" s="6"/>
      <c r="CYV87" s="6"/>
      <c r="CYW87" s="6"/>
      <c r="CYX87" s="6"/>
      <c r="CYY87" s="6"/>
      <c r="CYZ87" s="6"/>
      <c r="CZA87" s="6"/>
      <c r="CZB87" s="6"/>
      <c r="CZC87" s="6"/>
      <c r="CZD87" s="6"/>
      <c r="CZE87" s="6"/>
      <c r="CZF87" s="6"/>
      <c r="CZG87" s="6"/>
      <c r="CZH87" s="6"/>
      <c r="CZI87" s="6"/>
      <c r="CZJ87" s="6"/>
      <c r="CZK87" s="6"/>
      <c r="CZL87" s="6"/>
      <c r="CZM87" s="6"/>
      <c r="CZN87" s="6"/>
      <c r="CZO87" s="6"/>
      <c r="CZP87" s="6"/>
      <c r="CZQ87" s="6"/>
      <c r="CZR87" s="6"/>
      <c r="CZS87" s="6"/>
      <c r="CZT87" s="6"/>
      <c r="CZU87" s="6"/>
      <c r="CZV87" s="6"/>
      <c r="CZW87" s="6"/>
      <c r="CZX87" s="6"/>
      <c r="CZY87" s="6"/>
      <c r="CZZ87" s="6"/>
      <c r="DAA87" s="6"/>
      <c r="DAB87" s="6"/>
      <c r="DAC87" s="6"/>
      <c r="DAD87" s="6"/>
      <c r="DAE87" s="6"/>
      <c r="DAF87" s="6"/>
      <c r="DAG87" s="6"/>
      <c r="DAH87" s="6"/>
      <c r="DAI87" s="6"/>
      <c r="DAJ87" s="6"/>
      <c r="DAK87" s="6"/>
      <c r="DAL87" s="6"/>
      <c r="DAM87" s="6"/>
      <c r="DAN87" s="6"/>
      <c r="DAO87" s="6"/>
      <c r="DAP87" s="6"/>
      <c r="DAQ87" s="6"/>
      <c r="DAR87" s="6"/>
      <c r="DAS87" s="6"/>
      <c r="DAT87" s="6"/>
      <c r="DAU87" s="6"/>
      <c r="DAV87" s="6"/>
      <c r="DAW87" s="6"/>
      <c r="DAX87" s="6"/>
      <c r="DAY87" s="6"/>
      <c r="DAZ87" s="6"/>
      <c r="DBA87" s="6"/>
      <c r="DBB87" s="6"/>
      <c r="DBC87" s="6"/>
      <c r="DBD87" s="6"/>
      <c r="DBE87" s="6"/>
      <c r="DBF87" s="6"/>
      <c r="DBG87" s="6"/>
      <c r="DBH87" s="6"/>
      <c r="DBI87" s="6"/>
      <c r="DBJ87" s="6"/>
      <c r="DBK87" s="6"/>
      <c r="DBL87" s="6"/>
      <c r="DBM87" s="6"/>
      <c r="DBN87" s="6"/>
      <c r="DBO87" s="6"/>
      <c r="DBP87" s="6"/>
      <c r="DBQ87" s="6"/>
      <c r="DBR87" s="6"/>
      <c r="DBS87" s="6"/>
      <c r="DBT87" s="6"/>
      <c r="DBU87" s="6"/>
      <c r="DBV87" s="6"/>
      <c r="DBW87" s="6"/>
      <c r="DBX87" s="6"/>
      <c r="DBY87" s="6"/>
      <c r="DBZ87" s="6"/>
      <c r="DCA87" s="6"/>
      <c r="DCB87" s="6"/>
      <c r="DCC87" s="6"/>
      <c r="DCD87" s="6"/>
      <c r="DCE87" s="6"/>
      <c r="DCF87" s="6"/>
      <c r="DCG87" s="6"/>
      <c r="DCH87" s="6"/>
      <c r="DCI87" s="6"/>
      <c r="DCJ87" s="6"/>
      <c r="DCK87" s="6"/>
      <c r="DCL87" s="6"/>
      <c r="DCM87" s="6"/>
      <c r="DCN87" s="6"/>
      <c r="DCO87" s="6"/>
      <c r="DCP87" s="6"/>
      <c r="DCQ87" s="6"/>
      <c r="DCR87" s="6"/>
      <c r="DCS87" s="6"/>
      <c r="DCT87" s="6"/>
      <c r="DCU87" s="6"/>
      <c r="DCV87" s="6"/>
      <c r="DCW87" s="6"/>
      <c r="DCX87" s="6"/>
      <c r="DCY87" s="6"/>
      <c r="DCZ87" s="6"/>
      <c r="DDA87" s="6"/>
      <c r="DDB87" s="6"/>
      <c r="DDC87" s="6"/>
      <c r="DDD87" s="6"/>
      <c r="DDE87" s="6"/>
      <c r="DDF87" s="6"/>
      <c r="DDG87" s="6"/>
      <c r="DDH87" s="6"/>
      <c r="DDI87" s="6"/>
      <c r="DDJ87" s="6"/>
      <c r="DDK87" s="6"/>
      <c r="DDL87" s="6"/>
      <c r="DDM87" s="6"/>
      <c r="DDN87" s="6"/>
      <c r="DDO87" s="6"/>
      <c r="DDP87" s="6"/>
      <c r="DDQ87" s="6"/>
      <c r="DDR87" s="6"/>
      <c r="DDS87" s="6"/>
      <c r="DDT87" s="6"/>
      <c r="DDU87" s="6"/>
      <c r="DDV87" s="6"/>
      <c r="DDW87" s="6"/>
      <c r="DDX87" s="6"/>
      <c r="DDY87" s="6"/>
      <c r="DDZ87" s="6"/>
      <c r="DEA87" s="6"/>
      <c r="DEB87" s="6"/>
      <c r="DEC87" s="6"/>
      <c r="DED87" s="6"/>
      <c r="DEE87" s="6"/>
      <c r="DEF87" s="6"/>
      <c r="DEG87" s="6"/>
      <c r="DEH87" s="6"/>
      <c r="DEI87" s="6"/>
      <c r="DEJ87" s="6"/>
      <c r="DEK87" s="6"/>
      <c r="DEL87" s="6"/>
      <c r="DEM87" s="6"/>
      <c r="DEN87" s="6"/>
      <c r="DEO87" s="6"/>
      <c r="DEP87" s="6"/>
      <c r="DEQ87" s="6"/>
      <c r="DER87" s="6"/>
      <c r="DES87" s="6"/>
      <c r="DET87" s="6"/>
      <c r="DEU87" s="6"/>
      <c r="DEV87" s="6"/>
      <c r="DEW87" s="6"/>
      <c r="DEX87" s="6"/>
      <c r="DEY87" s="6"/>
      <c r="DEZ87" s="6"/>
      <c r="DFA87" s="6"/>
      <c r="DFB87" s="6"/>
      <c r="DFC87" s="6"/>
      <c r="DFD87" s="6"/>
      <c r="DFE87" s="6"/>
      <c r="DFF87" s="6"/>
      <c r="DFG87" s="6"/>
      <c r="DFH87" s="6"/>
      <c r="DFI87" s="6"/>
      <c r="DFJ87" s="6"/>
      <c r="DFK87" s="6"/>
      <c r="DFL87" s="6"/>
      <c r="DFM87" s="6"/>
      <c r="DFN87" s="6"/>
      <c r="DFO87" s="6"/>
      <c r="DFP87" s="6"/>
      <c r="DFQ87" s="6"/>
      <c r="DFR87" s="6"/>
      <c r="DFS87" s="6"/>
      <c r="DFT87" s="6"/>
      <c r="DFU87" s="6"/>
      <c r="DFV87" s="6"/>
      <c r="DFW87" s="6"/>
      <c r="DFX87" s="6"/>
      <c r="DFY87" s="6"/>
      <c r="DFZ87" s="6"/>
      <c r="DGA87" s="6"/>
      <c r="DGB87" s="6"/>
      <c r="DGC87" s="6"/>
      <c r="DGD87" s="6"/>
      <c r="DGE87" s="6"/>
      <c r="DGF87" s="6"/>
      <c r="DGG87" s="6"/>
      <c r="DGH87" s="6"/>
      <c r="DGI87" s="6"/>
      <c r="DGJ87" s="6"/>
      <c r="DGK87" s="6"/>
      <c r="DGL87" s="6"/>
      <c r="DGM87" s="6"/>
      <c r="DGN87" s="6"/>
      <c r="DGO87" s="6"/>
      <c r="DGP87" s="6"/>
      <c r="DGQ87" s="6"/>
      <c r="DGR87" s="6"/>
      <c r="DGS87" s="6"/>
      <c r="DGT87" s="6"/>
      <c r="DGU87" s="6"/>
      <c r="DGV87" s="6"/>
      <c r="DGW87" s="6"/>
      <c r="DGX87" s="6"/>
      <c r="DGY87" s="6"/>
      <c r="DGZ87" s="6"/>
      <c r="DHA87" s="6"/>
      <c r="DHB87" s="6"/>
      <c r="DHC87" s="6"/>
      <c r="DHD87" s="6"/>
      <c r="DHE87" s="6"/>
      <c r="DHF87" s="6"/>
      <c r="DHG87" s="6"/>
      <c r="DHH87" s="6"/>
      <c r="DHI87" s="6"/>
      <c r="DHJ87" s="6"/>
      <c r="DHK87" s="6"/>
      <c r="DHL87" s="6"/>
      <c r="DHM87" s="6"/>
      <c r="DHN87" s="6"/>
      <c r="DHO87" s="6"/>
      <c r="DHP87" s="6"/>
      <c r="DHQ87" s="6"/>
      <c r="DHR87" s="6"/>
      <c r="DHS87" s="6"/>
      <c r="DHT87" s="6"/>
      <c r="DHU87" s="6"/>
      <c r="DHV87" s="6"/>
      <c r="DHW87" s="6"/>
      <c r="DHX87" s="6"/>
      <c r="DHY87" s="6"/>
      <c r="DHZ87" s="6"/>
      <c r="DIA87" s="6"/>
      <c r="DIB87" s="6"/>
      <c r="DIC87" s="6"/>
      <c r="DID87" s="6"/>
      <c r="DIE87" s="6"/>
      <c r="DIF87" s="6"/>
      <c r="DIG87" s="6"/>
      <c r="DIH87" s="6"/>
      <c r="DII87" s="6"/>
      <c r="DIJ87" s="6"/>
      <c r="DIK87" s="6"/>
      <c r="DIL87" s="6"/>
      <c r="DIM87" s="6"/>
      <c r="DIN87" s="6"/>
      <c r="DIO87" s="6"/>
      <c r="DIP87" s="6"/>
      <c r="DIQ87" s="6"/>
      <c r="DIR87" s="6"/>
      <c r="DIS87" s="6"/>
      <c r="DIT87" s="6"/>
      <c r="DIU87" s="6"/>
      <c r="DIV87" s="6"/>
      <c r="DIW87" s="6"/>
      <c r="DIX87" s="6"/>
      <c r="DIY87" s="6"/>
      <c r="DIZ87" s="6"/>
      <c r="DJA87" s="6"/>
      <c r="DJB87" s="6"/>
      <c r="DJC87" s="6"/>
      <c r="DJD87" s="6"/>
      <c r="DJE87" s="6"/>
      <c r="DJF87" s="6"/>
      <c r="DJG87" s="6"/>
      <c r="DJH87" s="6"/>
      <c r="DJI87" s="6"/>
      <c r="DJJ87" s="6"/>
      <c r="DJK87" s="6"/>
      <c r="DJL87" s="6"/>
      <c r="DJM87" s="6"/>
      <c r="DJN87" s="6"/>
      <c r="DJO87" s="6"/>
      <c r="DJP87" s="6"/>
      <c r="DJQ87" s="6"/>
      <c r="DJR87" s="6"/>
      <c r="DJS87" s="6"/>
      <c r="DJT87" s="6"/>
      <c r="DJU87" s="6"/>
      <c r="DJV87" s="6"/>
      <c r="DJW87" s="6"/>
      <c r="DJX87" s="6"/>
      <c r="DJY87" s="6"/>
      <c r="DJZ87" s="6"/>
      <c r="DKA87" s="6"/>
      <c r="DKB87" s="6"/>
      <c r="DKC87" s="6"/>
      <c r="DKD87" s="6"/>
      <c r="DKE87" s="6"/>
      <c r="DKF87" s="6"/>
      <c r="DKG87" s="6"/>
      <c r="DKH87" s="6"/>
      <c r="DKI87" s="6"/>
      <c r="DKJ87" s="6"/>
      <c r="DKK87" s="6"/>
      <c r="DKL87" s="6"/>
      <c r="DKM87" s="6"/>
      <c r="DKN87" s="6"/>
      <c r="DKO87" s="6"/>
      <c r="DKP87" s="6"/>
      <c r="DKQ87" s="6"/>
      <c r="DKR87" s="6"/>
      <c r="DKS87" s="6"/>
      <c r="DKT87" s="6"/>
      <c r="DKU87" s="6"/>
      <c r="DKV87" s="6"/>
      <c r="DKW87" s="6"/>
      <c r="DKX87" s="6"/>
      <c r="DKY87" s="6"/>
      <c r="DKZ87" s="6"/>
      <c r="DLA87" s="6"/>
      <c r="DLB87" s="6"/>
      <c r="DLC87" s="6"/>
      <c r="DLD87" s="6"/>
      <c r="DLE87" s="6"/>
      <c r="DLF87" s="6"/>
      <c r="DLG87" s="6"/>
      <c r="DLH87" s="6"/>
      <c r="DLI87" s="6"/>
      <c r="DLJ87" s="6"/>
      <c r="DLK87" s="6"/>
      <c r="DLL87" s="6"/>
      <c r="DLM87" s="6"/>
      <c r="DLN87" s="6"/>
      <c r="DLO87" s="6"/>
      <c r="DLP87" s="6"/>
      <c r="DLQ87" s="6"/>
      <c r="DLR87" s="6"/>
      <c r="DLS87" s="6"/>
      <c r="DLT87" s="6"/>
      <c r="DLU87" s="6"/>
      <c r="DLV87" s="6"/>
      <c r="DLW87" s="6"/>
      <c r="DLX87" s="6"/>
      <c r="DLY87" s="6"/>
      <c r="DLZ87" s="6"/>
      <c r="DMA87" s="6"/>
      <c r="DMB87" s="6"/>
      <c r="DMC87" s="6"/>
      <c r="DMD87" s="6"/>
      <c r="DME87" s="6"/>
      <c r="DMF87" s="6"/>
      <c r="DMG87" s="6"/>
      <c r="DMH87" s="6"/>
      <c r="DMI87" s="6"/>
      <c r="DMJ87" s="6"/>
      <c r="DMK87" s="6"/>
      <c r="DML87" s="6"/>
      <c r="DMM87" s="6"/>
      <c r="DMN87" s="6"/>
      <c r="DMO87" s="6"/>
      <c r="DMP87" s="6"/>
      <c r="DMQ87" s="6"/>
      <c r="DMR87" s="6"/>
      <c r="DMS87" s="6"/>
      <c r="DMT87" s="6"/>
      <c r="DMU87" s="6"/>
      <c r="DMV87" s="6"/>
      <c r="DMW87" s="6"/>
      <c r="DMX87" s="6"/>
      <c r="DMY87" s="6"/>
      <c r="DMZ87" s="6"/>
      <c r="DNA87" s="6"/>
      <c r="DNB87" s="6"/>
      <c r="DNC87" s="6"/>
      <c r="DND87" s="6"/>
      <c r="DNE87" s="6"/>
      <c r="DNF87" s="6"/>
      <c r="DNG87" s="6"/>
      <c r="DNH87" s="6"/>
      <c r="DNI87" s="6"/>
      <c r="DNJ87" s="6"/>
      <c r="DNK87" s="6"/>
      <c r="DNL87" s="6"/>
      <c r="DNM87" s="6"/>
      <c r="DNN87" s="6"/>
      <c r="DNO87" s="6"/>
      <c r="DNP87" s="6"/>
      <c r="DNQ87" s="6"/>
      <c r="DNR87" s="6"/>
      <c r="DNS87" s="6"/>
      <c r="DNT87" s="6"/>
      <c r="DNU87" s="6"/>
      <c r="DNV87" s="6"/>
      <c r="DNW87" s="6"/>
      <c r="DNX87" s="6"/>
      <c r="DNY87" s="6"/>
      <c r="DNZ87" s="6"/>
      <c r="DOA87" s="6"/>
      <c r="DOB87" s="6"/>
      <c r="DOC87" s="6"/>
      <c r="DOD87" s="6"/>
      <c r="DOE87" s="6"/>
      <c r="DOF87" s="6"/>
      <c r="DOG87" s="6"/>
      <c r="DOH87" s="6"/>
      <c r="DOI87" s="6"/>
      <c r="DOJ87" s="6"/>
      <c r="DOK87" s="6"/>
      <c r="DOL87" s="6"/>
      <c r="DOM87" s="6"/>
      <c r="DON87" s="6"/>
      <c r="DOO87" s="6"/>
      <c r="DOP87" s="6"/>
      <c r="DOQ87" s="6"/>
      <c r="DOR87" s="6"/>
      <c r="DOS87" s="6"/>
      <c r="DOT87" s="6"/>
      <c r="DOU87" s="6"/>
      <c r="DOV87" s="6"/>
      <c r="DOW87" s="6"/>
      <c r="DOX87" s="6"/>
      <c r="DOY87" s="6"/>
      <c r="DOZ87" s="6"/>
      <c r="DPA87" s="6"/>
      <c r="DPB87" s="6"/>
      <c r="DPC87" s="6"/>
      <c r="DPD87" s="6"/>
      <c r="DPE87" s="6"/>
      <c r="DPF87" s="6"/>
      <c r="DPG87" s="6"/>
      <c r="DPH87" s="6"/>
      <c r="DPI87" s="6"/>
      <c r="DPJ87" s="6"/>
      <c r="DPK87" s="6"/>
      <c r="DPL87" s="6"/>
      <c r="DPM87" s="6"/>
      <c r="DPN87" s="6"/>
      <c r="DPO87" s="6"/>
      <c r="DPP87" s="6"/>
      <c r="DPQ87" s="6"/>
      <c r="DPR87" s="6"/>
      <c r="DPS87" s="6"/>
      <c r="DPT87" s="6"/>
      <c r="DPU87" s="6"/>
      <c r="DPV87" s="6"/>
      <c r="DPW87" s="6"/>
      <c r="DPX87" s="6"/>
      <c r="DPY87" s="6"/>
      <c r="DPZ87" s="6"/>
      <c r="DQA87" s="6"/>
      <c r="DQB87" s="6"/>
      <c r="DQC87" s="6"/>
      <c r="DQD87" s="6"/>
      <c r="DQE87" s="6"/>
      <c r="DQF87" s="6"/>
      <c r="DQG87" s="6"/>
      <c r="DQH87" s="6"/>
      <c r="DQI87" s="6"/>
      <c r="DQJ87" s="6"/>
      <c r="DQK87" s="6"/>
      <c r="DQL87" s="6"/>
      <c r="DQM87" s="6"/>
      <c r="DQN87" s="6"/>
      <c r="DQO87" s="6"/>
      <c r="DQP87" s="6"/>
      <c r="DQQ87" s="6"/>
      <c r="DQR87" s="6"/>
      <c r="DQS87" s="6"/>
      <c r="DQT87" s="6"/>
      <c r="DQU87" s="6"/>
      <c r="DQV87" s="6"/>
      <c r="DQW87" s="6"/>
      <c r="DQX87" s="6"/>
      <c r="DQY87" s="6"/>
      <c r="DQZ87" s="6"/>
      <c r="DRA87" s="6"/>
      <c r="DRB87" s="6"/>
      <c r="DRC87" s="6"/>
      <c r="DRD87" s="6"/>
      <c r="DRE87" s="6"/>
      <c r="DRF87" s="6"/>
      <c r="DRG87" s="6"/>
      <c r="DRH87" s="6"/>
      <c r="DRI87" s="6"/>
      <c r="DRJ87" s="6"/>
      <c r="DRK87" s="6"/>
      <c r="DRL87" s="6"/>
      <c r="DRM87" s="6"/>
      <c r="DRN87" s="6"/>
      <c r="DRO87" s="6"/>
      <c r="DRP87" s="6"/>
      <c r="DRQ87" s="6"/>
      <c r="DRR87" s="6"/>
      <c r="DRS87" s="6"/>
      <c r="DRT87" s="6"/>
      <c r="DRU87" s="6"/>
      <c r="DRV87" s="6"/>
      <c r="DRW87" s="6"/>
      <c r="DRX87" s="6"/>
      <c r="DRY87" s="6"/>
      <c r="DRZ87" s="6"/>
      <c r="DSA87" s="6"/>
      <c r="DSB87" s="6"/>
      <c r="DSC87" s="6"/>
      <c r="DSD87" s="6"/>
      <c r="DSE87" s="6"/>
      <c r="DSF87" s="6"/>
      <c r="DSG87" s="6"/>
      <c r="DSH87" s="6"/>
      <c r="DSI87" s="6"/>
      <c r="DSJ87" s="6"/>
      <c r="DSK87" s="6"/>
      <c r="DSL87" s="6"/>
      <c r="DSM87" s="6"/>
      <c r="DSN87" s="6"/>
      <c r="DSO87" s="6"/>
      <c r="DSP87" s="6"/>
      <c r="DSQ87" s="6"/>
      <c r="DSR87" s="6"/>
      <c r="DSS87" s="6"/>
      <c r="DST87" s="6"/>
      <c r="DSU87" s="6"/>
      <c r="DSV87" s="6"/>
      <c r="DSW87" s="6"/>
      <c r="DSX87" s="6"/>
      <c r="DSY87" s="6"/>
      <c r="DSZ87" s="6"/>
      <c r="DTA87" s="6"/>
      <c r="DTB87" s="6"/>
      <c r="DTC87" s="6"/>
      <c r="DTD87" s="6"/>
      <c r="DTE87" s="6"/>
      <c r="DTF87" s="6"/>
      <c r="DTG87" s="6"/>
      <c r="DTH87" s="6"/>
      <c r="DTI87" s="6"/>
      <c r="DTJ87" s="6"/>
      <c r="DTK87" s="6"/>
      <c r="DTL87" s="6"/>
      <c r="DTM87" s="6"/>
      <c r="DTN87" s="6"/>
      <c r="DTO87" s="6"/>
      <c r="DTP87" s="6"/>
      <c r="DTQ87" s="6"/>
      <c r="DTR87" s="6"/>
      <c r="DTS87" s="6"/>
      <c r="DTT87" s="6"/>
      <c r="DTU87" s="6"/>
      <c r="DTV87" s="6"/>
      <c r="DTW87" s="6"/>
      <c r="DTX87" s="6"/>
      <c r="DTY87" s="6"/>
      <c r="DTZ87" s="6"/>
      <c r="DUA87" s="6"/>
      <c r="DUB87" s="6"/>
      <c r="DUC87" s="6"/>
      <c r="DUD87" s="6"/>
      <c r="DUE87" s="6"/>
      <c r="DUF87" s="6"/>
      <c r="DUG87" s="6"/>
      <c r="DUH87" s="6"/>
      <c r="DUI87" s="6"/>
      <c r="DUJ87" s="6"/>
      <c r="DUK87" s="6"/>
      <c r="DUL87" s="6"/>
      <c r="DUM87" s="6"/>
      <c r="DUN87" s="6"/>
      <c r="DUO87" s="6"/>
      <c r="DUP87" s="6"/>
      <c r="DUQ87" s="6"/>
      <c r="DUR87" s="6"/>
      <c r="DUS87" s="6"/>
      <c r="DUT87" s="6"/>
      <c r="DUU87" s="6"/>
      <c r="DUV87" s="6"/>
      <c r="DUW87" s="6"/>
      <c r="DUX87" s="6"/>
      <c r="DUY87" s="6"/>
      <c r="DUZ87" s="6"/>
      <c r="DVA87" s="6"/>
      <c r="DVB87" s="6"/>
      <c r="DVC87" s="6"/>
      <c r="DVD87" s="6"/>
      <c r="DVE87" s="6"/>
      <c r="DVF87" s="6"/>
      <c r="DVG87" s="6"/>
      <c r="DVH87" s="6"/>
      <c r="DVI87" s="6"/>
      <c r="DVJ87" s="6"/>
      <c r="DVK87" s="6"/>
      <c r="DVL87" s="6"/>
      <c r="DVM87" s="6"/>
      <c r="DVN87" s="6"/>
      <c r="DVO87" s="6"/>
      <c r="DVP87" s="6"/>
      <c r="DVQ87" s="6"/>
      <c r="DVR87" s="6"/>
      <c r="DVS87" s="6"/>
      <c r="DVT87" s="6"/>
      <c r="DVU87" s="6"/>
      <c r="DVV87" s="6"/>
      <c r="DVW87" s="6"/>
      <c r="DVX87" s="6"/>
      <c r="DVY87" s="6"/>
      <c r="DVZ87" s="6"/>
      <c r="DWA87" s="6"/>
      <c r="DWB87" s="6"/>
      <c r="DWC87" s="6"/>
      <c r="DWD87" s="6"/>
      <c r="DWE87" s="6"/>
      <c r="DWF87" s="6"/>
      <c r="DWG87" s="6"/>
      <c r="DWH87" s="6"/>
      <c r="DWI87" s="6"/>
      <c r="DWJ87" s="6"/>
      <c r="DWK87" s="6"/>
      <c r="DWL87" s="6"/>
      <c r="DWM87" s="6"/>
      <c r="DWN87" s="6"/>
      <c r="DWO87" s="6"/>
      <c r="DWP87" s="6"/>
      <c r="DWQ87" s="6"/>
      <c r="DWR87" s="6"/>
      <c r="DWS87" s="6"/>
      <c r="DWT87" s="6"/>
      <c r="DWU87" s="6"/>
      <c r="DWV87" s="6"/>
      <c r="DWW87" s="6"/>
      <c r="DWX87" s="6"/>
      <c r="DWY87" s="6"/>
      <c r="DWZ87" s="6"/>
      <c r="DXA87" s="6"/>
      <c r="DXB87" s="6"/>
      <c r="DXC87" s="6"/>
      <c r="DXD87" s="6"/>
      <c r="DXE87" s="6"/>
      <c r="DXF87" s="6"/>
      <c r="DXG87" s="6"/>
      <c r="DXH87" s="6"/>
      <c r="DXI87" s="6"/>
      <c r="DXJ87" s="6"/>
      <c r="DXK87" s="6"/>
      <c r="DXL87" s="6"/>
      <c r="DXM87" s="6"/>
      <c r="DXN87" s="6"/>
      <c r="DXO87" s="6"/>
      <c r="DXP87" s="6"/>
      <c r="DXQ87" s="6"/>
      <c r="DXR87" s="6"/>
      <c r="DXS87" s="6"/>
      <c r="DXT87" s="6"/>
      <c r="DXU87" s="6"/>
      <c r="DXV87" s="6"/>
      <c r="DXW87" s="6"/>
      <c r="DXX87" s="6"/>
      <c r="DXY87" s="6"/>
      <c r="DXZ87" s="6"/>
      <c r="DYA87" s="6"/>
      <c r="DYB87" s="6"/>
      <c r="DYC87" s="6"/>
      <c r="DYD87" s="6"/>
      <c r="DYE87" s="6"/>
      <c r="DYF87" s="6"/>
      <c r="DYG87" s="6"/>
      <c r="DYH87" s="6"/>
      <c r="DYI87" s="6"/>
      <c r="DYJ87" s="6"/>
      <c r="DYK87" s="6"/>
      <c r="DYL87" s="6"/>
      <c r="DYM87" s="6"/>
      <c r="DYN87" s="6"/>
      <c r="DYO87" s="6"/>
      <c r="DYP87" s="6"/>
      <c r="DYQ87" s="6"/>
      <c r="DYR87" s="6"/>
      <c r="DYS87" s="6"/>
      <c r="DYT87" s="6"/>
      <c r="DYU87" s="6"/>
      <c r="DYV87" s="6"/>
      <c r="DYW87" s="6"/>
      <c r="DYX87" s="6"/>
      <c r="DYY87" s="6"/>
      <c r="DYZ87" s="6"/>
      <c r="DZA87" s="6"/>
      <c r="DZB87" s="6"/>
      <c r="DZC87" s="6"/>
      <c r="DZD87" s="6"/>
      <c r="DZE87" s="6"/>
      <c r="DZF87" s="6"/>
      <c r="DZG87" s="6"/>
      <c r="DZH87" s="6"/>
      <c r="DZI87" s="6"/>
      <c r="DZJ87" s="6"/>
      <c r="DZK87" s="6"/>
      <c r="DZL87" s="6"/>
      <c r="DZM87" s="6"/>
      <c r="DZN87" s="6"/>
      <c r="DZO87" s="6"/>
      <c r="DZP87" s="6"/>
      <c r="DZQ87" s="6"/>
      <c r="DZR87" s="6"/>
      <c r="DZS87" s="6"/>
      <c r="DZT87" s="6"/>
      <c r="DZU87" s="6"/>
      <c r="DZV87" s="6"/>
      <c r="DZW87" s="6"/>
      <c r="DZX87" s="6"/>
      <c r="DZY87" s="6"/>
      <c r="DZZ87" s="6"/>
      <c r="EAA87" s="6"/>
      <c r="EAB87" s="6"/>
      <c r="EAC87" s="6"/>
      <c r="EAD87" s="6"/>
      <c r="EAE87" s="6"/>
      <c r="EAF87" s="6"/>
      <c r="EAG87" s="6"/>
      <c r="EAH87" s="6"/>
      <c r="EAI87" s="6"/>
      <c r="EAJ87" s="6"/>
      <c r="EAK87" s="6"/>
      <c r="EAL87" s="6"/>
      <c r="EAM87" s="6"/>
      <c r="EAN87" s="6"/>
      <c r="EAO87" s="6"/>
      <c r="EAP87" s="6"/>
      <c r="EAQ87" s="6"/>
      <c r="EAR87" s="6"/>
      <c r="EAS87" s="6"/>
      <c r="EAT87" s="6"/>
      <c r="EAU87" s="6"/>
      <c r="EAV87" s="6"/>
      <c r="EAW87" s="6"/>
      <c r="EAX87" s="6"/>
      <c r="EAY87" s="6"/>
      <c r="EAZ87" s="6"/>
      <c r="EBA87" s="6"/>
      <c r="EBB87" s="6"/>
      <c r="EBC87" s="6"/>
      <c r="EBD87" s="6"/>
      <c r="EBE87" s="6"/>
      <c r="EBF87" s="6"/>
      <c r="EBG87" s="6"/>
      <c r="EBH87" s="6"/>
      <c r="EBI87" s="6"/>
      <c r="EBJ87" s="6"/>
      <c r="EBK87" s="6"/>
      <c r="EBL87" s="6"/>
      <c r="EBM87" s="6"/>
      <c r="EBN87" s="6"/>
      <c r="EBO87" s="6"/>
      <c r="EBP87" s="6"/>
      <c r="EBQ87" s="6"/>
      <c r="EBR87" s="6"/>
      <c r="EBS87" s="6"/>
      <c r="EBT87" s="6"/>
      <c r="EBU87" s="6"/>
      <c r="EBV87" s="6"/>
      <c r="EBW87" s="6"/>
      <c r="EBX87" s="6"/>
      <c r="EBY87" s="6"/>
      <c r="EBZ87" s="6"/>
      <c r="ECA87" s="6"/>
      <c r="ECB87" s="6"/>
      <c r="ECC87" s="6"/>
      <c r="ECD87" s="6"/>
      <c r="ECE87" s="6"/>
      <c r="ECF87" s="6"/>
      <c r="ECG87" s="6"/>
      <c r="ECH87" s="6"/>
      <c r="ECI87" s="6"/>
      <c r="ECJ87" s="6"/>
      <c r="ECK87" s="6"/>
      <c r="ECL87" s="6"/>
      <c r="ECM87" s="6"/>
      <c r="ECN87" s="6"/>
      <c r="ECO87" s="6"/>
      <c r="ECP87" s="6"/>
      <c r="ECQ87" s="6"/>
      <c r="ECR87" s="6"/>
      <c r="ECS87" s="6"/>
      <c r="ECT87" s="6"/>
      <c r="ECU87" s="6"/>
      <c r="ECV87" s="6"/>
      <c r="ECW87" s="6"/>
      <c r="ECX87" s="6"/>
      <c r="ECY87" s="6"/>
      <c r="ECZ87" s="6"/>
      <c r="EDA87" s="6"/>
      <c r="EDB87" s="6"/>
      <c r="EDC87" s="6"/>
      <c r="EDD87" s="6"/>
      <c r="EDE87" s="6"/>
      <c r="EDF87" s="6"/>
      <c r="EDG87" s="6"/>
      <c r="EDH87" s="6"/>
      <c r="EDI87" s="6"/>
      <c r="EDJ87" s="6"/>
      <c r="EDK87" s="6"/>
      <c r="EDL87" s="6"/>
      <c r="EDM87" s="6"/>
      <c r="EDN87" s="6"/>
      <c r="EDO87" s="6"/>
      <c r="EDP87" s="6"/>
      <c r="EDQ87" s="6"/>
      <c r="EDR87" s="6"/>
      <c r="EDS87" s="6"/>
      <c r="EDT87" s="6"/>
      <c r="EDU87" s="6"/>
      <c r="EDV87" s="6"/>
      <c r="EDW87" s="6"/>
      <c r="EDX87" s="6"/>
      <c r="EDY87" s="6"/>
      <c r="EDZ87" s="6"/>
      <c r="EEA87" s="6"/>
      <c r="EEB87" s="6"/>
      <c r="EEC87" s="6"/>
      <c r="EED87" s="6"/>
      <c r="EEE87" s="6"/>
      <c r="EEF87" s="6"/>
      <c r="EEG87" s="6"/>
      <c r="EEH87" s="6"/>
      <c r="EEI87" s="6"/>
      <c r="EEJ87" s="6"/>
      <c r="EEK87" s="6"/>
      <c r="EEL87" s="6"/>
      <c r="EEM87" s="6"/>
      <c r="EEN87" s="6"/>
      <c r="EEO87" s="6"/>
      <c r="EEP87" s="6"/>
      <c r="EEQ87" s="6"/>
      <c r="EER87" s="6"/>
      <c r="EES87" s="6"/>
      <c r="EET87" s="6"/>
      <c r="EEU87" s="6"/>
      <c r="EEV87" s="6"/>
      <c r="EEW87" s="6"/>
      <c r="EEX87" s="6"/>
      <c r="EEY87" s="6"/>
      <c r="EEZ87" s="6"/>
      <c r="EFA87" s="6"/>
      <c r="EFB87" s="6"/>
      <c r="EFC87" s="6"/>
      <c r="EFD87" s="6"/>
      <c r="EFE87" s="6"/>
      <c r="EFF87" s="6"/>
      <c r="EFG87" s="6"/>
      <c r="EFH87" s="6"/>
      <c r="EFI87" s="6"/>
      <c r="EFJ87" s="6"/>
      <c r="EFK87" s="6"/>
      <c r="EFL87" s="6"/>
      <c r="EFM87" s="6"/>
      <c r="EFN87" s="6"/>
      <c r="EFO87" s="6"/>
      <c r="EFP87" s="6"/>
      <c r="EFQ87" s="6"/>
      <c r="EFR87" s="6"/>
      <c r="EFS87" s="6"/>
      <c r="EFT87" s="6"/>
      <c r="EFU87" s="6"/>
      <c r="EFV87" s="6"/>
      <c r="EFW87" s="6"/>
      <c r="EFX87" s="6"/>
      <c r="EFY87" s="6"/>
      <c r="EFZ87" s="6"/>
      <c r="EGA87" s="6"/>
      <c r="EGB87" s="6"/>
      <c r="EGC87" s="6"/>
      <c r="EGD87" s="6"/>
      <c r="EGE87" s="6"/>
      <c r="EGF87" s="6"/>
      <c r="EGG87" s="6"/>
      <c r="EGH87" s="6"/>
      <c r="EGI87" s="6"/>
      <c r="EGJ87" s="6"/>
      <c r="EGK87" s="6"/>
      <c r="EGL87" s="6"/>
      <c r="EGM87" s="6"/>
      <c r="EGN87" s="6"/>
      <c r="EGO87" s="6"/>
      <c r="EGP87" s="6"/>
      <c r="EGQ87" s="6"/>
      <c r="EGR87" s="6"/>
      <c r="EGS87" s="6"/>
      <c r="EGT87" s="6"/>
      <c r="EGU87" s="6"/>
      <c r="EGV87" s="6"/>
      <c r="EGW87" s="6"/>
      <c r="EGX87" s="6"/>
      <c r="EGY87" s="6"/>
      <c r="EGZ87" s="6"/>
      <c r="EHA87" s="6"/>
      <c r="EHB87" s="6"/>
      <c r="EHC87" s="6"/>
      <c r="EHD87" s="6"/>
      <c r="EHE87" s="6"/>
      <c r="EHF87" s="6"/>
      <c r="EHG87" s="6"/>
      <c r="EHH87" s="6"/>
      <c r="EHI87" s="6"/>
      <c r="EHJ87" s="6"/>
      <c r="EHK87" s="6"/>
      <c r="EHL87" s="6"/>
      <c r="EHM87" s="6"/>
      <c r="EHN87" s="6"/>
      <c r="EHO87" s="6"/>
      <c r="EHP87" s="6"/>
      <c r="EHQ87" s="6"/>
      <c r="EHR87" s="6"/>
      <c r="EHS87" s="6"/>
      <c r="EHT87" s="6"/>
      <c r="EHU87" s="6"/>
      <c r="EHV87" s="6"/>
      <c r="EHW87" s="6"/>
      <c r="EHX87" s="6"/>
      <c r="EHY87" s="6"/>
      <c r="EHZ87" s="6"/>
      <c r="EIA87" s="6"/>
      <c r="EIB87" s="6"/>
      <c r="EIC87" s="6"/>
      <c r="EID87" s="6"/>
      <c r="EIE87" s="6"/>
      <c r="EIF87" s="6"/>
      <c r="EIG87" s="6"/>
      <c r="EIH87" s="6"/>
      <c r="EII87" s="6"/>
      <c r="EIJ87" s="6"/>
      <c r="EIK87" s="6"/>
      <c r="EIL87" s="6"/>
      <c r="EIM87" s="6"/>
      <c r="EIN87" s="6"/>
      <c r="EIO87" s="6"/>
      <c r="EIP87" s="6"/>
      <c r="EIQ87" s="6"/>
      <c r="EIR87" s="6"/>
      <c r="EIS87" s="6"/>
      <c r="EIT87" s="6"/>
      <c r="EIU87" s="6"/>
      <c r="EIV87" s="6"/>
      <c r="EIW87" s="6"/>
      <c r="EIX87" s="6"/>
      <c r="EIY87" s="6"/>
      <c r="EIZ87" s="6"/>
      <c r="EJA87" s="6"/>
      <c r="EJB87" s="6"/>
      <c r="EJC87" s="6"/>
      <c r="EJD87" s="6"/>
      <c r="EJE87" s="6"/>
      <c r="EJF87" s="6"/>
      <c r="EJG87" s="6"/>
      <c r="EJH87" s="6"/>
      <c r="EJI87" s="6"/>
      <c r="EJJ87" s="6"/>
      <c r="EJK87" s="6"/>
      <c r="EJL87" s="6"/>
      <c r="EJM87" s="6"/>
      <c r="EJN87" s="6"/>
      <c r="EJO87" s="6"/>
      <c r="EJP87" s="6"/>
      <c r="EJQ87" s="6"/>
      <c r="EJR87" s="6"/>
      <c r="EJS87" s="6"/>
      <c r="EJT87" s="6"/>
      <c r="EJU87" s="6"/>
      <c r="EJV87" s="6"/>
      <c r="EJW87" s="6"/>
      <c r="EJX87" s="6"/>
      <c r="EJY87" s="6"/>
      <c r="EJZ87" s="6"/>
      <c r="EKA87" s="6"/>
      <c r="EKB87" s="6"/>
      <c r="EKC87" s="6"/>
      <c r="EKD87" s="6"/>
      <c r="EKE87" s="6"/>
      <c r="EKF87" s="6"/>
      <c r="EKG87" s="6"/>
      <c r="EKH87" s="6"/>
      <c r="EKI87" s="6"/>
      <c r="EKJ87" s="6"/>
      <c r="EKK87" s="6"/>
      <c r="EKL87" s="6"/>
      <c r="EKM87" s="6"/>
      <c r="EKN87" s="6"/>
      <c r="EKO87" s="6"/>
      <c r="EKP87" s="6"/>
      <c r="EKQ87" s="6"/>
      <c r="EKR87" s="6"/>
      <c r="EKS87" s="6"/>
      <c r="EKT87" s="6"/>
      <c r="EKU87" s="6"/>
      <c r="EKV87" s="6"/>
      <c r="EKW87" s="6"/>
      <c r="EKX87" s="6"/>
      <c r="EKY87" s="6"/>
      <c r="EKZ87" s="6"/>
      <c r="ELA87" s="6"/>
      <c r="ELB87" s="6"/>
      <c r="ELC87" s="6"/>
      <c r="ELD87" s="6"/>
      <c r="ELE87" s="6"/>
      <c r="ELF87" s="6"/>
      <c r="ELG87" s="6"/>
      <c r="ELH87" s="6"/>
      <c r="ELI87" s="6"/>
      <c r="ELJ87" s="6"/>
      <c r="ELK87" s="6"/>
      <c r="ELL87" s="6"/>
      <c r="ELM87" s="6"/>
      <c r="ELN87" s="6"/>
      <c r="ELO87" s="6"/>
      <c r="ELP87" s="6"/>
      <c r="ELQ87" s="6"/>
      <c r="ELR87" s="6"/>
      <c r="ELS87" s="6"/>
      <c r="ELT87" s="6"/>
      <c r="ELU87" s="6"/>
      <c r="ELV87" s="6"/>
      <c r="ELW87" s="6"/>
      <c r="ELX87" s="6"/>
      <c r="ELY87" s="6"/>
      <c r="ELZ87" s="6"/>
      <c r="EMA87" s="6"/>
      <c r="EMB87" s="6"/>
      <c r="EMC87" s="6"/>
      <c r="EMD87" s="6"/>
      <c r="EME87" s="6"/>
      <c r="EMF87" s="6"/>
      <c r="EMG87" s="6"/>
      <c r="EMH87" s="6"/>
      <c r="EMI87" s="6"/>
      <c r="EMJ87" s="6"/>
      <c r="EMK87" s="6"/>
      <c r="EML87" s="6"/>
      <c r="EMM87" s="6"/>
      <c r="EMN87" s="6"/>
      <c r="EMO87" s="6"/>
      <c r="EMP87" s="6"/>
      <c r="EMQ87" s="6"/>
      <c r="EMR87" s="6"/>
      <c r="EMS87" s="6"/>
      <c r="EMT87" s="6"/>
      <c r="EMU87" s="6"/>
      <c r="EMV87" s="6"/>
      <c r="EMW87" s="6"/>
      <c r="EMX87" s="6"/>
      <c r="EMY87" s="6"/>
      <c r="EMZ87" s="6"/>
      <c r="ENA87" s="6"/>
      <c r="ENB87" s="6"/>
      <c r="ENC87" s="6"/>
      <c r="END87" s="6"/>
      <c r="ENE87" s="6"/>
      <c r="ENF87" s="6"/>
      <c r="ENG87" s="6"/>
      <c r="ENH87" s="6"/>
      <c r="ENI87" s="6"/>
      <c r="ENJ87" s="6"/>
      <c r="ENK87" s="6"/>
      <c r="ENL87" s="6"/>
      <c r="ENM87" s="6"/>
      <c r="ENN87" s="6"/>
      <c r="ENO87" s="6"/>
      <c r="ENP87" s="6"/>
      <c r="ENQ87" s="6"/>
      <c r="ENR87" s="6"/>
      <c r="ENS87" s="6"/>
      <c r="ENT87" s="6"/>
      <c r="ENU87" s="6"/>
      <c r="ENV87" s="6"/>
      <c r="ENW87" s="6"/>
      <c r="ENX87" s="6"/>
      <c r="ENY87" s="6"/>
      <c r="ENZ87" s="6"/>
      <c r="EOA87" s="6"/>
      <c r="EOB87" s="6"/>
      <c r="EOC87" s="6"/>
      <c r="EOD87" s="6"/>
      <c r="EOE87" s="6"/>
      <c r="EOF87" s="6"/>
      <c r="EOG87" s="6"/>
      <c r="EOH87" s="6"/>
      <c r="EOI87" s="6"/>
      <c r="EOJ87" s="6"/>
      <c r="EOK87" s="6"/>
      <c r="EOL87" s="6"/>
      <c r="EOM87" s="6"/>
      <c r="EON87" s="6"/>
      <c r="EOO87" s="6"/>
      <c r="EOP87" s="6"/>
      <c r="EOQ87" s="6"/>
      <c r="EOR87" s="6"/>
      <c r="EOS87" s="6"/>
      <c r="EOT87" s="6"/>
      <c r="EOU87" s="6"/>
      <c r="EOV87" s="6"/>
      <c r="EOW87" s="6"/>
      <c r="EOX87" s="6"/>
      <c r="EOY87" s="6"/>
      <c r="EOZ87" s="6"/>
      <c r="EPA87" s="6"/>
      <c r="EPB87" s="6"/>
      <c r="EPC87" s="6"/>
      <c r="EPD87" s="6"/>
      <c r="EPE87" s="6"/>
      <c r="EPF87" s="6"/>
      <c r="EPG87" s="6"/>
      <c r="EPH87" s="6"/>
      <c r="EPI87" s="6"/>
      <c r="EPJ87" s="6"/>
      <c r="EPK87" s="6"/>
      <c r="EPL87" s="6"/>
      <c r="EPM87" s="6"/>
      <c r="EPN87" s="6"/>
      <c r="EPO87" s="6"/>
      <c r="EPP87" s="6"/>
      <c r="EPQ87" s="6"/>
      <c r="EPR87" s="6"/>
      <c r="EPS87" s="6"/>
      <c r="EPT87" s="6"/>
      <c r="EPU87" s="6"/>
      <c r="EPV87" s="6"/>
      <c r="EPW87" s="6"/>
      <c r="EPX87" s="6"/>
      <c r="EPY87" s="6"/>
      <c r="EPZ87" s="6"/>
      <c r="EQA87" s="6"/>
      <c r="EQB87" s="6"/>
      <c r="EQC87" s="6"/>
      <c r="EQD87" s="6"/>
      <c r="EQE87" s="6"/>
      <c r="EQF87" s="6"/>
      <c r="EQG87" s="6"/>
      <c r="EQH87" s="6"/>
      <c r="EQI87" s="6"/>
      <c r="EQJ87" s="6"/>
      <c r="EQK87" s="6"/>
      <c r="EQL87" s="6"/>
      <c r="EQM87" s="6"/>
      <c r="EQN87" s="6"/>
      <c r="EQO87" s="6"/>
      <c r="EQP87" s="6"/>
      <c r="EQQ87" s="6"/>
      <c r="EQR87" s="6"/>
      <c r="EQS87" s="6"/>
      <c r="EQT87" s="6"/>
      <c r="EQU87" s="6"/>
      <c r="EQV87" s="6"/>
      <c r="EQW87" s="6"/>
      <c r="EQX87" s="6"/>
      <c r="EQY87" s="6"/>
      <c r="EQZ87" s="6"/>
      <c r="ERA87" s="6"/>
      <c r="ERB87" s="6"/>
      <c r="ERC87" s="6"/>
      <c r="ERD87" s="6"/>
      <c r="ERE87" s="6"/>
      <c r="ERF87" s="6"/>
      <c r="ERG87" s="6"/>
      <c r="ERH87" s="6"/>
      <c r="ERI87" s="6"/>
      <c r="ERJ87" s="6"/>
      <c r="ERK87" s="6"/>
      <c r="ERL87" s="6"/>
      <c r="ERM87" s="6"/>
      <c r="ERN87" s="6"/>
      <c r="ERO87" s="6"/>
      <c r="ERP87" s="6"/>
      <c r="ERQ87" s="6"/>
      <c r="ERR87" s="6"/>
      <c r="ERS87" s="6"/>
      <c r="ERT87" s="6"/>
      <c r="ERU87" s="6"/>
      <c r="ERV87" s="6"/>
      <c r="ERW87" s="6"/>
      <c r="ERX87" s="6"/>
      <c r="ERY87" s="6"/>
      <c r="ERZ87" s="6"/>
      <c r="ESA87" s="6"/>
      <c r="ESB87" s="6"/>
      <c r="ESC87" s="6"/>
      <c r="ESD87" s="6"/>
      <c r="ESE87" s="6"/>
      <c r="ESF87" s="6"/>
      <c r="ESG87" s="6"/>
      <c r="ESH87" s="6"/>
      <c r="ESI87" s="6"/>
      <c r="ESJ87" s="6"/>
      <c r="ESK87" s="6"/>
      <c r="ESL87" s="6"/>
      <c r="ESM87" s="6"/>
      <c r="ESN87" s="6"/>
      <c r="ESO87" s="6"/>
      <c r="ESP87" s="6"/>
      <c r="ESQ87" s="6"/>
      <c r="ESR87" s="6"/>
      <c r="ESS87" s="6"/>
      <c r="EST87" s="6"/>
      <c r="ESU87" s="6"/>
      <c r="ESV87" s="6"/>
      <c r="ESW87" s="6"/>
      <c r="ESX87" s="6"/>
      <c r="ESY87" s="6"/>
      <c r="ESZ87" s="6"/>
      <c r="ETA87" s="6"/>
      <c r="ETB87" s="6"/>
      <c r="ETC87" s="6"/>
      <c r="ETD87" s="6"/>
      <c r="ETE87" s="6"/>
      <c r="ETF87" s="6"/>
      <c r="ETG87" s="6"/>
      <c r="ETH87" s="6"/>
      <c r="ETI87" s="6"/>
      <c r="ETJ87" s="6"/>
      <c r="ETK87" s="6"/>
      <c r="ETL87" s="6"/>
      <c r="ETM87" s="6"/>
      <c r="ETN87" s="6"/>
      <c r="ETO87" s="6"/>
      <c r="ETP87" s="6"/>
      <c r="ETQ87" s="6"/>
      <c r="ETR87" s="6"/>
      <c r="ETS87" s="6"/>
      <c r="ETT87" s="6"/>
      <c r="ETU87" s="6"/>
      <c r="ETV87" s="6"/>
      <c r="ETW87" s="6"/>
      <c r="ETX87" s="6"/>
      <c r="ETY87" s="6"/>
      <c r="ETZ87" s="6"/>
      <c r="EUA87" s="6"/>
      <c r="EUB87" s="6"/>
      <c r="EUC87" s="6"/>
      <c r="EUD87" s="6"/>
      <c r="EUE87" s="6"/>
      <c r="EUF87" s="6"/>
      <c r="EUG87" s="6"/>
      <c r="EUH87" s="6"/>
      <c r="EUI87" s="6"/>
      <c r="EUJ87" s="6"/>
      <c r="EUK87" s="6"/>
      <c r="EUL87" s="6"/>
      <c r="EUM87" s="6"/>
      <c r="EUN87" s="6"/>
      <c r="EUO87" s="6"/>
      <c r="EUP87" s="6"/>
      <c r="EUQ87" s="6"/>
      <c r="EUR87" s="6"/>
      <c r="EUS87" s="6"/>
      <c r="EUT87" s="6"/>
      <c r="EUU87" s="6"/>
      <c r="EUV87" s="6"/>
      <c r="EUW87" s="6"/>
      <c r="EUX87" s="6"/>
      <c r="EUY87" s="6"/>
      <c r="EUZ87" s="6"/>
      <c r="EVA87" s="6"/>
      <c r="EVB87" s="6"/>
      <c r="EVC87" s="6"/>
      <c r="EVD87" s="6"/>
      <c r="EVE87" s="6"/>
      <c r="EVF87" s="6"/>
      <c r="EVG87" s="6"/>
      <c r="EVH87" s="6"/>
      <c r="EVI87" s="6"/>
      <c r="EVJ87" s="6"/>
      <c r="EVK87" s="6"/>
      <c r="EVL87" s="6"/>
      <c r="EVM87" s="6"/>
      <c r="EVN87" s="6"/>
      <c r="EVO87" s="6"/>
      <c r="EVP87" s="6"/>
      <c r="EVQ87" s="6"/>
      <c r="EVR87" s="6"/>
      <c r="EVS87" s="6"/>
      <c r="EVT87" s="6"/>
      <c r="EVU87" s="6"/>
      <c r="EVV87" s="6"/>
      <c r="EVW87" s="6"/>
      <c r="EVX87" s="6"/>
      <c r="EVY87" s="6"/>
      <c r="EVZ87" s="6"/>
      <c r="EWA87" s="6"/>
      <c r="EWB87" s="6"/>
      <c r="EWC87" s="6"/>
      <c r="EWD87" s="6"/>
      <c r="EWE87" s="6"/>
      <c r="EWF87" s="6"/>
      <c r="EWG87" s="6"/>
      <c r="EWH87" s="6"/>
      <c r="EWI87" s="6"/>
      <c r="EWJ87" s="6"/>
      <c r="EWK87" s="6"/>
      <c r="EWL87" s="6"/>
      <c r="EWM87" s="6"/>
      <c r="EWN87" s="6"/>
      <c r="EWO87" s="6"/>
      <c r="EWP87" s="6"/>
      <c r="EWQ87" s="6"/>
      <c r="EWR87" s="6"/>
      <c r="EWS87" s="6"/>
      <c r="EWT87" s="6"/>
      <c r="EWU87" s="6"/>
      <c r="EWV87" s="6"/>
      <c r="EWW87" s="6"/>
      <c r="EWX87" s="6"/>
      <c r="EWY87" s="6"/>
      <c r="EWZ87" s="6"/>
      <c r="EXA87" s="6"/>
      <c r="EXB87" s="6"/>
      <c r="EXC87" s="6"/>
      <c r="EXD87" s="6"/>
      <c r="EXE87" s="6"/>
      <c r="EXF87" s="6"/>
      <c r="EXG87" s="6"/>
      <c r="EXH87" s="6"/>
      <c r="EXI87" s="6"/>
      <c r="EXJ87" s="6"/>
      <c r="EXK87" s="6"/>
      <c r="EXL87" s="6"/>
      <c r="EXM87" s="6"/>
      <c r="EXN87" s="6"/>
      <c r="EXO87" s="6"/>
      <c r="EXP87" s="6"/>
      <c r="EXQ87" s="6"/>
      <c r="EXR87" s="6"/>
      <c r="EXS87" s="6"/>
      <c r="EXT87" s="6"/>
      <c r="EXU87" s="6"/>
      <c r="EXV87" s="6"/>
      <c r="EXW87" s="6"/>
      <c r="EXX87" s="6"/>
      <c r="EXY87" s="6"/>
      <c r="EXZ87" s="6"/>
      <c r="EYA87" s="6"/>
      <c r="EYB87" s="6"/>
      <c r="EYC87" s="6"/>
      <c r="EYD87" s="6"/>
      <c r="EYE87" s="6"/>
      <c r="EYF87" s="6"/>
      <c r="EYG87" s="6"/>
      <c r="EYH87" s="6"/>
      <c r="EYI87" s="6"/>
      <c r="EYJ87" s="6"/>
      <c r="EYK87" s="6"/>
      <c r="EYL87" s="6"/>
      <c r="EYM87" s="6"/>
      <c r="EYN87" s="6"/>
      <c r="EYO87" s="6"/>
      <c r="EYP87" s="6"/>
      <c r="EYQ87" s="6"/>
      <c r="EYR87" s="6"/>
      <c r="EYS87" s="6"/>
      <c r="EYT87" s="6"/>
      <c r="EYU87" s="6"/>
      <c r="EYV87" s="6"/>
      <c r="EYW87" s="6"/>
      <c r="EYX87" s="6"/>
      <c r="EYY87" s="6"/>
      <c r="EYZ87" s="6"/>
      <c r="EZA87" s="6"/>
      <c r="EZB87" s="6"/>
      <c r="EZC87" s="6"/>
      <c r="EZD87" s="6"/>
      <c r="EZE87" s="6"/>
      <c r="EZF87" s="6"/>
      <c r="EZG87" s="6"/>
      <c r="EZH87" s="6"/>
      <c r="EZI87" s="6"/>
      <c r="EZJ87" s="6"/>
      <c r="EZK87" s="6"/>
      <c r="EZL87" s="6"/>
      <c r="EZM87" s="6"/>
      <c r="EZN87" s="6"/>
      <c r="EZO87" s="6"/>
      <c r="EZP87" s="6"/>
      <c r="EZQ87" s="6"/>
      <c r="EZR87" s="6"/>
      <c r="EZS87" s="6"/>
      <c r="EZT87" s="6"/>
      <c r="EZU87" s="6"/>
      <c r="EZV87" s="6"/>
      <c r="EZW87" s="6"/>
      <c r="EZX87" s="6"/>
      <c r="EZY87" s="6"/>
      <c r="EZZ87" s="6"/>
      <c r="FAA87" s="6"/>
      <c r="FAB87" s="6"/>
      <c r="FAC87" s="6"/>
      <c r="FAD87" s="6"/>
      <c r="FAE87" s="6"/>
      <c r="FAF87" s="6"/>
      <c r="FAG87" s="6"/>
      <c r="FAH87" s="6"/>
      <c r="FAI87" s="6"/>
      <c r="FAJ87" s="6"/>
      <c r="FAK87" s="6"/>
      <c r="FAL87" s="6"/>
      <c r="FAM87" s="6"/>
      <c r="FAN87" s="6"/>
      <c r="FAO87" s="6"/>
      <c r="FAP87" s="6"/>
      <c r="FAQ87" s="6"/>
      <c r="FAR87" s="6"/>
      <c r="FAS87" s="6"/>
      <c r="FAT87" s="6"/>
      <c r="FAU87" s="6"/>
      <c r="FAV87" s="6"/>
      <c r="FAW87" s="6"/>
      <c r="FAX87" s="6"/>
      <c r="FAY87" s="6"/>
      <c r="FAZ87" s="6"/>
      <c r="FBA87" s="6"/>
      <c r="FBB87" s="6"/>
      <c r="FBC87" s="6"/>
      <c r="FBD87" s="6"/>
      <c r="FBE87" s="6"/>
      <c r="FBF87" s="6"/>
      <c r="FBG87" s="6"/>
      <c r="FBH87" s="6"/>
      <c r="FBI87" s="6"/>
      <c r="FBJ87" s="6"/>
      <c r="FBK87" s="6"/>
      <c r="FBL87" s="6"/>
      <c r="FBM87" s="6"/>
      <c r="FBN87" s="6"/>
      <c r="FBO87" s="6"/>
      <c r="FBP87" s="6"/>
      <c r="FBQ87" s="6"/>
      <c r="FBR87" s="6"/>
      <c r="FBS87" s="6"/>
      <c r="FBT87" s="6"/>
      <c r="FBU87" s="6"/>
      <c r="FBV87" s="6"/>
      <c r="FBW87" s="6"/>
      <c r="FBX87" s="6"/>
      <c r="FBY87" s="6"/>
      <c r="FBZ87" s="6"/>
      <c r="FCA87" s="6"/>
      <c r="FCB87" s="6"/>
      <c r="FCC87" s="6"/>
      <c r="FCD87" s="6"/>
      <c r="FCE87" s="6"/>
      <c r="FCF87" s="6"/>
      <c r="FCG87" s="6"/>
      <c r="FCH87" s="6"/>
      <c r="FCI87" s="6"/>
      <c r="FCJ87" s="6"/>
      <c r="FCK87" s="6"/>
      <c r="FCL87" s="6"/>
      <c r="FCM87" s="6"/>
      <c r="FCN87" s="6"/>
      <c r="FCO87" s="6"/>
      <c r="FCP87" s="6"/>
      <c r="FCQ87" s="6"/>
      <c r="FCR87" s="6"/>
      <c r="FCS87" s="6"/>
      <c r="FCT87" s="6"/>
      <c r="FCU87" s="6"/>
      <c r="FCV87" s="6"/>
      <c r="FCW87" s="6"/>
      <c r="FCX87" s="6"/>
      <c r="FCY87" s="6"/>
      <c r="FCZ87" s="6"/>
      <c r="FDA87" s="6"/>
      <c r="FDB87" s="6"/>
      <c r="FDC87" s="6"/>
      <c r="FDD87" s="6"/>
      <c r="FDE87" s="6"/>
      <c r="FDF87" s="6"/>
      <c r="FDG87" s="6"/>
      <c r="FDH87" s="6"/>
      <c r="FDI87" s="6"/>
      <c r="FDJ87" s="6"/>
      <c r="FDK87" s="6"/>
      <c r="FDL87" s="6"/>
      <c r="FDM87" s="6"/>
      <c r="FDN87" s="6"/>
      <c r="FDO87" s="6"/>
      <c r="FDP87" s="6"/>
      <c r="FDQ87" s="6"/>
      <c r="FDR87" s="6"/>
      <c r="FDS87" s="6"/>
      <c r="FDT87" s="6"/>
      <c r="FDU87" s="6"/>
      <c r="FDV87" s="6"/>
      <c r="FDW87" s="6"/>
      <c r="FDX87" s="6"/>
      <c r="FDY87" s="6"/>
      <c r="FDZ87" s="6"/>
      <c r="FEA87" s="6"/>
      <c r="FEB87" s="6"/>
      <c r="FEC87" s="6"/>
      <c r="FED87" s="6"/>
      <c r="FEE87" s="6"/>
      <c r="FEF87" s="6"/>
      <c r="FEG87" s="6"/>
      <c r="FEH87" s="6"/>
      <c r="FEI87" s="6"/>
      <c r="FEJ87" s="6"/>
      <c r="FEK87" s="6"/>
      <c r="FEL87" s="6"/>
      <c r="FEM87" s="6"/>
      <c r="FEN87" s="6"/>
      <c r="FEO87" s="6"/>
      <c r="FEP87" s="6"/>
      <c r="FEQ87" s="6"/>
      <c r="FER87" s="6"/>
      <c r="FES87" s="6"/>
      <c r="FET87" s="6"/>
      <c r="FEU87" s="6"/>
      <c r="FEV87" s="6"/>
      <c r="FEW87" s="6"/>
      <c r="FEX87" s="6"/>
      <c r="FEY87" s="6"/>
      <c r="FEZ87" s="6"/>
      <c r="FFA87" s="6"/>
      <c r="FFB87" s="6"/>
      <c r="FFC87" s="6"/>
      <c r="FFD87" s="6"/>
      <c r="FFE87" s="6"/>
      <c r="FFF87" s="6"/>
      <c r="FFG87" s="6"/>
      <c r="FFH87" s="6"/>
      <c r="FFI87" s="6"/>
      <c r="FFJ87" s="6"/>
      <c r="FFK87" s="6"/>
      <c r="FFL87" s="6"/>
      <c r="FFM87" s="6"/>
      <c r="FFN87" s="6"/>
      <c r="FFO87" s="6"/>
      <c r="FFP87" s="6"/>
      <c r="FFQ87" s="6"/>
      <c r="FFR87" s="6"/>
      <c r="FFS87" s="6"/>
      <c r="FFT87" s="6"/>
      <c r="FFU87" s="6"/>
      <c r="FFV87" s="6"/>
      <c r="FFW87" s="6"/>
      <c r="FFX87" s="6"/>
      <c r="FFY87" s="6"/>
      <c r="FFZ87" s="6"/>
      <c r="FGA87" s="6"/>
      <c r="FGB87" s="6"/>
      <c r="FGC87" s="6"/>
      <c r="FGD87" s="6"/>
      <c r="FGE87" s="6"/>
      <c r="FGF87" s="6"/>
      <c r="FGG87" s="6"/>
      <c r="FGH87" s="6"/>
      <c r="FGI87" s="6"/>
      <c r="FGJ87" s="6"/>
      <c r="FGK87" s="6"/>
      <c r="FGL87" s="6"/>
      <c r="FGM87" s="6"/>
      <c r="FGN87" s="6"/>
      <c r="FGO87" s="6"/>
      <c r="FGP87" s="6"/>
      <c r="FGQ87" s="6"/>
      <c r="FGR87" s="6"/>
      <c r="FGS87" s="6"/>
      <c r="FGT87" s="6"/>
      <c r="FGU87" s="6"/>
      <c r="FGV87" s="6"/>
      <c r="FGW87" s="6"/>
      <c r="FGX87" s="6"/>
      <c r="FGY87" s="6"/>
      <c r="FGZ87" s="6"/>
      <c r="FHA87" s="6"/>
      <c r="FHB87" s="6"/>
      <c r="FHC87" s="6"/>
      <c r="FHD87" s="6"/>
      <c r="FHE87" s="6"/>
      <c r="FHF87" s="6"/>
      <c r="FHG87" s="6"/>
      <c r="FHH87" s="6"/>
      <c r="FHI87" s="6"/>
      <c r="FHJ87" s="6"/>
      <c r="FHK87" s="6"/>
      <c r="FHL87" s="6"/>
      <c r="FHM87" s="6"/>
      <c r="FHN87" s="6"/>
      <c r="FHO87" s="6"/>
      <c r="FHP87" s="6"/>
      <c r="FHQ87" s="6"/>
      <c r="FHR87" s="6"/>
      <c r="FHS87" s="6"/>
      <c r="FHT87" s="6"/>
      <c r="FHU87" s="6"/>
      <c r="FHV87" s="6"/>
      <c r="FHW87" s="6"/>
      <c r="FHX87" s="6"/>
      <c r="FHY87" s="6"/>
      <c r="FHZ87" s="6"/>
      <c r="FIA87" s="6"/>
      <c r="FIB87" s="6"/>
      <c r="FIC87" s="6"/>
      <c r="FID87" s="6"/>
      <c r="FIE87" s="6"/>
      <c r="FIF87" s="6"/>
      <c r="FIG87" s="6"/>
      <c r="FIH87" s="6"/>
      <c r="FII87" s="6"/>
      <c r="FIJ87" s="6"/>
      <c r="FIK87" s="6"/>
      <c r="FIL87" s="6"/>
      <c r="FIM87" s="6"/>
      <c r="FIN87" s="6"/>
      <c r="FIO87" s="6"/>
      <c r="FIP87" s="6"/>
      <c r="FIQ87" s="6"/>
      <c r="FIR87" s="6"/>
      <c r="FIS87" s="6"/>
      <c r="FIT87" s="6"/>
      <c r="FIU87" s="6"/>
      <c r="FIV87" s="6"/>
      <c r="FIW87" s="6"/>
      <c r="FIX87" s="6"/>
      <c r="FIY87" s="6"/>
      <c r="FIZ87" s="6"/>
      <c r="FJA87" s="6"/>
      <c r="FJB87" s="6"/>
      <c r="FJC87" s="6"/>
      <c r="FJD87" s="6"/>
      <c r="FJE87" s="6"/>
      <c r="FJF87" s="6"/>
      <c r="FJG87" s="6"/>
      <c r="FJH87" s="6"/>
      <c r="FJI87" s="6"/>
      <c r="FJJ87" s="6"/>
      <c r="FJK87" s="6"/>
      <c r="FJL87" s="6"/>
      <c r="FJM87" s="6"/>
      <c r="FJN87" s="6"/>
      <c r="FJO87" s="6"/>
      <c r="FJP87" s="6"/>
      <c r="FJQ87" s="6"/>
      <c r="FJR87" s="6"/>
      <c r="FJS87" s="6"/>
      <c r="FJT87" s="6"/>
      <c r="FJU87" s="6"/>
      <c r="FJV87" s="6"/>
      <c r="FJW87" s="6"/>
      <c r="FJX87" s="6"/>
      <c r="FJY87" s="6"/>
      <c r="FJZ87" s="6"/>
      <c r="FKA87" s="6"/>
      <c r="FKB87" s="6"/>
      <c r="FKC87" s="6"/>
      <c r="FKD87" s="6"/>
      <c r="FKE87" s="6"/>
      <c r="FKF87" s="6"/>
      <c r="FKG87" s="6"/>
      <c r="FKH87" s="6"/>
      <c r="FKI87" s="6"/>
      <c r="FKJ87" s="6"/>
      <c r="FKK87" s="6"/>
      <c r="FKL87" s="6"/>
      <c r="FKM87" s="6"/>
      <c r="FKN87" s="6"/>
      <c r="FKO87" s="6"/>
      <c r="FKP87" s="6"/>
      <c r="FKQ87" s="6"/>
      <c r="FKR87" s="6"/>
      <c r="FKS87" s="6"/>
      <c r="FKT87" s="6"/>
      <c r="FKU87" s="6"/>
      <c r="FKV87" s="6"/>
      <c r="FKW87" s="6"/>
      <c r="FKX87" s="6"/>
      <c r="FKY87" s="6"/>
      <c r="FKZ87" s="6"/>
      <c r="FLA87" s="6"/>
      <c r="FLB87" s="6"/>
      <c r="FLC87" s="6"/>
      <c r="FLD87" s="6"/>
      <c r="FLE87" s="6"/>
      <c r="FLF87" s="6"/>
      <c r="FLG87" s="6"/>
      <c r="FLH87" s="6"/>
      <c r="FLI87" s="6"/>
      <c r="FLJ87" s="6"/>
      <c r="FLK87" s="6"/>
      <c r="FLL87" s="6"/>
      <c r="FLM87" s="6"/>
      <c r="FLN87" s="6"/>
      <c r="FLO87" s="6"/>
      <c r="FLP87" s="6"/>
      <c r="FLQ87" s="6"/>
      <c r="FLR87" s="6"/>
      <c r="FLS87" s="6"/>
      <c r="FLT87" s="6"/>
      <c r="FLU87" s="6"/>
      <c r="FLV87" s="6"/>
      <c r="FLW87" s="6"/>
      <c r="FLX87" s="6"/>
      <c r="FLY87" s="6"/>
      <c r="FLZ87" s="6"/>
      <c r="FMA87" s="6"/>
      <c r="FMB87" s="6"/>
      <c r="FMC87" s="6"/>
      <c r="FMD87" s="6"/>
      <c r="FME87" s="6"/>
      <c r="FMF87" s="6"/>
      <c r="FMG87" s="6"/>
      <c r="FMH87" s="6"/>
      <c r="FMI87" s="6"/>
      <c r="FMJ87" s="6"/>
      <c r="FMK87" s="6"/>
      <c r="FML87" s="6"/>
      <c r="FMM87" s="6"/>
      <c r="FMN87" s="6"/>
      <c r="FMO87" s="6"/>
      <c r="FMP87" s="6"/>
      <c r="FMQ87" s="6"/>
      <c r="FMR87" s="6"/>
      <c r="FMS87" s="6"/>
      <c r="FMT87" s="6"/>
      <c r="FMU87" s="6"/>
      <c r="FMV87" s="6"/>
      <c r="FMW87" s="6"/>
      <c r="FMX87" s="6"/>
      <c r="FMY87" s="6"/>
      <c r="FMZ87" s="6"/>
      <c r="FNA87" s="6"/>
      <c r="FNB87" s="6"/>
      <c r="FNC87" s="6"/>
      <c r="FND87" s="6"/>
      <c r="FNE87" s="6"/>
      <c r="FNF87" s="6"/>
      <c r="FNG87" s="6"/>
      <c r="FNH87" s="6"/>
      <c r="FNI87" s="6"/>
      <c r="FNJ87" s="6"/>
      <c r="FNK87" s="6"/>
      <c r="FNL87" s="6"/>
      <c r="FNM87" s="6"/>
      <c r="FNN87" s="6"/>
      <c r="FNO87" s="6"/>
      <c r="FNP87" s="6"/>
      <c r="FNQ87" s="6"/>
      <c r="FNR87" s="6"/>
      <c r="FNS87" s="6"/>
      <c r="FNT87" s="6"/>
      <c r="FNU87" s="6"/>
      <c r="FNV87" s="6"/>
      <c r="FNW87" s="6"/>
      <c r="FNX87" s="6"/>
      <c r="FNY87" s="6"/>
      <c r="FNZ87" s="6"/>
      <c r="FOA87" s="6"/>
      <c r="FOB87" s="6"/>
      <c r="FOC87" s="6"/>
      <c r="FOD87" s="6"/>
      <c r="FOE87" s="6"/>
      <c r="FOF87" s="6"/>
      <c r="FOG87" s="6"/>
      <c r="FOH87" s="6"/>
      <c r="FOI87" s="6"/>
      <c r="FOJ87" s="6"/>
      <c r="FOK87" s="6"/>
      <c r="FOL87" s="6"/>
      <c r="FOM87" s="6"/>
      <c r="FON87" s="6"/>
      <c r="FOO87" s="6"/>
      <c r="FOP87" s="6"/>
      <c r="FOQ87" s="6"/>
      <c r="FOR87" s="6"/>
      <c r="FOS87" s="6"/>
      <c r="FOT87" s="6"/>
      <c r="FOU87" s="6"/>
      <c r="FOV87" s="6"/>
      <c r="FOW87" s="6"/>
      <c r="FOX87" s="6"/>
      <c r="FOY87" s="6"/>
      <c r="FOZ87" s="6"/>
      <c r="FPA87" s="6"/>
      <c r="FPB87" s="6"/>
      <c r="FPC87" s="6"/>
      <c r="FPD87" s="6"/>
      <c r="FPE87" s="6"/>
      <c r="FPF87" s="6"/>
      <c r="FPG87" s="6"/>
      <c r="FPH87" s="6"/>
      <c r="FPI87" s="6"/>
      <c r="FPJ87" s="6"/>
      <c r="FPK87" s="6"/>
      <c r="FPL87" s="6"/>
      <c r="FPM87" s="6"/>
      <c r="FPN87" s="6"/>
      <c r="FPO87" s="6"/>
      <c r="FPP87" s="6"/>
      <c r="FPQ87" s="6"/>
      <c r="FPR87" s="6"/>
      <c r="FPS87" s="6"/>
      <c r="FPT87" s="6"/>
      <c r="FPU87" s="6"/>
      <c r="FPV87" s="6"/>
      <c r="FPW87" s="6"/>
      <c r="FPX87" s="6"/>
      <c r="FPY87" s="6"/>
      <c r="FPZ87" s="6"/>
      <c r="FQA87" s="6"/>
      <c r="FQB87" s="6"/>
      <c r="FQC87" s="6"/>
      <c r="FQD87" s="6"/>
      <c r="FQE87" s="6"/>
      <c r="FQF87" s="6"/>
      <c r="FQG87" s="6"/>
      <c r="FQH87" s="6"/>
      <c r="FQI87" s="6"/>
      <c r="FQJ87" s="6"/>
      <c r="FQK87" s="6"/>
      <c r="FQL87" s="6"/>
      <c r="FQM87" s="6"/>
      <c r="FQN87" s="6"/>
      <c r="FQO87" s="6"/>
      <c r="FQP87" s="6"/>
      <c r="FQQ87" s="6"/>
      <c r="FQR87" s="6"/>
      <c r="FQS87" s="6"/>
      <c r="FQT87" s="6"/>
      <c r="FQU87" s="6"/>
      <c r="FQV87" s="6"/>
      <c r="FQW87" s="6"/>
      <c r="FQX87" s="6"/>
      <c r="FQY87" s="6"/>
      <c r="FQZ87" s="6"/>
      <c r="FRA87" s="6"/>
      <c r="FRB87" s="6"/>
      <c r="FRC87" s="6"/>
      <c r="FRD87" s="6"/>
      <c r="FRE87" s="6"/>
      <c r="FRF87" s="6"/>
      <c r="FRG87" s="6"/>
      <c r="FRH87" s="6"/>
      <c r="FRI87" s="6"/>
      <c r="FRJ87" s="6"/>
      <c r="FRK87" s="6"/>
      <c r="FRL87" s="6"/>
      <c r="FRM87" s="6"/>
      <c r="FRN87" s="6"/>
      <c r="FRO87" s="6"/>
      <c r="FRP87" s="6"/>
      <c r="FRQ87" s="6"/>
      <c r="FRR87" s="6"/>
      <c r="FRS87" s="6"/>
      <c r="FRT87" s="6"/>
      <c r="FRU87" s="6"/>
      <c r="FRV87" s="6"/>
      <c r="FRW87" s="6"/>
      <c r="FRX87" s="6"/>
      <c r="FRY87" s="6"/>
      <c r="FRZ87" s="6"/>
      <c r="FSA87" s="6"/>
      <c r="FSB87" s="6"/>
      <c r="FSC87" s="6"/>
      <c r="FSD87" s="6"/>
      <c r="FSE87" s="6"/>
      <c r="FSF87" s="6"/>
      <c r="FSG87" s="6"/>
      <c r="FSH87" s="6"/>
      <c r="FSI87" s="6"/>
      <c r="FSJ87" s="6"/>
      <c r="FSK87" s="6"/>
      <c r="FSL87" s="6"/>
      <c r="FSM87" s="6"/>
      <c r="FSN87" s="6"/>
      <c r="FSO87" s="6"/>
      <c r="FSP87" s="6"/>
      <c r="FSQ87" s="6"/>
      <c r="FSR87" s="6"/>
      <c r="FSS87" s="6"/>
      <c r="FST87" s="6"/>
      <c r="FSU87" s="6"/>
      <c r="FSV87" s="6"/>
      <c r="FSW87" s="6"/>
      <c r="FSX87" s="6"/>
      <c r="FSY87" s="6"/>
      <c r="FSZ87" s="6"/>
      <c r="FTA87" s="6"/>
      <c r="FTB87" s="6"/>
      <c r="FTC87" s="6"/>
      <c r="FTD87" s="6"/>
      <c r="FTE87" s="6"/>
      <c r="FTF87" s="6"/>
      <c r="FTG87" s="6"/>
      <c r="FTH87" s="6"/>
      <c r="FTI87" s="6"/>
      <c r="FTJ87" s="6"/>
      <c r="FTK87" s="6"/>
      <c r="FTL87" s="6"/>
      <c r="FTM87" s="6"/>
      <c r="FTN87" s="6"/>
      <c r="FTO87" s="6"/>
      <c r="FTP87" s="6"/>
      <c r="FTQ87" s="6"/>
      <c r="FTR87" s="6"/>
      <c r="FTS87" s="6"/>
      <c r="FTT87" s="6"/>
      <c r="FTU87" s="6"/>
      <c r="FTV87" s="6"/>
      <c r="FTW87" s="6"/>
      <c r="FTX87" s="6"/>
      <c r="FTY87" s="6"/>
      <c r="FTZ87" s="6"/>
      <c r="FUA87" s="6"/>
      <c r="FUB87" s="6"/>
      <c r="FUC87" s="6"/>
      <c r="FUD87" s="6"/>
      <c r="FUE87" s="6"/>
      <c r="FUF87" s="6"/>
      <c r="FUG87" s="6"/>
      <c r="FUH87" s="6"/>
      <c r="FUI87" s="6"/>
      <c r="FUJ87" s="6"/>
      <c r="FUK87" s="6"/>
      <c r="FUL87" s="6"/>
      <c r="FUM87" s="6"/>
      <c r="FUN87" s="6"/>
      <c r="FUO87" s="6"/>
      <c r="FUP87" s="6"/>
      <c r="FUQ87" s="6"/>
      <c r="FUR87" s="6"/>
      <c r="FUS87" s="6"/>
      <c r="FUT87" s="6"/>
      <c r="FUU87" s="6"/>
      <c r="FUV87" s="6"/>
      <c r="FUW87" s="6"/>
      <c r="FUX87" s="6"/>
      <c r="FUY87" s="6"/>
      <c r="FUZ87" s="6"/>
      <c r="FVA87" s="6"/>
      <c r="FVB87" s="6"/>
      <c r="FVC87" s="6"/>
      <c r="FVD87" s="6"/>
      <c r="FVE87" s="6"/>
      <c r="FVF87" s="6"/>
      <c r="FVG87" s="6"/>
      <c r="FVH87" s="6"/>
      <c r="FVI87" s="6"/>
      <c r="FVJ87" s="6"/>
      <c r="FVK87" s="6"/>
      <c r="FVL87" s="6"/>
      <c r="FVM87" s="6"/>
      <c r="FVN87" s="6"/>
      <c r="FVO87" s="6"/>
      <c r="FVP87" s="6"/>
      <c r="FVQ87" s="6"/>
      <c r="FVR87" s="6"/>
      <c r="FVS87" s="6"/>
      <c r="FVT87" s="6"/>
      <c r="FVU87" s="6"/>
      <c r="FVV87" s="6"/>
      <c r="FVW87" s="6"/>
      <c r="FVX87" s="6"/>
      <c r="FVY87" s="6"/>
      <c r="FVZ87" s="6"/>
      <c r="FWA87" s="6"/>
      <c r="FWB87" s="6"/>
      <c r="FWC87" s="6"/>
      <c r="FWD87" s="6"/>
      <c r="FWE87" s="6"/>
      <c r="FWF87" s="6"/>
      <c r="FWG87" s="6"/>
      <c r="FWH87" s="6"/>
      <c r="FWI87" s="6"/>
      <c r="FWJ87" s="6"/>
      <c r="FWK87" s="6"/>
      <c r="FWL87" s="6"/>
      <c r="FWM87" s="6"/>
      <c r="FWN87" s="6"/>
      <c r="FWO87" s="6"/>
      <c r="FWP87" s="6"/>
      <c r="FWQ87" s="6"/>
      <c r="FWR87" s="6"/>
      <c r="FWS87" s="6"/>
      <c r="FWT87" s="6"/>
      <c r="FWU87" s="6"/>
      <c r="FWV87" s="6"/>
      <c r="FWW87" s="6"/>
      <c r="FWX87" s="6"/>
      <c r="FWY87" s="6"/>
      <c r="FWZ87" s="6"/>
      <c r="FXA87" s="6"/>
      <c r="FXB87" s="6"/>
      <c r="FXC87" s="6"/>
      <c r="FXD87" s="6"/>
      <c r="FXE87" s="6"/>
      <c r="FXF87" s="6"/>
      <c r="FXG87" s="6"/>
      <c r="FXH87" s="6"/>
      <c r="FXI87" s="6"/>
      <c r="FXJ87" s="6"/>
      <c r="FXK87" s="6"/>
      <c r="FXL87" s="6"/>
      <c r="FXM87" s="6"/>
      <c r="FXN87" s="6"/>
      <c r="FXO87" s="6"/>
      <c r="FXP87" s="6"/>
      <c r="FXQ87" s="6"/>
      <c r="FXR87" s="6"/>
      <c r="FXS87" s="6"/>
      <c r="FXT87" s="6"/>
      <c r="FXU87" s="6"/>
      <c r="FXV87" s="6"/>
      <c r="FXW87" s="6"/>
      <c r="FXX87" s="6"/>
      <c r="FXY87" s="6"/>
      <c r="FXZ87" s="6"/>
      <c r="FYA87" s="6"/>
      <c r="FYB87" s="6"/>
      <c r="FYC87" s="6"/>
      <c r="FYD87" s="6"/>
      <c r="FYE87" s="6"/>
      <c r="FYF87" s="6"/>
      <c r="FYG87" s="6"/>
      <c r="FYH87" s="6"/>
      <c r="FYI87" s="6"/>
      <c r="FYJ87" s="6"/>
      <c r="FYK87" s="6"/>
      <c r="FYL87" s="6"/>
      <c r="FYM87" s="6"/>
      <c r="FYN87" s="6"/>
      <c r="FYO87" s="6"/>
      <c r="FYP87" s="6"/>
      <c r="FYQ87" s="6"/>
      <c r="FYR87" s="6"/>
      <c r="FYS87" s="6"/>
      <c r="FYT87" s="6"/>
      <c r="FYU87" s="6"/>
      <c r="FYV87" s="6"/>
      <c r="FYW87" s="6"/>
      <c r="FYX87" s="6"/>
      <c r="FYY87" s="6"/>
      <c r="FYZ87" s="6"/>
      <c r="FZA87" s="6"/>
      <c r="FZB87" s="6"/>
      <c r="FZC87" s="6"/>
      <c r="FZD87" s="6"/>
      <c r="FZE87" s="6"/>
      <c r="FZF87" s="6"/>
      <c r="FZG87" s="6"/>
      <c r="FZH87" s="6"/>
      <c r="FZI87" s="6"/>
      <c r="FZJ87" s="6"/>
      <c r="FZK87" s="6"/>
      <c r="FZL87" s="6"/>
      <c r="FZM87" s="6"/>
      <c r="FZN87" s="6"/>
      <c r="FZO87" s="6"/>
      <c r="FZP87" s="6"/>
      <c r="FZQ87" s="6"/>
      <c r="FZR87" s="6"/>
      <c r="FZS87" s="6"/>
      <c r="FZT87" s="6"/>
      <c r="FZU87" s="6"/>
      <c r="FZV87" s="6"/>
      <c r="FZW87" s="6"/>
      <c r="FZX87" s="6"/>
      <c r="FZY87" s="6"/>
      <c r="FZZ87" s="6"/>
      <c r="GAA87" s="6"/>
      <c r="GAB87" s="6"/>
      <c r="GAC87" s="6"/>
      <c r="GAD87" s="6"/>
      <c r="GAE87" s="6"/>
      <c r="GAF87" s="6"/>
      <c r="GAG87" s="6"/>
      <c r="GAH87" s="6"/>
      <c r="GAI87" s="6"/>
      <c r="GAJ87" s="6"/>
      <c r="GAK87" s="6"/>
      <c r="GAL87" s="6"/>
      <c r="GAM87" s="6"/>
      <c r="GAN87" s="6"/>
      <c r="GAO87" s="6"/>
      <c r="GAP87" s="6"/>
      <c r="GAQ87" s="6"/>
      <c r="GAR87" s="6"/>
      <c r="GAS87" s="6"/>
      <c r="GAT87" s="6"/>
      <c r="GAU87" s="6"/>
      <c r="GAV87" s="6"/>
      <c r="GAW87" s="6"/>
      <c r="GAX87" s="6"/>
      <c r="GAY87" s="6"/>
      <c r="GAZ87" s="6"/>
      <c r="GBA87" s="6"/>
      <c r="GBB87" s="6"/>
      <c r="GBC87" s="6"/>
      <c r="GBD87" s="6"/>
      <c r="GBE87" s="6"/>
      <c r="GBF87" s="6"/>
      <c r="GBG87" s="6"/>
      <c r="GBH87" s="6"/>
      <c r="GBI87" s="6"/>
      <c r="GBJ87" s="6"/>
      <c r="GBK87" s="6"/>
      <c r="GBL87" s="6"/>
      <c r="GBM87" s="6"/>
      <c r="GBN87" s="6"/>
      <c r="GBO87" s="6"/>
      <c r="GBP87" s="6"/>
      <c r="GBQ87" s="6"/>
      <c r="GBR87" s="6"/>
      <c r="GBS87" s="6"/>
      <c r="GBT87" s="6"/>
      <c r="GBU87" s="6"/>
      <c r="GBV87" s="6"/>
      <c r="GBW87" s="6"/>
      <c r="GBX87" s="6"/>
      <c r="GBY87" s="6"/>
      <c r="GBZ87" s="6"/>
      <c r="GCA87" s="6"/>
      <c r="GCB87" s="6"/>
      <c r="GCC87" s="6"/>
      <c r="GCD87" s="6"/>
      <c r="GCE87" s="6"/>
      <c r="GCF87" s="6"/>
      <c r="GCG87" s="6"/>
      <c r="GCH87" s="6"/>
      <c r="GCI87" s="6"/>
      <c r="GCJ87" s="6"/>
      <c r="GCK87" s="6"/>
      <c r="GCL87" s="6"/>
      <c r="GCM87" s="6"/>
      <c r="GCN87" s="6"/>
      <c r="GCO87" s="6"/>
      <c r="GCP87" s="6"/>
      <c r="GCQ87" s="6"/>
      <c r="GCR87" s="6"/>
      <c r="GCS87" s="6"/>
      <c r="GCT87" s="6"/>
      <c r="GCU87" s="6"/>
      <c r="GCV87" s="6"/>
      <c r="GCW87" s="6"/>
      <c r="GCX87" s="6"/>
      <c r="GCY87" s="6"/>
      <c r="GCZ87" s="6"/>
      <c r="GDA87" s="6"/>
      <c r="GDB87" s="6"/>
      <c r="GDC87" s="6"/>
      <c r="GDD87" s="6"/>
      <c r="GDE87" s="6"/>
      <c r="GDF87" s="6"/>
      <c r="GDG87" s="6"/>
      <c r="GDH87" s="6"/>
      <c r="GDI87" s="6"/>
      <c r="GDJ87" s="6"/>
      <c r="GDK87" s="6"/>
      <c r="GDL87" s="6"/>
      <c r="GDM87" s="6"/>
      <c r="GDN87" s="6"/>
      <c r="GDO87" s="6"/>
      <c r="GDP87" s="6"/>
      <c r="GDQ87" s="6"/>
      <c r="GDR87" s="6"/>
      <c r="GDS87" s="6"/>
      <c r="GDT87" s="6"/>
      <c r="GDU87" s="6"/>
      <c r="GDV87" s="6"/>
      <c r="GDW87" s="6"/>
      <c r="GDX87" s="6"/>
      <c r="GDY87" s="6"/>
      <c r="GDZ87" s="6"/>
      <c r="GEA87" s="6"/>
      <c r="GEB87" s="6"/>
      <c r="GEC87" s="6"/>
      <c r="GED87" s="6"/>
      <c r="GEE87" s="6"/>
      <c r="GEF87" s="6"/>
      <c r="GEG87" s="6"/>
      <c r="GEH87" s="6"/>
      <c r="GEI87" s="6"/>
      <c r="GEJ87" s="6"/>
      <c r="GEK87" s="6"/>
      <c r="GEL87" s="6"/>
      <c r="GEM87" s="6"/>
      <c r="GEN87" s="6"/>
      <c r="GEO87" s="6"/>
      <c r="GEP87" s="6"/>
      <c r="GEQ87" s="6"/>
      <c r="GER87" s="6"/>
      <c r="GES87" s="6"/>
      <c r="GET87" s="6"/>
      <c r="GEU87" s="6"/>
      <c r="GEV87" s="6"/>
      <c r="GEW87" s="6"/>
      <c r="GEX87" s="6"/>
      <c r="GEY87" s="6"/>
      <c r="GEZ87" s="6"/>
      <c r="GFA87" s="6"/>
      <c r="GFB87" s="6"/>
      <c r="GFC87" s="6"/>
      <c r="GFD87" s="6"/>
      <c r="GFE87" s="6"/>
      <c r="GFF87" s="6"/>
      <c r="GFG87" s="6"/>
      <c r="GFH87" s="6"/>
      <c r="GFI87" s="6"/>
      <c r="GFJ87" s="6"/>
      <c r="GFK87" s="6"/>
      <c r="GFL87" s="6"/>
      <c r="GFM87" s="6"/>
      <c r="GFN87" s="6"/>
      <c r="GFO87" s="6"/>
      <c r="GFP87" s="6"/>
      <c r="GFQ87" s="6"/>
      <c r="GFR87" s="6"/>
      <c r="GFS87" s="6"/>
      <c r="GFT87" s="6"/>
      <c r="GFU87" s="6"/>
      <c r="GFV87" s="6"/>
      <c r="GFW87" s="6"/>
      <c r="GFX87" s="6"/>
      <c r="GFY87" s="6"/>
      <c r="GFZ87" s="6"/>
      <c r="GGA87" s="6"/>
      <c r="GGB87" s="6"/>
      <c r="GGC87" s="6"/>
      <c r="GGD87" s="6"/>
      <c r="GGE87" s="6"/>
      <c r="GGF87" s="6"/>
      <c r="GGG87" s="6"/>
      <c r="GGH87" s="6"/>
      <c r="GGI87" s="6"/>
      <c r="GGJ87" s="6"/>
      <c r="GGK87" s="6"/>
      <c r="GGL87" s="6"/>
      <c r="GGM87" s="6"/>
      <c r="GGN87" s="6"/>
      <c r="GGO87" s="6"/>
      <c r="GGP87" s="6"/>
      <c r="GGQ87" s="6"/>
      <c r="GGR87" s="6"/>
      <c r="GGS87" s="6"/>
      <c r="GGT87" s="6"/>
      <c r="GGU87" s="6"/>
      <c r="GGV87" s="6"/>
      <c r="GGW87" s="6"/>
      <c r="GGX87" s="6"/>
      <c r="GGY87" s="6"/>
      <c r="GGZ87" s="6"/>
      <c r="GHA87" s="6"/>
      <c r="GHB87" s="6"/>
      <c r="GHC87" s="6"/>
      <c r="GHD87" s="6"/>
      <c r="GHE87" s="6"/>
      <c r="GHF87" s="6"/>
      <c r="GHG87" s="6"/>
      <c r="GHH87" s="6"/>
      <c r="GHI87" s="6"/>
      <c r="GHJ87" s="6"/>
      <c r="GHK87" s="6"/>
      <c r="GHL87" s="6"/>
      <c r="GHM87" s="6"/>
      <c r="GHN87" s="6"/>
      <c r="GHO87" s="6"/>
      <c r="GHP87" s="6"/>
      <c r="GHQ87" s="6"/>
      <c r="GHR87" s="6"/>
      <c r="GHS87" s="6"/>
      <c r="GHT87" s="6"/>
      <c r="GHU87" s="6"/>
      <c r="GHV87" s="6"/>
      <c r="GHW87" s="6"/>
      <c r="GHX87" s="6"/>
      <c r="GHY87" s="6"/>
      <c r="GHZ87" s="6"/>
      <c r="GIA87" s="6"/>
      <c r="GIB87" s="6"/>
      <c r="GIC87" s="6"/>
      <c r="GID87" s="6"/>
      <c r="GIE87" s="6"/>
      <c r="GIF87" s="6"/>
      <c r="GIG87" s="6"/>
      <c r="GIH87" s="6"/>
      <c r="GII87" s="6"/>
      <c r="GIJ87" s="6"/>
      <c r="GIK87" s="6"/>
      <c r="GIL87" s="6"/>
      <c r="GIM87" s="6"/>
      <c r="GIN87" s="6"/>
      <c r="GIO87" s="6"/>
      <c r="GIP87" s="6"/>
      <c r="GIQ87" s="6"/>
      <c r="GIR87" s="6"/>
      <c r="GIS87" s="6"/>
      <c r="GIT87" s="6"/>
      <c r="GIU87" s="6"/>
      <c r="GIV87" s="6"/>
      <c r="GIW87" s="6"/>
      <c r="GIX87" s="6"/>
      <c r="GIY87" s="6"/>
      <c r="GIZ87" s="6"/>
      <c r="GJA87" s="6"/>
      <c r="GJB87" s="6"/>
      <c r="GJC87" s="6"/>
      <c r="GJD87" s="6"/>
      <c r="GJE87" s="6"/>
      <c r="GJF87" s="6"/>
      <c r="GJG87" s="6"/>
      <c r="GJH87" s="6"/>
      <c r="GJI87" s="6"/>
      <c r="GJJ87" s="6"/>
      <c r="GJK87" s="6"/>
      <c r="GJL87" s="6"/>
      <c r="GJM87" s="6"/>
      <c r="GJN87" s="6"/>
      <c r="GJO87" s="6"/>
      <c r="GJP87" s="6"/>
      <c r="GJQ87" s="6"/>
      <c r="GJR87" s="6"/>
      <c r="GJS87" s="6"/>
      <c r="GJT87" s="6"/>
      <c r="GJU87" s="6"/>
      <c r="GJV87" s="6"/>
      <c r="GJW87" s="6"/>
      <c r="GJX87" s="6"/>
      <c r="GJY87" s="6"/>
      <c r="GJZ87" s="6"/>
      <c r="GKA87" s="6"/>
      <c r="GKB87" s="6"/>
      <c r="GKC87" s="6"/>
      <c r="GKD87" s="6"/>
      <c r="GKE87" s="6"/>
      <c r="GKF87" s="6"/>
      <c r="GKG87" s="6"/>
      <c r="GKH87" s="6"/>
      <c r="GKI87" s="6"/>
      <c r="GKJ87" s="6"/>
      <c r="GKK87" s="6"/>
      <c r="GKL87" s="6"/>
      <c r="GKM87" s="6"/>
      <c r="GKN87" s="6"/>
      <c r="GKO87" s="6"/>
      <c r="GKP87" s="6"/>
      <c r="GKQ87" s="6"/>
      <c r="GKR87" s="6"/>
      <c r="GKS87" s="6"/>
      <c r="GKT87" s="6"/>
      <c r="GKU87" s="6"/>
      <c r="GKV87" s="6"/>
      <c r="GKW87" s="6"/>
      <c r="GKX87" s="6"/>
      <c r="GKY87" s="6"/>
      <c r="GKZ87" s="6"/>
      <c r="GLA87" s="6"/>
      <c r="GLB87" s="6"/>
      <c r="GLC87" s="6"/>
      <c r="GLD87" s="6"/>
      <c r="GLE87" s="6"/>
      <c r="GLF87" s="6"/>
      <c r="GLG87" s="6"/>
      <c r="GLH87" s="6"/>
      <c r="GLI87" s="6"/>
      <c r="GLJ87" s="6"/>
      <c r="GLK87" s="6"/>
      <c r="GLL87" s="6"/>
      <c r="GLM87" s="6"/>
      <c r="GLN87" s="6"/>
      <c r="GLO87" s="6"/>
      <c r="GLP87" s="6"/>
      <c r="GLQ87" s="6"/>
      <c r="GLR87" s="6"/>
      <c r="GLS87" s="6"/>
      <c r="GLT87" s="6"/>
      <c r="GLU87" s="6"/>
      <c r="GLV87" s="6"/>
      <c r="GLW87" s="6"/>
      <c r="GLX87" s="6"/>
      <c r="GLY87" s="6"/>
      <c r="GLZ87" s="6"/>
      <c r="GMA87" s="6"/>
      <c r="GMB87" s="6"/>
      <c r="GMC87" s="6"/>
      <c r="GMD87" s="6"/>
      <c r="GME87" s="6"/>
      <c r="GMF87" s="6"/>
      <c r="GMG87" s="6"/>
      <c r="GMH87" s="6"/>
      <c r="GMI87" s="6"/>
      <c r="GMJ87" s="6"/>
      <c r="GMK87" s="6"/>
      <c r="GML87" s="6"/>
      <c r="GMM87" s="6"/>
      <c r="GMN87" s="6"/>
      <c r="GMO87" s="6"/>
      <c r="GMP87" s="6"/>
      <c r="GMQ87" s="6"/>
      <c r="GMR87" s="6"/>
      <c r="GMS87" s="6"/>
      <c r="GMT87" s="6"/>
      <c r="GMU87" s="6"/>
      <c r="GMV87" s="6"/>
      <c r="GMW87" s="6"/>
      <c r="GMX87" s="6"/>
      <c r="GMY87" s="6"/>
      <c r="GMZ87" s="6"/>
      <c r="GNA87" s="6"/>
      <c r="GNB87" s="6"/>
      <c r="GNC87" s="6"/>
      <c r="GND87" s="6"/>
      <c r="GNE87" s="6"/>
      <c r="GNF87" s="6"/>
      <c r="GNG87" s="6"/>
      <c r="GNH87" s="6"/>
      <c r="GNI87" s="6"/>
      <c r="GNJ87" s="6"/>
      <c r="GNK87" s="6"/>
      <c r="GNL87" s="6"/>
      <c r="GNM87" s="6"/>
      <c r="GNN87" s="6"/>
      <c r="GNO87" s="6"/>
      <c r="GNP87" s="6"/>
      <c r="GNQ87" s="6"/>
      <c r="GNR87" s="6"/>
      <c r="GNS87" s="6"/>
      <c r="GNT87" s="6"/>
      <c r="GNU87" s="6"/>
      <c r="GNV87" s="6"/>
      <c r="GNW87" s="6"/>
      <c r="GNX87" s="6"/>
      <c r="GNY87" s="6"/>
      <c r="GNZ87" s="6"/>
      <c r="GOA87" s="6"/>
      <c r="GOB87" s="6"/>
      <c r="GOC87" s="6"/>
      <c r="GOD87" s="6"/>
      <c r="GOE87" s="6"/>
      <c r="GOF87" s="6"/>
      <c r="GOG87" s="6"/>
      <c r="GOH87" s="6"/>
      <c r="GOI87" s="6"/>
      <c r="GOJ87" s="6"/>
      <c r="GOK87" s="6"/>
      <c r="GOL87" s="6"/>
      <c r="GOM87" s="6"/>
      <c r="GON87" s="6"/>
      <c r="GOO87" s="6"/>
      <c r="GOP87" s="6"/>
      <c r="GOQ87" s="6"/>
      <c r="GOR87" s="6"/>
      <c r="GOS87" s="6"/>
      <c r="GOT87" s="6"/>
      <c r="GOU87" s="6"/>
      <c r="GOV87" s="6"/>
      <c r="GOW87" s="6"/>
      <c r="GOX87" s="6"/>
      <c r="GOY87" s="6"/>
      <c r="GOZ87" s="6"/>
      <c r="GPA87" s="6"/>
      <c r="GPB87" s="6"/>
      <c r="GPC87" s="6"/>
      <c r="GPD87" s="6"/>
      <c r="GPE87" s="6"/>
      <c r="GPF87" s="6"/>
      <c r="GPG87" s="6"/>
      <c r="GPH87" s="6"/>
      <c r="GPI87" s="6"/>
      <c r="GPJ87" s="6"/>
      <c r="GPK87" s="6"/>
      <c r="GPL87" s="6"/>
      <c r="GPM87" s="6"/>
      <c r="GPN87" s="6"/>
      <c r="GPO87" s="6"/>
      <c r="GPP87" s="6"/>
      <c r="GPQ87" s="6"/>
      <c r="GPR87" s="6"/>
      <c r="GPS87" s="6"/>
      <c r="GPT87" s="6"/>
      <c r="GPU87" s="6"/>
      <c r="GPV87" s="6"/>
      <c r="GPW87" s="6"/>
      <c r="GPX87" s="6"/>
      <c r="GPY87" s="6"/>
      <c r="GPZ87" s="6"/>
      <c r="GQA87" s="6"/>
      <c r="GQB87" s="6"/>
      <c r="GQC87" s="6"/>
      <c r="GQD87" s="6"/>
      <c r="GQE87" s="6"/>
      <c r="GQF87" s="6"/>
      <c r="GQG87" s="6"/>
      <c r="GQH87" s="6"/>
      <c r="GQI87" s="6"/>
      <c r="GQJ87" s="6"/>
      <c r="GQK87" s="6"/>
      <c r="GQL87" s="6"/>
      <c r="GQM87" s="6"/>
      <c r="GQN87" s="6"/>
      <c r="GQO87" s="6"/>
      <c r="GQP87" s="6"/>
      <c r="GQQ87" s="6"/>
      <c r="GQR87" s="6"/>
      <c r="GQS87" s="6"/>
      <c r="GQT87" s="6"/>
      <c r="GQU87" s="6"/>
      <c r="GQV87" s="6"/>
      <c r="GQW87" s="6"/>
      <c r="GQX87" s="6"/>
      <c r="GQY87" s="6"/>
      <c r="GQZ87" s="6"/>
      <c r="GRA87" s="6"/>
      <c r="GRB87" s="6"/>
      <c r="GRC87" s="6"/>
      <c r="GRD87" s="6"/>
      <c r="GRE87" s="6"/>
      <c r="GRF87" s="6"/>
      <c r="GRG87" s="6"/>
      <c r="GRH87" s="6"/>
      <c r="GRI87" s="6"/>
      <c r="GRJ87" s="6"/>
      <c r="GRK87" s="6"/>
      <c r="GRL87" s="6"/>
      <c r="GRM87" s="6"/>
      <c r="GRN87" s="6"/>
      <c r="GRO87" s="6"/>
      <c r="GRP87" s="6"/>
      <c r="GRQ87" s="6"/>
      <c r="GRR87" s="6"/>
      <c r="GRS87" s="6"/>
      <c r="GRT87" s="6"/>
      <c r="GRU87" s="6"/>
      <c r="GRV87" s="6"/>
      <c r="GRW87" s="6"/>
      <c r="GRX87" s="6"/>
      <c r="GRY87" s="6"/>
      <c r="GRZ87" s="6"/>
      <c r="GSA87" s="6"/>
      <c r="GSB87" s="6"/>
      <c r="GSC87" s="6"/>
      <c r="GSD87" s="6"/>
      <c r="GSE87" s="6"/>
      <c r="GSF87" s="6"/>
      <c r="GSG87" s="6"/>
      <c r="GSH87" s="6"/>
      <c r="GSI87" s="6"/>
      <c r="GSJ87" s="6"/>
      <c r="GSK87" s="6"/>
      <c r="GSL87" s="6"/>
      <c r="GSM87" s="6"/>
      <c r="GSN87" s="6"/>
      <c r="GSO87" s="6"/>
      <c r="GSP87" s="6"/>
      <c r="GSQ87" s="6"/>
      <c r="GSR87" s="6"/>
      <c r="GSS87" s="6"/>
      <c r="GST87" s="6"/>
      <c r="GSU87" s="6"/>
      <c r="GSV87" s="6"/>
      <c r="GSW87" s="6"/>
      <c r="GSX87" s="6"/>
      <c r="GSY87" s="6"/>
      <c r="GSZ87" s="6"/>
      <c r="GTA87" s="6"/>
      <c r="GTB87" s="6"/>
      <c r="GTC87" s="6"/>
      <c r="GTD87" s="6"/>
      <c r="GTE87" s="6"/>
      <c r="GTF87" s="6"/>
      <c r="GTG87" s="6"/>
      <c r="GTH87" s="6"/>
      <c r="GTI87" s="6"/>
      <c r="GTJ87" s="6"/>
      <c r="GTK87" s="6"/>
      <c r="GTL87" s="6"/>
      <c r="GTM87" s="6"/>
      <c r="GTN87" s="6"/>
      <c r="GTO87" s="6"/>
      <c r="GTP87" s="6"/>
      <c r="GTQ87" s="6"/>
      <c r="GTR87" s="6"/>
      <c r="GTS87" s="6"/>
      <c r="GTT87" s="6"/>
      <c r="GTU87" s="6"/>
      <c r="GTV87" s="6"/>
      <c r="GTW87" s="6"/>
      <c r="GTX87" s="6"/>
      <c r="GTY87" s="6"/>
      <c r="GTZ87" s="6"/>
      <c r="GUA87" s="6"/>
      <c r="GUB87" s="6"/>
      <c r="GUC87" s="6"/>
      <c r="GUD87" s="6"/>
      <c r="GUE87" s="6"/>
      <c r="GUF87" s="6"/>
      <c r="GUG87" s="6"/>
      <c r="GUH87" s="6"/>
      <c r="GUI87" s="6"/>
      <c r="GUJ87" s="6"/>
      <c r="GUK87" s="6"/>
      <c r="GUL87" s="6"/>
      <c r="GUM87" s="6"/>
      <c r="GUN87" s="6"/>
      <c r="GUO87" s="6"/>
      <c r="GUP87" s="6"/>
      <c r="GUQ87" s="6"/>
      <c r="GUR87" s="6"/>
      <c r="GUS87" s="6"/>
      <c r="GUT87" s="6"/>
      <c r="GUU87" s="6"/>
      <c r="GUV87" s="6"/>
      <c r="GUW87" s="6"/>
      <c r="GUX87" s="6"/>
      <c r="GUY87" s="6"/>
      <c r="GUZ87" s="6"/>
      <c r="GVA87" s="6"/>
      <c r="GVB87" s="6"/>
      <c r="GVC87" s="6"/>
      <c r="GVD87" s="6"/>
      <c r="GVE87" s="6"/>
      <c r="GVF87" s="6"/>
      <c r="GVG87" s="6"/>
      <c r="GVH87" s="6"/>
      <c r="GVI87" s="6"/>
      <c r="GVJ87" s="6"/>
      <c r="GVK87" s="6"/>
      <c r="GVL87" s="6"/>
      <c r="GVM87" s="6"/>
      <c r="GVN87" s="6"/>
      <c r="GVO87" s="6"/>
      <c r="GVP87" s="6"/>
      <c r="GVQ87" s="6"/>
      <c r="GVR87" s="6"/>
      <c r="GVS87" s="6"/>
      <c r="GVT87" s="6"/>
      <c r="GVU87" s="6"/>
      <c r="GVV87" s="6"/>
      <c r="GVW87" s="6"/>
      <c r="GVX87" s="6"/>
      <c r="GVY87" s="6"/>
      <c r="GVZ87" s="6"/>
      <c r="GWA87" s="6"/>
      <c r="GWB87" s="6"/>
      <c r="GWC87" s="6"/>
      <c r="GWD87" s="6"/>
      <c r="GWE87" s="6"/>
      <c r="GWF87" s="6"/>
      <c r="GWG87" s="6"/>
      <c r="GWH87" s="6"/>
      <c r="GWI87" s="6"/>
      <c r="GWJ87" s="6"/>
      <c r="GWK87" s="6"/>
      <c r="GWL87" s="6"/>
      <c r="GWM87" s="6"/>
      <c r="GWN87" s="6"/>
      <c r="GWO87" s="6"/>
      <c r="GWP87" s="6"/>
      <c r="GWQ87" s="6"/>
      <c r="GWR87" s="6"/>
      <c r="GWS87" s="6"/>
      <c r="GWT87" s="6"/>
      <c r="GWU87" s="6"/>
      <c r="GWV87" s="6"/>
      <c r="GWW87" s="6"/>
      <c r="GWX87" s="6"/>
      <c r="GWY87" s="6"/>
      <c r="GWZ87" s="6"/>
      <c r="GXA87" s="6"/>
      <c r="GXB87" s="6"/>
      <c r="GXC87" s="6"/>
      <c r="GXD87" s="6"/>
      <c r="GXE87" s="6"/>
      <c r="GXF87" s="6"/>
      <c r="GXG87" s="6"/>
      <c r="GXH87" s="6"/>
      <c r="GXI87" s="6"/>
      <c r="GXJ87" s="6"/>
      <c r="GXK87" s="6"/>
      <c r="GXL87" s="6"/>
      <c r="GXM87" s="6"/>
      <c r="GXN87" s="6"/>
      <c r="GXO87" s="6"/>
      <c r="GXP87" s="6"/>
      <c r="GXQ87" s="6"/>
      <c r="GXR87" s="6"/>
      <c r="GXS87" s="6"/>
      <c r="GXT87" s="6"/>
      <c r="GXU87" s="6"/>
      <c r="GXV87" s="6"/>
      <c r="GXW87" s="6"/>
      <c r="GXX87" s="6"/>
      <c r="GXY87" s="6"/>
      <c r="GXZ87" s="6"/>
      <c r="GYA87" s="6"/>
      <c r="GYB87" s="6"/>
      <c r="GYC87" s="6"/>
      <c r="GYD87" s="6"/>
      <c r="GYE87" s="6"/>
      <c r="GYF87" s="6"/>
      <c r="GYG87" s="6"/>
      <c r="GYH87" s="6"/>
      <c r="GYI87" s="6"/>
      <c r="GYJ87" s="6"/>
      <c r="GYK87" s="6"/>
      <c r="GYL87" s="6"/>
      <c r="GYM87" s="6"/>
      <c r="GYN87" s="6"/>
      <c r="GYO87" s="6"/>
      <c r="GYP87" s="6"/>
      <c r="GYQ87" s="6"/>
      <c r="GYR87" s="6"/>
      <c r="GYS87" s="6"/>
      <c r="GYT87" s="6"/>
      <c r="GYU87" s="6"/>
      <c r="GYV87" s="6"/>
      <c r="GYW87" s="6"/>
      <c r="GYX87" s="6"/>
      <c r="GYY87" s="6"/>
      <c r="GYZ87" s="6"/>
      <c r="GZA87" s="6"/>
      <c r="GZB87" s="6"/>
      <c r="GZC87" s="6"/>
      <c r="GZD87" s="6"/>
      <c r="GZE87" s="6"/>
      <c r="GZF87" s="6"/>
      <c r="GZG87" s="6"/>
      <c r="GZH87" s="6"/>
      <c r="GZI87" s="6"/>
      <c r="GZJ87" s="6"/>
      <c r="GZK87" s="6"/>
      <c r="GZL87" s="6"/>
      <c r="GZM87" s="6"/>
      <c r="GZN87" s="6"/>
      <c r="GZO87" s="6"/>
      <c r="GZP87" s="6"/>
      <c r="GZQ87" s="6"/>
      <c r="GZR87" s="6"/>
      <c r="GZS87" s="6"/>
      <c r="GZT87" s="6"/>
      <c r="GZU87" s="6"/>
      <c r="GZV87" s="6"/>
      <c r="GZW87" s="6"/>
      <c r="GZX87" s="6"/>
      <c r="GZY87" s="6"/>
      <c r="GZZ87" s="6"/>
      <c r="HAA87" s="6"/>
      <c r="HAB87" s="6"/>
      <c r="HAC87" s="6"/>
      <c r="HAD87" s="6"/>
      <c r="HAE87" s="6"/>
      <c r="HAF87" s="6"/>
      <c r="HAG87" s="6"/>
      <c r="HAH87" s="6"/>
      <c r="HAI87" s="6"/>
      <c r="HAJ87" s="6"/>
      <c r="HAK87" s="6"/>
      <c r="HAL87" s="6"/>
      <c r="HAM87" s="6"/>
      <c r="HAN87" s="6"/>
      <c r="HAO87" s="6"/>
      <c r="HAP87" s="6"/>
      <c r="HAQ87" s="6"/>
      <c r="HAR87" s="6"/>
      <c r="HAS87" s="6"/>
      <c r="HAT87" s="6"/>
      <c r="HAU87" s="6"/>
      <c r="HAV87" s="6"/>
      <c r="HAW87" s="6"/>
      <c r="HAX87" s="6"/>
      <c r="HAY87" s="6"/>
      <c r="HAZ87" s="6"/>
      <c r="HBA87" s="6"/>
      <c r="HBB87" s="6"/>
      <c r="HBC87" s="6"/>
      <c r="HBD87" s="6"/>
      <c r="HBE87" s="6"/>
      <c r="HBF87" s="6"/>
      <c r="HBG87" s="6"/>
      <c r="HBH87" s="6"/>
      <c r="HBI87" s="6"/>
      <c r="HBJ87" s="6"/>
      <c r="HBK87" s="6"/>
      <c r="HBL87" s="6"/>
      <c r="HBM87" s="6"/>
      <c r="HBN87" s="6"/>
      <c r="HBO87" s="6"/>
      <c r="HBP87" s="6"/>
      <c r="HBQ87" s="6"/>
      <c r="HBR87" s="6"/>
      <c r="HBS87" s="6"/>
      <c r="HBT87" s="6"/>
      <c r="HBU87" s="6"/>
      <c r="HBV87" s="6"/>
      <c r="HBW87" s="6"/>
      <c r="HBX87" s="6"/>
      <c r="HBY87" s="6"/>
      <c r="HBZ87" s="6"/>
      <c r="HCA87" s="6"/>
      <c r="HCB87" s="6"/>
      <c r="HCC87" s="6"/>
      <c r="HCD87" s="6"/>
      <c r="HCE87" s="6"/>
      <c r="HCF87" s="6"/>
      <c r="HCG87" s="6"/>
      <c r="HCH87" s="6"/>
      <c r="HCI87" s="6"/>
      <c r="HCJ87" s="6"/>
      <c r="HCK87" s="6"/>
      <c r="HCL87" s="6"/>
      <c r="HCM87" s="6"/>
      <c r="HCN87" s="6"/>
      <c r="HCO87" s="6"/>
      <c r="HCP87" s="6"/>
      <c r="HCQ87" s="6"/>
      <c r="HCR87" s="6"/>
      <c r="HCS87" s="6"/>
      <c r="HCT87" s="6"/>
      <c r="HCU87" s="6"/>
      <c r="HCV87" s="6"/>
      <c r="HCW87" s="6"/>
      <c r="HCX87" s="6"/>
      <c r="HCY87" s="6"/>
      <c r="HCZ87" s="6"/>
      <c r="HDA87" s="6"/>
      <c r="HDB87" s="6"/>
      <c r="HDC87" s="6"/>
      <c r="HDD87" s="6"/>
      <c r="HDE87" s="6"/>
      <c r="HDF87" s="6"/>
      <c r="HDG87" s="6"/>
      <c r="HDH87" s="6"/>
      <c r="HDI87" s="6"/>
      <c r="HDJ87" s="6"/>
      <c r="HDK87" s="6"/>
      <c r="HDL87" s="6"/>
      <c r="HDM87" s="6"/>
      <c r="HDN87" s="6"/>
      <c r="HDO87" s="6"/>
      <c r="HDP87" s="6"/>
      <c r="HDQ87" s="6"/>
      <c r="HDR87" s="6"/>
      <c r="HDS87" s="6"/>
      <c r="HDT87" s="6"/>
      <c r="HDU87" s="6"/>
      <c r="HDV87" s="6"/>
      <c r="HDW87" s="6"/>
      <c r="HDX87" s="6"/>
      <c r="HDY87" s="6"/>
      <c r="HDZ87" s="6"/>
      <c r="HEA87" s="6"/>
      <c r="HEB87" s="6"/>
      <c r="HEC87" s="6"/>
      <c r="HED87" s="6"/>
      <c r="HEE87" s="6"/>
      <c r="HEF87" s="6"/>
      <c r="HEG87" s="6"/>
      <c r="HEH87" s="6"/>
      <c r="HEI87" s="6"/>
      <c r="HEJ87" s="6"/>
      <c r="HEK87" s="6"/>
      <c r="HEL87" s="6"/>
      <c r="HEM87" s="6"/>
      <c r="HEN87" s="6"/>
      <c r="HEO87" s="6"/>
      <c r="HEP87" s="6"/>
      <c r="HEQ87" s="6"/>
      <c r="HER87" s="6"/>
      <c r="HES87" s="6"/>
      <c r="HET87" s="6"/>
      <c r="HEU87" s="6"/>
      <c r="HEV87" s="6"/>
      <c r="HEW87" s="6"/>
      <c r="HEX87" s="6"/>
      <c r="HEY87" s="6"/>
      <c r="HEZ87" s="6"/>
      <c r="HFA87" s="6"/>
      <c r="HFB87" s="6"/>
      <c r="HFC87" s="6"/>
      <c r="HFD87" s="6"/>
      <c r="HFE87" s="6"/>
      <c r="HFF87" s="6"/>
      <c r="HFG87" s="6"/>
      <c r="HFH87" s="6"/>
      <c r="HFI87" s="6"/>
      <c r="HFJ87" s="6"/>
      <c r="HFK87" s="6"/>
      <c r="HFL87" s="6"/>
      <c r="HFM87" s="6"/>
      <c r="HFN87" s="6"/>
      <c r="HFO87" s="6"/>
      <c r="HFP87" s="6"/>
      <c r="HFQ87" s="6"/>
      <c r="HFR87" s="6"/>
      <c r="HFS87" s="6"/>
      <c r="HFT87" s="6"/>
      <c r="HFU87" s="6"/>
      <c r="HFV87" s="6"/>
      <c r="HFW87" s="6"/>
      <c r="HFX87" s="6"/>
      <c r="HFY87" s="6"/>
      <c r="HFZ87" s="6"/>
      <c r="HGA87" s="6"/>
      <c r="HGB87" s="6"/>
      <c r="HGC87" s="6"/>
      <c r="HGD87" s="6"/>
      <c r="HGE87" s="6"/>
      <c r="HGF87" s="6"/>
      <c r="HGG87" s="6"/>
      <c r="HGH87" s="6"/>
      <c r="HGI87" s="6"/>
      <c r="HGJ87" s="6"/>
      <c r="HGK87" s="6"/>
      <c r="HGL87" s="6"/>
      <c r="HGM87" s="6"/>
      <c r="HGN87" s="6"/>
      <c r="HGO87" s="6"/>
      <c r="HGP87" s="6"/>
      <c r="HGQ87" s="6"/>
      <c r="HGR87" s="6"/>
      <c r="HGS87" s="6"/>
      <c r="HGT87" s="6"/>
      <c r="HGU87" s="6"/>
      <c r="HGV87" s="6"/>
      <c r="HGW87" s="6"/>
      <c r="HGX87" s="6"/>
      <c r="HGY87" s="6"/>
      <c r="HGZ87" s="6"/>
      <c r="HHA87" s="6"/>
      <c r="HHB87" s="6"/>
      <c r="HHC87" s="6"/>
      <c r="HHD87" s="6"/>
      <c r="HHE87" s="6"/>
      <c r="HHF87" s="6"/>
      <c r="HHG87" s="6"/>
      <c r="HHH87" s="6"/>
      <c r="HHI87" s="6"/>
      <c r="HHJ87" s="6"/>
      <c r="HHK87" s="6"/>
      <c r="HHL87" s="6"/>
      <c r="HHM87" s="6"/>
      <c r="HHN87" s="6"/>
      <c r="HHO87" s="6"/>
      <c r="HHP87" s="6"/>
      <c r="HHQ87" s="6"/>
      <c r="HHR87" s="6"/>
      <c r="HHS87" s="6"/>
      <c r="HHT87" s="6"/>
      <c r="HHU87" s="6"/>
      <c r="HHV87" s="6"/>
      <c r="HHW87" s="6"/>
      <c r="HHX87" s="6"/>
      <c r="HHY87" s="6"/>
      <c r="HHZ87" s="6"/>
      <c r="HIA87" s="6"/>
      <c r="HIB87" s="6"/>
      <c r="HIC87" s="6"/>
      <c r="HID87" s="6"/>
      <c r="HIE87" s="6"/>
      <c r="HIF87" s="6"/>
      <c r="HIG87" s="6"/>
      <c r="HIH87" s="6"/>
      <c r="HII87" s="6"/>
      <c r="HIJ87" s="6"/>
      <c r="HIK87" s="6"/>
      <c r="HIL87" s="6"/>
      <c r="HIM87" s="6"/>
      <c r="HIN87" s="6"/>
      <c r="HIO87" s="6"/>
      <c r="HIP87" s="6"/>
      <c r="HIQ87" s="6"/>
      <c r="HIR87" s="6"/>
      <c r="HIS87" s="6"/>
      <c r="HIT87" s="6"/>
      <c r="HIU87" s="6"/>
      <c r="HIV87" s="6"/>
      <c r="HIW87" s="6"/>
      <c r="HIX87" s="6"/>
      <c r="HIY87" s="6"/>
      <c r="HIZ87" s="6"/>
      <c r="HJA87" s="6"/>
      <c r="HJB87" s="6"/>
      <c r="HJC87" s="6"/>
      <c r="HJD87" s="6"/>
      <c r="HJE87" s="6"/>
      <c r="HJF87" s="6"/>
      <c r="HJG87" s="6"/>
      <c r="HJH87" s="6"/>
      <c r="HJI87" s="6"/>
      <c r="HJJ87" s="6"/>
      <c r="HJK87" s="6"/>
      <c r="HJL87" s="6"/>
      <c r="HJM87" s="6"/>
      <c r="HJN87" s="6"/>
      <c r="HJO87" s="6"/>
      <c r="HJP87" s="6"/>
      <c r="HJQ87" s="6"/>
      <c r="HJR87" s="6"/>
      <c r="HJS87" s="6"/>
      <c r="HJT87" s="6"/>
      <c r="HJU87" s="6"/>
      <c r="HJV87" s="6"/>
      <c r="HJW87" s="6"/>
      <c r="HJX87" s="6"/>
      <c r="HJY87" s="6"/>
      <c r="HJZ87" s="6"/>
      <c r="HKA87" s="6"/>
      <c r="HKB87" s="6"/>
      <c r="HKC87" s="6"/>
      <c r="HKD87" s="6"/>
      <c r="HKE87" s="6"/>
      <c r="HKF87" s="6"/>
      <c r="HKG87" s="6"/>
      <c r="HKH87" s="6"/>
      <c r="HKI87" s="6"/>
      <c r="HKJ87" s="6"/>
      <c r="HKK87" s="6"/>
      <c r="HKL87" s="6"/>
      <c r="HKM87" s="6"/>
      <c r="HKN87" s="6"/>
      <c r="HKO87" s="6"/>
      <c r="HKP87" s="6"/>
      <c r="HKQ87" s="6"/>
      <c r="HKR87" s="6"/>
      <c r="HKS87" s="6"/>
      <c r="HKT87" s="6"/>
      <c r="HKU87" s="6"/>
      <c r="HKV87" s="6"/>
      <c r="HKW87" s="6"/>
      <c r="HKX87" s="6"/>
      <c r="HKY87" s="6"/>
      <c r="HKZ87" s="6"/>
      <c r="HLA87" s="6"/>
      <c r="HLB87" s="6"/>
      <c r="HLC87" s="6"/>
      <c r="HLD87" s="6"/>
      <c r="HLE87" s="6"/>
      <c r="HLF87" s="6"/>
      <c r="HLG87" s="6"/>
      <c r="HLH87" s="6"/>
      <c r="HLI87" s="6"/>
      <c r="HLJ87" s="6"/>
      <c r="HLK87" s="6"/>
      <c r="HLL87" s="6"/>
      <c r="HLM87" s="6"/>
      <c r="HLN87" s="6"/>
      <c r="HLO87" s="6"/>
      <c r="HLP87" s="6"/>
      <c r="HLQ87" s="6"/>
      <c r="HLR87" s="6"/>
      <c r="HLS87" s="6"/>
      <c r="HLT87" s="6"/>
      <c r="HLU87" s="6"/>
      <c r="HLV87" s="6"/>
      <c r="HLW87" s="6"/>
      <c r="HLX87" s="6"/>
      <c r="HLY87" s="6"/>
      <c r="HLZ87" s="6"/>
      <c r="HMA87" s="6"/>
      <c r="HMB87" s="6"/>
      <c r="HMC87" s="6"/>
      <c r="HMD87" s="6"/>
      <c r="HME87" s="6"/>
      <c r="HMF87" s="6"/>
      <c r="HMG87" s="6"/>
      <c r="HMH87" s="6"/>
      <c r="HMI87" s="6"/>
      <c r="HMJ87" s="6"/>
      <c r="HMK87" s="6"/>
      <c r="HML87" s="6"/>
      <c r="HMM87" s="6"/>
      <c r="HMN87" s="6"/>
      <c r="HMO87" s="6"/>
      <c r="HMP87" s="6"/>
      <c r="HMQ87" s="6"/>
      <c r="HMR87" s="6"/>
      <c r="HMS87" s="6"/>
      <c r="HMT87" s="6"/>
      <c r="HMU87" s="6"/>
      <c r="HMV87" s="6"/>
      <c r="HMW87" s="6"/>
      <c r="HMX87" s="6"/>
      <c r="HMY87" s="6"/>
      <c r="HMZ87" s="6"/>
      <c r="HNA87" s="6"/>
      <c r="HNB87" s="6"/>
      <c r="HNC87" s="6"/>
      <c r="HND87" s="6"/>
      <c r="HNE87" s="6"/>
      <c r="HNF87" s="6"/>
      <c r="HNG87" s="6"/>
      <c r="HNH87" s="6"/>
      <c r="HNI87" s="6"/>
      <c r="HNJ87" s="6"/>
      <c r="HNK87" s="6"/>
      <c r="HNL87" s="6"/>
      <c r="HNM87" s="6"/>
      <c r="HNN87" s="6"/>
      <c r="HNO87" s="6"/>
      <c r="HNP87" s="6"/>
      <c r="HNQ87" s="6"/>
      <c r="HNR87" s="6"/>
      <c r="HNS87" s="6"/>
      <c r="HNT87" s="6"/>
      <c r="HNU87" s="6"/>
      <c r="HNV87" s="6"/>
      <c r="HNW87" s="6"/>
      <c r="HNX87" s="6"/>
      <c r="HNY87" s="6"/>
      <c r="HNZ87" s="6"/>
      <c r="HOA87" s="6"/>
      <c r="HOB87" s="6"/>
      <c r="HOC87" s="6"/>
      <c r="HOD87" s="6"/>
      <c r="HOE87" s="6"/>
      <c r="HOF87" s="6"/>
      <c r="HOG87" s="6"/>
      <c r="HOH87" s="6"/>
      <c r="HOI87" s="6"/>
      <c r="HOJ87" s="6"/>
      <c r="HOK87" s="6"/>
      <c r="HOL87" s="6"/>
      <c r="HOM87" s="6"/>
      <c r="HON87" s="6"/>
      <c r="HOO87" s="6"/>
      <c r="HOP87" s="6"/>
      <c r="HOQ87" s="6"/>
      <c r="HOR87" s="6"/>
      <c r="HOS87" s="6"/>
      <c r="HOT87" s="6"/>
      <c r="HOU87" s="6"/>
      <c r="HOV87" s="6"/>
      <c r="HOW87" s="6"/>
      <c r="HOX87" s="6"/>
      <c r="HOY87" s="6"/>
      <c r="HOZ87" s="6"/>
      <c r="HPA87" s="6"/>
      <c r="HPB87" s="6"/>
      <c r="HPC87" s="6"/>
      <c r="HPD87" s="6"/>
      <c r="HPE87" s="6"/>
      <c r="HPF87" s="6"/>
      <c r="HPG87" s="6"/>
      <c r="HPH87" s="6"/>
      <c r="HPI87" s="6"/>
      <c r="HPJ87" s="6"/>
      <c r="HPK87" s="6"/>
      <c r="HPL87" s="6"/>
      <c r="HPM87" s="6"/>
      <c r="HPN87" s="6"/>
      <c r="HPO87" s="6"/>
      <c r="HPP87" s="6"/>
      <c r="HPQ87" s="6"/>
      <c r="HPR87" s="6"/>
      <c r="HPS87" s="6"/>
      <c r="HPT87" s="6"/>
      <c r="HPU87" s="6"/>
      <c r="HPV87" s="6"/>
      <c r="HPW87" s="6"/>
      <c r="HPX87" s="6"/>
      <c r="HPY87" s="6"/>
      <c r="HPZ87" s="6"/>
      <c r="HQA87" s="6"/>
      <c r="HQB87" s="6"/>
      <c r="HQC87" s="6"/>
      <c r="HQD87" s="6"/>
      <c r="HQE87" s="6"/>
      <c r="HQF87" s="6"/>
      <c r="HQG87" s="6"/>
      <c r="HQH87" s="6"/>
      <c r="HQI87" s="6"/>
      <c r="HQJ87" s="6"/>
      <c r="HQK87" s="6"/>
      <c r="HQL87" s="6"/>
      <c r="HQM87" s="6"/>
      <c r="HQN87" s="6"/>
      <c r="HQO87" s="6"/>
      <c r="HQP87" s="6"/>
      <c r="HQQ87" s="6"/>
      <c r="HQR87" s="6"/>
      <c r="HQS87" s="6"/>
      <c r="HQT87" s="6"/>
      <c r="HQU87" s="6"/>
      <c r="HQV87" s="6"/>
      <c r="HQW87" s="6"/>
      <c r="HQX87" s="6"/>
      <c r="HQY87" s="6"/>
      <c r="HQZ87" s="6"/>
      <c r="HRA87" s="6"/>
      <c r="HRB87" s="6"/>
      <c r="HRC87" s="6"/>
      <c r="HRD87" s="6"/>
      <c r="HRE87" s="6"/>
      <c r="HRF87" s="6"/>
      <c r="HRG87" s="6"/>
      <c r="HRH87" s="6"/>
      <c r="HRI87" s="6"/>
      <c r="HRJ87" s="6"/>
      <c r="HRK87" s="6"/>
      <c r="HRL87" s="6"/>
      <c r="HRM87" s="6"/>
      <c r="HRN87" s="6"/>
      <c r="HRO87" s="6"/>
      <c r="HRP87" s="6"/>
      <c r="HRQ87" s="6"/>
      <c r="HRR87" s="6"/>
      <c r="HRS87" s="6"/>
      <c r="HRT87" s="6"/>
      <c r="HRU87" s="6"/>
      <c r="HRV87" s="6"/>
      <c r="HRW87" s="6"/>
      <c r="HRX87" s="6"/>
      <c r="HRY87" s="6"/>
      <c r="HRZ87" s="6"/>
      <c r="HSA87" s="6"/>
      <c r="HSB87" s="6"/>
      <c r="HSC87" s="6"/>
      <c r="HSD87" s="6"/>
      <c r="HSE87" s="6"/>
      <c r="HSF87" s="6"/>
      <c r="HSG87" s="6"/>
      <c r="HSH87" s="6"/>
      <c r="HSI87" s="6"/>
      <c r="HSJ87" s="6"/>
      <c r="HSK87" s="6"/>
      <c r="HSL87" s="6"/>
      <c r="HSM87" s="6"/>
      <c r="HSN87" s="6"/>
      <c r="HSO87" s="6"/>
      <c r="HSP87" s="6"/>
      <c r="HSQ87" s="6"/>
      <c r="HSR87" s="6"/>
      <c r="HSS87" s="6"/>
      <c r="HST87" s="6"/>
      <c r="HSU87" s="6"/>
      <c r="HSV87" s="6"/>
      <c r="HSW87" s="6"/>
      <c r="HSX87" s="6"/>
      <c r="HSY87" s="6"/>
      <c r="HSZ87" s="6"/>
      <c r="HTA87" s="6"/>
      <c r="HTB87" s="6"/>
      <c r="HTC87" s="6"/>
      <c r="HTD87" s="6"/>
      <c r="HTE87" s="6"/>
      <c r="HTF87" s="6"/>
      <c r="HTG87" s="6"/>
      <c r="HTH87" s="6"/>
      <c r="HTI87" s="6"/>
      <c r="HTJ87" s="6"/>
      <c r="HTK87" s="6"/>
      <c r="HTL87" s="6"/>
      <c r="HTM87" s="6"/>
      <c r="HTN87" s="6"/>
      <c r="HTO87" s="6"/>
      <c r="HTP87" s="6"/>
      <c r="HTQ87" s="6"/>
      <c r="HTR87" s="6"/>
      <c r="HTS87" s="6"/>
      <c r="HTT87" s="6"/>
      <c r="HTU87" s="6"/>
      <c r="HTV87" s="6"/>
      <c r="HTW87" s="6"/>
      <c r="HTX87" s="6"/>
      <c r="HTY87" s="6"/>
      <c r="HTZ87" s="6"/>
      <c r="HUA87" s="6"/>
      <c r="HUB87" s="6"/>
      <c r="HUC87" s="6"/>
      <c r="HUD87" s="6"/>
      <c r="HUE87" s="6"/>
      <c r="HUF87" s="6"/>
      <c r="HUG87" s="6"/>
      <c r="HUH87" s="6"/>
      <c r="HUI87" s="6"/>
      <c r="HUJ87" s="6"/>
      <c r="HUK87" s="6"/>
      <c r="HUL87" s="6"/>
      <c r="HUM87" s="6"/>
      <c r="HUN87" s="6"/>
      <c r="HUO87" s="6"/>
      <c r="HUP87" s="6"/>
      <c r="HUQ87" s="6"/>
      <c r="HUR87" s="6"/>
      <c r="HUS87" s="6"/>
      <c r="HUT87" s="6"/>
      <c r="HUU87" s="6"/>
      <c r="HUV87" s="6"/>
      <c r="HUW87" s="6"/>
      <c r="HUX87" s="6"/>
      <c r="HUY87" s="6"/>
      <c r="HUZ87" s="6"/>
      <c r="HVA87" s="6"/>
      <c r="HVB87" s="6"/>
      <c r="HVC87" s="6"/>
      <c r="HVD87" s="6"/>
      <c r="HVE87" s="6"/>
      <c r="HVF87" s="6"/>
      <c r="HVG87" s="6"/>
      <c r="HVH87" s="6"/>
      <c r="HVI87" s="6"/>
      <c r="HVJ87" s="6"/>
      <c r="HVK87" s="6"/>
      <c r="HVL87" s="6"/>
      <c r="HVM87" s="6"/>
      <c r="HVN87" s="6"/>
      <c r="HVO87" s="6"/>
      <c r="HVP87" s="6"/>
      <c r="HVQ87" s="6"/>
      <c r="HVR87" s="6"/>
      <c r="HVS87" s="6"/>
      <c r="HVT87" s="6"/>
      <c r="HVU87" s="6"/>
      <c r="HVV87" s="6"/>
      <c r="HVW87" s="6"/>
      <c r="HVX87" s="6"/>
      <c r="HVY87" s="6"/>
      <c r="HVZ87" s="6"/>
      <c r="HWA87" s="6"/>
      <c r="HWB87" s="6"/>
      <c r="HWC87" s="6"/>
      <c r="HWD87" s="6"/>
      <c r="HWE87" s="6"/>
      <c r="HWF87" s="6"/>
      <c r="HWG87" s="6"/>
      <c r="HWH87" s="6"/>
      <c r="HWI87" s="6"/>
      <c r="HWJ87" s="6"/>
      <c r="HWK87" s="6"/>
      <c r="HWL87" s="6"/>
      <c r="HWM87" s="6"/>
      <c r="HWN87" s="6"/>
      <c r="HWO87" s="6"/>
      <c r="HWP87" s="6"/>
      <c r="HWQ87" s="6"/>
      <c r="HWR87" s="6"/>
      <c r="HWS87" s="6"/>
      <c r="HWT87" s="6"/>
      <c r="HWU87" s="6"/>
      <c r="HWV87" s="6"/>
      <c r="HWW87" s="6"/>
      <c r="HWX87" s="6"/>
      <c r="HWY87" s="6"/>
      <c r="HWZ87" s="6"/>
      <c r="HXA87" s="6"/>
      <c r="HXB87" s="6"/>
      <c r="HXC87" s="6"/>
      <c r="HXD87" s="6"/>
      <c r="HXE87" s="6"/>
      <c r="HXF87" s="6"/>
      <c r="HXG87" s="6"/>
      <c r="HXH87" s="6"/>
      <c r="HXI87" s="6"/>
      <c r="HXJ87" s="6"/>
      <c r="HXK87" s="6"/>
      <c r="HXL87" s="6"/>
      <c r="HXM87" s="6"/>
      <c r="HXN87" s="6"/>
      <c r="HXO87" s="6"/>
      <c r="HXP87" s="6"/>
      <c r="HXQ87" s="6"/>
      <c r="HXR87" s="6"/>
      <c r="HXS87" s="6"/>
      <c r="HXT87" s="6"/>
      <c r="HXU87" s="6"/>
      <c r="HXV87" s="6"/>
      <c r="HXW87" s="6"/>
      <c r="HXX87" s="6"/>
      <c r="HXY87" s="6"/>
      <c r="HXZ87" s="6"/>
      <c r="HYA87" s="6"/>
      <c r="HYB87" s="6"/>
      <c r="HYC87" s="6"/>
      <c r="HYD87" s="6"/>
      <c r="HYE87" s="6"/>
      <c r="HYF87" s="6"/>
      <c r="HYG87" s="6"/>
      <c r="HYH87" s="6"/>
      <c r="HYI87" s="6"/>
      <c r="HYJ87" s="6"/>
      <c r="HYK87" s="6"/>
      <c r="HYL87" s="6"/>
      <c r="HYM87" s="6"/>
      <c r="HYN87" s="6"/>
      <c r="HYO87" s="6"/>
      <c r="HYP87" s="6"/>
      <c r="HYQ87" s="6"/>
      <c r="HYR87" s="6"/>
      <c r="HYS87" s="6"/>
      <c r="HYT87" s="6"/>
      <c r="HYU87" s="6"/>
      <c r="HYV87" s="6"/>
      <c r="HYW87" s="6"/>
      <c r="HYX87" s="6"/>
      <c r="HYY87" s="6"/>
      <c r="HYZ87" s="6"/>
      <c r="HZA87" s="6"/>
      <c r="HZB87" s="6"/>
      <c r="HZC87" s="6"/>
      <c r="HZD87" s="6"/>
      <c r="HZE87" s="6"/>
      <c r="HZF87" s="6"/>
      <c r="HZG87" s="6"/>
      <c r="HZH87" s="6"/>
      <c r="HZI87" s="6"/>
      <c r="HZJ87" s="6"/>
      <c r="HZK87" s="6"/>
      <c r="HZL87" s="6"/>
      <c r="HZM87" s="6"/>
      <c r="HZN87" s="6"/>
      <c r="HZO87" s="6"/>
      <c r="HZP87" s="6"/>
      <c r="HZQ87" s="6"/>
      <c r="HZR87" s="6"/>
      <c r="HZS87" s="6"/>
      <c r="HZT87" s="6"/>
      <c r="HZU87" s="6"/>
      <c r="HZV87" s="6"/>
      <c r="HZW87" s="6"/>
      <c r="HZX87" s="6"/>
      <c r="HZY87" s="6"/>
      <c r="HZZ87" s="6"/>
      <c r="IAA87" s="6"/>
      <c r="IAB87" s="6"/>
      <c r="IAC87" s="6"/>
      <c r="IAD87" s="6"/>
      <c r="IAE87" s="6"/>
      <c r="IAF87" s="6"/>
      <c r="IAG87" s="6"/>
      <c r="IAH87" s="6"/>
      <c r="IAI87" s="6"/>
      <c r="IAJ87" s="6"/>
      <c r="IAK87" s="6"/>
      <c r="IAL87" s="6"/>
      <c r="IAM87" s="6"/>
      <c r="IAN87" s="6"/>
      <c r="IAO87" s="6"/>
      <c r="IAP87" s="6"/>
      <c r="IAQ87" s="6"/>
      <c r="IAR87" s="6"/>
      <c r="IAS87" s="6"/>
      <c r="IAT87" s="6"/>
      <c r="IAU87" s="6"/>
      <c r="IAV87" s="6"/>
      <c r="IAW87" s="6"/>
      <c r="IAX87" s="6"/>
      <c r="IAY87" s="6"/>
      <c r="IAZ87" s="6"/>
      <c r="IBA87" s="6"/>
      <c r="IBB87" s="6"/>
      <c r="IBC87" s="6"/>
      <c r="IBD87" s="6"/>
      <c r="IBE87" s="6"/>
      <c r="IBF87" s="6"/>
      <c r="IBG87" s="6"/>
      <c r="IBH87" s="6"/>
      <c r="IBI87" s="6"/>
      <c r="IBJ87" s="6"/>
      <c r="IBK87" s="6"/>
      <c r="IBL87" s="6"/>
      <c r="IBM87" s="6"/>
      <c r="IBN87" s="6"/>
      <c r="IBO87" s="6"/>
      <c r="IBP87" s="6"/>
      <c r="IBQ87" s="6"/>
      <c r="IBR87" s="6"/>
      <c r="IBS87" s="6"/>
      <c r="IBT87" s="6"/>
      <c r="IBU87" s="6"/>
      <c r="IBV87" s="6"/>
      <c r="IBW87" s="6"/>
      <c r="IBX87" s="6"/>
      <c r="IBY87" s="6"/>
      <c r="IBZ87" s="6"/>
      <c r="ICA87" s="6"/>
      <c r="ICB87" s="6"/>
      <c r="ICC87" s="6"/>
      <c r="ICD87" s="6"/>
      <c r="ICE87" s="6"/>
      <c r="ICF87" s="6"/>
      <c r="ICG87" s="6"/>
      <c r="ICH87" s="6"/>
      <c r="ICI87" s="6"/>
      <c r="ICJ87" s="6"/>
      <c r="ICK87" s="6"/>
      <c r="ICL87" s="6"/>
      <c r="ICM87" s="6"/>
      <c r="ICN87" s="6"/>
      <c r="ICO87" s="6"/>
      <c r="ICP87" s="6"/>
      <c r="ICQ87" s="6"/>
      <c r="ICR87" s="6"/>
      <c r="ICS87" s="6"/>
      <c r="ICT87" s="6"/>
      <c r="ICU87" s="6"/>
      <c r="ICV87" s="6"/>
      <c r="ICW87" s="6"/>
      <c r="ICX87" s="6"/>
      <c r="ICY87" s="6"/>
      <c r="ICZ87" s="6"/>
      <c r="IDA87" s="6"/>
      <c r="IDB87" s="6"/>
      <c r="IDC87" s="6"/>
      <c r="IDD87" s="6"/>
      <c r="IDE87" s="6"/>
      <c r="IDF87" s="6"/>
      <c r="IDG87" s="6"/>
      <c r="IDH87" s="6"/>
      <c r="IDI87" s="6"/>
      <c r="IDJ87" s="6"/>
      <c r="IDK87" s="6"/>
      <c r="IDL87" s="6"/>
      <c r="IDM87" s="6"/>
      <c r="IDN87" s="6"/>
      <c r="IDO87" s="6"/>
      <c r="IDP87" s="6"/>
      <c r="IDQ87" s="6"/>
      <c r="IDR87" s="6"/>
      <c r="IDS87" s="6"/>
      <c r="IDT87" s="6"/>
      <c r="IDU87" s="6"/>
      <c r="IDV87" s="6"/>
      <c r="IDW87" s="6"/>
      <c r="IDX87" s="6"/>
      <c r="IDY87" s="6"/>
      <c r="IDZ87" s="6"/>
      <c r="IEA87" s="6"/>
      <c r="IEB87" s="6"/>
      <c r="IEC87" s="6"/>
      <c r="IED87" s="6"/>
      <c r="IEE87" s="6"/>
      <c r="IEF87" s="6"/>
      <c r="IEG87" s="6"/>
      <c r="IEH87" s="6"/>
      <c r="IEI87" s="6"/>
      <c r="IEJ87" s="6"/>
      <c r="IEK87" s="6"/>
      <c r="IEL87" s="6"/>
      <c r="IEM87" s="6"/>
      <c r="IEN87" s="6"/>
      <c r="IEO87" s="6"/>
      <c r="IEP87" s="6"/>
      <c r="IEQ87" s="6"/>
      <c r="IER87" s="6"/>
      <c r="IES87" s="6"/>
      <c r="IET87" s="6"/>
      <c r="IEU87" s="6"/>
      <c r="IEV87" s="6"/>
      <c r="IEW87" s="6"/>
      <c r="IEX87" s="6"/>
      <c r="IEY87" s="6"/>
      <c r="IEZ87" s="6"/>
      <c r="IFA87" s="6"/>
      <c r="IFB87" s="6"/>
      <c r="IFC87" s="6"/>
      <c r="IFD87" s="6"/>
      <c r="IFE87" s="6"/>
      <c r="IFF87" s="6"/>
      <c r="IFG87" s="6"/>
      <c r="IFH87" s="6"/>
      <c r="IFI87" s="6"/>
      <c r="IFJ87" s="6"/>
      <c r="IFK87" s="6"/>
      <c r="IFL87" s="6"/>
      <c r="IFM87" s="6"/>
      <c r="IFN87" s="6"/>
      <c r="IFO87" s="6"/>
      <c r="IFP87" s="6"/>
      <c r="IFQ87" s="6"/>
      <c r="IFR87" s="6"/>
      <c r="IFS87" s="6"/>
      <c r="IFT87" s="6"/>
      <c r="IFU87" s="6"/>
      <c r="IFV87" s="6"/>
      <c r="IFW87" s="6"/>
      <c r="IFX87" s="6"/>
      <c r="IFY87" s="6"/>
      <c r="IFZ87" s="6"/>
      <c r="IGA87" s="6"/>
      <c r="IGB87" s="6"/>
      <c r="IGC87" s="6"/>
      <c r="IGD87" s="6"/>
      <c r="IGE87" s="6"/>
      <c r="IGF87" s="6"/>
      <c r="IGG87" s="6"/>
      <c r="IGH87" s="6"/>
      <c r="IGI87" s="6"/>
      <c r="IGJ87" s="6"/>
      <c r="IGK87" s="6"/>
      <c r="IGL87" s="6"/>
      <c r="IGM87" s="6"/>
      <c r="IGN87" s="6"/>
      <c r="IGO87" s="6"/>
      <c r="IGP87" s="6"/>
      <c r="IGQ87" s="6"/>
      <c r="IGR87" s="6"/>
      <c r="IGS87" s="6"/>
      <c r="IGT87" s="6"/>
      <c r="IGU87" s="6"/>
      <c r="IGV87" s="6"/>
      <c r="IGW87" s="6"/>
      <c r="IGX87" s="6"/>
      <c r="IGY87" s="6"/>
      <c r="IGZ87" s="6"/>
      <c r="IHA87" s="6"/>
      <c r="IHB87" s="6"/>
      <c r="IHC87" s="6"/>
      <c r="IHD87" s="6"/>
      <c r="IHE87" s="6"/>
      <c r="IHF87" s="6"/>
      <c r="IHG87" s="6"/>
      <c r="IHH87" s="6"/>
      <c r="IHI87" s="6"/>
      <c r="IHJ87" s="6"/>
      <c r="IHK87" s="6"/>
      <c r="IHL87" s="6"/>
      <c r="IHM87" s="6"/>
      <c r="IHN87" s="6"/>
      <c r="IHO87" s="6"/>
      <c r="IHP87" s="6"/>
      <c r="IHQ87" s="6"/>
      <c r="IHR87" s="6"/>
      <c r="IHS87" s="6"/>
      <c r="IHT87" s="6"/>
      <c r="IHU87" s="6"/>
      <c r="IHV87" s="6"/>
      <c r="IHW87" s="6"/>
      <c r="IHX87" s="6"/>
      <c r="IHY87" s="6"/>
      <c r="IHZ87" s="6"/>
      <c r="IIA87" s="6"/>
      <c r="IIB87" s="6"/>
      <c r="IIC87" s="6"/>
      <c r="IID87" s="6"/>
      <c r="IIE87" s="6"/>
      <c r="IIF87" s="6"/>
      <c r="IIG87" s="6"/>
      <c r="IIH87" s="6"/>
      <c r="III87" s="6"/>
      <c r="IIJ87" s="6"/>
      <c r="IIK87" s="6"/>
      <c r="IIL87" s="6"/>
      <c r="IIM87" s="6"/>
      <c r="IIN87" s="6"/>
      <c r="IIO87" s="6"/>
      <c r="IIP87" s="6"/>
      <c r="IIQ87" s="6"/>
      <c r="IIR87" s="6"/>
      <c r="IIS87" s="6"/>
      <c r="IIT87" s="6"/>
      <c r="IIU87" s="6"/>
      <c r="IIV87" s="6"/>
      <c r="IIW87" s="6"/>
      <c r="IIX87" s="6"/>
      <c r="IIY87" s="6"/>
      <c r="IIZ87" s="6"/>
      <c r="IJA87" s="6"/>
      <c r="IJB87" s="6"/>
      <c r="IJC87" s="6"/>
      <c r="IJD87" s="6"/>
      <c r="IJE87" s="6"/>
      <c r="IJF87" s="6"/>
      <c r="IJG87" s="6"/>
      <c r="IJH87" s="6"/>
      <c r="IJI87" s="6"/>
      <c r="IJJ87" s="6"/>
      <c r="IJK87" s="6"/>
      <c r="IJL87" s="6"/>
      <c r="IJM87" s="6"/>
      <c r="IJN87" s="6"/>
      <c r="IJO87" s="6"/>
      <c r="IJP87" s="6"/>
      <c r="IJQ87" s="6"/>
      <c r="IJR87" s="6"/>
      <c r="IJS87" s="6"/>
      <c r="IJT87" s="6"/>
      <c r="IJU87" s="6"/>
      <c r="IJV87" s="6"/>
      <c r="IJW87" s="6"/>
      <c r="IJX87" s="6"/>
      <c r="IJY87" s="6"/>
      <c r="IJZ87" s="6"/>
      <c r="IKA87" s="6"/>
      <c r="IKB87" s="6"/>
      <c r="IKC87" s="6"/>
      <c r="IKD87" s="6"/>
      <c r="IKE87" s="6"/>
      <c r="IKF87" s="6"/>
      <c r="IKG87" s="6"/>
      <c r="IKH87" s="6"/>
      <c r="IKI87" s="6"/>
      <c r="IKJ87" s="6"/>
      <c r="IKK87" s="6"/>
      <c r="IKL87" s="6"/>
      <c r="IKM87" s="6"/>
      <c r="IKN87" s="6"/>
      <c r="IKO87" s="6"/>
      <c r="IKP87" s="6"/>
      <c r="IKQ87" s="6"/>
      <c r="IKR87" s="6"/>
      <c r="IKS87" s="6"/>
      <c r="IKT87" s="6"/>
      <c r="IKU87" s="6"/>
      <c r="IKV87" s="6"/>
      <c r="IKW87" s="6"/>
      <c r="IKX87" s="6"/>
      <c r="IKY87" s="6"/>
      <c r="IKZ87" s="6"/>
      <c r="ILA87" s="6"/>
      <c r="ILB87" s="6"/>
      <c r="ILC87" s="6"/>
      <c r="ILD87" s="6"/>
      <c r="ILE87" s="6"/>
      <c r="ILF87" s="6"/>
      <c r="ILG87" s="6"/>
      <c r="ILH87" s="6"/>
      <c r="ILI87" s="6"/>
      <c r="ILJ87" s="6"/>
      <c r="ILK87" s="6"/>
      <c r="ILL87" s="6"/>
      <c r="ILM87" s="6"/>
      <c r="ILN87" s="6"/>
      <c r="ILO87" s="6"/>
      <c r="ILP87" s="6"/>
      <c r="ILQ87" s="6"/>
      <c r="ILR87" s="6"/>
      <c r="ILS87" s="6"/>
      <c r="ILT87" s="6"/>
      <c r="ILU87" s="6"/>
      <c r="ILV87" s="6"/>
      <c r="ILW87" s="6"/>
      <c r="ILX87" s="6"/>
      <c r="ILY87" s="6"/>
      <c r="ILZ87" s="6"/>
      <c r="IMA87" s="6"/>
      <c r="IMB87" s="6"/>
      <c r="IMC87" s="6"/>
      <c r="IMD87" s="6"/>
      <c r="IME87" s="6"/>
      <c r="IMF87" s="6"/>
      <c r="IMG87" s="6"/>
      <c r="IMH87" s="6"/>
      <c r="IMI87" s="6"/>
      <c r="IMJ87" s="6"/>
      <c r="IMK87" s="6"/>
      <c r="IML87" s="6"/>
      <c r="IMM87" s="6"/>
      <c r="IMN87" s="6"/>
      <c r="IMO87" s="6"/>
      <c r="IMP87" s="6"/>
      <c r="IMQ87" s="6"/>
      <c r="IMR87" s="6"/>
      <c r="IMS87" s="6"/>
      <c r="IMT87" s="6"/>
      <c r="IMU87" s="6"/>
      <c r="IMV87" s="6"/>
      <c r="IMW87" s="6"/>
      <c r="IMX87" s="6"/>
      <c r="IMY87" s="6"/>
      <c r="IMZ87" s="6"/>
      <c r="INA87" s="6"/>
      <c r="INB87" s="6"/>
      <c r="INC87" s="6"/>
      <c r="IND87" s="6"/>
      <c r="INE87" s="6"/>
      <c r="INF87" s="6"/>
      <c r="ING87" s="6"/>
      <c r="INH87" s="6"/>
      <c r="INI87" s="6"/>
      <c r="INJ87" s="6"/>
      <c r="INK87" s="6"/>
      <c r="INL87" s="6"/>
      <c r="INM87" s="6"/>
      <c r="INN87" s="6"/>
      <c r="INO87" s="6"/>
      <c r="INP87" s="6"/>
      <c r="INQ87" s="6"/>
      <c r="INR87" s="6"/>
      <c r="INS87" s="6"/>
      <c r="INT87" s="6"/>
      <c r="INU87" s="6"/>
      <c r="INV87" s="6"/>
      <c r="INW87" s="6"/>
      <c r="INX87" s="6"/>
      <c r="INY87" s="6"/>
      <c r="INZ87" s="6"/>
      <c r="IOA87" s="6"/>
      <c r="IOB87" s="6"/>
      <c r="IOC87" s="6"/>
      <c r="IOD87" s="6"/>
      <c r="IOE87" s="6"/>
      <c r="IOF87" s="6"/>
      <c r="IOG87" s="6"/>
      <c r="IOH87" s="6"/>
      <c r="IOI87" s="6"/>
      <c r="IOJ87" s="6"/>
      <c r="IOK87" s="6"/>
      <c r="IOL87" s="6"/>
      <c r="IOM87" s="6"/>
      <c r="ION87" s="6"/>
      <c r="IOO87" s="6"/>
      <c r="IOP87" s="6"/>
      <c r="IOQ87" s="6"/>
      <c r="IOR87" s="6"/>
      <c r="IOS87" s="6"/>
      <c r="IOT87" s="6"/>
      <c r="IOU87" s="6"/>
      <c r="IOV87" s="6"/>
      <c r="IOW87" s="6"/>
      <c r="IOX87" s="6"/>
      <c r="IOY87" s="6"/>
      <c r="IOZ87" s="6"/>
      <c r="IPA87" s="6"/>
      <c r="IPB87" s="6"/>
      <c r="IPC87" s="6"/>
      <c r="IPD87" s="6"/>
      <c r="IPE87" s="6"/>
      <c r="IPF87" s="6"/>
      <c r="IPG87" s="6"/>
      <c r="IPH87" s="6"/>
      <c r="IPI87" s="6"/>
      <c r="IPJ87" s="6"/>
      <c r="IPK87" s="6"/>
      <c r="IPL87" s="6"/>
      <c r="IPM87" s="6"/>
      <c r="IPN87" s="6"/>
      <c r="IPO87" s="6"/>
      <c r="IPP87" s="6"/>
      <c r="IPQ87" s="6"/>
      <c r="IPR87" s="6"/>
      <c r="IPS87" s="6"/>
      <c r="IPT87" s="6"/>
      <c r="IPU87" s="6"/>
      <c r="IPV87" s="6"/>
      <c r="IPW87" s="6"/>
      <c r="IPX87" s="6"/>
      <c r="IPY87" s="6"/>
      <c r="IPZ87" s="6"/>
      <c r="IQA87" s="6"/>
      <c r="IQB87" s="6"/>
      <c r="IQC87" s="6"/>
      <c r="IQD87" s="6"/>
      <c r="IQE87" s="6"/>
      <c r="IQF87" s="6"/>
      <c r="IQG87" s="6"/>
      <c r="IQH87" s="6"/>
      <c r="IQI87" s="6"/>
      <c r="IQJ87" s="6"/>
      <c r="IQK87" s="6"/>
      <c r="IQL87" s="6"/>
      <c r="IQM87" s="6"/>
      <c r="IQN87" s="6"/>
      <c r="IQO87" s="6"/>
      <c r="IQP87" s="6"/>
      <c r="IQQ87" s="6"/>
      <c r="IQR87" s="6"/>
      <c r="IQS87" s="6"/>
      <c r="IQT87" s="6"/>
      <c r="IQU87" s="6"/>
      <c r="IQV87" s="6"/>
      <c r="IQW87" s="6"/>
      <c r="IQX87" s="6"/>
      <c r="IQY87" s="6"/>
      <c r="IQZ87" s="6"/>
      <c r="IRA87" s="6"/>
      <c r="IRB87" s="6"/>
      <c r="IRC87" s="6"/>
      <c r="IRD87" s="6"/>
      <c r="IRE87" s="6"/>
      <c r="IRF87" s="6"/>
      <c r="IRG87" s="6"/>
      <c r="IRH87" s="6"/>
      <c r="IRI87" s="6"/>
      <c r="IRJ87" s="6"/>
      <c r="IRK87" s="6"/>
      <c r="IRL87" s="6"/>
      <c r="IRM87" s="6"/>
      <c r="IRN87" s="6"/>
      <c r="IRO87" s="6"/>
      <c r="IRP87" s="6"/>
      <c r="IRQ87" s="6"/>
      <c r="IRR87" s="6"/>
      <c r="IRS87" s="6"/>
      <c r="IRT87" s="6"/>
      <c r="IRU87" s="6"/>
      <c r="IRV87" s="6"/>
      <c r="IRW87" s="6"/>
      <c r="IRX87" s="6"/>
      <c r="IRY87" s="6"/>
      <c r="IRZ87" s="6"/>
      <c r="ISA87" s="6"/>
      <c r="ISB87" s="6"/>
      <c r="ISC87" s="6"/>
      <c r="ISD87" s="6"/>
      <c r="ISE87" s="6"/>
      <c r="ISF87" s="6"/>
      <c r="ISG87" s="6"/>
      <c r="ISH87" s="6"/>
      <c r="ISI87" s="6"/>
      <c r="ISJ87" s="6"/>
      <c r="ISK87" s="6"/>
      <c r="ISL87" s="6"/>
      <c r="ISM87" s="6"/>
      <c r="ISN87" s="6"/>
      <c r="ISO87" s="6"/>
      <c r="ISP87" s="6"/>
      <c r="ISQ87" s="6"/>
      <c r="ISR87" s="6"/>
      <c r="ISS87" s="6"/>
      <c r="IST87" s="6"/>
      <c r="ISU87" s="6"/>
      <c r="ISV87" s="6"/>
      <c r="ISW87" s="6"/>
      <c r="ISX87" s="6"/>
      <c r="ISY87" s="6"/>
      <c r="ISZ87" s="6"/>
      <c r="ITA87" s="6"/>
      <c r="ITB87" s="6"/>
      <c r="ITC87" s="6"/>
      <c r="ITD87" s="6"/>
      <c r="ITE87" s="6"/>
      <c r="ITF87" s="6"/>
      <c r="ITG87" s="6"/>
      <c r="ITH87" s="6"/>
      <c r="ITI87" s="6"/>
      <c r="ITJ87" s="6"/>
      <c r="ITK87" s="6"/>
      <c r="ITL87" s="6"/>
      <c r="ITM87" s="6"/>
      <c r="ITN87" s="6"/>
      <c r="ITO87" s="6"/>
      <c r="ITP87" s="6"/>
      <c r="ITQ87" s="6"/>
      <c r="ITR87" s="6"/>
      <c r="ITS87" s="6"/>
      <c r="ITT87" s="6"/>
      <c r="ITU87" s="6"/>
      <c r="ITV87" s="6"/>
      <c r="ITW87" s="6"/>
      <c r="ITX87" s="6"/>
      <c r="ITY87" s="6"/>
      <c r="ITZ87" s="6"/>
      <c r="IUA87" s="6"/>
      <c r="IUB87" s="6"/>
      <c r="IUC87" s="6"/>
      <c r="IUD87" s="6"/>
      <c r="IUE87" s="6"/>
      <c r="IUF87" s="6"/>
      <c r="IUG87" s="6"/>
      <c r="IUH87" s="6"/>
      <c r="IUI87" s="6"/>
      <c r="IUJ87" s="6"/>
      <c r="IUK87" s="6"/>
      <c r="IUL87" s="6"/>
      <c r="IUM87" s="6"/>
      <c r="IUN87" s="6"/>
      <c r="IUO87" s="6"/>
      <c r="IUP87" s="6"/>
      <c r="IUQ87" s="6"/>
      <c r="IUR87" s="6"/>
      <c r="IUS87" s="6"/>
      <c r="IUT87" s="6"/>
      <c r="IUU87" s="6"/>
      <c r="IUV87" s="6"/>
      <c r="IUW87" s="6"/>
      <c r="IUX87" s="6"/>
      <c r="IUY87" s="6"/>
      <c r="IUZ87" s="6"/>
      <c r="IVA87" s="6"/>
      <c r="IVB87" s="6"/>
      <c r="IVC87" s="6"/>
      <c r="IVD87" s="6"/>
      <c r="IVE87" s="6"/>
      <c r="IVF87" s="6"/>
      <c r="IVG87" s="6"/>
      <c r="IVH87" s="6"/>
      <c r="IVI87" s="6"/>
      <c r="IVJ87" s="6"/>
      <c r="IVK87" s="6"/>
      <c r="IVL87" s="6"/>
      <c r="IVM87" s="6"/>
      <c r="IVN87" s="6"/>
      <c r="IVO87" s="6"/>
      <c r="IVP87" s="6"/>
      <c r="IVQ87" s="6"/>
      <c r="IVR87" s="6"/>
      <c r="IVS87" s="6"/>
      <c r="IVT87" s="6"/>
      <c r="IVU87" s="6"/>
      <c r="IVV87" s="6"/>
      <c r="IVW87" s="6"/>
      <c r="IVX87" s="6"/>
      <c r="IVY87" s="6"/>
      <c r="IVZ87" s="6"/>
      <c r="IWA87" s="6"/>
      <c r="IWB87" s="6"/>
      <c r="IWC87" s="6"/>
      <c r="IWD87" s="6"/>
      <c r="IWE87" s="6"/>
      <c r="IWF87" s="6"/>
      <c r="IWG87" s="6"/>
      <c r="IWH87" s="6"/>
      <c r="IWI87" s="6"/>
      <c r="IWJ87" s="6"/>
      <c r="IWK87" s="6"/>
      <c r="IWL87" s="6"/>
      <c r="IWM87" s="6"/>
      <c r="IWN87" s="6"/>
      <c r="IWO87" s="6"/>
      <c r="IWP87" s="6"/>
      <c r="IWQ87" s="6"/>
      <c r="IWR87" s="6"/>
      <c r="IWS87" s="6"/>
      <c r="IWT87" s="6"/>
      <c r="IWU87" s="6"/>
      <c r="IWV87" s="6"/>
      <c r="IWW87" s="6"/>
      <c r="IWX87" s="6"/>
      <c r="IWY87" s="6"/>
      <c r="IWZ87" s="6"/>
      <c r="IXA87" s="6"/>
      <c r="IXB87" s="6"/>
      <c r="IXC87" s="6"/>
      <c r="IXD87" s="6"/>
      <c r="IXE87" s="6"/>
      <c r="IXF87" s="6"/>
      <c r="IXG87" s="6"/>
      <c r="IXH87" s="6"/>
      <c r="IXI87" s="6"/>
      <c r="IXJ87" s="6"/>
      <c r="IXK87" s="6"/>
      <c r="IXL87" s="6"/>
      <c r="IXM87" s="6"/>
      <c r="IXN87" s="6"/>
      <c r="IXO87" s="6"/>
      <c r="IXP87" s="6"/>
      <c r="IXQ87" s="6"/>
      <c r="IXR87" s="6"/>
      <c r="IXS87" s="6"/>
      <c r="IXT87" s="6"/>
      <c r="IXU87" s="6"/>
      <c r="IXV87" s="6"/>
      <c r="IXW87" s="6"/>
      <c r="IXX87" s="6"/>
      <c r="IXY87" s="6"/>
      <c r="IXZ87" s="6"/>
      <c r="IYA87" s="6"/>
      <c r="IYB87" s="6"/>
      <c r="IYC87" s="6"/>
      <c r="IYD87" s="6"/>
      <c r="IYE87" s="6"/>
      <c r="IYF87" s="6"/>
      <c r="IYG87" s="6"/>
      <c r="IYH87" s="6"/>
      <c r="IYI87" s="6"/>
      <c r="IYJ87" s="6"/>
      <c r="IYK87" s="6"/>
      <c r="IYL87" s="6"/>
      <c r="IYM87" s="6"/>
      <c r="IYN87" s="6"/>
      <c r="IYO87" s="6"/>
      <c r="IYP87" s="6"/>
      <c r="IYQ87" s="6"/>
      <c r="IYR87" s="6"/>
      <c r="IYS87" s="6"/>
      <c r="IYT87" s="6"/>
      <c r="IYU87" s="6"/>
      <c r="IYV87" s="6"/>
      <c r="IYW87" s="6"/>
      <c r="IYX87" s="6"/>
      <c r="IYY87" s="6"/>
      <c r="IYZ87" s="6"/>
      <c r="IZA87" s="6"/>
      <c r="IZB87" s="6"/>
      <c r="IZC87" s="6"/>
      <c r="IZD87" s="6"/>
      <c r="IZE87" s="6"/>
      <c r="IZF87" s="6"/>
      <c r="IZG87" s="6"/>
      <c r="IZH87" s="6"/>
      <c r="IZI87" s="6"/>
      <c r="IZJ87" s="6"/>
      <c r="IZK87" s="6"/>
      <c r="IZL87" s="6"/>
      <c r="IZM87" s="6"/>
      <c r="IZN87" s="6"/>
      <c r="IZO87" s="6"/>
      <c r="IZP87" s="6"/>
      <c r="IZQ87" s="6"/>
      <c r="IZR87" s="6"/>
      <c r="IZS87" s="6"/>
      <c r="IZT87" s="6"/>
      <c r="IZU87" s="6"/>
      <c r="IZV87" s="6"/>
      <c r="IZW87" s="6"/>
      <c r="IZX87" s="6"/>
      <c r="IZY87" s="6"/>
      <c r="IZZ87" s="6"/>
      <c r="JAA87" s="6"/>
      <c r="JAB87" s="6"/>
      <c r="JAC87" s="6"/>
      <c r="JAD87" s="6"/>
      <c r="JAE87" s="6"/>
      <c r="JAF87" s="6"/>
      <c r="JAG87" s="6"/>
      <c r="JAH87" s="6"/>
      <c r="JAI87" s="6"/>
      <c r="JAJ87" s="6"/>
      <c r="JAK87" s="6"/>
      <c r="JAL87" s="6"/>
      <c r="JAM87" s="6"/>
      <c r="JAN87" s="6"/>
      <c r="JAO87" s="6"/>
      <c r="JAP87" s="6"/>
      <c r="JAQ87" s="6"/>
      <c r="JAR87" s="6"/>
      <c r="JAS87" s="6"/>
      <c r="JAT87" s="6"/>
      <c r="JAU87" s="6"/>
      <c r="JAV87" s="6"/>
      <c r="JAW87" s="6"/>
      <c r="JAX87" s="6"/>
      <c r="JAY87" s="6"/>
      <c r="JAZ87" s="6"/>
      <c r="JBA87" s="6"/>
      <c r="JBB87" s="6"/>
      <c r="JBC87" s="6"/>
      <c r="JBD87" s="6"/>
      <c r="JBE87" s="6"/>
      <c r="JBF87" s="6"/>
      <c r="JBG87" s="6"/>
      <c r="JBH87" s="6"/>
      <c r="JBI87" s="6"/>
      <c r="JBJ87" s="6"/>
      <c r="JBK87" s="6"/>
      <c r="JBL87" s="6"/>
      <c r="JBM87" s="6"/>
      <c r="JBN87" s="6"/>
      <c r="JBO87" s="6"/>
      <c r="JBP87" s="6"/>
      <c r="JBQ87" s="6"/>
      <c r="JBR87" s="6"/>
      <c r="JBS87" s="6"/>
      <c r="JBT87" s="6"/>
      <c r="JBU87" s="6"/>
      <c r="JBV87" s="6"/>
      <c r="JBW87" s="6"/>
      <c r="JBX87" s="6"/>
      <c r="JBY87" s="6"/>
      <c r="JBZ87" s="6"/>
      <c r="JCA87" s="6"/>
      <c r="JCB87" s="6"/>
      <c r="JCC87" s="6"/>
      <c r="JCD87" s="6"/>
      <c r="JCE87" s="6"/>
      <c r="JCF87" s="6"/>
      <c r="JCG87" s="6"/>
      <c r="JCH87" s="6"/>
      <c r="JCI87" s="6"/>
      <c r="JCJ87" s="6"/>
      <c r="JCK87" s="6"/>
      <c r="JCL87" s="6"/>
      <c r="JCM87" s="6"/>
      <c r="JCN87" s="6"/>
      <c r="JCO87" s="6"/>
      <c r="JCP87" s="6"/>
      <c r="JCQ87" s="6"/>
      <c r="JCR87" s="6"/>
      <c r="JCS87" s="6"/>
      <c r="JCT87" s="6"/>
      <c r="JCU87" s="6"/>
      <c r="JCV87" s="6"/>
      <c r="JCW87" s="6"/>
      <c r="JCX87" s="6"/>
      <c r="JCY87" s="6"/>
      <c r="JCZ87" s="6"/>
      <c r="JDA87" s="6"/>
      <c r="JDB87" s="6"/>
      <c r="JDC87" s="6"/>
      <c r="JDD87" s="6"/>
      <c r="JDE87" s="6"/>
      <c r="JDF87" s="6"/>
      <c r="JDG87" s="6"/>
      <c r="JDH87" s="6"/>
      <c r="JDI87" s="6"/>
      <c r="JDJ87" s="6"/>
      <c r="JDK87" s="6"/>
      <c r="JDL87" s="6"/>
      <c r="JDM87" s="6"/>
      <c r="JDN87" s="6"/>
      <c r="JDO87" s="6"/>
      <c r="JDP87" s="6"/>
      <c r="JDQ87" s="6"/>
      <c r="JDR87" s="6"/>
      <c r="JDS87" s="6"/>
      <c r="JDT87" s="6"/>
      <c r="JDU87" s="6"/>
      <c r="JDV87" s="6"/>
      <c r="JDW87" s="6"/>
      <c r="JDX87" s="6"/>
      <c r="JDY87" s="6"/>
      <c r="JDZ87" s="6"/>
      <c r="JEA87" s="6"/>
      <c r="JEB87" s="6"/>
      <c r="JEC87" s="6"/>
      <c r="JED87" s="6"/>
      <c r="JEE87" s="6"/>
      <c r="JEF87" s="6"/>
      <c r="JEG87" s="6"/>
      <c r="JEH87" s="6"/>
      <c r="JEI87" s="6"/>
      <c r="JEJ87" s="6"/>
      <c r="JEK87" s="6"/>
      <c r="JEL87" s="6"/>
      <c r="JEM87" s="6"/>
      <c r="JEN87" s="6"/>
      <c r="JEO87" s="6"/>
      <c r="JEP87" s="6"/>
      <c r="JEQ87" s="6"/>
      <c r="JER87" s="6"/>
      <c r="JES87" s="6"/>
      <c r="JET87" s="6"/>
      <c r="JEU87" s="6"/>
      <c r="JEV87" s="6"/>
      <c r="JEW87" s="6"/>
      <c r="JEX87" s="6"/>
      <c r="JEY87" s="6"/>
      <c r="JEZ87" s="6"/>
      <c r="JFA87" s="6"/>
      <c r="JFB87" s="6"/>
      <c r="JFC87" s="6"/>
      <c r="JFD87" s="6"/>
      <c r="JFE87" s="6"/>
      <c r="JFF87" s="6"/>
      <c r="JFG87" s="6"/>
      <c r="JFH87" s="6"/>
      <c r="JFI87" s="6"/>
      <c r="JFJ87" s="6"/>
      <c r="JFK87" s="6"/>
      <c r="JFL87" s="6"/>
      <c r="JFM87" s="6"/>
      <c r="JFN87" s="6"/>
      <c r="JFO87" s="6"/>
      <c r="JFP87" s="6"/>
      <c r="JFQ87" s="6"/>
      <c r="JFR87" s="6"/>
      <c r="JFS87" s="6"/>
      <c r="JFT87" s="6"/>
      <c r="JFU87" s="6"/>
      <c r="JFV87" s="6"/>
      <c r="JFW87" s="6"/>
      <c r="JFX87" s="6"/>
      <c r="JFY87" s="6"/>
      <c r="JFZ87" s="6"/>
      <c r="JGA87" s="6"/>
      <c r="JGB87" s="6"/>
      <c r="JGC87" s="6"/>
      <c r="JGD87" s="6"/>
      <c r="JGE87" s="6"/>
      <c r="JGF87" s="6"/>
      <c r="JGG87" s="6"/>
      <c r="JGH87" s="6"/>
      <c r="JGI87" s="6"/>
      <c r="JGJ87" s="6"/>
      <c r="JGK87" s="6"/>
      <c r="JGL87" s="6"/>
      <c r="JGM87" s="6"/>
      <c r="JGN87" s="6"/>
      <c r="JGO87" s="6"/>
      <c r="JGP87" s="6"/>
      <c r="JGQ87" s="6"/>
      <c r="JGR87" s="6"/>
      <c r="JGS87" s="6"/>
      <c r="JGT87" s="6"/>
      <c r="JGU87" s="6"/>
      <c r="JGV87" s="6"/>
      <c r="JGW87" s="6"/>
      <c r="JGX87" s="6"/>
      <c r="JGY87" s="6"/>
      <c r="JGZ87" s="6"/>
      <c r="JHA87" s="6"/>
      <c r="JHB87" s="6"/>
      <c r="JHC87" s="6"/>
      <c r="JHD87" s="6"/>
      <c r="JHE87" s="6"/>
      <c r="JHF87" s="6"/>
      <c r="JHG87" s="6"/>
      <c r="JHH87" s="6"/>
      <c r="JHI87" s="6"/>
      <c r="JHJ87" s="6"/>
      <c r="JHK87" s="6"/>
      <c r="JHL87" s="6"/>
      <c r="JHM87" s="6"/>
      <c r="JHN87" s="6"/>
      <c r="JHO87" s="6"/>
      <c r="JHP87" s="6"/>
      <c r="JHQ87" s="6"/>
      <c r="JHR87" s="6"/>
      <c r="JHS87" s="6"/>
      <c r="JHT87" s="6"/>
      <c r="JHU87" s="6"/>
      <c r="JHV87" s="6"/>
      <c r="JHW87" s="6"/>
      <c r="JHX87" s="6"/>
      <c r="JHY87" s="6"/>
      <c r="JHZ87" s="6"/>
      <c r="JIA87" s="6"/>
      <c r="JIB87" s="6"/>
      <c r="JIC87" s="6"/>
      <c r="JID87" s="6"/>
      <c r="JIE87" s="6"/>
      <c r="JIF87" s="6"/>
      <c r="JIG87" s="6"/>
      <c r="JIH87" s="6"/>
      <c r="JII87" s="6"/>
      <c r="JIJ87" s="6"/>
      <c r="JIK87" s="6"/>
      <c r="JIL87" s="6"/>
      <c r="JIM87" s="6"/>
      <c r="JIN87" s="6"/>
      <c r="JIO87" s="6"/>
      <c r="JIP87" s="6"/>
      <c r="JIQ87" s="6"/>
      <c r="JIR87" s="6"/>
      <c r="JIS87" s="6"/>
      <c r="JIT87" s="6"/>
      <c r="JIU87" s="6"/>
      <c r="JIV87" s="6"/>
      <c r="JIW87" s="6"/>
      <c r="JIX87" s="6"/>
      <c r="JIY87" s="6"/>
      <c r="JIZ87" s="6"/>
      <c r="JJA87" s="6"/>
      <c r="JJB87" s="6"/>
      <c r="JJC87" s="6"/>
      <c r="JJD87" s="6"/>
      <c r="JJE87" s="6"/>
      <c r="JJF87" s="6"/>
      <c r="JJG87" s="6"/>
      <c r="JJH87" s="6"/>
      <c r="JJI87" s="6"/>
      <c r="JJJ87" s="6"/>
      <c r="JJK87" s="6"/>
      <c r="JJL87" s="6"/>
      <c r="JJM87" s="6"/>
      <c r="JJN87" s="6"/>
      <c r="JJO87" s="6"/>
      <c r="JJP87" s="6"/>
      <c r="JJQ87" s="6"/>
      <c r="JJR87" s="6"/>
      <c r="JJS87" s="6"/>
      <c r="JJT87" s="6"/>
      <c r="JJU87" s="6"/>
      <c r="JJV87" s="6"/>
      <c r="JJW87" s="6"/>
      <c r="JJX87" s="6"/>
      <c r="JJY87" s="6"/>
      <c r="JJZ87" s="6"/>
      <c r="JKA87" s="6"/>
      <c r="JKB87" s="6"/>
      <c r="JKC87" s="6"/>
      <c r="JKD87" s="6"/>
      <c r="JKE87" s="6"/>
      <c r="JKF87" s="6"/>
      <c r="JKG87" s="6"/>
      <c r="JKH87" s="6"/>
      <c r="JKI87" s="6"/>
      <c r="JKJ87" s="6"/>
      <c r="JKK87" s="6"/>
      <c r="JKL87" s="6"/>
      <c r="JKM87" s="6"/>
      <c r="JKN87" s="6"/>
      <c r="JKO87" s="6"/>
      <c r="JKP87" s="6"/>
      <c r="JKQ87" s="6"/>
      <c r="JKR87" s="6"/>
      <c r="JKS87" s="6"/>
      <c r="JKT87" s="6"/>
      <c r="JKU87" s="6"/>
      <c r="JKV87" s="6"/>
      <c r="JKW87" s="6"/>
      <c r="JKX87" s="6"/>
      <c r="JKY87" s="6"/>
      <c r="JKZ87" s="6"/>
      <c r="JLA87" s="6"/>
      <c r="JLB87" s="6"/>
      <c r="JLC87" s="6"/>
      <c r="JLD87" s="6"/>
      <c r="JLE87" s="6"/>
      <c r="JLF87" s="6"/>
      <c r="JLG87" s="6"/>
      <c r="JLH87" s="6"/>
      <c r="JLI87" s="6"/>
      <c r="JLJ87" s="6"/>
      <c r="JLK87" s="6"/>
      <c r="JLL87" s="6"/>
      <c r="JLM87" s="6"/>
      <c r="JLN87" s="6"/>
      <c r="JLO87" s="6"/>
      <c r="JLP87" s="6"/>
      <c r="JLQ87" s="6"/>
      <c r="JLR87" s="6"/>
      <c r="JLS87" s="6"/>
      <c r="JLT87" s="6"/>
      <c r="JLU87" s="6"/>
      <c r="JLV87" s="6"/>
      <c r="JLW87" s="6"/>
      <c r="JLX87" s="6"/>
      <c r="JLY87" s="6"/>
      <c r="JLZ87" s="6"/>
      <c r="JMA87" s="6"/>
      <c r="JMB87" s="6"/>
      <c r="JMC87" s="6"/>
      <c r="JMD87" s="6"/>
      <c r="JME87" s="6"/>
      <c r="JMF87" s="6"/>
      <c r="JMG87" s="6"/>
      <c r="JMH87" s="6"/>
      <c r="JMI87" s="6"/>
      <c r="JMJ87" s="6"/>
      <c r="JMK87" s="6"/>
      <c r="JML87" s="6"/>
      <c r="JMM87" s="6"/>
      <c r="JMN87" s="6"/>
      <c r="JMO87" s="6"/>
      <c r="JMP87" s="6"/>
      <c r="JMQ87" s="6"/>
      <c r="JMR87" s="6"/>
      <c r="JMS87" s="6"/>
      <c r="JMT87" s="6"/>
      <c r="JMU87" s="6"/>
      <c r="JMV87" s="6"/>
      <c r="JMW87" s="6"/>
      <c r="JMX87" s="6"/>
      <c r="JMY87" s="6"/>
      <c r="JMZ87" s="6"/>
      <c r="JNA87" s="6"/>
      <c r="JNB87" s="6"/>
      <c r="JNC87" s="6"/>
      <c r="JND87" s="6"/>
      <c r="JNE87" s="6"/>
      <c r="JNF87" s="6"/>
      <c r="JNG87" s="6"/>
      <c r="JNH87" s="6"/>
      <c r="JNI87" s="6"/>
      <c r="JNJ87" s="6"/>
      <c r="JNK87" s="6"/>
      <c r="JNL87" s="6"/>
      <c r="JNM87" s="6"/>
      <c r="JNN87" s="6"/>
      <c r="JNO87" s="6"/>
      <c r="JNP87" s="6"/>
      <c r="JNQ87" s="6"/>
      <c r="JNR87" s="6"/>
      <c r="JNS87" s="6"/>
      <c r="JNT87" s="6"/>
      <c r="JNU87" s="6"/>
      <c r="JNV87" s="6"/>
      <c r="JNW87" s="6"/>
      <c r="JNX87" s="6"/>
      <c r="JNY87" s="6"/>
      <c r="JNZ87" s="6"/>
      <c r="JOA87" s="6"/>
      <c r="JOB87" s="6"/>
      <c r="JOC87" s="6"/>
      <c r="JOD87" s="6"/>
      <c r="JOE87" s="6"/>
      <c r="JOF87" s="6"/>
      <c r="JOG87" s="6"/>
      <c r="JOH87" s="6"/>
      <c r="JOI87" s="6"/>
      <c r="JOJ87" s="6"/>
      <c r="JOK87" s="6"/>
      <c r="JOL87" s="6"/>
      <c r="JOM87" s="6"/>
      <c r="JON87" s="6"/>
      <c r="JOO87" s="6"/>
      <c r="JOP87" s="6"/>
      <c r="JOQ87" s="6"/>
      <c r="JOR87" s="6"/>
      <c r="JOS87" s="6"/>
      <c r="JOT87" s="6"/>
      <c r="JOU87" s="6"/>
      <c r="JOV87" s="6"/>
      <c r="JOW87" s="6"/>
      <c r="JOX87" s="6"/>
      <c r="JOY87" s="6"/>
      <c r="JOZ87" s="6"/>
      <c r="JPA87" s="6"/>
      <c r="JPB87" s="6"/>
      <c r="JPC87" s="6"/>
      <c r="JPD87" s="6"/>
      <c r="JPE87" s="6"/>
      <c r="JPF87" s="6"/>
      <c r="JPG87" s="6"/>
      <c r="JPH87" s="6"/>
      <c r="JPI87" s="6"/>
      <c r="JPJ87" s="6"/>
      <c r="JPK87" s="6"/>
      <c r="JPL87" s="6"/>
      <c r="JPM87" s="6"/>
      <c r="JPN87" s="6"/>
      <c r="JPO87" s="6"/>
      <c r="JPP87" s="6"/>
      <c r="JPQ87" s="6"/>
      <c r="JPR87" s="6"/>
      <c r="JPS87" s="6"/>
      <c r="JPT87" s="6"/>
      <c r="JPU87" s="6"/>
      <c r="JPV87" s="6"/>
      <c r="JPW87" s="6"/>
      <c r="JPX87" s="6"/>
      <c r="JPY87" s="6"/>
      <c r="JPZ87" s="6"/>
      <c r="JQA87" s="6"/>
      <c r="JQB87" s="6"/>
      <c r="JQC87" s="6"/>
      <c r="JQD87" s="6"/>
      <c r="JQE87" s="6"/>
      <c r="JQF87" s="6"/>
      <c r="JQG87" s="6"/>
      <c r="JQH87" s="6"/>
      <c r="JQI87" s="6"/>
      <c r="JQJ87" s="6"/>
      <c r="JQK87" s="6"/>
      <c r="JQL87" s="6"/>
      <c r="JQM87" s="6"/>
      <c r="JQN87" s="6"/>
      <c r="JQO87" s="6"/>
      <c r="JQP87" s="6"/>
      <c r="JQQ87" s="6"/>
      <c r="JQR87" s="6"/>
      <c r="JQS87" s="6"/>
      <c r="JQT87" s="6"/>
      <c r="JQU87" s="6"/>
      <c r="JQV87" s="6"/>
      <c r="JQW87" s="6"/>
      <c r="JQX87" s="6"/>
      <c r="JQY87" s="6"/>
      <c r="JQZ87" s="6"/>
      <c r="JRA87" s="6"/>
      <c r="JRB87" s="6"/>
      <c r="JRC87" s="6"/>
      <c r="JRD87" s="6"/>
      <c r="JRE87" s="6"/>
      <c r="JRF87" s="6"/>
      <c r="JRG87" s="6"/>
      <c r="JRH87" s="6"/>
      <c r="JRI87" s="6"/>
      <c r="JRJ87" s="6"/>
      <c r="JRK87" s="6"/>
      <c r="JRL87" s="6"/>
      <c r="JRM87" s="6"/>
      <c r="JRN87" s="6"/>
      <c r="JRO87" s="6"/>
      <c r="JRP87" s="6"/>
      <c r="JRQ87" s="6"/>
      <c r="JRR87" s="6"/>
      <c r="JRS87" s="6"/>
      <c r="JRT87" s="6"/>
      <c r="JRU87" s="6"/>
      <c r="JRV87" s="6"/>
      <c r="JRW87" s="6"/>
      <c r="JRX87" s="6"/>
      <c r="JRY87" s="6"/>
      <c r="JRZ87" s="6"/>
      <c r="JSA87" s="6"/>
      <c r="JSB87" s="6"/>
      <c r="JSC87" s="6"/>
      <c r="JSD87" s="6"/>
      <c r="JSE87" s="6"/>
      <c r="JSF87" s="6"/>
      <c r="JSG87" s="6"/>
      <c r="JSH87" s="6"/>
      <c r="JSI87" s="6"/>
      <c r="JSJ87" s="6"/>
      <c r="JSK87" s="6"/>
      <c r="JSL87" s="6"/>
      <c r="JSM87" s="6"/>
      <c r="JSN87" s="6"/>
      <c r="JSO87" s="6"/>
      <c r="JSP87" s="6"/>
      <c r="JSQ87" s="6"/>
      <c r="JSR87" s="6"/>
      <c r="JSS87" s="6"/>
      <c r="JST87" s="6"/>
      <c r="JSU87" s="6"/>
      <c r="JSV87" s="6"/>
      <c r="JSW87" s="6"/>
      <c r="JSX87" s="6"/>
      <c r="JSY87" s="6"/>
      <c r="JSZ87" s="6"/>
      <c r="JTA87" s="6"/>
      <c r="JTB87" s="6"/>
      <c r="JTC87" s="6"/>
      <c r="JTD87" s="6"/>
      <c r="JTE87" s="6"/>
      <c r="JTF87" s="6"/>
      <c r="JTG87" s="6"/>
      <c r="JTH87" s="6"/>
      <c r="JTI87" s="6"/>
      <c r="JTJ87" s="6"/>
      <c r="JTK87" s="6"/>
      <c r="JTL87" s="6"/>
      <c r="JTM87" s="6"/>
      <c r="JTN87" s="6"/>
      <c r="JTO87" s="6"/>
      <c r="JTP87" s="6"/>
      <c r="JTQ87" s="6"/>
      <c r="JTR87" s="6"/>
      <c r="JTS87" s="6"/>
      <c r="JTT87" s="6"/>
      <c r="JTU87" s="6"/>
      <c r="JTV87" s="6"/>
      <c r="JTW87" s="6"/>
      <c r="JTX87" s="6"/>
      <c r="JTY87" s="6"/>
      <c r="JTZ87" s="6"/>
      <c r="JUA87" s="6"/>
      <c r="JUB87" s="6"/>
      <c r="JUC87" s="6"/>
      <c r="JUD87" s="6"/>
      <c r="JUE87" s="6"/>
      <c r="JUF87" s="6"/>
      <c r="JUG87" s="6"/>
      <c r="JUH87" s="6"/>
      <c r="JUI87" s="6"/>
      <c r="JUJ87" s="6"/>
      <c r="JUK87" s="6"/>
      <c r="JUL87" s="6"/>
      <c r="JUM87" s="6"/>
      <c r="JUN87" s="6"/>
      <c r="JUO87" s="6"/>
      <c r="JUP87" s="6"/>
      <c r="JUQ87" s="6"/>
      <c r="JUR87" s="6"/>
      <c r="JUS87" s="6"/>
      <c r="JUT87" s="6"/>
      <c r="JUU87" s="6"/>
      <c r="JUV87" s="6"/>
      <c r="JUW87" s="6"/>
      <c r="JUX87" s="6"/>
      <c r="JUY87" s="6"/>
      <c r="JUZ87" s="6"/>
      <c r="JVA87" s="6"/>
      <c r="JVB87" s="6"/>
      <c r="JVC87" s="6"/>
      <c r="JVD87" s="6"/>
      <c r="JVE87" s="6"/>
      <c r="JVF87" s="6"/>
      <c r="JVG87" s="6"/>
      <c r="JVH87" s="6"/>
      <c r="JVI87" s="6"/>
      <c r="JVJ87" s="6"/>
      <c r="JVK87" s="6"/>
      <c r="JVL87" s="6"/>
      <c r="JVM87" s="6"/>
      <c r="JVN87" s="6"/>
      <c r="JVO87" s="6"/>
      <c r="JVP87" s="6"/>
      <c r="JVQ87" s="6"/>
      <c r="JVR87" s="6"/>
      <c r="JVS87" s="6"/>
      <c r="JVT87" s="6"/>
      <c r="JVU87" s="6"/>
      <c r="JVV87" s="6"/>
      <c r="JVW87" s="6"/>
      <c r="JVX87" s="6"/>
      <c r="JVY87" s="6"/>
      <c r="JVZ87" s="6"/>
      <c r="JWA87" s="6"/>
      <c r="JWB87" s="6"/>
      <c r="JWC87" s="6"/>
      <c r="JWD87" s="6"/>
      <c r="JWE87" s="6"/>
      <c r="JWF87" s="6"/>
      <c r="JWG87" s="6"/>
      <c r="JWH87" s="6"/>
      <c r="JWI87" s="6"/>
      <c r="JWJ87" s="6"/>
      <c r="JWK87" s="6"/>
      <c r="JWL87" s="6"/>
      <c r="JWM87" s="6"/>
      <c r="JWN87" s="6"/>
      <c r="JWO87" s="6"/>
      <c r="JWP87" s="6"/>
      <c r="JWQ87" s="6"/>
      <c r="JWR87" s="6"/>
      <c r="JWS87" s="6"/>
      <c r="JWT87" s="6"/>
      <c r="JWU87" s="6"/>
      <c r="JWV87" s="6"/>
      <c r="JWW87" s="6"/>
      <c r="JWX87" s="6"/>
      <c r="JWY87" s="6"/>
      <c r="JWZ87" s="6"/>
      <c r="JXA87" s="6"/>
      <c r="JXB87" s="6"/>
      <c r="JXC87" s="6"/>
      <c r="JXD87" s="6"/>
      <c r="JXE87" s="6"/>
      <c r="JXF87" s="6"/>
      <c r="JXG87" s="6"/>
      <c r="JXH87" s="6"/>
      <c r="JXI87" s="6"/>
      <c r="JXJ87" s="6"/>
      <c r="JXK87" s="6"/>
      <c r="JXL87" s="6"/>
      <c r="JXM87" s="6"/>
      <c r="JXN87" s="6"/>
      <c r="JXO87" s="6"/>
      <c r="JXP87" s="6"/>
      <c r="JXQ87" s="6"/>
      <c r="JXR87" s="6"/>
      <c r="JXS87" s="6"/>
      <c r="JXT87" s="6"/>
      <c r="JXU87" s="6"/>
      <c r="JXV87" s="6"/>
      <c r="JXW87" s="6"/>
      <c r="JXX87" s="6"/>
      <c r="JXY87" s="6"/>
      <c r="JXZ87" s="6"/>
      <c r="JYA87" s="6"/>
      <c r="JYB87" s="6"/>
      <c r="JYC87" s="6"/>
      <c r="JYD87" s="6"/>
      <c r="JYE87" s="6"/>
      <c r="JYF87" s="6"/>
      <c r="JYG87" s="6"/>
      <c r="JYH87" s="6"/>
      <c r="JYI87" s="6"/>
      <c r="JYJ87" s="6"/>
      <c r="JYK87" s="6"/>
      <c r="JYL87" s="6"/>
      <c r="JYM87" s="6"/>
      <c r="JYN87" s="6"/>
      <c r="JYO87" s="6"/>
      <c r="JYP87" s="6"/>
      <c r="JYQ87" s="6"/>
      <c r="JYR87" s="6"/>
      <c r="JYS87" s="6"/>
      <c r="JYT87" s="6"/>
      <c r="JYU87" s="6"/>
      <c r="JYV87" s="6"/>
      <c r="JYW87" s="6"/>
      <c r="JYX87" s="6"/>
      <c r="JYY87" s="6"/>
      <c r="JYZ87" s="6"/>
      <c r="JZA87" s="6"/>
      <c r="JZB87" s="6"/>
      <c r="JZC87" s="6"/>
      <c r="JZD87" s="6"/>
      <c r="JZE87" s="6"/>
      <c r="JZF87" s="6"/>
      <c r="JZG87" s="6"/>
      <c r="JZH87" s="6"/>
      <c r="JZI87" s="6"/>
      <c r="JZJ87" s="6"/>
      <c r="JZK87" s="6"/>
      <c r="JZL87" s="6"/>
      <c r="JZM87" s="6"/>
      <c r="JZN87" s="6"/>
      <c r="JZO87" s="6"/>
      <c r="JZP87" s="6"/>
      <c r="JZQ87" s="6"/>
      <c r="JZR87" s="6"/>
      <c r="JZS87" s="6"/>
      <c r="JZT87" s="6"/>
      <c r="JZU87" s="6"/>
      <c r="JZV87" s="6"/>
      <c r="JZW87" s="6"/>
      <c r="JZX87" s="6"/>
      <c r="JZY87" s="6"/>
      <c r="JZZ87" s="6"/>
      <c r="KAA87" s="6"/>
      <c r="KAB87" s="6"/>
      <c r="KAC87" s="6"/>
      <c r="KAD87" s="6"/>
      <c r="KAE87" s="6"/>
      <c r="KAF87" s="6"/>
      <c r="KAG87" s="6"/>
      <c r="KAH87" s="6"/>
      <c r="KAI87" s="6"/>
      <c r="KAJ87" s="6"/>
      <c r="KAK87" s="6"/>
      <c r="KAL87" s="6"/>
      <c r="KAM87" s="6"/>
      <c r="KAN87" s="6"/>
      <c r="KAO87" s="6"/>
      <c r="KAP87" s="6"/>
      <c r="KAQ87" s="6"/>
      <c r="KAR87" s="6"/>
      <c r="KAS87" s="6"/>
      <c r="KAT87" s="6"/>
      <c r="KAU87" s="6"/>
      <c r="KAV87" s="6"/>
      <c r="KAW87" s="6"/>
      <c r="KAX87" s="6"/>
      <c r="KAY87" s="6"/>
      <c r="KAZ87" s="6"/>
      <c r="KBA87" s="6"/>
      <c r="KBB87" s="6"/>
      <c r="KBC87" s="6"/>
      <c r="KBD87" s="6"/>
      <c r="KBE87" s="6"/>
      <c r="KBF87" s="6"/>
      <c r="KBG87" s="6"/>
      <c r="KBH87" s="6"/>
      <c r="KBI87" s="6"/>
      <c r="KBJ87" s="6"/>
      <c r="KBK87" s="6"/>
      <c r="KBL87" s="6"/>
      <c r="KBM87" s="6"/>
      <c r="KBN87" s="6"/>
      <c r="KBO87" s="6"/>
      <c r="KBP87" s="6"/>
      <c r="KBQ87" s="6"/>
      <c r="KBR87" s="6"/>
      <c r="KBS87" s="6"/>
      <c r="KBT87" s="6"/>
      <c r="KBU87" s="6"/>
      <c r="KBV87" s="6"/>
      <c r="KBW87" s="6"/>
      <c r="KBX87" s="6"/>
      <c r="KBY87" s="6"/>
      <c r="KBZ87" s="6"/>
      <c r="KCA87" s="6"/>
      <c r="KCB87" s="6"/>
      <c r="KCC87" s="6"/>
      <c r="KCD87" s="6"/>
      <c r="KCE87" s="6"/>
      <c r="KCF87" s="6"/>
      <c r="KCG87" s="6"/>
      <c r="KCH87" s="6"/>
      <c r="KCI87" s="6"/>
      <c r="KCJ87" s="6"/>
      <c r="KCK87" s="6"/>
      <c r="KCL87" s="6"/>
      <c r="KCM87" s="6"/>
      <c r="KCN87" s="6"/>
      <c r="KCO87" s="6"/>
      <c r="KCP87" s="6"/>
      <c r="KCQ87" s="6"/>
      <c r="KCR87" s="6"/>
      <c r="KCS87" s="6"/>
      <c r="KCT87" s="6"/>
      <c r="KCU87" s="6"/>
      <c r="KCV87" s="6"/>
      <c r="KCW87" s="6"/>
      <c r="KCX87" s="6"/>
      <c r="KCY87" s="6"/>
      <c r="KCZ87" s="6"/>
      <c r="KDA87" s="6"/>
      <c r="KDB87" s="6"/>
      <c r="KDC87" s="6"/>
      <c r="KDD87" s="6"/>
      <c r="KDE87" s="6"/>
      <c r="KDF87" s="6"/>
      <c r="KDG87" s="6"/>
      <c r="KDH87" s="6"/>
      <c r="KDI87" s="6"/>
      <c r="KDJ87" s="6"/>
      <c r="KDK87" s="6"/>
      <c r="KDL87" s="6"/>
      <c r="KDM87" s="6"/>
      <c r="KDN87" s="6"/>
      <c r="KDO87" s="6"/>
      <c r="KDP87" s="6"/>
      <c r="KDQ87" s="6"/>
      <c r="KDR87" s="6"/>
      <c r="KDS87" s="6"/>
      <c r="KDT87" s="6"/>
      <c r="KDU87" s="6"/>
      <c r="KDV87" s="6"/>
      <c r="KDW87" s="6"/>
      <c r="KDX87" s="6"/>
      <c r="KDY87" s="6"/>
      <c r="KDZ87" s="6"/>
      <c r="KEA87" s="6"/>
      <c r="KEB87" s="6"/>
      <c r="KEC87" s="6"/>
      <c r="KED87" s="6"/>
      <c r="KEE87" s="6"/>
      <c r="KEF87" s="6"/>
      <c r="KEG87" s="6"/>
      <c r="KEH87" s="6"/>
      <c r="KEI87" s="6"/>
      <c r="KEJ87" s="6"/>
      <c r="KEK87" s="6"/>
      <c r="KEL87" s="6"/>
      <c r="KEM87" s="6"/>
      <c r="KEN87" s="6"/>
      <c r="KEO87" s="6"/>
      <c r="KEP87" s="6"/>
      <c r="KEQ87" s="6"/>
      <c r="KER87" s="6"/>
      <c r="KES87" s="6"/>
      <c r="KET87" s="6"/>
      <c r="KEU87" s="6"/>
      <c r="KEV87" s="6"/>
      <c r="KEW87" s="6"/>
      <c r="KEX87" s="6"/>
      <c r="KEY87" s="6"/>
      <c r="KEZ87" s="6"/>
      <c r="KFA87" s="6"/>
      <c r="KFB87" s="6"/>
      <c r="KFC87" s="6"/>
      <c r="KFD87" s="6"/>
      <c r="KFE87" s="6"/>
      <c r="KFF87" s="6"/>
      <c r="KFG87" s="6"/>
      <c r="KFH87" s="6"/>
      <c r="KFI87" s="6"/>
      <c r="KFJ87" s="6"/>
      <c r="KFK87" s="6"/>
      <c r="KFL87" s="6"/>
      <c r="KFM87" s="6"/>
      <c r="KFN87" s="6"/>
      <c r="KFO87" s="6"/>
      <c r="KFP87" s="6"/>
      <c r="KFQ87" s="6"/>
      <c r="KFR87" s="6"/>
      <c r="KFS87" s="6"/>
      <c r="KFT87" s="6"/>
      <c r="KFU87" s="6"/>
      <c r="KFV87" s="6"/>
      <c r="KFW87" s="6"/>
      <c r="KFX87" s="6"/>
      <c r="KFY87" s="6"/>
      <c r="KFZ87" s="6"/>
      <c r="KGA87" s="6"/>
      <c r="KGB87" s="6"/>
      <c r="KGC87" s="6"/>
      <c r="KGD87" s="6"/>
      <c r="KGE87" s="6"/>
      <c r="KGF87" s="6"/>
      <c r="KGG87" s="6"/>
      <c r="KGH87" s="6"/>
      <c r="KGI87" s="6"/>
      <c r="KGJ87" s="6"/>
      <c r="KGK87" s="6"/>
      <c r="KGL87" s="6"/>
      <c r="KGM87" s="6"/>
      <c r="KGN87" s="6"/>
      <c r="KGO87" s="6"/>
      <c r="KGP87" s="6"/>
      <c r="KGQ87" s="6"/>
      <c r="KGR87" s="6"/>
      <c r="KGS87" s="6"/>
      <c r="KGT87" s="6"/>
      <c r="KGU87" s="6"/>
      <c r="KGV87" s="6"/>
      <c r="KGW87" s="6"/>
      <c r="KGX87" s="6"/>
      <c r="KGY87" s="6"/>
      <c r="KGZ87" s="6"/>
      <c r="KHA87" s="6"/>
      <c r="KHB87" s="6"/>
      <c r="KHC87" s="6"/>
      <c r="KHD87" s="6"/>
      <c r="KHE87" s="6"/>
      <c r="KHF87" s="6"/>
      <c r="KHG87" s="6"/>
      <c r="KHH87" s="6"/>
      <c r="KHI87" s="6"/>
      <c r="KHJ87" s="6"/>
      <c r="KHK87" s="6"/>
      <c r="KHL87" s="6"/>
      <c r="KHM87" s="6"/>
      <c r="KHN87" s="6"/>
      <c r="KHO87" s="6"/>
      <c r="KHP87" s="6"/>
      <c r="KHQ87" s="6"/>
      <c r="KHR87" s="6"/>
      <c r="KHS87" s="6"/>
      <c r="KHT87" s="6"/>
      <c r="KHU87" s="6"/>
      <c r="KHV87" s="6"/>
      <c r="KHW87" s="6"/>
      <c r="KHX87" s="6"/>
      <c r="KHY87" s="6"/>
      <c r="KHZ87" s="6"/>
      <c r="KIA87" s="6"/>
      <c r="KIB87" s="6"/>
      <c r="KIC87" s="6"/>
      <c r="KID87" s="6"/>
      <c r="KIE87" s="6"/>
      <c r="KIF87" s="6"/>
      <c r="KIG87" s="6"/>
      <c r="KIH87" s="6"/>
      <c r="KII87" s="6"/>
      <c r="KIJ87" s="6"/>
      <c r="KIK87" s="6"/>
      <c r="KIL87" s="6"/>
      <c r="KIM87" s="6"/>
      <c r="KIN87" s="6"/>
      <c r="KIO87" s="6"/>
      <c r="KIP87" s="6"/>
      <c r="KIQ87" s="6"/>
      <c r="KIR87" s="6"/>
      <c r="KIS87" s="6"/>
      <c r="KIT87" s="6"/>
      <c r="KIU87" s="6"/>
      <c r="KIV87" s="6"/>
      <c r="KIW87" s="6"/>
      <c r="KIX87" s="6"/>
      <c r="KIY87" s="6"/>
      <c r="KIZ87" s="6"/>
      <c r="KJA87" s="6"/>
      <c r="KJB87" s="6"/>
      <c r="KJC87" s="6"/>
      <c r="KJD87" s="6"/>
      <c r="KJE87" s="6"/>
      <c r="KJF87" s="6"/>
      <c r="KJG87" s="6"/>
      <c r="KJH87" s="6"/>
      <c r="KJI87" s="6"/>
      <c r="KJJ87" s="6"/>
      <c r="KJK87" s="6"/>
      <c r="KJL87" s="6"/>
      <c r="KJM87" s="6"/>
      <c r="KJN87" s="6"/>
      <c r="KJO87" s="6"/>
      <c r="KJP87" s="6"/>
      <c r="KJQ87" s="6"/>
      <c r="KJR87" s="6"/>
      <c r="KJS87" s="6"/>
      <c r="KJT87" s="6"/>
      <c r="KJU87" s="6"/>
      <c r="KJV87" s="6"/>
      <c r="KJW87" s="6"/>
      <c r="KJX87" s="6"/>
      <c r="KJY87" s="6"/>
      <c r="KJZ87" s="6"/>
      <c r="KKA87" s="6"/>
      <c r="KKB87" s="6"/>
      <c r="KKC87" s="6"/>
      <c r="KKD87" s="6"/>
      <c r="KKE87" s="6"/>
      <c r="KKF87" s="6"/>
      <c r="KKG87" s="6"/>
      <c r="KKH87" s="6"/>
      <c r="KKI87" s="6"/>
      <c r="KKJ87" s="6"/>
      <c r="KKK87" s="6"/>
      <c r="KKL87" s="6"/>
      <c r="KKM87" s="6"/>
      <c r="KKN87" s="6"/>
      <c r="KKO87" s="6"/>
      <c r="KKP87" s="6"/>
      <c r="KKQ87" s="6"/>
      <c r="KKR87" s="6"/>
      <c r="KKS87" s="6"/>
      <c r="KKT87" s="6"/>
      <c r="KKU87" s="6"/>
      <c r="KKV87" s="6"/>
      <c r="KKW87" s="6"/>
      <c r="KKX87" s="6"/>
      <c r="KKY87" s="6"/>
      <c r="KKZ87" s="6"/>
      <c r="KLA87" s="6"/>
      <c r="KLB87" s="6"/>
      <c r="KLC87" s="6"/>
      <c r="KLD87" s="6"/>
      <c r="KLE87" s="6"/>
      <c r="KLF87" s="6"/>
      <c r="KLG87" s="6"/>
      <c r="KLH87" s="6"/>
      <c r="KLI87" s="6"/>
      <c r="KLJ87" s="6"/>
      <c r="KLK87" s="6"/>
      <c r="KLL87" s="6"/>
      <c r="KLM87" s="6"/>
      <c r="KLN87" s="6"/>
      <c r="KLO87" s="6"/>
      <c r="KLP87" s="6"/>
      <c r="KLQ87" s="6"/>
      <c r="KLR87" s="6"/>
      <c r="KLS87" s="6"/>
      <c r="KLT87" s="6"/>
      <c r="KLU87" s="6"/>
      <c r="KLV87" s="6"/>
      <c r="KLW87" s="6"/>
      <c r="KLX87" s="6"/>
      <c r="KLY87" s="6"/>
      <c r="KLZ87" s="6"/>
      <c r="KMA87" s="6"/>
      <c r="KMB87" s="6"/>
      <c r="KMC87" s="6"/>
      <c r="KMD87" s="6"/>
      <c r="KME87" s="6"/>
      <c r="KMF87" s="6"/>
      <c r="KMG87" s="6"/>
      <c r="KMH87" s="6"/>
      <c r="KMI87" s="6"/>
      <c r="KMJ87" s="6"/>
      <c r="KMK87" s="6"/>
      <c r="KML87" s="6"/>
      <c r="KMM87" s="6"/>
      <c r="KMN87" s="6"/>
      <c r="KMO87" s="6"/>
      <c r="KMP87" s="6"/>
      <c r="KMQ87" s="6"/>
      <c r="KMR87" s="6"/>
      <c r="KMS87" s="6"/>
      <c r="KMT87" s="6"/>
      <c r="KMU87" s="6"/>
      <c r="KMV87" s="6"/>
      <c r="KMW87" s="6"/>
      <c r="KMX87" s="6"/>
      <c r="KMY87" s="6"/>
      <c r="KMZ87" s="6"/>
      <c r="KNA87" s="6"/>
      <c r="KNB87" s="6"/>
      <c r="KNC87" s="6"/>
      <c r="KND87" s="6"/>
      <c r="KNE87" s="6"/>
      <c r="KNF87" s="6"/>
      <c r="KNG87" s="6"/>
      <c r="KNH87" s="6"/>
      <c r="KNI87" s="6"/>
      <c r="KNJ87" s="6"/>
      <c r="KNK87" s="6"/>
      <c r="KNL87" s="6"/>
      <c r="KNM87" s="6"/>
      <c r="KNN87" s="6"/>
      <c r="KNO87" s="6"/>
      <c r="KNP87" s="6"/>
      <c r="KNQ87" s="6"/>
      <c r="KNR87" s="6"/>
      <c r="KNS87" s="6"/>
      <c r="KNT87" s="6"/>
      <c r="KNU87" s="6"/>
      <c r="KNV87" s="6"/>
      <c r="KNW87" s="6"/>
      <c r="KNX87" s="6"/>
      <c r="KNY87" s="6"/>
      <c r="KNZ87" s="6"/>
      <c r="KOA87" s="6"/>
      <c r="KOB87" s="6"/>
      <c r="KOC87" s="6"/>
      <c r="KOD87" s="6"/>
      <c r="KOE87" s="6"/>
      <c r="KOF87" s="6"/>
      <c r="KOG87" s="6"/>
      <c r="KOH87" s="6"/>
      <c r="KOI87" s="6"/>
      <c r="KOJ87" s="6"/>
      <c r="KOK87" s="6"/>
      <c r="KOL87" s="6"/>
      <c r="KOM87" s="6"/>
      <c r="KON87" s="6"/>
      <c r="KOO87" s="6"/>
      <c r="KOP87" s="6"/>
      <c r="KOQ87" s="6"/>
      <c r="KOR87" s="6"/>
      <c r="KOS87" s="6"/>
      <c r="KOT87" s="6"/>
      <c r="KOU87" s="6"/>
      <c r="KOV87" s="6"/>
      <c r="KOW87" s="6"/>
      <c r="KOX87" s="6"/>
      <c r="KOY87" s="6"/>
      <c r="KOZ87" s="6"/>
      <c r="KPA87" s="6"/>
      <c r="KPB87" s="6"/>
      <c r="KPC87" s="6"/>
      <c r="KPD87" s="6"/>
      <c r="KPE87" s="6"/>
      <c r="KPF87" s="6"/>
      <c r="KPG87" s="6"/>
      <c r="KPH87" s="6"/>
      <c r="KPI87" s="6"/>
      <c r="KPJ87" s="6"/>
      <c r="KPK87" s="6"/>
      <c r="KPL87" s="6"/>
      <c r="KPM87" s="6"/>
      <c r="KPN87" s="6"/>
      <c r="KPO87" s="6"/>
      <c r="KPP87" s="6"/>
      <c r="KPQ87" s="6"/>
      <c r="KPR87" s="6"/>
      <c r="KPS87" s="6"/>
      <c r="KPT87" s="6"/>
      <c r="KPU87" s="6"/>
      <c r="KPV87" s="6"/>
      <c r="KPW87" s="6"/>
      <c r="KPX87" s="6"/>
      <c r="KPY87" s="6"/>
      <c r="KPZ87" s="6"/>
      <c r="KQA87" s="6"/>
      <c r="KQB87" s="6"/>
      <c r="KQC87" s="6"/>
      <c r="KQD87" s="6"/>
      <c r="KQE87" s="6"/>
      <c r="KQF87" s="6"/>
      <c r="KQG87" s="6"/>
      <c r="KQH87" s="6"/>
      <c r="KQI87" s="6"/>
      <c r="KQJ87" s="6"/>
      <c r="KQK87" s="6"/>
      <c r="KQL87" s="6"/>
      <c r="KQM87" s="6"/>
      <c r="KQN87" s="6"/>
      <c r="KQO87" s="6"/>
      <c r="KQP87" s="6"/>
      <c r="KQQ87" s="6"/>
      <c r="KQR87" s="6"/>
      <c r="KQS87" s="6"/>
      <c r="KQT87" s="6"/>
      <c r="KQU87" s="6"/>
      <c r="KQV87" s="6"/>
      <c r="KQW87" s="6"/>
      <c r="KQX87" s="6"/>
      <c r="KQY87" s="6"/>
      <c r="KQZ87" s="6"/>
      <c r="KRA87" s="6"/>
      <c r="KRB87" s="6"/>
      <c r="KRC87" s="6"/>
      <c r="KRD87" s="6"/>
      <c r="KRE87" s="6"/>
      <c r="KRF87" s="6"/>
      <c r="KRG87" s="6"/>
      <c r="KRH87" s="6"/>
      <c r="KRI87" s="6"/>
      <c r="KRJ87" s="6"/>
      <c r="KRK87" s="6"/>
      <c r="KRL87" s="6"/>
      <c r="KRM87" s="6"/>
      <c r="KRN87" s="6"/>
      <c r="KRO87" s="6"/>
      <c r="KRP87" s="6"/>
      <c r="KRQ87" s="6"/>
      <c r="KRR87" s="6"/>
      <c r="KRS87" s="6"/>
      <c r="KRT87" s="6"/>
      <c r="KRU87" s="6"/>
      <c r="KRV87" s="6"/>
      <c r="KRW87" s="6"/>
      <c r="KRX87" s="6"/>
      <c r="KRY87" s="6"/>
      <c r="KRZ87" s="6"/>
      <c r="KSA87" s="6"/>
      <c r="KSB87" s="6"/>
      <c r="KSC87" s="6"/>
      <c r="KSD87" s="6"/>
      <c r="KSE87" s="6"/>
      <c r="KSF87" s="6"/>
      <c r="KSG87" s="6"/>
      <c r="KSH87" s="6"/>
      <c r="KSI87" s="6"/>
      <c r="KSJ87" s="6"/>
      <c r="KSK87" s="6"/>
      <c r="KSL87" s="6"/>
      <c r="KSM87" s="6"/>
      <c r="KSN87" s="6"/>
      <c r="KSO87" s="6"/>
      <c r="KSP87" s="6"/>
      <c r="KSQ87" s="6"/>
      <c r="KSR87" s="6"/>
      <c r="KSS87" s="6"/>
      <c r="KST87" s="6"/>
      <c r="KSU87" s="6"/>
      <c r="KSV87" s="6"/>
      <c r="KSW87" s="6"/>
      <c r="KSX87" s="6"/>
      <c r="KSY87" s="6"/>
      <c r="KSZ87" s="6"/>
      <c r="KTA87" s="6"/>
      <c r="KTB87" s="6"/>
      <c r="KTC87" s="6"/>
      <c r="KTD87" s="6"/>
      <c r="KTE87" s="6"/>
      <c r="KTF87" s="6"/>
      <c r="KTG87" s="6"/>
      <c r="KTH87" s="6"/>
      <c r="KTI87" s="6"/>
      <c r="KTJ87" s="6"/>
      <c r="KTK87" s="6"/>
      <c r="KTL87" s="6"/>
      <c r="KTM87" s="6"/>
      <c r="KTN87" s="6"/>
      <c r="KTO87" s="6"/>
      <c r="KTP87" s="6"/>
      <c r="KTQ87" s="6"/>
      <c r="KTR87" s="6"/>
      <c r="KTS87" s="6"/>
      <c r="KTT87" s="6"/>
      <c r="KTU87" s="6"/>
      <c r="KTV87" s="6"/>
      <c r="KTW87" s="6"/>
      <c r="KTX87" s="6"/>
      <c r="KTY87" s="6"/>
      <c r="KTZ87" s="6"/>
      <c r="KUA87" s="6"/>
      <c r="KUB87" s="6"/>
      <c r="KUC87" s="6"/>
      <c r="KUD87" s="6"/>
      <c r="KUE87" s="6"/>
      <c r="KUF87" s="6"/>
      <c r="KUG87" s="6"/>
      <c r="KUH87" s="6"/>
      <c r="KUI87" s="6"/>
      <c r="KUJ87" s="6"/>
      <c r="KUK87" s="6"/>
      <c r="KUL87" s="6"/>
      <c r="KUM87" s="6"/>
      <c r="KUN87" s="6"/>
      <c r="KUO87" s="6"/>
      <c r="KUP87" s="6"/>
      <c r="KUQ87" s="6"/>
      <c r="KUR87" s="6"/>
      <c r="KUS87" s="6"/>
      <c r="KUT87" s="6"/>
      <c r="KUU87" s="6"/>
      <c r="KUV87" s="6"/>
      <c r="KUW87" s="6"/>
      <c r="KUX87" s="6"/>
      <c r="KUY87" s="6"/>
      <c r="KUZ87" s="6"/>
      <c r="KVA87" s="6"/>
      <c r="KVB87" s="6"/>
      <c r="KVC87" s="6"/>
      <c r="KVD87" s="6"/>
      <c r="KVE87" s="6"/>
      <c r="KVF87" s="6"/>
      <c r="KVG87" s="6"/>
      <c r="KVH87" s="6"/>
      <c r="KVI87" s="6"/>
      <c r="KVJ87" s="6"/>
      <c r="KVK87" s="6"/>
      <c r="KVL87" s="6"/>
      <c r="KVM87" s="6"/>
      <c r="KVN87" s="6"/>
      <c r="KVO87" s="6"/>
      <c r="KVP87" s="6"/>
      <c r="KVQ87" s="6"/>
      <c r="KVR87" s="6"/>
      <c r="KVS87" s="6"/>
      <c r="KVT87" s="6"/>
      <c r="KVU87" s="6"/>
      <c r="KVV87" s="6"/>
      <c r="KVW87" s="6"/>
      <c r="KVX87" s="6"/>
      <c r="KVY87" s="6"/>
      <c r="KVZ87" s="6"/>
      <c r="KWA87" s="6"/>
      <c r="KWB87" s="6"/>
      <c r="KWC87" s="6"/>
      <c r="KWD87" s="6"/>
      <c r="KWE87" s="6"/>
      <c r="KWF87" s="6"/>
      <c r="KWG87" s="6"/>
      <c r="KWH87" s="6"/>
      <c r="KWI87" s="6"/>
      <c r="KWJ87" s="6"/>
      <c r="KWK87" s="6"/>
      <c r="KWL87" s="6"/>
      <c r="KWM87" s="6"/>
      <c r="KWN87" s="6"/>
      <c r="KWO87" s="6"/>
      <c r="KWP87" s="6"/>
      <c r="KWQ87" s="6"/>
      <c r="KWR87" s="6"/>
      <c r="KWS87" s="6"/>
      <c r="KWT87" s="6"/>
      <c r="KWU87" s="6"/>
      <c r="KWV87" s="6"/>
      <c r="KWW87" s="6"/>
      <c r="KWX87" s="6"/>
      <c r="KWY87" s="6"/>
      <c r="KWZ87" s="6"/>
      <c r="KXA87" s="6"/>
      <c r="KXB87" s="6"/>
      <c r="KXC87" s="6"/>
      <c r="KXD87" s="6"/>
      <c r="KXE87" s="6"/>
      <c r="KXF87" s="6"/>
      <c r="KXG87" s="6"/>
      <c r="KXH87" s="6"/>
      <c r="KXI87" s="6"/>
      <c r="KXJ87" s="6"/>
      <c r="KXK87" s="6"/>
      <c r="KXL87" s="6"/>
      <c r="KXM87" s="6"/>
      <c r="KXN87" s="6"/>
      <c r="KXO87" s="6"/>
      <c r="KXP87" s="6"/>
      <c r="KXQ87" s="6"/>
      <c r="KXR87" s="6"/>
      <c r="KXS87" s="6"/>
      <c r="KXT87" s="6"/>
      <c r="KXU87" s="6"/>
      <c r="KXV87" s="6"/>
      <c r="KXW87" s="6"/>
      <c r="KXX87" s="6"/>
      <c r="KXY87" s="6"/>
      <c r="KXZ87" s="6"/>
      <c r="KYA87" s="6"/>
      <c r="KYB87" s="6"/>
      <c r="KYC87" s="6"/>
      <c r="KYD87" s="6"/>
      <c r="KYE87" s="6"/>
      <c r="KYF87" s="6"/>
      <c r="KYG87" s="6"/>
      <c r="KYH87" s="6"/>
      <c r="KYI87" s="6"/>
      <c r="KYJ87" s="6"/>
      <c r="KYK87" s="6"/>
      <c r="KYL87" s="6"/>
      <c r="KYM87" s="6"/>
      <c r="KYN87" s="6"/>
      <c r="KYO87" s="6"/>
      <c r="KYP87" s="6"/>
      <c r="KYQ87" s="6"/>
      <c r="KYR87" s="6"/>
      <c r="KYS87" s="6"/>
      <c r="KYT87" s="6"/>
      <c r="KYU87" s="6"/>
      <c r="KYV87" s="6"/>
      <c r="KYW87" s="6"/>
      <c r="KYX87" s="6"/>
      <c r="KYY87" s="6"/>
      <c r="KYZ87" s="6"/>
      <c r="KZA87" s="6"/>
      <c r="KZB87" s="6"/>
      <c r="KZC87" s="6"/>
      <c r="KZD87" s="6"/>
      <c r="KZE87" s="6"/>
      <c r="KZF87" s="6"/>
      <c r="KZG87" s="6"/>
      <c r="KZH87" s="6"/>
      <c r="KZI87" s="6"/>
      <c r="KZJ87" s="6"/>
      <c r="KZK87" s="6"/>
      <c r="KZL87" s="6"/>
      <c r="KZM87" s="6"/>
      <c r="KZN87" s="6"/>
      <c r="KZO87" s="6"/>
      <c r="KZP87" s="6"/>
      <c r="KZQ87" s="6"/>
      <c r="KZR87" s="6"/>
      <c r="KZS87" s="6"/>
      <c r="KZT87" s="6"/>
      <c r="KZU87" s="6"/>
      <c r="KZV87" s="6"/>
      <c r="KZW87" s="6"/>
      <c r="KZX87" s="6"/>
      <c r="KZY87" s="6"/>
      <c r="KZZ87" s="6"/>
      <c r="LAA87" s="6"/>
      <c r="LAB87" s="6"/>
      <c r="LAC87" s="6"/>
      <c r="LAD87" s="6"/>
      <c r="LAE87" s="6"/>
      <c r="LAF87" s="6"/>
      <c r="LAG87" s="6"/>
      <c r="LAH87" s="6"/>
      <c r="LAI87" s="6"/>
      <c r="LAJ87" s="6"/>
      <c r="LAK87" s="6"/>
      <c r="LAL87" s="6"/>
      <c r="LAM87" s="6"/>
      <c r="LAN87" s="6"/>
      <c r="LAO87" s="6"/>
      <c r="LAP87" s="6"/>
      <c r="LAQ87" s="6"/>
      <c r="LAR87" s="6"/>
      <c r="LAS87" s="6"/>
      <c r="LAT87" s="6"/>
      <c r="LAU87" s="6"/>
      <c r="LAV87" s="6"/>
      <c r="LAW87" s="6"/>
      <c r="LAX87" s="6"/>
      <c r="LAY87" s="6"/>
      <c r="LAZ87" s="6"/>
      <c r="LBA87" s="6"/>
      <c r="LBB87" s="6"/>
      <c r="LBC87" s="6"/>
      <c r="LBD87" s="6"/>
      <c r="LBE87" s="6"/>
      <c r="LBF87" s="6"/>
      <c r="LBG87" s="6"/>
      <c r="LBH87" s="6"/>
      <c r="LBI87" s="6"/>
      <c r="LBJ87" s="6"/>
      <c r="LBK87" s="6"/>
      <c r="LBL87" s="6"/>
      <c r="LBM87" s="6"/>
      <c r="LBN87" s="6"/>
      <c r="LBO87" s="6"/>
      <c r="LBP87" s="6"/>
      <c r="LBQ87" s="6"/>
      <c r="LBR87" s="6"/>
      <c r="LBS87" s="6"/>
      <c r="LBT87" s="6"/>
      <c r="LBU87" s="6"/>
      <c r="LBV87" s="6"/>
      <c r="LBW87" s="6"/>
      <c r="LBX87" s="6"/>
      <c r="LBY87" s="6"/>
      <c r="LBZ87" s="6"/>
      <c r="LCA87" s="6"/>
      <c r="LCB87" s="6"/>
      <c r="LCC87" s="6"/>
      <c r="LCD87" s="6"/>
      <c r="LCE87" s="6"/>
      <c r="LCF87" s="6"/>
      <c r="LCG87" s="6"/>
      <c r="LCH87" s="6"/>
      <c r="LCI87" s="6"/>
      <c r="LCJ87" s="6"/>
      <c r="LCK87" s="6"/>
      <c r="LCL87" s="6"/>
      <c r="LCM87" s="6"/>
      <c r="LCN87" s="6"/>
      <c r="LCO87" s="6"/>
      <c r="LCP87" s="6"/>
      <c r="LCQ87" s="6"/>
      <c r="LCR87" s="6"/>
      <c r="LCS87" s="6"/>
      <c r="LCT87" s="6"/>
      <c r="LCU87" s="6"/>
      <c r="LCV87" s="6"/>
      <c r="LCW87" s="6"/>
      <c r="LCX87" s="6"/>
      <c r="LCY87" s="6"/>
      <c r="LCZ87" s="6"/>
      <c r="LDA87" s="6"/>
      <c r="LDB87" s="6"/>
      <c r="LDC87" s="6"/>
      <c r="LDD87" s="6"/>
      <c r="LDE87" s="6"/>
      <c r="LDF87" s="6"/>
      <c r="LDG87" s="6"/>
      <c r="LDH87" s="6"/>
      <c r="LDI87" s="6"/>
      <c r="LDJ87" s="6"/>
      <c r="LDK87" s="6"/>
      <c r="LDL87" s="6"/>
      <c r="LDM87" s="6"/>
      <c r="LDN87" s="6"/>
      <c r="LDO87" s="6"/>
      <c r="LDP87" s="6"/>
      <c r="LDQ87" s="6"/>
      <c r="LDR87" s="6"/>
      <c r="LDS87" s="6"/>
      <c r="LDT87" s="6"/>
      <c r="LDU87" s="6"/>
      <c r="LDV87" s="6"/>
      <c r="LDW87" s="6"/>
      <c r="LDX87" s="6"/>
      <c r="LDY87" s="6"/>
      <c r="LDZ87" s="6"/>
      <c r="LEA87" s="6"/>
      <c r="LEB87" s="6"/>
      <c r="LEC87" s="6"/>
      <c r="LED87" s="6"/>
      <c r="LEE87" s="6"/>
      <c r="LEF87" s="6"/>
      <c r="LEG87" s="6"/>
      <c r="LEH87" s="6"/>
      <c r="LEI87" s="6"/>
      <c r="LEJ87" s="6"/>
      <c r="LEK87" s="6"/>
      <c r="LEL87" s="6"/>
      <c r="LEM87" s="6"/>
      <c r="LEN87" s="6"/>
      <c r="LEO87" s="6"/>
      <c r="LEP87" s="6"/>
      <c r="LEQ87" s="6"/>
      <c r="LER87" s="6"/>
      <c r="LES87" s="6"/>
      <c r="LET87" s="6"/>
      <c r="LEU87" s="6"/>
      <c r="LEV87" s="6"/>
      <c r="LEW87" s="6"/>
      <c r="LEX87" s="6"/>
      <c r="LEY87" s="6"/>
      <c r="LEZ87" s="6"/>
      <c r="LFA87" s="6"/>
      <c r="LFB87" s="6"/>
      <c r="LFC87" s="6"/>
      <c r="LFD87" s="6"/>
      <c r="LFE87" s="6"/>
      <c r="LFF87" s="6"/>
      <c r="LFG87" s="6"/>
      <c r="LFH87" s="6"/>
      <c r="LFI87" s="6"/>
      <c r="LFJ87" s="6"/>
      <c r="LFK87" s="6"/>
      <c r="LFL87" s="6"/>
      <c r="LFM87" s="6"/>
      <c r="LFN87" s="6"/>
      <c r="LFO87" s="6"/>
      <c r="LFP87" s="6"/>
      <c r="LFQ87" s="6"/>
      <c r="LFR87" s="6"/>
      <c r="LFS87" s="6"/>
      <c r="LFT87" s="6"/>
      <c r="LFU87" s="6"/>
      <c r="LFV87" s="6"/>
      <c r="LFW87" s="6"/>
      <c r="LFX87" s="6"/>
      <c r="LFY87" s="6"/>
      <c r="LFZ87" s="6"/>
      <c r="LGA87" s="6"/>
      <c r="LGB87" s="6"/>
      <c r="LGC87" s="6"/>
      <c r="LGD87" s="6"/>
      <c r="LGE87" s="6"/>
      <c r="LGF87" s="6"/>
      <c r="LGG87" s="6"/>
      <c r="LGH87" s="6"/>
      <c r="LGI87" s="6"/>
      <c r="LGJ87" s="6"/>
      <c r="LGK87" s="6"/>
      <c r="LGL87" s="6"/>
      <c r="LGM87" s="6"/>
      <c r="LGN87" s="6"/>
      <c r="LGO87" s="6"/>
      <c r="LGP87" s="6"/>
      <c r="LGQ87" s="6"/>
      <c r="LGR87" s="6"/>
      <c r="LGS87" s="6"/>
      <c r="LGT87" s="6"/>
      <c r="LGU87" s="6"/>
      <c r="LGV87" s="6"/>
      <c r="LGW87" s="6"/>
      <c r="LGX87" s="6"/>
      <c r="LGY87" s="6"/>
      <c r="LGZ87" s="6"/>
      <c r="LHA87" s="6"/>
      <c r="LHB87" s="6"/>
      <c r="LHC87" s="6"/>
      <c r="LHD87" s="6"/>
      <c r="LHE87" s="6"/>
      <c r="LHF87" s="6"/>
      <c r="LHG87" s="6"/>
      <c r="LHH87" s="6"/>
      <c r="LHI87" s="6"/>
      <c r="LHJ87" s="6"/>
      <c r="LHK87" s="6"/>
      <c r="LHL87" s="6"/>
      <c r="LHM87" s="6"/>
      <c r="LHN87" s="6"/>
      <c r="LHO87" s="6"/>
      <c r="LHP87" s="6"/>
      <c r="LHQ87" s="6"/>
      <c r="LHR87" s="6"/>
      <c r="LHS87" s="6"/>
      <c r="LHT87" s="6"/>
      <c r="LHU87" s="6"/>
      <c r="LHV87" s="6"/>
      <c r="LHW87" s="6"/>
      <c r="LHX87" s="6"/>
      <c r="LHY87" s="6"/>
      <c r="LHZ87" s="6"/>
      <c r="LIA87" s="6"/>
      <c r="LIB87" s="6"/>
      <c r="LIC87" s="6"/>
      <c r="LID87" s="6"/>
      <c r="LIE87" s="6"/>
      <c r="LIF87" s="6"/>
      <c r="LIG87" s="6"/>
      <c r="LIH87" s="6"/>
      <c r="LII87" s="6"/>
      <c r="LIJ87" s="6"/>
      <c r="LIK87" s="6"/>
      <c r="LIL87" s="6"/>
      <c r="LIM87" s="6"/>
      <c r="LIN87" s="6"/>
      <c r="LIO87" s="6"/>
      <c r="LIP87" s="6"/>
      <c r="LIQ87" s="6"/>
      <c r="LIR87" s="6"/>
      <c r="LIS87" s="6"/>
      <c r="LIT87" s="6"/>
      <c r="LIU87" s="6"/>
      <c r="LIV87" s="6"/>
      <c r="LIW87" s="6"/>
      <c r="LIX87" s="6"/>
      <c r="LIY87" s="6"/>
      <c r="LIZ87" s="6"/>
      <c r="LJA87" s="6"/>
      <c r="LJB87" s="6"/>
      <c r="LJC87" s="6"/>
      <c r="LJD87" s="6"/>
      <c r="LJE87" s="6"/>
      <c r="LJF87" s="6"/>
      <c r="LJG87" s="6"/>
      <c r="LJH87" s="6"/>
      <c r="LJI87" s="6"/>
      <c r="LJJ87" s="6"/>
      <c r="LJK87" s="6"/>
      <c r="LJL87" s="6"/>
      <c r="LJM87" s="6"/>
      <c r="LJN87" s="6"/>
      <c r="LJO87" s="6"/>
      <c r="LJP87" s="6"/>
      <c r="LJQ87" s="6"/>
      <c r="LJR87" s="6"/>
      <c r="LJS87" s="6"/>
      <c r="LJT87" s="6"/>
      <c r="LJU87" s="6"/>
      <c r="LJV87" s="6"/>
      <c r="LJW87" s="6"/>
      <c r="LJX87" s="6"/>
      <c r="LJY87" s="6"/>
      <c r="LJZ87" s="6"/>
      <c r="LKA87" s="6"/>
      <c r="LKB87" s="6"/>
      <c r="LKC87" s="6"/>
      <c r="LKD87" s="6"/>
      <c r="LKE87" s="6"/>
      <c r="LKF87" s="6"/>
      <c r="LKG87" s="6"/>
      <c r="LKH87" s="6"/>
      <c r="LKI87" s="6"/>
      <c r="LKJ87" s="6"/>
      <c r="LKK87" s="6"/>
      <c r="LKL87" s="6"/>
      <c r="LKM87" s="6"/>
      <c r="LKN87" s="6"/>
      <c r="LKO87" s="6"/>
      <c r="LKP87" s="6"/>
      <c r="LKQ87" s="6"/>
      <c r="LKR87" s="6"/>
      <c r="LKS87" s="6"/>
      <c r="LKT87" s="6"/>
      <c r="LKU87" s="6"/>
      <c r="LKV87" s="6"/>
      <c r="LKW87" s="6"/>
      <c r="LKX87" s="6"/>
      <c r="LKY87" s="6"/>
      <c r="LKZ87" s="6"/>
      <c r="LLA87" s="6"/>
      <c r="LLB87" s="6"/>
      <c r="LLC87" s="6"/>
      <c r="LLD87" s="6"/>
      <c r="LLE87" s="6"/>
      <c r="LLF87" s="6"/>
      <c r="LLG87" s="6"/>
      <c r="LLH87" s="6"/>
      <c r="LLI87" s="6"/>
      <c r="LLJ87" s="6"/>
      <c r="LLK87" s="6"/>
      <c r="LLL87" s="6"/>
      <c r="LLM87" s="6"/>
      <c r="LLN87" s="6"/>
      <c r="LLO87" s="6"/>
      <c r="LLP87" s="6"/>
      <c r="LLQ87" s="6"/>
      <c r="LLR87" s="6"/>
      <c r="LLS87" s="6"/>
      <c r="LLT87" s="6"/>
      <c r="LLU87" s="6"/>
      <c r="LLV87" s="6"/>
      <c r="LLW87" s="6"/>
      <c r="LLX87" s="6"/>
      <c r="LLY87" s="6"/>
      <c r="LLZ87" s="6"/>
      <c r="LMA87" s="6"/>
      <c r="LMB87" s="6"/>
      <c r="LMC87" s="6"/>
      <c r="LMD87" s="6"/>
      <c r="LME87" s="6"/>
      <c r="LMF87" s="6"/>
      <c r="LMG87" s="6"/>
      <c r="LMH87" s="6"/>
      <c r="LMI87" s="6"/>
      <c r="LMJ87" s="6"/>
      <c r="LMK87" s="6"/>
      <c r="LML87" s="6"/>
      <c r="LMM87" s="6"/>
      <c r="LMN87" s="6"/>
      <c r="LMO87" s="6"/>
      <c r="LMP87" s="6"/>
      <c r="LMQ87" s="6"/>
      <c r="LMR87" s="6"/>
      <c r="LMS87" s="6"/>
      <c r="LMT87" s="6"/>
      <c r="LMU87" s="6"/>
      <c r="LMV87" s="6"/>
      <c r="LMW87" s="6"/>
      <c r="LMX87" s="6"/>
      <c r="LMY87" s="6"/>
      <c r="LMZ87" s="6"/>
      <c r="LNA87" s="6"/>
      <c r="LNB87" s="6"/>
      <c r="LNC87" s="6"/>
      <c r="LND87" s="6"/>
      <c r="LNE87" s="6"/>
      <c r="LNF87" s="6"/>
      <c r="LNG87" s="6"/>
      <c r="LNH87" s="6"/>
      <c r="LNI87" s="6"/>
      <c r="LNJ87" s="6"/>
      <c r="LNK87" s="6"/>
      <c r="LNL87" s="6"/>
      <c r="LNM87" s="6"/>
      <c r="LNN87" s="6"/>
      <c r="LNO87" s="6"/>
      <c r="LNP87" s="6"/>
      <c r="LNQ87" s="6"/>
      <c r="LNR87" s="6"/>
      <c r="LNS87" s="6"/>
      <c r="LNT87" s="6"/>
      <c r="LNU87" s="6"/>
      <c r="LNV87" s="6"/>
      <c r="LNW87" s="6"/>
      <c r="LNX87" s="6"/>
      <c r="LNY87" s="6"/>
      <c r="LNZ87" s="6"/>
      <c r="LOA87" s="6"/>
      <c r="LOB87" s="6"/>
      <c r="LOC87" s="6"/>
      <c r="LOD87" s="6"/>
      <c r="LOE87" s="6"/>
      <c r="LOF87" s="6"/>
      <c r="LOG87" s="6"/>
      <c r="LOH87" s="6"/>
      <c r="LOI87" s="6"/>
      <c r="LOJ87" s="6"/>
      <c r="LOK87" s="6"/>
      <c r="LOL87" s="6"/>
      <c r="LOM87" s="6"/>
      <c r="LON87" s="6"/>
      <c r="LOO87" s="6"/>
      <c r="LOP87" s="6"/>
      <c r="LOQ87" s="6"/>
      <c r="LOR87" s="6"/>
      <c r="LOS87" s="6"/>
      <c r="LOT87" s="6"/>
      <c r="LOU87" s="6"/>
      <c r="LOV87" s="6"/>
      <c r="LOW87" s="6"/>
      <c r="LOX87" s="6"/>
      <c r="LOY87" s="6"/>
      <c r="LOZ87" s="6"/>
      <c r="LPA87" s="6"/>
      <c r="LPB87" s="6"/>
      <c r="LPC87" s="6"/>
      <c r="LPD87" s="6"/>
      <c r="LPE87" s="6"/>
      <c r="LPF87" s="6"/>
      <c r="LPG87" s="6"/>
      <c r="LPH87" s="6"/>
      <c r="LPI87" s="6"/>
      <c r="LPJ87" s="6"/>
      <c r="LPK87" s="6"/>
      <c r="LPL87" s="6"/>
      <c r="LPM87" s="6"/>
      <c r="LPN87" s="6"/>
      <c r="LPO87" s="6"/>
      <c r="LPP87" s="6"/>
      <c r="LPQ87" s="6"/>
      <c r="LPR87" s="6"/>
      <c r="LPS87" s="6"/>
      <c r="LPT87" s="6"/>
      <c r="LPU87" s="6"/>
      <c r="LPV87" s="6"/>
      <c r="LPW87" s="6"/>
      <c r="LPX87" s="6"/>
      <c r="LPY87" s="6"/>
      <c r="LPZ87" s="6"/>
      <c r="LQA87" s="6"/>
      <c r="LQB87" s="6"/>
      <c r="LQC87" s="6"/>
      <c r="LQD87" s="6"/>
      <c r="LQE87" s="6"/>
      <c r="LQF87" s="6"/>
      <c r="LQG87" s="6"/>
      <c r="LQH87" s="6"/>
      <c r="LQI87" s="6"/>
      <c r="LQJ87" s="6"/>
      <c r="LQK87" s="6"/>
      <c r="LQL87" s="6"/>
      <c r="LQM87" s="6"/>
      <c r="LQN87" s="6"/>
      <c r="LQO87" s="6"/>
      <c r="LQP87" s="6"/>
      <c r="LQQ87" s="6"/>
      <c r="LQR87" s="6"/>
      <c r="LQS87" s="6"/>
      <c r="LQT87" s="6"/>
      <c r="LQU87" s="6"/>
      <c r="LQV87" s="6"/>
      <c r="LQW87" s="6"/>
      <c r="LQX87" s="6"/>
      <c r="LQY87" s="6"/>
      <c r="LQZ87" s="6"/>
      <c r="LRA87" s="6"/>
      <c r="LRB87" s="6"/>
      <c r="LRC87" s="6"/>
      <c r="LRD87" s="6"/>
      <c r="LRE87" s="6"/>
      <c r="LRF87" s="6"/>
      <c r="LRG87" s="6"/>
      <c r="LRH87" s="6"/>
      <c r="LRI87" s="6"/>
      <c r="LRJ87" s="6"/>
      <c r="LRK87" s="6"/>
      <c r="LRL87" s="6"/>
      <c r="LRM87" s="6"/>
      <c r="LRN87" s="6"/>
      <c r="LRO87" s="6"/>
      <c r="LRP87" s="6"/>
      <c r="LRQ87" s="6"/>
      <c r="LRR87" s="6"/>
      <c r="LRS87" s="6"/>
      <c r="LRT87" s="6"/>
      <c r="LRU87" s="6"/>
      <c r="LRV87" s="6"/>
      <c r="LRW87" s="6"/>
      <c r="LRX87" s="6"/>
      <c r="LRY87" s="6"/>
      <c r="LRZ87" s="6"/>
      <c r="LSA87" s="6"/>
      <c r="LSB87" s="6"/>
      <c r="LSC87" s="6"/>
      <c r="LSD87" s="6"/>
      <c r="LSE87" s="6"/>
      <c r="LSF87" s="6"/>
      <c r="LSG87" s="6"/>
      <c r="LSH87" s="6"/>
      <c r="LSI87" s="6"/>
      <c r="LSJ87" s="6"/>
      <c r="LSK87" s="6"/>
      <c r="LSL87" s="6"/>
      <c r="LSM87" s="6"/>
      <c r="LSN87" s="6"/>
      <c r="LSO87" s="6"/>
      <c r="LSP87" s="6"/>
      <c r="LSQ87" s="6"/>
      <c r="LSR87" s="6"/>
      <c r="LSS87" s="6"/>
      <c r="LST87" s="6"/>
      <c r="LSU87" s="6"/>
      <c r="LSV87" s="6"/>
      <c r="LSW87" s="6"/>
      <c r="LSX87" s="6"/>
      <c r="LSY87" s="6"/>
      <c r="LSZ87" s="6"/>
      <c r="LTA87" s="6"/>
      <c r="LTB87" s="6"/>
      <c r="LTC87" s="6"/>
      <c r="LTD87" s="6"/>
      <c r="LTE87" s="6"/>
      <c r="LTF87" s="6"/>
      <c r="LTG87" s="6"/>
      <c r="LTH87" s="6"/>
      <c r="LTI87" s="6"/>
      <c r="LTJ87" s="6"/>
      <c r="LTK87" s="6"/>
      <c r="LTL87" s="6"/>
      <c r="LTM87" s="6"/>
      <c r="LTN87" s="6"/>
      <c r="LTO87" s="6"/>
      <c r="LTP87" s="6"/>
      <c r="LTQ87" s="6"/>
      <c r="LTR87" s="6"/>
      <c r="LTS87" s="6"/>
      <c r="LTT87" s="6"/>
      <c r="LTU87" s="6"/>
      <c r="LTV87" s="6"/>
      <c r="LTW87" s="6"/>
      <c r="LTX87" s="6"/>
      <c r="LTY87" s="6"/>
      <c r="LTZ87" s="6"/>
      <c r="LUA87" s="6"/>
      <c r="LUB87" s="6"/>
      <c r="LUC87" s="6"/>
      <c r="LUD87" s="6"/>
      <c r="LUE87" s="6"/>
      <c r="LUF87" s="6"/>
      <c r="LUG87" s="6"/>
      <c r="LUH87" s="6"/>
      <c r="LUI87" s="6"/>
      <c r="LUJ87" s="6"/>
      <c r="LUK87" s="6"/>
      <c r="LUL87" s="6"/>
      <c r="LUM87" s="6"/>
      <c r="LUN87" s="6"/>
      <c r="LUO87" s="6"/>
      <c r="LUP87" s="6"/>
      <c r="LUQ87" s="6"/>
      <c r="LUR87" s="6"/>
      <c r="LUS87" s="6"/>
      <c r="LUT87" s="6"/>
      <c r="LUU87" s="6"/>
      <c r="LUV87" s="6"/>
      <c r="LUW87" s="6"/>
      <c r="LUX87" s="6"/>
      <c r="LUY87" s="6"/>
      <c r="LUZ87" s="6"/>
      <c r="LVA87" s="6"/>
      <c r="LVB87" s="6"/>
      <c r="LVC87" s="6"/>
      <c r="LVD87" s="6"/>
      <c r="LVE87" s="6"/>
      <c r="LVF87" s="6"/>
      <c r="LVG87" s="6"/>
      <c r="LVH87" s="6"/>
      <c r="LVI87" s="6"/>
      <c r="LVJ87" s="6"/>
      <c r="LVK87" s="6"/>
      <c r="LVL87" s="6"/>
      <c r="LVM87" s="6"/>
      <c r="LVN87" s="6"/>
      <c r="LVO87" s="6"/>
      <c r="LVP87" s="6"/>
      <c r="LVQ87" s="6"/>
      <c r="LVR87" s="6"/>
      <c r="LVS87" s="6"/>
      <c r="LVT87" s="6"/>
      <c r="LVU87" s="6"/>
      <c r="LVV87" s="6"/>
      <c r="LVW87" s="6"/>
      <c r="LVX87" s="6"/>
      <c r="LVY87" s="6"/>
      <c r="LVZ87" s="6"/>
      <c r="LWA87" s="6"/>
      <c r="LWB87" s="6"/>
      <c r="LWC87" s="6"/>
      <c r="LWD87" s="6"/>
      <c r="LWE87" s="6"/>
      <c r="LWF87" s="6"/>
      <c r="LWG87" s="6"/>
      <c r="LWH87" s="6"/>
      <c r="LWI87" s="6"/>
      <c r="LWJ87" s="6"/>
      <c r="LWK87" s="6"/>
      <c r="LWL87" s="6"/>
      <c r="LWM87" s="6"/>
      <c r="LWN87" s="6"/>
      <c r="LWO87" s="6"/>
      <c r="LWP87" s="6"/>
      <c r="LWQ87" s="6"/>
      <c r="LWR87" s="6"/>
      <c r="LWS87" s="6"/>
      <c r="LWT87" s="6"/>
      <c r="LWU87" s="6"/>
      <c r="LWV87" s="6"/>
      <c r="LWW87" s="6"/>
      <c r="LWX87" s="6"/>
      <c r="LWY87" s="6"/>
      <c r="LWZ87" s="6"/>
      <c r="LXA87" s="6"/>
      <c r="LXB87" s="6"/>
      <c r="LXC87" s="6"/>
      <c r="LXD87" s="6"/>
      <c r="LXE87" s="6"/>
      <c r="LXF87" s="6"/>
      <c r="LXG87" s="6"/>
      <c r="LXH87" s="6"/>
      <c r="LXI87" s="6"/>
      <c r="LXJ87" s="6"/>
      <c r="LXK87" s="6"/>
      <c r="LXL87" s="6"/>
      <c r="LXM87" s="6"/>
      <c r="LXN87" s="6"/>
      <c r="LXO87" s="6"/>
      <c r="LXP87" s="6"/>
      <c r="LXQ87" s="6"/>
      <c r="LXR87" s="6"/>
      <c r="LXS87" s="6"/>
      <c r="LXT87" s="6"/>
      <c r="LXU87" s="6"/>
      <c r="LXV87" s="6"/>
      <c r="LXW87" s="6"/>
      <c r="LXX87" s="6"/>
      <c r="LXY87" s="6"/>
      <c r="LXZ87" s="6"/>
      <c r="LYA87" s="6"/>
      <c r="LYB87" s="6"/>
      <c r="LYC87" s="6"/>
      <c r="LYD87" s="6"/>
      <c r="LYE87" s="6"/>
      <c r="LYF87" s="6"/>
      <c r="LYG87" s="6"/>
      <c r="LYH87" s="6"/>
      <c r="LYI87" s="6"/>
      <c r="LYJ87" s="6"/>
      <c r="LYK87" s="6"/>
      <c r="LYL87" s="6"/>
      <c r="LYM87" s="6"/>
      <c r="LYN87" s="6"/>
      <c r="LYO87" s="6"/>
      <c r="LYP87" s="6"/>
      <c r="LYQ87" s="6"/>
      <c r="LYR87" s="6"/>
      <c r="LYS87" s="6"/>
      <c r="LYT87" s="6"/>
      <c r="LYU87" s="6"/>
      <c r="LYV87" s="6"/>
      <c r="LYW87" s="6"/>
      <c r="LYX87" s="6"/>
      <c r="LYY87" s="6"/>
      <c r="LYZ87" s="6"/>
      <c r="LZA87" s="6"/>
      <c r="LZB87" s="6"/>
      <c r="LZC87" s="6"/>
      <c r="LZD87" s="6"/>
      <c r="LZE87" s="6"/>
      <c r="LZF87" s="6"/>
      <c r="LZG87" s="6"/>
      <c r="LZH87" s="6"/>
      <c r="LZI87" s="6"/>
      <c r="LZJ87" s="6"/>
      <c r="LZK87" s="6"/>
      <c r="LZL87" s="6"/>
      <c r="LZM87" s="6"/>
      <c r="LZN87" s="6"/>
      <c r="LZO87" s="6"/>
      <c r="LZP87" s="6"/>
      <c r="LZQ87" s="6"/>
      <c r="LZR87" s="6"/>
      <c r="LZS87" s="6"/>
      <c r="LZT87" s="6"/>
      <c r="LZU87" s="6"/>
      <c r="LZV87" s="6"/>
      <c r="LZW87" s="6"/>
      <c r="LZX87" s="6"/>
      <c r="LZY87" s="6"/>
      <c r="LZZ87" s="6"/>
      <c r="MAA87" s="6"/>
      <c r="MAB87" s="6"/>
      <c r="MAC87" s="6"/>
      <c r="MAD87" s="6"/>
      <c r="MAE87" s="6"/>
      <c r="MAF87" s="6"/>
      <c r="MAG87" s="6"/>
      <c r="MAH87" s="6"/>
      <c r="MAI87" s="6"/>
      <c r="MAJ87" s="6"/>
      <c r="MAK87" s="6"/>
      <c r="MAL87" s="6"/>
      <c r="MAM87" s="6"/>
      <c r="MAN87" s="6"/>
      <c r="MAO87" s="6"/>
      <c r="MAP87" s="6"/>
      <c r="MAQ87" s="6"/>
      <c r="MAR87" s="6"/>
      <c r="MAS87" s="6"/>
      <c r="MAT87" s="6"/>
      <c r="MAU87" s="6"/>
      <c r="MAV87" s="6"/>
      <c r="MAW87" s="6"/>
      <c r="MAX87" s="6"/>
      <c r="MAY87" s="6"/>
      <c r="MAZ87" s="6"/>
      <c r="MBA87" s="6"/>
      <c r="MBB87" s="6"/>
      <c r="MBC87" s="6"/>
      <c r="MBD87" s="6"/>
      <c r="MBE87" s="6"/>
      <c r="MBF87" s="6"/>
      <c r="MBG87" s="6"/>
      <c r="MBH87" s="6"/>
      <c r="MBI87" s="6"/>
      <c r="MBJ87" s="6"/>
      <c r="MBK87" s="6"/>
      <c r="MBL87" s="6"/>
      <c r="MBM87" s="6"/>
      <c r="MBN87" s="6"/>
      <c r="MBO87" s="6"/>
      <c r="MBP87" s="6"/>
      <c r="MBQ87" s="6"/>
      <c r="MBR87" s="6"/>
      <c r="MBS87" s="6"/>
      <c r="MBT87" s="6"/>
      <c r="MBU87" s="6"/>
      <c r="MBV87" s="6"/>
      <c r="MBW87" s="6"/>
      <c r="MBX87" s="6"/>
      <c r="MBY87" s="6"/>
      <c r="MBZ87" s="6"/>
      <c r="MCA87" s="6"/>
      <c r="MCB87" s="6"/>
      <c r="MCC87" s="6"/>
      <c r="MCD87" s="6"/>
      <c r="MCE87" s="6"/>
      <c r="MCF87" s="6"/>
      <c r="MCG87" s="6"/>
      <c r="MCH87" s="6"/>
      <c r="MCI87" s="6"/>
      <c r="MCJ87" s="6"/>
      <c r="MCK87" s="6"/>
      <c r="MCL87" s="6"/>
      <c r="MCM87" s="6"/>
      <c r="MCN87" s="6"/>
      <c r="MCO87" s="6"/>
      <c r="MCP87" s="6"/>
      <c r="MCQ87" s="6"/>
      <c r="MCR87" s="6"/>
      <c r="MCS87" s="6"/>
      <c r="MCT87" s="6"/>
      <c r="MCU87" s="6"/>
      <c r="MCV87" s="6"/>
      <c r="MCW87" s="6"/>
      <c r="MCX87" s="6"/>
      <c r="MCY87" s="6"/>
      <c r="MCZ87" s="6"/>
      <c r="MDA87" s="6"/>
      <c r="MDB87" s="6"/>
      <c r="MDC87" s="6"/>
      <c r="MDD87" s="6"/>
      <c r="MDE87" s="6"/>
      <c r="MDF87" s="6"/>
      <c r="MDG87" s="6"/>
      <c r="MDH87" s="6"/>
      <c r="MDI87" s="6"/>
      <c r="MDJ87" s="6"/>
      <c r="MDK87" s="6"/>
      <c r="MDL87" s="6"/>
      <c r="MDM87" s="6"/>
      <c r="MDN87" s="6"/>
      <c r="MDO87" s="6"/>
      <c r="MDP87" s="6"/>
      <c r="MDQ87" s="6"/>
      <c r="MDR87" s="6"/>
      <c r="MDS87" s="6"/>
      <c r="MDT87" s="6"/>
      <c r="MDU87" s="6"/>
      <c r="MDV87" s="6"/>
      <c r="MDW87" s="6"/>
      <c r="MDX87" s="6"/>
      <c r="MDY87" s="6"/>
      <c r="MDZ87" s="6"/>
      <c r="MEA87" s="6"/>
      <c r="MEB87" s="6"/>
      <c r="MEC87" s="6"/>
      <c r="MED87" s="6"/>
      <c r="MEE87" s="6"/>
      <c r="MEF87" s="6"/>
      <c r="MEG87" s="6"/>
      <c r="MEH87" s="6"/>
      <c r="MEI87" s="6"/>
      <c r="MEJ87" s="6"/>
      <c r="MEK87" s="6"/>
      <c r="MEL87" s="6"/>
      <c r="MEM87" s="6"/>
      <c r="MEN87" s="6"/>
      <c r="MEO87" s="6"/>
      <c r="MEP87" s="6"/>
      <c r="MEQ87" s="6"/>
      <c r="MER87" s="6"/>
      <c r="MES87" s="6"/>
      <c r="MET87" s="6"/>
      <c r="MEU87" s="6"/>
      <c r="MEV87" s="6"/>
      <c r="MEW87" s="6"/>
      <c r="MEX87" s="6"/>
      <c r="MEY87" s="6"/>
      <c r="MEZ87" s="6"/>
      <c r="MFA87" s="6"/>
      <c r="MFB87" s="6"/>
      <c r="MFC87" s="6"/>
      <c r="MFD87" s="6"/>
      <c r="MFE87" s="6"/>
      <c r="MFF87" s="6"/>
      <c r="MFG87" s="6"/>
      <c r="MFH87" s="6"/>
      <c r="MFI87" s="6"/>
      <c r="MFJ87" s="6"/>
      <c r="MFK87" s="6"/>
      <c r="MFL87" s="6"/>
      <c r="MFM87" s="6"/>
      <c r="MFN87" s="6"/>
      <c r="MFO87" s="6"/>
      <c r="MFP87" s="6"/>
      <c r="MFQ87" s="6"/>
      <c r="MFR87" s="6"/>
      <c r="MFS87" s="6"/>
      <c r="MFT87" s="6"/>
      <c r="MFU87" s="6"/>
      <c r="MFV87" s="6"/>
      <c r="MFW87" s="6"/>
      <c r="MFX87" s="6"/>
      <c r="MFY87" s="6"/>
      <c r="MFZ87" s="6"/>
      <c r="MGA87" s="6"/>
      <c r="MGB87" s="6"/>
      <c r="MGC87" s="6"/>
      <c r="MGD87" s="6"/>
      <c r="MGE87" s="6"/>
      <c r="MGF87" s="6"/>
      <c r="MGG87" s="6"/>
      <c r="MGH87" s="6"/>
      <c r="MGI87" s="6"/>
      <c r="MGJ87" s="6"/>
      <c r="MGK87" s="6"/>
      <c r="MGL87" s="6"/>
      <c r="MGM87" s="6"/>
      <c r="MGN87" s="6"/>
      <c r="MGO87" s="6"/>
      <c r="MGP87" s="6"/>
      <c r="MGQ87" s="6"/>
      <c r="MGR87" s="6"/>
      <c r="MGS87" s="6"/>
      <c r="MGT87" s="6"/>
      <c r="MGU87" s="6"/>
      <c r="MGV87" s="6"/>
      <c r="MGW87" s="6"/>
      <c r="MGX87" s="6"/>
      <c r="MGY87" s="6"/>
      <c r="MGZ87" s="6"/>
      <c r="MHA87" s="6"/>
      <c r="MHB87" s="6"/>
      <c r="MHC87" s="6"/>
      <c r="MHD87" s="6"/>
      <c r="MHE87" s="6"/>
      <c r="MHF87" s="6"/>
      <c r="MHG87" s="6"/>
      <c r="MHH87" s="6"/>
      <c r="MHI87" s="6"/>
      <c r="MHJ87" s="6"/>
      <c r="MHK87" s="6"/>
      <c r="MHL87" s="6"/>
      <c r="MHM87" s="6"/>
      <c r="MHN87" s="6"/>
      <c r="MHO87" s="6"/>
      <c r="MHP87" s="6"/>
      <c r="MHQ87" s="6"/>
      <c r="MHR87" s="6"/>
      <c r="MHS87" s="6"/>
      <c r="MHT87" s="6"/>
      <c r="MHU87" s="6"/>
      <c r="MHV87" s="6"/>
      <c r="MHW87" s="6"/>
      <c r="MHX87" s="6"/>
      <c r="MHY87" s="6"/>
      <c r="MHZ87" s="6"/>
      <c r="MIA87" s="6"/>
      <c r="MIB87" s="6"/>
      <c r="MIC87" s="6"/>
      <c r="MID87" s="6"/>
      <c r="MIE87" s="6"/>
      <c r="MIF87" s="6"/>
      <c r="MIG87" s="6"/>
      <c r="MIH87" s="6"/>
      <c r="MII87" s="6"/>
      <c r="MIJ87" s="6"/>
      <c r="MIK87" s="6"/>
      <c r="MIL87" s="6"/>
      <c r="MIM87" s="6"/>
      <c r="MIN87" s="6"/>
      <c r="MIO87" s="6"/>
      <c r="MIP87" s="6"/>
      <c r="MIQ87" s="6"/>
      <c r="MIR87" s="6"/>
      <c r="MIS87" s="6"/>
      <c r="MIT87" s="6"/>
      <c r="MIU87" s="6"/>
      <c r="MIV87" s="6"/>
      <c r="MIW87" s="6"/>
      <c r="MIX87" s="6"/>
      <c r="MIY87" s="6"/>
      <c r="MIZ87" s="6"/>
      <c r="MJA87" s="6"/>
      <c r="MJB87" s="6"/>
      <c r="MJC87" s="6"/>
      <c r="MJD87" s="6"/>
      <c r="MJE87" s="6"/>
      <c r="MJF87" s="6"/>
      <c r="MJG87" s="6"/>
      <c r="MJH87" s="6"/>
      <c r="MJI87" s="6"/>
      <c r="MJJ87" s="6"/>
      <c r="MJK87" s="6"/>
      <c r="MJL87" s="6"/>
      <c r="MJM87" s="6"/>
      <c r="MJN87" s="6"/>
      <c r="MJO87" s="6"/>
      <c r="MJP87" s="6"/>
      <c r="MJQ87" s="6"/>
      <c r="MJR87" s="6"/>
      <c r="MJS87" s="6"/>
      <c r="MJT87" s="6"/>
      <c r="MJU87" s="6"/>
      <c r="MJV87" s="6"/>
      <c r="MJW87" s="6"/>
      <c r="MJX87" s="6"/>
      <c r="MJY87" s="6"/>
      <c r="MJZ87" s="6"/>
      <c r="MKA87" s="6"/>
      <c r="MKB87" s="6"/>
      <c r="MKC87" s="6"/>
      <c r="MKD87" s="6"/>
      <c r="MKE87" s="6"/>
      <c r="MKF87" s="6"/>
      <c r="MKG87" s="6"/>
      <c r="MKH87" s="6"/>
      <c r="MKI87" s="6"/>
      <c r="MKJ87" s="6"/>
      <c r="MKK87" s="6"/>
      <c r="MKL87" s="6"/>
      <c r="MKM87" s="6"/>
      <c r="MKN87" s="6"/>
      <c r="MKO87" s="6"/>
      <c r="MKP87" s="6"/>
      <c r="MKQ87" s="6"/>
      <c r="MKR87" s="6"/>
      <c r="MKS87" s="6"/>
      <c r="MKT87" s="6"/>
      <c r="MKU87" s="6"/>
      <c r="MKV87" s="6"/>
      <c r="MKW87" s="6"/>
      <c r="MKX87" s="6"/>
      <c r="MKY87" s="6"/>
      <c r="MKZ87" s="6"/>
      <c r="MLA87" s="6"/>
      <c r="MLB87" s="6"/>
      <c r="MLC87" s="6"/>
      <c r="MLD87" s="6"/>
      <c r="MLE87" s="6"/>
      <c r="MLF87" s="6"/>
      <c r="MLG87" s="6"/>
      <c r="MLH87" s="6"/>
      <c r="MLI87" s="6"/>
      <c r="MLJ87" s="6"/>
      <c r="MLK87" s="6"/>
      <c r="MLL87" s="6"/>
      <c r="MLM87" s="6"/>
      <c r="MLN87" s="6"/>
      <c r="MLO87" s="6"/>
      <c r="MLP87" s="6"/>
      <c r="MLQ87" s="6"/>
      <c r="MLR87" s="6"/>
      <c r="MLS87" s="6"/>
      <c r="MLT87" s="6"/>
      <c r="MLU87" s="6"/>
      <c r="MLV87" s="6"/>
      <c r="MLW87" s="6"/>
      <c r="MLX87" s="6"/>
      <c r="MLY87" s="6"/>
      <c r="MLZ87" s="6"/>
      <c r="MMA87" s="6"/>
      <c r="MMB87" s="6"/>
      <c r="MMC87" s="6"/>
      <c r="MMD87" s="6"/>
      <c r="MME87" s="6"/>
      <c r="MMF87" s="6"/>
      <c r="MMG87" s="6"/>
      <c r="MMH87" s="6"/>
      <c r="MMI87" s="6"/>
      <c r="MMJ87" s="6"/>
      <c r="MMK87" s="6"/>
      <c r="MML87" s="6"/>
      <c r="MMM87" s="6"/>
      <c r="MMN87" s="6"/>
      <c r="MMO87" s="6"/>
      <c r="MMP87" s="6"/>
      <c r="MMQ87" s="6"/>
      <c r="MMR87" s="6"/>
      <c r="MMS87" s="6"/>
      <c r="MMT87" s="6"/>
      <c r="MMU87" s="6"/>
      <c r="MMV87" s="6"/>
      <c r="MMW87" s="6"/>
      <c r="MMX87" s="6"/>
      <c r="MMY87" s="6"/>
      <c r="MMZ87" s="6"/>
      <c r="MNA87" s="6"/>
      <c r="MNB87" s="6"/>
      <c r="MNC87" s="6"/>
      <c r="MND87" s="6"/>
      <c r="MNE87" s="6"/>
      <c r="MNF87" s="6"/>
      <c r="MNG87" s="6"/>
      <c r="MNH87" s="6"/>
      <c r="MNI87" s="6"/>
      <c r="MNJ87" s="6"/>
      <c r="MNK87" s="6"/>
      <c r="MNL87" s="6"/>
      <c r="MNM87" s="6"/>
      <c r="MNN87" s="6"/>
      <c r="MNO87" s="6"/>
      <c r="MNP87" s="6"/>
      <c r="MNQ87" s="6"/>
      <c r="MNR87" s="6"/>
      <c r="MNS87" s="6"/>
      <c r="MNT87" s="6"/>
      <c r="MNU87" s="6"/>
      <c r="MNV87" s="6"/>
      <c r="MNW87" s="6"/>
      <c r="MNX87" s="6"/>
      <c r="MNY87" s="6"/>
      <c r="MNZ87" s="6"/>
      <c r="MOA87" s="6"/>
      <c r="MOB87" s="6"/>
      <c r="MOC87" s="6"/>
      <c r="MOD87" s="6"/>
      <c r="MOE87" s="6"/>
      <c r="MOF87" s="6"/>
      <c r="MOG87" s="6"/>
      <c r="MOH87" s="6"/>
      <c r="MOI87" s="6"/>
      <c r="MOJ87" s="6"/>
      <c r="MOK87" s="6"/>
      <c r="MOL87" s="6"/>
      <c r="MOM87" s="6"/>
      <c r="MON87" s="6"/>
      <c r="MOO87" s="6"/>
      <c r="MOP87" s="6"/>
      <c r="MOQ87" s="6"/>
      <c r="MOR87" s="6"/>
      <c r="MOS87" s="6"/>
      <c r="MOT87" s="6"/>
      <c r="MOU87" s="6"/>
      <c r="MOV87" s="6"/>
      <c r="MOW87" s="6"/>
      <c r="MOX87" s="6"/>
      <c r="MOY87" s="6"/>
      <c r="MOZ87" s="6"/>
      <c r="MPA87" s="6"/>
      <c r="MPB87" s="6"/>
      <c r="MPC87" s="6"/>
      <c r="MPD87" s="6"/>
      <c r="MPE87" s="6"/>
      <c r="MPF87" s="6"/>
      <c r="MPG87" s="6"/>
      <c r="MPH87" s="6"/>
      <c r="MPI87" s="6"/>
      <c r="MPJ87" s="6"/>
      <c r="MPK87" s="6"/>
      <c r="MPL87" s="6"/>
      <c r="MPM87" s="6"/>
      <c r="MPN87" s="6"/>
      <c r="MPO87" s="6"/>
      <c r="MPP87" s="6"/>
      <c r="MPQ87" s="6"/>
      <c r="MPR87" s="6"/>
      <c r="MPS87" s="6"/>
      <c r="MPT87" s="6"/>
      <c r="MPU87" s="6"/>
      <c r="MPV87" s="6"/>
      <c r="MPW87" s="6"/>
      <c r="MPX87" s="6"/>
      <c r="MPY87" s="6"/>
      <c r="MPZ87" s="6"/>
      <c r="MQA87" s="6"/>
      <c r="MQB87" s="6"/>
      <c r="MQC87" s="6"/>
      <c r="MQD87" s="6"/>
      <c r="MQE87" s="6"/>
      <c r="MQF87" s="6"/>
      <c r="MQG87" s="6"/>
      <c r="MQH87" s="6"/>
      <c r="MQI87" s="6"/>
      <c r="MQJ87" s="6"/>
      <c r="MQK87" s="6"/>
      <c r="MQL87" s="6"/>
      <c r="MQM87" s="6"/>
      <c r="MQN87" s="6"/>
      <c r="MQO87" s="6"/>
      <c r="MQP87" s="6"/>
      <c r="MQQ87" s="6"/>
      <c r="MQR87" s="6"/>
      <c r="MQS87" s="6"/>
      <c r="MQT87" s="6"/>
      <c r="MQU87" s="6"/>
      <c r="MQV87" s="6"/>
      <c r="MQW87" s="6"/>
      <c r="MQX87" s="6"/>
      <c r="MQY87" s="6"/>
      <c r="MQZ87" s="6"/>
      <c r="MRA87" s="6"/>
      <c r="MRB87" s="6"/>
      <c r="MRC87" s="6"/>
      <c r="MRD87" s="6"/>
      <c r="MRE87" s="6"/>
      <c r="MRF87" s="6"/>
      <c r="MRG87" s="6"/>
      <c r="MRH87" s="6"/>
      <c r="MRI87" s="6"/>
      <c r="MRJ87" s="6"/>
      <c r="MRK87" s="6"/>
      <c r="MRL87" s="6"/>
      <c r="MRM87" s="6"/>
      <c r="MRN87" s="6"/>
      <c r="MRO87" s="6"/>
      <c r="MRP87" s="6"/>
      <c r="MRQ87" s="6"/>
      <c r="MRR87" s="6"/>
      <c r="MRS87" s="6"/>
      <c r="MRT87" s="6"/>
      <c r="MRU87" s="6"/>
      <c r="MRV87" s="6"/>
      <c r="MRW87" s="6"/>
      <c r="MRX87" s="6"/>
      <c r="MRY87" s="6"/>
      <c r="MRZ87" s="6"/>
      <c r="MSA87" s="6"/>
      <c r="MSB87" s="6"/>
      <c r="MSC87" s="6"/>
      <c r="MSD87" s="6"/>
      <c r="MSE87" s="6"/>
      <c r="MSF87" s="6"/>
      <c r="MSG87" s="6"/>
      <c r="MSH87" s="6"/>
      <c r="MSI87" s="6"/>
      <c r="MSJ87" s="6"/>
      <c r="MSK87" s="6"/>
      <c r="MSL87" s="6"/>
      <c r="MSM87" s="6"/>
      <c r="MSN87" s="6"/>
      <c r="MSO87" s="6"/>
      <c r="MSP87" s="6"/>
      <c r="MSQ87" s="6"/>
      <c r="MSR87" s="6"/>
      <c r="MSS87" s="6"/>
      <c r="MST87" s="6"/>
      <c r="MSU87" s="6"/>
      <c r="MSV87" s="6"/>
      <c r="MSW87" s="6"/>
      <c r="MSX87" s="6"/>
      <c r="MSY87" s="6"/>
      <c r="MSZ87" s="6"/>
      <c r="MTA87" s="6"/>
      <c r="MTB87" s="6"/>
      <c r="MTC87" s="6"/>
      <c r="MTD87" s="6"/>
      <c r="MTE87" s="6"/>
      <c r="MTF87" s="6"/>
      <c r="MTG87" s="6"/>
      <c r="MTH87" s="6"/>
      <c r="MTI87" s="6"/>
      <c r="MTJ87" s="6"/>
      <c r="MTK87" s="6"/>
      <c r="MTL87" s="6"/>
      <c r="MTM87" s="6"/>
      <c r="MTN87" s="6"/>
      <c r="MTO87" s="6"/>
      <c r="MTP87" s="6"/>
      <c r="MTQ87" s="6"/>
      <c r="MTR87" s="6"/>
      <c r="MTS87" s="6"/>
      <c r="MTT87" s="6"/>
      <c r="MTU87" s="6"/>
      <c r="MTV87" s="6"/>
      <c r="MTW87" s="6"/>
      <c r="MTX87" s="6"/>
      <c r="MTY87" s="6"/>
      <c r="MTZ87" s="6"/>
      <c r="MUA87" s="6"/>
      <c r="MUB87" s="6"/>
      <c r="MUC87" s="6"/>
      <c r="MUD87" s="6"/>
      <c r="MUE87" s="6"/>
      <c r="MUF87" s="6"/>
      <c r="MUG87" s="6"/>
      <c r="MUH87" s="6"/>
      <c r="MUI87" s="6"/>
      <c r="MUJ87" s="6"/>
      <c r="MUK87" s="6"/>
      <c r="MUL87" s="6"/>
      <c r="MUM87" s="6"/>
      <c r="MUN87" s="6"/>
      <c r="MUO87" s="6"/>
      <c r="MUP87" s="6"/>
      <c r="MUQ87" s="6"/>
      <c r="MUR87" s="6"/>
      <c r="MUS87" s="6"/>
      <c r="MUT87" s="6"/>
      <c r="MUU87" s="6"/>
      <c r="MUV87" s="6"/>
      <c r="MUW87" s="6"/>
      <c r="MUX87" s="6"/>
      <c r="MUY87" s="6"/>
      <c r="MUZ87" s="6"/>
      <c r="MVA87" s="6"/>
      <c r="MVB87" s="6"/>
      <c r="MVC87" s="6"/>
      <c r="MVD87" s="6"/>
      <c r="MVE87" s="6"/>
      <c r="MVF87" s="6"/>
      <c r="MVG87" s="6"/>
      <c r="MVH87" s="6"/>
      <c r="MVI87" s="6"/>
      <c r="MVJ87" s="6"/>
      <c r="MVK87" s="6"/>
      <c r="MVL87" s="6"/>
      <c r="MVM87" s="6"/>
      <c r="MVN87" s="6"/>
      <c r="MVO87" s="6"/>
      <c r="MVP87" s="6"/>
      <c r="MVQ87" s="6"/>
      <c r="MVR87" s="6"/>
      <c r="MVS87" s="6"/>
      <c r="MVT87" s="6"/>
      <c r="MVU87" s="6"/>
      <c r="MVV87" s="6"/>
      <c r="MVW87" s="6"/>
      <c r="MVX87" s="6"/>
      <c r="MVY87" s="6"/>
      <c r="MVZ87" s="6"/>
      <c r="MWA87" s="6"/>
      <c r="MWB87" s="6"/>
      <c r="MWC87" s="6"/>
      <c r="MWD87" s="6"/>
      <c r="MWE87" s="6"/>
      <c r="MWF87" s="6"/>
      <c r="MWG87" s="6"/>
      <c r="MWH87" s="6"/>
      <c r="MWI87" s="6"/>
      <c r="MWJ87" s="6"/>
      <c r="MWK87" s="6"/>
      <c r="MWL87" s="6"/>
      <c r="MWM87" s="6"/>
      <c r="MWN87" s="6"/>
      <c r="MWO87" s="6"/>
      <c r="MWP87" s="6"/>
      <c r="MWQ87" s="6"/>
      <c r="MWR87" s="6"/>
      <c r="MWS87" s="6"/>
      <c r="MWT87" s="6"/>
      <c r="MWU87" s="6"/>
      <c r="MWV87" s="6"/>
      <c r="MWW87" s="6"/>
      <c r="MWX87" s="6"/>
      <c r="MWY87" s="6"/>
      <c r="MWZ87" s="6"/>
      <c r="MXA87" s="6"/>
      <c r="MXB87" s="6"/>
      <c r="MXC87" s="6"/>
      <c r="MXD87" s="6"/>
      <c r="MXE87" s="6"/>
      <c r="MXF87" s="6"/>
      <c r="MXG87" s="6"/>
      <c r="MXH87" s="6"/>
      <c r="MXI87" s="6"/>
      <c r="MXJ87" s="6"/>
      <c r="MXK87" s="6"/>
      <c r="MXL87" s="6"/>
      <c r="MXM87" s="6"/>
      <c r="MXN87" s="6"/>
      <c r="MXO87" s="6"/>
      <c r="MXP87" s="6"/>
      <c r="MXQ87" s="6"/>
      <c r="MXR87" s="6"/>
      <c r="MXS87" s="6"/>
      <c r="MXT87" s="6"/>
      <c r="MXU87" s="6"/>
      <c r="MXV87" s="6"/>
      <c r="MXW87" s="6"/>
      <c r="MXX87" s="6"/>
      <c r="MXY87" s="6"/>
      <c r="MXZ87" s="6"/>
      <c r="MYA87" s="6"/>
      <c r="MYB87" s="6"/>
      <c r="MYC87" s="6"/>
      <c r="MYD87" s="6"/>
      <c r="MYE87" s="6"/>
      <c r="MYF87" s="6"/>
      <c r="MYG87" s="6"/>
      <c r="MYH87" s="6"/>
      <c r="MYI87" s="6"/>
      <c r="MYJ87" s="6"/>
      <c r="MYK87" s="6"/>
      <c r="MYL87" s="6"/>
      <c r="MYM87" s="6"/>
      <c r="MYN87" s="6"/>
      <c r="MYO87" s="6"/>
      <c r="MYP87" s="6"/>
      <c r="MYQ87" s="6"/>
      <c r="MYR87" s="6"/>
      <c r="MYS87" s="6"/>
      <c r="MYT87" s="6"/>
      <c r="MYU87" s="6"/>
      <c r="MYV87" s="6"/>
      <c r="MYW87" s="6"/>
      <c r="MYX87" s="6"/>
      <c r="MYY87" s="6"/>
      <c r="MYZ87" s="6"/>
      <c r="MZA87" s="6"/>
      <c r="MZB87" s="6"/>
      <c r="MZC87" s="6"/>
      <c r="MZD87" s="6"/>
      <c r="MZE87" s="6"/>
      <c r="MZF87" s="6"/>
      <c r="MZG87" s="6"/>
      <c r="MZH87" s="6"/>
      <c r="MZI87" s="6"/>
      <c r="MZJ87" s="6"/>
      <c r="MZK87" s="6"/>
      <c r="MZL87" s="6"/>
      <c r="MZM87" s="6"/>
      <c r="MZN87" s="6"/>
      <c r="MZO87" s="6"/>
      <c r="MZP87" s="6"/>
      <c r="MZQ87" s="6"/>
      <c r="MZR87" s="6"/>
      <c r="MZS87" s="6"/>
      <c r="MZT87" s="6"/>
      <c r="MZU87" s="6"/>
      <c r="MZV87" s="6"/>
      <c r="MZW87" s="6"/>
      <c r="MZX87" s="6"/>
      <c r="MZY87" s="6"/>
      <c r="MZZ87" s="6"/>
      <c r="NAA87" s="6"/>
      <c r="NAB87" s="6"/>
      <c r="NAC87" s="6"/>
      <c r="NAD87" s="6"/>
      <c r="NAE87" s="6"/>
      <c r="NAF87" s="6"/>
      <c r="NAG87" s="6"/>
      <c r="NAH87" s="6"/>
      <c r="NAI87" s="6"/>
      <c r="NAJ87" s="6"/>
      <c r="NAK87" s="6"/>
      <c r="NAL87" s="6"/>
      <c r="NAM87" s="6"/>
      <c r="NAN87" s="6"/>
      <c r="NAO87" s="6"/>
      <c r="NAP87" s="6"/>
      <c r="NAQ87" s="6"/>
      <c r="NAR87" s="6"/>
      <c r="NAS87" s="6"/>
      <c r="NAT87" s="6"/>
      <c r="NAU87" s="6"/>
      <c r="NAV87" s="6"/>
      <c r="NAW87" s="6"/>
      <c r="NAX87" s="6"/>
      <c r="NAY87" s="6"/>
      <c r="NAZ87" s="6"/>
      <c r="NBA87" s="6"/>
      <c r="NBB87" s="6"/>
      <c r="NBC87" s="6"/>
      <c r="NBD87" s="6"/>
      <c r="NBE87" s="6"/>
      <c r="NBF87" s="6"/>
      <c r="NBG87" s="6"/>
      <c r="NBH87" s="6"/>
      <c r="NBI87" s="6"/>
      <c r="NBJ87" s="6"/>
      <c r="NBK87" s="6"/>
      <c r="NBL87" s="6"/>
      <c r="NBM87" s="6"/>
      <c r="NBN87" s="6"/>
      <c r="NBO87" s="6"/>
      <c r="NBP87" s="6"/>
      <c r="NBQ87" s="6"/>
      <c r="NBR87" s="6"/>
      <c r="NBS87" s="6"/>
      <c r="NBT87" s="6"/>
      <c r="NBU87" s="6"/>
      <c r="NBV87" s="6"/>
      <c r="NBW87" s="6"/>
      <c r="NBX87" s="6"/>
      <c r="NBY87" s="6"/>
      <c r="NBZ87" s="6"/>
      <c r="NCA87" s="6"/>
      <c r="NCB87" s="6"/>
      <c r="NCC87" s="6"/>
      <c r="NCD87" s="6"/>
      <c r="NCE87" s="6"/>
      <c r="NCF87" s="6"/>
      <c r="NCG87" s="6"/>
      <c r="NCH87" s="6"/>
      <c r="NCI87" s="6"/>
      <c r="NCJ87" s="6"/>
      <c r="NCK87" s="6"/>
      <c r="NCL87" s="6"/>
      <c r="NCM87" s="6"/>
      <c r="NCN87" s="6"/>
      <c r="NCO87" s="6"/>
      <c r="NCP87" s="6"/>
      <c r="NCQ87" s="6"/>
      <c r="NCR87" s="6"/>
      <c r="NCS87" s="6"/>
      <c r="NCT87" s="6"/>
      <c r="NCU87" s="6"/>
      <c r="NCV87" s="6"/>
      <c r="NCW87" s="6"/>
      <c r="NCX87" s="6"/>
      <c r="NCY87" s="6"/>
      <c r="NCZ87" s="6"/>
      <c r="NDA87" s="6"/>
      <c r="NDB87" s="6"/>
      <c r="NDC87" s="6"/>
      <c r="NDD87" s="6"/>
      <c r="NDE87" s="6"/>
      <c r="NDF87" s="6"/>
      <c r="NDG87" s="6"/>
      <c r="NDH87" s="6"/>
      <c r="NDI87" s="6"/>
      <c r="NDJ87" s="6"/>
      <c r="NDK87" s="6"/>
      <c r="NDL87" s="6"/>
      <c r="NDM87" s="6"/>
      <c r="NDN87" s="6"/>
      <c r="NDO87" s="6"/>
      <c r="NDP87" s="6"/>
      <c r="NDQ87" s="6"/>
      <c r="NDR87" s="6"/>
      <c r="NDS87" s="6"/>
      <c r="NDT87" s="6"/>
      <c r="NDU87" s="6"/>
      <c r="NDV87" s="6"/>
      <c r="NDW87" s="6"/>
      <c r="NDX87" s="6"/>
      <c r="NDY87" s="6"/>
      <c r="NDZ87" s="6"/>
      <c r="NEA87" s="6"/>
      <c r="NEB87" s="6"/>
      <c r="NEC87" s="6"/>
      <c r="NED87" s="6"/>
      <c r="NEE87" s="6"/>
      <c r="NEF87" s="6"/>
      <c r="NEG87" s="6"/>
      <c r="NEH87" s="6"/>
      <c r="NEI87" s="6"/>
      <c r="NEJ87" s="6"/>
      <c r="NEK87" s="6"/>
      <c r="NEL87" s="6"/>
      <c r="NEM87" s="6"/>
      <c r="NEN87" s="6"/>
      <c r="NEO87" s="6"/>
      <c r="NEP87" s="6"/>
      <c r="NEQ87" s="6"/>
      <c r="NER87" s="6"/>
      <c r="NES87" s="6"/>
      <c r="NET87" s="6"/>
      <c r="NEU87" s="6"/>
      <c r="NEV87" s="6"/>
      <c r="NEW87" s="6"/>
      <c r="NEX87" s="6"/>
      <c r="NEY87" s="6"/>
      <c r="NEZ87" s="6"/>
      <c r="NFA87" s="6"/>
      <c r="NFB87" s="6"/>
      <c r="NFC87" s="6"/>
      <c r="NFD87" s="6"/>
      <c r="NFE87" s="6"/>
      <c r="NFF87" s="6"/>
      <c r="NFG87" s="6"/>
      <c r="NFH87" s="6"/>
      <c r="NFI87" s="6"/>
      <c r="NFJ87" s="6"/>
      <c r="NFK87" s="6"/>
      <c r="NFL87" s="6"/>
      <c r="NFM87" s="6"/>
      <c r="NFN87" s="6"/>
      <c r="NFO87" s="6"/>
      <c r="NFP87" s="6"/>
      <c r="NFQ87" s="6"/>
      <c r="NFR87" s="6"/>
      <c r="NFS87" s="6"/>
      <c r="NFT87" s="6"/>
      <c r="NFU87" s="6"/>
      <c r="NFV87" s="6"/>
      <c r="NFW87" s="6"/>
      <c r="NFX87" s="6"/>
      <c r="NFY87" s="6"/>
      <c r="NFZ87" s="6"/>
      <c r="NGA87" s="6"/>
      <c r="NGB87" s="6"/>
      <c r="NGC87" s="6"/>
      <c r="NGD87" s="6"/>
      <c r="NGE87" s="6"/>
      <c r="NGF87" s="6"/>
      <c r="NGG87" s="6"/>
      <c r="NGH87" s="6"/>
      <c r="NGI87" s="6"/>
      <c r="NGJ87" s="6"/>
      <c r="NGK87" s="6"/>
      <c r="NGL87" s="6"/>
      <c r="NGM87" s="6"/>
      <c r="NGN87" s="6"/>
      <c r="NGO87" s="6"/>
      <c r="NGP87" s="6"/>
      <c r="NGQ87" s="6"/>
      <c r="NGR87" s="6"/>
      <c r="NGS87" s="6"/>
      <c r="NGT87" s="6"/>
      <c r="NGU87" s="6"/>
      <c r="NGV87" s="6"/>
      <c r="NGW87" s="6"/>
      <c r="NGX87" s="6"/>
      <c r="NGY87" s="6"/>
      <c r="NGZ87" s="6"/>
      <c r="NHA87" s="6"/>
      <c r="NHB87" s="6"/>
      <c r="NHC87" s="6"/>
      <c r="NHD87" s="6"/>
      <c r="NHE87" s="6"/>
      <c r="NHF87" s="6"/>
      <c r="NHG87" s="6"/>
      <c r="NHH87" s="6"/>
      <c r="NHI87" s="6"/>
      <c r="NHJ87" s="6"/>
      <c r="NHK87" s="6"/>
      <c r="NHL87" s="6"/>
      <c r="NHM87" s="6"/>
      <c r="NHN87" s="6"/>
      <c r="NHO87" s="6"/>
      <c r="NHP87" s="6"/>
      <c r="NHQ87" s="6"/>
      <c r="NHR87" s="6"/>
      <c r="NHS87" s="6"/>
      <c r="NHT87" s="6"/>
      <c r="NHU87" s="6"/>
      <c r="NHV87" s="6"/>
      <c r="NHW87" s="6"/>
      <c r="NHX87" s="6"/>
      <c r="NHY87" s="6"/>
      <c r="NHZ87" s="6"/>
      <c r="NIA87" s="6"/>
      <c r="NIB87" s="6"/>
      <c r="NIC87" s="6"/>
      <c r="NID87" s="6"/>
      <c r="NIE87" s="6"/>
      <c r="NIF87" s="6"/>
      <c r="NIG87" s="6"/>
      <c r="NIH87" s="6"/>
      <c r="NII87" s="6"/>
      <c r="NIJ87" s="6"/>
      <c r="NIK87" s="6"/>
      <c r="NIL87" s="6"/>
      <c r="NIM87" s="6"/>
      <c r="NIN87" s="6"/>
      <c r="NIO87" s="6"/>
      <c r="NIP87" s="6"/>
      <c r="NIQ87" s="6"/>
      <c r="NIR87" s="6"/>
      <c r="NIS87" s="6"/>
      <c r="NIT87" s="6"/>
      <c r="NIU87" s="6"/>
      <c r="NIV87" s="6"/>
      <c r="NIW87" s="6"/>
      <c r="NIX87" s="6"/>
      <c r="NIY87" s="6"/>
      <c r="NIZ87" s="6"/>
      <c r="NJA87" s="6"/>
      <c r="NJB87" s="6"/>
      <c r="NJC87" s="6"/>
      <c r="NJD87" s="6"/>
      <c r="NJE87" s="6"/>
      <c r="NJF87" s="6"/>
      <c r="NJG87" s="6"/>
      <c r="NJH87" s="6"/>
      <c r="NJI87" s="6"/>
      <c r="NJJ87" s="6"/>
      <c r="NJK87" s="6"/>
      <c r="NJL87" s="6"/>
      <c r="NJM87" s="6"/>
      <c r="NJN87" s="6"/>
      <c r="NJO87" s="6"/>
      <c r="NJP87" s="6"/>
      <c r="NJQ87" s="6"/>
      <c r="NJR87" s="6"/>
      <c r="NJS87" s="6"/>
      <c r="NJT87" s="6"/>
      <c r="NJU87" s="6"/>
      <c r="NJV87" s="6"/>
      <c r="NJW87" s="6"/>
      <c r="NJX87" s="6"/>
      <c r="NJY87" s="6"/>
      <c r="NJZ87" s="6"/>
      <c r="NKA87" s="6"/>
      <c r="NKB87" s="6"/>
      <c r="NKC87" s="6"/>
      <c r="NKD87" s="6"/>
      <c r="NKE87" s="6"/>
      <c r="NKF87" s="6"/>
      <c r="NKG87" s="6"/>
      <c r="NKH87" s="6"/>
      <c r="NKI87" s="6"/>
      <c r="NKJ87" s="6"/>
      <c r="NKK87" s="6"/>
      <c r="NKL87" s="6"/>
      <c r="NKM87" s="6"/>
      <c r="NKN87" s="6"/>
      <c r="NKO87" s="6"/>
      <c r="NKP87" s="6"/>
      <c r="NKQ87" s="6"/>
      <c r="NKR87" s="6"/>
      <c r="NKS87" s="6"/>
      <c r="NKT87" s="6"/>
      <c r="NKU87" s="6"/>
      <c r="NKV87" s="6"/>
      <c r="NKW87" s="6"/>
      <c r="NKX87" s="6"/>
      <c r="NKY87" s="6"/>
      <c r="NKZ87" s="6"/>
      <c r="NLA87" s="6"/>
      <c r="NLB87" s="6"/>
      <c r="NLC87" s="6"/>
      <c r="NLD87" s="6"/>
      <c r="NLE87" s="6"/>
      <c r="NLF87" s="6"/>
      <c r="NLG87" s="6"/>
      <c r="NLH87" s="6"/>
      <c r="NLI87" s="6"/>
      <c r="NLJ87" s="6"/>
      <c r="NLK87" s="6"/>
      <c r="NLL87" s="6"/>
      <c r="NLM87" s="6"/>
      <c r="NLN87" s="6"/>
      <c r="NLO87" s="6"/>
      <c r="NLP87" s="6"/>
      <c r="NLQ87" s="6"/>
      <c r="NLR87" s="6"/>
      <c r="NLS87" s="6"/>
      <c r="NLT87" s="6"/>
      <c r="NLU87" s="6"/>
      <c r="NLV87" s="6"/>
      <c r="NLW87" s="6"/>
      <c r="NLX87" s="6"/>
      <c r="NLY87" s="6"/>
      <c r="NLZ87" s="6"/>
      <c r="NMA87" s="6"/>
      <c r="NMB87" s="6"/>
      <c r="NMC87" s="6"/>
      <c r="NMD87" s="6"/>
      <c r="NME87" s="6"/>
      <c r="NMF87" s="6"/>
      <c r="NMG87" s="6"/>
      <c r="NMH87" s="6"/>
      <c r="NMI87" s="6"/>
      <c r="NMJ87" s="6"/>
      <c r="NMK87" s="6"/>
      <c r="NML87" s="6"/>
      <c r="NMM87" s="6"/>
      <c r="NMN87" s="6"/>
      <c r="NMO87" s="6"/>
      <c r="NMP87" s="6"/>
      <c r="NMQ87" s="6"/>
      <c r="NMR87" s="6"/>
      <c r="NMS87" s="6"/>
      <c r="NMT87" s="6"/>
      <c r="NMU87" s="6"/>
      <c r="NMV87" s="6"/>
      <c r="NMW87" s="6"/>
      <c r="NMX87" s="6"/>
      <c r="NMY87" s="6"/>
      <c r="NMZ87" s="6"/>
      <c r="NNA87" s="6"/>
      <c r="NNB87" s="6"/>
      <c r="NNC87" s="6"/>
      <c r="NND87" s="6"/>
      <c r="NNE87" s="6"/>
      <c r="NNF87" s="6"/>
      <c r="NNG87" s="6"/>
      <c r="NNH87" s="6"/>
      <c r="NNI87" s="6"/>
      <c r="NNJ87" s="6"/>
      <c r="NNK87" s="6"/>
      <c r="NNL87" s="6"/>
      <c r="NNM87" s="6"/>
      <c r="NNN87" s="6"/>
      <c r="NNO87" s="6"/>
      <c r="NNP87" s="6"/>
      <c r="NNQ87" s="6"/>
      <c r="NNR87" s="6"/>
      <c r="NNS87" s="6"/>
      <c r="NNT87" s="6"/>
      <c r="NNU87" s="6"/>
      <c r="NNV87" s="6"/>
      <c r="NNW87" s="6"/>
      <c r="NNX87" s="6"/>
      <c r="NNY87" s="6"/>
      <c r="NNZ87" s="6"/>
      <c r="NOA87" s="6"/>
      <c r="NOB87" s="6"/>
      <c r="NOC87" s="6"/>
      <c r="NOD87" s="6"/>
      <c r="NOE87" s="6"/>
      <c r="NOF87" s="6"/>
      <c r="NOG87" s="6"/>
      <c r="NOH87" s="6"/>
      <c r="NOI87" s="6"/>
      <c r="NOJ87" s="6"/>
      <c r="NOK87" s="6"/>
      <c r="NOL87" s="6"/>
      <c r="NOM87" s="6"/>
      <c r="NON87" s="6"/>
      <c r="NOO87" s="6"/>
      <c r="NOP87" s="6"/>
      <c r="NOQ87" s="6"/>
      <c r="NOR87" s="6"/>
      <c r="NOS87" s="6"/>
      <c r="NOT87" s="6"/>
      <c r="NOU87" s="6"/>
      <c r="NOV87" s="6"/>
      <c r="NOW87" s="6"/>
      <c r="NOX87" s="6"/>
      <c r="NOY87" s="6"/>
      <c r="NOZ87" s="6"/>
      <c r="NPA87" s="6"/>
      <c r="NPB87" s="6"/>
      <c r="NPC87" s="6"/>
      <c r="NPD87" s="6"/>
      <c r="NPE87" s="6"/>
      <c r="NPF87" s="6"/>
      <c r="NPG87" s="6"/>
      <c r="NPH87" s="6"/>
      <c r="NPI87" s="6"/>
      <c r="NPJ87" s="6"/>
      <c r="NPK87" s="6"/>
      <c r="NPL87" s="6"/>
      <c r="NPM87" s="6"/>
      <c r="NPN87" s="6"/>
      <c r="NPO87" s="6"/>
      <c r="NPP87" s="6"/>
      <c r="NPQ87" s="6"/>
      <c r="NPR87" s="6"/>
      <c r="NPS87" s="6"/>
      <c r="NPT87" s="6"/>
      <c r="NPU87" s="6"/>
      <c r="NPV87" s="6"/>
      <c r="NPW87" s="6"/>
      <c r="NPX87" s="6"/>
      <c r="NPY87" s="6"/>
      <c r="NPZ87" s="6"/>
      <c r="NQA87" s="6"/>
      <c r="NQB87" s="6"/>
      <c r="NQC87" s="6"/>
      <c r="NQD87" s="6"/>
      <c r="NQE87" s="6"/>
      <c r="NQF87" s="6"/>
      <c r="NQG87" s="6"/>
      <c r="NQH87" s="6"/>
      <c r="NQI87" s="6"/>
      <c r="NQJ87" s="6"/>
      <c r="NQK87" s="6"/>
      <c r="NQL87" s="6"/>
      <c r="NQM87" s="6"/>
      <c r="NQN87" s="6"/>
      <c r="NQO87" s="6"/>
      <c r="NQP87" s="6"/>
      <c r="NQQ87" s="6"/>
      <c r="NQR87" s="6"/>
      <c r="NQS87" s="6"/>
      <c r="NQT87" s="6"/>
      <c r="NQU87" s="6"/>
      <c r="NQV87" s="6"/>
      <c r="NQW87" s="6"/>
      <c r="NQX87" s="6"/>
      <c r="NQY87" s="6"/>
      <c r="NQZ87" s="6"/>
      <c r="NRA87" s="6"/>
      <c r="NRB87" s="6"/>
      <c r="NRC87" s="6"/>
      <c r="NRD87" s="6"/>
      <c r="NRE87" s="6"/>
      <c r="NRF87" s="6"/>
      <c r="NRG87" s="6"/>
      <c r="NRH87" s="6"/>
      <c r="NRI87" s="6"/>
      <c r="NRJ87" s="6"/>
      <c r="NRK87" s="6"/>
      <c r="NRL87" s="6"/>
      <c r="NRM87" s="6"/>
      <c r="NRN87" s="6"/>
      <c r="NRO87" s="6"/>
      <c r="NRP87" s="6"/>
      <c r="NRQ87" s="6"/>
      <c r="NRR87" s="6"/>
      <c r="NRS87" s="6"/>
      <c r="NRT87" s="6"/>
      <c r="NRU87" s="6"/>
      <c r="NRV87" s="6"/>
      <c r="NRW87" s="6"/>
      <c r="NRX87" s="6"/>
      <c r="NRY87" s="6"/>
      <c r="NRZ87" s="6"/>
      <c r="NSA87" s="6"/>
      <c r="NSB87" s="6"/>
      <c r="NSC87" s="6"/>
      <c r="NSD87" s="6"/>
      <c r="NSE87" s="6"/>
      <c r="NSF87" s="6"/>
      <c r="NSG87" s="6"/>
      <c r="NSH87" s="6"/>
      <c r="NSI87" s="6"/>
      <c r="NSJ87" s="6"/>
      <c r="NSK87" s="6"/>
      <c r="NSL87" s="6"/>
      <c r="NSM87" s="6"/>
      <c r="NSN87" s="6"/>
      <c r="NSO87" s="6"/>
      <c r="NSP87" s="6"/>
      <c r="NSQ87" s="6"/>
      <c r="NSR87" s="6"/>
      <c r="NSS87" s="6"/>
      <c r="NST87" s="6"/>
      <c r="NSU87" s="6"/>
      <c r="NSV87" s="6"/>
      <c r="NSW87" s="6"/>
      <c r="NSX87" s="6"/>
      <c r="NSY87" s="6"/>
      <c r="NSZ87" s="6"/>
      <c r="NTA87" s="6"/>
      <c r="NTB87" s="6"/>
      <c r="NTC87" s="6"/>
      <c r="NTD87" s="6"/>
      <c r="NTE87" s="6"/>
      <c r="NTF87" s="6"/>
      <c r="NTG87" s="6"/>
      <c r="NTH87" s="6"/>
      <c r="NTI87" s="6"/>
      <c r="NTJ87" s="6"/>
      <c r="NTK87" s="6"/>
      <c r="NTL87" s="6"/>
      <c r="NTM87" s="6"/>
      <c r="NTN87" s="6"/>
      <c r="NTO87" s="6"/>
      <c r="NTP87" s="6"/>
      <c r="NTQ87" s="6"/>
      <c r="NTR87" s="6"/>
      <c r="NTS87" s="6"/>
      <c r="NTT87" s="6"/>
      <c r="NTU87" s="6"/>
      <c r="NTV87" s="6"/>
      <c r="NTW87" s="6"/>
      <c r="NTX87" s="6"/>
      <c r="NTY87" s="6"/>
      <c r="NTZ87" s="6"/>
      <c r="NUA87" s="6"/>
      <c r="NUB87" s="6"/>
      <c r="NUC87" s="6"/>
      <c r="NUD87" s="6"/>
      <c r="NUE87" s="6"/>
      <c r="NUF87" s="6"/>
      <c r="NUG87" s="6"/>
      <c r="NUH87" s="6"/>
      <c r="NUI87" s="6"/>
      <c r="NUJ87" s="6"/>
      <c r="NUK87" s="6"/>
      <c r="NUL87" s="6"/>
      <c r="NUM87" s="6"/>
      <c r="NUN87" s="6"/>
      <c r="NUO87" s="6"/>
      <c r="NUP87" s="6"/>
      <c r="NUQ87" s="6"/>
      <c r="NUR87" s="6"/>
      <c r="NUS87" s="6"/>
      <c r="NUT87" s="6"/>
      <c r="NUU87" s="6"/>
      <c r="NUV87" s="6"/>
      <c r="NUW87" s="6"/>
      <c r="NUX87" s="6"/>
      <c r="NUY87" s="6"/>
      <c r="NUZ87" s="6"/>
      <c r="NVA87" s="6"/>
      <c r="NVB87" s="6"/>
      <c r="NVC87" s="6"/>
      <c r="NVD87" s="6"/>
      <c r="NVE87" s="6"/>
      <c r="NVF87" s="6"/>
      <c r="NVG87" s="6"/>
      <c r="NVH87" s="6"/>
      <c r="NVI87" s="6"/>
      <c r="NVJ87" s="6"/>
      <c r="NVK87" s="6"/>
      <c r="NVL87" s="6"/>
      <c r="NVM87" s="6"/>
      <c r="NVN87" s="6"/>
      <c r="NVO87" s="6"/>
      <c r="NVP87" s="6"/>
      <c r="NVQ87" s="6"/>
      <c r="NVR87" s="6"/>
      <c r="NVS87" s="6"/>
      <c r="NVT87" s="6"/>
      <c r="NVU87" s="6"/>
      <c r="NVV87" s="6"/>
      <c r="NVW87" s="6"/>
      <c r="NVX87" s="6"/>
      <c r="NVY87" s="6"/>
      <c r="NVZ87" s="6"/>
      <c r="NWA87" s="6"/>
      <c r="NWB87" s="6"/>
      <c r="NWC87" s="6"/>
      <c r="NWD87" s="6"/>
      <c r="NWE87" s="6"/>
      <c r="NWF87" s="6"/>
      <c r="NWG87" s="6"/>
      <c r="NWH87" s="6"/>
      <c r="NWI87" s="6"/>
      <c r="NWJ87" s="6"/>
      <c r="NWK87" s="6"/>
      <c r="NWL87" s="6"/>
      <c r="NWM87" s="6"/>
      <c r="NWN87" s="6"/>
      <c r="NWO87" s="6"/>
      <c r="NWP87" s="6"/>
      <c r="NWQ87" s="6"/>
      <c r="NWR87" s="6"/>
      <c r="NWS87" s="6"/>
      <c r="NWT87" s="6"/>
      <c r="NWU87" s="6"/>
      <c r="NWV87" s="6"/>
      <c r="NWW87" s="6"/>
      <c r="NWX87" s="6"/>
      <c r="NWY87" s="6"/>
      <c r="NWZ87" s="6"/>
      <c r="NXA87" s="6"/>
      <c r="NXB87" s="6"/>
      <c r="NXC87" s="6"/>
      <c r="NXD87" s="6"/>
      <c r="NXE87" s="6"/>
      <c r="NXF87" s="6"/>
      <c r="NXG87" s="6"/>
      <c r="NXH87" s="6"/>
      <c r="NXI87" s="6"/>
      <c r="NXJ87" s="6"/>
      <c r="NXK87" s="6"/>
      <c r="NXL87" s="6"/>
      <c r="NXM87" s="6"/>
      <c r="NXN87" s="6"/>
      <c r="NXO87" s="6"/>
      <c r="NXP87" s="6"/>
      <c r="NXQ87" s="6"/>
      <c r="NXR87" s="6"/>
      <c r="NXS87" s="6"/>
      <c r="NXT87" s="6"/>
      <c r="NXU87" s="6"/>
      <c r="NXV87" s="6"/>
      <c r="NXW87" s="6"/>
      <c r="NXX87" s="6"/>
      <c r="NXY87" s="6"/>
      <c r="NXZ87" s="6"/>
      <c r="NYA87" s="6"/>
      <c r="NYB87" s="6"/>
      <c r="NYC87" s="6"/>
      <c r="NYD87" s="6"/>
      <c r="NYE87" s="6"/>
      <c r="NYF87" s="6"/>
      <c r="NYG87" s="6"/>
      <c r="NYH87" s="6"/>
      <c r="NYI87" s="6"/>
      <c r="NYJ87" s="6"/>
      <c r="NYK87" s="6"/>
      <c r="NYL87" s="6"/>
      <c r="NYM87" s="6"/>
      <c r="NYN87" s="6"/>
      <c r="NYO87" s="6"/>
      <c r="NYP87" s="6"/>
      <c r="NYQ87" s="6"/>
      <c r="NYR87" s="6"/>
      <c r="NYS87" s="6"/>
      <c r="NYT87" s="6"/>
      <c r="NYU87" s="6"/>
      <c r="NYV87" s="6"/>
      <c r="NYW87" s="6"/>
      <c r="NYX87" s="6"/>
      <c r="NYY87" s="6"/>
      <c r="NYZ87" s="6"/>
      <c r="NZA87" s="6"/>
      <c r="NZB87" s="6"/>
      <c r="NZC87" s="6"/>
      <c r="NZD87" s="6"/>
      <c r="NZE87" s="6"/>
      <c r="NZF87" s="6"/>
      <c r="NZG87" s="6"/>
      <c r="NZH87" s="6"/>
      <c r="NZI87" s="6"/>
      <c r="NZJ87" s="6"/>
      <c r="NZK87" s="6"/>
      <c r="NZL87" s="6"/>
      <c r="NZM87" s="6"/>
      <c r="NZN87" s="6"/>
      <c r="NZO87" s="6"/>
      <c r="NZP87" s="6"/>
      <c r="NZQ87" s="6"/>
      <c r="NZR87" s="6"/>
      <c r="NZS87" s="6"/>
      <c r="NZT87" s="6"/>
      <c r="NZU87" s="6"/>
      <c r="NZV87" s="6"/>
      <c r="NZW87" s="6"/>
      <c r="NZX87" s="6"/>
      <c r="NZY87" s="6"/>
      <c r="NZZ87" s="6"/>
      <c r="OAA87" s="6"/>
      <c r="OAB87" s="6"/>
      <c r="OAC87" s="6"/>
      <c r="OAD87" s="6"/>
      <c r="OAE87" s="6"/>
      <c r="OAF87" s="6"/>
      <c r="OAG87" s="6"/>
      <c r="OAH87" s="6"/>
      <c r="OAI87" s="6"/>
      <c r="OAJ87" s="6"/>
      <c r="OAK87" s="6"/>
      <c r="OAL87" s="6"/>
      <c r="OAM87" s="6"/>
      <c r="OAN87" s="6"/>
      <c r="OAO87" s="6"/>
      <c r="OAP87" s="6"/>
      <c r="OAQ87" s="6"/>
      <c r="OAR87" s="6"/>
      <c r="OAS87" s="6"/>
      <c r="OAT87" s="6"/>
      <c r="OAU87" s="6"/>
      <c r="OAV87" s="6"/>
      <c r="OAW87" s="6"/>
      <c r="OAX87" s="6"/>
      <c r="OAY87" s="6"/>
      <c r="OAZ87" s="6"/>
      <c r="OBA87" s="6"/>
      <c r="OBB87" s="6"/>
      <c r="OBC87" s="6"/>
      <c r="OBD87" s="6"/>
      <c r="OBE87" s="6"/>
      <c r="OBF87" s="6"/>
      <c r="OBG87" s="6"/>
      <c r="OBH87" s="6"/>
      <c r="OBI87" s="6"/>
      <c r="OBJ87" s="6"/>
      <c r="OBK87" s="6"/>
      <c r="OBL87" s="6"/>
      <c r="OBM87" s="6"/>
      <c r="OBN87" s="6"/>
      <c r="OBO87" s="6"/>
      <c r="OBP87" s="6"/>
      <c r="OBQ87" s="6"/>
      <c r="OBR87" s="6"/>
      <c r="OBS87" s="6"/>
      <c r="OBT87" s="6"/>
      <c r="OBU87" s="6"/>
      <c r="OBV87" s="6"/>
      <c r="OBW87" s="6"/>
      <c r="OBX87" s="6"/>
      <c r="OBY87" s="6"/>
      <c r="OBZ87" s="6"/>
      <c r="OCA87" s="6"/>
      <c r="OCB87" s="6"/>
      <c r="OCC87" s="6"/>
      <c r="OCD87" s="6"/>
      <c r="OCE87" s="6"/>
      <c r="OCF87" s="6"/>
      <c r="OCG87" s="6"/>
      <c r="OCH87" s="6"/>
      <c r="OCI87" s="6"/>
      <c r="OCJ87" s="6"/>
      <c r="OCK87" s="6"/>
      <c r="OCL87" s="6"/>
      <c r="OCM87" s="6"/>
      <c r="OCN87" s="6"/>
      <c r="OCO87" s="6"/>
      <c r="OCP87" s="6"/>
      <c r="OCQ87" s="6"/>
      <c r="OCR87" s="6"/>
      <c r="OCS87" s="6"/>
      <c r="OCT87" s="6"/>
      <c r="OCU87" s="6"/>
      <c r="OCV87" s="6"/>
      <c r="OCW87" s="6"/>
      <c r="OCX87" s="6"/>
      <c r="OCY87" s="6"/>
      <c r="OCZ87" s="6"/>
      <c r="ODA87" s="6"/>
      <c r="ODB87" s="6"/>
      <c r="ODC87" s="6"/>
      <c r="ODD87" s="6"/>
      <c r="ODE87" s="6"/>
      <c r="ODF87" s="6"/>
      <c r="ODG87" s="6"/>
      <c r="ODH87" s="6"/>
      <c r="ODI87" s="6"/>
      <c r="ODJ87" s="6"/>
      <c r="ODK87" s="6"/>
      <c r="ODL87" s="6"/>
      <c r="ODM87" s="6"/>
      <c r="ODN87" s="6"/>
      <c r="ODO87" s="6"/>
      <c r="ODP87" s="6"/>
      <c r="ODQ87" s="6"/>
      <c r="ODR87" s="6"/>
      <c r="ODS87" s="6"/>
      <c r="ODT87" s="6"/>
      <c r="ODU87" s="6"/>
      <c r="ODV87" s="6"/>
      <c r="ODW87" s="6"/>
      <c r="ODX87" s="6"/>
      <c r="ODY87" s="6"/>
      <c r="ODZ87" s="6"/>
      <c r="OEA87" s="6"/>
      <c r="OEB87" s="6"/>
      <c r="OEC87" s="6"/>
      <c r="OED87" s="6"/>
      <c r="OEE87" s="6"/>
      <c r="OEF87" s="6"/>
      <c r="OEG87" s="6"/>
      <c r="OEH87" s="6"/>
      <c r="OEI87" s="6"/>
      <c r="OEJ87" s="6"/>
      <c r="OEK87" s="6"/>
      <c r="OEL87" s="6"/>
      <c r="OEM87" s="6"/>
      <c r="OEN87" s="6"/>
      <c r="OEO87" s="6"/>
      <c r="OEP87" s="6"/>
      <c r="OEQ87" s="6"/>
      <c r="OER87" s="6"/>
      <c r="OES87" s="6"/>
      <c r="OET87" s="6"/>
      <c r="OEU87" s="6"/>
      <c r="OEV87" s="6"/>
      <c r="OEW87" s="6"/>
      <c r="OEX87" s="6"/>
      <c r="OEY87" s="6"/>
      <c r="OEZ87" s="6"/>
      <c r="OFA87" s="6"/>
      <c r="OFB87" s="6"/>
      <c r="OFC87" s="6"/>
      <c r="OFD87" s="6"/>
      <c r="OFE87" s="6"/>
      <c r="OFF87" s="6"/>
      <c r="OFG87" s="6"/>
      <c r="OFH87" s="6"/>
      <c r="OFI87" s="6"/>
      <c r="OFJ87" s="6"/>
      <c r="OFK87" s="6"/>
      <c r="OFL87" s="6"/>
      <c r="OFM87" s="6"/>
      <c r="OFN87" s="6"/>
      <c r="OFO87" s="6"/>
      <c r="OFP87" s="6"/>
      <c r="OFQ87" s="6"/>
      <c r="OFR87" s="6"/>
      <c r="OFS87" s="6"/>
      <c r="OFT87" s="6"/>
      <c r="OFU87" s="6"/>
      <c r="OFV87" s="6"/>
      <c r="OFW87" s="6"/>
      <c r="OFX87" s="6"/>
      <c r="OFY87" s="6"/>
      <c r="OFZ87" s="6"/>
      <c r="OGA87" s="6"/>
      <c r="OGB87" s="6"/>
      <c r="OGC87" s="6"/>
      <c r="OGD87" s="6"/>
      <c r="OGE87" s="6"/>
      <c r="OGF87" s="6"/>
      <c r="OGG87" s="6"/>
      <c r="OGH87" s="6"/>
      <c r="OGI87" s="6"/>
      <c r="OGJ87" s="6"/>
      <c r="OGK87" s="6"/>
      <c r="OGL87" s="6"/>
      <c r="OGM87" s="6"/>
      <c r="OGN87" s="6"/>
      <c r="OGO87" s="6"/>
      <c r="OGP87" s="6"/>
      <c r="OGQ87" s="6"/>
      <c r="OGR87" s="6"/>
      <c r="OGS87" s="6"/>
      <c r="OGT87" s="6"/>
      <c r="OGU87" s="6"/>
      <c r="OGV87" s="6"/>
      <c r="OGW87" s="6"/>
      <c r="OGX87" s="6"/>
      <c r="OGY87" s="6"/>
      <c r="OGZ87" s="6"/>
      <c r="OHA87" s="6"/>
      <c r="OHB87" s="6"/>
      <c r="OHC87" s="6"/>
      <c r="OHD87" s="6"/>
      <c r="OHE87" s="6"/>
      <c r="OHF87" s="6"/>
      <c r="OHG87" s="6"/>
      <c r="OHH87" s="6"/>
      <c r="OHI87" s="6"/>
      <c r="OHJ87" s="6"/>
      <c r="OHK87" s="6"/>
      <c r="OHL87" s="6"/>
      <c r="OHM87" s="6"/>
      <c r="OHN87" s="6"/>
      <c r="OHO87" s="6"/>
      <c r="OHP87" s="6"/>
      <c r="OHQ87" s="6"/>
      <c r="OHR87" s="6"/>
      <c r="OHS87" s="6"/>
      <c r="OHT87" s="6"/>
      <c r="OHU87" s="6"/>
      <c r="OHV87" s="6"/>
      <c r="OHW87" s="6"/>
      <c r="OHX87" s="6"/>
      <c r="OHY87" s="6"/>
      <c r="OHZ87" s="6"/>
      <c r="OIA87" s="6"/>
      <c r="OIB87" s="6"/>
      <c r="OIC87" s="6"/>
      <c r="OID87" s="6"/>
      <c r="OIE87" s="6"/>
      <c r="OIF87" s="6"/>
      <c r="OIG87" s="6"/>
      <c r="OIH87" s="6"/>
      <c r="OII87" s="6"/>
      <c r="OIJ87" s="6"/>
      <c r="OIK87" s="6"/>
      <c r="OIL87" s="6"/>
      <c r="OIM87" s="6"/>
      <c r="OIN87" s="6"/>
      <c r="OIO87" s="6"/>
      <c r="OIP87" s="6"/>
      <c r="OIQ87" s="6"/>
      <c r="OIR87" s="6"/>
      <c r="OIS87" s="6"/>
      <c r="OIT87" s="6"/>
      <c r="OIU87" s="6"/>
      <c r="OIV87" s="6"/>
      <c r="OIW87" s="6"/>
      <c r="OIX87" s="6"/>
      <c r="OIY87" s="6"/>
      <c r="OIZ87" s="6"/>
      <c r="OJA87" s="6"/>
      <c r="OJB87" s="6"/>
      <c r="OJC87" s="6"/>
      <c r="OJD87" s="6"/>
      <c r="OJE87" s="6"/>
      <c r="OJF87" s="6"/>
      <c r="OJG87" s="6"/>
      <c r="OJH87" s="6"/>
      <c r="OJI87" s="6"/>
      <c r="OJJ87" s="6"/>
      <c r="OJK87" s="6"/>
      <c r="OJL87" s="6"/>
      <c r="OJM87" s="6"/>
      <c r="OJN87" s="6"/>
      <c r="OJO87" s="6"/>
      <c r="OJP87" s="6"/>
      <c r="OJQ87" s="6"/>
      <c r="OJR87" s="6"/>
      <c r="OJS87" s="6"/>
      <c r="OJT87" s="6"/>
      <c r="OJU87" s="6"/>
      <c r="OJV87" s="6"/>
      <c r="OJW87" s="6"/>
      <c r="OJX87" s="6"/>
      <c r="OJY87" s="6"/>
      <c r="OJZ87" s="6"/>
      <c r="OKA87" s="6"/>
      <c r="OKB87" s="6"/>
      <c r="OKC87" s="6"/>
      <c r="OKD87" s="6"/>
      <c r="OKE87" s="6"/>
      <c r="OKF87" s="6"/>
      <c r="OKG87" s="6"/>
      <c r="OKH87" s="6"/>
      <c r="OKI87" s="6"/>
      <c r="OKJ87" s="6"/>
      <c r="OKK87" s="6"/>
      <c r="OKL87" s="6"/>
      <c r="OKM87" s="6"/>
      <c r="OKN87" s="6"/>
      <c r="OKO87" s="6"/>
      <c r="OKP87" s="6"/>
      <c r="OKQ87" s="6"/>
      <c r="OKR87" s="6"/>
      <c r="OKS87" s="6"/>
      <c r="OKT87" s="6"/>
      <c r="OKU87" s="6"/>
      <c r="OKV87" s="6"/>
      <c r="OKW87" s="6"/>
      <c r="OKX87" s="6"/>
      <c r="OKY87" s="6"/>
      <c r="OKZ87" s="6"/>
      <c r="OLA87" s="6"/>
      <c r="OLB87" s="6"/>
      <c r="OLC87" s="6"/>
      <c r="OLD87" s="6"/>
      <c r="OLE87" s="6"/>
      <c r="OLF87" s="6"/>
      <c r="OLG87" s="6"/>
      <c r="OLH87" s="6"/>
      <c r="OLI87" s="6"/>
      <c r="OLJ87" s="6"/>
      <c r="OLK87" s="6"/>
      <c r="OLL87" s="6"/>
      <c r="OLM87" s="6"/>
      <c r="OLN87" s="6"/>
      <c r="OLO87" s="6"/>
      <c r="OLP87" s="6"/>
      <c r="OLQ87" s="6"/>
      <c r="OLR87" s="6"/>
      <c r="OLS87" s="6"/>
      <c r="OLT87" s="6"/>
      <c r="OLU87" s="6"/>
      <c r="OLV87" s="6"/>
      <c r="OLW87" s="6"/>
      <c r="OLX87" s="6"/>
      <c r="OLY87" s="6"/>
      <c r="OLZ87" s="6"/>
      <c r="OMA87" s="6"/>
      <c r="OMB87" s="6"/>
      <c r="OMC87" s="6"/>
      <c r="OMD87" s="6"/>
      <c r="OME87" s="6"/>
      <c r="OMF87" s="6"/>
      <c r="OMG87" s="6"/>
      <c r="OMH87" s="6"/>
      <c r="OMI87" s="6"/>
      <c r="OMJ87" s="6"/>
      <c r="OMK87" s="6"/>
      <c r="OML87" s="6"/>
      <c r="OMM87" s="6"/>
      <c r="OMN87" s="6"/>
      <c r="OMO87" s="6"/>
      <c r="OMP87" s="6"/>
      <c r="OMQ87" s="6"/>
      <c r="OMR87" s="6"/>
      <c r="OMS87" s="6"/>
      <c r="OMT87" s="6"/>
      <c r="OMU87" s="6"/>
      <c r="OMV87" s="6"/>
      <c r="OMW87" s="6"/>
      <c r="OMX87" s="6"/>
      <c r="OMY87" s="6"/>
      <c r="OMZ87" s="6"/>
      <c r="ONA87" s="6"/>
      <c r="ONB87" s="6"/>
      <c r="ONC87" s="6"/>
      <c r="OND87" s="6"/>
      <c r="ONE87" s="6"/>
      <c r="ONF87" s="6"/>
      <c r="ONG87" s="6"/>
      <c r="ONH87" s="6"/>
      <c r="ONI87" s="6"/>
      <c r="ONJ87" s="6"/>
      <c r="ONK87" s="6"/>
      <c r="ONL87" s="6"/>
      <c r="ONM87" s="6"/>
      <c r="ONN87" s="6"/>
      <c r="ONO87" s="6"/>
      <c r="ONP87" s="6"/>
      <c r="ONQ87" s="6"/>
      <c r="ONR87" s="6"/>
      <c r="ONS87" s="6"/>
      <c r="ONT87" s="6"/>
      <c r="ONU87" s="6"/>
      <c r="ONV87" s="6"/>
      <c r="ONW87" s="6"/>
      <c r="ONX87" s="6"/>
      <c r="ONY87" s="6"/>
      <c r="ONZ87" s="6"/>
      <c r="OOA87" s="6"/>
      <c r="OOB87" s="6"/>
      <c r="OOC87" s="6"/>
      <c r="OOD87" s="6"/>
      <c r="OOE87" s="6"/>
      <c r="OOF87" s="6"/>
      <c r="OOG87" s="6"/>
      <c r="OOH87" s="6"/>
      <c r="OOI87" s="6"/>
      <c r="OOJ87" s="6"/>
      <c r="OOK87" s="6"/>
      <c r="OOL87" s="6"/>
      <c r="OOM87" s="6"/>
      <c r="OON87" s="6"/>
      <c r="OOO87" s="6"/>
      <c r="OOP87" s="6"/>
      <c r="OOQ87" s="6"/>
      <c r="OOR87" s="6"/>
      <c r="OOS87" s="6"/>
      <c r="OOT87" s="6"/>
      <c r="OOU87" s="6"/>
      <c r="OOV87" s="6"/>
      <c r="OOW87" s="6"/>
      <c r="OOX87" s="6"/>
      <c r="OOY87" s="6"/>
      <c r="OOZ87" s="6"/>
      <c r="OPA87" s="6"/>
      <c r="OPB87" s="6"/>
      <c r="OPC87" s="6"/>
      <c r="OPD87" s="6"/>
      <c r="OPE87" s="6"/>
      <c r="OPF87" s="6"/>
      <c r="OPG87" s="6"/>
      <c r="OPH87" s="6"/>
      <c r="OPI87" s="6"/>
      <c r="OPJ87" s="6"/>
      <c r="OPK87" s="6"/>
      <c r="OPL87" s="6"/>
      <c r="OPM87" s="6"/>
      <c r="OPN87" s="6"/>
      <c r="OPO87" s="6"/>
      <c r="OPP87" s="6"/>
      <c r="OPQ87" s="6"/>
      <c r="OPR87" s="6"/>
      <c r="OPS87" s="6"/>
      <c r="OPT87" s="6"/>
      <c r="OPU87" s="6"/>
      <c r="OPV87" s="6"/>
      <c r="OPW87" s="6"/>
      <c r="OPX87" s="6"/>
      <c r="OPY87" s="6"/>
      <c r="OPZ87" s="6"/>
      <c r="OQA87" s="6"/>
      <c r="OQB87" s="6"/>
      <c r="OQC87" s="6"/>
      <c r="OQD87" s="6"/>
      <c r="OQE87" s="6"/>
      <c r="OQF87" s="6"/>
      <c r="OQG87" s="6"/>
      <c r="OQH87" s="6"/>
      <c r="OQI87" s="6"/>
      <c r="OQJ87" s="6"/>
      <c r="OQK87" s="6"/>
      <c r="OQL87" s="6"/>
      <c r="OQM87" s="6"/>
      <c r="OQN87" s="6"/>
      <c r="OQO87" s="6"/>
      <c r="OQP87" s="6"/>
      <c r="OQQ87" s="6"/>
      <c r="OQR87" s="6"/>
      <c r="OQS87" s="6"/>
      <c r="OQT87" s="6"/>
      <c r="OQU87" s="6"/>
      <c r="OQV87" s="6"/>
      <c r="OQW87" s="6"/>
      <c r="OQX87" s="6"/>
      <c r="OQY87" s="6"/>
      <c r="OQZ87" s="6"/>
      <c r="ORA87" s="6"/>
      <c r="ORB87" s="6"/>
      <c r="ORC87" s="6"/>
      <c r="ORD87" s="6"/>
      <c r="ORE87" s="6"/>
      <c r="ORF87" s="6"/>
      <c r="ORG87" s="6"/>
      <c r="ORH87" s="6"/>
      <c r="ORI87" s="6"/>
      <c r="ORJ87" s="6"/>
      <c r="ORK87" s="6"/>
      <c r="ORL87" s="6"/>
      <c r="ORM87" s="6"/>
      <c r="ORN87" s="6"/>
      <c r="ORO87" s="6"/>
      <c r="ORP87" s="6"/>
      <c r="ORQ87" s="6"/>
      <c r="ORR87" s="6"/>
      <c r="ORS87" s="6"/>
      <c r="ORT87" s="6"/>
      <c r="ORU87" s="6"/>
      <c r="ORV87" s="6"/>
      <c r="ORW87" s="6"/>
      <c r="ORX87" s="6"/>
      <c r="ORY87" s="6"/>
      <c r="ORZ87" s="6"/>
      <c r="OSA87" s="6"/>
      <c r="OSB87" s="6"/>
      <c r="OSC87" s="6"/>
      <c r="OSD87" s="6"/>
      <c r="OSE87" s="6"/>
      <c r="OSF87" s="6"/>
      <c r="OSG87" s="6"/>
      <c r="OSH87" s="6"/>
      <c r="OSI87" s="6"/>
      <c r="OSJ87" s="6"/>
      <c r="OSK87" s="6"/>
      <c r="OSL87" s="6"/>
      <c r="OSM87" s="6"/>
      <c r="OSN87" s="6"/>
      <c r="OSO87" s="6"/>
      <c r="OSP87" s="6"/>
      <c r="OSQ87" s="6"/>
      <c r="OSR87" s="6"/>
      <c r="OSS87" s="6"/>
      <c r="OST87" s="6"/>
      <c r="OSU87" s="6"/>
      <c r="OSV87" s="6"/>
      <c r="OSW87" s="6"/>
      <c r="OSX87" s="6"/>
      <c r="OSY87" s="6"/>
      <c r="OSZ87" s="6"/>
      <c r="OTA87" s="6"/>
      <c r="OTB87" s="6"/>
      <c r="OTC87" s="6"/>
      <c r="OTD87" s="6"/>
      <c r="OTE87" s="6"/>
      <c r="OTF87" s="6"/>
      <c r="OTG87" s="6"/>
      <c r="OTH87" s="6"/>
      <c r="OTI87" s="6"/>
      <c r="OTJ87" s="6"/>
      <c r="OTK87" s="6"/>
      <c r="OTL87" s="6"/>
      <c r="OTM87" s="6"/>
      <c r="OTN87" s="6"/>
      <c r="OTO87" s="6"/>
      <c r="OTP87" s="6"/>
      <c r="OTQ87" s="6"/>
      <c r="OTR87" s="6"/>
      <c r="OTS87" s="6"/>
      <c r="OTT87" s="6"/>
      <c r="OTU87" s="6"/>
      <c r="OTV87" s="6"/>
      <c r="OTW87" s="6"/>
      <c r="OTX87" s="6"/>
      <c r="OTY87" s="6"/>
      <c r="OTZ87" s="6"/>
      <c r="OUA87" s="6"/>
      <c r="OUB87" s="6"/>
      <c r="OUC87" s="6"/>
      <c r="OUD87" s="6"/>
      <c r="OUE87" s="6"/>
      <c r="OUF87" s="6"/>
      <c r="OUG87" s="6"/>
      <c r="OUH87" s="6"/>
      <c r="OUI87" s="6"/>
      <c r="OUJ87" s="6"/>
      <c r="OUK87" s="6"/>
      <c r="OUL87" s="6"/>
      <c r="OUM87" s="6"/>
      <c r="OUN87" s="6"/>
      <c r="OUO87" s="6"/>
      <c r="OUP87" s="6"/>
      <c r="OUQ87" s="6"/>
      <c r="OUR87" s="6"/>
      <c r="OUS87" s="6"/>
      <c r="OUT87" s="6"/>
      <c r="OUU87" s="6"/>
      <c r="OUV87" s="6"/>
      <c r="OUW87" s="6"/>
      <c r="OUX87" s="6"/>
      <c r="OUY87" s="6"/>
      <c r="OUZ87" s="6"/>
      <c r="OVA87" s="6"/>
      <c r="OVB87" s="6"/>
      <c r="OVC87" s="6"/>
      <c r="OVD87" s="6"/>
      <c r="OVE87" s="6"/>
      <c r="OVF87" s="6"/>
      <c r="OVG87" s="6"/>
      <c r="OVH87" s="6"/>
      <c r="OVI87" s="6"/>
      <c r="OVJ87" s="6"/>
      <c r="OVK87" s="6"/>
      <c r="OVL87" s="6"/>
      <c r="OVM87" s="6"/>
      <c r="OVN87" s="6"/>
      <c r="OVO87" s="6"/>
      <c r="OVP87" s="6"/>
      <c r="OVQ87" s="6"/>
      <c r="OVR87" s="6"/>
      <c r="OVS87" s="6"/>
      <c r="OVT87" s="6"/>
      <c r="OVU87" s="6"/>
      <c r="OVV87" s="6"/>
      <c r="OVW87" s="6"/>
      <c r="OVX87" s="6"/>
      <c r="OVY87" s="6"/>
      <c r="OVZ87" s="6"/>
      <c r="OWA87" s="6"/>
      <c r="OWB87" s="6"/>
      <c r="OWC87" s="6"/>
      <c r="OWD87" s="6"/>
      <c r="OWE87" s="6"/>
      <c r="OWF87" s="6"/>
      <c r="OWG87" s="6"/>
      <c r="OWH87" s="6"/>
      <c r="OWI87" s="6"/>
      <c r="OWJ87" s="6"/>
      <c r="OWK87" s="6"/>
      <c r="OWL87" s="6"/>
      <c r="OWM87" s="6"/>
      <c r="OWN87" s="6"/>
      <c r="OWO87" s="6"/>
      <c r="OWP87" s="6"/>
      <c r="OWQ87" s="6"/>
      <c r="OWR87" s="6"/>
      <c r="OWS87" s="6"/>
      <c r="OWT87" s="6"/>
      <c r="OWU87" s="6"/>
      <c r="OWV87" s="6"/>
      <c r="OWW87" s="6"/>
      <c r="OWX87" s="6"/>
      <c r="OWY87" s="6"/>
      <c r="OWZ87" s="6"/>
      <c r="OXA87" s="6"/>
      <c r="OXB87" s="6"/>
      <c r="OXC87" s="6"/>
      <c r="OXD87" s="6"/>
      <c r="OXE87" s="6"/>
      <c r="OXF87" s="6"/>
      <c r="OXG87" s="6"/>
      <c r="OXH87" s="6"/>
      <c r="OXI87" s="6"/>
      <c r="OXJ87" s="6"/>
      <c r="OXK87" s="6"/>
      <c r="OXL87" s="6"/>
      <c r="OXM87" s="6"/>
      <c r="OXN87" s="6"/>
      <c r="OXO87" s="6"/>
      <c r="OXP87" s="6"/>
      <c r="OXQ87" s="6"/>
      <c r="OXR87" s="6"/>
      <c r="OXS87" s="6"/>
      <c r="OXT87" s="6"/>
      <c r="OXU87" s="6"/>
      <c r="OXV87" s="6"/>
      <c r="OXW87" s="6"/>
      <c r="OXX87" s="6"/>
      <c r="OXY87" s="6"/>
      <c r="OXZ87" s="6"/>
      <c r="OYA87" s="6"/>
      <c r="OYB87" s="6"/>
      <c r="OYC87" s="6"/>
      <c r="OYD87" s="6"/>
      <c r="OYE87" s="6"/>
      <c r="OYF87" s="6"/>
      <c r="OYG87" s="6"/>
      <c r="OYH87" s="6"/>
      <c r="OYI87" s="6"/>
      <c r="OYJ87" s="6"/>
      <c r="OYK87" s="6"/>
      <c r="OYL87" s="6"/>
      <c r="OYM87" s="6"/>
      <c r="OYN87" s="6"/>
      <c r="OYO87" s="6"/>
      <c r="OYP87" s="6"/>
      <c r="OYQ87" s="6"/>
      <c r="OYR87" s="6"/>
      <c r="OYS87" s="6"/>
      <c r="OYT87" s="6"/>
      <c r="OYU87" s="6"/>
      <c r="OYV87" s="6"/>
      <c r="OYW87" s="6"/>
      <c r="OYX87" s="6"/>
      <c r="OYY87" s="6"/>
      <c r="OYZ87" s="6"/>
      <c r="OZA87" s="6"/>
      <c r="OZB87" s="6"/>
      <c r="OZC87" s="6"/>
      <c r="OZD87" s="6"/>
      <c r="OZE87" s="6"/>
      <c r="OZF87" s="6"/>
      <c r="OZG87" s="6"/>
      <c r="OZH87" s="6"/>
      <c r="OZI87" s="6"/>
      <c r="OZJ87" s="6"/>
      <c r="OZK87" s="6"/>
      <c r="OZL87" s="6"/>
      <c r="OZM87" s="6"/>
      <c r="OZN87" s="6"/>
      <c r="OZO87" s="6"/>
      <c r="OZP87" s="6"/>
      <c r="OZQ87" s="6"/>
      <c r="OZR87" s="6"/>
      <c r="OZS87" s="6"/>
      <c r="OZT87" s="6"/>
      <c r="OZU87" s="6"/>
      <c r="OZV87" s="6"/>
      <c r="OZW87" s="6"/>
      <c r="OZX87" s="6"/>
      <c r="OZY87" s="6"/>
      <c r="OZZ87" s="6"/>
      <c r="PAA87" s="6"/>
      <c r="PAB87" s="6"/>
      <c r="PAC87" s="6"/>
      <c r="PAD87" s="6"/>
      <c r="PAE87" s="6"/>
      <c r="PAF87" s="6"/>
      <c r="PAG87" s="6"/>
      <c r="PAH87" s="6"/>
      <c r="PAI87" s="6"/>
      <c r="PAJ87" s="6"/>
      <c r="PAK87" s="6"/>
      <c r="PAL87" s="6"/>
      <c r="PAM87" s="6"/>
      <c r="PAN87" s="6"/>
      <c r="PAO87" s="6"/>
      <c r="PAP87" s="6"/>
      <c r="PAQ87" s="6"/>
      <c r="PAR87" s="6"/>
      <c r="PAS87" s="6"/>
      <c r="PAT87" s="6"/>
      <c r="PAU87" s="6"/>
      <c r="PAV87" s="6"/>
      <c r="PAW87" s="6"/>
      <c r="PAX87" s="6"/>
      <c r="PAY87" s="6"/>
      <c r="PAZ87" s="6"/>
      <c r="PBA87" s="6"/>
      <c r="PBB87" s="6"/>
      <c r="PBC87" s="6"/>
      <c r="PBD87" s="6"/>
      <c r="PBE87" s="6"/>
      <c r="PBF87" s="6"/>
      <c r="PBG87" s="6"/>
      <c r="PBH87" s="6"/>
      <c r="PBI87" s="6"/>
      <c r="PBJ87" s="6"/>
      <c r="PBK87" s="6"/>
      <c r="PBL87" s="6"/>
      <c r="PBM87" s="6"/>
      <c r="PBN87" s="6"/>
      <c r="PBO87" s="6"/>
      <c r="PBP87" s="6"/>
      <c r="PBQ87" s="6"/>
      <c r="PBR87" s="6"/>
      <c r="PBS87" s="6"/>
      <c r="PBT87" s="6"/>
      <c r="PBU87" s="6"/>
      <c r="PBV87" s="6"/>
      <c r="PBW87" s="6"/>
      <c r="PBX87" s="6"/>
      <c r="PBY87" s="6"/>
      <c r="PBZ87" s="6"/>
      <c r="PCA87" s="6"/>
      <c r="PCB87" s="6"/>
      <c r="PCC87" s="6"/>
      <c r="PCD87" s="6"/>
      <c r="PCE87" s="6"/>
      <c r="PCF87" s="6"/>
      <c r="PCG87" s="6"/>
      <c r="PCH87" s="6"/>
      <c r="PCI87" s="6"/>
      <c r="PCJ87" s="6"/>
      <c r="PCK87" s="6"/>
      <c r="PCL87" s="6"/>
      <c r="PCM87" s="6"/>
      <c r="PCN87" s="6"/>
      <c r="PCO87" s="6"/>
      <c r="PCP87" s="6"/>
      <c r="PCQ87" s="6"/>
      <c r="PCR87" s="6"/>
      <c r="PCS87" s="6"/>
      <c r="PCT87" s="6"/>
      <c r="PCU87" s="6"/>
      <c r="PCV87" s="6"/>
      <c r="PCW87" s="6"/>
      <c r="PCX87" s="6"/>
      <c r="PCY87" s="6"/>
      <c r="PCZ87" s="6"/>
      <c r="PDA87" s="6"/>
      <c r="PDB87" s="6"/>
      <c r="PDC87" s="6"/>
      <c r="PDD87" s="6"/>
      <c r="PDE87" s="6"/>
      <c r="PDF87" s="6"/>
      <c r="PDG87" s="6"/>
      <c r="PDH87" s="6"/>
      <c r="PDI87" s="6"/>
      <c r="PDJ87" s="6"/>
      <c r="PDK87" s="6"/>
      <c r="PDL87" s="6"/>
      <c r="PDM87" s="6"/>
      <c r="PDN87" s="6"/>
      <c r="PDO87" s="6"/>
      <c r="PDP87" s="6"/>
      <c r="PDQ87" s="6"/>
      <c r="PDR87" s="6"/>
      <c r="PDS87" s="6"/>
      <c r="PDT87" s="6"/>
      <c r="PDU87" s="6"/>
      <c r="PDV87" s="6"/>
      <c r="PDW87" s="6"/>
      <c r="PDX87" s="6"/>
      <c r="PDY87" s="6"/>
      <c r="PDZ87" s="6"/>
      <c r="PEA87" s="6"/>
      <c r="PEB87" s="6"/>
      <c r="PEC87" s="6"/>
      <c r="PED87" s="6"/>
      <c r="PEE87" s="6"/>
      <c r="PEF87" s="6"/>
      <c r="PEG87" s="6"/>
      <c r="PEH87" s="6"/>
      <c r="PEI87" s="6"/>
      <c r="PEJ87" s="6"/>
      <c r="PEK87" s="6"/>
      <c r="PEL87" s="6"/>
      <c r="PEM87" s="6"/>
      <c r="PEN87" s="6"/>
      <c r="PEO87" s="6"/>
      <c r="PEP87" s="6"/>
      <c r="PEQ87" s="6"/>
      <c r="PER87" s="6"/>
      <c r="PES87" s="6"/>
      <c r="PET87" s="6"/>
      <c r="PEU87" s="6"/>
      <c r="PEV87" s="6"/>
      <c r="PEW87" s="6"/>
      <c r="PEX87" s="6"/>
      <c r="PEY87" s="6"/>
      <c r="PEZ87" s="6"/>
      <c r="PFA87" s="6"/>
      <c r="PFB87" s="6"/>
      <c r="PFC87" s="6"/>
      <c r="PFD87" s="6"/>
      <c r="PFE87" s="6"/>
      <c r="PFF87" s="6"/>
      <c r="PFG87" s="6"/>
      <c r="PFH87" s="6"/>
      <c r="PFI87" s="6"/>
      <c r="PFJ87" s="6"/>
      <c r="PFK87" s="6"/>
      <c r="PFL87" s="6"/>
      <c r="PFM87" s="6"/>
      <c r="PFN87" s="6"/>
      <c r="PFO87" s="6"/>
      <c r="PFP87" s="6"/>
      <c r="PFQ87" s="6"/>
      <c r="PFR87" s="6"/>
      <c r="PFS87" s="6"/>
      <c r="PFT87" s="6"/>
      <c r="PFU87" s="6"/>
      <c r="PFV87" s="6"/>
      <c r="PFW87" s="6"/>
      <c r="PFX87" s="6"/>
      <c r="PFY87" s="6"/>
      <c r="PFZ87" s="6"/>
      <c r="PGA87" s="6"/>
      <c r="PGB87" s="6"/>
      <c r="PGC87" s="6"/>
      <c r="PGD87" s="6"/>
      <c r="PGE87" s="6"/>
      <c r="PGF87" s="6"/>
      <c r="PGG87" s="6"/>
      <c r="PGH87" s="6"/>
      <c r="PGI87" s="6"/>
      <c r="PGJ87" s="6"/>
      <c r="PGK87" s="6"/>
      <c r="PGL87" s="6"/>
      <c r="PGM87" s="6"/>
      <c r="PGN87" s="6"/>
      <c r="PGO87" s="6"/>
      <c r="PGP87" s="6"/>
      <c r="PGQ87" s="6"/>
      <c r="PGR87" s="6"/>
      <c r="PGS87" s="6"/>
      <c r="PGT87" s="6"/>
      <c r="PGU87" s="6"/>
      <c r="PGV87" s="6"/>
      <c r="PGW87" s="6"/>
      <c r="PGX87" s="6"/>
      <c r="PGY87" s="6"/>
      <c r="PGZ87" s="6"/>
      <c r="PHA87" s="6"/>
      <c r="PHB87" s="6"/>
      <c r="PHC87" s="6"/>
      <c r="PHD87" s="6"/>
      <c r="PHE87" s="6"/>
      <c r="PHF87" s="6"/>
      <c r="PHG87" s="6"/>
      <c r="PHH87" s="6"/>
      <c r="PHI87" s="6"/>
      <c r="PHJ87" s="6"/>
      <c r="PHK87" s="6"/>
      <c r="PHL87" s="6"/>
      <c r="PHM87" s="6"/>
      <c r="PHN87" s="6"/>
      <c r="PHO87" s="6"/>
      <c r="PHP87" s="6"/>
      <c r="PHQ87" s="6"/>
      <c r="PHR87" s="6"/>
      <c r="PHS87" s="6"/>
      <c r="PHT87" s="6"/>
      <c r="PHU87" s="6"/>
      <c r="PHV87" s="6"/>
      <c r="PHW87" s="6"/>
      <c r="PHX87" s="6"/>
      <c r="PHY87" s="6"/>
      <c r="PHZ87" s="6"/>
      <c r="PIA87" s="6"/>
      <c r="PIB87" s="6"/>
      <c r="PIC87" s="6"/>
      <c r="PID87" s="6"/>
      <c r="PIE87" s="6"/>
      <c r="PIF87" s="6"/>
      <c r="PIG87" s="6"/>
      <c r="PIH87" s="6"/>
      <c r="PII87" s="6"/>
      <c r="PIJ87" s="6"/>
      <c r="PIK87" s="6"/>
      <c r="PIL87" s="6"/>
      <c r="PIM87" s="6"/>
      <c r="PIN87" s="6"/>
      <c r="PIO87" s="6"/>
      <c r="PIP87" s="6"/>
      <c r="PIQ87" s="6"/>
      <c r="PIR87" s="6"/>
      <c r="PIS87" s="6"/>
      <c r="PIT87" s="6"/>
      <c r="PIU87" s="6"/>
      <c r="PIV87" s="6"/>
      <c r="PIW87" s="6"/>
      <c r="PIX87" s="6"/>
      <c r="PIY87" s="6"/>
      <c r="PIZ87" s="6"/>
      <c r="PJA87" s="6"/>
      <c r="PJB87" s="6"/>
      <c r="PJC87" s="6"/>
      <c r="PJD87" s="6"/>
      <c r="PJE87" s="6"/>
      <c r="PJF87" s="6"/>
      <c r="PJG87" s="6"/>
      <c r="PJH87" s="6"/>
      <c r="PJI87" s="6"/>
      <c r="PJJ87" s="6"/>
      <c r="PJK87" s="6"/>
      <c r="PJL87" s="6"/>
      <c r="PJM87" s="6"/>
      <c r="PJN87" s="6"/>
      <c r="PJO87" s="6"/>
      <c r="PJP87" s="6"/>
      <c r="PJQ87" s="6"/>
      <c r="PJR87" s="6"/>
      <c r="PJS87" s="6"/>
      <c r="PJT87" s="6"/>
      <c r="PJU87" s="6"/>
      <c r="PJV87" s="6"/>
      <c r="PJW87" s="6"/>
      <c r="PJX87" s="6"/>
      <c r="PJY87" s="6"/>
      <c r="PJZ87" s="6"/>
      <c r="PKA87" s="6"/>
      <c r="PKB87" s="6"/>
      <c r="PKC87" s="6"/>
      <c r="PKD87" s="6"/>
      <c r="PKE87" s="6"/>
      <c r="PKF87" s="6"/>
      <c r="PKG87" s="6"/>
      <c r="PKH87" s="6"/>
      <c r="PKI87" s="6"/>
      <c r="PKJ87" s="6"/>
      <c r="PKK87" s="6"/>
      <c r="PKL87" s="6"/>
      <c r="PKM87" s="6"/>
      <c r="PKN87" s="6"/>
      <c r="PKO87" s="6"/>
      <c r="PKP87" s="6"/>
      <c r="PKQ87" s="6"/>
      <c r="PKR87" s="6"/>
      <c r="PKS87" s="6"/>
      <c r="PKT87" s="6"/>
      <c r="PKU87" s="6"/>
      <c r="PKV87" s="6"/>
      <c r="PKW87" s="6"/>
      <c r="PKX87" s="6"/>
      <c r="PKY87" s="6"/>
      <c r="PKZ87" s="6"/>
      <c r="PLA87" s="6"/>
      <c r="PLB87" s="6"/>
      <c r="PLC87" s="6"/>
      <c r="PLD87" s="6"/>
      <c r="PLE87" s="6"/>
      <c r="PLF87" s="6"/>
      <c r="PLG87" s="6"/>
      <c r="PLH87" s="6"/>
      <c r="PLI87" s="6"/>
      <c r="PLJ87" s="6"/>
      <c r="PLK87" s="6"/>
      <c r="PLL87" s="6"/>
      <c r="PLM87" s="6"/>
      <c r="PLN87" s="6"/>
      <c r="PLO87" s="6"/>
      <c r="PLP87" s="6"/>
      <c r="PLQ87" s="6"/>
      <c r="PLR87" s="6"/>
      <c r="PLS87" s="6"/>
      <c r="PLT87" s="6"/>
      <c r="PLU87" s="6"/>
      <c r="PLV87" s="6"/>
      <c r="PLW87" s="6"/>
      <c r="PLX87" s="6"/>
      <c r="PLY87" s="6"/>
      <c r="PLZ87" s="6"/>
      <c r="PMA87" s="6"/>
      <c r="PMB87" s="6"/>
      <c r="PMC87" s="6"/>
      <c r="PMD87" s="6"/>
      <c r="PME87" s="6"/>
      <c r="PMF87" s="6"/>
      <c r="PMG87" s="6"/>
      <c r="PMH87" s="6"/>
      <c r="PMI87" s="6"/>
      <c r="PMJ87" s="6"/>
      <c r="PMK87" s="6"/>
      <c r="PML87" s="6"/>
      <c r="PMM87" s="6"/>
      <c r="PMN87" s="6"/>
      <c r="PMO87" s="6"/>
      <c r="PMP87" s="6"/>
      <c r="PMQ87" s="6"/>
      <c r="PMR87" s="6"/>
      <c r="PMS87" s="6"/>
      <c r="PMT87" s="6"/>
      <c r="PMU87" s="6"/>
      <c r="PMV87" s="6"/>
      <c r="PMW87" s="6"/>
      <c r="PMX87" s="6"/>
      <c r="PMY87" s="6"/>
      <c r="PMZ87" s="6"/>
      <c r="PNA87" s="6"/>
      <c r="PNB87" s="6"/>
      <c r="PNC87" s="6"/>
      <c r="PND87" s="6"/>
      <c r="PNE87" s="6"/>
      <c r="PNF87" s="6"/>
      <c r="PNG87" s="6"/>
      <c r="PNH87" s="6"/>
      <c r="PNI87" s="6"/>
      <c r="PNJ87" s="6"/>
      <c r="PNK87" s="6"/>
      <c r="PNL87" s="6"/>
      <c r="PNM87" s="6"/>
      <c r="PNN87" s="6"/>
      <c r="PNO87" s="6"/>
      <c r="PNP87" s="6"/>
      <c r="PNQ87" s="6"/>
      <c r="PNR87" s="6"/>
      <c r="PNS87" s="6"/>
      <c r="PNT87" s="6"/>
      <c r="PNU87" s="6"/>
      <c r="PNV87" s="6"/>
      <c r="PNW87" s="6"/>
      <c r="PNX87" s="6"/>
      <c r="PNY87" s="6"/>
      <c r="PNZ87" s="6"/>
      <c r="POA87" s="6"/>
      <c r="POB87" s="6"/>
      <c r="POC87" s="6"/>
      <c r="POD87" s="6"/>
      <c r="POE87" s="6"/>
      <c r="POF87" s="6"/>
      <c r="POG87" s="6"/>
      <c r="POH87" s="6"/>
      <c r="POI87" s="6"/>
      <c r="POJ87" s="6"/>
      <c r="POK87" s="6"/>
      <c r="POL87" s="6"/>
      <c r="POM87" s="6"/>
      <c r="PON87" s="6"/>
      <c r="POO87" s="6"/>
      <c r="POP87" s="6"/>
      <c r="POQ87" s="6"/>
      <c r="POR87" s="6"/>
      <c r="POS87" s="6"/>
      <c r="POT87" s="6"/>
      <c r="POU87" s="6"/>
      <c r="POV87" s="6"/>
      <c r="POW87" s="6"/>
      <c r="POX87" s="6"/>
      <c r="POY87" s="6"/>
      <c r="POZ87" s="6"/>
      <c r="PPA87" s="6"/>
      <c r="PPB87" s="6"/>
      <c r="PPC87" s="6"/>
      <c r="PPD87" s="6"/>
      <c r="PPE87" s="6"/>
      <c r="PPF87" s="6"/>
      <c r="PPG87" s="6"/>
      <c r="PPH87" s="6"/>
      <c r="PPI87" s="6"/>
      <c r="PPJ87" s="6"/>
      <c r="PPK87" s="6"/>
      <c r="PPL87" s="6"/>
      <c r="PPM87" s="6"/>
      <c r="PPN87" s="6"/>
      <c r="PPO87" s="6"/>
      <c r="PPP87" s="6"/>
      <c r="PPQ87" s="6"/>
      <c r="PPR87" s="6"/>
      <c r="PPS87" s="6"/>
      <c r="PPT87" s="6"/>
      <c r="PPU87" s="6"/>
      <c r="PPV87" s="6"/>
      <c r="PPW87" s="6"/>
      <c r="PPX87" s="6"/>
      <c r="PPY87" s="6"/>
      <c r="PPZ87" s="6"/>
      <c r="PQA87" s="6"/>
      <c r="PQB87" s="6"/>
      <c r="PQC87" s="6"/>
      <c r="PQD87" s="6"/>
      <c r="PQE87" s="6"/>
      <c r="PQF87" s="6"/>
      <c r="PQG87" s="6"/>
      <c r="PQH87" s="6"/>
      <c r="PQI87" s="6"/>
      <c r="PQJ87" s="6"/>
      <c r="PQK87" s="6"/>
      <c r="PQL87" s="6"/>
      <c r="PQM87" s="6"/>
      <c r="PQN87" s="6"/>
      <c r="PQO87" s="6"/>
      <c r="PQP87" s="6"/>
      <c r="PQQ87" s="6"/>
      <c r="PQR87" s="6"/>
      <c r="PQS87" s="6"/>
      <c r="PQT87" s="6"/>
      <c r="PQU87" s="6"/>
      <c r="PQV87" s="6"/>
      <c r="PQW87" s="6"/>
      <c r="PQX87" s="6"/>
      <c r="PQY87" s="6"/>
      <c r="PQZ87" s="6"/>
      <c r="PRA87" s="6"/>
      <c r="PRB87" s="6"/>
      <c r="PRC87" s="6"/>
      <c r="PRD87" s="6"/>
      <c r="PRE87" s="6"/>
      <c r="PRF87" s="6"/>
      <c r="PRG87" s="6"/>
      <c r="PRH87" s="6"/>
      <c r="PRI87" s="6"/>
      <c r="PRJ87" s="6"/>
      <c r="PRK87" s="6"/>
      <c r="PRL87" s="6"/>
      <c r="PRM87" s="6"/>
      <c r="PRN87" s="6"/>
      <c r="PRO87" s="6"/>
      <c r="PRP87" s="6"/>
      <c r="PRQ87" s="6"/>
      <c r="PRR87" s="6"/>
      <c r="PRS87" s="6"/>
      <c r="PRT87" s="6"/>
      <c r="PRU87" s="6"/>
      <c r="PRV87" s="6"/>
      <c r="PRW87" s="6"/>
      <c r="PRX87" s="6"/>
      <c r="PRY87" s="6"/>
      <c r="PRZ87" s="6"/>
      <c r="PSA87" s="6"/>
      <c r="PSB87" s="6"/>
      <c r="PSC87" s="6"/>
      <c r="PSD87" s="6"/>
      <c r="PSE87" s="6"/>
      <c r="PSF87" s="6"/>
      <c r="PSG87" s="6"/>
      <c r="PSH87" s="6"/>
      <c r="PSI87" s="6"/>
      <c r="PSJ87" s="6"/>
      <c r="PSK87" s="6"/>
      <c r="PSL87" s="6"/>
      <c r="PSM87" s="6"/>
      <c r="PSN87" s="6"/>
      <c r="PSO87" s="6"/>
      <c r="PSP87" s="6"/>
      <c r="PSQ87" s="6"/>
      <c r="PSR87" s="6"/>
      <c r="PSS87" s="6"/>
      <c r="PST87" s="6"/>
      <c r="PSU87" s="6"/>
      <c r="PSV87" s="6"/>
      <c r="PSW87" s="6"/>
      <c r="PSX87" s="6"/>
      <c r="PSY87" s="6"/>
      <c r="PSZ87" s="6"/>
      <c r="PTA87" s="6"/>
      <c r="PTB87" s="6"/>
      <c r="PTC87" s="6"/>
      <c r="PTD87" s="6"/>
      <c r="PTE87" s="6"/>
      <c r="PTF87" s="6"/>
      <c r="PTG87" s="6"/>
      <c r="PTH87" s="6"/>
      <c r="PTI87" s="6"/>
      <c r="PTJ87" s="6"/>
      <c r="PTK87" s="6"/>
      <c r="PTL87" s="6"/>
      <c r="PTM87" s="6"/>
      <c r="PTN87" s="6"/>
      <c r="PTO87" s="6"/>
      <c r="PTP87" s="6"/>
      <c r="PTQ87" s="6"/>
      <c r="PTR87" s="6"/>
      <c r="PTS87" s="6"/>
      <c r="PTT87" s="6"/>
      <c r="PTU87" s="6"/>
      <c r="PTV87" s="6"/>
      <c r="PTW87" s="6"/>
      <c r="PTX87" s="6"/>
      <c r="PTY87" s="6"/>
      <c r="PTZ87" s="6"/>
      <c r="PUA87" s="6"/>
      <c r="PUB87" s="6"/>
      <c r="PUC87" s="6"/>
      <c r="PUD87" s="6"/>
      <c r="PUE87" s="6"/>
      <c r="PUF87" s="6"/>
      <c r="PUG87" s="6"/>
      <c r="PUH87" s="6"/>
      <c r="PUI87" s="6"/>
      <c r="PUJ87" s="6"/>
      <c r="PUK87" s="6"/>
      <c r="PUL87" s="6"/>
      <c r="PUM87" s="6"/>
      <c r="PUN87" s="6"/>
      <c r="PUO87" s="6"/>
      <c r="PUP87" s="6"/>
      <c r="PUQ87" s="6"/>
      <c r="PUR87" s="6"/>
      <c r="PUS87" s="6"/>
      <c r="PUT87" s="6"/>
      <c r="PUU87" s="6"/>
      <c r="PUV87" s="6"/>
      <c r="PUW87" s="6"/>
      <c r="PUX87" s="6"/>
      <c r="PUY87" s="6"/>
      <c r="PUZ87" s="6"/>
      <c r="PVA87" s="6"/>
      <c r="PVB87" s="6"/>
      <c r="PVC87" s="6"/>
      <c r="PVD87" s="6"/>
      <c r="PVE87" s="6"/>
      <c r="PVF87" s="6"/>
      <c r="PVG87" s="6"/>
      <c r="PVH87" s="6"/>
      <c r="PVI87" s="6"/>
      <c r="PVJ87" s="6"/>
      <c r="PVK87" s="6"/>
      <c r="PVL87" s="6"/>
      <c r="PVM87" s="6"/>
      <c r="PVN87" s="6"/>
      <c r="PVO87" s="6"/>
      <c r="PVP87" s="6"/>
      <c r="PVQ87" s="6"/>
      <c r="PVR87" s="6"/>
      <c r="PVS87" s="6"/>
      <c r="PVT87" s="6"/>
      <c r="PVU87" s="6"/>
      <c r="PVV87" s="6"/>
      <c r="PVW87" s="6"/>
      <c r="PVX87" s="6"/>
      <c r="PVY87" s="6"/>
      <c r="PVZ87" s="6"/>
      <c r="PWA87" s="6"/>
      <c r="PWB87" s="6"/>
      <c r="PWC87" s="6"/>
      <c r="PWD87" s="6"/>
      <c r="PWE87" s="6"/>
      <c r="PWF87" s="6"/>
      <c r="PWG87" s="6"/>
      <c r="PWH87" s="6"/>
      <c r="PWI87" s="6"/>
      <c r="PWJ87" s="6"/>
      <c r="PWK87" s="6"/>
      <c r="PWL87" s="6"/>
      <c r="PWM87" s="6"/>
      <c r="PWN87" s="6"/>
      <c r="PWO87" s="6"/>
      <c r="PWP87" s="6"/>
      <c r="PWQ87" s="6"/>
      <c r="PWR87" s="6"/>
      <c r="PWS87" s="6"/>
      <c r="PWT87" s="6"/>
      <c r="PWU87" s="6"/>
      <c r="PWV87" s="6"/>
      <c r="PWW87" s="6"/>
      <c r="PWX87" s="6"/>
      <c r="PWY87" s="6"/>
      <c r="PWZ87" s="6"/>
      <c r="PXA87" s="6"/>
      <c r="PXB87" s="6"/>
      <c r="PXC87" s="6"/>
      <c r="PXD87" s="6"/>
      <c r="PXE87" s="6"/>
      <c r="PXF87" s="6"/>
      <c r="PXG87" s="6"/>
      <c r="PXH87" s="6"/>
      <c r="PXI87" s="6"/>
      <c r="PXJ87" s="6"/>
      <c r="PXK87" s="6"/>
      <c r="PXL87" s="6"/>
      <c r="PXM87" s="6"/>
      <c r="PXN87" s="6"/>
      <c r="PXO87" s="6"/>
      <c r="PXP87" s="6"/>
      <c r="PXQ87" s="6"/>
      <c r="PXR87" s="6"/>
      <c r="PXS87" s="6"/>
      <c r="PXT87" s="6"/>
      <c r="PXU87" s="6"/>
      <c r="PXV87" s="6"/>
      <c r="PXW87" s="6"/>
      <c r="PXX87" s="6"/>
      <c r="PXY87" s="6"/>
      <c r="PXZ87" s="6"/>
      <c r="PYA87" s="6"/>
      <c r="PYB87" s="6"/>
      <c r="PYC87" s="6"/>
      <c r="PYD87" s="6"/>
      <c r="PYE87" s="6"/>
      <c r="PYF87" s="6"/>
      <c r="PYG87" s="6"/>
      <c r="PYH87" s="6"/>
      <c r="PYI87" s="6"/>
      <c r="PYJ87" s="6"/>
      <c r="PYK87" s="6"/>
      <c r="PYL87" s="6"/>
      <c r="PYM87" s="6"/>
      <c r="PYN87" s="6"/>
      <c r="PYO87" s="6"/>
      <c r="PYP87" s="6"/>
      <c r="PYQ87" s="6"/>
      <c r="PYR87" s="6"/>
      <c r="PYS87" s="6"/>
      <c r="PYT87" s="6"/>
      <c r="PYU87" s="6"/>
      <c r="PYV87" s="6"/>
      <c r="PYW87" s="6"/>
      <c r="PYX87" s="6"/>
      <c r="PYY87" s="6"/>
      <c r="PYZ87" s="6"/>
      <c r="PZA87" s="6"/>
      <c r="PZB87" s="6"/>
      <c r="PZC87" s="6"/>
      <c r="PZD87" s="6"/>
      <c r="PZE87" s="6"/>
      <c r="PZF87" s="6"/>
      <c r="PZG87" s="6"/>
      <c r="PZH87" s="6"/>
      <c r="PZI87" s="6"/>
      <c r="PZJ87" s="6"/>
      <c r="PZK87" s="6"/>
      <c r="PZL87" s="6"/>
      <c r="PZM87" s="6"/>
      <c r="PZN87" s="6"/>
      <c r="PZO87" s="6"/>
      <c r="PZP87" s="6"/>
      <c r="PZQ87" s="6"/>
      <c r="PZR87" s="6"/>
      <c r="PZS87" s="6"/>
      <c r="PZT87" s="6"/>
      <c r="PZU87" s="6"/>
      <c r="PZV87" s="6"/>
      <c r="PZW87" s="6"/>
      <c r="PZX87" s="6"/>
      <c r="PZY87" s="6"/>
      <c r="PZZ87" s="6"/>
      <c r="QAA87" s="6"/>
      <c r="QAB87" s="6"/>
      <c r="QAC87" s="6"/>
      <c r="QAD87" s="6"/>
      <c r="QAE87" s="6"/>
      <c r="QAF87" s="6"/>
      <c r="QAG87" s="6"/>
      <c r="QAH87" s="6"/>
      <c r="QAI87" s="6"/>
      <c r="QAJ87" s="6"/>
      <c r="QAK87" s="6"/>
      <c r="QAL87" s="6"/>
      <c r="QAM87" s="6"/>
      <c r="QAN87" s="6"/>
      <c r="QAO87" s="6"/>
      <c r="QAP87" s="6"/>
      <c r="QAQ87" s="6"/>
      <c r="QAR87" s="6"/>
      <c r="QAS87" s="6"/>
      <c r="QAT87" s="6"/>
      <c r="QAU87" s="6"/>
      <c r="QAV87" s="6"/>
      <c r="QAW87" s="6"/>
      <c r="QAX87" s="6"/>
      <c r="QAY87" s="6"/>
      <c r="QAZ87" s="6"/>
      <c r="QBA87" s="6"/>
      <c r="QBB87" s="6"/>
      <c r="QBC87" s="6"/>
      <c r="QBD87" s="6"/>
      <c r="QBE87" s="6"/>
      <c r="QBF87" s="6"/>
      <c r="QBG87" s="6"/>
      <c r="QBH87" s="6"/>
      <c r="QBI87" s="6"/>
      <c r="QBJ87" s="6"/>
      <c r="QBK87" s="6"/>
      <c r="QBL87" s="6"/>
      <c r="QBM87" s="6"/>
      <c r="QBN87" s="6"/>
      <c r="QBO87" s="6"/>
      <c r="QBP87" s="6"/>
      <c r="QBQ87" s="6"/>
      <c r="QBR87" s="6"/>
      <c r="QBS87" s="6"/>
      <c r="QBT87" s="6"/>
      <c r="QBU87" s="6"/>
      <c r="QBV87" s="6"/>
      <c r="QBW87" s="6"/>
      <c r="QBX87" s="6"/>
      <c r="QBY87" s="6"/>
      <c r="QBZ87" s="6"/>
      <c r="QCA87" s="6"/>
      <c r="QCB87" s="6"/>
      <c r="QCC87" s="6"/>
      <c r="QCD87" s="6"/>
      <c r="QCE87" s="6"/>
      <c r="QCF87" s="6"/>
      <c r="QCG87" s="6"/>
      <c r="QCH87" s="6"/>
      <c r="QCI87" s="6"/>
      <c r="QCJ87" s="6"/>
      <c r="QCK87" s="6"/>
      <c r="QCL87" s="6"/>
      <c r="QCM87" s="6"/>
      <c r="QCN87" s="6"/>
      <c r="QCO87" s="6"/>
      <c r="QCP87" s="6"/>
      <c r="QCQ87" s="6"/>
      <c r="QCR87" s="6"/>
      <c r="QCS87" s="6"/>
      <c r="QCT87" s="6"/>
      <c r="QCU87" s="6"/>
      <c r="QCV87" s="6"/>
      <c r="QCW87" s="6"/>
      <c r="QCX87" s="6"/>
      <c r="QCY87" s="6"/>
      <c r="QCZ87" s="6"/>
      <c r="QDA87" s="6"/>
      <c r="QDB87" s="6"/>
      <c r="QDC87" s="6"/>
      <c r="QDD87" s="6"/>
      <c r="QDE87" s="6"/>
      <c r="QDF87" s="6"/>
      <c r="QDG87" s="6"/>
      <c r="QDH87" s="6"/>
      <c r="QDI87" s="6"/>
      <c r="QDJ87" s="6"/>
      <c r="QDK87" s="6"/>
      <c r="QDL87" s="6"/>
      <c r="QDM87" s="6"/>
      <c r="QDN87" s="6"/>
      <c r="QDO87" s="6"/>
      <c r="QDP87" s="6"/>
      <c r="QDQ87" s="6"/>
      <c r="QDR87" s="6"/>
      <c r="QDS87" s="6"/>
      <c r="QDT87" s="6"/>
      <c r="QDU87" s="6"/>
      <c r="QDV87" s="6"/>
      <c r="QDW87" s="6"/>
      <c r="QDX87" s="6"/>
      <c r="QDY87" s="6"/>
      <c r="QDZ87" s="6"/>
      <c r="QEA87" s="6"/>
      <c r="QEB87" s="6"/>
      <c r="QEC87" s="6"/>
      <c r="QED87" s="6"/>
      <c r="QEE87" s="6"/>
      <c r="QEF87" s="6"/>
      <c r="QEG87" s="6"/>
      <c r="QEH87" s="6"/>
      <c r="QEI87" s="6"/>
      <c r="QEJ87" s="6"/>
      <c r="QEK87" s="6"/>
      <c r="QEL87" s="6"/>
      <c r="QEM87" s="6"/>
      <c r="QEN87" s="6"/>
      <c r="QEO87" s="6"/>
      <c r="QEP87" s="6"/>
      <c r="QEQ87" s="6"/>
      <c r="QER87" s="6"/>
      <c r="QES87" s="6"/>
      <c r="QET87" s="6"/>
      <c r="QEU87" s="6"/>
      <c r="QEV87" s="6"/>
      <c r="QEW87" s="6"/>
      <c r="QEX87" s="6"/>
      <c r="QEY87" s="6"/>
      <c r="QEZ87" s="6"/>
      <c r="QFA87" s="6"/>
      <c r="QFB87" s="6"/>
      <c r="QFC87" s="6"/>
      <c r="QFD87" s="6"/>
      <c r="QFE87" s="6"/>
      <c r="QFF87" s="6"/>
      <c r="QFG87" s="6"/>
      <c r="QFH87" s="6"/>
      <c r="QFI87" s="6"/>
      <c r="QFJ87" s="6"/>
      <c r="QFK87" s="6"/>
      <c r="QFL87" s="6"/>
      <c r="QFM87" s="6"/>
      <c r="QFN87" s="6"/>
      <c r="QFO87" s="6"/>
      <c r="QFP87" s="6"/>
      <c r="QFQ87" s="6"/>
      <c r="QFR87" s="6"/>
      <c r="QFS87" s="6"/>
      <c r="QFT87" s="6"/>
      <c r="QFU87" s="6"/>
      <c r="QFV87" s="6"/>
      <c r="QFW87" s="6"/>
      <c r="QFX87" s="6"/>
      <c r="QFY87" s="6"/>
      <c r="QFZ87" s="6"/>
      <c r="QGA87" s="6"/>
      <c r="QGB87" s="6"/>
      <c r="QGC87" s="6"/>
      <c r="QGD87" s="6"/>
      <c r="QGE87" s="6"/>
      <c r="QGF87" s="6"/>
      <c r="QGG87" s="6"/>
      <c r="QGH87" s="6"/>
      <c r="QGI87" s="6"/>
      <c r="QGJ87" s="6"/>
      <c r="QGK87" s="6"/>
      <c r="QGL87" s="6"/>
      <c r="QGM87" s="6"/>
      <c r="QGN87" s="6"/>
      <c r="QGO87" s="6"/>
      <c r="QGP87" s="6"/>
      <c r="QGQ87" s="6"/>
      <c r="QGR87" s="6"/>
      <c r="QGS87" s="6"/>
      <c r="QGT87" s="6"/>
      <c r="QGU87" s="6"/>
      <c r="QGV87" s="6"/>
      <c r="QGW87" s="6"/>
      <c r="QGX87" s="6"/>
      <c r="QGY87" s="6"/>
      <c r="QGZ87" s="6"/>
      <c r="QHA87" s="6"/>
      <c r="QHB87" s="6"/>
      <c r="QHC87" s="6"/>
      <c r="QHD87" s="6"/>
      <c r="QHE87" s="6"/>
      <c r="QHF87" s="6"/>
      <c r="QHG87" s="6"/>
      <c r="QHH87" s="6"/>
      <c r="QHI87" s="6"/>
      <c r="QHJ87" s="6"/>
      <c r="QHK87" s="6"/>
      <c r="QHL87" s="6"/>
      <c r="QHM87" s="6"/>
      <c r="QHN87" s="6"/>
      <c r="QHO87" s="6"/>
      <c r="QHP87" s="6"/>
      <c r="QHQ87" s="6"/>
      <c r="QHR87" s="6"/>
      <c r="QHS87" s="6"/>
      <c r="QHT87" s="6"/>
      <c r="QHU87" s="6"/>
      <c r="QHV87" s="6"/>
      <c r="QHW87" s="6"/>
      <c r="QHX87" s="6"/>
      <c r="QHY87" s="6"/>
      <c r="QHZ87" s="6"/>
      <c r="QIA87" s="6"/>
      <c r="QIB87" s="6"/>
      <c r="QIC87" s="6"/>
      <c r="QID87" s="6"/>
      <c r="QIE87" s="6"/>
      <c r="QIF87" s="6"/>
      <c r="QIG87" s="6"/>
      <c r="QIH87" s="6"/>
      <c r="QII87" s="6"/>
      <c r="QIJ87" s="6"/>
      <c r="QIK87" s="6"/>
      <c r="QIL87" s="6"/>
      <c r="QIM87" s="6"/>
      <c r="QIN87" s="6"/>
      <c r="QIO87" s="6"/>
      <c r="QIP87" s="6"/>
      <c r="QIQ87" s="6"/>
      <c r="QIR87" s="6"/>
      <c r="QIS87" s="6"/>
      <c r="QIT87" s="6"/>
      <c r="QIU87" s="6"/>
      <c r="QIV87" s="6"/>
      <c r="QIW87" s="6"/>
      <c r="QIX87" s="6"/>
      <c r="QIY87" s="6"/>
      <c r="QIZ87" s="6"/>
      <c r="QJA87" s="6"/>
      <c r="QJB87" s="6"/>
      <c r="QJC87" s="6"/>
      <c r="QJD87" s="6"/>
      <c r="QJE87" s="6"/>
      <c r="QJF87" s="6"/>
      <c r="QJG87" s="6"/>
      <c r="QJH87" s="6"/>
      <c r="QJI87" s="6"/>
      <c r="QJJ87" s="6"/>
      <c r="QJK87" s="6"/>
      <c r="QJL87" s="6"/>
      <c r="QJM87" s="6"/>
      <c r="QJN87" s="6"/>
      <c r="QJO87" s="6"/>
      <c r="QJP87" s="6"/>
      <c r="QJQ87" s="6"/>
      <c r="QJR87" s="6"/>
      <c r="QJS87" s="6"/>
      <c r="QJT87" s="6"/>
      <c r="QJU87" s="6"/>
      <c r="QJV87" s="6"/>
      <c r="QJW87" s="6"/>
      <c r="QJX87" s="6"/>
      <c r="QJY87" s="6"/>
      <c r="QJZ87" s="6"/>
      <c r="QKA87" s="6"/>
      <c r="QKB87" s="6"/>
      <c r="QKC87" s="6"/>
      <c r="QKD87" s="6"/>
      <c r="QKE87" s="6"/>
      <c r="QKF87" s="6"/>
      <c r="QKG87" s="6"/>
      <c r="QKH87" s="6"/>
      <c r="QKI87" s="6"/>
      <c r="QKJ87" s="6"/>
      <c r="QKK87" s="6"/>
      <c r="QKL87" s="6"/>
      <c r="QKM87" s="6"/>
      <c r="QKN87" s="6"/>
      <c r="QKO87" s="6"/>
      <c r="QKP87" s="6"/>
      <c r="QKQ87" s="6"/>
      <c r="QKR87" s="6"/>
      <c r="QKS87" s="6"/>
      <c r="QKT87" s="6"/>
      <c r="QKU87" s="6"/>
      <c r="QKV87" s="6"/>
      <c r="QKW87" s="6"/>
      <c r="QKX87" s="6"/>
      <c r="QKY87" s="6"/>
      <c r="QKZ87" s="6"/>
      <c r="QLA87" s="6"/>
      <c r="QLB87" s="6"/>
      <c r="QLC87" s="6"/>
      <c r="QLD87" s="6"/>
      <c r="QLE87" s="6"/>
      <c r="QLF87" s="6"/>
      <c r="QLG87" s="6"/>
      <c r="QLH87" s="6"/>
      <c r="QLI87" s="6"/>
      <c r="QLJ87" s="6"/>
      <c r="QLK87" s="6"/>
      <c r="QLL87" s="6"/>
      <c r="QLM87" s="6"/>
      <c r="QLN87" s="6"/>
      <c r="QLO87" s="6"/>
      <c r="QLP87" s="6"/>
      <c r="QLQ87" s="6"/>
      <c r="QLR87" s="6"/>
      <c r="QLS87" s="6"/>
      <c r="QLT87" s="6"/>
      <c r="QLU87" s="6"/>
      <c r="QLV87" s="6"/>
      <c r="QLW87" s="6"/>
      <c r="QLX87" s="6"/>
      <c r="QLY87" s="6"/>
      <c r="QLZ87" s="6"/>
      <c r="QMA87" s="6"/>
      <c r="QMB87" s="6"/>
      <c r="QMC87" s="6"/>
      <c r="QMD87" s="6"/>
      <c r="QME87" s="6"/>
      <c r="QMF87" s="6"/>
      <c r="QMG87" s="6"/>
      <c r="QMH87" s="6"/>
      <c r="QMI87" s="6"/>
      <c r="QMJ87" s="6"/>
      <c r="QMK87" s="6"/>
      <c r="QML87" s="6"/>
      <c r="QMM87" s="6"/>
      <c r="QMN87" s="6"/>
      <c r="QMO87" s="6"/>
      <c r="QMP87" s="6"/>
      <c r="QMQ87" s="6"/>
      <c r="QMR87" s="6"/>
      <c r="QMS87" s="6"/>
      <c r="QMT87" s="6"/>
      <c r="QMU87" s="6"/>
      <c r="QMV87" s="6"/>
      <c r="QMW87" s="6"/>
      <c r="QMX87" s="6"/>
      <c r="QMY87" s="6"/>
      <c r="QMZ87" s="6"/>
      <c r="QNA87" s="6"/>
      <c r="QNB87" s="6"/>
      <c r="QNC87" s="6"/>
      <c r="QND87" s="6"/>
      <c r="QNE87" s="6"/>
      <c r="QNF87" s="6"/>
      <c r="QNG87" s="6"/>
      <c r="QNH87" s="6"/>
      <c r="QNI87" s="6"/>
      <c r="QNJ87" s="6"/>
      <c r="QNK87" s="6"/>
      <c r="QNL87" s="6"/>
      <c r="QNM87" s="6"/>
      <c r="QNN87" s="6"/>
      <c r="QNO87" s="6"/>
      <c r="QNP87" s="6"/>
      <c r="QNQ87" s="6"/>
      <c r="QNR87" s="6"/>
      <c r="QNS87" s="6"/>
      <c r="QNT87" s="6"/>
      <c r="QNU87" s="6"/>
      <c r="QNV87" s="6"/>
      <c r="QNW87" s="6"/>
      <c r="QNX87" s="6"/>
      <c r="QNY87" s="6"/>
      <c r="QNZ87" s="6"/>
      <c r="QOA87" s="6"/>
      <c r="QOB87" s="6"/>
      <c r="QOC87" s="6"/>
      <c r="QOD87" s="6"/>
      <c r="QOE87" s="6"/>
      <c r="QOF87" s="6"/>
      <c r="QOG87" s="6"/>
      <c r="QOH87" s="6"/>
      <c r="QOI87" s="6"/>
      <c r="QOJ87" s="6"/>
      <c r="QOK87" s="6"/>
      <c r="QOL87" s="6"/>
      <c r="QOM87" s="6"/>
      <c r="QON87" s="6"/>
      <c r="QOO87" s="6"/>
      <c r="QOP87" s="6"/>
      <c r="QOQ87" s="6"/>
      <c r="QOR87" s="6"/>
      <c r="QOS87" s="6"/>
      <c r="QOT87" s="6"/>
      <c r="QOU87" s="6"/>
      <c r="QOV87" s="6"/>
      <c r="QOW87" s="6"/>
      <c r="QOX87" s="6"/>
      <c r="QOY87" s="6"/>
      <c r="QOZ87" s="6"/>
      <c r="QPA87" s="6"/>
      <c r="QPB87" s="6"/>
      <c r="QPC87" s="6"/>
      <c r="QPD87" s="6"/>
      <c r="QPE87" s="6"/>
      <c r="QPF87" s="6"/>
      <c r="QPG87" s="6"/>
      <c r="QPH87" s="6"/>
      <c r="QPI87" s="6"/>
      <c r="QPJ87" s="6"/>
      <c r="QPK87" s="6"/>
      <c r="QPL87" s="6"/>
      <c r="QPM87" s="6"/>
      <c r="QPN87" s="6"/>
      <c r="QPO87" s="6"/>
      <c r="QPP87" s="6"/>
      <c r="QPQ87" s="6"/>
      <c r="QPR87" s="6"/>
      <c r="QPS87" s="6"/>
      <c r="QPT87" s="6"/>
      <c r="QPU87" s="6"/>
      <c r="QPV87" s="6"/>
      <c r="QPW87" s="6"/>
      <c r="QPX87" s="6"/>
      <c r="QPY87" s="6"/>
      <c r="QPZ87" s="6"/>
      <c r="QQA87" s="6"/>
      <c r="QQB87" s="6"/>
      <c r="QQC87" s="6"/>
      <c r="QQD87" s="6"/>
      <c r="QQE87" s="6"/>
      <c r="QQF87" s="6"/>
      <c r="QQG87" s="6"/>
      <c r="QQH87" s="6"/>
      <c r="QQI87" s="6"/>
      <c r="QQJ87" s="6"/>
      <c r="QQK87" s="6"/>
      <c r="QQL87" s="6"/>
      <c r="QQM87" s="6"/>
      <c r="QQN87" s="6"/>
      <c r="QQO87" s="6"/>
      <c r="QQP87" s="6"/>
      <c r="QQQ87" s="6"/>
      <c r="QQR87" s="6"/>
      <c r="QQS87" s="6"/>
      <c r="QQT87" s="6"/>
      <c r="QQU87" s="6"/>
      <c r="QQV87" s="6"/>
      <c r="QQW87" s="6"/>
      <c r="QQX87" s="6"/>
      <c r="QQY87" s="6"/>
      <c r="QQZ87" s="6"/>
      <c r="QRA87" s="6"/>
      <c r="QRB87" s="6"/>
      <c r="QRC87" s="6"/>
      <c r="QRD87" s="6"/>
      <c r="QRE87" s="6"/>
      <c r="QRF87" s="6"/>
      <c r="QRG87" s="6"/>
      <c r="QRH87" s="6"/>
      <c r="QRI87" s="6"/>
      <c r="QRJ87" s="6"/>
      <c r="QRK87" s="6"/>
      <c r="QRL87" s="6"/>
      <c r="QRM87" s="6"/>
      <c r="QRN87" s="6"/>
      <c r="QRO87" s="6"/>
      <c r="QRP87" s="6"/>
      <c r="QRQ87" s="6"/>
      <c r="QRR87" s="6"/>
      <c r="QRS87" s="6"/>
      <c r="QRT87" s="6"/>
      <c r="QRU87" s="6"/>
      <c r="QRV87" s="6"/>
      <c r="QRW87" s="6"/>
      <c r="QRX87" s="6"/>
      <c r="QRY87" s="6"/>
      <c r="QRZ87" s="6"/>
      <c r="QSA87" s="6"/>
      <c r="QSB87" s="6"/>
      <c r="QSC87" s="6"/>
      <c r="QSD87" s="6"/>
      <c r="QSE87" s="6"/>
      <c r="QSF87" s="6"/>
      <c r="QSG87" s="6"/>
      <c r="QSH87" s="6"/>
      <c r="QSI87" s="6"/>
      <c r="QSJ87" s="6"/>
      <c r="QSK87" s="6"/>
      <c r="QSL87" s="6"/>
      <c r="QSM87" s="6"/>
      <c r="QSN87" s="6"/>
      <c r="QSO87" s="6"/>
      <c r="QSP87" s="6"/>
      <c r="QSQ87" s="6"/>
      <c r="QSR87" s="6"/>
      <c r="QSS87" s="6"/>
      <c r="QST87" s="6"/>
      <c r="QSU87" s="6"/>
      <c r="QSV87" s="6"/>
      <c r="QSW87" s="6"/>
      <c r="QSX87" s="6"/>
      <c r="QSY87" s="6"/>
      <c r="QSZ87" s="6"/>
      <c r="QTA87" s="6"/>
      <c r="QTB87" s="6"/>
      <c r="QTC87" s="6"/>
      <c r="QTD87" s="6"/>
      <c r="QTE87" s="6"/>
      <c r="QTF87" s="6"/>
      <c r="QTG87" s="6"/>
      <c r="QTH87" s="6"/>
      <c r="QTI87" s="6"/>
      <c r="QTJ87" s="6"/>
      <c r="QTK87" s="6"/>
      <c r="QTL87" s="6"/>
      <c r="QTM87" s="6"/>
      <c r="QTN87" s="6"/>
      <c r="QTO87" s="6"/>
      <c r="QTP87" s="6"/>
      <c r="QTQ87" s="6"/>
      <c r="QTR87" s="6"/>
      <c r="QTS87" s="6"/>
      <c r="QTT87" s="6"/>
      <c r="QTU87" s="6"/>
      <c r="QTV87" s="6"/>
      <c r="QTW87" s="6"/>
      <c r="QTX87" s="6"/>
      <c r="QTY87" s="6"/>
      <c r="QTZ87" s="6"/>
      <c r="QUA87" s="6"/>
      <c r="QUB87" s="6"/>
      <c r="QUC87" s="6"/>
      <c r="QUD87" s="6"/>
      <c r="QUE87" s="6"/>
      <c r="QUF87" s="6"/>
      <c r="QUG87" s="6"/>
      <c r="QUH87" s="6"/>
      <c r="QUI87" s="6"/>
      <c r="QUJ87" s="6"/>
      <c r="QUK87" s="6"/>
      <c r="QUL87" s="6"/>
      <c r="QUM87" s="6"/>
      <c r="QUN87" s="6"/>
      <c r="QUO87" s="6"/>
      <c r="QUP87" s="6"/>
      <c r="QUQ87" s="6"/>
      <c r="QUR87" s="6"/>
      <c r="QUS87" s="6"/>
      <c r="QUT87" s="6"/>
      <c r="QUU87" s="6"/>
      <c r="QUV87" s="6"/>
      <c r="QUW87" s="6"/>
      <c r="QUX87" s="6"/>
      <c r="QUY87" s="6"/>
      <c r="QUZ87" s="6"/>
      <c r="QVA87" s="6"/>
      <c r="QVB87" s="6"/>
      <c r="QVC87" s="6"/>
      <c r="QVD87" s="6"/>
      <c r="QVE87" s="6"/>
      <c r="QVF87" s="6"/>
      <c r="QVG87" s="6"/>
      <c r="QVH87" s="6"/>
      <c r="QVI87" s="6"/>
      <c r="QVJ87" s="6"/>
      <c r="QVK87" s="6"/>
      <c r="QVL87" s="6"/>
      <c r="QVM87" s="6"/>
      <c r="QVN87" s="6"/>
      <c r="QVO87" s="6"/>
      <c r="QVP87" s="6"/>
      <c r="QVQ87" s="6"/>
      <c r="QVR87" s="6"/>
      <c r="QVS87" s="6"/>
      <c r="QVT87" s="6"/>
      <c r="QVU87" s="6"/>
      <c r="QVV87" s="6"/>
      <c r="QVW87" s="6"/>
      <c r="QVX87" s="6"/>
      <c r="QVY87" s="6"/>
      <c r="QVZ87" s="6"/>
      <c r="QWA87" s="6"/>
      <c r="QWB87" s="6"/>
      <c r="QWC87" s="6"/>
      <c r="QWD87" s="6"/>
      <c r="QWE87" s="6"/>
      <c r="QWF87" s="6"/>
      <c r="QWG87" s="6"/>
      <c r="QWH87" s="6"/>
      <c r="QWI87" s="6"/>
      <c r="QWJ87" s="6"/>
      <c r="QWK87" s="6"/>
      <c r="QWL87" s="6"/>
      <c r="QWM87" s="6"/>
      <c r="QWN87" s="6"/>
      <c r="QWO87" s="6"/>
      <c r="QWP87" s="6"/>
      <c r="QWQ87" s="6"/>
      <c r="QWR87" s="6"/>
      <c r="QWS87" s="6"/>
      <c r="QWT87" s="6"/>
      <c r="QWU87" s="6"/>
      <c r="QWV87" s="6"/>
      <c r="QWW87" s="6"/>
      <c r="QWX87" s="6"/>
      <c r="QWY87" s="6"/>
      <c r="QWZ87" s="6"/>
      <c r="QXA87" s="6"/>
      <c r="QXB87" s="6"/>
      <c r="QXC87" s="6"/>
      <c r="QXD87" s="6"/>
      <c r="QXE87" s="6"/>
      <c r="QXF87" s="6"/>
      <c r="QXG87" s="6"/>
      <c r="QXH87" s="6"/>
      <c r="QXI87" s="6"/>
      <c r="QXJ87" s="6"/>
      <c r="QXK87" s="6"/>
      <c r="QXL87" s="6"/>
      <c r="QXM87" s="6"/>
      <c r="QXN87" s="6"/>
      <c r="QXO87" s="6"/>
      <c r="QXP87" s="6"/>
      <c r="QXQ87" s="6"/>
      <c r="QXR87" s="6"/>
      <c r="QXS87" s="6"/>
      <c r="QXT87" s="6"/>
      <c r="QXU87" s="6"/>
      <c r="QXV87" s="6"/>
      <c r="QXW87" s="6"/>
      <c r="QXX87" s="6"/>
      <c r="QXY87" s="6"/>
      <c r="QXZ87" s="6"/>
      <c r="QYA87" s="6"/>
      <c r="QYB87" s="6"/>
      <c r="QYC87" s="6"/>
      <c r="QYD87" s="6"/>
      <c r="QYE87" s="6"/>
      <c r="QYF87" s="6"/>
      <c r="QYG87" s="6"/>
      <c r="QYH87" s="6"/>
      <c r="QYI87" s="6"/>
      <c r="QYJ87" s="6"/>
      <c r="QYK87" s="6"/>
      <c r="QYL87" s="6"/>
      <c r="QYM87" s="6"/>
      <c r="QYN87" s="6"/>
      <c r="QYO87" s="6"/>
      <c r="QYP87" s="6"/>
      <c r="QYQ87" s="6"/>
      <c r="QYR87" s="6"/>
      <c r="QYS87" s="6"/>
      <c r="QYT87" s="6"/>
      <c r="QYU87" s="6"/>
      <c r="QYV87" s="6"/>
      <c r="QYW87" s="6"/>
      <c r="QYX87" s="6"/>
      <c r="QYY87" s="6"/>
      <c r="QYZ87" s="6"/>
      <c r="QZA87" s="6"/>
      <c r="QZB87" s="6"/>
      <c r="QZC87" s="6"/>
      <c r="QZD87" s="6"/>
      <c r="QZE87" s="6"/>
      <c r="QZF87" s="6"/>
      <c r="QZG87" s="6"/>
      <c r="QZH87" s="6"/>
      <c r="QZI87" s="6"/>
      <c r="QZJ87" s="6"/>
      <c r="QZK87" s="6"/>
      <c r="QZL87" s="6"/>
      <c r="QZM87" s="6"/>
      <c r="QZN87" s="6"/>
      <c r="QZO87" s="6"/>
      <c r="QZP87" s="6"/>
      <c r="QZQ87" s="6"/>
      <c r="QZR87" s="6"/>
      <c r="QZS87" s="6"/>
      <c r="QZT87" s="6"/>
      <c r="QZU87" s="6"/>
      <c r="QZV87" s="6"/>
      <c r="QZW87" s="6"/>
      <c r="QZX87" s="6"/>
      <c r="QZY87" s="6"/>
      <c r="QZZ87" s="6"/>
      <c r="RAA87" s="6"/>
      <c r="RAB87" s="6"/>
      <c r="RAC87" s="6"/>
      <c r="RAD87" s="6"/>
      <c r="RAE87" s="6"/>
      <c r="RAF87" s="6"/>
      <c r="RAG87" s="6"/>
      <c r="RAH87" s="6"/>
      <c r="RAI87" s="6"/>
      <c r="RAJ87" s="6"/>
      <c r="RAK87" s="6"/>
      <c r="RAL87" s="6"/>
      <c r="RAM87" s="6"/>
      <c r="RAN87" s="6"/>
      <c r="RAO87" s="6"/>
      <c r="RAP87" s="6"/>
      <c r="RAQ87" s="6"/>
      <c r="RAR87" s="6"/>
      <c r="RAS87" s="6"/>
      <c r="RAT87" s="6"/>
      <c r="RAU87" s="6"/>
      <c r="RAV87" s="6"/>
      <c r="RAW87" s="6"/>
      <c r="RAX87" s="6"/>
      <c r="RAY87" s="6"/>
      <c r="RAZ87" s="6"/>
      <c r="RBA87" s="6"/>
      <c r="RBB87" s="6"/>
      <c r="RBC87" s="6"/>
      <c r="RBD87" s="6"/>
      <c r="RBE87" s="6"/>
      <c r="RBF87" s="6"/>
      <c r="RBG87" s="6"/>
      <c r="RBH87" s="6"/>
      <c r="RBI87" s="6"/>
      <c r="RBJ87" s="6"/>
      <c r="RBK87" s="6"/>
      <c r="RBL87" s="6"/>
      <c r="RBM87" s="6"/>
      <c r="RBN87" s="6"/>
      <c r="RBO87" s="6"/>
      <c r="RBP87" s="6"/>
      <c r="RBQ87" s="6"/>
      <c r="RBR87" s="6"/>
      <c r="RBS87" s="6"/>
      <c r="RBT87" s="6"/>
      <c r="RBU87" s="6"/>
      <c r="RBV87" s="6"/>
      <c r="RBW87" s="6"/>
      <c r="RBX87" s="6"/>
      <c r="RBY87" s="6"/>
      <c r="RBZ87" s="6"/>
      <c r="RCA87" s="6"/>
      <c r="RCB87" s="6"/>
      <c r="RCC87" s="6"/>
      <c r="RCD87" s="6"/>
      <c r="RCE87" s="6"/>
      <c r="RCF87" s="6"/>
      <c r="RCG87" s="6"/>
      <c r="RCH87" s="6"/>
      <c r="RCI87" s="6"/>
      <c r="RCJ87" s="6"/>
      <c r="RCK87" s="6"/>
      <c r="RCL87" s="6"/>
      <c r="RCM87" s="6"/>
      <c r="RCN87" s="6"/>
      <c r="RCO87" s="6"/>
      <c r="RCP87" s="6"/>
      <c r="RCQ87" s="6"/>
      <c r="RCR87" s="6"/>
      <c r="RCS87" s="6"/>
      <c r="RCT87" s="6"/>
      <c r="RCU87" s="6"/>
      <c r="RCV87" s="6"/>
      <c r="RCW87" s="6"/>
      <c r="RCX87" s="6"/>
      <c r="RCY87" s="6"/>
      <c r="RCZ87" s="6"/>
      <c r="RDA87" s="6"/>
      <c r="RDB87" s="6"/>
      <c r="RDC87" s="6"/>
      <c r="RDD87" s="6"/>
      <c r="RDE87" s="6"/>
      <c r="RDF87" s="6"/>
      <c r="RDG87" s="6"/>
      <c r="RDH87" s="6"/>
      <c r="RDI87" s="6"/>
      <c r="RDJ87" s="6"/>
      <c r="RDK87" s="6"/>
      <c r="RDL87" s="6"/>
      <c r="RDM87" s="6"/>
      <c r="RDN87" s="6"/>
      <c r="RDO87" s="6"/>
      <c r="RDP87" s="6"/>
      <c r="RDQ87" s="6"/>
      <c r="RDR87" s="6"/>
      <c r="RDS87" s="6"/>
      <c r="RDT87" s="6"/>
      <c r="RDU87" s="6"/>
      <c r="RDV87" s="6"/>
      <c r="RDW87" s="6"/>
      <c r="RDX87" s="6"/>
      <c r="RDY87" s="6"/>
      <c r="RDZ87" s="6"/>
      <c r="REA87" s="6"/>
      <c r="REB87" s="6"/>
      <c r="REC87" s="6"/>
      <c r="RED87" s="6"/>
      <c r="REE87" s="6"/>
      <c r="REF87" s="6"/>
      <c r="REG87" s="6"/>
      <c r="REH87" s="6"/>
      <c r="REI87" s="6"/>
      <c r="REJ87" s="6"/>
      <c r="REK87" s="6"/>
      <c r="REL87" s="6"/>
      <c r="REM87" s="6"/>
      <c r="REN87" s="6"/>
      <c r="REO87" s="6"/>
      <c r="REP87" s="6"/>
      <c r="REQ87" s="6"/>
      <c r="RER87" s="6"/>
      <c r="RES87" s="6"/>
      <c r="RET87" s="6"/>
      <c r="REU87" s="6"/>
      <c r="REV87" s="6"/>
      <c r="REW87" s="6"/>
      <c r="REX87" s="6"/>
      <c r="REY87" s="6"/>
      <c r="REZ87" s="6"/>
      <c r="RFA87" s="6"/>
      <c r="RFB87" s="6"/>
      <c r="RFC87" s="6"/>
      <c r="RFD87" s="6"/>
      <c r="RFE87" s="6"/>
      <c r="RFF87" s="6"/>
      <c r="RFG87" s="6"/>
      <c r="RFH87" s="6"/>
      <c r="RFI87" s="6"/>
      <c r="RFJ87" s="6"/>
      <c r="RFK87" s="6"/>
      <c r="RFL87" s="6"/>
      <c r="RFM87" s="6"/>
      <c r="RFN87" s="6"/>
      <c r="RFO87" s="6"/>
      <c r="RFP87" s="6"/>
      <c r="RFQ87" s="6"/>
      <c r="RFR87" s="6"/>
      <c r="RFS87" s="6"/>
      <c r="RFT87" s="6"/>
      <c r="RFU87" s="6"/>
      <c r="RFV87" s="6"/>
      <c r="RFW87" s="6"/>
      <c r="RFX87" s="6"/>
      <c r="RFY87" s="6"/>
      <c r="RFZ87" s="6"/>
      <c r="RGA87" s="6"/>
      <c r="RGB87" s="6"/>
      <c r="RGC87" s="6"/>
      <c r="RGD87" s="6"/>
      <c r="RGE87" s="6"/>
      <c r="RGF87" s="6"/>
      <c r="RGG87" s="6"/>
      <c r="RGH87" s="6"/>
      <c r="RGI87" s="6"/>
      <c r="RGJ87" s="6"/>
      <c r="RGK87" s="6"/>
      <c r="RGL87" s="6"/>
      <c r="RGM87" s="6"/>
      <c r="RGN87" s="6"/>
      <c r="RGO87" s="6"/>
      <c r="RGP87" s="6"/>
      <c r="RGQ87" s="6"/>
      <c r="RGR87" s="6"/>
      <c r="RGS87" s="6"/>
      <c r="RGT87" s="6"/>
      <c r="RGU87" s="6"/>
      <c r="RGV87" s="6"/>
      <c r="RGW87" s="6"/>
      <c r="RGX87" s="6"/>
      <c r="RGY87" s="6"/>
      <c r="RGZ87" s="6"/>
      <c r="RHA87" s="6"/>
      <c r="RHB87" s="6"/>
      <c r="RHC87" s="6"/>
      <c r="RHD87" s="6"/>
      <c r="RHE87" s="6"/>
      <c r="RHF87" s="6"/>
      <c r="RHG87" s="6"/>
      <c r="RHH87" s="6"/>
      <c r="RHI87" s="6"/>
      <c r="RHJ87" s="6"/>
      <c r="RHK87" s="6"/>
      <c r="RHL87" s="6"/>
      <c r="RHM87" s="6"/>
      <c r="RHN87" s="6"/>
      <c r="RHO87" s="6"/>
      <c r="RHP87" s="6"/>
      <c r="RHQ87" s="6"/>
      <c r="RHR87" s="6"/>
      <c r="RHS87" s="6"/>
      <c r="RHT87" s="6"/>
      <c r="RHU87" s="6"/>
      <c r="RHV87" s="6"/>
      <c r="RHW87" s="6"/>
      <c r="RHX87" s="6"/>
      <c r="RHY87" s="6"/>
      <c r="RHZ87" s="6"/>
      <c r="RIA87" s="6"/>
      <c r="RIB87" s="6"/>
      <c r="RIC87" s="6"/>
      <c r="RID87" s="6"/>
      <c r="RIE87" s="6"/>
      <c r="RIF87" s="6"/>
      <c r="RIG87" s="6"/>
      <c r="RIH87" s="6"/>
      <c r="RII87" s="6"/>
      <c r="RIJ87" s="6"/>
      <c r="RIK87" s="6"/>
      <c r="RIL87" s="6"/>
      <c r="RIM87" s="6"/>
      <c r="RIN87" s="6"/>
      <c r="RIO87" s="6"/>
      <c r="RIP87" s="6"/>
      <c r="RIQ87" s="6"/>
      <c r="RIR87" s="6"/>
      <c r="RIS87" s="6"/>
      <c r="RIT87" s="6"/>
      <c r="RIU87" s="6"/>
      <c r="RIV87" s="6"/>
      <c r="RIW87" s="6"/>
      <c r="RIX87" s="6"/>
      <c r="RIY87" s="6"/>
      <c r="RIZ87" s="6"/>
      <c r="RJA87" s="6"/>
      <c r="RJB87" s="6"/>
      <c r="RJC87" s="6"/>
      <c r="RJD87" s="6"/>
      <c r="RJE87" s="6"/>
      <c r="RJF87" s="6"/>
      <c r="RJG87" s="6"/>
      <c r="RJH87" s="6"/>
      <c r="RJI87" s="6"/>
      <c r="RJJ87" s="6"/>
      <c r="RJK87" s="6"/>
      <c r="RJL87" s="6"/>
      <c r="RJM87" s="6"/>
      <c r="RJN87" s="6"/>
      <c r="RJO87" s="6"/>
      <c r="RJP87" s="6"/>
      <c r="RJQ87" s="6"/>
      <c r="RJR87" s="6"/>
      <c r="RJS87" s="6"/>
      <c r="RJT87" s="6"/>
      <c r="RJU87" s="6"/>
      <c r="RJV87" s="6"/>
      <c r="RJW87" s="6"/>
      <c r="RJX87" s="6"/>
      <c r="RJY87" s="6"/>
      <c r="RJZ87" s="6"/>
      <c r="RKA87" s="6"/>
      <c r="RKB87" s="6"/>
      <c r="RKC87" s="6"/>
      <c r="RKD87" s="6"/>
      <c r="RKE87" s="6"/>
      <c r="RKF87" s="6"/>
      <c r="RKG87" s="6"/>
      <c r="RKH87" s="6"/>
      <c r="RKI87" s="6"/>
      <c r="RKJ87" s="6"/>
      <c r="RKK87" s="6"/>
      <c r="RKL87" s="6"/>
      <c r="RKM87" s="6"/>
      <c r="RKN87" s="6"/>
      <c r="RKO87" s="6"/>
      <c r="RKP87" s="6"/>
      <c r="RKQ87" s="6"/>
      <c r="RKR87" s="6"/>
      <c r="RKS87" s="6"/>
      <c r="RKT87" s="6"/>
      <c r="RKU87" s="6"/>
      <c r="RKV87" s="6"/>
      <c r="RKW87" s="6"/>
      <c r="RKX87" s="6"/>
      <c r="RKY87" s="6"/>
      <c r="RKZ87" s="6"/>
      <c r="RLA87" s="6"/>
      <c r="RLB87" s="6"/>
      <c r="RLC87" s="6"/>
      <c r="RLD87" s="6"/>
      <c r="RLE87" s="6"/>
      <c r="RLF87" s="6"/>
      <c r="RLG87" s="6"/>
      <c r="RLH87" s="6"/>
      <c r="RLI87" s="6"/>
      <c r="RLJ87" s="6"/>
      <c r="RLK87" s="6"/>
      <c r="RLL87" s="6"/>
      <c r="RLM87" s="6"/>
      <c r="RLN87" s="6"/>
      <c r="RLO87" s="6"/>
      <c r="RLP87" s="6"/>
      <c r="RLQ87" s="6"/>
      <c r="RLR87" s="6"/>
      <c r="RLS87" s="6"/>
      <c r="RLT87" s="6"/>
      <c r="RLU87" s="6"/>
      <c r="RLV87" s="6"/>
      <c r="RLW87" s="6"/>
      <c r="RLX87" s="6"/>
      <c r="RLY87" s="6"/>
      <c r="RLZ87" s="6"/>
      <c r="RMA87" s="6"/>
      <c r="RMB87" s="6"/>
      <c r="RMC87" s="6"/>
      <c r="RMD87" s="6"/>
      <c r="RME87" s="6"/>
      <c r="RMF87" s="6"/>
      <c r="RMG87" s="6"/>
      <c r="RMH87" s="6"/>
      <c r="RMI87" s="6"/>
      <c r="RMJ87" s="6"/>
      <c r="RMK87" s="6"/>
      <c r="RML87" s="6"/>
      <c r="RMM87" s="6"/>
      <c r="RMN87" s="6"/>
      <c r="RMO87" s="6"/>
      <c r="RMP87" s="6"/>
      <c r="RMQ87" s="6"/>
      <c r="RMR87" s="6"/>
      <c r="RMS87" s="6"/>
      <c r="RMT87" s="6"/>
      <c r="RMU87" s="6"/>
      <c r="RMV87" s="6"/>
      <c r="RMW87" s="6"/>
      <c r="RMX87" s="6"/>
      <c r="RMY87" s="6"/>
      <c r="RMZ87" s="6"/>
      <c r="RNA87" s="6"/>
      <c r="RNB87" s="6"/>
      <c r="RNC87" s="6"/>
      <c r="RND87" s="6"/>
      <c r="RNE87" s="6"/>
      <c r="RNF87" s="6"/>
      <c r="RNG87" s="6"/>
      <c r="RNH87" s="6"/>
      <c r="RNI87" s="6"/>
      <c r="RNJ87" s="6"/>
      <c r="RNK87" s="6"/>
      <c r="RNL87" s="6"/>
      <c r="RNM87" s="6"/>
      <c r="RNN87" s="6"/>
      <c r="RNO87" s="6"/>
      <c r="RNP87" s="6"/>
      <c r="RNQ87" s="6"/>
      <c r="RNR87" s="6"/>
      <c r="RNS87" s="6"/>
      <c r="RNT87" s="6"/>
      <c r="RNU87" s="6"/>
      <c r="RNV87" s="6"/>
      <c r="RNW87" s="6"/>
      <c r="RNX87" s="6"/>
      <c r="RNY87" s="6"/>
      <c r="RNZ87" s="6"/>
      <c r="ROA87" s="6"/>
      <c r="ROB87" s="6"/>
      <c r="ROC87" s="6"/>
      <c r="ROD87" s="6"/>
      <c r="ROE87" s="6"/>
      <c r="ROF87" s="6"/>
      <c r="ROG87" s="6"/>
      <c r="ROH87" s="6"/>
      <c r="ROI87" s="6"/>
      <c r="ROJ87" s="6"/>
      <c r="ROK87" s="6"/>
      <c r="ROL87" s="6"/>
      <c r="ROM87" s="6"/>
      <c r="RON87" s="6"/>
      <c r="ROO87" s="6"/>
      <c r="ROP87" s="6"/>
      <c r="ROQ87" s="6"/>
      <c r="ROR87" s="6"/>
      <c r="ROS87" s="6"/>
      <c r="ROT87" s="6"/>
      <c r="ROU87" s="6"/>
      <c r="ROV87" s="6"/>
      <c r="ROW87" s="6"/>
      <c r="ROX87" s="6"/>
      <c r="ROY87" s="6"/>
      <c r="ROZ87" s="6"/>
      <c r="RPA87" s="6"/>
      <c r="RPB87" s="6"/>
      <c r="RPC87" s="6"/>
      <c r="RPD87" s="6"/>
      <c r="RPE87" s="6"/>
      <c r="RPF87" s="6"/>
      <c r="RPG87" s="6"/>
      <c r="RPH87" s="6"/>
      <c r="RPI87" s="6"/>
      <c r="RPJ87" s="6"/>
      <c r="RPK87" s="6"/>
      <c r="RPL87" s="6"/>
      <c r="RPM87" s="6"/>
      <c r="RPN87" s="6"/>
      <c r="RPO87" s="6"/>
      <c r="RPP87" s="6"/>
      <c r="RPQ87" s="6"/>
      <c r="RPR87" s="6"/>
      <c r="RPS87" s="6"/>
      <c r="RPT87" s="6"/>
      <c r="RPU87" s="6"/>
      <c r="RPV87" s="6"/>
      <c r="RPW87" s="6"/>
      <c r="RPX87" s="6"/>
      <c r="RPY87" s="6"/>
      <c r="RPZ87" s="6"/>
      <c r="RQA87" s="6"/>
      <c r="RQB87" s="6"/>
      <c r="RQC87" s="6"/>
      <c r="RQD87" s="6"/>
      <c r="RQE87" s="6"/>
      <c r="RQF87" s="6"/>
      <c r="RQG87" s="6"/>
      <c r="RQH87" s="6"/>
      <c r="RQI87" s="6"/>
      <c r="RQJ87" s="6"/>
      <c r="RQK87" s="6"/>
      <c r="RQL87" s="6"/>
      <c r="RQM87" s="6"/>
      <c r="RQN87" s="6"/>
      <c r="RQO87" s="6"/>
      <c r="RQP87" s="6"/>
      <c r="RQQ87" s="6"/>
      <c r="RQR87" s="6"/>
      <c r="RQS87" s="6"/>
      <c r="RQT87" s="6"/>
      <c r="RQU87" s="6"/>
      <c r="RQV87" s="6"/>
      <c r="RQW87" s="6"/>
      <c r="RQX87" s="6"/>
      <c r="RQY87" s="6"/>
      <c r="RQZ87" s="6"/>
      <c r="RRA87" s="6"/>
      <c r="RRB87" s="6"/>
      <c r="RRC87" s="6"/>
      <c r="RRD87" s="6"/>
      <c r="RRE87" s="6"/>
      <c r="RRF87" s="6"/>
      <c r="RRG87" s="6"/>
      <c r="RRH87" s="6"/>
      <c r="RRI87" s="6"/>
      <c r="RRJ87" s="6"/>
      <c r="RRK87" s="6"/>
      <c r="RRL87" s="6"/>
      <c r="RRM87" s="6"/>
      <c r="RRN87" s="6"/>
      <c r="RRO87" s="6"/>
      <c r="RRP87" s="6"/>
      <c r="RRQ87" s="6"/>
      <c r="RRR87" s="6"/>
      <c r="RRS87" s="6"/>
      <c r="RRT87" s="6"/>
      <c r="RRU87" s="6"/>
      <c r="RRV87" s="6"/>
      <c r="RRW87" s="6"/>
      <c r="RRX87" s="6"/>
      <c r="RRY87" s="6"/>
      <c r="RRZ87" s="6"/>
      <c r="RSA87" s="6"/>
      <c r="RSB87" s="6"/>
      <c r="RSC87" s="6"/>
      <c r="RSD87" s="6"/>
      <c r="RSE87" s="6"/>
      <c r="RSF87" s="6"/>
      <c r="RSG87" s="6"/>
      <c r="RSH87" s="6"/>
      <c r="RSI87" s="6"/>
      <c r="RSJ87" s="6"/>
      <c r="RSK87" s="6"/>
      <c r="RSL87" s="6"/>
      <c r="RSM87" s="6"/>
      <c r="RSN87" s="6"/>
      <c r="RSO87" s="6"/>
      <c r="RSP87" s="6"/>
      <c r="RSQ87" s="6"/>
      <c r="RSR87" s="6"/>
      <c r="RSS87" s="6"/>
      <c r="RST87" s="6"/>
      <c r="RSU87" s="6"/>
      <c r="RSV87" s="6"/>
      <c r="RSW87" s="6"/>
      <c r="RSX87" s="6"/>
      <c r="RSY87" s="6"/>
      <c r="RSZ87" s="6"/>
      <c r="RTA87" s="6"/>
      <c r="RTB87" s="6"/>
      <c r="RTC87" s="6"/>
      <c r="RTD87" s="6"/>
      <c r="RTE87" s="6"/>
      <c r="RTF87" s="6"/>
      <c r="RTG87" s="6"/>
      <c r="RTH87" s="6"/>
      <c r="RTI87" s="6"/>
      <c r="RTJ87" s="6"/>
      <c r="RTK87" s="6"/>
      <c r="RTL87" s="6"/>
      <c r="RTM87" s="6"/>
      <c r="RTN87" s="6"/>
      <c r="RTO87" s="6"/>
      <c r="RTP87" s="6"/>
      <c r="RTQ87" s="6"/>
      <c r="RTR87" s="6"/>
      <c r="RTS87" s="6"/>
      <c r="RTT87" s="6"/>
      <c r="RTU87" s="6"/>
      <c r="RTV87" s="6"/>
      <c r="RTW87" s="6"/>
      <c r="RTX87" s="6"/>
      <c r="RTY87" s="6"/>
      <c r="RTZ87" s="6"/>
      <c r="RUA87" s="6"/>
      <c r="RUB87" s="6"/>
      <c r="RUC87" s="6"/>
      <c r="RUD87" s="6"/>
      <c r="RUE87" s="6"/>
      <c r="RUF87" s="6"/>
      <c r="RUG87" s="6"/>
      <c r="RUH87" s="6"/>
      <c r="RUI87" s="6"/>
      <c r="RUJ87" s="6"/>
      <c r="RUK87" s="6"/>
      <c r="RUL87" s="6"/>
      <c r="RUM87" s="6"/>
      <c r="RUN87" s="6"/>
      <c r="RUO87" s="6"/>
      <c r="RUP87" s="6"/>
      <c r="RUQ87" s="6"/>
      <c r="RUR87" s="6"/>
      <c r="RUS87" s="6"/>
      <c r="RUT87" s="6"/>
      <c r="RUU87" s="6"/>
      <c r="RUV87" s="6"/>
      <c r="RUW87" s="6"/>
      <c r="RUX87" s="6"/>
      <c r="RUY87" s="6"/>
      <c r="RUZ87" s="6"/>
      <c r="RVA87" s="6"/>
      <c r="RVB87" s="6"/>
      <c r="RVC87" s="6"/>
      <c r="RVD87" s="6"/>
      <c r="RVE87" s="6"/>
      <c r="RVF87" s="6"/>
      <c r="RVG87" s="6"/>
      <c r="RVH87" s="6"/>
      <c r="RVI87" s="6"/>
      <c r="RVJ87" s="6"/>
      <c r="RVK87" s="6"/>
      <c r="RVL87" s="6"/>
      <c r="RVM87" s="6"/>
      <c r="RVN87" s="6"/>
      <c r="RVO87" s="6"/>
      <c r="RVP87" s="6"/>
      <c r="RVQ87" s="6"/>
      <c r="RVR87" s="6"/>
      <c r="RVS87" s="6"/>
      <c r="RVT87" s="6"/>
      <c r="RVU87" s="6"/>
      <c r="RVV87" s="6"/>
      <c r="RVW87" s="6"/>
      <c r="RVX87" s="6"/>
      <c r="RVY87" s="6"/>
      <c r="RVZ87" s="6"/>
      <c r="RWA87" s="6"/>
      <c r="RWB87" s="6"/>
      <c r="RWC87" s="6"/>
      <c r="RWD87" s="6"/>
      <c r="RWE87" s="6"/>
      <c r="RWF87" s="6"/>
      <c r="RWG87" s="6"/>
      <c r="RWH87" s="6"/>
      <c r="RWI87" s="6"/>
      <c r="RWJ87" s="6"/>
      <c r="RWK87" s="6"/>
      <c r="RWL87" s="6"/>
      <c r="RWM87" s="6"/>
      <c r="RWN87" s="6"/>
      <c r="RWO87" s="6"/>
      <c r="RWP87" s="6"/>
      <c r="RWQ87" s="6"/>
      <c r="RWR87" s="6"/>
      <c r="RWS87" s="6"/>
      <c r="RWT87" s="6"/>
      <c r="RWU87" s="6"/>
      <c r="RWV87" s="6"/>
      <c r="RWW87" s="6"/>
      <c r="RWX87" s="6"/>
      <c r="RWY87" s="6"/>
      <c r="RWZ87" s="6"/>
      <c r="RXA87" s="6"/>
      <c r="RXB87" s="6"/>
      <c r="RXC87" s="6"/>
      <c r="RXD87" s="6"/>
      <c r="RXE87" s="6"/>
      <c r="RXF87" s="6"/>
      <c r="RXG87" s="6"/>
      <c r="RXH87" s="6"/>
      <c r="RXI87" s="6"/>
      <c r="RXJ87" s="6"/>
      <c r="RXK87" s="6"/>
      <c r="RXL87" s="6"/>
      <c r="RXM87" s="6"/>
      <c r="RXN87" s="6"/>
      <c r="RXO87" s="6"/>
      <c r="RXP87" s="6"/>
      <c r="RXQ87" s="6"/>
      <c r="RXR87" s="6"/>
      <c r="RXS87" s="6"/>
      <c r="RXT87" s="6"/>
      <c r="RXU87" s="6"/>
      <c r="RXV87" s="6"/>
      <c r="RXW87" s="6"/>
      <c r="RXX87" s="6"/>
      <c r="RXY87" s="6"/>
      <c r="RXZ87" s="6"/>
      <c r="RYA87" s="6"/>
      <c r="RYB87" s="6"/>
      <c r="RYC87" s="6"/>
      <c r="RYD87" s="6"/>
      <c r="RYE87" s="6"/>
      <c r="RYF87" s="6"/>
      <c r="RYG87" s="6"/>
      <c r="RYH87" s="6"/>
      <c r="RYI87" s="6"/>
      <c r="RYJ87" s="6"/>
      <c r="RYK87" s="6"/>
      <c r="RYL87" s="6"/>
      <c r="RYM87" s="6"/>
      <c r="RYN87" s="6"/>
      <c r="RYO87" s="6"/>
      <c r="RYP87" s="6"/>
      <c r="RYQ87" s="6"/>
      <c r="RYR87" s="6"/>
      <c r="RYS87" s="6"/>
      <c r="RYT87" s="6"/>
      <c r="RYU87" s="6"/>
      <c r="RYV87" s="6"/>
      <c r="RYW87" s="6"/>
      <c r="RYX87" s="6"/>
      <c r="RYY87" s="6"/>
      <c r="RYZ87" s="6"/>
      <c r="RZA87" s="6"/>
      <c r="RZB87" s="6"/>
      <c r="RZC87" s="6"/>
      <c r="RZD87" s="6"/>
      <c r="RZE87" s="6"/>
      <c r="RZF87" s="6"/>
      <c r="RZG87" s="6"/>
      <c r="RZH87" s="6"/>
      <c r="RZI87" s="6"/>
      <c r="RZJ87" s="6"/>
      <c r="RZK87" s="6"/>
      <c r="RZL87" s="6"/>
      <c r="RZM87" s="6"/>
      <c r="RZN87" s="6"/>
      <c r="RZO87" s="6"/>
      <c r="RZP87" s="6"/>
      <c r="RZQ87" s="6"/>
      <c r="RZR87" s="6"/>
      <c r="RZS87" s="6"/>
      <c r="RZT87" s="6"/>
      <c r="RZU87" s="6"/>
      <c r="RZV87" s="6"/>
      <c r="RZW87" s="6"/>
      <c r="RZX87" s="6"/>
      <c r="RZY87" s="6"/>
      <c r="RZZ87" s="6"/>
      <c r="SAA87" s="6"/>
      <c r="SAB87" s="6"/>
      <c r="SAC87" s="6"/>
      <c r="SAD87" s="6"/>
      <c r="SAE87" s="6"/>
      <c r="SAF87" s="6"/>
      <c r="SAG87" s="6"/>
      <c r="SAH87" s="6"/>
      <c r="SAI87" s="6"/>
      <c r="SAJ87" s="6"/>
      <c r="SAK87" s="6"/>
      <c r="SAL87" s="6"/>
      <c r="SAM87" s="6"/>
      <c r="SAN87" s="6"/>
      <c r="SAO87" s="6"/>
      <c r="SAP87" s="6"/>
      <c r="SAQ87" s="6"/>
      <c r="SAR87" s="6"/>
      <c r="SAS87" s="6"/>
      <c r="SAT87" s="6"/>
      <c r="SAU87" s="6"/>
      <c r="SAV87" s="6"/>
      <c r="SAW87" s="6"/>
      <c r="SAX87" s="6"/>
      <c r="SAY87" s="6"/>
      <c r="SAZ87" s="6"/>
      <c r="SBA87" s="6"/>
      <c r="SBB87" s="6"/>
      <c r="SBC87" s="6"/>
      <c r="SBD87" s="6"/>
      <c r="SBE87" s="6"/>
      <c r="SBF87" s="6"/>
      <c r="SBG87" s="6"/>
      <c r="SBH87" s="6"/>
      <c r="SBI87" s="6"/>
      <c r="SBJ87" s="6"/>
      <c r="SBK87" s="6"/>
      <c r="SBL87" s="6"/>
      <c r="SBM87" s="6"/>
      <c r="SBN87" s="6"/>
      <c r="SBO87" s="6"/>
      <c r="SBP87" s="6"/>
      <c r="SBQ87" s="6"/>
      <c r="SBR87" s="6"/>
      <c r="SBS87" s="6"/>
      <c r="SBT87" s="6"/>
      <c r="SBU87" s="6"/>
      <c r="SBV87" s="6"/>
      <c r="SBW87" s="6"/>
      <c r="SBX87" s="6"/>
      <c r="SBY87" s="6"/>
      <c r="SBZ87" s="6"/>
      <c r="SCA87" s="6"/>
      <c r="SCB87" s="6"/>
      <c r="SCC87" s="6"/>
      <c r="SCD87" s="6"/>
      <c r="SCE87" s="6"/>
      <c r="SCF87" s="6"/>
      <c r="SCG87" s="6"/>
      <c r="SCH87" s="6"/>
      <c r="SCI87" s="6"/>
      <c r="SCJ87" s="6"/>
      <c r="SCK87" s="6"/>
      <c r="SCL87" s="6"/>
      <c r="SCM87" s="6"/>
      <c r="SCN87" s="6"/>
      <c r="SCO87" s="6"/>
      <c r="SCP87" s="6"/>
      <c r="SCQ87" s="6"/>
      <c r="SCR87" s="6"/>
      <c r="SCS87" s="6"/>
      <c r="SCT87" s="6"/>
      <c r="SCU87" s="6"/>
      <c r="SCV87" s="6"/>
      <c r="SCW87" s="6"/>
      <c r="SCX87" s="6"/>
      <c r="SCY87" s="6"/>
      <c r="SCZ87" s="6"/>
      <c r="SDA87" s="6"/>
      <c r="SDB87" s="6"/>
      <c r="SDC87" s="6"/>
      <c r="SDD87" s="6"/>
      <c r="SDE87" s="6"/>
      <c r="SDF87" s="6"/>
      <c r="SDG87" s="6"/>
      <c r="SDH87" s="6"/>
      <c r="SDI87" s="6"/>
      <c r="SDJ87" s="6"/>
      <c r="SDK87" s="6"/>
      <c r="SDL87" s="6"/>
      <c r="SDM87" s="6"/>
      <c r="SDN87" s="6"/>
      <c r="SDO87" s="6"/>
      <c r="SDP87" s="6"/>
      <c r="SDQ87" s="6"/>
      <c r="SDR87" s="6"/>
      <c r="SDS87" s="6"/>
      <c r="SDT87" s="6"/>
      <c r="SDU87" s="6"/>
      <c r="SDV87" s="6"/>
      <c r="SDW87" s="6"/>
      <c r="SDX87" s="6"/>
      <c r="SDY87" s="6"/>
      <c r="SDZ87" s="6"/>
      <c r="SEA87" s="6"/>
      <c r="SEB87" s="6"/>
      <c r="SEC87" s="6"/>
      <c r="SED87" s="6"/>
      <c r="SEE87" s="6"/>
      <c r="SEF87" s="6"/>
      <c r="SEG87" s="6"/>
      <c r="SEH87" s="6"/>
      <c r="SEI87" s="6"/>
      <c r="SEJ87" s="6"/>
      <c r="SEK87" s="6"/>
      <c r="SEL87" s="6"/>
      <c r="SEM87" s="6"/>
      <c r="SEN87" s="6"/>
      <c r="SEO87" s="6"/>
      <c r="SEP87" s="6"/>
      <c r="SEQ87" s="6"/>
      <c r="SER87" s="6"/>
      <c r="SES87" s="6"/>
      <c r="SET87" s="6"/>
      <c r="SEU87" s="6"/>
      <c r="SEV87" s="6"/>
      <c r="SEW87" s="6"/>
      <c r="SEX87" s="6"/>
      <c r="SEY87" s="6"/>
      <c r="SEZ87" s="6"/>
      <c r="SFA87" s="6"/>
      <c r="SFB87" s="6"/>
      <c r="SFC87" s="6"/>
      <c r="SFD87" s="6"/>
      <c r="SFE87" s="6"/>
      <c r="SFF87" s="6"/>
      <c r="SFG87" s="6"/>
      <c r="SFH87" s="6"/>
      <c r="SFI87" s="6"/>
      <c r="SFJ87" s="6"/>
      <c r="SFK87" s="6"/>
      <c r="SFL87" s="6"/>
      <c r="SFM87" s="6"/>
      <c r="SFN87" s="6"/>
      <c r="SFO87" s="6"/>
      <c r="SFP87" s="6"/>
      <c r="SFQ87" s="6"/>
      <c r="SFR87" s="6"/>
      <c r="SFS87" s="6"/>
      <c r="SFT87" s="6"/>
      <c r="SFU87" s="6"/>
      <c r="SFV87" s="6"/>
      <c r="SFW87" s="6"/>
      <c r="SFX87" s="6"/>
      <c r="SFY87" s="6"/>
      <c r="SFZ87" s="6"/>
      <c r="SGA87" s="6"/>
      <c r="SGB87" s="6"/>
      <c r="SGC87" s="6"/>
      <c r="SGD87" s="6"/>
      <c r="SGE87" s="6"/>
      <c r="SGF87" s="6"/>
      <c r="SGG87" s="6"/>
      <c r="SGH87" s="6"/>
      <c r="SGI87" s="6"/>
      <c r="SGJ87" s="6"/>
      <c r="SGK87" s="6"/>
      <c r="SGL87" s="6"/>
      <c r="SGM87" s="6"/>
      <c r="SGN87" s="6"/>
      <c r="SGO87" s="6"/>
      <c r="SGP87" s="6"/>
      <c r="SGQ87" s="6"/>
      <c r="SGR87" s="6"/>
      <c r="SGS87" s="6"/>
      <c r="SGT87" s="6"/>
      <c r="SGU87" s="6"/>
      <c r="SGV87" s="6"/>
      <c r="SGW87" s="6"/>
      <c r="SGX87" s="6"/>
      <c r="SGY87" s="6"/>
      <c r="SGZ87" s="6"/>
      <c r="SHA87" s="6"/>
      <c r="SHB87" s="6"/>
      <c r="SHC87" s="6"/>
      <c r="SHD87" s="6"/>
      <c r="SHE87" s="6"/>
      <c r="SHF87" s="6"/>
      <c r="SHG87" s="6"/>
      <c r="SHH87" s="6"/>
      <c r="SHI87" s="6"/>
      <c r="SHJ87" s="6"/>
      <c r="SHK87" s="6"/>
      <c r="SHL87" s="6"/>
      <c r="SHM87" s="6"/>
      <c r="SHN87" s="6"/>
      <c r="SHO87" s="6"/>
      <c r="SHP87" s="6"/>
      <c r="SHQ87" s="6"/>
      <c r="SHR87" s="6"/>
      <c r="SHS87" s="6"/>
      <c r="SHT87" s="6"/>
      <c r="SHU87" s="6"/>
      <c r="SHV87" s="6"/>
      <c r="SHW87" s="6"/>
      <c r="SHX87" s="6"/>
      <c r="SHY87" s="6"/>
      <c r="SHZ87" s="6"/>
      <c r="SIA87" s="6"/>
      <c r="SIB87" s="6"/>
      <c r="SIC87" s="6"/>
      <c r="SID87" s="6"/>
      <c r="SIE87" s="6"/>
      <c r="SIF87" s="6"/>
      <c r="SIG87" s="6"/>
      <c r="SIH87" s="6"/>
      <c r="SII87" s="6"/>
      <c r="SIJ87" s="6"/>
      <c r="SIK87" s="6"/>
      <c r="SIL87" s="6"/>
      <c r="SIM87" s="6"/>
      <c r="SIN87" s="6"/>
      <c r="SIO87" s="6"/>
      <c r="SIP87" s="6"/>
      <c r="SIQ87" s="6"/>
      <c r="SIR87" s="6"/>
      <c r="SIS87" s="6"/>
      <c r="SIT87" s="6"/>
      <c r="SIU87" s="6"/>
      <c r="SIV87" s="6"/>
      <c r="SIW87" s="6"/>
      <c r="SIX87" s="6"/>
      <c r="SIY87" s="6"/>
      <c r="SIZ87" s="6"/>
      <c r="SJA87" s="6"/>
      <c r="SJB87" s="6"/>
      <c r="SJC87" s="6"/>
      <c r="SJD87" s="6"/>
      <c r="SJE87" s="6"/>
      <c r="SJF87" s="6"/>
      <c r="SJG87" s="6"/>
      <c r="SJH87" s="6"/>
      <c r="SJI87" s="6"/>
      <c r="SJJ87" s="6"/>
      <c r="SJK87" s="6"/>
      <c r="SJL87" s="6"/>
      <c r="SJM87" s="6"/>
      <c r="SJN87" s="6"/>
      <c r="SJO87" s="6"/>
      <c r="SJP87" s="6"/>
      <c r="SJQ87" s="6"/>
      <c r="SJR87" s="6"/>
      <c r="SJS87" s="6"/>
      <c r="SJT87" s="6"/>
      <c r="SJU87" s="6"/>
      <c r="SJV87" s="6"/>
      <c r="SJW87" s="6"/>
      <c r="SJX87" s="6"/>
      <c r="SJY87" s="6"/>
      <c r="SJZ87" s="6"/>
      <c r="SKA87" s="6"/>
      <c r="SKB87" s="6"/>
      <c r="SKC87" s="6"/>
      <c r="SKD87" s="6"/>
      <c r="SKE87" s="6"/>
      <c r="SKF87" s="6"/>
      <c r="SKG87" s="6"/>
      <c r="SKH87" s="6"/>
      <c r="SKI87" s="6"/>
      <c r="SKJ87" s="6"/>
      <c r="SKK87" s="6"/>
      <c r="SKL87" s="6"/>
      <c r="SKM87" s="6"/>
      <c r="SKN87" s="6"/>
      <c r="SKO87" s="6"/>
      <c r="SKP87" s="6"/>
      <c r="SKQ87" s="6"/>
      <c r="SKR87" s="6"/>
      <c r="SKS87" s="6"/>
      <c r="SKT87" s="6"/>
      <c r="SKU87" s="6"/>
      <c r="SKV87" s="6"/>
      <c r="SKW87" s="6"/>
      <c r="SKX87" s="6"/>
      <c r="SKY87" s="6"/>
      <c r="SKZ87" s="6"/>
      <c r="SLA87" s="6"/>
      <c r="SLB87" s="6"/>
      <c r="SLC87" s="6"/>
      <c r="SLD87" s="6"/>
      <c r="SLE87" s="6"/>
      <c r="SLF87" s="6"/>
      <c r="SLG87" s="6"/>
      <c r="SLH87" s="6"/>
      <c r="SLI87" s="6"/>
      <c r="SLJ87" s="6"/>
      <c r="SLK87" s="6"/>
      <c r="SLL87" s="6"/>
      <c r="SLM87" s="6"/>
      <c r="SLN87" s="6"/>
      <c r="SLO87" s="6"/>
      <c r="SLP87" s="6"/>
      <c r="SLQ87" s="6"/>
      <c r="SLR87" s="6"/>
      <c r="SLS87" s="6"/>
      <c r="SLT87" s="6"/>
      <c r="SLU87" s="6"/>
      <c r="SLV87" s="6"/>
      <c r="SLW87" s="6"/>
      <c r="SLX87" s="6"/>
      <c r="SLY87" s="6"/>
      <c r="SLZ87" s="6"/>
      <c r="SMA87" s="6"/>
      <c r="SMB87" s="6"/>
      <c r="SMC87" s="6"/>
      <c r="SMD87" s="6"/>
      <c r="SME87" s="6"/>
      <c r="SMF87" s="6"/>
      <c r="SMG87" s="6"/>
      <c r="SMH87" s="6"/>
      <c r="SMI87" s="6"/>
      <c r="SMJ87" s="6"/>
      <c r="SMK87" s="6"/>
      <c r="SML87" s="6"/>
      <c r="SMM87" s="6"/>
      <c r="SMN87" s="6"/>
      <c r="SMO87" s="6"/>
      <c r="SMP87" s="6"/>
      <c r="SMQ87" s="6"/>
      <c r="SMR87" s="6"/>
      <c r="SMS87" s="6"/>
      <c r="SMT87" s="6"/>
      <c r="SMU87" s="6"/>
      <c r="SMV87" s="6"/>
      <c r="SMW87" s="6"/>
      <c r="SMX87" s="6"/>
      <c r="SMY87" s="6"/>
      <c r="SMZ87" s="6"/>
      <c r="SNA87" s="6"/>
      <c r="SNB87" s="6"/>
      <c r="SNC87" s="6"/>
      <c r="SND87" s="6"/>
      <c r="SNE87" s="6"/>
      <c r="SNF87" s="6"/>
      <c r="SNG87" s="6"/>
      <c r="SNH87" s="6"/>
      <c r="SNI87" s="6"/>
      <c r="SNJ87" s="6"/>
      <c r="SNK87" s="6"/>
      <c r="SNL87" s="6"/>
      <c r="SNM87" s="6"/>
      <c r="SNN87" s="6"/>
      <c r="SNO87" s="6"/>
      <c r="SNP87" s="6"/>
      <c r="SNQ87" s="6"/>
      <c r="SNR87" s="6"/>
      <c r="SNS87" s="6"/>
      <c r="SNT87" s="6"/>
      <c r="SNU87" s="6"/>
      <c r="SNV87" s="6"/>
      <c r="SNW87" s="6"/>
      <c r="SNX87" s="6"/>
      <c r="SNY87" s="6"/>
      <c r="SNZ87" s="6"/>
      <c r="SOA87" s="6"/>
      <c r="SOB87" s="6"/>
      <c r="SOC87" s="6"/>
      <c r="SOD87" s="6"/>
      <c r="SOE87" s="6"/>
      <c r="SOF87" s="6"/>
      <c r="SOG87" s="6"/>
      <c r="SOH87" s="6"/>
      <c r="SOI87" s="6"/>
      <c r="SOJ87" s="6"/>
      <c r="SOK87" s="6"/>
      <c r="SOL87" s="6"/>
      <c r="SOM87" s="6"/>
      <c r="SON87" s="6"/>
      <c r="SOO87" s="6"/>
      <c r="SOP87" s="6"/>
      <c r="SOQ87" s="6"/>
      <c r="SOR87" s="6"/>
      <c r="SOS87" s="6"/>
      <c r="SOT87" s="6"/>
      <c r="SOU87" s="6"/>
      <c r="SOV87" s="6"/>
      <c r="SOW87" s="6"/>
      <c r="SOX87" s="6"/>
      <c r="SOY87" s="6"/>
      <c r="SOZ87" s="6"/>
      <c r="SPA87" s="6"/>
      <c r="SPB87" s="6"/>
      <c r="SPC87" s="6"/>
      <c r="SPD87" s="6"/>
      <c r="SPE87" s="6"/>
      <c r="SPF87" s="6"/>
      <c r="SPG87" s="6"/>
      <c r="SPH87" s="6"/>
      <c r="SPI87" s="6"/>
      <c r="SPJ87" s="6"/>
      <c r="SPK87" s="6"/>
      <c r="SPL87" s="6"/>
      <c r="SPM87" s="6"/>
      <c r="SPN87" s="6"/>
      <c r="SPO87" s="6"/>
      <c r="SPP87" s="6"/>
      <c r="SPQ87" s="6"/>
      <c r="SPR87" s="6"/>
      <c r="SPS87" s="6"/>
      <c r="SPT87" s="6"/>
      <c r="SPU87" s="6"/>
      <c r="SPV87" s="6"/>
      <c r="SPW87" s="6"/>
      <c r="SPX87" s="6"/>
      <c r="SPY87" s="6"/>
      <c r="SPZ87" s="6"/>
      <c r="SQA87" s="6"/>
      <c r="SQB87" s="6"/>
      <c r="SQC87" s="6"/>
      <c r="SQD87" s="6"/>
      <c r="SQE87" s="6"/>
      <c r="SQF87" s="6"/>
      <c r="SQG87" s="6"/>
      <c r="SQH87" s="6"/>
      <c r="SQI87" s="6"/>
      <c r="SQJ87" s="6"/>
      <c r="SQK87" s="6"/>
      <c r="SQL87" s="6"/>
      <c r="SQM87" s="6"/>
      <c r="SQN87" s="6"/>
      <c r="SQO87" s="6"/>
      <c r="SQP87" s="6"/>
      <c r="SQQ87" s="6"/>
      <c r="SQR87" s="6"/>
      <c r="SQS87" s="6"/>
      <c r="SQT87" s="6"/>
      <c r="SQU87" s="6"/>
      <c r="SQV87" s="6"/>
      <c r="SQW87" s="6"/>
      <c r="SQX87" s="6"/>
      <c r="SQY87" s="6"/>
      <c r="SQZ87" s="6"/>
      <c r="SRA87" s="6"/>
      <c r="SRB87" s="6"/>
      <c r="SRC87" s="6"/>
      <c r="SRD87" s="6"/>
      <c r="SRE87" s="6"/>
      <c r="SRF87" s="6"/>
      <c r="SRG87" s="6"/>
      <c r="SRH87" s="6"/>
      <c r="SRI87" s="6"/>
      <c r="SRJ87" s="6"/>
      <c r="SRK87" s="6"/>
      <c r="SRL87" s="6"/>
      <c r="SRM87" s="6"/>
      <c r="SRN87" s="6"/>
      <c r="SRO87" s="6"/>
      <c r="SRP87" s="6"/>
      <c r="SRQ87" s="6"/>
      <c r="SRR87" s="6"/>
      <c r="SRS87" s="6"/>
      <c r="SRT87" s="6"/>
      <c r="SRU87" s="6"/>
      <c r="SRV87" s="6"/>
      <c r="SRW87" s="6"/>
      <c r="SRX87" s="6"/>
      <c r="SRY87" s="6"/>
      <c r="SRZ87" s="6"/>
      <c r="SSA87" s="6"/>
      <c r="SSB87" s="6"/>
      <c r="SSC87" s="6"/>
      <c r="SSD87" s="6"/>
      <c r="SSE87" s="6"/>
      <c r="SSF87" s="6"/>
      <c r="SSG87" s="6"/>
      <c r="SSH87" s="6"/>
      <c r="SSI87" s="6"/>
      <c r="SSJ87" s="6"/>
      <c r="SSK87" s="6"/>
      <c r="SSL87" s="6"/>
      <c r="SSM87" s="6"/>
      <c r="SSN87" s="6"/>
      <c r="SSO87" s="6"/>
      <c r="SSP87" s="6"/>
      <c r="SSQ87" s="6"/>
      <c r="SSR87" s="6"/>
      <c r="SSS87" s="6"/>
      <c r="SST87" s="6"/>
      <c r="SSU87" s="6"/>
      <c r="SSV87" s="6"/>
      <c r="SSW87" s="6"/>
      <c r="SSX87" s="6"/>
      <c r="SSY87" s="6"/>
      <c r="SSZ87" s="6"/>
      <c r="STA87" s="6"/>
      <c r="STB87" s="6"/>
      <c r="STC87" s="6"/>
      <c r="STD87" s="6"/>
      <c r="STE87" s="6"/>
      <c r="STF87" s="6"/>
      <c r="STG87" s="6"/>
      <c r="STH87" s="6"/>
      <c r="STI87" s="6"/>
      <c r="STJ87" s="6"/>
      <c r="STK87" s="6"/>
      <c r="STL87" s="6"/>
      <c r="STM87" s="6"/>
      <c r="STN87" s="6"/>
      <c r="STO87" s="6"/>
      <c r="STP87" s="6"/>
      <c r="STQ87" s="6"/>
      <c r="STR87" s="6"/>
      <c r="STS87" s="6"/>
      <c r="STT87" s="6"/>
      <c r="STU87" s="6"/>
      <c r="STV87" s="6"/>
      <c r="STW87" s="6"/>
      <c r="STX87" s="6"/>
      <c r="STY87" s="6"/>
      <c r="STZ87" s="6"/>
      <c r="SUA87" s="6"/>
      <c r="SUB87" s="6"/>
      <c r="SUC87" s="6"/>
      <c r="SUD87" s="6"/>
      <c r="SUE87" s="6"/>
      <c r="SUF87" s="6"/>
      <c r="SUG87" s="6"/>
      <c r="SUH87" s="6"/>
      <c r="SUI87" s="6"/>
      <c r="SUJ87" s="6"/>
      <c r="SUK87" s="6"/>
      <c r="SUL87" s="6"/>
      <c r="SUM87" s="6"/>
      <c r="SUN87" s="6"/>
      <c r="SUO87" s="6"/>
      <c r="SUP87" s="6"/>
      <c r="SUQ87" s="6"/>
      <c r="SUR87" s="6"/>
      <c r="SUS87" s="6"/>
      <c r="SUT87" s="6"/>
      <c r="SUU87" s="6"/>
      <c r="SUV87" s="6"/>
      <c r="SUW87" s="6"/>
      <c r="SUX87" s="6"/>
      <c r="SUY87" s="6"/>
      <c r="SUZ87" s="6"/>
      <c r="SVA87" s="6"/>
      <c r="SVB87" s="6"/>
      <c r="SVC87" s="6"/>
      <c r="SVD87" s="6"/>
      <c r="SVE87" s="6"/>
      <c r="SVF87" s="6"/>
      <c r="SVG87" s="6"/>
      <c r="SVH87" s="6"/>
      <c r="SVI87" s="6"/>
      <c r="SVJ87" s="6"/>
      <c r="SVK87" s="6"/>
      <c r="SVL87" s="6"/>
      <c r="SVM87" s="6"/>
      <c r="SVN87" s="6"/>
      <c r="SVO87" s="6"/>
      <c r="SVP87" s="6"/>
      <c r="SVQ87" s="6"/>
      <c r="SVR87" s="6"/>
      <c r="SVS87" s="6"/>
      <c r="SVT87" s="6"/>
      <c r="SVU87" s="6"/>
      <c r="SVV87" s="6"/>
      <c r="SVW87" s="6"/>
      <c r="SVX87" s="6"/>
      <c r="SVY87" s="6"/>
      <c r="SVZ87" s="6"/>
      <c r="SWA87" s="6"/>
      <c r="SWB87" s="6"/>
      <c r="SWC87" s="6"/>
      <c r="SWD87" s="6"/>
      <c r="SWE87" s="6"/>
      <c r="SWF87" s="6"/>
      <c r="SWG87" s="6"/>
      <c r="SWH87" s="6"/>
      <c r="SWI87" s="6"/>
      <c r="SWJ87" s="6"/>
      <c r="SWK87" s="6"/>
      <c r="SWL87" s="6"/>
      <c r="SWM87" s="6"/>
      <c r="SWN87" s="6"/>
      <c r="SWO87" s="6"/>
      <c r="SWP87" s="6"/>
      <c r="SWQ87" s="6"/>
      <c r="SWR87" s="6"/>
      <c r="SWS87" s="6"/>
      <c r="SWT87" s="6"/>
      <c r="SWU87" s="6"/>
      <c r="SWV87" s="6"/>
      <c r="SWW87" s="6"/>
      <c r="SWX87" s="6"/>
      <c r="SWY87" s="6"/>
      <c r="SWZ87" s="6"/>
      <c r="SXA87" s="6"/>
      <c r="SXB87" s="6"/>
      <c r="SXC87" s="6"/>
      <c r="SXD87" s="6"/>
      <c r="SXE87" s="6"/>
      <c r="SXF87" s="6"/>
      <c r="SXG87" s="6"/>
      <c r="SXH87" s="6"/>
      <c r="SXI87" s="6"/>
      <c r="SXJ87" s="6"/>
      <c r="SXK87" s="6"/>
      <c r="SXL87" s="6"/>
      <c r="SXM87" s="6"/>
      <c r="SXN87" s="6"/>
      <c r="SXO87" s="6"/>
      <c r="SXP87" s="6"/>
      <c r="SXQ87" s="6"/>
      <c r="SXR87" s="6"/>
      <c r="SXS87" s="6"/>
      <c r="SXT87" s="6"/>
      <c r="SXU87" s="6"/>
      <c r="SXV87" s="6"/>
      <c r="SXW87" s="6"/>
      <c r="SXX87" s="6"/>
      <c r="SXY87" s="6"/>
      <c r="SXZ87" s="6"/>
      <c r="SYA87" s="6"/>
      <c r="SYB87" s="6"/>
      <c r="SYC87" s="6"/>
      <c r="SYD87" s="6"/>
      <c r="SYE87" s="6"/>
      <c r="SYF87" s="6"/>
      <c r="SYG87" s="6"/>
      <c r="SYH87" s="6"/>
      <c r="SYI87" s="6"/>
      <c r="SYJ87" s="6"/>
      <c r="SYK87" s="6"/>
      <c r="SYL87" s="6"/>
      <c r="SYM87" s="6"/>
      <c r="SYN87" s="6"/>
      <c r="SYO87" s="6"/>
      <c r="SYP87" s="6"/>
      <c r="SYQ87" s="6"/>
      <c r="SYR87" s="6"/>
      <c r="SYS87" s="6"/>
      <c r="SYT87" s="6"/>
      <c r="SYU87" s="6"/>
      <c r="SYV87" s="6"/>
      <c r="SYW87" s="6"/>
      <c r="SYX87" s="6"/>
      <c r="SYY87" s="6"/>
      <c r="SYZ87" s="6"/>
      <c r="SZA87" s="6"/>
      <c r="SZB87" s="6"/>
      <c r="SZC87" s="6"/>
      <c r="SZD87" s="6"/>
      <c r="SZE87" s="6"/>
      <c r="SZF87" s="6"/>
      <c r="SZG87" s="6"/>
      <c r="SZH87" s="6"/>
      <c r="SZI87" s="6"/>
      <c r="SZJ87" s="6"/>
      <c r="SZK87" s="6"/>
      <c r="SZL87" s="6"/>
      <c r="SZM87" s="6"/>
      <c r="SZN87" s="6"/>
      <c r="SZO87" s="6"/>
      <c r="SZP87" s="6"/>
      <c r="SZQ87" s="6"/>
      <c r="SZR87" s="6"/>
      <c r="SZS87" s="6"/>
      <c r="SZT87" s="6"/>
      <c r="SZU87" s="6"/>
      <c r="SZV87" s="6"/>
      <c r="SZW87" s="6"/>
      <c r="SZX87" s="6"/>
      <c r="SZY87" s="6"/>
      <c r="SZZ87" s="6"/>
      <c r="TAA87" s="6"/>
      <c r="TAB87" s="6"/>
      <c r="TAC87" s="6"/>
      <c r="TAD87" s="6"/>
      <c r="TAE87" s="6"/>
      <c r="TAF87" s="6"/>
      <c r="TAG87" s="6"/>
      <c r="TAH87" s="6"/>
      <c r="TAI87" s="6"/>
      <c r="TAJ87" s="6"/>
      <c r="TAK87" s="6"/>
      <c r="TAL87" s="6"/>
      <c r="TAM87" s="6"/>
      <c r="TAN87" s="6"/>
      <c r="TAO87" s="6"/>
      <c r="TAP87" s="6"/>
      <c r="TAQ87" s="6"/>
      <c r="TAR87" s="6"/>
      <c r="TAS87" s="6"/>
      <c r="TAT87" s="6"/>
      <c r="TAU87" s="6"/>
      <c r="TAV87" s="6"/>
      <c r="TAW87" s="6"/>
      <c r="TAX87" s="6"/>
      <c r="TAY87" s="6"/>
      <c r="TAZ87" s="6"/>
      <c r="TBA87" s="6"/>
      <c r="TBB87" s="6"/>
      <c r="TBC87" s="6"/>
      <c r="TBD87" s="6"/>
      <c r="TBE87" s="6"/>
      <c r="TBF87" s="6"/>
      <c r="TBG87" s="6"/>
      <c r="TBH87" s="6"/>
      <c r="TBI87" s="6"/>
      <c r="TBJ87" s="6"/>
      <c r="TBK87" s="6"/>
      <c r="TBL87" s="6"/>
      <c r="TBM87" s="6"/>
      <c r="TBN87" s="6"/>
      <c r="TBO87" s="6"/>
      <c r="TBP87" s="6"/>
      <c r="TBQ87" s="6"/>
      <c r="TBR87" s="6"/>
      <c r="TBS87" s="6"/>
      <c r="TBT87" s="6"/>
      <c r="TBU87" s="6"/>
      <c r="TBV87" s="6"/>
      <c r="TBW87" s="6"/>
      <c r="TBX87" s="6"/>
      <c r="TBY87" s="6"/>
      <c r="TBZ87" s="6"/>
      <c r="TCA87" s="6"/>
      <c r="TCB87" s="6"/>
      <c r="TCC87" s="6"/>
      <c r="TCD87" s="6"/>
      <c r="TCE87" s="6"/>
      <c r="TCF87" s="6"/>
      <c r="TCG87" s="6"/>
      <c r="TCH87" s="6"/>
      <c r="TCI87" s="6"/>
      <c r="TCJ87" s="6"/>
      <c r="TCK87" s="6"/>
      <c r="TCL87" s="6"/>
      <c r="TCM87" s="6"/>
      <c r="TCN87" s="6"/>
      <c r="TCO87" s="6"/>
      <c r="TCP87" s="6"/>
      <c r="TCQ87" s="6"/>
      <c r="TCR87" s="6"/>
      <c r="TCS87" s="6"/>
      <c r="TCT87" s="6"/>
      <c r="TCU87" s="6"/>
      <c r="TCV87" s="6"/>
      <c r="TCW87" s="6"/>
      <c r="TCX87" s="6"/>
      <c r="TCY87" s="6"/>
      <c r="TCZ87" s="6"/>
      <c r="TDA87" s="6"/>
      <c r="TDB87" s="6"/>
      <c r="TDC87" s="6"/>
      <c r="TDD87" s="6"/>
      <c r="TDE87" s="6"/>
      <c r="TDF87" s="6"/>
      <c r="TDG87" s="6"/>
      <c r="TDH87" s="6"/>
      <c r="TDI87" s="6"/>
      <c r="TDJ87" s="6"/>
      <c r="TDK87" s="6"/>
      <c r="TDL87" s="6"/>
      <c r="TDM87" s="6"/>
      <c r="TDN87" s="6"/>
      <c r="TDO87" s="6"/>
      <c r="TDP87" s="6"/>
      <c r="TDQ87" s="6"/>
      <c r="TDR87" s="6"/>
      <c r="TDS87" s="6"/>
      <c r="TDT87" s="6"/>
      <c r="TDU87" s="6"/>
      <c r="TDV87" s="6"/>
      <c r="TDW87" s="6"/>
      <c r="TDX87" s="6"/>
      <c r="TDY87" s="6"/>
      <c r="TDZ87" s="6"/>
      <c r="TEA87" s="6"/>
      <c r="TEB87" s="6"/>
      <c r="TEC87" s="6"/>
      <c r="TED87" s="6"/>
      <c r="TEE87" s="6"/>
      <c r="TEF87" s="6"/>
      <c r="TEG87" s="6"/>
      <c r="TEH87" s="6"/>
      <c r="TEI87" s="6"/>
      <c r="TEJ87" s="6"/>
      <c r="TEK87" s="6"/>
      <c r="TEL87" s="6"/>
      <c r="TEM87" s="6"/>
      <c r="TEN87" s="6"/>
      <c r="TEO87" s="6"/>
      <c r="TEP87" s="6"/>
      <c r="TEQ87" s="6"/>
      <c r="TER87" s="6"/>
      <c r="TES87" s="6"/>
      <c r="TET87" s="6"/>
      <c r="TEU87" s="6"/>
      <c r="TEV87" s="6"/>
      <c r="TEW87" s="6"/>
      <c r="TEX87" s="6"/>
      <c r="TEY87" s="6"/>
      <c r="TEZ87" s="6"/>
      <c r="TFA87" s="6"/>
      <c r="TFB87" s="6"/>
      <c r="TFC87" s="6"/>
      <c r="TFD87" s="6"/>
      <c r="TFE87" s="6"/>
      <c r="TFF87" s="6"/>
      <c r="TFG87" s="6"/>
      <c r="TFH87" s="6"/>
      <c r="TFI87" s="6"/>
      <c r="TFJ87" s="6"/>
      <c r="TFK87" s="6"/>
      <c r="TFL87" s="6"/>
      <c r="TFM87" s="6"/>
      <c r="TFN87" s="6"/>
      <c r="TFO87" s="6"/>
      <c r="TFP87" s="6"/>
      <c r="TFQ87" s="6"/>
      <c r="TFR87" s="6"/>
      <c r="TFS87" s="6"/>
      <c r="TFT87" s="6"/>
      <c r="TFU87" s="6"/>
      <c r="TFV87" s="6"/>
      <c r="TFW87" s="6"/>
      <c r="TFX87" s="6"/>
      <c r="TFY87" s="6"/>
      <c r="TFZ87" s="6"/>
      <c r="TGA87" s="6"/>
      <c r="TGB87" s="6"/>
      <c r="TGC87" s="6"/>
      <c r="TGD87" s="6"/>
      <c r="TGE87" s="6"/>
      <c r="TGF87" s="6"/>
      <c r="TGG87" s="6"/>
      <c r="TGH87" s="6"/>
      <c r="TGI87" s="6"/>
      <c r="TGJ87" s="6"/>
      <c r="TGK87" s="6"/>
      <c r="TGL87" s="6"/>
      <c r="TGM87" s="6"/>
      <c r="TGN87" s="6"/>
      <c r="TGO87" s="6"/>
      <c r="TGP87" s="6"/>
      <c r="TGQ87" s="6"/>
      <c r="TGR87" s="6"/>
      <c r="TGS87" s="6"/>
      <c r="TGT87" s="6"/>
      <c r="TGU87" s="6"/>
      <c r="TGV87" s="6"/>
      <c r="TGW87" s="6"/>
      <c r="TGX87" s="6"/>
      <c r="TGY87" s="6"/>
      <c r="TGZ87" s="6"/>
      <c r="THA87" s="6"/>
      <c r="THB87" s="6"/>
      <c r="THC87" s="6"/>
      <c r="THD87" s="6"/>
      <c r="THE87" s="6"/>
      <c r="THF87" s="6"/>
      <c r="THG87" s="6"/>
      <c r="THH87" s="6"/>
      <c r="THI87" s="6"/>
      <c r="THJ87" s="6"/>
      <c r="THK87" s="6"/>
      <c r="THL87" s="6"/>
      <c r="THM87" s="6"/>
      <c r="THN87" s="6"/>
      <c r="THO87" s="6"/>
      <c r="THP87" s="6"/>
      <c r="THQ87" s="6"/>
      <c r="THR87" s="6"/>
      <c r="THS87" s="6"/>
      <c r="THT87" s="6"/>
      <c r="THU87" s="6"/>
      <c r="THV87" s="6"/>
      <c r="THW87" s="6"/>
      <c r="THX87" s="6"/>
      <c r="THY87" s="6"/>
      <c r="THZ87" s="6"/>
      <c r="TIA87" s="6"/>
      <c r="TIB87" s="6"/>
      <c r="TIC87" s="6"/>
      <c r="TID87" s="6"/>
      <c r="TIE87" s="6"/>
      <c r="TIF87" s="6"/>
      <c r="TIG87" s="6"/>
      <c r="TIH87" s="6"/>
      <c r="TII87" s="6"/>
      <c r="TIJ87" s="6"/>
      <c r="TIK87" s="6"/>
      <c r="TIL87" s="6"/>
      <c r="TIM87" s="6"/>
      <c r="TIN87" s="6"/>
      <c r="TIO87" s="6"/>
      <c r="TIP87" s="6"/>
      <c r="TIQ87" s="6"/>
      <c r="TIR87" s="6"/>
      <c r="TIS87" s="6"/>
      <c r="TIT87" s="6"/>
      <c r="TIU87" s="6"/>
      <c r="TIV87" s="6"/>
      <c r="TIW87" s="6"/>
      <c r="TIX87" s="6"/>
      <c r="TIY87" s="6"/>
      <c r="TIZ87" s="6"/>
      <c r="TJA87" s="6"/>
      <c r="TJB87" s="6"/>
      <c r="TJC87" s="6"/>
      <c r="TJD87" s="6"/>
      <c r="TJE87" s="6"/>
      <c r="TJF87" s="6"/>
      <c r="TJG87" s="6"/>
      <c r="TJH87" s="6"/>
      <c r="TJI87" s="6"/>
      <c r="TJJ87" s="6"/>
      <c r="TJK87" s="6"/>
      <c r="TJL87" s="6"/>
      <c r="TJM87" s="6"/>
      <c r="TJN87" s="6"/>
      <c r="TJO87" s="6"/>
      <c r="TJP87" s="6"/>
      <c r="TJQ87" s="6"/>
      <c r="TJR87" s="6"/>
      <c r="TJS87" s="6"/>
      <c r="TJT87" s="6"/>
      <c r="TJU87" s="6"/>
      <c r="TJV87" s="6"/>
      <c r="TJW87" s="6"/>
      <c r="TJX87" s="6"/>
      <c r="TJY87" s="6"/>
      <c r="TJZ87" s="6"/>
      <c r="TKA87" s="6"/>
      <c r="TKB87" s="6"/>
      <c r="TKC87" s="6"/>
      <c r="TKD87" s="6"/>
      <c r="TKE87" s="6"/>
      <c r="TKF87" s="6"/>
      <c r="TKG87" s="6"/>
      <c r="TKH87" s="6"/>
      <c r="TKI87" s="6"/>
      <c r="TKJ87" s="6"/>
      <c r="TKK87" s="6"/>
      <c r="TKL87" s="6"/>
      <c r="TKM87" s="6"/>
      <c r="TKN87" s="6"/>
      <c r="TKO87" s="6"/>
      <c r="TKP87" s="6"/>
      <c r="TKQ87" s="6"/>
      <c r="TKR87" s="6"/>
      <c r="TKS87" s="6"/>
      <c r="TKT87" s="6"/>
      <c r="TKU87" s="6"/>
      <c r="TKV87" s="6"/>
      <c r="TKW87" s="6"/>
      <c r="TKX87" s="6"/>
      <c r="TKY87" s="6"/>
      <c r="TKZ87" s="6"/>
      <c r="TLA87" s="6"/>
      <c r="TLB87" s="6"/>
      <c r="TLC87" s="6"/>
      <c r="TLD87" s="6"/>
      <c r="TLE87" s="6"/>
      <c r="TLF87" s="6"/>
      <c r="TLG87" s="6"/>
      <c r="TLH87" s="6"/>
      <c r="TLI87" s="6"/>
      <c r="TLJ87" s="6"/>
      <c r="TLK87" s="6"/>
      <c r="TLL87" s="6"/>
      <c r="TLM87" s="6"/>
      <c r="TLN87" s="6"/>
      <c r="TLO87" s="6"/>
      <c r="TLP87" s="6"/>
      <c r="TLQ87" s="6"/>
      <c r="TLR87" s="6"/>
      <c r="TLS87" s="6"/>
      <c r="TLT87" s="6"/>
      <c r="TLU87" s="6"/>
      <c r="TLV87" s="6"/>
      <c r="TLW87" s="6"/>
      <c r="TLX87" s="6"/>
      <c r="TLY87" s="6"/>
      <c r="TLZ87" s="6"/>
      <c r="TMA87" s="6"/>
      <c r="TMB87" s="6"/>
      <c r="TMC87" s="6"/>
      <c r="TMD87" s="6"/>
      <c r="TME87" s="6"/>
      <c r="TMF87" s="6"/>
      <c r="TMG87" s="6"/>
      <c r="TMH87" s="6"/>
      <c r="TMI87" s="6"/>
      <c r="TMJ87" s="6"/>
      <c r="TMK87" s="6"/>
      <c r="TML87" s="6"/>
      <c r="TMM87" s="6"/>
      <c r="TMN87" s="6"/>
      <c r="TMO87" s="6"/>
      <c r="TMP87" s="6"/>
      <c r="TMQ87" s="6"/>
      <c r="TMR87" s="6"/>
      <c r="TMS87" s="6"/>
      <c r="TMT87" s="6"/>
      <c r="TMU87" s="6"/>
      <c r="TMV87" s="6"/>
      <c r="TMW87" s="6"/>
      <c r="TMX87" s="6"/>
      <c r="TMY87" s="6"/>
      <c r="TMZ87" s="6"/>
      <c r="TNA87" s="6"/>
      <c r="TNB87" s="6"/>
      <c r="TNC87" s="6"/>
      <c r="TND87" s="6"/>
      <c r="TNE87" s="6"/>
      <c r="TNF87" s="6"/>
      <c r="TNG87" s="6"/>
      <c r="TNH87" s="6"/>
      <c r="TNI87" s="6"/>
      <c r="TNJ87" s="6"/>
      <c r="TNK87" s="6"/>
      <c r="TNL87" s="6"/>
      <c r="TNM87" s="6"/>
      <c r="TNN87" s="6"/>
      <c r="TNO87" s="6"/>
      <c r="TNP87" s="6"/>
      <c r="TNQ87" s="6"/>
      <c r="TNR87" s="6"/>
      <c r="TNS87" s="6"/>
      <c r="TNT87" s="6"/>
      <c r="TNU87" s="6"/>
      <c r="TNV87" s="6"/>
      <c r="TNW87" s="6"/>
      <c r="TNX87" s="6"/>
      <c r="TNY87" s="6"/>
      <c r="TNZ87" s="6"/>
      <c r="TOA87" s="6"/>
      <c r="TOB87" s="6"/>
      <c r="TOC87" s="6"/>
      <c r="TOD87" s="6"/>
      <c r="TOE87" s="6"/>
      <c r="TOF87" s="6"/>
      <c r="TOG87" s="6"/>
      <c r="TOH87" s="6"/>
      <c r="TOI87" s="6"/>
      <c r="TOJ87" s="6"/>
      <c r="TOK87" s="6"/>
      <c r="TOL87" s="6"/>
      <c r="TOM87" s="6"/>
      <c r="TON87" s="6"/>
      <c r="TOO87" s="6"/>
      <c r="TOP87" s="6"/>
      <c r="TOQ87" s="6"/>
      <c r="TOR87" s="6"/>
      <c r="TOS87" s="6"/>
      <c r="TOT87" s="6"/>
      <c r="TOU87" s="6"/>
      <c r="TOV87" s="6"/>
      <c r="TOW87" s="6"/>
      <c r="TOX87" s="6"/>
      <c r="TOY87" s="6"/>
      <c r="TOZ87" s="6"/>
      <c r="TPA87" s="6"/>
      <c r="TPB87" s="6"/>
      <c r="TPC87" s="6"/>
      <c r="TPD87" s="6"/>
      <c r="TPE87" s="6"/>
      <c r="TPF87" s="6"/>
      <c r="TPG87" s="6"/>
      <c r="TPH87" s="6"/>
      <c r="TPI87" s="6"/>
      <c r="TPJ87" s="6"/>
      <c r="TPK87" s="6"/>
      <c r="TPL87" s="6"/>
      <c r="TPM87" s="6"/>
      <c r="TPN87" s="6"/>
      <c r="TPO87" s="6"/>
      <c r="TPP87" s="6"/>
      <c r="TPQ87" s="6"/>
      <c r="TPR87" s="6"/>
      <c r="TPS87" s="6"/>
      <c r="TPT87" s="6"/>
      <c r="TPU87" s="6"/>
      <c r="TPV87" s="6"/>
      <c r="TPW87" s="6"/>
      <c r="TPX87" s="6"/>
      <c r="TPY87" s="6"/>
      <c r="TPZ87" s="6"/>
      <c r="TQA87" s="6"/>
      <c r="TQB87" s="6"/>
      <c r="TQC87" s="6"/>
      <c r="TQD87" s="6"/>
      <c r="TQE87" s="6"/>
      <c r="TQF87" s="6"/>
      <c r="TQG87" s="6"/>
      <c r="TQH87" s="6"/>
      <c r="TQI87" s="6"/>
      <c r="TQJ87" s="6"/>
      <c r="TQK87" s="6"/>
      <c r="TQL87" s="6"/>
      <c r="TQM87" s="6"/>
      <c r="TQN87" s="6"/>
      <c r="TQO87" s="6"/>
      <c r="TQP87" s="6"/>
      <c r="TQQ87" s="6"/>
      <c r="TQR87" s="6"/>
      <c r="TQS87" s="6"/>
      <c r="TQT87" s="6"/>
      <c r="TQU87" s="6"/>
      <c r="TQV87" s="6"/>
      <c r="TQW87" s="6"/>
      <c r="TQX87" s="6"/>
      <c r="TQY87" s="6"/>
      <c r="TQZ87" s="6"/>
      <c r="TRA87" s="6"/>
      <c r="TRB87" s="6"/>
      <c r="TRC87" s="6"/>
      <c r="TRD87" s="6"/>
      <c r="TRE87" s="6"/>
      <c r="TRF87" s="6"/>
      <c r="TRG87" s="6"/>
      <c r="TRH87" s="6"/>
      <c r="TRI87" s="6"/>
      <c r="TRJ87" s="6"/>
      <c r="TRK87" s="6"/>
      <c r="TRL87" s="6"/>
      <c r="TRM87" s="6"/>
      <c r="TRN87" s="6"/>
      <c r="TRO87" s="6"/>
      <c r="TRP87" s="6"/>
      <c r="TRQ87" s="6"/>
      <c r="TRR87" s="6"/>
      <c r="TRS87" s="6"/>
      <c r="TRT87" s="6"/>
      <c r="TRU87" s="6"/>
      <c r="TRV87" s="6"/>
      <c r="TRW87" s="6"/>
      <c r="TRX87" s="6"/>
      <c r="TRY87" s="6"/>
      <c r="TRZ87" s="6"/>
      <c r="TSA87" s="6"/>
      <c r="TSB87" s="6"/>
      <c r="TSC87" s="6"/>
      <c r="TSD87" s="6"/>
      <c r="TSE87" s="6"/>
      <c r="TSF87" s="6"/>
      <c r="TSG87" s="6"/>
      <c r="TSH87" s="6"/>
      <c r="TSI87" s="6"/>
      <c r="TSJ87" s="6"/>
      <c r="TSK87" s="6"/>
      <c r="TSL87" s="6"/>
      <c r="TSM87" s="6"/>
      <c r="TSN87" s="6"/>
      <c r="TSO87" s="6"/>
      <c r="TSP87" s="6"/>
      <c r="TSQ87" s="6"/>
      <c r="TSR87" s="6"/>
      <c r="TSS87" s="6"/>
      <c r="TST87" s="6"/>
      <c r="TSU87" s="6"/>
      <c r="TSV87" s="6"/>
      <c r="TSW87" s="6"/>
      <c r="TSX87" s="6"/>
      <c r="TSY87" s="6"/>
      <c r="TSZ87" s="6"/>
      <c r="TTA87" s="6"/>
      <c r="TTB87" s="6"/>
      <c r="TTC87" s="6"/>
      <c r="TTD87" s="6"/>
      <c r="TTE87" s="6"/>
      <c r="TTF87" s="6"/>
      <c r="TTG87" s="6"/>
      <c r="TTH87" s="6"/>
      <c r="TTI87" s="6"/>
      <c r="TTJ87" s="6"/>
      <c r="TTK87" s="6"/>
      <c r="TTL87" s="6"/>
      <c r="TTM87" s="6"/>
      <c r="TTN87" s="6"/>
      <c r="TTO87" s="6"/>
      <c r="TTP87" s="6"/>
      <c r="TTQ87" s="6"/>
      <c r="TTR87" s="6"/>
      <c r="TTS87" s="6"/>
      <c r="TTT87" s="6"/>
      <c r="TTU87" s="6"/>
      <c r="TTV87" s="6"/>
      <c r="TTW87" s="6"/>
      <c r="TTX87" s="6"/>
      <c r="TTY87" s="6"/>
      <c r="TTZ87" s="6"/>
      <c r="TUA87" s="6"/>
      <c r="TUB87" s="6"/>
      <c r="TUC87" s="6"/>
      <c r="TUD87" s="6"/>
      <c r="TUE87" s="6"/>
      <c r="TUF87" s="6"/>
      <c r="TUG87" s="6"/>
      <c r="TUH87" s="6"/>
      <c r="TUI87" s="6"/>
      <c r="TUJ87" s="6"/>
      <c r="TUK87" s="6"/>
      <c r="TUL87" s="6"/>
      <c r="TUM87" s="6"/>
      <c r="TUN87" s="6"/>
      <c r="TUO87" s="6"/>
      <c r="TUP87" s="6"/>
      <c r="TUQ87" s="6"/>
      <c r="TUR87" s="6"/>
      <c r="TUS87" s="6"/>
      <c r="TUT87" s="6"/>
      <c r="TUU87" s="6"/>
      <c r="TUV87" s="6"/>
      <c r="TUW87" s="6"/>
      <c r="TUX87" s="6"/>
      <c r="TUY87" s="6"/>
      <c r="TUZ87" s="6"/>
      <c r="TVA87" s="6"/>
      <c r="TVB87" s="6"/>
      <c r="TVC87" s="6"/>
      <c r="TVD87" s="6"/>
      <c r="TVE87" s="6"/>
      <c r="TVF87" s="6"/>
      <c r="TVG87" s="6"/>
      <c r="TVH87" s="6"/>
      <c r="TVI87" s="6"/>
      <c r="TVJ87" s="6"/>
      <c r="TVK87" s="6"/>
      <c r="TVL87" s="6"/>
      <c r="TVM87" s="6"/>
      <c r="TVN87" s="6"/>
      <c r="TVO87" s="6"/>
      <c r="TVP87" s="6"/>
      <c r="TVQ87" s="6"/>
      <c r="TVR87" s="6"/>
      <c r="TVS87" s="6"/>
      <c r="TVT87" s="6"/>
      <c r="TVU87" s="6"/>
      <c r="TVV87" s="6"/>
      <c r="TVW87" s="6"/>
      <c r="TVX87" s="6"/>
      <c r="TVY87" s="6"/>
      <c r="TVZ87" s="6"/>
      <c r="TWA87" s="6"/>
      <c r="TWB87" s="6"/>
      <c r="TWC87" s="6"/>
      <c r="TWD87" s="6"/>
      <c r="TWE87" s="6"/>
      <c r="TWF87" s="6"/>
      <c r="TWG87" s="6"/>
      <c r="TWH87" s="6"/>
      <c r="TWI87" s="6"/>
      <c r="TWJ87" s="6"/>
      <c r="TWK87" s="6"/>
      <c r="TWL87" s="6"/>
      <c r="TWM87" s="6"/>
      <c r="TWN87" s="6"/>
      <c r="TWO87" s="6"/>
      <c r="TWP87" s="6"/>
      <c r="TWQ87" s="6"/>
      <c r="TWR87" s="6"/>
      <c r="TWS87" s="6"/>
      <c r="TWT87" s="6"/>
      <c r="TWU87" s="6"/>
      <c r="TWV87" s="6"/>
      <c r="TWW87" s="6"/>
      <c r="TWX87" s="6"/>
      <c r="TWY87" s="6"/>
      <c r="TWZ87" s="6"/>
      <c r="TXA87" s="6"/>
      <c r="TXB87" s="6"/>
      <c r="TXC87" s="6"/>
      <c r="TXD87" s="6"/>
      <c r="TXE87" s="6"/>
      <c r="TXF87" s="6"/>
      <c r="TXG87" s="6"/>
      <c r="TXH87" s="6"/>
      <c r="TXI87" s="6"/>
      <c r="TXJ87" s="6"/>
      <c r="TXK87" s="6"/>
      <c r="TXL87" s="6"/>
      <c r="TXM87" s="6"/>
      <c r="TXN87" s="6"/>
      <c r="TXO87" s="6"/>
      <c r="TXP87" s="6"/>
      <c r="TXQ87" s="6"/>
      <c r="TXR87" s="6"/>
      <c r="TXS87" s="6"/>
      <c r="TXT87" s="6"/>
      <c r="TXU87" s="6"/>
      <c r="TXV87" s="6"/>
      <c r="TXW87" s="6"/>
      <c r="TXX87" s="6"/>
      <c r="TXY87" s="6"/>
      <c r="TXZ87" s="6"/>
      <c r="TYA87" s="6"/>
      <c r="TYB87" s="6"/>
      <c r="TYC87" s="6"/>
      <c r="TYD87" s="6"/>
      <c r="TYE87" s="6"/>
      <c r="TYF87" s="6"/>
      <c r="TYG87" s="6"/>
      <c r="TYH87" s="6"/>
      <c r="TYI87" s="6"/>
      <c r="TYJ87" s="6"/>
      <c r="TYK87" s="6"/>
      <c r="TYL87" s="6"/>
      <c r="TYM87" s="6"/>
      <c r="TYN87" s="6"/>
      <c r="TYO87" s="6"/>
      <c r="TYP87" s="6"/>
      <c r="TYQ87" s="6"/>
      <c r="TYR87" s="6"/>
      <c r="TYS87" s="6"/>
      <c r="TYT87" s="6"/>
      <c r="TYU87" s="6"/>
      <c r="TYV87" s="6"/>
      <c r="TYW87" s="6"/>
      <c r="TYX87" s="6"/>
      <c r="TYY87" s="6"/>
      <c r="TYZ87" s="6"/>
      <c r="TZA87" s="6"/>
      <c r="TZB87" s="6"/>
      <c r="TZC87" s="6"/>
      <c r="TZD87" s="6"/>
      <c r="TZE87" s="6"/>
      <c r="TZF87" s="6"/>
      <c r="TZG87" s="6"/>
      <c r="TZH87" s="6"/>
      <c r="TZI87" s="6"/>
      <c r="TZJ87" s="6"/>
      <c r="TZK87" s="6"/>
      <c r="TZL87" s="6"/>
      <c r="TZM87" s="6"/>
      <c r="TZN87" s="6"/>
      <c r="TZO87" s="6"/>
      <c r="TZP87" s="6"/>
      <c r="TZQ87" s="6"/>
      <c r="TZR87" s="6"/>
      <c r="TZS87" s="6"/>
      <c r="TZT87" s="6"/>
      <c r="TZU87" s="6"/>
      <c r="TZV87" s="6"/>
      <c r="TZW87" s="6"/>
      <c r="TZX87" s="6"/>
      <c r="TZY87" s="6"/>
      <c r="TZZ87" s="6"/>
      <c r="UAA87" s="6"/>
      <c r="UAB87" s="6"/>
      <c r="UAC87" s="6"/>
      <c r="UAD87" s="6"/>
      <c r="UAE87" s="6"/>
      <c r="UAF87" s="6"/>
      <c r="UAG87" s="6"/>
      <c r="UAH87" s="6"/>
      <c r="UAI87" s="6"/>
      <c r="UAJ87" s="6"/>
      <c r="UAK87" s="6"/>
      <c r="UAL87" s="6"/>
      <c r="UAM87" s="6"/>
      <c r="UAN87" s="6"/>
      <c r="UAO87" s="6"/>
      <c r="UAP87" s="6"/>
      <c r="UAQ87" s="6"/>
      <c r="UAR87" s="6"/>
      <c r="UAS87" s="6"/>
      <c r="UAT87" s="6"/>
      <c r="UAU87" s="6"/>
      <c r="UAV87" s="6"/>
      <c r="UAW87" s="6"/>
      <c r="UAX87" s="6"/>
      <c r="UAY87" s="6"/>
      <c r="UAZ87" s="6"/>
      <c r="UBA87" s="6"/>
      <c r="UBB87" s="6"/>
      <c r="UBC87" s="6"/>
      <c r="UBD87" s="6"/>
      <c r="UBE87" s="6"/>
      <c r="UBF87" s="6"/>
      <c r="UBG87" s="6"/>
      <c r="UBH87" s="6"/>
      <c r="UBI87" s="6"/>
      <c r="UBJ87" s="6"/>
      <c r="UBK87" s="6"/>
      <c r="UBL87" s="6"/>
      <c r="UBM87" s="6"/>
      <c r="UBN87" s="6"/>
      <c r="UBO87" s="6"/>
      <c r="UBP87" s="6"/>
      <c r="UBQ87" s="6"/>
      <c r="UBR87" s="6"/>
      <c r="UBS87" s="6"/>
      <c r="UBT87" s="6"/>
      <c r="UBU87" s="6"/>
      <c r="UBV87" s="6"/>
      <c r="UBW87" s="6"/>
      <c r="UBX87" s="6"/>
      <c r="UBY87" s="6"/>
      <c r="UBZ87" s="6"/>
      <c r="UCA87" s="6"/>
      <c r="UCB87" s="6"/>
      <c r="UCC87" s="6"/>
      <c r="UCD87" s="6"/>
      <c r="UCE87" s="6"/>
      <c r="UCF87" s="6"/>
      <c r="UCG87" s="6"/>
      <c r="UCH87" s="6"/>
      <c r="UCI87" s="6"/>
      <c r="UCJ87" s="6"/>
      <c r="UCK87" s="6"/>
      <c r="UCL87" s="6"/>
      <c r="UCM87" s="6"/>
      <c r="UCN87" s="6"/>
      <c r="UCO87" s="6"/>
      <c r="UCP87" s="6"/>
      <c r="UCQ87" s="6"/>
      <c r="UCR87" s="6"/>
      <c r="UCS87" s="6"/>
      <c r="UCT87" s="6"/>
      <c r="UCU87" s="6"/>
      <c r="UCV87" s="6"/>
      <c r="UCW87" s="6"/>
      <c r="UCX87" s="6"/>
      <c r="UCY87" s="6"/>
      <c r="UCZ87" s="6"/>
      <c r="UDA87" s="6"/>
      <c r="UDB87" s="6"/>
      <c r="UDC87" s="6"/>
      <c r="UDD87" s="6"/>
      <c r="UDE87" s="6"/>
      <c r="UDF87" s="6"/>
      <c r="UDG87" s="6"/>
      <c r="UDH87" s="6"/>
      <c r="UDI87" s="6"/>
      <c r="UDJ87" s="6"/>
      <c r="UDK87" s="6"/>
      <c r="UDL87" s="6"/>
      <c r="UDM87" s="6"/>
      <c r="UDN87" s="6"/>
      <c r="UDO87" s="6"/>
      <c r="UDP87" s="6"/>
      <c r="UDQ87" s="6"/>
      <c r="UDR87" s="6"/>
      <c r="UDS87" s="6"/>
      <c r="UDT87" s="6"/>
      <c r="UDU87" s="6"/>
      <c r="UDV87" s="6"/>
      <c r="UDW87" s="6"/>
      <c r="UDX87" s="6"/>
      <c r="UDY87" s="6"/>
      <c r="UDZ87" s="6"/>
      <c r="UEA87" s="6"/>
      <c r="UEB87" s="6"/>
      <c r="UEC87" s="6"/>
      <c r="UED87" s="6"/>
      <c r="UEE87" s="6"/>
      <c r="UEF87" s="6"/>
      <c r="UEG87" s="6"/>
      <c r="UEH87" s="6"/>
      <c r="UEI87" s="6"/>
      <c r="UEJ87" s="6"/>
      <c r="UEK87" s="6"/>
      <c r="UEL87" s="6"/>
      <c r="UEM87" s="6"/>
      <c r="UEN87" s="6"/>
      <c r="UEO87" s="6"/>
      <c r="UEP87" s="6"/>
      <c r="UEQ87" s="6"/>
      <c r="UER87" s="6"/>
      <c r="UES87" s="6"/>
      <c r="UET87" s="6"/>
      <c r="UEU87" s="6"/>
      <c r="UEV87" s="6"/>
      <c r="UEW87" s="6"/>
      <c r="UEX87" s="6"/>
      <c r="UEY87" s="6"/>
      <c r="UEZ87" s="6"/>
      <c r="UFA87" s="6"/>
      <c r="UFB87" s="6"/>
      <c r="UFC87" s="6"/>
      <c r="UFD87" s="6"/>
      <c r="UFE87" s="6"/>
      <c r="UFF87" s="6"/>
      <c r="UFG87" s="6"/>
      <c r="UFH87" s="6"/>
      <c r="UFI87" s="6"/>
      <c r="UFJ87" s="6"/>
      <c r="UFK87" s="6"/>
      <c r="UFL87" s="6"/>
      <c r="UFM87" s="6"/>
      <c r="UFN87" s="6"/>
      <c r="UFO87" s="6"/>
      <c r="UFP87" s="6"/>
      <c r="UFQ87" s="6"/>
      <c r="UFR87" s="6"/>
      <c r="UFS87" s="6"/>
      <c r="UFT87" s="6"/>
      <c r="UFU87" s="6"/>
      <c r="UFV87" s="6"/>
      <c r="UFW87" s="6"/>
      <c r="UFX87" s="6"/>
      <c r="UFY87" s="6"/>
      <c r="UFZ87" s="6"/>
      <c r="UGA87" s="6"/>
      <c r="UGB87" s="6"/>
      <c r="UGC87" s="6"/>
      <c r="UGD87" s="6"/>
      <c r="UGE87" s="6"/>
      <c r="UGF87" s="6"/>
      <c r="UGG87" s="6"/>
      <c r="UGH87" s="6"/>
      <c r="UGI87" s="6"/>
      <c r="UGJ87" s="6"/>
      <c r="UGK87" s="6"/>
      <c r="UGL87" s="6"/>
      <c r="UGM87" s="6"/>
      <c r="UGN87" s="6"/>
      <c r="UGO87" s="6"/>
      <c r="UGP87" s="6"/>
      <c r="UGQ87" s="6"/>
      <c r="UGR87" s="6"/>
      <c r="UGS87" s="6"/>
      <c r="UGT87" s="6"/>
      <c r="UGU87" s="6"/>
      <c r="UGV87" s="6"/>
      <c r="UGW87" s="6"/>
      <c r="UGX87" s="6"/>
      <c r="UGY87" s="6"/>
      <c r="UGZ87" s="6"/>
      <c r="UHA87" s="6"/>
      <c r="UHB87" s="6"/>
      <c r="UHC87" s="6"/>
      <c r="UHD87" s="6"/>
      <c r="UHE87" s="6"/>
      <c r="UHF87" s="6"/>
      <c r="UHG87" s="6"/>
      <c r="UHH87" s="6"/>
      <c r="UHI87" s="6"/>
      <c r="UHJ87" s="6"/>
      <c r="UHK87" s="6"/>
      <c r="UHL87" s="6"/>
      <c r="UHM87" s="6"/>
      <c r="UHN87" s="6"/>
      <c r="UHO87" s="6"/>
      <c r="UHP87" s="6"/>
      <c r="UHQ87" s="6"/>
      <c r="UHR87" s="6"/>
      <c r="UHS87" s="6"/>
      <c r="UHT87" s="6"/>
      <c r="UHU87" s="6"/>
      <c r="UHV87" s="6"/>
      <c r="UHW87" s="6"/>
      <c r="UHX87" s="6"/>
      <c r="UHY87" s="6"/>
      <c r="UHZ87" s="6"/>
      <c r="UIA87" s="6"/>
      <c r="UIB87" s="6"/>
      <c r="UIC87" s="6"/>
      <c r="UID87" s="6"/>
      <c r="UIE87" s="6"/>
      <c r="UIF87" s="6"/>
      <c r="UIG87" s="6"/>
      <c r="UIH87" s="6"/>
      <c r="UII87" s="6"/>
      <c r="UIJ87" s="6"/>
      <c r="UIK87" s="6"/>
      <c r="UIL87" s="6"/>
      <c r="UIM87" s="6"/>
      <c r="UIN87" s="6"/>
      <c r="UIO87" s="6"/>
      <c r="UIP87" s="6"/>
      <c r="UIQ87" s="6"/>
      <c r="UIR87" s="6"/>
      <c r="UIS87" s="6"/>
      <c r="UIT87" s="6"/>
      <c r="UIU87" s="6"/>
      <c r="UIV87" s="6"/>
      <c r="UIW87" s="6"/>
      <c r="UIX87" s="6"/>
      <c r="UIY87" s="6"/>
      <c r="UIZ87" s="6"/>
      <c r="UJA87" s="6"/>
      <c r="UJB87" s="6"/>
      <c r="UJC87" s="6"/>
      <c r="UJD87" s="6"/>
      <c r="UJE87" s="6"/>
      <c r="UJF87" s="6"/>
      <c r="UJG87" s="6"/>
      <c r="UJH87" s="6"/>
      <c r="UJI87" s="6"/>
      <c r="UJJ87" s="6"/>
      <c r="UJK87" s="6"/>
      <c r="UJL87" s="6"/>
      <c r="UJM87" s="6"/>
      <c r="UJN87" s="6"/>
      <c r="UJO87" s="6"/>
      <c r="UJP87" s="6"/>
      <c r="UJQ87" s="6"/>
      <c r="UJR87" s="6"/>
      <c r="UJS87" s="6"/>
      <c r="UJT87" s="6"/>
      <c r="UJU87" s="6"/>
      <c r="UJV87" s="6"/>
      <c r="UJW87" s="6"/>
      <c r="UJX87" s="6"/>
      <c r="UJY87" s="6"/>
      <c r="UJZ87" s="6"/>
      <c r="UKA87" s="6"/>
      <c r="UKB87" s="6"/>
      <c r="UKC87" s="6"/>
      <c r="UKD87" s="6"/>
      <c r="UKE87" s="6"/>
      <c r="UKF87" s="6"/>
      <c r="UKG87" s="6"/>
      <c r="UKH87" s="6"/>
      <c r="UKI87" s="6"/>
      <c r="UKJ87" s="6"/>
      <c r="UKK87" s="6"/>
      <c r="UKL87" s="6"/>
      <c r="UKM87" s="6"/>
      <c r="UKN87" s="6"/>
      <c r="UKO87" s="6"/>
      <c r="UKP87" s="6"/>
      <c r="UKQ87" s="6"/>
      <c r="UKR87" s="6"/>
      <c r="UKS87" s="6"/>
      <c r="UKT87" s="6"/>
      <c r="UKU87" s="6"/>
      <c r="UKV87" s="6"/>
      <c r="UKW87" s="6"/>
      <c r="UKX87" s="6"/>
      <c r="UKY87" s="6"/>
      <c r="UKZ87" s="6"/>
      <c r="ULA87" s="6"/>
      <c r="ULB87" s="6"/>
      <c r="ULC87" s="6"/>
      <c r="ULD87" s="6"/>
      <c r="ULE87" s="6"/>
      <c r="ULF87" s="6"/>
      <c r="ULG87" s="6"/>
      <c r="ULH87" s="6"/>
      <c r="ULI87" s="6"/>
      <c r="ULJ87" s="6"/>
      <c r="ULK87" s="6"/>
      <c r="ULL87" s="6"/>
      <c r="ULM87" s="6"/>
      <c r="ULN87" s="6"/>
      <c r="ULO87" s="6"/>
      <c r="ULP87" s="6"/>
      <c r="ULQ87" s="6"/>
      <c r="ULR87" s="6"/>
      <c r="ULS87" s="6"/>
      <c r="ULT87" s="6"/>
      <c r="ULU87" s="6"/>
      <c r="ULV87" s="6"/>
      <c r="ULW87" s="6"/>
      <c r="ULX87" s="6"/>
      <c r="ULY87" s="6"/>
      <c r="ULZ87" s="6"/>
      <c r="UMA87" s="6"/>
      <c r="UMB87" s="6"/>
      <c r="UMC87" s="6"/>
      <c r="UMD87" s="6"/>
      <c r="UME87" s="6"/>
      <c r="UMF87" s="6"/>
      <c r="UMG87" s="6"/>
      <c r="UMH87" s="6"/>
      <c r="UMI87" s="6"/>
      <c r="UMJ87" s="6"/>
      <c r="UMK87" s="6"/>
      <c r="UML87" s="6"/>
      <c r="UMM87" s="6"/>
      <c r="UMN87" s="6"/>
      <c r="UMO87" s="6"/>
      <c r="UMP87" s="6"/>
      <c r="UMQ87" s="6"/>
      <c r="UMR87" s="6"/>
      <c r="UMS87" s="6"/>
      <c r="UMT87" s="6"/>
      <c r="UMU87" s="6"/>
      <c r="UMV87" s="6"/>
      <c r="UMW87" s="6"/>
      <c r="UMX87" s="6"/>
      <c r="UMY87" s="6"/>
      <c r="UMZ87" s="6"/>
      <c r="UNA87" s="6"/>
      <c r="UNB87" s="6"/>
      <c r="UNC87" s="6"/>
      <c r="UND87" s="6"/>
      <c r="UNE87" s="6"/>
      <c r="UNF87" s="6"/>
      <c r="UNG87" s="6"/>
      <c r="UNH87" s="6"/>
      <c r="UNI87" s="6"/>
      <c r="UNJ87" s="6"/>
      <c r="UNK87" s="6"/>
      <c r="UNL87" s="6"/>
      <c r="UNM87" s="6"/>
      <c r="UNN87" s="6"/>
      <c r="UNO87" s="6"/>
      <c r="UNP87" s="6"/>
      <c r="UNQ87" s="6"/>
      <c r="UNR87" s="6"/>
      <c r="UNS87" s="6"/>
      <c r="UNT87" s="6"/>
      <c r="UNU87" s="6"/>
      <c r="UNV87" s="6"/>
      <c r="UNW87" s="6"/>
      <c r="UNX87" s="6"/>
      <c r="UNY87" s="6"/>
      <c r="UNZ87" s="6"/>
      <c r="UOA87" s="6"/>
      <c r="UOB87" s="6"/>
      <c r="UOC87" s="6"/>
      <c r="UOD87" s="6"/>
      <c r="UOE87" s="6"/>
      <c r="UOF87" s="6"/>
      <c r="UOG87" s="6"/>
      <c r="UOH87" s="6"/>
      <c r="UOI87" s="6"/>
      <c r="UOJ87" s="6"/>
      <c r="UOK87" s="6"/>
      <c r="UOL87" s="6"/>
      <c r="UOM87" s="6"/>
      <c r="UON87" s="6"/>
      <c r="UOO87" s="6"/>
      <c r="UOP87" s="6"/>
      <c r="UOQ87" s="6"/>
      <c r="UOR87" s="6"/>
      <c r="UOS87" s="6"/>
      <c r="UOT87" s="6"/>
      <c r="UOU87" s="6"/>
      <c r="UOV87" s="6"/>
      <c r="UOW87" s="6"/>
      <c r="UOX87" s="6"/>
      <c r="UOY87" s="6"/>
      <c r="UOZ87" s="6"/>
      <c r="UPA87" s="6"/>
      <c r="UPB87" s="6"/>
      <c r="UPC87" s="6"/>
      <c r="UPD87" s="6"/>
      <c r="UPE87" s="6"/>
      <c r="UPF87" s="6"/>
      <c r="UPG87" s="6"/>
      <c r="UPH87" s="6"/>
      <c r="UPI87" s="6"/>
      <c r="UPJ87" s="6"/>
      <c r="UPK87" s="6"/>
      <c r="UPL87" s="6"/>
      <c r="UPM87" s="6"/>
      <c r="UPN87" s="6"/>
      <c r="UPO87" s="6"/>
      <c r="UPP87" s="6"/>
      <c r="UPQ87" s="6"/>
      <c r="UPR87" s="6"/>
      <c r="UPS87" s="6"/>
      <c r="UPT87" s="6"/>
      <c r="UPU87" s="6"/>
      <c r="UPV87" s="6"/>
      <c r="UPW87" s="6"/>
      <c r="UPX87" s="6"/>
      <c r="UPY87" s="6"/>
      <c r="UPZ87" s="6"/>
      <c r="UQA87" s="6"/>
      <c r="UQB87" s="6"/>
      <c r="UQC87" s="6"/>
      <c r="UQD87" s="6"/>
      <c r="UQE87" s="6"/>
      <c r="UQF87" s="6"/>
      <c r="UQG87" s="6"/>
      <c r="UQH87" s="6"/>
      <c r="UQI87" s="6"/>
      <c r="UQJ87" s="6"/>
      <c r="UQK87" s="6"/>
      <c r="UQL87" s="6"/>
      <c r="UQM87" s="6"/>
      <c r="UQN87" s="6"/>
      <c r="UQO87" s="6"/>
      <c r="UQP87" s="6"/>
      <c r="UQQ87" s="6"/>
      <c r="UQR87" s="6"/>
      <c r="UQS87" s="6"/>
      <c r="UQT87" s="6"/>
      <c r="UQU87" s="6"/>
      <c r="UQV87" s="6"/>
      <c r="UQW87" s="6"/>
      <c r="UQX87" s="6"/>
      <c r="UQY87" s="6"/>
      <c r="UQZ87" s="6"/>
      <c r="URA87" s="6"/>
      <c r="URB87" s="6"/>
      <c r="URC87" s="6"/>
      <c r="URD87" s="6"/>
      <c r="URE87" s="6"/>
      <c r="URF87" s="6"/>
      <c r="URG87" s="6"/>
      <c r="URH87" s="6"/>
      <c r="URI87" s="6"/>
      <c r="URJ87" s="6"/>
      <c r="URK87" s="6"/>
      <c r="URL87" s="6"/>
      <c r="URM87" s="6"/>
      <c r="URN87" s="6"/>
      <c r="URO87" s="6"/>
      <c r="URP87" s="6"/>
      <c r="URQ87" s="6"/>
      <c r="URR87" s="6"/>
      <c r="URS87" s="6"/>
      <c r="URT87" s="6"/>
      <c r="URU87" s="6"/>
      <c r="URV87" s="6"/>
      <c r="URW87" s="6"/>
      <c r="URX87" s="6"/>
      <c r="URY87" s="6"/>
      <c r="URZ87" s="6"/>
      <c r="USA87" s="6"/>
      <c r="USB87" s="6"/>
      <c r="USC87" s="6"/>
      <c r="USD87" s="6"/>
      <c r="USE87" s="6"/>
      <c r="USF87" s="6"/>
      <c r="USG87" s="6"/>
      <c r="USH87" s="6"/>
      <c r="USI87" s="6"/>
      <c r="USJ87" s="6"/>
      <c r="USK87" s="6"/>
      <c r="USL87" s="6"/>
      <c r="USM87" s="6"/>
      <c r="USN87" s="6"/>
      <c r="USO87" s="6"/>
      <c r="USP87" s="6"/>
      <c r="USQ87" s="6"/>
      <c r="USR87" s="6"/>
      <c r="USS87" s="6"/>
      <c r="UST87" s="6"/>
      <c r="USU87" s="6"/>
      <c r="USV87" s="6"/>
      <c r="USW87" s="6"/>
      <c r="USX87" s="6"/>
      <c r="USY87" s="6"/>
      <c r="USZ87" s="6"/>
      <c r="UTA87" s="6"/>
      <c r="UTB87" s="6"/>
      <c r="UTC87" s="6"/>
      <c r="UTD87" s="6"/>
      <c r="UTE87" s="6"/>
      <c r="UTF87" s="6"/>
      <c r="UTG87" s="6"/>
      <c r="UTH87" s="6"/>
      <c r="UTI87" s="6"/>
      <c r="UTJ87" s="6"/>
      <c r="UTK87" s="6"/>
      <c r="UTL87" s="6"/>
      <c r="UTM87" s="6"/>
      <c r="UTN87" s="6"/>
      <c r="UTO87" s="6"/>
      <c r="UTP87" s="6"/>
      <c r="UTQ87" s="6"/>
      <c r="UTR87" s="6"/>
      <c r="UTS87" s="6"/>
      <c r="UTT87" s="6"/>
      <c r="UTU87" s="6"/>
      <c r="UTV87" s="6"/>
      <c r="UTW87" s="6"/>
      <c r="UTX87" s="6"/>
      <c r="UTY87" s="6"/>
      <c r="UTZ87" s="6"/>
      <c r="UUA87" s="6"/>
      <c r="UUB87" s="6"/>
      <c r="UUC87" s="6"/>
      <c r="UUD87" s="6"/>
      <c r="UUE87" s="6"/>
      <c r="UUF87" s="6"/>
      <c r="UUG87" s="6"/>
      <c r="UUH87" s="6"/>
      <c r="UUI87" s="6"/>
      <c r="UUJ87" s="6"/>
      <c r="UUK87" s="6"/>
      <c r="UUL87" s="6"/>
      <c r="UUM87" s="6"/>
      <c r="UUN87" s="6"/>
      <c r="UUO87" s="6"/>
      <c r="UUP87" s="6"/>
      <c r="UUQ87" s="6"/>
      <c r="UUR87" s="6"/>
      <c r="UUS87" s="6"/>
      <c r="UUT87" s="6"/>
      <c r="UUU87" s="6"/>
      <c r="UUV87" s="6"/>
      <c r="UUW87" s="6"/>
      <c r="UUX87" s="6"/>
      <c r="UUY87" s="6"/>
      <c r="UUZ87" s="6"/>
      <c r="UVA87" s="6"/>
      <c r="UVB87" s="6"/>
      <c r="UVC87" s="6"/>
      <c r="UVD87" s="6"/>
      <c r="UVE87" s="6"/>
      <c r="UVF87" s="6"/>
      <c r="UVG87" s="6"/>
      <c r="UVH87" s="6"/>
      <c r="UVI87" s="6"/>
      <c r="UVJ87" s="6"/>
      <c r="UVK87" s="6"/>
      <c r="UVL87" s="6"/>
      <c r="UVM87" s="6"/>
      <c r="UVN87" s="6"/>
      <c r="UVO87" s="6"/>
      <c r="UVP87" s="6"/>
      <c r="UVQ87" s="6"/>
      <c r="UVR87" s="6"/>
      <c r="UVS87" s="6"/>
      <c r="UVT87" s="6"/>
      <c r="UVU87" s="6"/>
      <c r="UVV87" s="6"/>
      <c r="UVW87" s="6"/>
      <c r="UVX87" s="6"/>
      <c r="UVY87" s="6"/>
      <c r="UVZ87" s="6"/>
      <c r="UWA87" s="6"/>
      <c r="UWB87" s="6"/>
      <c r="UWC87" s="6"/>
      <c r="UWD87" s="6"/>
      <c r="UWE87" s="6"/>
      <c r="UWF87" s="6"/>
      <c r="UWG87" s="6"/>
      <c r="UWH87" s="6"/>
      <c r="UWI87" s="6"/>
      <c r="UWJ87" s="6"/>
      <c r="UWK87" s="6"/>
      <c r="UWL87" s="6"/>
      <c r="UWM87" s="6"/>
      <c r="UWN87" s="6"/>
      <c r="UWO87" s="6"/>
      <c r="UWP87" s="6"/>
      <c r="UWQ87" s="6"/>
      <c r="UWR87" s="6"/>
      <c r="UWS87" s="6"/>
      <c r="UWT87" s="6"/>
      <c r="UWU87" s="6"/>
      <c r="UWV87" s="6"/>
      <c r="UWW87" s="6"/>
      <c r="UWX87" s="6"/>
      <c r="UWY87" s="6"/>
      <c r="UWZ87" s="6"/>
      <c r="UXA87" s="6"/>
      <c r="UXB87" s="6"/>
      <c r="UXC87" s="6"/>
      <c r="UXD87" s="6"/>
      <c r="UXE87" s="6"/>
      <c r="UXF87" s="6"/>
      <c r="UXG87" s="6"/>
      <c r="UXH87" s="6"/>
      <c r="UXI87" s="6"/>
      <c r="UXJ87" s="6"/>
      <c r="UXK87" s="6"/>
      <c r="UXL87" s="6"/>
      <c r="UXM87" s="6"/>
      <c r="UXN87" s="6"/>
      <c r="UXO87" s="6"/>
      <c r="UXP87" s="6"/>
      <c r="UXQ87" s="6"/>
      <c r="UXR87" s="6"/>
      <c r="UXS87" s="6"/>
      <c r="UXT87" s="6"/>
      <c r="UXU87" s="6"/>
      <c r="UXV87" s="6"/>
      <c r="UXW87" s="6"/>
      <c r="UXX87" s="6"/>
      <c r="UXY87" s="6"/>
      <c r="UXZ87" s="6"/>
      <c r="UYA87" s="6"/>
      <c r="UYB87" s="6"/>
      <c r="UYC87" s="6"/>
      <c r="UYD87" s="6"/>
      <c r="UYE87" s="6"/>
      <c r="UYF87" s="6"/>
      <c r="UYG87" s="6"/>
      <c r="UYH87" s="6"/>
      <c r="UYI87" s="6"/>
      <c r="UYJ87" s="6"/>
      <c r="UYK87" s="6"/>
      <c r="UYL87" s="6"/>
      <c r="UYM87" s="6"/>
      <c r="UYN87" s="6"/>
      <c r="UYO87" s="6"/>
      <c r="UYP87" s="6"/>
      <c r="UYQ87" s="6"/>
      <c r="UYR87" s="6"/>
      <c r="UYS87" s="6"/>
      <c r="UYT87" s="6"/>
      <c r="UYU87" s="6"/>
      <c r="UYV87" s="6"/>
      <c r="UYW87" s="6"/>
      <c r="UYX87" s="6"/>
      <c r="UYY87" s="6"/>
      <c r="UYZ87" s="6"/>
      <c r="UZA87" s="6"/>
      <c r="UZB87" s="6"/>
      <c r="UZC87" s="6"/>
      <c r="UZD87" s="6"/>
      <c r="UZE87" s="6"/>
      <c r="UZF87" s="6"/>
      <c r="UZG87" s="6"/>
      <c r="UZH87" s="6"/>
      <c r="UZI87" s="6"/>
      <c r="UZJ87" s="6"/>
      <c r="UZK87" s="6"/>
      <c r="UZL87" s="6"/>
      <c r="UZM87" s="6"/>
      <c r="UZN87" s="6"/>
      <c r="UZO87" s="6"/>
      <c r="UZP87" s="6"/>
      <c r="UZQ87" s="6"/>
      <c r="UZR87" s="6"/>
      <c r="UZS87" s="6"/>
      <c r="UZT87" s="6"/>
      <c r="UZU87" s="6"/>
      <c r="UZV87" s="6"/>
      <c r="UZW87" s="6"/>
      <c r="UZX87" s="6"/>
      <c r="UZY87" s="6"/>
      <c r="UZZ87" s="6"/>
      <c r="VAA87" s="6"/>
      <c r="VAB87" s="6"/>
      <c r="VAC87" s="6"/>
      <c r="VAD87" s="6"/>
      <c r="VAE87" s="6"/>
      <c r="VAF87" s="6"/>
      <c r="VAG87" s="6"/>
      <c r="VAH87" s="6"/>
      <c r="VAI87" s="6"/>
      <c r="VAJ87" s="6"/>
      <c r="VAK87" s="6"/>
      <c r="VAL87" s="6"/>
      <c r="VAM87" s="6"/>
      <c r="VAN87" s="6"/>
      <c r="VAO87" s="6"/>
      <c r="VAP87" s="6"/>
      <c r="VAQ87" s="6"/>
      <c r="VAR87" s="6"/>
      <c r="VAS87" s="6"/>
      <c r="VAT87" s="6"/>
      <c r="VAU87" s="6"/>
      <c r="VAV87" s="6"/>
      <c r="VAW87" s="6"/>
      <c r="VAX87" s="6"/>
      <c r="VAY87" s="6"/>
      <c r="VAZ87" s="6"/>
      <c r="VBA87" s="6"/>
      <c r="VBB87" s="6"/>
      <c r="VBC87" s="6"/>
      <c r="VBD87" s="6"/>
      <c r="VBE87" s="6"/>
      <c r="VBF87" s="6"/>
      <c r="VBG87" s="6"/>
      <c r="VBH87" s="6"/>
      <c r="VBI87" s="6"/>
      <c r="VBJ87" s="6"/>
      <c r="VBK87" s="6"/>
      <c r="VBL87" s="6"/>
      <c r="VBM87" s="6"/>
      <c r="VBN87" s="6"/>
      <c r="VBO87" s="6"/>
      <c r="VBP87" s="6"/>
      <c r="VBQ87" s="6"/>
      <c r="VBR87" s="6"/>
      <c r="VBS87" s="6"/>
      <c r="VBT87" s="6"/>
      <c r="VBU87" s="6"/>
      <c r="VBV87" s="6"/>
      <c r="VBW87" s="6"/>
      <c r="VBX87" s="6"/>
      <c r="VBY87" s="6"/>
      <c r="VBZ87" s="6"/>
      <c r="VCA87" s="6"/>
      <c r="VCB87" s="6"/>
      <c r="VCC87" s="6"/>
      <c r="VCD87" s="6"/>
      <c r="VCE87" s="6"/>
      <c r="VCF87" s="6"/>
      <c r="VCG87" s="6"/>
      <c r="VCH87" s="6"/>
      <c r="VCI87" s="6"/>
      <c r="VCJ87" s="6"/>
      <c r="VCK87" s="6"/>
      <c r="VCL87" s="6"/>
      <c r="VCM87" s="6"/>
      <c r="VCN87" s="6"/>
      <c r="VCO87" s="6"/>
      <c r="VCP87" s="6"/>
      <c r="VCQ87" s="6"/>
      <c r="VCR87" s="6"/>
      <c r="VCS87" s="6"/>
      <c r="VCT87" s="6"/>
      <c r="VCU87" s="6"/>
      <c r="VCV87" s="6"/>
      <c r="VCW87" s="6"/>
      <c r="VCX87" s="6"/>
      <c r="VCY87" s="6"/>
      <c r="VCZ87" s="6"/>
      <c r="VDA87" s="6"/>
      <c r="VDB87" s="6"/>
      <c r="VDC87" s="6"/>
      <c r="VDD87" s="6"/>
      <c r="VDE87" s="6"/>
      <c r="VDF87" s="6"/>
      <c r="VDG87" s="6"/>
      <c r="VDH87" s="6"/>
      <c r="VDI87" s="6"/>
      <c r="VDJ87" s="6"/>
      <c r="VDK87" s="6"/>
      <c r="VDL87" s="6"/>
      <c r="VDM87" s="6"/>
      <c r="VDN87" s="6"/>
      <c r="VDO87" s="6"/>
      <c r="VDP87" s="6"/>
      <c r="VDQ87" s="6"/>
      <c r="VDR87" s="6"/>
      <c r="VDS87" s="6"/>
      <c r="VDT87" s="6"/>
      <c r="VDU87" s="6"/>
      <c r="VDV87" s="6"/>
      <c r="VDW87" s="6"/>
      <c r="VDX87" s="6"/>
      <c r="VDY87" s="6"/>
      <c r="VDZ87" s="6"/>
      <c r="VEA87" s="6"/>
      <c r="VEB87" s="6"/>
      <c r="VEC87" s="6"/>
      <c r="VED87" s="6"/>
      <c r="VEE87" s="6"/>
      <c r="VEF87" s="6"/>
      <c r="VEG87" s="6"/>
      <c r="VEH87" s="6"/>
      <c r="VEI87" s="6"/>
      <c r="VEJ87" s="6"/>
      <c r="VEK87" s="6"/>
      <c r="VEL87" s="6"/>
      <c r="VEM87" s="6"/>
      <c r="VEN87" s="6"/>
      <c r="VEO87" s="6"/>
      <c r="VEP87" s="6"/>
      <c r="VEQ87" s="6"/>
      <c r="VER87" s="6"/>
      <c r="VES87" s="6"/>
      <c r="VET87" s="6"/>
      <c r="VEU87" s="6"/>
      <c r="VEV87" s="6"/>
      <c r="VEW87" s="6"/>
      <c r="VEX87" s="6"/>
      <c r="VEY87" s="6"/>
      <c r="VEZ87" s="6"/>
      <c r="VFA87" s="6"/>
      <c r="VFB87" s="6"/>
      <c r="VFC87" s="6"/>
      <c r="VFD87" s="6"/>
      <c r="VFE87" s="6"/>
      <c r="VFF87" s="6"/>
      <c r="VFG87" s="6"/>
      <c r="VFH87" s="6"/>
      <c r="VFI87" s="6"/>
      <c r="VFJ87" s="6"/>
      <c r="VFK87" s="6"/>
      <c r="VFL87" s="6"/>
      <c r="VFM87" s="6"/>
      <c r="VFN87" s="6"/>
      <c r="VFO87" s="6"/>
      <c r="VFP87" s="6"/>
      <c r="VFQ87" s="6"/>
      <c r="VFR87" s="6"/>
      <c r="VFS87" s="6"/>
      <c r="VFT87" s="6"/>
      <c r="VFU87" s="6"/>
      <c r="VFV87" s="6"/>
      <c r="VFW87" s="6"/>
      <c r="VFX87" s="6"/>
      <c r="VFY87" s="6"/>
      <c r="VFZ87" s="6"/>
      <c r="VGA87" s="6"/>
      <c r="VGB87" s="6"/>
      <c r="VGC87" s="6"/>
      <c r="VGD87" s="6"/>
      <c r="VGE87" s="6"/>
      <c r="VGF87" s="6"/>
      <c r="VGG87" s="6"/>
      <c r="VGH87" s="6"/>
      <c r="VGI87" s="6"/>
      <c r="VGJ87" s="6"/>
      <c r="VGK87" s="6"/>
      <c r="VGL87" s="6"/>
      <c r="VGM87" s="6"/>
      <c r="VGN87" s="6"/>
      <c r="VGO87" s="6"/>
      <c r="VGP87" s="6"/>
      <c r="VGQ87" s="6"/>
      <c r="VGR87" s="6"/>
      <c r="VGS87" s="6"/>
      <c r="VGT87" s="6"/>
      <c r="VGU87" s="6"/>
      <c r="VGV87" s="6"/>
      <c r="VGW87" s="6"/>
      <c r="VGX87" s="6"/>
      <c r="VGY87" s="6"/>
      <c r="VGZ87" s="6"/>
      <c r="VHA87" s="6"/>
      <c r="VHB87" s="6"/>
      <c r="VHC87" s="6"/>
      <c r="VHD87" s="6"/>
      <c r="VHE87" s="6"/>
      <c r="VHF87" s="6"/>
      <c r="VHG87" s="6"/>
      <c r="VHH87" s="6"/>
      <c r="VHI87" s="6"/>
      <c r="VHJ87" s="6"/>
      <c r="VHK87" s="6"/>
      <c r="VHL87" s="6"/>
      <c r="VHM87" s="6"/>
      <c r="VHN87" s="6"/>
      <c r="VHO87" s="6"/>
      <c r="VHP87" s="6"/>
      <c r="VHQ87" s="6"/>
      <c r="VHR87" s="6"/>
      <c r="VHS87" s="6"/>
      <c r="VHT87" s="6"/>
      <c r="VHU87" s="6"/>
      <c r="VHV87" s="6"/>
      <c r="VHW87" s="6"/>
      <c r="VHX87" s="6"/>
      <c r="VHY87" s="6"/>
      <c r="VHZ87" s="6"/>
      <c r="VIA87" s="6"/>
      <c r="VIB87" s="6"/>
      <c r="VIC87" s="6"/>
      <c r="VID87" s="6"/>
      <c r="VIE87" s="6"/>
      <c r="VIF87" s="6"/>
      <c r="VIG87" s="6"/>
      <c r="VIH87" s="6"/>
      <c r="VII87" s="6"/>
      <c r="VIJ87" s="6"/>
      <c r="VIK87" s="6"/>
      <c r="VIL87" s="6"/>
      <c r="VIM87" s="6"/>
      <c r="VIN87" s="6"/>
      <c r="VIO87" s="6"/>
      <c r="VIP87" s="6"/>
      <c r="VIQ87" s="6"/>
      <c r="VIR87" s="6"/>
      <c r="VIS87" s="6"/>
      <c r="VIT87" s="6"/>
      <c r="VIU87" s="6"/>
      <c r="VIV87" s="6"/>
      <c r="VIW87" s="6"/>
      <c r="VIX87" s="6"/>
      <c r="VIY87" s="6"/>
      <c r="VIZ87" s="6"/>
      <c r="VJA87" s="6"/>
      <c r="VJB87" s="6"/>
      <c r="VJC87" s="6"/>
      <c r="VJD87" s="6"/>
      <c r="VJE87" s="6"/>
      <c r="VJF87" s="6"/>
      <c r="VJG87" s="6"/>
      <c r="VJH87" s="6"/>
      <c r="VJI87" s="6"/>
      <c r="VJJ87" s="6"/>
      <c r="VJK87" s="6"/>
      <c r="VJL87" s="6"/>
      <c r="VJM87" s="6"/>
      <c r="VJN87" s="6"/>
      <c r="VJO87" s="6"/>
      <c r="VJP87" s="6"/>
      <c r="VJQ87" s="6"/>
      <c r="VJR87" s="6"/>
      <c r="VJS87" s="6"/>
      <c r="VJT87" s="6"/>
      <c r="VJU87" s="6"/>
      <c r="VJV87" s="6"/>
      <c r="VJW87" s="6"/>
      <c r="VJX87" s="6"/>
      <c r="VJY87" s="6"/>
      <c r="VJZ87" s="6"/>
      <c r="VKA87" s="6"/>
      <c r="VKB87" s="6"/>
      <c r="VKC87" s="6"/>
      <c r="VKD87" s="6"/>
      <c r="VKE87" s="6"/>
      <c r="VKF87" s="6"/>
      <c r="VKG87" s="6"/>
      <c r="VKH87" s="6"/>
      <c r="VKI87" s="6"/>
      <c r="VKJ87" s="6"/>
      <c r="VKK87" s="6"/>
      <c r="VKL87" s="6"/>
      <c r="VKM87" s="6"/>
      <c r="VKN87" s="6"/>
      <c r="VKO87" s="6"/>
      <c r="VKP87" s="6"/>
      <c r="VKQ87" s="6"/>
      <c r="VKR87" s="6"/>
      <c r="VKS87" s="6"/>
      <c r="VKT87" s="6"/>
      <c r="VKU87" s="6"/>
      <c r="VKV87" s="6"/>
      <c r="VKW87" s="6"/>
      <c r="VKX87" s="6"/>
      <c r="VKY87" s="6"/>
      <c r="VKZ87" s="6"/>
      <c r="VLA87" s="6"/>
      <c r="VLB87" s="6"/>
      <c r="VLC87" s="6"/>
      <c r="VLD87" s="6"/>
      <c r="VLE87" s="6"/>
      <c r="VLF87" s="6"/>
      <c r="VLG87" s="6"/>
      <c r="VLH87" s="6"/>
      <c r="VLI87" s="6"/>
      <c r="VLJ87" s="6"/>
      <c r="VLK87" s="6"/>
      <c r="VLL87" s="6"/>
      <c r="VLM87" s="6"/>
      <c r="VLN87" s="6"/>
      <c r="VLO87" s="6"/>
      <c r="VLP87" s="6"/>
      <c r="VLQ87" s="6"/>
      <c r="VLR87" s="6"/>
      <c r="VLS87" s="6"/>
      <c r="VLT87" s="6"/>
      <c r="VLU87" s="6"/>
      <c r="VLV87" s="6"/>
      <c r="VLW87" s="6"/>
      <c r="VLX87" s="6"/>
      <c r="VLY87" s="6"/>
      <c r="VLZ87" s="6"/>
      <c r="VMA87" s="6"/>
      <c r="VMB87" s="6"/>
      <c r="VMC87" s="6"/>
      <c r="VMD87" s="6"/>
      <c r="VME87" s="6"/>
      <c r="VMF87" s="6"/>
      <c r="VMG87" s="6"/>
      <c r="VMH87" s="6"/>
      <c r="VMI87" s="6"/>
      <c r="VMJ87" s="6"/>
      <c r="VMK87" s="6"/>
      <c r="VML87" s="6"/>
      <c r="VMM87" s="6"/>
      <c r="VMN87" s="6"/>
      <c r="VMO87" s="6"/>
      <c r="VMP87" s="6"/>
      <c r="VMQ87" s="6"/>
      <c r="VMR87" s="6"/>
      <c r="VMS87" s="6"/>
      <c r="VMT87" s="6"/>
      <c r="VMU87" s="6"/>
      <c r="VMV87" s="6"/>
      <c r="VMW87" s="6"/>
      <c r="VMX87" s="6"/>
      <c r="VMY87" s="6"/>
      <c r="VMZ87" s="6"/>
      <c r="VNA87" s="6"/>
      <c r="VNB87" s="6"/>
      <c r="VNC87" s="6"/>
      <c r="VND87" s="6"/>
      <c r="VNE87" s="6"/>
      <c r="VNF87" s="6"/>
      <c r="VNG87" s="6"/>
      <c r="VNH87" s="6"/>
      <c r="VNI87" s="6"/>
      <c r="VNJ87" s="6"/>
      <c r="VNK87" s="6"/>
      <c r="VNL87" s="6"/>
      <c r="VNM87" s="6"/>
      <c r="VNN87" s="6"/>
      <c r="VNO87" s="6"/>
      <c r="VNP87" s="6"/>
      <c r="VNQ87" s="6"/>
      <c r="VNR87" s="6"/>
      <c r="VNS87" s="6"/>
      <c r="VNT87" s="6"/>
      <c r="VNU87" s="6"/>
      <c r="VNV87" s="6"/>
      <c r="VNW87" s="6"/>
      <c r="VNX87" s="6"/>
      <c r="VNY87" s="6"/>
      <c r="VNZ87" s="6"/>
      <c r="VOA87" s="6"/>
      <c r="VOB87" s="6"/>
      <c r="VOC87" s="6"/>
      <c r="VOD87" s="6"/>
      <c r="VOE87" s="6"/>
      <c r="VOF87" s="6"/>
      <c r="VOG87" s="6"/>
      <c r="VOH87" s="6"/>
      <c r="VOI87" s="6"/>
      <c r="VOJ87" s="6"/>
      <c r="VOK87" s="6"/>
      <c r="VOL87" s="6"/>
      <c r="VOM87" s="6"/>
      <c r="VON87" s="6"/>
      <c r="VOO87" s="6"/>
      <c r="VOP87" s="6"/>
      <c r="VOQ87" s="6"/>
      <c r="VOR87" s="6"/>
      <c r="VOS87" s="6"/>
      <c r="VOT87" s="6"/>
      <c r="VOU87" s="6"/>
      <c r="VOV87" s="6"/>
      <c r="VOW87" s="6"/>
      <c r="VOX87" s="6"/>
      <c r="VOY87" s="6"/>
      <c r="VOZ87" s="6"/>
      <c r="VPA87" s="6"/>
      <c r="VPB87" s="6"/>
      <c r="VPC87" s="6"/>
      <c r="VPD87" s="6"/>
      <c r="VPE87" s="6"/>
      <c r="VPF87" s="6"/>
      <c r="VPG87" s="6"/>
      <c r="VPH87" s="6"/>
      <c r="VPI87" s="6"/>
      <c r="VPJ87" s="6"/>
      <c r="VPK87" s="6"/>
      <c r="VPL87" s="6"/>
      <c r="VPM87" s="6"/>
      <c r="VPN87" s="6"/>
      <c r="VPO87" s="6"/>
      <c r="VPP87" s="6"/>
      <c r="VPQ87" s="6"/>
      <c r="VPR87" s="6"/>
      <c r="VPS87" s="6"/>
      <c r="VPT87" s="6"/>
      <c r="VPU87" s="6"/>
      <c r="VPV87" s="6"/>
      <c r="VPW87" s="6"/>
      <c r="VPX87" s="6"/>
      <c r="VPY87" s="6"/>
      <c r="VPZ87" s="6"/>
      <c r="VQA87" s="6"/>
      <c r="VQB87" s="6"/>
      <c r="VQC87" s="6"/>
      <c r="VQD87" s="6"/>
      <c r="VQE87" s="6"/>
      <c r="VQF87" s="6"/>
      <c r="VQG87" s="6"/>
      <c r="VQH87" s="6"/>
      <c r="VQI87" s="6"/>
      <c r="VQJ87" s="6"/>
      <c r="VQK87" s="6"/>
      <c r="VQL87" s="6"/>
      <c r="VQM87" s="6"/>
      <c r="VQN87" s="6"/>
      <c r="VQO87" s="6"/>
      <c r="VQP87" s="6"/>
      <c r="VQQ87" s="6"/>
      <c r="VQR87" s="6"/>
      <c r="VQS87" s="6"/>
      <c r="VQT87" s="6"/>
      <c r="VQU87" s="6"/>
      <c r="VQV87" s="6"/>
      <c r="VQW87" s="6"/>
      <c r="VQX87" s="6"/>
      <c r="VQY87" s="6"/>
      <c r="VQZ87" s="6"/>
      <c r="VRA87" s="6"/>
      <c r="VRB87" s="6"/>
      <c r="VRC87" s="6"/>
      <c r="VRD87" s="6"/>
      <c r="VRE87" s="6"/>
      <c r="VRF87" s="6"/>
      <c r="VRG87" s="6"/>
      <c r="VRH87" s="6"/>
      <c r="VRI87" s="6"/>
      <c r="VRJ87" s="6"/>
      <c r="VRK87" s="6"/>
      <c r="VRL87" s="6"/>
      <c r="VRM87" s="6"/>
      <c r="VRN87" s="6"/>
      <c r="VRO87" s="6"/>
      <c r="VRP87" s="6"/>
      <c r="VRQ87" s="6"/>
      <c r="VRR87" s="6"/>
      <c r="VRS87" s="6"/>
      <c r="VRT87" s="6"/>
      <c r="VRU87" s="6"/>
      <c r="VRV87" s="6"/>
      <c r="VRW87" s="6"/>
      <c r="VRX87" s="6"/>
      <c r="VRY87" s="6"/>
      <c r="VRZ87" s="6"/>
      <c r="VSA87" s="6"/>
      <c r="VSB87" s="6"/>
      <c r="VSC87" s="6"/>
      <c r="VSD87" s="6"/>
      <c r="VSE87" s="6"/>
      <c r="VSF87" s="6"/>
      <c r="VSG87" s="6"/>
      <c r="VSH87" s="6"/>
      <c r="VSI87" s="6"/>
      <c r="VSJ87" s="6"/>
      <c r="VSK87" s="6"/>
      <c r="VSL87" s="6"/>
      <c r="VSM87" s="6"/>
      <c r="VSN87" s="6"/>
      <c r="VSO87" s="6"/>
      <c r="VSP87" s="6"/>
      <c r="VSQ87" s="6"/>
      <c r="VSR87" s="6"/>
      <c r="VSS87" s="6"/>
      <c r="VST87" s="6"/>
      <c r="VSU87" s="6"/>
      <c r="VSV87" s="6"/>
      <c r="VSW87" s="6"/>
      <c r="VSX87" s="6"/>
      <c r="VSY87" s="6"/>
      <c r="VSZ87" s="6"/>
      <c r="VTA87" s="6"/>
      <c r="VTB87" s="6"/>
      <c r="VTC87" s="6"/>
      <c r="VTD87" s="6"/>
      <c r="VTE87" s="6"/>
      <c r="VTF87" s="6"/>
      <c r="VTG87" s="6"/>
      <c r="VTH87" s="6"/>
      <c r="VTI87" s="6"/>
      <c r="VTJ87" s="6"/>
      <c r="VTK87" s="6"/>
      <c r="VTL87" s="6"/>
      <c r="VTM87" s="6"/>
      <c r="VTN87" s="6"/>
      <c r="VTO87" s="6"/>
      <c r="VTP87" s="6"/>
      <c r="VTQ87" s="6"/>
      <c r="VTR87" s="6"/>
      <c r="VTS87" s="6"/>
      <c r="VTT87" s="6"/>
      <c r="VTU87" s="6"/>
      <c r="VTV87" s="6"/>
      <c r="VTW87" s="6"/>
      <c r="VTX87" s="6"/>
      <c r="VTY87" s="6"/>
      <c r="VTZ87" s="6"/>
      <c r="VUA87" s="6"/>
      <c r="VUB87" s="6"/>
      <c r="VUC87" s="6"/>
      <c r="VUD87" s="6"/>
      <c r="VUE87" s="6"/>
      <c r="VUF87" s="6"/>
      <c r="VUG87" s="6"/>
      <c r="VUH87" s="6"/>
      <c r="VUI87" s="6"/>
      <c r="VUJ87" s="6"/>
      <c r="VUK87" s="6"/>
      <c r="VUL87" s="6"/>
      <c r="VUM87" s="6"/>
      <c r="VUN87" s="6"/>
      <c r="VUO87" s="6"/>
      <c r="VUP87" s="6"/>
      <c r="VUQ87" s="6"/>
      <c r="VUR87" s="6"/>
      <c r="VUS87" s="6"/>
      <c r="VUT87" s="6"/>
      <c r="VUU87" s="6"/>
      <c r="VUV87" s="6"/>
      <c r="VUW87" s="6"/>
      <c r="VUX87" s="6"/>
      <c r="VUY87" s="6"/>
      <c r="VUZ87" s="6"/>
      <c r="VVA87" s="6"/>
      <c r="VVB87" s="6"/>
      <c r="VVC87" s="6"/>
      <c r="VVD87" s="6"/>
      <c r="VVE87" s="6"/>
      <c r="VVF87" s="6"/>
      <c r="VVG87" s="6"/>
      <c r="VVH87" s="6"/>
      <c r="VVI87" s="6"/>
      <c r="VVJ87" s="6"/>
      <c r="VVK87" s="6"/>
      <c r="VVL87" s="6"/>
      <c r="VVM87" s="6"/>
      <c r="VVN87" s="6"/>
      <c r="VVO87" s="6"/>
      <c r="VVP87" s="6"/>
      <c r="VVQ87" s="6"/>
      <c r="VVR87" s="6"/>
      <c r="VVS87" s="6"/>
      <c r="VVT87" s="6"/>
      <c r="VVU87" s="6"/>
      <c r="VVV87" s="6"/>
      <c r="VVW87" s="6"/>
      <c r="VVX87" s="6"/>
      <c r="VVY87" s="6"/>
      <c r="VVZ87" s="6"/>
      <c r="VWA87" s="6"/>
      <c r="VWB87" s="6"/>
      <c r="VWC87" s="6"/>
      <c r="VWD87" s="6"/>
      <c r="VWE87" s="6"/>
      <c r="VWF87" s="6"/>
      <c r="VWG87" s="6"/>
      <c r="VWH87" s="6"/>
      <c r="VWI87" s="6"/>
      <c r="VWJ87" s="6"/>
      <c r="VWK87" s="6"/>
      <c r="VWL87" s="6"/>
      <c r="VWM87" s="6"/>
      <c r="VWN87" s="6"/>
      <c r="VWO87" s="6"/>
      <c r="VWP87" s="6"/>
      <c r="VWQ87" s="6"/>
      <c r="VWR87" s="6"/>
      <c r="VWS87" s="6"/>
      <c r="VWT87" s="6"/>
      <c r="VWU87" s="6"/>
      <c r="VWV87" s="6"/>
      <c r="VWW87" s="6"/>
      <c r="VWX87" s="6"/>
      <c r="VWY87" s="6"/>
      <c r="VWZ87" s="6"/>
      <c r="VXA87" s="6"/>
      <c r="VXB87" s="6"/>
      <c r="VXC87" s="6"/>
      <c r="VXD87" s="6"/>
      <c r="VXE87" s="6"/>
      <c r="VXF87" s="6"/>
      <c r="VXG87" s="6"/>
      <c r="VXH87" s="6"/>
      <c r="VXI87" s="6"/>
      <c r="VXJ87" s="6"/>
      <c r="VXK87" s="6"/>
      <c r="VXL87" s="6"/>
      <c r="VXM87" s="6"/>
      <c r="VXN87" s="6"/>
      <c r="VXO87" s="6"/>
      <c r="VXP87" s="6"/>
      <c r="VXQ87" s="6"/>
      <c r="VXR87" s="6"/>
      <c r="VXS87" s="6"/>
      <c r="VXT87" s="6"/>
      <c r="VXU87" s="6"/>
      <c r="VXV87" s="6"/>
      <c r="VXW87" s="6"/>
      <c r="VXX87" s="6"/>
      <c r="VXY87" s="6"/>
      <c r="VXZ87" s="6"/>
      <c r="VYA87" s="6"/>
      <c r="VYB87" s="6"/>
      <c r="VYC87" s="6"/>
      <c r="VYD87" s="6"/>
      <c r="VYE87" s="6"/>
      <c r="VYF87" s="6"/>
      <c r="VYG87" s="6"/>
      <c r="VYH87" s="6"/>
      <c r="VYI87" s="6"/>
      <c r="VYJ87" s="6"/>
      <c r="VYK87" s="6"/>
      <c r="VYL87" s="6"/>
      <c r="VYM87" s="6"/>
      <c r="VYN87" s="6"/>
      <c r="VYO87" s="6"/>
      <c r="VYP87" s="6"/>
      <c r="VYQ87" s="6"/>
      <c r="VYR87" s="6"/>
      <c r="VYS87" s="6"/>
      <c r="VYT87" s="6"/>
      <c r="VYU87" s="6"/>
      <c r="VYV87" s="6"/>
      <c r="VYW87" s="6"/>
      <c r="VYX87" s="6"/>
      <c r="VYY87" s="6"/>
      <c r="VYZ87" s="6"/>
      <c r="VZA87" s="6"/>
      <c r="VZB87" s="6"/>
      <c r="VZC87" s="6"/>
      <c r="VZD87" s="6"/>
      <c r="VZE87" s="6"/>
      <c r="VZF87" s="6"/>
      <c r="VZG87" s="6"/>
      <c r="VZH87" s="6"/>
      <c r="VZI87" s="6"/>
      <c r="VZJ87" s="6"/>
      <c r="VZK87" s="6"/>
      <c r="VZL87" s="6"/>
      <c r="VZM87" s="6"/>
      <c r="VZN87" s="6"/>
      <c r="VZO87" s="6"/>
      <c r="VZP87" s="6"/>
      <c r="VZQ87" s="6"/>
      <c r="VZR87" s="6"/>
      <c r="VZS87" s="6"/>
      <c r="VZT87" s="6"/>
      <c r="VZU87" s="6"/>
      <c r="VZV87" s="6"/>
      <c r="VZW87" s="6"/>
      <c r="VZX87" s="6"/>
      <c r="VZY87" s="6"/>
      <c r="VZZ87" s="6"/>
      <c r="WAA87" s="6"/>
      <c r="WAB87" s="6"/>
      <c r="WAC87" s="6"/>
      <c r="WAD87" s="6"/>
      <c r="WAE87" s="6"/>
      <c r="WAF87" s="6"/>
      <c r="WAG87" s="6"/>
      <c r="WAH87" s="6"/>
      <c r="WAI87" s="6"/>
      <c r="WAJ87" s="6"/>
      <c r="WAK87" s="6"/>
      <c r="WAL87" s="6"/>
      <c r="WAM87" s="6"/>
      <c r="WAN87" s="6"/>
      <c r="WAO87" s="6"/>
      <c r="WAP87" s="6"/>
      <c r="WAQ87" s="6"/>
      <c r="WAR87" s="6"/>
      <c r="WAS87" s="6"/>
      <c r="WAT87" s="6"/>
      <c r="WAU87" s="6"/>
      <c r="WAV87" s="6"/>
      <c r="WAW87" s="6"/>
      <c r="WAX87" s="6"/>
      <c r="WAY87" s="6"/>
      <c r="WAZ87" s="6"/>
      <c r="WBA87" s="6"/>
      <c r="WBB87" s="6"/>
      <c r="WBC87" s="6"/>
      <c r="WBD87" s="6"/>
      <c r="WBE87" s="6"/>
      <c r="WBF87" s="6"/>
      <c r="WBG87" s="6"/>
      <c r="WBH87" s="6"/>
      <c r="WBI87" s="6"/>
      <c r="WBJ87" s="6"/>
      <c r="WBK87" s="6"/>
      <c r="WBL87" s="6"/>
      <c r="WBM87" s="6"/>
      <c r="WBN87" s="6"/>
      <c r="WBO87" s="6"/>
      <c r="WBP87" s="6"/>
      <c r="WBQ87" s="6"/>
      <c r="WBR87" s="6"/>
      <c r="WBS87" s="6"/>
      <c r="WBT87" s="6"/>
      <c r="WBU87" s="6"/>
      <c r="WBV87" s="6"/>
      <c r="WBW87" s="6"/>
      <c r="WBX87" s="6"/>
      <c r="WBY87" s="6"/>
      <c r="WBZ87" s="6"/>
      <c r="WCA87" s="6"/>
      <c r="WCB87" s="6"/>
      <c r="WCC87" s="6"/>
      <c r="WCD87" s="6"/>
      <c r="WCE87" s="6"/>
      <c r="WCF87" s="6"/>
      <c r="WCG87" s="6"/>
      <c r="WCH87" s="6"/>
      <c r="WCI87" s="6"/>
      <c r="WCJ87" s="6"/>
      <c r="WCK87" s="6"/>
      <c r="WCL87" s="6"/>
      <c r="WCM87" s="6"/>
      <c r="WCN87" s="6"/>
      <c r="WCO87" s="6"/>
      <c r="WCP87" s="6"/>
      <c r="WCQ87" s="6"/>
      <c r="WCR87" s="6"/>
      <c r="WCS87" s="6"/>
      <c r="WCT87" s="6"/>
      <c r="WCU87" s="6"/>
      <c r="WCV87" s="6"/>
      <c r="WCW87" s="6"/>
      <c r="WCX87" s="6"/>
      <c r="WCY87" s="6"/>
      <c r="WCZ87" s="6"/>
      <c r="WDA87" s="6"/>
      <c r="WDB87" s="6"/>
      <c r="WDC87" s="6"/>
      <c r="WDD87" s="6"/>
      <c r="WDE87" s="6"/>
      <c r="WDF87" s="6"/>
      <c r="WDG87" s="6"/>
      <c r="WDH87" s="6"/>
      <c r="WDI87" s="6"/>
      <c r="WDJ87" s="6"/>
      <c r="WDK87" s="6"/>
      <c r="WDL87" s="6"/>
      <c r="WDM87" s="6"/>
      <c r="WDN87" s="6"/>
      <c r="WDO87" s="6"/>
      <c r="WDP87" s="6"/>
      <c r="WDQ87" s="6"/>
      <c r="WDR87" s="6"/>
      <c r="WDS87" s="6"/>
      <c r="WDT87" s="6"/>
      <c r="WDU87" s="6"/>
      <c r="WDV87" s="6"/>
      <c r="WDW87" s="6"/>
      <c r="WDX87" s="6"/>
      <c r="WDY87" s="6"/>
      <c r="WDZ87" s="6"/>
      <c r="WEA87" s="6"/>
      <c r="WEB87" s="6"/>
      <c r="WEC87" s="6"/>
      <c r="WED87" s="6"/>
      <c r="WEE87" s="6"/>
      <c r="WEF87" s="6"/>
      <c r="WEG87" s="6"/>
      <c r="WEH87" s="6"/>
      <c r="WEI87" s="6"/>
      <c r="WEJ87" s="6"/>
      <c r="WEK87" s="6"/>
      <c r="WEL87" s="6"/>
      <c r="WEM87" s="6"/>
      <c r="WEN87" s="6"/>
      <c r="WEO87" s="6"/>
      <c r="WEP87" s="6"/>
      <c r="WEQ87" s="6"/>
      <c r="WER87" s="6"/>
      <c r="WES87" s="6"/>
      <c r="WET87" s="6"/>
      <c r="WEU87" s="6"/>
      <c r="WEV87" s="6"/>
      <c r="WEW87" s="6"/>
      <c r="WEX87" s="6"/>
      <c r="WEY87" s="6"/>
      <c r="WEZ87" s="6"/>
      <c r="WFA87" s="6"/>
      <c r="WFB87" s="6"/>
      <c r="WFC87" s="6"/>
      <c r="WFD87" s="6"/>
      <c r="WFE87" s="6"/>
      <c r="WFF87" s="6"/>
      <c r="WFG87" s="6"/>
      <c r="WFH87" s="6"/>
      <c r="WFI87" s="6"/>
      <c r="WFJ87" s="6"/>
      <c r="WFK87" s="6"/>
      <c r="WFL87" s="6"/>
      <c r="WFM87" s="6"/>
      <c r="WFN87" s="6"/>
      <c r="WFO87" s="6"/>
      <c r="WFP87" s="6"/>
      <c r="WFQ87" s="6"/>
      <c r="WFR87" s="6"/>
      <c r="WFS87" s="6"/>
      <c r="WFT87" s="6"/>
      <c r="WFU87" s="6"/>
      <c r="WFV87" s="6"/>
      <c r="WFW87" s="6"/>
      <c r="WFX87" s="6"/>
      <c r="WFY87" s="6"/>
      <c r="WFZ87" s="6"/>
      <c r="WGA87" s="6"/>
      <c r="WGB87" s="6"/>
      <c r="WGC87" s="6"/>
      <c r="WGD87" s="6"/>
      <c r="WGE87" s="6"/>
      <c r="WGF87" s="6"/>
      <c r="WGG87" s="6"/>
      <c r="WGH87" s="6"/>
      <c r="WGI87" s="6"/>
      <c r="WGJ87" s="6"/>
      <c r="WGK87" s="6"/>
      <c r="WGL87" s="6"/>
      <c r="WGM87" s="6"/>
      <c r="WGN87" s="6"/>
      <c r="WGO87" s="6"/>
      <c r="WGP87" s="6"/>
      <c r="WGQ87" s="6"/>
      <c r="WGR87" s="6"/>
      <c r="WGS87" s="6"/>
      <c r="WGT87" s="6"/>
      <c r="WGU87" s="6"/>
      <c r="WGV87" s="6"/>
      <c r="WGW87" s="6"/>
      <c r="WGX87" s="6"/>
      <c r="WGY87" s="6"/>
      <c r="WGZ87" s="6"/>
      <c r="WHA87" s="6"/>
      <c r="WHB87" s="6"/>
      <c r="WHC87" s="6"/>
      <c r="WHD87" s="6"/>
      <c r="WHE87" s="6"/>
      <c r="WHF87" s="6"/>
      <c r="WHG87" s="6"/>
      <c r="WHH87" s="6"/>
      <c r="WHI87" s="6"/>
      <c r="WHJ87" s="6"/>
      <c r="WHK87" s="6"/>
      <c r="WHL87" s="6"/>
      <c r="WHM87" s="6"/>
      <c r="WHN87" s="6"/>
      <c r="WHO87" s="6"/>
      <c r="WHP87" s="6"/>
      <c r="WHQ87" s="6"/>
      <c r="WHR87" s="6"/>
      <c r="WHS87" s="6"/>
      <c r="WHT87" s="6"/>
      <c r="WHU87" s="6"/>
      <c r="WHV87" s="6"/>
      <c r="WHW87" s="6"/>
      <c r="WHX87" s="6"/>
      <c r="WHY87" s="6"/>
      <c r="WHZ87" s="6"/>
      <c r="WIA87" s="6"/>
      <c r="WIB87" s="6"/>
      <c r="WIC87" s="6"/>
      <c r="WID87" s="6"/>
      <c r="WIE87" s="6"/>
      <c r="WIF87" s="6"/>
      <c r="WIG87" s="6"/>
      <c r="WIH87" s="6"/>
      <c r="WII87" s="6"/>
      <c r="WIJ87" s="6"/>
      <c r="WIK87" s="6"/>
      <c r="WIL87" s="6"/>
      <c r="WIM87" s="6"/>
      <c r="WIN87" s="6"/>
      <c r="WIO87" s="6"/>
      <c r="WIP87" s="6"/>
      <c r="WIQ87" s="6"/>
      <c r="WIR87" s="6"/>
      <c r="WIS87" s="6"/>
      <c r="WIT87" s="6"/>
      <c r="WIU87" s="6"/>
      <c r="WIV87" s="6"/>
      <c r="WIW87" s="6"/>
      <c r="WIX87" s="6"/>
      <c r="WIY87" s="6"/>
      <c r="WIZ87" s="6"/>
      <c r="WJA87" s="6"/>
      <c r="WJB87" s="6"/>
      <c r="WJC87" s="6"/>
      <c r="WJD87" s="6"/>
      <c r="WJE87" s="6"/>
      <c r="WJF87" s="6"/>
      <c r="WJG87" s="6"/>
      <c r="WJH87" s="6"/>
      <c r="WJI87" s="6"/>
      <c r="WJJ87" s="6"/>
      <c r="WJK87" s="6"/>
      <c r="WJL87" s="6"/>
      <c r="WJM87" s="6"/>
      <c r="WJN87" s="6"/>
      <c r="WJO87" s="6"/>
      <c r="WJP87" s="6"/>
      <c r="WJQ87" s="6"/>
      <c r="WJR87" s="6"/>
      <c r="WJS87" s="6"/>
      <c r="WJT87" s="6"/>
      <c r="WJU87" s="6"/>
      <c r="WJV87" s="6"/>
      <c r="WJW87" s="6"/>
      <c r="WJX87" s="6"/>
      <c r="WJY87" s="6"/>
      <c r="WJZ87" s="6"/>
      <c r="WKA87" s="6"/>
      <c r="WKB87" s="6"/>
      <c r="WKC87" s="6"/>
      <c r="WKD87" s="6"/>
      <c r="WKE87" s="6"/>
      <c r="WKF87" s="6"/>
      <c r="WKG87" s="6"/>
      <c r="WKH87" s="6"/>
      <c r="WKI87" s="6"/>
      <c r="WKJ87" s="6"/>
      <c r="WKK87" s="6"/>
      <c r="WKL87" s="6"/>
      <c r="WKM87" s="6"/>
      <c r="WKN87" s="6"/>
      <c r="WKO87" s="6"/>
      <c r="WKP87" s="6"/>
      <c r="WKQ87" s="6"/>
      <c r="WKR87" s="6"/>
      <c r="WKS87" s="6"/>
      <c r="WKT87" s="6"/>
      <c r="WKU87" s="6"/>
      <c r="WKV87" s="6"/>
      <c r="WKW87" s="6"/>
      <c r="WKX87" s="6"/>
      <c r="WKY87" s="6"/>
      <c r="WKZ87" s="6"/>
      <c r="WLA87" s="6"/>
      <c r="WLB87" s="6"/>
      <c r="WLC87" s="6"/>
      <c r="WLD87" s="6"/>
      <c r="WLE87" s="6"/>
      <c r="WLF87" s="6"/>
      <c r="WLG87" s="6"/>
      <c r="WLH87" s="6"/>
      <c r="WLI87" s="6"/>
      <c r="WLJ87" s="6"/>
      <c r="WLK87" s="6"/>
      <c r="WLL87" s="6"/>
      <c r="WLM87" s="6"/>
      <c r="WLN87" s="6"/>
      <c r="WLO87" s="6"/>
      <c r="WLP87" s="6"/>
      <c r="WLQ87" s="6"/>
      <c r="WLR87" s="6"/>
      <c r="WLS87" s="6"/>
      <c r="WLT87" s="6"/>
      <c r="WLU87" s="6"/>
      <c r="WLV87" s="6"/>
      <c r="WLW87" s="6"/>
      <c r="WLX87" s="6"/>
      <c r="WLY87" s="6"/>
      <c r="WLZ87" s="6"/>
      <c r="WMA87" s="6"/>
      <c r="WMB87" s="6"/>
      <c r="WMC87" s="6"/>
      <c r="WMD87" s="6"/>
      <c r="WME87" s="6"/>
      <c r="WMF87" s="6"/>
      <c r="WMG87" s="6"/>
      <c r="WMH87" s="6"/>
      <c r="WMI87" s="6"/>
      <c r="WMJ87" s="6"/>
      <c r="WMK87" s="6"/>
      <c r="WML87" s="6"/>
      <c r="WMM87" s="6"/>
      <c r="WMN87" s="6"/>
      <c r="WMO87" s="6"/>
      <c r="WMP87" s="6"/>
      <c r="WMQ87" s="6"/>
      <c r="WMR87" s="6"/>
      <c r="WMS87" s="6"/>
      <c r="WMT87" s="6"/>
      <c r="WMU87" s="6"/>
      <c r="WMV87" s="6"/>
      <c r="WMW87" s="6"/>
      <c r="WMX87" s="6"/>
      <c r="WMY87" s="6"/>
      <c r="WMZ87" s="6"/>
      <c r="WNA87" s="6"/>
      <c r="WNB87" s="6"/>
      <c r="WNC87" s="6"/>
      <c r="WND87" s="6"/>
      <c r="WNE87" s="6"/>
      <c r="WNF87" s="6"/>
      <c r="WNG87" s="6"/>
      <c r="WNH87" s="6"/>
      <c r="WNI87" s="6"/>
      <c r="WNJ87" s="6"/>
      <c r="WNK87" s="6"/>
      <c r="WNL87" s="6"/>
      <c r="WNM87" s="6"/>
      <c r="WNN87" s="6"/>
      <c r="WNO87" s="6"/>
      <c r="WNP87" s="6"/>
      <c r="WNQ87" s="6"/>
      <c r="WNR87" s="6"/>
      <c r="WNS87" s="6"/>
      <c r="WNT87" s="6"/>
      <c r="WNU87" s="6"/>
      <c r="WNV87" s="6"/>
      <c r="WNW87" s="6"/>
      <c r="WNX87" s="6"/>
      <c r="WNY87" s="6"/>
      <c r="WNZ87" s="6"/>
      <c r="WOA87" s="6"/>
      <c r="WOB87" s="6"/>
      <c r="WOC87" s="6"/>
      <c r="WOD87" s="6"/>
      <c r="WOE87" s="6"/>
      <c r="WOF87" s="6"/>
      <c r="WOG87" s="6"/>
      <c r="WOH87" s="6"/>
      <c r="WOI87" s="6"/>
      <c r="WOJ87" s="6"/>
      <c r="WOK87" s="6"/>
      <c r="WOL87" s="6"/>
      <c r="WOM87" s="6"/>
      <c r="WON87" s="6"/>
      <c r="WOO87" s="6"/>
      <c r="WOP87" s="6"/>
      <c r="WOQ87" s="6"/>
      <c r="WOR87" s="6"/>
      <c r="WOS87" s="6"/>
      <c r="WOT87" s="6"/>
      <c r="WOU87" s="6"/>
      <c r="WOV87" s="6"/>
      <c r="WOW87" s="6"/>
      <c r="WOX87" s="6"/>
      <c r="WOY87" s="6"/>
      <c r="WOZ87" s="6"/>
      <c r="WPA87" s="6"/>
      <c r="WPB87" s="6"/>
      <c r="WPC87" s="6"/>
      <c r="WPD87" s="6"/>
      <c r="WPE87" s="6"/>
      <c r="WPF87" s="6"/>
      <c r="WPG87" s="6"/>
      <c r="WPH87" s="6"/>
      <c r="WPI87" s="6"/>
      <c r="WPJ87" s="6"/>
      <c r="WPK87" s="6"/>
      <c r="WPL87" s="6"/>
      <c r="WPM87" s="6"/>
      <c r="WPN87" s="6"/>
      <c r="WPO87" s="6"/>
      <c r="WPP87" s="6"/>
      <c r="WPQ87" s="6"/>
      <c r="WPR87" s="6"/>
      <c r="WPS87" s="6"/>
      <c r="WPT87" s="6"/>
      <c r="WPU87" s="6"/>
      <c r="WPV87" s="6"/>
      <c r="WPW87" s="6"/>
      <c r="WPX87" s="6"/>
      <c r="WPY87" s="6"/>
      <c r="WPZ87" s="6"/>
      <c r="WQA87" s="6"/>
      <c r="WQB87" s="6"/>
      <c r="WQC87" s="6"/>
      <c r="WQD87" s="6"/>
      <c r="WQE87" s="6"/>
      <c r="WQF87" s="6"/>
      <c r="WQG87" s="6"/>
      <c r="WQH87" s="6"/>
      <c r="WQI87" s="6"/>
      <c r="WQJ87" s="6"/>
      <c r="WQK87" s="6"/>
      <c r="WQL87" s="6"/>
      <c r="WQM87" s="6"/>
      <c r="WQN87" s="6"/>
      <c r="WQO87" s="6"/>
      <c r="WQP87" s="6"/>
      <c r="WQQ87" s="6"/>
      <c r="WQR87" s="6"/>
      <c r="WQS87" s="6"/>
      <c r="WQT87" s="6"/>
      <c r="WQU87" s="6"/>
      <c r="WQV87" s="6"/>
      <c r="WQW87" s="6"/>
      <c r="WQX87" s="6"/>
      <c r="WQY87" s="6"/>
      <c r="WQZ87" s="6"/>
      <c r="WRA87" s="6"/>
      <c r="WRB87" s="6"/>
      <c r="WRC87" s="6"/>
      <c r="WRD87" s="6"/>
      <c r="WRE87" s="6"/>
      <c r="WRF87" s="6"/>
      <c r="WRG87" s="6"/>
      <c r="WRH87" s="6"/>
      <c r="WRI87" s="6"/>
      <c r="WRJ87" s="6"/>
      <c r="WRK87" s="6"/>
      <c r="WRL87" s="6"/>
      <c r="WRM87" s="6"/>
      <c r="WRN87" s="6"/>
      <c r="WRO87" s="6"/>
      <c r="WRP87" s="6"/>
      <c r="WRQ87" s="6"/>
      <c r="WRR87" s="6"/>
      <c r="WRS87" s="6"/>
      <c r="WRT87" s="6"/>
      <c r="WRU87" s="6"/>
      <c r="WRV87" s="6"/>
      <c r="WRW87" s="6"/>
      <c r="WRX87" s="6"/>
      <c r="WRY87" s="6"/>
      <c r="WRZ87" s="6"/>
      <c r="WSA87" s="6"/>
      <c r="WSB87" s="6"/>
      <c r="WSC87" s="6"/>
      <c r="WSD87" s="6"/>
      <c r="WSE87" s="6"/>
      <c r="WSF87" s="6"/>
      <c r="WSG87" s="6"/>
      <c r="WSH87" s="6"/>
      <c r="WSI87" s="6"/>
      <c r="WSJ87" s="6"/>
      <c r="WSK87" s="6"/>
      <c r="WSL87" s="6"/>
      <c r="WSM87" s="6"/>
      <c r="WSN87" s="6"/>
      <c r="WSO87" s="6"/>
      <c r="WSP87" s="6"/>
      <c r="WSQ87" s="6"/>
      <c r="WSR87" s="6"/>
      <c r="WSS87" s="6"/>
      <c r="WST87" s="6"/>
      <c r="WSU87" s="6"/>
      <c r="WSV87" s="6"/>
      <c r="WSW87" s="6"/>
      <c r="WSX87" s="6"/>
      <c r="WSY87" s="6"/>
      <c r="WSZ87" s="6"/>
      <c r="WTA87" s="6"/>
      <c r="WTB87" s="6"/>
      <c r="WTC87" s="6"/>
      <c r="WTD87" s="6"/>
      <c r="WTE87" s="6"/>
      <c r="WTF87" s="6"/>
      <c r="WTG87" s="6"/>
      <c r="WTH87" s="6"/>
      <c r="WTI87" s="6"/>
      <c r="WTJ87" s="6"/>
      <c r="WTK87" s="6"/>
      <c r="WTL87" s="6"/>
      <c r="WTM87" s="6"/>
      <c r="WTN87" s="6"/>
      <c r="WTO87" s="6"/>
      <c r="WTP87" s="6"/>
      <c r="WTQ87" s="6"/>
      <c r="WTR87" s="6"/>
      <c r="WTS87" s="6"/>
      <c r="WTT87" s="6"/>
      <c r="WTU87" s="6"/>
      <c r="WTV87" s="6"/>
      <c r="WTW87" s="6"/>
      <c r="WTX87" s="6"/>
      <c r="WTY87" s="6"/>
      <c r="WTZ87" s="6"/>
      <c r="WUA87" s="6"/>
      <c r="WUB87" s="6"/>
      <c r="WUC87" s="6"/>
      <c r="WUD87" s="6"/>
      <c r="WUE87" s="6"/>
      <c r="WUF87" s="6"/>
      <c r="WUG87" s="6"/>
      <c r="WUH87" s="6"/>
      <c r="WUI87" s="6"/>
      <c r="WUJ87" s="6"/>
      <c r="WUK87" s="6"/>
      <c r="WUL87" s="6"/>
      <c r="WUM87" s="6"/>
      <c r="WUN87" s="6"/>
      <c r="WUO87" s="6"/>
      <c r="WUP87" s="6"/>
      <c r="WUQ87" s="6"/>
      <c r="WUR87" s="6"/>
      <c r="WUS87" s="6"/>
      <c r="WUT87" s="6"/>
      <c r="WUU87" s="6"/>
      <c r="WUV87" s="6"/>
      <c r="WUW87" s="6"/>
      <c r="WUX87" s="6"/>
      <c r="WUY87" s="6"/>
      <c r="WUZ87" s="6"/>
      <c r="WVA87" s="6"/>
      <c r="WVB87" s="6"/>
      <c r="WVC87" s="6"/>
      <c r="WVD87" s="6"/>
      <c r="WVE87" s="6"/>
      <c r="WVF87" s="6"/>
      <c r="WVG87" s="6"/>
      <c r="WVH87" s="6"/>
      <c r="WVI87" s="6"/>
      <c r="WVJ87" s="6"/>
      <c r="WVK87" s="6"/>
      <c r="WVL87" s="6"/>
      <c r="WVM87" s="6"/>
      <c r="WVN87" s="6"/>
      <c r="WVO87" s="6"/>
      <c r="WVP87" s="6"/>
      <c r="WVQ87" s="6"/>
      <c r="WVR87" s="6"/>
      <c r="WVS87" s="6"/>
      <c r="WVT87" s="6"/>
      <c r="WVU87" s="6"/>
      <c r="WVV87" s="6"/>
      <c r="WVW87" s="6"/>
      <c r="WVX87" s="6"/>
      <c r="WVY87" s="6"/>
      <c r="WVZ87" s="6"/>
      <c r="WWA87" s="6"/>
      <c r="WWB87" s="6"/>
      <c r="WWC87" s="6"/>
      <c r="WWD87" s="6"/>
      <c r="WWE87" s="6"/>
      <c r="WWF87" s="6"/>
      <c r="WWG87" s="6"/>
      <c r="WWH87" s="6"/>
      <c r="WWI87" s="6"/>
      <c r="WWJ87" s="6"/>
      <c r="WWK87" s="6"/>
      <c r="WWL87" s="6"/>
      <c r="WWM87" s="6"/>
      <c r="WWN87" s="6"/>
      <c r="WWO87" s="6"/>
      <c r="WWP87" s="6"/>
      <c r="WWQ87" s="6"/>
      <c r="WWR87" s="6"/>
      <c r="WWS87" s="6"/>
      <c r="WWT87" s="6"/>
      <c r="WWU87" s="6"/>
      <c r="WWV87" s="6"/>
      <c r="WWW87" s="6"/>
      <c r="WWX87" s="6"/>
      <c r="WWY87" s="6"/>
      <c r="WWZ87" s="6"/>
      <c r="WXA87" s="6"/>
      <c r="WXB87" s="6"/>
      <c r="WXC87" s="6"/>
      <c r="WXD87" s="6"/>
      <c r="WXE87" s="6"/>
      <c r="WXF87" s="6"/>
      <c r="WXG87" s="6"/>
      <c r="WXH87" s="6"/>
      <c r="WXI87" s="6"/>
      <c r="WXJ87" s="6"/>
      <c r="WXK87" s="6"/>
      <c r="WXL87" s="6"/>
      <c r="WXM87" s="6"/>
      <c r="WXN87" s="6"/>
      <c r="WXO87" s="6"/>
      <c r="WXP87" s="6"/>
      <c r="WXQ87" s="6"/>
      <c r="WXR87" s="6"/>
      <c r="WXS87" s="6"/>
      <c r="WXT87" s="6"/>
      <c r="WXU87" s="6"/>
      <c r="WXV87" s="6"/>
      <c r="WXW87" s="6"/>
      <c r="WXX87" s="6"/>
      <c r="WXY87" s="6"/>
      <c r="WXZ87" s="6"/>
      <c r="WYA87" s="6"/>
      <c r="WYB87" s="6"/>
      <c r="WYC87" s="6"/>
      <c r="WYD87" s="6"/>
      <c r="WYE87" s="6"/>
      <c r="WYF87" s="6"/>
      <c r="WYG87" s="6"/>
      <c r="WYH87" s="6"/>
      <c r="WYI87" s="6"/>
      <c r="WYJ87" s="6"/>
      <c r="WYK87" s="6"/>
      <c r="WYL87" s="6"/>
      <c r="WYM87" s="6"/>
      <c r="WYN87" s="6"/>
      <c r="WYO87" s="6"/>
      <c r="WYP87" s="6"/>
      <c r="WYQ87" s="6"/>
      <c r="WYR87" s="6"/>
      <c r="WYS87" s="6"/>
      <c r="WYT87" s="6"/>
      <c r="WYU87" s="6"/>
      <c r="WYV87" s="6"/>
      <c r="WYW87" s="6"/>
      <c r="WYX87" s="6"/>
      <c r="WYY87" s="6"/>
      <c r="WYZ87" s="6"/>
      <c r="WZA87" s="6"/>
      <c r="WZB87" s="6"/>
      <c r="WZC87" s="6"/>
      <c r="WZD87" s="6"/>
      <c r="WZE87" s="6"/>
      <c r="WZF87" s="6"/>
      <c r="WZG87" s="6"/>
      <c r="WZH87" s="6"/>
      <c r="WZI87" s="6"/>
      <c r="WZJ87" s="6"/>
      <c r="WZK87" s="6"/>
      <c r="WZL87" s="6"/>
      <c r="WZM87" s="6"/>
      <c r="WZN87" s="6"/>
      <c r="WZO87" s="6"/>
      <c r="WZP87" s="6"/>
      <c r="WZQ87" s="6"/>
      <c r="WZR87" s="6"/>
      <c r="WZS87" s="6"/>
      <c r="WZT87" s="6"/>
      <c r="WZU87" s="6"/>
      <c r="WZV87" s="6"/>
      <c r="WZW87" s="6"/>
      <c r="WZX87" s="6"/>
      <c r="WZY87" s="6"/>
      <c r="WZZ87" s="6"/>
      <c r="XAA87" s="6"/>
      <c r="XAB87" s="6"/>
      <c r="XAC87" s="6"/>
      <c r="XAD87" s="6"/>
      <c r="XAE87" s="6"/>
      <c r="XAF87" s="6"/>
      <c r="XAG87" s="6"/>
      <c r="XAH87" s="6"/>
      <c r="XAI87" s="6"/>
      <c r="XAJ87" s="6"/>
      <c r="XAK87" s="6"/>
      <c r="XAL87" s="6"/>
      <c r="XAM87" s="6"/>
      <c r="XAN87" s="6"/>
      <c r="XAO87" s="6"/>
      <c r="XAP87" s="6"/>
      <c r="XAQ87" s="6"/>
      <c r="XAR87" s="6"/>
      <c r="XAS87" s="6"/>
      <c r="XAT87" s="6"/>
      <c r="XAU87" s="6"/>
      <c r="XAV87" s="6"/>
      <c r="XAW87" s="6"/>
      <c r="XAX87" s="6"/>
      <c r="XAY87" s="6"/>
      <c r="XAZ87" s="6"/>
      <c r="XBA87" s="6"/>
      <c r="XBB87" s="6"/>
      <c r="XBC87" s="6"/>
      <c r="XBD87" s="6"/>
      <c r="XBE87" s="6"/>
      <c r="XBF87" s="6"/>
      <c r="XBG87" s="6"/>
      <c r="XBH87" s="6"/>
      <c r="XBI87" s="6"/>
      <c r="XBJ87" s="6"/>
      <c r="XBK87" s="6"/>
      <c r="XBL87" s="6"/>
      <c r="XBM87" s="6"/>
      <c r="XBN87" s="6"/>
      <c r="XBO87" s="6"/>
      <c r="XBP87" s="6"/>
      <c r="XBQ87" s="6"/>
      <c r="XBR87" s="6"/>
      <c r="XBS87" s="6"/>
      <c r="XBT87" s="6"/>
      <c r="XBU87" s="6"/>
      <c r="XBV87" s="6"/>
      <c r="XBW87" s="6"/>
      <c r="XBX87" s="6"/>
      <c r="XBY87" s="6"/>
      <c r="XBZ87" s="6"/>
      <c r="XCA87" s="6"/>
      <c r="XCB87" s="6"/>
      <c r="XCC87" s="6"/>
      <c r="XCD87" s="6"/>
      <c r="XCE87" s="6"/>
      <c r="XCF87" s="6"/>
      <c r="XCG87" s="6"/>
      <c r="XCH87" s="6"/>
      <c r="XCI87" s="6"/>
      <c r="XCJ87" s="6"/>
      <c r="XCK87" s="6"/>
      <c r="XCL87" s="6"/>
      <c r="XCM87" s="6"/>
      <c r="XCN87" s="6"/>
      <c r="XCO87" s="6"/>
      <c r="XCP87" s="6"/>
      <c r="XCQ87" s="6"/>
      <c r="XCR87" s="6"/>
      <c r="XCS87" s="6"/>
      <c r="XCT87" s="6"/>
      <c r="XCU87" s="6"/>
      <c r="XCV87" s="6"/>
      <c r="XCW87" s="6"/>
    </row>
    <row r="88" spans="1:16325" s="164" customFormat="1" ht="15" hidden="1">
      <c r="A88" s="163"/>
      <c r="B88" s="147" t="s">
        <v>94</v>
      </c>
      <c r="C88" s="163"/>
      <c r="D88" s="163"/>
      <c r="E88" s="163"/>
      <c r="F88" s="163"/>
      <c r="G88" s="163"/>
      <c r="H88" s="163"/>
      <c r="I88" s="163"/>
      <c r="J88" s="163"/>
      <c r="K88" s="163"/>
      <c r="L88" s="163"/>
      <c r="M88" s="163"/>
      <c r="N88" s="163"/>
      <c r="O88" s="163"/>
      <c r="P88" s="163"/>
      <c r="Q88" s="163"/>
      <c r="R88" s="163"/>
      <c r="S88" s="163"/>
      <c r="T88" s="163"/>
      <c r="U88" s="163"/>
      <c r="V88" s="163"/>
      <c r="W88" s="163"/>
      <c r="X88" s="163"/>
      <c r="Y88" s="163"/>
      <c r="Z88" s="163"/>
      <c r="AA88" s="163"/>
      <c r="AB88" s="163"/>
      <c r="AC88" s="163"/>
      <c r="AD88" s="163"/>
      <c r="AE88" s="163"/>
      <c r="AF88" s="163"/>
      <c r="AG88" s="163"/>
      <c r="AH88" s="163"/>
      <c r="AI88" s="163"/>
      <c r="AJ88" s="163"/>
      <c r="AK88" s="163"/>
      <c r="AL88" s="163"/>
      <c r="AM88" s="163"/>
      <c r="AN88" s="163"/>
      <c r="AO88" s="163"/>
      <c r="AP88" s="163"/>
      <c r="AQ88" s="163"/>
      <c r="AR88" s="163"/>
      <c r="AS88" s="149">
        <v>40</v>
      </c>
      <c r="AT88" s="149">
        <v>80</v>
      </c>
      <c r="AU88" s="150">
        <f>SUM(AQ88:AT88)</f>
        <v>120</v>
      </c>
      <c r="AV88" s="149">
        <v>100</v>
      </c>
      <c r="AW88" s="149">
        <v>120</v>
      </c>
      <c r="AX88" s="149">
        <v>175</v>
      </c>
      <c r="AY88" s="149">
        <v>200</v>
      </c>
      <c r="AZ88" s="150">
        <f>SUM(AV88:AY88)</f>
        <v>595</v>
      </c>
      <c r="BA88" s="163"/>
      <c r="BB88" s="163"/>
      <c r="BC88" s="163"/>
      <c r="BD88" s="163"/>
      <c r="BE88" s="163"/>
      <c r="BF88" s="163"/>
      <c r="BG88" s="163"/>
      <c r="BH88" s="163"/>
      <c r="BI88" s="163"/>
      <c r="BJ88" s="163"/>
      <c r="BK88" s="163"/>
      <c r="BL88" s="163"/>
      <c r="BM88" s="163"/>
      <c r="BN88" s="163"/>
      <c r="BO88" s="163"/>
      <c r="BP88" s="163"/>
      <c r="BQ88" s="163"/>
      <c r="BR88" s="163"/>
      <c r="BS88" s="163"/>
      <c r="BT88" s="163"/>
      <c r="BU88" s="163"/>
      <c r="BV88" s="163"/>
      <c r="BW88" s="163"/>
      <c r="BX88" s="163"/>
      <c r="BY88" s="163"/>
      <c r="BZ88" s="163"/>
      <c r="CA88" s="163"/>
      <c r="CB88" s="163"/>
      <c r="CC88" s="163"/>
      <c r="CD88" s="163"/>
      <c r="CE88" s="163"/>
      <c r="CF88" s="163"/>
      <c r="CG88" s="163"/>
      <c r="CH88" s="163"/>
      <c r="CI88" s="163"/>
      <c r="CJ88" s="163"/>
      <c r="CK88" s="163"/>
      <c r="CL88" s="163"/>
      <c r="CM88" s="163"/>
      <c r="CN88" s="163"/>
      <c r="CO88" s="163"/>
      <c r="CP88" s="163"/>
      <c r="CQ88" s="163"/>
      <c r="CR88" s="163"/>
      <c r="CS88" s="163"/>
      <c r="CT88" s="163"/>
      <c r="CU88" s="163"/>
      <c r="CV88" s="163"/>
      <c r="CW88" s="163"/>
      <c r="CX88" s="163"/>
      <c r="CY88" s="163"/>
      <c r="CZ88" s="163"/>
      <c r="DA88" s="163"/>
      <c r="DB88" s="163"/>
      <c r="DC88" s="163"/>
      <c r="DD88" s="163"/>
      <c r="DE88" s="163"/>
      <c r="DF88" s="163"/>
      <c r="DG88" s="163"/>
      <c r="DH88" s="163"/>
      <c r="DI88" s="163"/>
      <c r="DJ88" s="163"/>
      <c r="DK88" s="163"/>
      <c r="DL88" s="163"/>
      <c r="DM88" s="163"/>
      <c r="DN88" s="163"/>
      <c r="DO88" s="163"/>
      <c r="DP88" s="163"/>
      <c r="DQ88" s="163"/>
      <c r="DR88" s="163"/>
      <c r="DS88" s="163"/>
      <c r="DT88" s="163"/>
      <c r="DU88" s="163"/>
      <c r="DV88" s="163"/>
      <c r="DW88" s="163"/>
      <c r="DX88" s="163"/>
      <c r="DY88" s="163"/>
      <c r="DZ88" s="163"/>
      <c r="EA88" s="163"/>
      <c r="EB88" s="163"/>
      <c r="EC88" s="163"/>
      <c r="ED88" s="163"/>
      <c r="EE88" s="163"/>
      <c r="EF88" s="163"/>
      <c r="EG88" s="163"/>
      <c r="EH88" s="163"/>
      <c r="EI88" s="163"/>
      <c r="EJ88" s="163"/>
      <c r="EK88" s="163"/>
      <c r="EL88" s="163"/>
      <c r="EM88" s="163"/>
      <c r="EN88" s="163"/>
      <c r="EO88" s="163"/>
      <c r="EP88" s="163"/>
      <c r="EQ88" s="163"/>
      <c r="ER88" s="163"/>
      <c r="ES88" s="163"/>
      <c r="ET88" s="163"/>
      <c r="EU88" s="163"/>
      <c r="EV88" s="163"/>
      <c r="EW88" s="163"/>
      <c r="EX88" s="163"/>
      <c r="EY88" s="163"/>
      <c r="EZ88" s="163"/>
      <c r="FA88" s="163"/>
      <c r="FB88" s="163"/>
      <c r="FC88" s="163"/>
      <c r="FD88" s="163"/>
      <c r="FE88" s="163"/>
      <c r="FF88" s="163"/>
      <c r="FG88" s="163"/>
      <c r="FH88" s="163"/>
      <c r="FI88" s="163"/>
      <c r="FJ88" s="163"/>
      <c r="FK88" s="163"/>
      <c r="FL88" s="163"/>
      <c r="FM88" s="163"/>
      <c r="FN88" s="163"/>
      <c r="FO88" s="163"/>
      <c r="FP88" s="163"/>
      <c r="FQ88" s="163"/>
      <c r="FR88" s="163"/>
      <c r="FS88" s="163"/>
      <c r="FT88" s="163"/>
      <c r="FU88" s="163"/>
      <c r="FV88" s="163"/>
      <c r="FW88" s="163"/>
      <c r="FX88" s="163"/>
      <c r="FY88" s="163"/>
      <c r="FZ88" s="163"/>
      <c r="GA88" s="163"/>
      <c r="GB88" s="163"/>
      <c r="GC88" s="163"/>
      <c r="GD88" s="163"/>
      <c r="GE88" s="163"/>
      <c r="GF88" s="163"/>
      <c r="GG88" s="163"/>
      <c r="GH88" s="163"/>
      <c r="GI88" s="163"/>
      <c r="GJ88" s="163"/>
      <c r="GK88" s="163"/>
      <c r="GL88" s="163"/>
      <c r="GM88" s="163"/>
      <c r="GN88" s="163"/>
      <c r="GO88" s="163"/>
      <c r="GP88" s="163"/>
      <c r="GQ88" s="163"/>
      <c r="GR88" s="163"/>
      <c r="GS88" s="163"/>
      <c r="GT88" s="163"/>
      <c r="GU88" s="163"/>
      <c r="GV88" s="163"/>
      <c r="GW88" s="163"/>
      <c r="GX88" s="163"/>
      <c r="GY88" s="163"/>
      <c r="GZ88" s="163"/>
      <c r="HA88" s="163"/>
      <c r="HB88" s="163"/>
      <c r="HC88" s="163"/>
      <c r="HD88" s="163"/>
      <c r="HE88" s="163"/>
      <c r="HF88" s="163"/>
      <c r="HG88" s="163"/>
      <c r="HH88" s="163"/>
      <c r="HI88" s="163"/>
      <c r="HJ88" s="163"/>
      <c r="HK88" s="163"/>
      <c r="HL88" s="163"/>
      <c r="HM88" s="163"/>
      <c r="HN88" s="163"/>
      <c r="HO88" s="163"/>
      <c r="HP88" s="163"/>
      <c r="HQ88" s="163"/>
      <c r="HR88" s="163"/>
      <c r="HS88" s="163"/>
      <c r="HT88" s="163"/>
      <c r="HU88" s="163"/>
      <c r="HV88" s="163"/>
      <c r="HW88" s="163"/>
      <c r="HX88" s="163"/>
      <c r="HY88" s="163"/>
      <c r="HZ88" s="163"/>
      <c r="IA88" s="163"/>
      <c r="IB88" s="163"/>
      <c r="IC88" s="163"/>
      <c r="ID88" s="163"/>
      <c r="IE88" s="163"/>
      <c r="IF88" s="163"/>
      <c r="IG88" s="163"/>
      <c r="IH88" s="163"/>
      <c r="II88" s="163"/>
      <c r="IJ88" s="163"/>
      <c r="IK88" s="163"/>
      <c r="IL88" s="163"/>
      <c r="IM88" s="163"/>
      <c r="IN88" s="163"/>
      <c r="IO88" s="163"/>
      <c r="IP88" s="163"/>
      <c r="IQ88" s="163"/>
      <c r="IR88" s="163"/>
      <c r="IS88" s="163"/>
      <c r="IT88" s="163"/>
      <c r="IU88" s="163"/>
      <c r="IV88" s="163"/>
      <c r="IW88" s="163"/>
      <c r="IX88" s="163"/>
      <c r="IY88" s="163"/>
      <c r="IZ88" s="163"/>
      <c r="JA88" s="163"/>
      <c r="JB88" s="163"/>
      <c r="JC88" s="163"/>
      <c r="JD88" s="163"/>
      <c r="JE88" s="163"/>
      <c r="JF88" s="163"/>
      <c r="JG88" s="163"/>
      <c r="JH88" s="163"/>
      <c r="JI88" s="163"/>
      <c r="JJ88" s="163"/>
      <c r="JK88" s="163"/>
      <c r="JL88" s="163"/>
      <c r="JM88" s="163"/>
      <c r="JN88" s="163"/>
      <c r="JO88" s="163"/>
      <c r="JP88" s="163"/>
      <c r="JQ88" s="163"/>
      <c r="JR88" s="163"/>
      <c r="JS88" s="163"/>
      <c r="JT88" s="163"/>
      <c r="JU88" s="163"/>
      <c r="JV88" s="163"/>
      <c r="JW88" s="163"/>
      <c r="JX88" s="163"/>
      <c r="JY88" s="163"/>
      <c r="JZ88" s="163"/>
      <c r="KA88" s="163"/>
      <c r="KB88" s="163"/>
      <c r="KC88" s="163"/>
      <c r="KD88" s="163"/>
      <c r="KE88" s="163"/>
      <c r="KF88" s="163"/>
      <c r="KG88" s="163"/>
      <c r="KH88" s="163"/>
      <c r="KI88" s="163"/>
      <c r="KJ88" s="163"/>
      <c r="KK88" s="163"/>
      <c r="KL88" s="163"/>
      <c r="KM88" s="163"/>
      <c r="KN88" s="163"/>
      <c r="KO88" s="163"/>
      <c r="KP88" s="163"/>
      <c r="KQ88" s="163"/>
      <c r="KR88" s="163"/>
      <c r="KS88" s="163"/>
      <c r="KT88" s="163"/>
      <c r="KU88" s="163"/>
      <c r="KV88" s="163"/>
      <c r="KW88" s="163"/>
      <c r="KX88" s="163"/>
      <c r="KY88" s="163"/>
      <c r="KZ88" s="163"/>
      <c r="LA88" s="163"/>
      <c r="LB88" s="163"/>
      <c r="LC88" s="163"/>
      <c r="LD88" s="163"/>
      <c r="LE88" s="163"/>
      <c r="LF88" s="163"/>
      <c r="LG88" s="163"/>
      <c r="LH88" s="163"/>
      <c r="LI88" s="163"/>
      <c r="LJ88" s="163"/>
      <c r="LK88" s="163"/>
      <c r="LL88" s="163"/>
      <c r="LM88" s="163"/>
      <c r="LN88" s="163"/>
      <c r="LO88" s="163"/>
      <c r="LP88" s="163"/>
      <c r="LQ88" s="163"/>
      <c r="LR88" s="163"/>
      <c r="LS88" s="163"/>
      <c r="LT88" s="163"/>
      <c r="LU88" s="163"/>
      <c r="LV88" s="163"/>
      <c r="LW88" s="163"/>
      <c r="LX88" s="163"/>
      <c r="LY88" s="163"/>
      <c r="LZ88" s="163"/>
      <c r="MA88" s="163"/>
      <c r="MB88" s="163"/>
      <c r="MC88" s="163"/>
      <c r="MD88" s="163"/>
      <c r="ME88" s="163"/>
      <c r="MF88" s="163"/>
      <c r="MG88" s="163"/>
      <c r="MH88" s="163"/>
      <c r="MI88" s="163"/>
      <c r="MJ88" s="163"/>
      <c r="MK88" s="163"/>
      <c r="ML88" s="163"/>
      <c r="MM88" s="163"/>
      <c r="MN88" s="163"/>
      <c r="MO88" s="163"/>
      <c r="MP88" s="163"/>
      <c r="MQ88" s="163"/>
      <c r="MR88" s="163"/>
      <c r="MS88" s="163"/>
      <c r="MT88" s="163"/>
      <c r="MU88" s="163"/>
      <c r="MV88" s="163"/>
      <c r="MW88" s="163"/>
      <c r="MX88" s="163"/>
      <c r="MY88" s="163"/>
      <c r="MZ88" s="163"/>
      <c r="NA88" s="163"/>
      <c r="NB88" s="163"/>
      <c r="NC88" s="163"/>
      <c r="ND88" s="163"/>
      <c r="NE88" s="163"/>
      <c r="NF88" s="163"/>
      <c r="NG88" s="163"/>
      <c r="NH88" s="163"/>
      <c r="NI88" s="163"/>
      <c r="NJ88" s="163"/>
      <c r="NK88" s="163"/>
      <c r="NL88" s="163"/>
      <c r="NM88" s="163"/>
      <c r="NN88" s="163"/>
      <c r="NO88" s="163"/>
      <c r="NP88" s="163"/>
      <c r="NQ88" s="163"/>
      <c r="NR88" s="163"/>
      <c r="NS88" s="163"/>
      <c r="NT88" s="163"/>
      <c r="NU88" s="163"/>
      <c r="NV88" s="163"/>
      <c r="NW88" s="163"/>
      <c r="NX88" s="163"/>
      <c r="NY88" s="163"/>
      <c r="NZ88" s="163"/>
      <c r="OA88" s="163"/>
      <c r="OB88" s="163"/>
      <c r="OC88" s="163"/>
      <c r="OD88" s="163"/>
      <c r="OE88" s="163"/>
      <c r="OF88" s="163"/>
      <c r="OG88" s="163"/>
      <c r="OH88" s="163"/>
      <c r="OI88" s="163"/>
      <c r="OJ88" s="163"/>
      <c r="OK88" s="163"/>
      <c r="OL88" s="163"/>
      <c r="OM88" s="163"/>
      <c r="ON88" s="163"/>
      <c r="OO88" s="163"/>
      <c r="OP88" s="163"/>
      <c r="OQ88" s="163"/>
      <c r="OR88" s="163"/>
      <c r="OS88" s="163"/>
      <c r="OT88" s="163"/>
      <c r="OU88" s="163"/>
      <c r="OV88" s="163"/>
      <c r="OW88" s="163"/>
      <c r="OX88" s="163"/>
      <c r="OY88" s="163"/>
      <c r="OZ88" s="163"/>
      <c r="PA88" s="163"/>
      <c r="PB88" s="163"/>
      <c r="PC88" s="163"/>
      <c r="PD88" s="163"/>
      <c r="PE88" s="163"/>
      <c r="PF88" s="163"/>
      <c r="PG88" s="163"/>
      <c r="PH88" s="163"/>
      <c r="PI88" s="163"/>
      <c r="PJ88" s="163"/>
      <c r="PK88" s="163"/>
      <c r="PL88" s="163"/>
      <c r="PM88" s="163"/>
      <c r="PN88" s="163"/>
      <c r="PO88" s="163"/>
      <c r="PP88" s="163"/>
      <c r="PQ88" s="163"/>
      <c r="PR88" s="163"/>
      <c r="PS88" s="163"/>
      <c r="PT88" s="163"/>
      <c r="PU88" s="163"/>
      <c r="PV88" s="163"/>
      <c r="PW88" s="163"/>
      <c r="PX88" s="163"/>
      <c r="PY88" s="163"/>
      <c r="PZ88" s="163"/>
      <c r="QA88" s="163"/>
      <c r="QB88" s="163"/>
      <c r="QC88" s="163"/>
      <c r="QD88" s="163"/>
      <c r="QE88" s="163"/>
      <c r="QF88" s="163"/>
      <c r="QG88" s="163"/>
      <c r="QH88" s="163"/>
      <c r="QI88" s="163"/>
      <c r="QJ88" s="163"/>
      <c r="QK88" s="163"/>
      <c r="QL88" s="163"/>
      <c r="QM88" s="163"/>
      <c r="QN88" s="163"/>
      <c r="QO88" s="163"/>
      <c r="QP88" s="163"/>
      <c r="QQ88" s="163"/>
      <c r="QR88" s="163"/>
      <c r="QS88" s="163"/>
      <c r="QT88" s="163"/>
      <c r="QU88" s="163"/>
      <c r="QV88" s="163"/>
      <c r="QW88" s="163"/>
      <c r="QX88" s="163"/>
      <c r="QY88" s="163"/>
      <c r="QZ88" s="163"/>
      <c r="RA88" s="163"/>
      <c r="RB88" s="163"/>
      <c r="RC88" s="163"/>
      <c r="RD88" s="163"/>
      <c r="RE88" s="163"/>
      <c r="RF88" s="163"/>
      <c r="RG88" s="163"/>
      <c r="RH88" s="163"/>
      <c r="RI88" s="163"/>
      <c r="RJ88" s="163"/>
      <c r="RK88" s="163"/>
      <c r="RL88" s="163"/>
      <c r="RM88" s="163"/>
      <c r="RN88" s="163"/>
      <c r="RO88" s="163"/>
      <c r="RP88" s="163"/>
      <c r="RQ88" s="163"/>
      <c r="RR88" s="163"/>
      <c r="RS88" s="163"/>
      <c r="RT88" s="163"/>
      <c r="RU88" s="163"/>
      <c r="RV88" s="163"/>
      <c r="RW88" s="163"/>
      <c r="RX88" s="163"/>
      <c r="RY88" s="163"/>
      <c r="RZ88" s="163"/>
      <c r="SA88" s="163"/>
      <c r="SB88" s="163"/>
      <c r="SC88" s="163"/>
      <c r="SD88" s="163"/>
      <c r="SE88" s="163"/>
      <c r="SF88" s="163"/>
      <c r="SG88" s="163"/>
      <c r="SH88" s="163"/>
      <c r="SI88" s="163"/>
      <c r="SJ88" s="163"/>
      <c r="SK88" s="163"/>
      <c r="SL88" s="163"/>
      <c r="SM88" s="163"/>
      <c r="SN88" s="163"/>
      <c r="SO88" s="163"/>
      <c r="SP88" s="163"/>
      <c r="SQ88" s="163"/>
      <c r="SR88" s="163"/>
      <c r="SS88" s="163"/>
      <c r="ST88" s="163"/>
      <c r="SU88" s="163"/>
      <c r="SV88" s="163"/>
      <c r="SW88" s="163"/>
      <c r="SX88" s="163"/>
      <c r="SY88" s="163"/>
      <c r="SZ88" s="163"/>
      <c r="TA88" s="163"/>
      <c r="TB88" s="163"/>
      <c r="TC88" s="163"/>
      <c r="TD88" s="163"/>
      <c r="TE88" s="163"/>
      <c r="TF88" s="163"/>
      <c r="TG88" s="163"/>
      <c r="TH88" s="163"/>
      <c r="TI88" s="163"/>
      <c r="TJ88" s="163"/>
      <c r="TK88" s="163"/>
      <c r="TL88" s="163"/>
      <c r="TM88" s="163"/>
      <c r="TN88" s="163"/>
      <c r="TO88" s="163"/>
      <c r="TP88" s="163"/>
      <c r="TQ88" s="163"/>
      <c r="TR88" s="163"/>
      <c r="TS88" s="163"/>
      <c r="TT88" s="163"/>
      <c r="TU88" s="163"/>
      <c r="TV88" s="163"/>
      <c r="TW88" s="163"/>
      <c r="TX88" s="163"/>
      <c r="TY88" s="163"/>
      <c r="TZ88" s="163"/>
      <c r="UA88" s="163"/>
      <c r="UB88" s="163"/>
      <c r="UC88" s="163"/>
      <c r="UD88" s="163"/>
      <c r="UE88" s="163"/>
      <c r="UF88" s="163"/>
      <c r="UG88" s="163"/>
      <c r="UH88" s="163"/>
      <c r="UI88" s="163"/>
      <c r="UJ88" s="163"/>
      <c r="UK88" s="163"/>
      <c r="UL88" s="163"/>
      <c r="UM88" s="163"/>
      <c r="UN88" s="163"/>
      <c r="UO88" s="163"/>
      <c r="UP88" s="163"/>
      <c r="UQ88" s="163"/>
      <c r="UR88" s="163"/>
      <c r="US88" s="163"/>
      <c r="UT88" s="163"/>
      <c r="UU88" s="163"/>
      <c r="UV88" s="163"/>
      <c r="UW88" s="163"/>
      <c r="UX88" s="163"/>
      <c r="UY88" s="163"/>
      <c r="UZ88" s="163"/>
      <c r="VA88" s="163"/>
      <c r="VB88" s="163"/>
      <c r="VC88" s="163"/>
      <c r="VD88" s="163"/>
      <c r="VE88" s="163"/>
      <c r="VF88" s="163"/>
      <c r="VG88" s="163"/>
      <c r="VH88" s="163"/>
      <c r="VI88" s="163"/>
      <c r="VJ88" s="163"/>
      <c r="VK88" s="163"/>
      <c r="VL88" s="163"/>
      <c r="VM88" s="163"/>
      <c r="VN88" s="163"/>
      <c r="VO88" s="163"/>
      <c r="VP88" s="163"/>
      <c r="VQ88" s="163"/>
      <c r="VR88" s="163"/>
      <c r="VS88" s="163"/>
      <c r="VT88" s="163"/>
      <c r="VU88" s="163"/>
      <c r="VV88" s="163"/>
      <c r="VW88" s="163"/>
      <c r="VX88" s="163"/>
      <c r="VY88" s="163"/>
      <c r="VZ88" s="163"/>
      <c r="WA88" s="163"/>
      <c r="WB88" s="163"/>
      <c r="WC88" s="163"/>
      <c r="WD88" s="163"/>
      <c r="WE88" s="163"/>
      <c r="WF88" s="163"/>
      <c r="WG88" s="163"/>
      <c r="WH88" s="163"/>
      <c r="WI88" s="163"/>
      <c r="WJ88" s="163"/>
      <c r="WK88" s="163"/>
      <c r="WL88" s="163"/>
      <c r="WM88" s="163"/>
      <c r="WN88" s="163"/>
      <c r="WO88" s="163"/>
      <c r="WP88" s="163"/>
      <c r="WQ88" s="163"/>
      <c r="WR88" s="163"/>
      <c r="WS88" s="163"/>
      <c r="WT88" s="163"/>
      <c r="WU88" s="163"/>
      <c r="WV88" s="163"/>
      <c r="WW88" s="163"/>
      <c r="WX88" s="163"/>
      <c r="WY88" s="163"/>
      <c r="WZ88" s="163"/>
      <c r="XA88" s="163"/>
      <c r="XB88" s="163"/>
      <c r="XC88" s="163"/>
      <c r="XD88" s="163"/>
      <c r="XE88" s="163"/>
      <c r="XF88" s="163"/>
      <c r="XG88" s="163"/>
      <c r="XH88" s="163"/>
      <c r="XI88" s="163"/>
      <c r="XJ88" s="163"/>
      <c r="XK88" s="163"/>
      <c r="XL88" s="163"/>
      <c r="XM88" s="163"/>
      <c r="XN88" s="163"/>
      <c r="XO88" s="163"/>
      <c r="XP88" s="163"/>
      <c r="XQ88" s="163"/>
      <c r="XR88" s="163"/>
      <c r="XS88" s="163"/>
      <c r="XT88" s="163"/>
      <c r="XU88" s="163"/>
      <c r="XV88" s="163"/>
      <c r="XW88" s="163"/>
      <c r="XX88" s="163"/>
      <c r="XY88" s="163"/>
      <c r="XZ88" s="163"/>
      <c r="YA88" s="163"/>
      <c r="YB88" s="163"/>
      <c r="YC88" s="163"/>
      <c r="YD88" s="163"/>
      <c r="YE88" s="163"/>
      <c r="YF88" s="163"/>
      <c r="YG88" s="163"/>
      <c r="YH88" s="163"/>
      <c r="YI88" s="163"/>
      <c r="YJ88" s="163"/>
      <c r="YK88" s="163"/>
      <c r="YL88" s="163"/>
      <c r="YM88" s="163"/>
      <c r="YN88" s="163"/>
      <c r="YO88" s="163"/>
      <c r="YP88" s="163"/>
      <c r="YQ88" s="163"/>
      <c r="YR88" s="163"/>
      <c r="YS88" s="163"/>
      <c r="YT88" s="163"/>
      <c r="YU88" s="163"/>
      <c r="YV88" s="163"/>
      <c r="YW88" s="163"/>
      <c r="YX88" s="163"/>
      <c r="YY88" s="163"/>
      <c r="YZ88" s="163"/>
      <c r="ZA88" s="163"/>
      <c r="ZB88" s="163"/>
      <c r="ZC88" s="163"/>
      <c r="ZD88" s="163"/>
      <c r="ZE88" s="163"/>
      <c r="ZF88" s="163"/>
      <c r="ZG88" s="163"/>
      <c r="ZH88" s="163"/>
      <c r="ZI88" s="163"/>
      <c r="ZJ88" s="163"/>
      <c r="ZK88" s="163"/>
      <c r="ZL88" s="163"/>
      <c r="ZM88" s="163"/>
      <c r="ZN88" s="163"/>
      <c r="ZO88" s="163"/>
      <c r="ZP88" s="163"/>
      <c r="ZQ88" s="163"/>
      <c r="ZR88" s="163"/>
      <c r="ZS88" s="163"/>
      <c r="ZT88" s="163"/>
      <c r="ZU88" s="163"/>
      <c r="ZV88" s="163"/>
      <c r="ZW88" s="163"/>
      <c r="ZX88" s="163"/>
      <c r="ZY88" s="163"/>
      <c r="ZZ88" s="163"/>
      <c r="AAA88" s="163"/>
      <c r="AAB88" s="163"/>
      <c r="AAC88" s="163"/>
      <c r="AAD88" s="163"/>
      <c r="AAE88" s="163"/>
      <c r="AAF88" s="163"/>
      <c r="AAG88" s="163"/>
      <c r="AAH88" s="163"/>
      <c r="AAI88" s="163"/>
      <c r="AAJ88" s="163"/>
      <c r="AAK88" s="163"/>
      <c r="AAL88" s="163"/>
      <c r="AAM88" s="163"/>
      <c r="AAN88" s="163"/>
      <c r="AAO88" s="163"/>
      <c r="AAP88" s="163"/>
      <c r="AAQ88" s="163"/>
      <c r="AAR88" s="163"/>
      <c r="AAS88" s="163"/>
      <c r="AAT88" s="163"/>
      <c r="AAU88" s="163"/>
      <c r="AAV88" s="163"/>
      <c r="AAW88" s="163"/>
      <c r="AAX88" s="163"/>
      <c r="AAY88" s="163"/>
      <c r="AAZ88" s="163"/>
      <c r="ABA88" s="163"/>
      <c r="ABB88" s="163"/>
      <c r="ABC88" s="163"/>
      <c r="ABD88" s="163"/>
      <c r="ABE88" s="163"/>
      <c r="ABF88" s="163"/>
      <c r="ABG88" s="163"/>
      <c r="ABH88" s="163"/>
      <c r="ABI88" s="163"/>
      <c r="ABJ88" s="163"/>
      <c r="ABK88" s="163"/>
      <c r="ABL88" s="163"/>
      <c r="ABM88" s="163"/>
      <c r="ABN88" s="163"/>
      <c r="ABO88" s="163"/>
      <c r="ABP88" s="163"/>
      <c r="ABQ88" s="163"/>
      <c r="ABR88" s="163"/>
      <c r="ABS88" s="163"/>
      <c r="ABT88" s="163"/>
      <c r="ABU88" s="163"/>
      <c r="ABV88" s="163"/>
      <c r="ABW88" s="163"/>
      <c r="ABX88" s="163"/>
      <c r="ABY88" s="163"/>
      <c r="ABZ88" s="163"/>
      <c r="ACA88" s="163"/>
      <c r="ACB88" s="163"/>
      <c r="ACC88" s="163"/>
      <c r="ACD88" s="163"/>
      <c r="ACE88" s="163"/>
      <c r="ACF88" s="163"/>
      <c r="ACG88" s="163"/>
      <c r="ACH88" s="163"/>
      <c r="ACI88" s="163"/>
      <c r="ACJ88" s="163"/>
      <c r="ACK88" s="163"/>
      <c r="ACL88" s="163"/>
      <c r="ACM88" s="163"/>
      <c r="ACN88" s="163"/>
      <c r="ACO88" s="163"/>
      <c r="ACP88" s="163"/>
      <c r="ACQ88" s="163"/>
      <c r="ACR88" s="163"/>
      <c r="ACS88" s="163"/>
      <c r="ACT88" s="163"/>
      <c r="ACU88" s="163"/>
      <c r="ACV88" s="163"/>
      <c r="ACW88" s="163"/>
      <c r="ACX88" s="163"/>
      <c r="ACY88" s="163"/>
      <c r="ACZ88" s="163"/>
      <c r="ADA88" s="163"/>
      <c r="ADB88" s="163"/>
      <c r="ADC88" s="163"/>
      <c r="ADD88" s="163"/>
      <c r="ADE88" s="163"/>
      <c r="ADF88" s="163"/>
      <c r="ADG88" s="163"/>
      <c r="ADH88" s="163"/>
      <c r="ADI88" s="163"/>
      <c r="ADJ88" s="163"/>
      <c r="ADK88" s="163"/>
      <c r="ADL88" s="163"/>
      <c r="ADM88" s="163"/>
      <c r="ADN88" s="163"/>
      <c r="ADO88" s="163"/>
      <c r="ADP88" s="163"/>
      <c r="ADQ88" s="163"/>
      <c r="ADR88" s="163"/>
      <c r="ADS88" s="163"/>
      <c r="ADT88" s="163"/>
      <c r="ADU88" s="163"/>
      <c r="ADV88" s="163"/>
      <c r="ADW88" s="163"/>
      <c r="ADX88" s="163"/>
      <c r="ADY88" s="163"/>
      <c r="ADZ88" s="163"/>
      <c r="AEA88" s="163"/>
      <c r="AEB88" s="163"/>
      <c r="AEC88" s="163"/>
      <c r="AED88" s="163"/>
      <c r="AEE88" s="163"/>
      <c r="AEF88" s="163"/>
      <c r="AEG88" s="163"/>
      <c r="AEH88" s="163"/>
      <c r="AEI88" s="163"/>
      <c r="AEJ88" s="163"/>
      <c r="AEK88" s="163"/>
      <c r="AEL88" s="163"/>
      <c r="AEM88" s="163"/>
      <c r="AEN88" s="163"/>
      <c r="AEO88" s="163"/>
      <c r="AEP88" s="163"/>
      <c r="AEQ88" s="163"/>
      <c r="AER88" s="163"/>
      <c r="AES88" s="163"/>
      <c r="AET88" s="163"/>
      <c r="AEU88" s="163"/>
      <c r="AEV88" s="163"/>
      <c r="AEW88" s="163"/>
      <c r="AEX88" s="163"/>
      <c r="AEY88" s="163"/>
      <c r="AEZ88" s="163"/>
      <c r="AFA88" s="163"/>
      <c r="AFB88" s="163"/>
      <c r="AFC88" s="163"/>
      <c r="AFD88" s="163"/>
      <c r="AFE88" s="163"/>
      <c r="AFF88" s="163"/>
      <c r="AFG88" s="163"/>
      <c r="AFH88" s="163"/>
      <c r="AFI88" s="163"/>
      <c r="AFJ88" s="163"/>
      <c r="AFK88" s="163"/>
      <c r="AFL88" s="163"/>
      <c r="AFM88" s="163"/>
      <c r="AFN88" s="163"/>
      <c r="AFO88" s="163"/>
      <c r="AFP88" s="163"/>
      <c r="AFQ88" s="163"/>
      <c r="AFR88" s="163"/>
      <c r="AFS88" s="163"/>
      <c r="AFT88" s="163"/>
      <c r="AFU88" s="163"/>
      <c r="AFV88" s="163"/>
      <c r="AFW88" s="163"/>
      <c r="AFX88" s="163"/>
      <c r="AFY88" s="163"/>
      <c r="AFZ88" s="163"/>
      <c r="AGA88" s="163"/>
      <c r="AGB88" s="163"/>
      <c r="AGC88" s="163"/>
      <c r="AGD88" s="163"/>
      <c r="AGE88" s="163"/>
      <c r="AGF88" s="163"/>
      <c r="AGG88" s="163"/>
      <c r="AGH88" s="163"/>
      <c r="AGI88" s="163"/>
      <c r="AGJ88" s="163"/>
      <c r="AGK88" s="163"/>
      <c r="AGL88" s="163"/>
      <c r="AGM88" s="163"/>
      <c r="AGN88" s="163"/>
      <c r="AGO88" s="163"/>
      <c r="AGP88" s="163"/>
      <c r="AGQ88" s="163"/>
      <c r="AGR88" s="163"/>
      <c r="AGS88" s="163"/>
      <c r="AGT88" s="163"/>
      <c r="AGU88" s="163"/>
      <c r="AGV88" s="163"/>
      <c r="AGW88" s="163"/>
      <c r="AGX88" s="163"/>
      <c r="AGY88" s="163"/>
      <c r="AGZ88" s="163"/>
      <c r="AHA88" s="163"/>
      <c r="AHB88" s="163"/>
      <c r="AHC88" s="163"/>
      <c r="AHD88" s="163"/>
      <c r="AHE88" s="163"/>
      <c r="AHF88" s="163"/>
      <c r="AHG88" s="163"/>
      <c r="AHH88" s="163"/>
      <c r="AHI88" s="163"/>
      <c r="AHJ88" s="163"/>
      <c r="AHK88" s="163"/>
      <c r="AHL88" s="163"/>
      <c r="AHM88" s="163"/>
      <c r="AHN88" s="163"/>
      <c r="AHO88" s="163"/>
      <c r="AHP88" s="163"/>
      <c r="AHQ88" s="163"/>
      <c r="AHR88" s="163"/>
      <c r="AHS88" s="163"/>
      <c r="AHT88" s="163"/>
      <c r="AHU88" s="163"/>
      <c r="AHV88" s="163"/>
      <c r="AHW88" s="163"/>
      <c r="AHX88" s="163"/>
      <c r="AHY88" s="163"/>
      <c r="AHZ88" s="163"/>
      <c r="AIA88" s="163"/>
      <c r="AIB88" s="163"/>
      <c r="AIC88" s="163"/>
      <c r="AID88" s="163"/>
      <c r="AIE88" s="163"/>
      <c r="AIF88" s="163"/>
      <c r="AIG88" s="163"/>
      <c r="AIH88" s="163"/>
      <c r="AII88" s="163"/>
      <c r="AIJ88" s="163"/>
      <c r="AIK88" s="163"/>
      <c r="AIL88" s="163"/>
      <c r="AIM88" s="163"/>
      <c r="AIN88" s="163"/>
      <c r="AIO88" s="163"/>
      <c r="AIP88" s="163"/>
      <c r="AIQ88" s="163"/>
      <c r="AIR88" s="163"/>
      <c r="AIS88" s="163"/>
      <c r="AIT88" s="163"/>
      <c r="AIU88" s="163"/>
      <c r="AIV88" s="163"/>
      <c r="AIW88" s="163"/>
      <c r="AIX88" s="163"/>
      <c r="AIY88" s="163"/>
      <c r="AIZ88" s="163"/>
      <c r="AJA88" s="163"/>
      <c r="AJB88" s="163"/>
      <c r="AJC88" s="163"/>
      <c r="AJD88" s="163"/>
      <c r="AJE88" s="163"/>
      <c r="AJF88" s="163"/>
      <c r="AJG88" s="163"/>
      <c r="AJH88" s="163"/>
      <c r="AJI88" s="163"/>
      <c r="AJJ88" s="163"/>
      <c r="AJK88" s="163"/>
      <c r="AJL88" s="163"/>
      <c r="AJM88" s="163"/>
      <c r="AJN88" s="163"/>
      <c r="AJO88" s="163"/>
      <c r="AJP88" s="163"/>
      <c r="AJQ88" s="163"/>
      <c r="AJR88" s="163"/>
      <c r="AJS88" s="163"/>
      <c r="AJT88" s="163"/>
      <c r="AJU88" s="163"/>
      <c r="AJV88" s="163"/>
      <c r="AJW88" s="163"/>
      <c r="AJX88" s="163"/>
      <c r="AJY88" s="163"/>
      <c r="AJZ88" s="163"/>
      <c r="AKA88" s="163"/>
      <c r="AKB88" s="163"/>
      <c r="AKC88" s="163"/>
      <c r="AKD88" s="163"/>
      <c r="AKE88" s="163"/>
      <c r="AKF88" s="163"/>
      <c r="AKG88" s="163"/>
      <c r="AKH88" s="163"/>
      <c r="AKI88" s="163"/>
      <c r="AKJ88" s="163"/>
      <c r="AKK88" s="163"/>
      <c r="AKL88" s="163"/>
      <c r="AKM88" s="163"/>
      <c r="AKN88" s="163"/>
      <c r="AKO88" s="163"/>
      <c r="AKP88" s="163"/>
      <c r="AKQ88" s="163"/>
      <c r="AKR88" s="163"/>
      <c r="AKS88" s="163"/>
      <c r="AKT88" s="163"/>
      <c r="AKU88" s="163"/>
      <c r="AKV88" s="163"/>
      <c r="AKW88" s="163"/>
      <c r="AKX88" s="163"/>
      <c r="AKY88" s="163"/>
      <c r="AKZ88" s="163"/>
      <c r="ALA88" s="163"/>
      <c r="ALB88" s="163"/>
      <c r="ALC88" s="163"/>
      <c r="ALD88" s="163"/>
      <c r="ALE88" s="163"/>
      <c r="ALF88" s="163"/>
      <c r="ALG88" s="163"/>
      <c r="ALH88" s="163"/>
      <c r="ALI88" s="163"/>
      <c r="ALJ88" s="163"/>
      <c r="ALK88" s="163"/>
      <c r="ALL88" s="163"/>
      <c r="ALM88" s="163"/>
      <c r="ALN88" s="163"/>
      <c r="ALO88" s="163"/>
      <c r="ALP88" s="163"/>
      <c r="ALQ88" s="163"/>
      <c r="ALR88" s="163"/>
      <c r="ALS88" s="163"/>
      <c r="ALT88" s="163"/>
      <c r="ALU88" s="163"/>
      <c r="ALV88" s="163"/>
      <c r="ALW88" s="163"/>
      <c r="ALX88" s="163"/>
      <c r="ALY88" s="163"/>
      <c r="ALZ88" s="163"/>
      <c r="AMA88" s="163"/>
      <c r="AMB88" s="163"/>
      <c r="AMC88" s="163"/>
      <c r="AMD88" s="163"/>
      <c r="AME88" s="163"/>
      <c r="AMF88" s="163"/>
      <c r="AMG88" s="163"/>
      <c r="AMH88" s="163"/>
      <c r="AMI88" s="163"/>
      <c r="AMJ88" s="163"/>
      <c r="AMK88" s="163"/>
      <c r="AML88" s="163"/>
      <c r="AMM88" s="163"/>
      <c r="AMN88" s="163"/>
      <c r="AMO88" s="163"/>
      <c r="AMP88" s="163"/>
      <c r="AMQ88" s="163"/>
      <c r="AMR88" s="163"/>
      <c r="AMS88" s="163"/>
      <c r="AMT88" s="163"/>
      <c r="AMU88" s="163"/>
      <c r="AMV88" s="163"/>
      <c r="AMW88" s="163"/>
      <c r="AMX88" s="163"/>
      <c r="AMY88" s="163"/>
      <c r="AMZ88" s="163"/>
      <c r="ANA88" s="163"/>
      <c r="ANB88" s="163"/>
      <c r="ANC88" s="163"/>
      <c r="AND88" s="163"/>
      <c r="ANE88" s="163"/>
      <c r="ANF88" s="163"/>
      <c r="ANG88" s="163"/>
      <c r="ANH88" s="163"/>
      <c r="ANI88" s="163"/>
      <c r="ANJ88" s="163"/>
      <c r="ANK88" s="163"/>
      <c r="ANL88" s="163"/>
      <c r="ANM88" s="163"/>
      <c r="ANN88" s="163"/>
      <c r="ANO88" s="163"/>
      <c r="ANP88" s="163"/>
      <c r="ANQ88" s="163"/>
      <c r="ANR88" s="163"/>
      <c r="ANS88" s="163"/>
      <c r="ANT88" s="163"/>
      <c r="ANU88" s="163"/>
      <c r="ANV88" s="163"/>
      <c r="ANW88" s="163"/>
      <c r="ANX88" s="163"/>
      <c r="ANY88" s="163"/>
      <c r="ANZ88" s="163"/>
      <c r="AOA88" s="163"/>
      <c r="AOB88" s="163"/>
      <c r="AOC88" s="163"/>
      <c r="AOD88" s="163"/>
      <c r="AOE88" s="163"/>
      <c r="AOF88" s="163"/>
      <c r="AOG88" s="163"/>
      <c r="AOH88" s="163"/>
      <c r="AOI88" s="163"/>
      <c r="AOJ88" s="163"/>
      <c r="AOK88" s="163"/>
      <c r="AOL88" s="163"/>
      <c r="AOM88" s="163"/>
      <c r="AON88" s="163"/>
      <c r="AOO88" s="163"/>
      <c r="AOP88" s="163"/>
      <c r="AOQ88" s="163"/>
      <c r="AOR88" s="163"/>
      <c r="AOS88" s="163"/>
      <c r="AOT88" s="163"/>
      <c r="AOU88" s="163"/>
      <c r="AOV88" s="163"/>
      <c r="AOW88" s="163"/>
      <c r="AOX88" s="163"/>
      <c r="AOY88" s="163"/>
      <c r="AOZ88" s="163"/>
      <c r="APA88" s="163"/>
      <c r="APB88" s="163"/>
      <c r="APC88" s="163"/>
      <c r="APD88" s="163"/>
      <c r="APE88" s="163"/>
      <c r="APF88" s="163"/>
      <c r="APG88" s="163"/>
      <c r="APH88" s="163"/>
      <c r="API88" s="163"/>
      <c r="APJ88" s="163"/>
      <c r="APK88" s="163"/>
      <c r="APL88" s="163"/>
      <c r="APM88" s="163"/>
      <c r="APN88" s="163"/>
      <c r="APO88" s="163"/>
      <c r="APP88" s="163"/>
      <c r="APQ88" s="163"/>
      <c r="APR88" s="163"/>
      <c r="APS88" s="163"/>
      <c r="APT88" s="163"/>
      <c r="APU88" s="163"/>
      <c r="APV88" s="163"/>
      <c r="APW88" s="163"/>
      <c r="APX88" s="163"/>
      <c r="APY88" s="163"/>
      <c r="APZ88" s="163"/>
      <c r="AQA88" s="163"/>
      <c r="AQB88" s="163"/>
      <c r="AQC88" s="163"/>
      <c r="AQD88" s="163"/>
      <c r="AQE88" s="163"/>
      <c r="AQF88" s="163"/>
      <c r="AQG88" s="163"/>
      <c r="AQH88" s="163"/>
      <c r="AQI88" s="163"/>
      <c r="AQJ88" s="163"/>
      <c r="AQK88" s="163"/>
      <c r="AQL88" s="163"/>
      <c r="AQM88" s="163"/>
      <c r="AQN88" s="163"/>
      <c r="AQO88" s="163"/>
      <c r="AQP88" s="163"/>
      <c r="AQQ88" s="163"/>
      <c r="AQR88" s="163"/>
      <c r="AQS88" s="163"/>
      <c r="AQT88" s="163"/>
      <c r="AQU88" s="163"/>
      <c r="AQV88" s="163"/>
      <c r="AQW88" s="163"/>
      <c r="AQX88" s="163"/>
      <c r="AQY88" s="163"/>
      <c r="AQZ88" s="163"/>
      <c r="ARA88" s="163"/>
      <c r="ARB88" s="163"/>
      <c r="ARC88" s="163"/>
      <c r="ARD88" s="163"/>
      <c r="ARE88" s="163"/>
      <c r="ARF88" s="163"/>
      <c r="ARG88" s="163"/>
      <c r="ARH88" s="163"/>
      <c r="ARI88" s="163"/>
      <c r="ARJ88" s="163"/>
      <c r="ARK88" s="163"/>
      <c r="ARL88" s="163"/>
      <c r="ARM88" s="163"/>
      <c r="ARN88" s="163"/>
      <c r="ARO88" s="163"/>
      <c r="ARP88" s="163"/>
      <c r="ARQ88" s="163"/>
      <c r="ARR88" s="163"/>
      <c r="ARS88" s="163"/>
      <c r="ART88" s="163"/>
      <c r="ARU88" s="163"/>
      <c r="ARV88" s="163"/>
      <c r="ARW88" s="163"/>
      <c r="ARX88" s="163"/>
      <c r="ARY88" s="163"/>
      <c r="ARZ88" s="163"/>
      <c r="ASA88" s="163"/>
      <c r="ASB88" s="163"/>
      <c r="ASC88" s="163"/>
      <c r="ASD88" s="163"/>
      <c r="ASE88" s="163"/>
      <c r="ASF88" s="163"/>
      <c r="ASG88" s="163"/>
      <c r="ASH88" s="163"/>
      <c r="ASI88" s="163"/>
      <c r="ASJ88" s="163"/>
      <c r="ASK88" s="163"/>
      <c r="ASL88" s="163"/>
      <c r="ASM88" s="163"/>
      <c r="ASN88" s="163"/>
      <c r="ASO88" s="163"/>
      <c r="ASP88" s="163"/>
      <c r="ASQ88" s="163"/>
      <c r="ASR88" s="163"/>
      <c r="ASS88" s="163"/>
      <c r="AST88" s="163"/>
      <c r="ASU88" s="163"/>
      <c r="ASV88" s="163"/>
      <c r="ASW88" s="163"/>
      <c r="ASX88" s="163"/>
      <c r="ASY88" s="163"/>
      <c r="ASZ88" s="163"/>
      <c r="ATA88" s="163"/>
      <c r="ATB88" s="163"/>
      <c r="ATC88" s="163"/>
      <c r="ATD88" s="163"/>
      <c r="ATE88" s="163"/>
      <c r="ATF88" s="163"/>
      <c r="ATG88" s="163"/>
      <c r="ATH88" s="163"/>
      <c r="ATI88" s="163"/>
      <c r="ATJ88" s="163"/>
      <c r="ATK88" s="163"/>
      <c r="ATL88" s="163"/>
      <c r="ATM88" s="163"/>
      <c r="ATN88" s="163"/>
      <c r="ATO88" s="163"/>
      <c r="ATP88" s="163"/>
      <c r="ATQ88" s="163"/>
      <c r="ATR88" s="163"/>
      <c r="ATS88" s="163"/>
      <c r="ATT88" s="163"/>
      <c r="ATU88" s="163"/>
      <c r="ATV88" s="163"/>
      <c r="ATW88" s="163"/>
      <c r="ATX88" s="163"/>
      <c r="ATY88" s="163"/>
      <c r="ATZ88" s="163"/>
      <c r="AUA88" s="163"/>
      <c r="AUB88" s="163"/>
      <c r="AUC88" s="163"/>
      <c r="AUD88" s="163"/>
      <c r="AUE88" s="163"/>
      <c r="AUF88" s="163"/>
      <c r="AUG88" s="163"/>
      <c r="AUH88" s="163"/>
      <c r="AUI88" s="163"/>
      <c r="AUJ88" s="163"/>
      <c r="AUK88" s="163"/>
      <c r="AUL88" s="163"/>
      <c r="AUM88" s="163"/>
      <c r="AUN88" s="163"/>
      <c r="AUO88" s="163"/>
      <c r="AUP88" s="163"/>
      <c r="AUQ88" s="163"/>
      <c r="AUR88" s="163"/>
      <c r="AUS88" s="163"/>
      <c r="AUT88" s="163"/>
      <c r="AUU88" s="163"/>
      <c r="AUV88" s="163"/>
      <c r="AUW88" s="163"/>
      <c r="AUX88" s="163"/>
      <c r="AUY88" s="163"/>
      <c r="AUZ88" s="163"/>
      <c r="AVA88" s="163"/>
      <c r="AVB88" s="163"/>
      <c r="AVC88" s="163"/>
      <c r="AVD88" s="163"/>
      <c r="AVE88" s="163"/>
      <c r="AVF88" s="163"/>
      <c r="AVG88" s="163"/>
      <c r="AVH88" s="163"/>
      <c r="AVI88" s="163"/>
      <c r="AVJ88" s="163"/>
      <c r="AVK88" s="163"/>
      <c r="AVL88" s="163"/>
      <c r="AVM88" s="163"/>
      <c r="AVN88" s="163"/>
      <c r="AVO88" s="163"/>
      <c r="AVP88" s="163"/>
      <c r="AVQ88" s="163"/>
      <c r="AVR88" s="163"/>
      <c r="AVS88" s="163"/>
      <c r="AVT88" s="163"/>
      <c r="AVU88" s="163"/>
      <c r="AVV88" s="163"/>
      <c r="AVW88" s="163"/>
      <c r="AVX88" s="163"/>
      <c r="AVY88" s="163"/>
      <c r="AVZ88" s="163"/>
      <c r="AWA88" s="163"/>
      <c r="AWB88" s="163"/>
      <c r="AWC88" s="163"/>
      <c r="AWD88" s="163"/>
      <c r="AWE88" s="163"/>
      <c r="AWF88" s="163"/>
      <c r="AWG88" s="163"/>
      <c r="AWH88" s="163"/>
      <c r="AWI88" s="163"/>
      <c r="AWJ88" s="163"/>
      <c r="AWK88" s="163"/>
      <c r="AWL88" s="163"/>
      <c r="AWM88" s="163"/>
      <c r="AWN88" s="163"/>
      <c r="AWO88" s="163"/>
      <c r="AWP88" s="163"/>
      <c r="AWQ88" s="163"/>
      <c r="AWR88" s="163"/>
      <c r="AWS88" s="163"/>
      <c r="AWT88" s="163"/>
      <c r="AWU88" s="163"/>
      <c r="AWV88" s="163"/>
      <c r="AWW88" s="163"/>
      <c r="AWX88" s="163"/>
      <c r="AWY88" s="163"/>
      <c r="AWZ88" s="163"/>
      <c r="AXA88" s="163"/>
      <c r="AXB88" s="163"/>
      <c r="AXC88" s="163"/>
      <c r="AXD88" s="163"/>
      <c r="AXE88" s="163"/>
      <c r="AXF88" s="163"/>
      <c r="AXG88" s="163"/>
      <c r="AXH88" s="163"/>
      <c r="AXI88" s="163"/>
      <c r="AXJ88" s="163"/>
      <c r="AXK88" s="163"/>
      <c r="AXL88" s="163"/>
      <c r="AXM88" s="163"/>
      <c r="AXN88" s="163"/>
      <c r="AXO88" s="163"/>
      <c r="AXP88" s="163"/>
      <c r="AXQ88" s="163"/>
      <c r="AXR88" s="163"/>
      <c r="AXS88" s="163"/>
      <c r="AXT88" s="163"/>
      <c r="AXU88" s="163"/>
      <c r="AXV88" s="163"/>
      <c r="AXW88" s="163"/>
      <c r="AXX88" s="163"/>
      <c r="AXY88" s="163"/>
      <c r="AXZ88" s="163"/>
      <c r="AYA88" s="163"/>
      <c r="AYB88" s="163"/>
      <c r="AYC88" s="163"/>
      <c r="AYD88" s="163"/>
      <c r="AYE88" s="163"/>
      <c r="AYF88" s="163"/>
      <c r="AYG88" s="163"/>
      <c r="AYH88" s="163"/>
      <c r="AYI88" s="163"/>
      <c r="AYJ88" s="163"/>
      <c r="AYK88" s="163"/>
      <c r="AYL88" s="163"/>
      <c r="AYM88" s="163"/>
      <c r="AYN88" s="163"/>
      <c r="AYO88" s="163"/>
      <c r="AYP88" s="163"/>
      <c r="AYQ88" s="163"/>
      <c r="AYR88" s="163"/>
      <c r="AYS88" s="163"/>
      <c r="AYT88" s="163"/>
      <c r="AYU88" s="163"/>
      <c r="AYV88" s="163"/>
      <c r="AYW88" s="163"/>
      <c r="AYX88" s="163"/>
      <c r="AYY88" s="163"/>
      <c r="AYZ88" s="163"/>
      <c r="AZA88" s="163"/>
      <c r="AZB88" s="163"/>
      <c r="AZC88" s="163"/>
      <c r="AZD88" s="163"/>
      <c r="AZE88" s="163"/>
      <c r="AZF88" s="163"/>
      <c r="AZG88" s="163"/>
      <c r="AZH88" s="163"/>
      <c r="AZI88" s="163"/>
      <c r="AZJ88" s="163"/>
      <c r="AZK88" s="163"/>
      <c r="AZL88" s="163"/>
      <c r="AZM88" s="163"/>
      <c r="AZN88" s="163"/>
      <c r="AZO88" s="163"/>
      <c r="AZP88" s="163"/>
      <c r="AZQ88" s="163"/>
      <c r="AZR88" s="163"/>
      <c r="AZS88" s="163"/>
      <c r="AZT88" s="163"/>
      <c r="AZU88" s="163"/>
      <c r="AZV88" s="163"/>
      <c r="AZW88" s="163"/>
      <c r="AZX88" s="163"/>
      <c r="AZY88" s="163"/>
      <c r="AZZ88" s="163"/>
      <c r="BAA88" s="163"/>
      <c r="BAB88" s="163"/>
      <c r="BAC88" s="163"/>
      <c r="BAD88" s="163"/>
      <c r="BAE88" s="163"/>
      <c r="BAF88" s="163"/>
      <c r="BAG88" s="163"/>
      <c r="BAH88" s="163"/>
      <c r="BAI88" s="163"/>
      <c r="BAJ88" s="163"/>
      <c r="BAK88" s="163"/>
      <c r="BAL88" s="163"/>
      <c r="BAM88" s="163"/>
      <c r="BAN88" s="163"/>
      <c r="BAO88" s="163"/>
      <c r="BAP88" s="163"/>
      <c r="BAQ88" s="163"/>
      <c r="BAR88" s="163"/>
      <c r="BAS88" s="163"/>
      <c r="BAT88" s="163"/>
      <c r="BAU88" s="163"/>
      <c r="BAV88" s="163"/>
      <c r="BAW88" s="163"/>
      <c r="BAX88" s="163"/>
      <c r="BAY88" s="163"/>
      <c r="BAZ88" s="163"/>
      <c r="BBA88" s="163"/>
      <c r="BBB88" s="163"/>
      <c r="BBC88" s="163"/>
      <c r="BBD88" s="163"/>
      <c r="BBE88" s="163"/>
      <c r="BBF88" s="163"/>
      <c r="BBG88" s="163"/>
      <c r="BBH88" s="163"/>
      <c r="BBI88" s="163"/>
      <c r="BBJ88" s="163"/>
      <c r="BBK88" s="163"/>
      <c r="BBL88" s="163"/>
      <c r="BBM88" s="163"/>
      <c r="BBN88" s="163"/>
      <c r="BBO88" s="163"/>
      <c r="BBP88" s="163"/>
      <c r="BBQ88" s="163"/>
      <c r="BBR88" s="163"/>
      <c r="BBS88" s="163"/>
      <c r="BBT88" s="163"/>
      <c r="BBU88" s="163"/>
      <c r="BBV88" s="163"/>
      <c r="BBW88" s="163"/>
      <c r="BBX88" s="163"/>
      <c r="BBY88" s="163"/>
      <c r="BBZ88" s="163"/>
      <c r="BCA88" s="163"/>
      <c r="BCB88" s="163"/>
      <c r="BCC88" s="163"/>
      <c r="BCD88" s="163"/>
      <c r="BCE88" s="163"/>
      <c r="BCF88" s="163"/>
      <c r="BCG88" s="163"/>
      <c r="BCH88" s="163"/>
      <c r="BCI88" s="163"/>
      <c r="BCJ88" s="163"/>
      <c r="BCK88" s="163"/>
      <c r="BCL88" s="163"/>
      <c r="BCM88" s="163"/>
      <c r="BCN88" s="163"/>
      <c r="BCO88" s="163"/>
      <c r="BCP88" s="163"/>
      <c r="BCQ88" s="163"/>
      <c r="BCR88" s="163"/>
      <c r="BCS88" s="163"/>
      <c r="BCT88" s="163"/>
      <c r="BCU88" s="163"/>
      <c r="BCV88" s="163"/>
      <c r="BCW88" s="163"/>
      <c r="BCX88" s="163"/>
      <c r="BCY88" s="163"/>
      <c r="BCZ88" s="163"/>
      <c r="BDA88" s="163"/>
      <c r="BDB88" s="163"/>
      <c r="BDC88" s="163"/>
      <c r="BDD88" s="163"/>
      <c r="BDE88" s="163"/>
      <c r="BDF88" s="163"/>
      <c r="BDG88" s="163"/>
      <c r="BDH88" s="163"/>
      <c r="BDI88" s="163"/>
      <c r="BDJ88" s="163"/>
      <c r="BDK88" s="163"/>
      <c r="BDL88" s="163"/>
      <c r="BDM88" s="163"/>
      <c r="BDN88" s="163"/>
      <c r="BDO88" s="163"/>
      <c r="BDP88" s="163"/>
      <c r="BDQ88" s="163"/>
      <c r="BDR88" s="163"/>
      <c r="BDS88" s="163"/>
      <c r="BDT88" s="163"/>
      <c r="BDU88" s="163"/>
      <c r="BDV88" s="163"/>
      <c r="BDW88" s="163"/>
      <c r="BDX88" s="163"/>
      <c r="BDY88" s="163"/>
      <c r="BDZ88" s="163"/>
      <c r="BEA88" s="163"/>
      <c r="BEB88" s="163"/>
      <c r="BEC88" s="163"/>
      <c r="BED88" s="163"/>
      <c r="BEE88" s="163"/>
      <c r="BEF88" s="163"/>
      <c r="BEG88" s="163"/>
      <c r="BEH88" s="163"/>
      <c r="BEI88" s="163"/>
      <c r="BEJ88" s="163"/>
      <c r="BEK88" s="163"/>
      <c r="BEL88" s="163"/>
      <c r="BEM88" s="163"/>
      <c r="BEN88" s="163"/>
      <c r="BEO88" s="163"/>
      <c r="BEP88" s="163"/>
      <c r="BEQ88" s="163"/>
      <c r="BER88" s="163"/>
      <c r="BES88" s="163"/>
      <c r="BET88" s="163"/>
      <c r="BEU88" s="163"/>
      <c r="BEV88" s="163"/>
      <c r="BEW88" s="163"/>
      <c r="BEX88" s="163"/>
      <c r="BEY88" s="163"/>
      <c r="BEZ88" s="163"/>
      <c r="BFA88" s="163"/>
      <c r="BFB88" s="163"/>
      <c r="BFC88" s="163"/>
      <c r="BFD88" s="163"/>
      <c r="BFE88" s="163"/>
      <c r="BFF88" s="163"/>
      <c r="BFG88" s="163"/>
      <c r="BFH88" s="163"/>
      <c r="BFI88" s="163"/>
      <c r="BFJ88" s="163"/>
      <c r="BFK88" s="163"/>
      <c r="BFL88" s="163"/>
      <c r="BFM88" s="163"/>
      <c r="BFN88" s="163"/>
      <c r="BFO88" s="163"/>
      <c r="BFP88" s="163"/>
      <c r="BFQ88" s="163"/>
      <c r="BFR88" s="163"/>
      <c r="BFS88" s="163"/>
      <c r="BFT88" s="163"/>
      <c r="BFU88" s="163"/>
      <c r="BFV88" s="163"/>
      <c r="BFW88" s="163"/>
      <c r="BFX88" s="163"/>
      <c r="BFY88" s="163"/>
      <c r="BFZ88" s="163"/>
      <c r="BGA88" s="163"/>
      <c r="BGB88" s="163"/>
      <c r="BGC88" s="163"/>
      <c r="BGD88" s="163"/>
      <c r="BGE88" s="163"/>
      <c r="BGF88" s="163"/>
      <c r="BGG88" s="163"/>
      <c r="BGH88" s="163"/>
      <c r="BGI88" s="163"/>
      <c r="BGJ88" s="163"/>
      <c r="BGK88" s="163"/>
      <c r="BGL88" s="163"/>
      <c r="BGM88" s="163"/>
      <c r="BGN88" s="163"/>
      <c r="BGO88" s="163"/>
      <c r="BGP88" s="163"/>
      <c r="BGQ88" s="163"/>
      <c r="BGR88" s="163"/>
      <c r="BGS88" s="163"/>
      <c r="BGT88" s="163"/>
      <c r="BGU88" s="163"/>
      <c r="BGV88" s="163"/>
      <c r="BGW88" s="163"/>
      <c r="BGX88" s="163"/>
      <c r="BGY88" s="163"/>
      <c r="BGZ88" s="163"/>
      <c r="BHA88" s="163"/>
      <c r="BHB88" s="163"/>
      <c r="BHC88" s="163"/>
      <c r="BHD88" s="163"/>
      <c r="BHE88" s="163"/>
      <c r="BHF88" s="163"/>
      <c r="BHG88" s="163"/>
      <c r="BHH88" s="163"/>
      <c r="BHI88" s="163"/>
      <c r="BHJ88" s="163"/>
      <c r="BHK88" s="163"/>
      <c r="BHL88" s="163"/>
      <c r="BHM88" s="163"/>
      <c r="BHN88" s="163"/>
      <c r="BHO88" s="163"/>
      <c r="BHP88" s="163"/>
      <c r="BHQ88" s="163"/>
      <c r="BHR88" s="163"/>
      <c r="BHS88" s="163"/>
      <c r="BHT88" s="163"/>
      <c r="BHU88" s="163"/>
      <c r="BHV88" s="163"/>
      <c r="BHW88" s="163"/>
      <c r="BHX88" s="163"/>
      <c r="BHY88" s="163"/>
      <c r="BHZ88" s="163"/>
      <c r="BIA88" s="163"/>
      <c r="BIB88" s="163"/>
      <c r="BIC88" s="163"/>
      <c r="BID88" s="163"/>
      <c r="BIE88" s="163"/>
      <c r="BIF88" s="163"/>
      <c r="BIG88" s="163"/>
      <c r="BIH88" s="163"/>
      <c r="BII88" s="163"/>
      <c r="BIJ88" s="163"/>
      <c r="BIK88" s="163"/>
      <c r="BIL88" s="163"/>
      <c r="BIM88" s="163"/>
      <c r="BIN88" s="163"/>
      <c r="BIO88" s="163"/>
      <c r="BIP88" s="163"/>
      <c r="BIQ88" s="163"/>
      <c r="BIR88" s="163"/>
      <c r="BIS88" s="163"/>
      <c r="BIT88" s="163"/>
      <c r="BIU88" s="163"/>
      <c r="BIV88" s="163"/>
      <c r="BIW88" s="163"/>
      <c r="BIX88" s="163"/>
      <c r="BIY88" s="163"/>
      <c r="BIZ88" s="163"/>
      <c r="BJA88" s="163"/>
      <c r="BJB88" s="163"/>
      <c r="BJC88" s="163"/>
      <c r="BJD88" s="163"/>
      <c r="BJE88" s="163"/>
      <c r="BJF88" s="163"/>
      <c r="BJG88" s="163"/>
      <c r="BJH88" s="163"/>
      <c r="BJI88" s="163"/>
      <c r="BJJ88" s="163"/>
      <c r="BJK88" s="163"/>
      <c r="BJL88" s="163"/>
      <c r="BJM88" s="163"/>
      <c r="BJN88" s="163"/>
      <c r="BJO88" s="163"/>
      <c r="BJP88" s="163"/>
      <c r="BJQ88" s="163"/>
      <c r="BJR88" s="163"/>
      <c r="BJS88" s="163"/>
      <c r="BJT88" s="163"/>
      <c r="BJU88" s="163"/>
      <c r="BJV88" s="163"/>
      <c r="BJW88" s="163"/>
      <c r="BJX88" s="163"/>
      <c r="BJY88" s="163"/>
      <c r="BJZ88" s="163"/>
      <c r="BKA88" s="163"/>
      <c r="BKB88" s="163"/>
      <c r="BKC88" s="163"/>
      <c r="BKD88" s="163"/>
      <c r="BKE88" s="163"/>
      <c r="BKF88" s="163"/>
      <c r="BKG88" s="163"/>
      <c r="BKH88" s="163"/>
      <c r="BKI88" s="163"/>
      <c r="BKJ88" s="163"/>
      <c r="BKK88" s="163"/>
      <c r="BKL88" s="163"/>
      <c r="BKM88" s="163"/>
      <c r="BKN88" s="163"/>
      <c r="BKO88" s="163"/>
      <c r="BKP88" s="163"/>
      <c r="BKQ88" s="163"/>
      <c r="BKR88" s="163"/>
      <c r="BKS88" s="163"/>
      <c r="BKT88" s="163"/>
      <c r="BKU88" s="163"/>
      <c r="BKV88" s="163"/>
      <c r="BKW88" s="163"/>
      <c r="BKX88" s="163"/>
      <c r="BKY88" s="163"/>
      <c r="BKZ88" s="163"/>
      <c r="BLA88" s="163"/>
      <c r="BLB88" s="163"/>
      <c r="BLC88" s="163"/>
      <c r="BLD88" s="163"/>
      <c r="BLE88" s="163"/>
      <c r="BLF88" s="163"/>
      <c r="BLG88" s="163"/>
      <c r="BLH88" s="163"/>
      <c r="BLI88" s="163"/>
      <c r="BLJ88" s="163"/>
      <c r="BLK88" s="163"/>
      <c r="BLL88" s="163"/>
      <c r="BLM88" s="163"/>
      <c r="BLN88" s="163"/>
      <c r="BLO88" s="163"/>
      <c r="BLP88" s="163"/>
      <c r="BLQ88" s="163"/>
      <c r="BLR88" s="163"/>
      <c r="BLS88" s="163"/>
      <c r="BLT88" s="163"/>
      <c r="BLU88" s="163"/>
      <c r="BLV88" s="163"/>
      <c r="BLW88" s="163"/>
      <c r="BLX88" s="163"/>
      <c r="BLY88" s="163"/>
      <c r="BLZ88" s="163"/>
      <c r="BMA88" s="163"/>
      <c r="BMB88" s="163"/>
      <c r="BMC88" s="163"/>
      <c r="BMD88" s="163"/>
      <c r="BME88" s="163"/>
      <c r="BMF88" s="163"/>
      <c r="BMG88" s="163"/>
      <c r="BMH88" s="163"/>
      <c r="BMI88" s="163"/>
      <c r="BMJ88" s="163"/>
      <c r="BMK88" s="163"/>
      <c r="BML88" s="163"/>
      <c r="BMM88" s="163"/>
      <c r="BMN88" s="163"/>
      <c r="BMO88" s="163"/>
      <c r="BMP88" s="163"/>
      <c r="BMQ88" s="163"/>
      <c r="BMR88" s="163"/>
      <c r="BMS88" s="163"/>
      <c r="BMT88" s="163"/>
      <c r="BMU88" s="163"/>
      <c r="BMV88" s="163"/>
      <c r="BMW88" s="163"/>
      <c r="BMX88" s="163"/>
      <c r="BMY88" s="163"/>
      <c r="BMZ88" s="163"/>
      <c r="BNA88" s="163"/>
      <c r="BNB88" s="163"/>
      <c r="BNC88" s="163"/>
      <c r="BND88" s="163"/>
      <c r="BNE88" s="163"/>
      <c r="BNF88" s="163"/>
      <c r="BNG88" s="163"/>
      <c r="BNH88" s="163"/>
      <c r="BNI88" s="163"/>
      <c r="BNJ88" s="163"/>
      <c r="BNK88" s="163"/>
      <c r="BNL88" s="163"/>
      <c r="BNM88" s="163"/>
      <c r="BNN88" s="163"/>
      <c r="BNO88" s="163"/>
      <c r="BNP88" s="163"/>
      <c r="BNQ88" s="163"/>
      <c r="BNR88" s="163"/>
      <c r="BNS88" s="163"/>
      <c r="BNT88" s="163"/>
      <c r="BNU88" s="163"/>
      <c r="BNV88" s="163"/>
      <c r="BNW88" s="163"/>
      <c r="BNX88" s="163"/>
      <c r="BNY88" s="163"/>
      <c r="BNZ88" s="163"/>
      <c r="BOA88" s="163"/>
      <c r="BOB88" s="163"/>
      <c r="BOC88" s="163"/>
      <c r="BOD88" s="163"/>
      <c r="BOE88" s="163"/>
      <c r="BOF88" s="163"/>
      <c r="BOG88" s="163"/>
      <c r="BOH88" s="163"/>
      <c r="BOI88" s="163"/>
      <c r="BOJ88" s="163"/>
      <c r="BOK88" s="163"/>
      <c r="BOL88" s="163"/>
      <c r="BOM88" s="163"/>
      <c r="BON88" s="163"/>
      <c r="BOO88" s="163"/>
      <c r="BOP88" s="163"/>
      <c r="BOQ88" s="163"/>
      <c r="BOR88" s="163"/>
      <c r="BOS88" s="163"/>
      <c r="BOT88" s="163"/>
      <c r="BOU88" s="163"/>
      <c r="BOV88" s="163"/>
      <c r="BOW88" s="163"/>
      <c r="BOX88" s="163"/>
      <c r="BOY88" s="163"/>
      <c r="BOZ88" s="163"/>
      <c r="BPA88" s="163"/>
      <c r="BPB88" s="163"/>
      <c r="BPC88" s="163"/>
      <c r="BPD88" s="163"/>
      <c r="BPE88" s="163"/>
      <c r="BPF88" s="163"/>
      <c r="BPG88" s="163"/>
      <c r="BPH88" s="163"/>
      <c r="BPI88" s="163"/>
      <c r="BPJ88" s="163"/>
      <c r="BPK88" s="163"/>
      <c r="BPL88" s="163"/>
      <c r="BPM88" s="163"/>
      <c r="BPN88" s="163"/>
      <c r="BPO88" s="163"/>
      <c r="BPP88" s="163"/>
      <c r="BPQ88" s="163"/>
      <c r="BPR88" s="163"/>
      <c r="BPS88" s="163"/>
      <c r="BPT88" s="163"/>
      <c r="BPU88" s="163"/>
      <c r="BPV88" s="163"/>
      <c r="BPW88" s="163"/>
      <c r="BPX88" s="163"/>
      <c r="BPY88" s="163"/>
      <c r="BPZ88" s="163"/>
      <c r="BQA88" s="163"/>
      <c r="BQB88" s="163"/>
      <c r="BQC88" s="163"/>
      <c r="BQD88" s="163"/>
      <c r="BQE88" s="163"/>
      <c r="BQF88" s="163"/>
      <c r="BQG88" s="163"/>
      <c r="BQH88" s="163"/>
      <c r="BQI88" s="163"/>
      <c r="BQJ88" s="163"/>
      <c r="BQK88" s="163"/>
      <c r="BQL88" s="163"/>
      <c r="BQM88" s="163"/>
      <c r="BQN88" s="163"/>
      <c r="BQO88" s="163"/>
      <c r="BQP88" s="163"/>
      <c r="BQQ88" s="163"/>
      <c r="BQR88" s="163"/>
      <c r="BQS88" s="163"/>
      <c r="BQT88" s="163"/>
      <c r="BQU88" s="163"/>
      <c r="BQV88" s="163"/>
      <c r="BQW88" s="163"/>
      <c r="BQX88" s="163"/>
      <c r="BQY88" s="163"/>
      <c r="BQZ88" s="163"/>
      <c r="BRA88" s="163"/>
      <c r="BRB88" s="163"/>
      <c r="BRC88" s="163"/>
      <c r="BRD88" s="163"/>
      <c r="BRE88" s="163"/>
      <c r="BRF88" s="163"/>
      <c r="BRG88" s="163"/>
      <c r="BRH88" s="163"/>
      <c r="BRI88" s="163"/>
      <c r="BRJ88" s="163"/>
      <c r="BRK88" s="163"/>
      <c r="BRL88" s="163"/>
      <c r="BRM88" s="163"/>
      <c r="BRN88" s="163"/>
      <c r="BRO88" s="163"/>
      <c r="BRP88" s="163"/>
      <c r="BRQ88" s="163"/>
      <c r="BRR88" s="163"/>
      <c r="BRS88" s="163"/>
      <c r="BRT88" s="163"/>
      <c r="BRU88" s="163"/>
      <c r="BRV88" s="163"/>
      <c r="BRW88" s="163"/>
      <c r="BRX88" s="163"/>
      <c r="BRY88" s="163"/>
      <c r="BRZ88" s="163"/>
      <c r="BSA88" s="163"/>
      <c r="BSB88" s="163"/>
      <c r="BSC88" s="163"/>
      <c r="BSD88" s="163"/>
      <c r="BSE88" s="163"/>
      <c r="BSF88" s="163"/>
      <c r="BSG88" s="163"/>
      <c r="BSH88" s="163"/>
      <c r="BSI88" s="163"/>
      <c r="BSJ88" s="163"/>
      <c r="BSK88" s="163"/>
      <c r="BSL88" s="163"/>
      <c r="BSM88" s="163"/>
      <c r="BSN88" s="163"/>
      <c r="BSO88" s="163"/>
      <c r="BSP88" s="163"/>
      <c r="BSQ88" s="163"/>
      <c r="BSR88" s="163"/>
      <c r="BSS88" s="163"/>
      <c r="BST88" s="163"/>
      <c r="BSU88" s="163"/>
      <c r="BSV88" s="163"/>
      <c r="BSW88" s="163"/>
      <c r="BSX88" s="163"/>
      <c r="BSY88" s="163"/>
      <c r="BSZ88" s="163"/>
      <c r="BTA88" s="163"/>
      <c r="BTB88" s="163"/>
      <c r="BTC88" s="163"/>
      <c r="BTD88" s="163"/>
      <c r="BTE88" s="163"/>
      <c r="BTF88" s="163"/>
      <c r="BTG88" s="163"/>
      <c r="BTH88" s="163"/>
      <c r="BTI88" s="163"/>
      <c r="BTJ88" s="163"/>
      <c r="BTK88" s="163"/>
      <c r="BTL88" s="163"/>
      <c r="BTM88" s="163"/>
      <c r="BTN88" s="163"/>
      <c r="BTO88" s="163"/>
      <c r="BTP88" s="163"/>
      <c r="BTQ88" s="163"/>
      <c r="BTR88" s="163"/>
      <c r="BTS88" s="163"/>
      <c r="BTT88" s="163"/>
      <c r="BTU88" s="163"/>
      <c r="BTV88" s="163"/>
      <c r="BTW88" s="163"/>
      <c r="BTX88" s="163"/>
      <c r="BTY88" s="163"/>
      <c r="BTZ88" s="163"/>
      <c r="BUA88" s="163"/>
      <c r="BUB88" s="163"/>
      <c r="BUC88" s="163"/>
      <c r="BUD88" s="163"/>
      <c r="BUE88" s="163"/>
      <c r="BUF88" s="163"/>
      <c r="BUG88" s="163"/>
      <c r="BUH88" s="163"/>
      <c r="BUI88" s="163"/>
      <c r="BUJ88" s="163"/>
      <c r="BUK88" s="163"/>
      <c r="BUL88" s="163"/>
      <c r="BUM88" s="163"/>
      <c r="BUN88" s="163"/>
      <c r="BUO88" s="163"/>
      <c r="BUP88" s="163"/>
      <c r="BUQ88" s="163"/>
      <c r="BUR88" s="163"/>
      <c r="BUS88" s="163"/>
      <c r="BUT88" s="163"/>
      <c r="BUU88" s="163"/>
      <c r="BUV88" s="163"/>
      <c r="BUW88" s="163"/>
      <c r="BUX88" s="163"/>
      <c r="BUY88" s="163"/>
      <c r="BUZ88" s="163"/>
      <c r="BVA88" s="163"/>
      <c r="BVB88" s="163"/>
      <c r="BVC88" s="163"/>
      <c r="BVD88" s="163"/>
      <c r="BVE88" s="163"/>
      <c r="BVF88" s="163"/>
      <c r="BVG88" s="163"/>
      <c r="BVH88" s="163"/>
      <c r="BVI88" s="163"/>
      <c r="BVJ88" s="163"/>
      <c r="BVK88" s="163"/>
      <c r="BVL88" s="163"/>
      <c r="BVM88" s="163"/>
      <c r="BVN88" s="163"/>
      <c r="BVO88" s="163"/>
      <c r="BVP88" s="163"/>
      <c r="BVQ88" s="163"/>
      <c r="BVR88" s="163"/>
      <c r="BVS88" s="163"/>
      <c r="BVT88" s="163"/>
      <c r="BVU88" s="163"/>
      <c r="BVV88" s="163"/>
      <c r="BVW88" s="163"/>
      <c r="BVX88" s="163"/>
      <c r="BVY88" s="163"/>
      <c r="BVZ88" s="163"/>
      <c r="BWA88" s="163"/>
      <c r="BWB88" s="163"/>
      <c r="BWC88" s="163"/>
      <c r="BWD88" s="163"/>
      <c r="BWE88" s="163"/>
      <c r="BWF88" s="163"/>
      <c r="BWG88" s="163"/>
      <c r="BWH88" s="163"/>
      <c r="BWI88" s="163"/>
      <c r="BWJ88" s="163"/>
      <c r="BWK88" s="163"/>
      <c r="BWL88" s="163"/>
      <c r="BWM88" s="163"/>
      <c r="BWN88" s="163"/>
      <c r="BWO88" s="163"/>
      <c r="BWP88" s="163"/>
      <c r="BWQ88" s="163"/>
      <c r="BWR88" s="163"/>
      <c r="BWS88" s="163"/>
      <c r="BWT88" s="163"/>
      <c r="BWU88" s="163"/>
      <c r="BWV88" s="163"/>
      <c r="BWW88" s="163"/>
      <c r="BWX88" s="163"/>
      <c r="BWY88" s="163"/>
      <c r="BWZ88" s="163"/>
      <c r="BXA88" s="163"/>
      <c r="BXB88" s="163"/>
      <c r="BXC88" s="163"/>
      <c r="BXD88" s="163"/>
      <c r="BXE88" s="163"/>
      <c r="BXF88" s="163"/>
      <c r="BXG88" s="163"/>
      <c r="BXH88" s="163"/>
      <c r="BXI88" s="163"/>
      <c r="BXJ88" s="163"/>
      <c r="BXK88" s="163"/>
      <c r="BXL88" s="163"/>
      <c r="BXM88" s="163"/>
      <c r="BXN88" s="163"/>
      <c r="BXO88" s="163"/>
      <c r="BXP88" s="163"/>
      <c r="BXQ88" s="163"/>
      <c r="BXR88" s="163"/>
      <c r="BXS88" s="163"/>
      <c r="BXT88" s="163"/>
      <c r="BXU88" s="163"/>
      <c r="BXV88" s="163"/>
      <c r="BXW88" s="163"/>
      <c r="BXX88" s="163"/>
      <c r="BXY88" s="163"/>
      <c r="BXZ88" s="163"/>
      <c r="BYA88" s="163"/>
      <c r="BYB88" s="163"/>
      <c r="BYC88" s="163"/>
      <c r="BYD88" s="163"/>
      <c r="BYE88" s="163"/>
      <c r="BYF88" s="163"/>
      <c r="BYG88" s="163"/>
      <c r="BYH88" s="163"/>
      <c r="BYI88" s="163"/>
      <c r="BYJ88" s="163"/>
      <c r="BYK88" s="163"/>
      <c r="BYL88" s="163"/>
      <c r="BYM88" s="163"/>
      <c r="BYN88" s="163"/>
      <c r="BYO88" s="163"/>
      <c r="BYP88" s="163"/>
      <c r="BYQ88" s="163"/>
      <c r="BYR88" s="163"/>
      <c r="BYS88" s="163"/>
      <c r="BYT88" s="163"/>
      <c r="BYU88" s="163"/>
      <c r="BYV88" s="163"/>
      <c r="BYW88" s="163"/>
      <c r="BYX88" s="163"/>
      <c r="BYY88" s="163"/>
      <c r="BYZ88" s="163"/>
      <c r="BZA88" s="163"/>
      <c r="BZB88" s="163"/>
      <c r="BZC88" s="163"/>
      <c r="BZD88" s="163"/>
      <c r="BZE88" s="163"/>
      <c r="BZF88" s="163"/>
      <c r="BZG88" s="163"/>
      <c r="BZH88" s="163"/>
      <c r="BZI88" s="163"/>
      <c r="BZJ88" s="163"/>
      <c r="BZK88" s="163"/>
      <c r="BZL88" s="163"/>
      <c r="BZM88" s="163"/>
      <c r="BZN88" s="163"/>
      <c r="BZO88" s="163"/>
      <c r="BZP88" s="163"/>
      <c r="BZQ88" s="163"/>
      <c r="BZR88" s="163"/>
      <c r="BZS88" s="163"/>
      <c r="BZT88" s="163"/>
      <c r="BZU88" s="163"/>
      <c r="BZV88" s="163"/>
      <c r="BZW88" s="163"/>
      <c r="BZX88" s="163"/>
      <c r="BZY88" s="163"/>
      <c r="BZZ88" s="163"/>
      <c r="CAA88" s="163"/>
      <c r="CAB88" s="163"/>
      <c r="CAC88" s="163"/>
      <c r="CAD88" s="163"/>
      <c r="CAE88" s="163"/>
      <c r="CAF88" s="163"/>
      <c r="CAG88" s="163"/>
      <c r="CAH88" s="163"/>
      <c r="CAI88" s="163"/>
      <c r="CAJ88" s="163"/>
      <c r="CAK88" s="163"/>
      <c r="CAL88" s="163"/>
      <c r="CAM88" s="163"/>
      <c r="CAN88" s="163"/>
      <c r="CAO88" s="163"/>
      <c r="CAP88" s="163"/>
      <c r="CAQ88" s="163"/>
      <c r="CAR88" s="163"/>
      <c r="CAS88" s="163"/>
      <c r="CAT88" s="163"/>
      <c r="CAU88" s="163"/>
      <c r="CAV88" s="163"/>
      <c r="CAW88" s="163"/>
      <c r="CAX88" s="163"/>
      <c r="CAY88" s="163"/>
      <c r="CAZ88" s="163"/>
      <c r="CBA88" s="163"/>
      <c r="CBB88" s="163"/>
      <c r="CBC88" s="163"/>
      <c r="CBD88" s="163"/>
      <c r="CBE88" s="163"/>
      <c r="CBF88" s="163"/>
      <c r="CBG88" s="163"/>
      <c r="CBH88" s="163"/>
      <c r="CBI88" s="163"/>
      <c r="CBJ88" s="163"/>
      <c r="CBK88" s="163"/>
      <c r="CBL88" s="163"/>
      <c r="CBM88" s="163"/>
      <c r="CBN88" s="163"/>
      <c r="CBO88" s="163"/>
      <c r="CBP88" s="163"/>
      <c r="CBQ88" s="163"/>
      <c r="CBR88" s="163"/>
      <c r="CBS88" s="163"/>
      <c r="CBT88" s="163"/>
      <c r="CBU88" s="163"/>
      <c r="CBV88" s="163"/>
      <c r="CBW88" s="163"/>
      <c r="CBX88" s="163"/>
      <c r="CBY88" s="163"/>
      <c r="CBZ88" s="163"/>
      <c r="CCA88" s="163"/>
      <c r="CCB88" s="163"/>
      <c r="CCC88" s="163"/>
      <c r="CCD88" s="163"/>
      <c r="CCE88" s="163"/>
      <c r="CCF88" s="163"/>
      <c r="CCG88" s="163"/>
      <c r="CCH88" s="163"/>
      <c r="CCI88" s="163"/>
      <c r="CCJ88" s="163"/>
      <c r="CCK88" s="163"/>
      <c r="CCL88" s="163"/>
      <c r="CCM88" s="163"/>
      <c r="CCN88" s="163"/>
      <c r="CCO88" s="163"/>
      <c r="CCP88" s="163"/>
      <c r="CCQ88" s="163"/>
      <c r="CCR88" s="163"/>
      <c r="CCS88" s="163"/>
      <c r="CCT88" s="163"/>
      <c r="CCU88" s="163"/>
      <c r="CCV88" s="163"/>
      <c r="CCW88" s="163"/>
      <c r="CCX88" s="163"/>
      <c r="CCY88" s="163"/>
      <c r="CCZ88" s="163"/>
      <c r="CDA88" s="163"/>
      <c r="CDB88" s="163"/>
      <c r="CDC88" s="163"/>
      <c r="CDD88" s="163"/>
      <c r="CDE88" s="163"/>
      <c r="CDF88" s="163"/>
      <c r="CDG88" s="163"/>
      <c r="CDH88" s="163"/>
      <c r="CDI88" s="163"/>
      <c r="CDJ88" s="163"/>
      <c r="CDK88" s="163"/>
      <c r="CDL88" s="163"/>
      <c r="CDM88" s="163"/>
      <c r="CDN88" s="163"/>
      <c r="CDO88" s="163"/>
      <c r="CDP88" s="163"/>
      <c r="CDQ88" s="163"/>
      <c r="CDR88" s="163"/>
      <c r="CDS88" s="163"/>
      <c r="CDT88" s="163"/>
      <c r="CDU88" s="163"/>
      <c r="CDV88" s="163"/>
      <c r="CDW88" s="163"/>
      <c r="CDX88" s="163"/>
      <c r="CDY88" s="163"/>
      <c r="CDZ88" s="163"/>
      <c r="CEA88" s="163"/>
      <c r="CEB88" s="163"/>
      <c r="CEC88" s="163"/>
      <c r="CED88" s="163"/>
      <c r="CEE88" s="163"/>
      <c r="CEF88" s="163"/>
      <c r="CEG88" s="163"/>
      <c r="CEH88" s="163"/>
      <c r="CEI88" s="163"/>
      <c r="CEJ88" s="163"/>
      <c r="CEK88" s="163"/>
      <c r="CEL88" s="163"/>
      <c r="CEM88" s="163"/>
      <c r="CEN88" s="163"/>
      <c r="CEO88" s="163"/>
      <c r="CEP88" s="163"/>
      <c r="CEQ88" s="163"/>
      <c r="CER88" s="163"/>
      <c r="CES88" s="163"/>
      <c r="CET88" s="163"/>
      <c r="CEU88" s="163"/>
      <c r="CEV88" s="163"/>
      <c r="CEW88" s="163"/>
      <c r="CEX88" s="163"/>
      <c r="CEY88" s="163"/>
      <c r="CEZ88" s="163"/>
      <c r="CFA88" s="163"/>
      <c r="CFB88" s="163"/>
      <c r="CFC88" s="163"/>
      <c r="CFD88" s="163"/>
      <c r="CFE88" s="163"/>
      <c r="CFF88" s="163"/>
      <c r="CFG88" s="163"/>
      <c r="CFH88" s="163"/>
      <c r="CFI88" s="163"/>
      <c r="CFJ88" s="163"/>
      <c r="CFK88" s="163"/>
      <c r="CFL88" s="163"/>
      <c r="CFM88" s="163"/>
      <c r="CFN88" s="163"/>
      <c r="CFO88" s="163"/>
      <c r="CFP88" s="163"/>
      <c r="CFQ88" s="163"/>
      <c r="CFR88" s="163"/>
      <c r="CFS88" s="163"/>
      <c r="CFT88" s="163"/>
      <c r="CFU88" s="163"/>
      <c r="CFV88" s="163"/>
      <c r="CFW88" s="163"/>
      <c r="CFX88" s="163"/>
      <c r="CFY88" s="163"/>
      <c r="CFZ88" s="163"/>
      <c r="CGA88" s="163"/>
      <c r="CGB88" s="163"/>
      <c r="CGC88" s="163"/>
      <c r="CGD88" s="163"/>
      <c r="CGE88" s="163"/>
      <c r="CGF88" s="163"/>
      <c r="CGG88" s="163"/>
      <c r="CGH88" s="163"/>
      <c r="CGI88" s="163"/>
      <c r="CGJ88" s="163"/>
      <c r="CGK88" s="163"/>
      <c r="CGL88" s="163"/>
      <c r="CGM88" s="163"/>
      <c r="CGN88" s="163"/>
      <c r="CGO88" s="163"/>
      <c r="CGP88" s="163"/>
      <c r="CGQ88" s="163"/>
      <c r="CGR88" s="163"/>
      <c r="CGS88" s="163"/>
      <c r="CGT88" s="163"/>
      <c r="CGU88" s="163"/>
      <c r="CGV88" s="163"/>
      <c r="CGW88" s="163"/>
      <c r="CGX88" s="163"/>
      <c r="CGY88" s="163"/>
      <c r="CGZ88" s="163"/>
      <c r="CHA88" s="163"/>
      <c r="CHB88" s="163"/>
      <c r="CHC88" s="163"/>
      <c r="CHD88" s="163"/>
      <c r="CHE88" s="163"/>
      <c r="CHF88" s="163"/>
      <c r="CHG88" s="163"/>
      <c r="CHH88" s="163"/>
      <c r="CHI88" s="163"/>
      <c r="CHJ88" s="163"/>
      <c r="CHK88" s="163"/>
      <c r="CHL88" s="163"/>
      <c r="CHM88" s="163"/>
      <c r="CHN88" s="163"/>
      <c r="CHO88" s="163"/>
      <c r="CHP88" s="163"/>
      <c r="CHQ88" s="163"/>
      <c r="CHR88" s="163"/>
      <c r="CHS88" s="163"/>
      <c r="CHT88" s="163"/>
      <c r="CHU88" s="163"/>
      <c r="CHV88" s="163"/>
      <c r="CHW88" s="163"/>
      <c r="CHX88" s="163"/>
      <c r="CHY88" s="163"/>
      <c r="CHZ88" s="163"/>
      <c r="CIA88" s="163"/>
      <c r="CIB88" s="163"/>
      <c r="CIC88" s="163"/>
      <c r="CID88" s="163"/>
      <c r="CIE88" s="163"/>
      <c r="CIF88" s="163"/>
      <c r="CIG88" s="163"/>
      <c r="CIH88" s="163"/>
      <c r="CII88" s="163"/>
      <c r="CIJ88" s="163"/>
      <c r="CIK88" s="163"/>
      <c r="CIL88" s="163"/>
      <c r="CIM88" s="163"/>
      <c r="CIN88" s="163"/>
      <c r="CIO88" s="163"/>
      <c r="CIP88" s="163"/>
      <c r="CIQ88" s="163"/>
      <c r="CIR88" s="163"/>
      <c r="CIS88" s="163"/>
      <c r="CIT88" s="163"/>
      <c r="CIU88" s="163"/>
      <c r="CIV88" s="163"/>
      <c r="CIW88" s="163"/>
      <c r="CIX88" s="163"/>
      <c r="CIY88" s="163"/>
      <c r="CIZ88" s="163"/>
      <c r="CJA88" s="163"/>
      <c r="CJB88" s="163"/>
      <c r="CJC88" s="163"/>
      <c r="CJD88" s="163"/>
      <c r="CJE88" s="163"/>
      <c r="CJF88" s="163"/>
      <c r="CJG88" s="163"/>
      <c r="CJH88" s="163"/>
      <c r="CJI88" s="163"/>
      <c r="CJJ88" s="163"/>
      <c r="CJK88" s="163"/>
      <c r="CJL88" s="163"/>
      <c r="CJM88" s="163"/>
      <c r="CJN88" s="163"/>
      <c r="CJO88" s="163"/>
      <c r="CJP88" s="163"/>
      <c r="CJQ88" s="163"/>
      <c r="CJR88" s="163"/>
      <c r="CJS88" s="163"/>
      <c r="CJT88" s="163"/>
      <c r="CJU88" s="163"/>
      <c r="CJV88" s="163"/>
      <c r="CJW88" s="163"/>
      <c r="CJX88" s="163"/>
      <c r="CJY88" s="163"/>
      <c r="CJZ88" s="163"/>
      <c r="CKA88" s="163"/>
      <c r="CKB88" s="163"/>
      <c r="CKC88" s="163"/>
      <c r="CKD88" s="163"/>
      <c r="CKE88" s="163"/>
      <c r="CKF88" s="163"/>
      <c r="CKG88" s="163"/>
      <c r="CKH88" s="163"/>
      <c r="CKI88" s="163"/>
      <c r="CKJ88" s="163"/>
      <c r="CKK88" s="163"/>
      <c r="CKL88" s="163"/>
      <c r="CKM88" s="163"/>
      <c r="CKN88" s="163"/>
      <c r="CKO88" s="163"/>
      <c r="CKP88" s="163"/>
      <c r="CKQ88" s="163"/>
      <c r="CKR88" s="163"/>
      <c r="CKS88" s="163"/>
      <c r="CKT88" s="163"/>
      <c r="CKU88" s="163"/>
      <c r="CKV88" s="163"/>
      <c r="CKW88" s="163"/>
      <c r="CKX88" s="163"/>
      <c r="CKY88" s="163"/>
      <c r="CKZ88" s="163"/>
      <c r="CLA88" s="163"/>
      <c r="CLB88" s="163"/>
      <c r="CLC88" s="163"/>
      <c r="CLD88" s="163"/>
      <c r="CLE88" s="163"/>
      <c r="CLF88" s="163"/>
      <c r="CLG88" s="163"/>
      <c r="CLH88" s="163"/>
      <c r="CLI88" s="163"/>
      <c r="CLJ88" s="163"/>
      <c r="CLK88" s="163"/>
      <c r="CLL88" s="163"/>
      <c r="CLM88" s="163"/>
      <c r="CLN88" s="163"/>
      <c r="CLO88" s="163"/>
      <c r="CLP88" s="163"/>
      <c r="CLQ88" s="163"/>
      <c r="CLR88" s="163"/>
      <c r="CLS88" s="163"/>
      <c r="CLT88" s="163"/>
      <c r="CLU88" s="163"/>
      <c r="CLV88" s="163"/>
      <c r="CLW88" s="163"/>
      <c r="CLX88" s="163"/>
      <c r="CLY88" s="163"/>
      <c r="CLZ88" s="163"/>
      <c r="CMA88" s="163"/>
      <c r="CMB88" s="163"/>
      <c r="CMC88" s="163"/>
      <c r="CMD88" s="163"/>
      <c r="CME88" s="163"/>
      <c r="CMF88" s="163"/>
      <c r="CMG88" s="163"/>
      <c r="CMH88" s="163"/>
      <c r="CMI88" s="163"/>
      <c r="CMJ88" s="163"/>
      <c r="CMK88" s="163"/>
      <c r="CML88" s="163"/>
      <c r="CMM88" s="163"/>
      <c r="CMN88" s="163"/>
      <c r="CMO88" s="163"/>
      <c r="CMP88" s="163"/>
      <c r="CMQ88" s="163"/>
      <c r="CMR88" s="163"/>
      <c r="CMS88" s="163"/>
      <c r="CMT88" s="163"/>
      <c r="CMU88" s="163"/>
      <c r="CMV88" s="163"/>
      <c r="CMW88" s="163"/>
      <c r="CMX88" s="163"/>
      <c r="CMY88" s="163"/>
      <c r="CMZ88" s="163"/>
      <c r="CNA88" s="163"/>
      <c r="CNB88" s="163"/>
      <c r="CNC88" s="163"/>
      <c r="CND88" s="163"/>
      <c r="CNE88" s="163"/>
      <c r="CNF88" s="163"/>
      <c r="CNG88" s="163"/>
      <c r="CNH88" s="163"/>
      <c r="CNI88" s="163"/>
      <c r="CNJ88" s="163"/>
      <c r="CNK88" s="163"/>
      <c r="CNL88" s="163"/>
      <c r="CNM88" s="163"/>
      <c r="CNN88" s="163"/>
      <c r="CNO88" s="163"/>
      <c r="CNP88" s="163"/>
      <c r="CNQ88" s="163"/>
      <c r="CNR88" s="163"/>
      <c r="CNS88" s="163"/>
      <c r="CNT88" s="163"/>
      <c r="CNU88" s="163"/>
      <c r="CNV88" s="163"/>
      <c r="CNW88" s="163"/>
      <c r="CNX88" s="163"/>
      <c r="CNY88" s="163"/>
      <c r="CNZ88" s="163"/>
      <c r="COA88" s="163"/>
      <c r="COB88" s="163"/>
      <c r="COC88" s="163"/>
      <c r="COD88" s="163"/>
      <c r="COE88" s="163"/>
      <c r="COF88" s="163"/>
      <c r="COG88" s="163"/>
      <c r="COH88" s="163"/>
      <c r="COI88" s="163"/>
      <c r="COJ88" s="163"/>
      <c r="COK88" s="163"/>
      <c r="COL88" s="163"/>
      <c r="COM88" s="163"/>
      <c r="CON88" s="163"/>
      <c r="COO88" s="163"/>
      <c r="COP88" s="163"/>
      <c r="COQ88" s="163"/>
      <c r="COR88" s="163"/>
      <c r="COS88" s="163"/>
      <c r="COT88" s="163"/>
      <c r="COU88" s="163"/>
      <c r="COV88" s="163"/>
      <c r="COW88" s="163"/>
      <c r="COX88" s="163"/>
      <c r="COY88" s="163"/>
      <c r="COZ88" s="163"/>
      <c r="CPA88" s="163"/>
      <c r="CPB88" s="163"/>
      <c r="CPC88" s="163"/>
      <c r="CPD88" s="163"/>
      <c r="CPE88" s="163"/>
      <c r="CPF88" s="163"/>
      <c r="CPG88" s="163"/>
      <c r="CPH88" s="163"/>
      <c r="CPI88" s="163"/>
      <c r="CPJ88" s="163"/>
      <c r="CPK88" s="163"/>
      <c r="CPL88" s="163"/>
      <c r="CPM88" s="163"/>
      <c r="CPN88" s="163"/>
      <c r="CPO88" s="163"/>
      <c r="CPP88" s="163"/>
      <c r="CPQ88" s="163"/>
      <c r="CPR88" s="163"/>
      <c r="CPS88" s="163"/>
      <c r="CPT88" s="163"/>
      <c r="CPU88" s="163"/>
      <c r="CPV88" s="163"/>
      <c r="CPW88" s="163"/>
      <c r="CPX88" s="163"/>
      <c r="CPY88" s="163"/>
      <c r="CPZ88" s="163"/>
      <c r="CQA88" s="163"/>
      <c r="CQB88" s="163"/>
      <c r="CQC88" s="163"/>
      <c r="CQD88" s="163"/>
      <c r="CQE88" s="163"/>
      <c r="CQF88" s="163"/>
      <c r="CQG88" s="163"/>
      <c r="CQH88" s="163"/>
      <c r="CQI88" s="163"/>
      <c r="CQJ88" s="163"/>
      <c r="CQK88" s="163"/>
      <c r="CQL88" s="163"/>
      <c r="CQM88" s="163"/>
      <c r="CQN88" s="163"/>
      <c r="CQO88" s="163"/>
      <c r="CQP88" s="163"/>
      <c r="CQQ88" s="163"/>
      <c r="CQR88" s="163"/>
      <c r="CQS88" s="163"/>
      <c r="CQT88" s="163"/>
      <c r="CQU88" s="163"/>
      <c r="CQV88" s="163"/>
      <c r="CQW88" s="163"/>
      <c r="CQX88" s="163"/>
      <c r="CQY88" s="163"/>
      <c r="CQZ88" s="163"/>
      <c r="CRA88" s="163"/>
      <c r="CRB88" s="163"/>
      <c r="CRC88" s="163"/>
      <c r="CRD88" s="163"/>
      <c r="CRE88" s="163"/>
      <c r="CRF88" s="163"/>
      <c r="CRG88" s="163"/>
      <c r="CRH88" s="163"/>
      <c r="CRI88" s="163"/>
      <c r="CRJ88" s="163"/>
      <c r="CRK88" s="163"/>
      <c r="CRL88" s="163"/>
      <c r="CRM88" s="163"/>
      <c r="CRN88" s="163"/>
      <c r="CRO88" s="163"/>
      <c r="CRP88" s="163"/>
      <c r="CRQ88" s="163"/>
      <c r="CRR88" s="163"/>
      <c r="CRS88" s="163"/>
      <c r="CRT88" s="163"/>
      <c r="CRU88" s="163"/>
      <c r="CRV88" s="163"/>
      <c r="CRW88" s="163"/>
      <c r="CRX88" s="163"/>
      <c r="CRY88" s="163"/>
      <c r="CRZ88" s="163"/>
      <c r="CSA88" s="163"/>
      <c r="CSB88" s="163"/>
      <c r="CSC88" s="163"/>
      <c r="CSD88" s="163"/>
      <c r="CSE88" s="163"/>
      <c r="CSF88" s="163"/>
      <c r="CSG88" s="163"/>
      <c r="CSH88" s="163"/>
      <c r="CSI88" s="163"/>
      <c r="CSJ88" s="163"/>
      <c r="CSK88" s="163"/>
      <c r="CSL88" s="163"/>
      <c r="CSM88" s="163"/>
      <c r="CSN88" s="163"/>
      <c r="CSO88" s="163"/>
      <c r="CSP88" s="163"/>
      <c r="CSQ88" s="163"/>
      <c r="CSR88" s="163"/>
      <c r="CSS88" s="163"/>
      <c r="CST88" s="163"/>
      <c r="CSU88" s="163"/>
      <c r="CSV88" s="163"/>
      <c r="CSW88" s="163"/>
      <c r="CSX88" s="163"/>
      <c r="CSY88" s="163"/>
      <c r="CSZ88" s="163"/>
      <c r="CTA88" s="163"/>
      <c r="CTB88" s="163"/>
      <c r="CTC88" s="163"/>
      <c r="CTD88" s="163"/>
      <c r="CTE88" s="163"/>
      <c r="CTF88" s="163"/>
      <c r="CTG88" s="163"/>
      <c r="CTH88" s="163"/>
      <c r="CTI88" s="163"/>
      <c r="CTJ88" s="163"/>
      <c r="CTK88" s="163"/>
      <c r="CTL88" s="163"/>
      <c r="CTM88" s="163"/>
      <c r="CTN88" s="163"/>
      <c r="CTO88" s="163"/>
      <c r="CTP88" s="163"/>
      <c r="CTQ88" s="163"/>
      <c r="CTR88" s="163"/>
      <c r="CTS88" s="163"/>
      <c r="CTT88" s="163"/>
      <c r="CTU88" s="163"/>
      <c r="CTV88" s="163"/>
      <c r="CTW88" s="163"/>
      <c r="CTX88" s="163"/>
      <c r="CTY88" s="163"/>
      <c r="CTZ88" s="163"/>
      <c r="CUA88" s="163"/>
      <c r="CUB88" s="163"/>
      <c r="CUC88" s="163"/>
      <c r="CUD88" s="163"/>
      <c r="CUE88" s="163"/>
      <c r="CUF88" s="163"/>
      <c r="CUG88" s="163"/>
      <c r="CUH88" s="163"/>
      <c r="CUI88" s="163"/>
      <c r="CUJ88" s="163"/>
      <c r="CUK88" s="163"/>
      <c r="CUL88" s="163"/>
      <c r="CUM88" s="163"/>
      <c r="CUN88" s="163"/>
      <c r="CUO88" s="163"/>
      <c r="CUP88" s="163"/>
      <c r="CUQ88" s="163"/>
      <c r="CUR88" s="163"/>
      <c r="CUS88" s="163"/>
      <c r="CUT88" s="163"/>
      <c r="CUU88" s="163"/>
      <c r="CUV88" s="163"/>
      <c r="CUW88" s="163"/>
      <c r="CUX88" s="163"/>
      <c r="CUY88" s="163"/>
      <c r="CUZ88" s="163"/>
      <c r="CVA88" s="163"/>
      <c r="CVB88" s="163"/>
      <c r="CVC88" s="163"/>
      <c r="CVD88" s="163"/>
      <c r="CVE88" s="163"/>
      <c r="CVF88" s="163"/>
      <c r="CVG88" s="163"/>
      <c r="CVH88" s="163"/>
      <c r="CVI88" s="163"/>
      <c r="CVJ88" s="163"/>
      <c r="CVK88" s="163"/>
      <c r="CVL88" s="163"/>
      <c r="CVM88" s="163"/>
      <c r="CVN88" s="163"/>
      <c r="CVO88" s="163"/>
      <c r="CVP88" s="163"/>
      <c r="CVQ88" s="163"/>
      <c r="CVR88" s="163"/>
      <c r="CVS88" s="163"/>
      <c r="CVT88" s="163"/>
      <c r="CVU88" s="163"/>
      <c r="CVV88" s="163"/>
      <c r="CVW88" s="163"/>
      <c r="CVX88" s="163"/>
      <c r="CVY88" s="163"/>
      <c r="CVZ88" s="163"/>
      <c r="CWA88" s="163"/>
      <c r="CWB88" s="163"/>
      <c r="CWC88" s="163"/>
      <c r="CWD88" s="163"/>
      <c r="CWE88" s="163"/>
      <c r="CWF88" s="163"/>
      <c r="CWG88" s="163"/>
      <c r="CWH88" s="163"/>
      <c r="CWI88" s="163"/>
      <c r="CWJ88" s="163"/>
      <c r="CWK88" s="163"/>
      <c r="CWL88" s="163"/>
      <c r="CWM88" s="163"/>
      <c r="CWN88" s="163"/>
      <c r="CWO88" s="163"/>
      <c r="CWP88" s="163"/>
      <c r="CWQ88" s="163"/>
      <c r="CWR88" s="163"/>
      <c r="CWS88" s="163"/>
      <c r="CWT88" s="163"/>
      <c r="CWU88" s="163"/>
      <c r="CWV88" s="163"/>
      <c r="CWW88" s="163"/>
      <c r="CWX88" s="163"/>
      <c r="CWY88" s="163"/>
      <c r="CWZ88" s="163"/>
      <c r="CXA88" s="163"/>
      <c r="CXB88" s="163"/>
      <c r="CXC88" s="163"/>
      <c r="CXD88" s="163"/>
      <c r="CXE88" s="163"/>
      <c r="CXF88" s="163"/>
      <c r="CXG88" s="163"/>
      <c r="CXH88" s="163"/>
      <c r="CXI88" s="163"/>
      <c r="CXJ88" s="163"/>
      <c r="CXK88" s="163"/>
      <c r="CXL88" s="163"/>
      <c r="CXM88" s="163"/>
      <c r="CXN88" s="163"/>
      <c r="CXO88" s="163"/>
      <c r="CXP88" s="163"/>
      <c r="CXQ88" s="163"/>
      <c r="CXR88" s="163"/>
      <c r="CXS88" s="163"/>
      <c r="CXT88" s="163"/>
      <c r="CXU88" s="163"/>
      <c r="CXV88" s="163"/>
      <c r="CXW88" s="163"/>
      <c r="CXX88" s="163"/>
      <c r="CXY88" s="163"/>
      <c r="CXZ88" s="163"/>
      <c r="CYA88" s="163"/>
      <c r="CYB88" s="163"/>
      <c r="CYC88" s="163"/>
      <c r="CYD88" s="163"/>
      <c r="CYE88" s="163"/>
      <c r="CYF88" s="163"/>
      <c r="CYG88" s="163"/>
      <c r="CYH88" s="163"/>
      <c r="CYI88" s="163"/>
      <c r="CYJ88" s="163"/>
      <c r="CYK88" s="163"/>
      <c r="CYL88" s="163"/>
      <c r="CYM88" s="163"/>
      <c r="CYN88" s="163"/>
      <c r="CYO88" s="163"/>
      <c r="CYP88" s="163"/>
      <c r="CYQ88" s="163"/>
      <c r="CYR88" s="163"/>
      <c r="CYS88" s="163"/>
      <c r="CYT88" s="163"/>
      <c r="CYU88" s="163"/>
      <c r="CYV88" s="163"/>
      <c r="CYW88" s="163"/>
      <c r="CYX88" s="163"/>
      <c r="CYY88" s="163"/>
      <c r="CYZ88" s="163"/>
      <c r="CZA88" s="163"/>
      <c r="CZB88" s="163"/>
      <c r="CZC88" s="163"/>
      <c r="CZD88" s="163"/>
      <c r="CZE88" s="163"/>
      <c r="CZF88" s="163"/>
      <c r="CZG88" s="163"/>
      <c r="CZH88" s="163"/>
      <c r="CZI88" s="163"/>
      <c r="CZJ88" s="163"/>
      <c r="CZK88" s="163"/>
      <c r="CZL88" s="163"/>
      <c r="CZM88" s="163"/>
      <c r="CZN88" s="163"/>
      <c r="CZO88" s="163"/>
      <c r="CZP88" s="163"/>
      <c r="CZQ88" s="163"/>
      <c r="CZR88" s="163"/>
      <c r="CZS88" s="163"/>
      <c r="CZT88" s="163"/>
      <c r="CZU88" s="163"/>
      <c r="CZV88" s="163"/>
      <c r="CZW88" s="163"/>
      <c r="CZX88" s="163"/>
      <c r="CZY88" s="163"/>
      <c r="CZZ88" s="163"/>
      <c r="DAA88" s="163"/>
      <c r="DAB88" s="163"/>
      <c r="DAC88" s="163"/>
      <c r="DAD88" s="163"/>
      <c r="DAE88" s="163"/>
      <c r="DAF88" s="163"/>
      <c r="DAG88" s="163"/>
      <c r="DAH88" s="163"/>
      <c r="DAI88" s="163"/>
      <c r="DAJ88" s="163"/>
      <c r="DAK88" s="163"/>
      <c r="DAL88" s="163"/>
      <c r="DAM88" s="163"/>
      <c r="DAN88" s="163"/>
      <c r="DAO88" s="163"/>
      <c r="DAP88" s="163"/>
      <c r="DAQ88" s="163"/>
      <c r="DAR88" s="163"/>
      <c r="DAS88" s="163"/>
      <c r="DAT88" s="163"/>
      <c r="DAU88" s="163"/>
      <c r="DAV88" s="163"/>
      <c r="DAW88" s="163"/>
      <c r="DAX88" s="163"/>
      <c r="DAY88" s="163"/>
      <c r="DAZ88" s="163"/>
      <c r="DBA88" s="163"/>
      <c r="DBB88" s="163"/>
      <c r="DBC88" s="163"/>
      <c r="DBD88" s="163"/>
      <c r="DBE88" s="163"/>
      <c r="DBF88" s="163"/>
      <c r="DBG88" s="163"/>
      <c r="DBH88" s="163"/>
      <c r="DBI88" s="163"/>
      <c r="DBJ88" s="163"/>
      <c r="DBK88" s="163"/>
      <c r="DBL88" s="163"/>
      <c r="DBM88" s="163"/>
      <c r="DBN88" s="163"/>
      <c r="DBO88" s="163"/>
      <c r="DBP88" s="163"/>
      <c r="DBQ88" s="163"/>
      <c r="DBR88" s="163"/>
      <c r="DBS88" s="163"/>
      <c r="DBT88" s="163"/>
      <c r="DBU88" s="163"/>
      <c r="DBV88" s="163"/>
      <c r="DBW88" s="163"/>
      <c r="DBX88" s="163"/>
      <c r="DBY88" s="163"/>
      <c r="DBZ88" s="163"/>
      <c r="DCA88" s="163"/>
      <c r="DCB88" s="163"/>
      <c r="DCC88" s="163"/>
      <c r="DCD88" s="163"/>
      <c r="DCE88" s="163"/>
      <c r="DCF88" s="163"/>
      <c r="DCG88" s="163"/>
      <c r="DCH88" s="163"/>
      <c r="DCI88" s="163"/>
      <c r="DCJ88" s="163"/>
      <c r="DCK88" s="163"/>
      <c r="DCL88" s="163"/>
      <c r="DCM88" s="163"/>
      <c r="DCN88" s="163"/>
      <c r="DCO88" s="163"/>
      <c r="DCP88" s="163"/>
      <c r="DCQ88" s="163"/>
      <c r="DCR88" s="163"/>
      <c r="DCS88" s="163"/>
      <c r="DCT88" s="163"/>
      <c r="DCU88" s="163"/>
      <c r="DCV88" s="163"/>
      <c r="DCW88" s="163"/>
      <c r="DCX88" s="163"/>
      <c r="DCY88" s="163"/>
      <c r="DCZ88" s="163"/>
      <c r="DDA88" s="163"/>
      <c r="DDB88" s="163"/>
      <c r="DDC88" s="163"/>
      <c r="DDD88" s="163"/>
      <c r="DDE88" s="163"/>
      <c r="DDF88" s="163"/>
      <c r="DDG88" s="163"/>
      <c r="DDH88" s="163"/>
      <c r="DDI88" s="163"/>
      <c r="DDJ88" s="163"/>
      <c r="DDK88" s="163"/>
      <c r="DDL88" s="163"/>
      <c r="DDM88" s="163"/>
      <c r="DDN88" s="163"/>
      <c r="DDO88" s="163"/>
      <c r="DDP88" s="163"/>
      <c r="DDQ88" s="163"/>
      <c r="DDR88" s="163"/>
      <c r="DDS88" s="163"/>
      <c r="DDT88" s="163"/>
      <c r="DDU88" s="163"/>
      <c r="DDV88" s="163"/>
      <c r="DDW88" s="163"/>
      <c r="DDX88" s="163"/>
      <c r="DDY88" s="163"/>
      <c r="DDZ88" s="163"/>
      <c r="DEA88" s="163"/>
      <c r="DEB88" s="163"/>
      <c r="DEC88" s="163"/>
      <c r="DED88" s="163"/>
      <c r="DEE88" s="163"/>
      <c r="DEF88" s="163"/>
      <c r="DEG88" s="163"/>
      <c r="DEH88" s="163"/>
      <c r="DEI88" s="163"/>
      <c r="DEJ88" s="163"/>
      <c r="DEK88" s="163"/>
      <c r="DEL88" s="163"/>
      <c r="DEM88" s="163"/>
      <c r="DEN88" s="163"/>
      <c r="DEO88" s="163"/>
      <c r="DEP88" s="163"/>
      <c r="DEQ88" s="163"/>
      <c r="DER88" s="163"/>
      <c r="DES88" s="163"/>
      <c r="DET88" s="163"/>
      <c r="DEU88" s="163"/>
      <c r="DEV88" s="163"/>
      <c r="DEW88" s="163"/>
      <c r="DEX88" s="163"/>
      <c r="DEY88" s="163"/>
      <c r="DEZ88" s="163"/>
      <c r="DFA88" s="163"/>
      <c r="DFB88" s="163"/>
      <c r="DFC88" s="163"/>
      <c r="DFD88" s="163"/>
      <c r="DFE88" s="163"/>
      <c r="DFF88" s="163"/>
      <c r="DFG88" s="163"/>
      <c r="DFH88" s="163"/>
      <c r="DFI88" s="163"/>
      <c r="DFJ88" s="163"/>
      <c r="DFK88" s="163"/>
      <c r="DFL88" s="163"/>
      <c r="DFM88" s="163"/>
      <c r="DFN88" s="163"/>
      <c r="DFO88" s="163"/>
      <c r="DFP88" s="163"/>
      <c r="DFQ88" s="163"/>
      <c r="DFR88" s="163"/>
      <c r="DFS88" s="163"/>
      <c r="DFT88" s="163"/>
      <c r="DFU88" s="163"/>
      <c r="DFV88" s="163"/>
      <c r="DFW88" s="163"/>
      <c r="DFX88" s="163"/>
      <c r="DFY88" s="163"/>
      <c r="DFZ88" s="163"/>
      <c r="DGA88" s="163"/>
      <c r="DGB88" s="163"/>
      <c r="DGC88" s="163"/>
      <c r="DGD88" s="163"/>
      <c r="DGE88" s="163"/>
      <c r="DGF88" s="163"/>
      <c r="DGG88" s="163"/>
      <c r="DGH88" s="163"/>
      <c r="DGI88" s="163"/>
      <c r="DGJ88" s="163"/>
      <c r="DGK88" s="163"/>
      <c r="DGL88" s="163"/>
      <c r="DGM88" s="163"/>
      <c r="DGN88" s="163"/>
      <c r="DGO88" s="163"/>
      <c r="DGP88" s="163"/>
      <c r="DGQ88" s="163"/>
      <c r="DGR88" s="163"/>
      <c r="DGS88" s="163"/>
      <c r="DGT88" s="163"/>
      <c r="DGU88" s="163"/>
      <c r="DGV88" s="163"/>
      <c r="DGW88" s="163"/>
      <c r="DGX88" s="163"/>
      <c r="DGY88" s="163"/>
      <c r="DGZ88" s="163"/>
      <c r="DHA88" s="163"/>
      <c r="DHB88" s="163"/>
      <c r="DHC88" s="163"/>
      <c r="DHD88" s="163"/>
      <c r="DHE88" s="163"/>
      <c r="DHF88" s="163"/>
      <c r="DHG88" s="163"/>
      <c r="DHH88" s="163"/>
      <c r="DHI88" s="163"/>
      <c r="DHJ88" s="163"/>
      <c r="DHK88" s="163"/>
      <c r="DHL88" s="163"/>
      <c r="DHM88" s="163"/>
      <c r="DHN88" s="163"/>
      <c r="DHO88" s="163"/>
      <c r="DHP88" s="163"/>
      <c r="DHQ88" s="163"/>
      <c r="DHR88" s="163"/>
      <c r="DHS88" s="163"/>
      <c r="DHT88" s="163"/>
      <c r="DHU88" s="163"/>
      <c r="DHV88" s="163"/>
      <c r="DHW88" s="163"/>
      <c r="DHX88" s="163"/>
      <c r="DHY88" s="163"/>
      <c r="DHZ88" s="163"/>
      <c r="DIA88" s="163"/>
      <c r="DIB88" s="163"/>
      <c r="DIC88" s="163"/>
      <c r="DID88" s="163"/>
      <c r="DIE88" s="163"/>
      <c r="DIF88" s="163"/>
      <c r="DIG88" s="163"/>
      <c r="DIH88" s="163"/>
      <c r="DII88" s="163"/>
      <c r="DIJ88" s="163"/>
      <c r="DIK88" s="163"/>
      <c r="DIL88" s="163"/>
      <c r="DIM88" s="163"/>
      <c r="DIN88" s="163"/>
      <c r="DIO88" s="163"/>
      <c r="DIP88" s="163"/>
      <c r="DIQ88" s="163"/>
      <c r="DIR88" s="163"/>
      <c r="DIS88" s="163"/>
      <c r="DIT88" s="163"/>
      <c r="DIU88" s="163"/>
      <c r="DIV88" s="163"/>
      <c r="DIW88" s="163"/>
      <c r="DIX88" s="163"/>
      <c r="DIY88" s="163"/>
      <c r="DIZ88" s="163"/>
      <c r="DJA88" s="163"/>
      <c r="DJB88" s="163"/>
      <c r="DJC88" s="163"/>
      <c r="DJD88" s="163"/>
      <c r="DJE88" s="163"/>
      <c r="DJF88" s="163"/>
      <c r="DJG88" s="163"/>
      <c r="DJH88" s="163"/>
      <c r="DJI88" s="163"/>
      <c r="DJJ88" s="163"/>
      <c r="DJK88" s="163"/>
      <c r="DJL88" s="163"/>
      <c r="DJM88" s="163"/>
      <c r="DJN88" s="163"/>
      <c r="DJO88" s="163"/>
      <c r="DJP88" s="163"/>
      <c r="DJQ88" s="163"/>
      <c r="DJR88" s="163"/>
      <c r="DJS88" s="163"/>
      <c r="DJT88" s="163"/>
      <c r="DJU88" s="163"/>
      <c r="DJV88" s="163"/>
      <c r="DJW88" s="163"/>
      <c r="DJX88" s="163"/>
      <c r="DJY88" s="163"/>
      <c r="DJZ88" s="163"/>
      <c r="DKA88" s="163"/>
      <c r="DKB88" s="163"/>
      <c r="DKC88" s="163"/>
      <c r="DKD88" s="163"/>
      <c r="DKE88" s="163"/>
      <c r="DKF88" s="163"/>
      <c r="DKG88" s="163"/>
      <c r="DKH88" s="163"/>
      <c r="DKI88" s="163"/>
      <c r="DKJ88" s="163"/>
      <c r="DKK88" s="163"/>
      <c r="DKL88" s="163"/>
      <c r="DKM88" s="163"/>
      <c r="DKN88" s="163"/>
      <c r="DKO88" s="163"/>
      <c r="DKP88" s="163"/>
      <c r="DKQ88" s="163"/>
      <c r="DKR88" s="163"/>
      <c r="DKS88" s="163"/>
      <c r="DKT88" s="163"/>
      <c r="DKU88" s="163"/>
      <c r="DKV88" s="163"/>
      <c r="DKW88" s="163"/>
      <c r="DKX88" s="163"/>
      <c r="DKY88" s="163"/>
      <c r="DKZ88" s="163"/>
      <c r="DLA88" s="163"/>
      <c r="DLB88" s="163"/>
      <c r="DLC88" s="163"/>
      <c r="DLD88" s="163"/>
      <c r="DLE88" s="163"/>
      <c r="DLF88" s="163"/>
      <c r="DLG88" s="163"/>
      <c r="DLH88" s="163"/>
      <c r="DLI88" s="163"/>
      <c r="DLJ88" s="163"/>
      <c r="DLK88" s="163"/>
      <c r="DLL88" s="163"/>
      <c r="DLM88" s="163"/>
      <c r="DLN88" s="163"/>
      <c r="DLO88" s="163"/>
      <c r="DLP88" s="163"/>
      <c r="DLQ88" s="163"/>
      <c r="DLR88" s="163"/>
      <c r="DLS88" s="163"/>
      <c r="DLT88" s="163"/>
      <c r="DLU88" s="163"/>
      <c r="DLV88" s="163"/>
      <c r="DLW88" s="163"/>
      <c r="DLX88" s="163"/>
      <c r="DLY88" s="163"/>
      <c r="DLZ88" s="163"/>
      <c r="DMA88" s="163"/>
      <c r="DMB88" s="163"/>
      <c r="DMC88" s="163"/>
      <c r="DMD88" s="163"/>
      <c r="DME88" s="163"/>
      <c r="DMF88" s="163"/>
      <c r="DMG88" s="163"/>
      <c r="DMH88" s="163"/>
      <c r="DMI88" s="163"/>
      <c r="DMJ88" s="163"/>
      <c r="DMK88" s="163"/>
      <c r="DML88" s="163"/>
      <c r="DMM88" s="163"/>
      <c r="DMN88" s="163"/>
      <c r="DMO88" s="163"/>
      <c r="DMP88" s="163"/>
      <c r="DMQ88" s="163"/>
      <c r="DMR88" s="163"/>
      <c r="DMS88" s="163"/>
      <c r="DMT88" s="163"/>
      <c r="DMU88" s="163"/>
      <c r="DMV88" s="163"/>
      <c r="DMW88" s="163"/>
      <c r="DMX88" s="163"/>
      <c r="DMY88" s="163"/>
      <c r="DMZ88" s="163"/>
      <c r="DNA88" s="163"/>
      <c r="DNB88" s="163"/>
      <c r="DNC88" s="163"/>
      <c r="DND88" s="163"/>
      <c r="DNE88" s="163"/>
      <c r="DNF88" s="163"/>
      <c r="DNG88" s="163"/>
      <c r="DNH88" s="163"/>
      <c r="DNI88" s="163"/>
      <c r="DNJ88" s="163"/>
      <c r="DNK88" s="163"/>
      <c r="DNL88" s="163"/>
      <c r="DNM88" s="163"/>
      <c r="DNN88" s="163"/>
      <c r="DNO88" s="163"/>
      <c r="DNP88" s="163"/>
      <c r="DNQ88" s="163"/>
      <c r="DNR88" s="163"/>
      <c r="DNS88" s="163"/>
      <c r="DNT88" s="163"/>
      <c r="DNU88" s="163"/>
      <c r="DNV88" s="163"/>
      <c r="DNW88" s="163"/>
      <c r="DNX88" s="163"/>
      <c r="DNY88" s="163"/>
      <c r="DNZ88" s="163"/>
      <c r="DOA88" s="163"/>
      <c r="DOB88" s="163"/>
      <c r="DOC88" s="163"/>
      <c r="DOD88" s="163"/>
      <c r="DOE88" s="163"/>
      <c r="DOF88" s="163"/>
      <c r="DOG88" s="163"/>
      <c r="DOH88" s="163"/>
      <c r="DOI88" s="163"/>
      <c r="DOJ88" s="163"/>
      <c r="DOK88" s="163"/>
      <c r="DOL88" s="163"/>
      <c r="DOM88" s="163"/>
      <c r="DON88" s="163"/>
      <c r="DOO88" s="163"/>
      <c r="DOP88" s="163"/>
      <c r="DOQ88" s="163"/>
      <c r="DOR88" s="163"/>
      <c r="DOS88" s="163"/>
      <c r="DOT88" s="163"/>
      <c r="DOU88" s="163"/>
      <c r="DOV88" s="163"/>
      <c r="DOW88" s="163"/>
      <c r="DOX88" s="163"/>
      <c r="DOY88" s="163"/>
      <c r="DOZ88" s="163"/>
      <c r="DPA88" s="163"/>
      <c r="DPB88" s="163"/>
      <c r="DPC88" s="163"/>
      <c r="DPD88" s="163"/>
      <c r="DPE88" s="163"/>
      <c r="DPF88" s="163"/>
      <c r="DPG88" s="163"/>
      <c r="DPH88" s="163"/>
      <c r="DPI88" s="163"/>
      <c r="DPJ88" s="163"/>
      <c r="DPK88" s="163"/>
      <c r="DPL88" s="163"/>
      <c r="DPM88" s="163"/>
      <c r="DPN88" s="163"/>
      <c r="DPO88" s="163"/>
      <c r="DPP88" s="163"/>
      <c r="DPQ88" s="163"/>
      <c r="DPR88" s="163"/>
      <c r="DPS88" s="163"/>
      <c r="DPT88" s="163"/>
      <c r="DPU88" s="163"/>
      <c r="DPV88" s="163"/>
      <c r="DPW88" s="163"/>
      <c r="DPX88" s="163"/>
      <c r="DPY88" s="163"/>
      <c r="DPZ88" s="163"/>
      <c r="DQA88" s="163"/>
      <c r="DQB88" s="163"/>
      <c r="DQC88" s="163"/>
      <c r="DQD88" s="163"/>
      <c r="DQE88" s="163"/>
      <c r="DQF88" s="163"/>
      <c r="DQG88" s="163"/>
      <c r="DQH88" s="163"/>
      <c r="DQI88" s="163"/>
      <c r="DQJ88" s="163"/>
      <c r="DQK88" s="163"/>
      <c r="DQL88" s="163"/>
      <c r="DQM88" s="163"/>
      <c r="DQN88" s="163"/>
      <c r="DQO88" s="163"/>
      <c r="DQP88" s="163"/>
      <c r="DQQ88" s="163"/>
      <c r="DQR88" s="163"/>
      <c r="DQS88" s="163"/>
      <c r="DQT88" s="163"/>
      <c r="DQU88" s="163"/>
      <c r="DQV88" s="163"/>
      <c r="DQW88" s="163"/>
      <c r="DQX88" s="163"/>
      <c r="DQY88" s="163"/>
      <c r="DQZ88" s="163"/>
      <c r="DRA88" s="163"/>
      <c r="DRB88" s="163"/>
      <c r="DRC88" s="163"/>
      <c r="DRD88" s="163"/>
      <c r="DRE88" s="163"/>
      <c r="DRF88" s="163"/>
      <c r="DRG88" s="163"/>
      <c r="DRH88" s="163"/>
      <c r="DRI88" s="163"/>
      <c r="DRJ88" s="163"/>
      <c r="DRK88" s="163"/>
      <c r="DRL88" s="163"/>
      <c r="DRM88" s="163"/>
      <c r="DRN88" s="163"/>
      <c r="DRO88" s="163"/>
      <c r="DRP88" s="163"/>
      <c r="DRQ88" s="163"/>
      <c r="DRR88" s="163"/>
      <c r="DRS88" s="163"/>
      <c r="DRT88" s="163"/>
      <c r="DRU88" s="163"/>
      <c r="DRV88" s="163"/>
      <c r="DRW88" s="163"/>
      <c r="DRX88" s="163"/>
      <c r="DRY88" s="163"/>
      <c r="DRZ88" s="163"/>
      <c r="DSA88" s="163"/>
      <c r="DSB88" s="163"/>
      <c r="DSC88" s="163"/>
      <c r="DSD88" s="163"/>
      <c r="DSE88" s="163"/>
      <c r="DSF88" s="163"/>
      <c r="DSG88" s="163"/>
      <c r="DSH88" s="163"/>
      <c r="DSI88" s="163"/>
      <c r="DSJ88" s="163"/>
      <c r="DSK88" s="163"/>
      <c r="DSL88" s="163"/>
      <c r="DSM88" s="163"/>
      <c r="DSN88" s="163"/>
      <c r="DSO88" s="163"/>
      <c r="DSP88" s="163"/>
      <c r="DSQ88" s="163"/>
      <c r="DSR88" s="163"/>
      <c r="DSS88" s="163"/>
      <c r="DST88" s="163"/>
      <c r="DSU88" s="163"/>
      <c r="DSV88" s="163"/>
      <c r="DSW88" s="163"/>
      <c r="DSX88" s="163"/>
      <c r="DSY88" s="163"/>
      <c r="DSZ88" s="163"/>
      <c r="DTA88" s="163"/>
      <c r="DTB88" s="163"/>
      <c r="DTC88" s="163"/>
      <c r="DTD88" s="163"/>
      <c r="DTE88" s="163"/>
      <c r="DTF88" s="163"/>
      <c r="DTG88" s="163"/>
      <c r="DTH88" s="163"/>
      <c r="DTI88" s="163"/>
      <c r="DTJ88" s="163"/>
      <c r="DTK88" s="163"/>
      <c r="DTL88" s="163"/>
      <c r="DTM88" s="163"/>
      <c r="DTN88" s="163"/>
      <c r="DTO88" s="163"/>
      <c r="DTP88" s="163"/>
      <c r="DTQ88" s="163"/>
      <c r="DTR88" s="163"/>
      <c r="DTS88" s="163"/>
      <c r="DTT88" s="163"/>
      <c r="DTU88" s="163"/>
      <c r="DTV88" s="163"/>
      <c r="DTW88" s="163"/>
      <c r="DTX88" s="163"/>
      <c r="DTY88" s="163"/>
      <c r="DTZ88" s="163"/>
      <c r="DUA88" s="163"/>
      <c r="DUB88" s="163"/>
      <c r="DUC88" s="163"/>
      <c r="DUD88" s="163"/>
      <c r="DUE88" s="163"/>
      <c r="DUF88" s="163"/>
      <c r="DUG88" s="163"/>
      <c r="DUH88" s="163"/>
      <c r="DUI88" s="163"/>
      <c r="DUJ88" s="163"/>
      <c r="DUK88" s="163"/>
      <c r="DUL88" s="163"/>
      <c r="DUM88" s="163"/>
      <c r="DUN88" s="163"/>
      <c r="DUO88" s="163"/>
      <c r="DUP88" s="163"/>
      <c r="DUQ88" s="163"/>
      <c r="DUR88" s="163"/>
      <c r="DUS88" s="163"/>
      <c r="DUT88" s="163"/>
      <c r="DUU88" s="163"/>
      <c r="DUV88" s="163"/>
      <c r="DUW88" s="163"/>
      <c r="DUX88" s="163"/>
      <c r="DUY88" s="163"/>
      <c r="DUZ88" s="163"/>
      <c r="DVA88" s="163"/>
      <c r="DVB88" s="163"/>
      <c r="DVC88" s="163"/>
      <c r="DVD88" s="163"/>
      <c r="DVE88" s="163"/>
      <c r="DVF88" s="163"/>
      <c r="DVG88" s="163"/>
      <c r="DVH88" s="163"/>
      <c r="DVI88" s="163"/>
      <c r="DVJ88" s="163"/>
      <c r="DVK88" s="163"/>
      <c r="DVL88" s="163"/>
      <c r="DVM88" s="163"/>
      <c r="DVN88" s="163"/>
      <c r="DVO88" s="163"/>
      <c r="DVP88" s="163"/>
      <c r="DVQ88" s="163"/>
      <c r="DVR88" s="163"/>
      <c r="DVS88" s="163"/>
      <c r="DVT88" s="163"/>
      <c r="DVU88" s="163"/>
      <c r="DVV88" s="163"/>
      <c r="DVW88" s="163"/>
      <c r="DVX88" s="163"/>
      <c r="DVY88" s="163"/>
      <c r="DVZ88" s="163"/>
      <c r="DWA88" s="163"/>
      <c r="DWB88" s="163"/>
      <c r="DWC88" s="163"/>
      <c r="DWD88" s="163"/>
      <c r="DWE88" s="163"/>
      <c r="DWF88" s="163"/>
      <c r="DWG88" s="163"/>
      <c r="DWH88" s="163"/>
      <c r="DWI88" s="163"/>
      <c r="DWJ88" s="163"/>
      <c r="DWK88" s="163"/>
      <c r="DWL88" s="163"/>
      <c r="DWM88" s="163"/>
      <c r="DWN88" s="163"/>
      <c r="DWO88" s="163"/>
      <c r="DWP88" s="163"/>
      <c r="DWQ88" s="163"/>
      <c r="DWR88" s="163"/>
      <c r="DWS88" s="163"/>
      <c r="DWT88" s="163"/>
      <c r="DWU88" s="163"/>
      <c r="DWV88" s="163"/>
      <c r="DWW88" s="163"/>
      <c r="DWX88" s="163"/>
      <c r="DWY88" s="163"/>
      <c r="DWZ88" s="163"/>
      <c r="DXA88" s="163"/>
      <c r="DXB88" s="163"/>
      <c r="DXC88" s="163"/>
      <c r="DXD88" s="163"/>
      <c r="DXE88" s="163"/>
      <c r="DXF88" s="163"/>
      <c r="DXG88" s="163"/>
      <c r="DXH88" s="163"/>
      <c r="DXI88" s="163"/>
      <c r="DXJ88" s="163"/>
      <c r="DXK88" s="163"/>
      <c r="DXL88" s="163"/>
      <c r="DXM88" s="163"/>
      <c r="DXN88" s="163"/>
      <c r="DXO88" s="163"/>
      <c r="DXP88" s="163"/>
      <c r="DXQ88" s="163"/>
      <c r="DXR88" s="163"/>
      <c r="DXS88" s="163"/>
      <c r="DXT88" s="163"/>
      <c r="DXU88" s="163"/>
      <c r="DXV88" s="163"/>
      <c r="DXW88" s="163"/>
      <c r="DXX88" s="163"/>
      <c r="DXY88" s="163"/>
      <c r="DXZ88" s="163"/>
      <c r="DYA88" s="163"/>
      <c r="DYB88" s="163"/>
      <c r="DYC88" s="163"/>
      <c r="DYD88" s="163"/>
      <c r="DYE88" s="163"/>
      <c r="DYF88" s="163"/>
      <c r="DYG88" s="163"/>
      <c r="DYH88" s="163"/>
      <c r="DYI88" s="163"/>
      <c r="DYJ88" s="163"/>
      <c r="DYK88" s="163"/>
      <c r="DYL88" s="163"/>
      <c r="DYM88" s="163"/>
      <c r="DYN88" s="163"/>
      <c r="DYO88" s="163"/>
      <c r="DYP88" s="163"/>
      <c r="DYQ88" s="163"/>
      <c r="DYR88" s="163"/>
      <c r="DYS88" s="163"/>
      <c r="DYT88" s="163"/>
      <c r="DYU88" s="163"/>
      <c r="DYV88" s="163"/>
      <c r="DYW88" s="163"/>
      <c r="DYX88" s="163"/>
      <c r="DYY88" s="163"/>
      <c r="DYZ88" s="163"/>
      <c r="DZA88" s="163"/>
      <c r="DZB88" s="163"/>
      <c r="DZC88" s="163"/>
      <c r="DZD88" s="163"/>
      <c r="DZE88" s="163"/>
      <c r="DZF88" s="163"/>
      <c r="DZG88" s="163"/>
      <c r="DZH88" s="163"/>
      <c r="DZI88" s="163"/>
      <c r="DZJ88" s="163"/>
      <c r="DZK88" s="163"/>
      <c r="DZL88" s="163"/>
      <c r="DZM88" s="163"/>
      <c r="DZN88" s="163"/>
      <c r="DZO88" s="163"/>
      <c r="DZP88" s="163"/>
      <c r="DZQ88" s="163"/>
      <c r="DZR88" s="163"/>
      <c r="DZS88" s="163"/>
      <c r="DZT88" s="163"/>
      <c r="DZU88" s="163"/>
      <c r="DZV88" s="163"/>
      <c r="DZW88" s="163"/>
      <c r="DZX88" s="163"/>
      <c r="DZY88" s="163"/>
      <c r="DZZ88" s="163"/>
      <c r="EAA88" s="163"/>
      <c r="EAB88" s="163"/>
      <c r="EAC88" s="163"/>
      <c r="EAD88" s="163"/>
      <c r="EAE88" s="163"/>
      <c r="EAF88" s="163"/>
      <c r="EAG88" s="163"/>
      <c r="EAH88" s="163"/>
      <c r="EAI88" s="163"/>
      <c r="EAJ88" s="163"/>
      <c r="EAK88" s="163"/>
      <c r="EAL88" s="163"/>
      <c r="EAM88" s="163"/>
      <c r="EAN88" s="163"/>
      <c r="EAO88" s="163"/>
      <c r="EAP88" s="163"/>
      <c r="EAQ88" s="163"/>
      <c r="EAR88" s="163"/>
      <c r="EAS88" s="163"/>
      <c r="EAT88" s="163"/>
      <c r="EAU88" s="163"/>
      <c r="EAV88" s="163"/>
      <c r="EAW88" s="163"/>
      <c r="EAX88" s="163"/>
      <c r="EAY88" s="163"/>
      <c r="EAZ88" s="163"/>
      <c r="EBA88" s="163"/>
      <c r="EBB88" s="163"/>
      <c r="EBC88" s="163"/>
      <c r="EBD88" s="163"/>
      <c r="EBE88" s="163"/>
      <c r="EBF88" s="163"/>
      <c r="EBG88" s="163"/>
      <c r="EBH88" s="163"/>
      <c r="EBI88" s="163"/>
      <c r="EBJ88" s="163"/>
      <c r="EBK88" s="163"/>
      <c r="EBL88" s="163"/>
      <c r="EBM88" s="163"/>
      <c r="EBN88" s="163"/>
      <c r="EBO88" s="163"/>
      <c r="EBP88" s="163"/>
      <c r="EBQ88" s="163"/>
      <c r="EBR88" s="163"/>
      <c r="EBS88" s="163"/>
      <c r="EBT88" s="163"/>
      <c r="EBU88" s="163"/>
      <c r="EBV88" s="163"/>
      <c r="EBW88" s="163"/>
      <c r="EBX88" s="163"/>
      <c r="EBY88" s="163"/>
      <c r="EBZ88" s="163"/>
      <c r="ECA88" s="163"/>
      <c r="ECB88" s="163"/>
      <c r="ECC88" s="163"/>
      <c r="ECD88" s="163"/>
      <c r="ECE88" s="163"/>
      <c r="ECF88" s="163"/>
      <c r="ECG88" s="163"/>
      <c r="ECH88" s="163"/>
      <c r="ECI88" s="163"/>
      <c r="ECJ88" s="163"/>
      <c r="ECK88" s="163"/>
      <c r="ECL88" s="163"/>
      <c r="ECM88" s="163"/>
      <c r="ECN88" s="163"/>
      <c r="ECO88" s="163"/>
      <c r="ECP88" s="163"/>
      <c r="ECQ88" s="163"/>
      <c r="ECR88" s="163"/>
      <c r="ECS88" s="163"/>
      <c r="ECT88" s="163"/>
      <c r="ECU88" s="163"/>
      <c r="ECV88" s="163"/>
      <c r="ECW88" s="163"/>
      <c r="ECX88" s="163"/>
      <c r="ECY88" s="163"/>
      <c r="ECZ88" s="163"/>
      <c r="EDA88" s="163"/>
      <c r="EDB88" s="163"/>
      <c r="EDC88" s="163"/>
      <c r="EDD88" s="163"/>
      <c r="EDE88" s="163"/>
      <c r="EDF88" s="163"/>
      <c r="EDG88" s="163"/>
      <c r="EDH88" s="163"/>
      <c r="EDI88" s="163"/>
      <c r="EDJ88" s="163"/>
      <c r="EDK88" s="163"/>
      <c r="EDL88" s="163"/>
      <c r="EDM88" s="163"/>
      <c r="EDN88" s="163"/>
      <c r="EDO88" s="163"/>
      <c r="EDP88" s="163"/>
      <c r="EDQ88" s="163"/>
      <c r="EDR88" s="163"/>
      <c r="EDS88" s="163"/>
      <c r="EDT88" s="163"/>
      <c r="EDU88" s="163"/>
      <c r="EDV88" s="163"/>
      <c r="EDW88" s="163"/>
      <c r="EDX88" s="163"/>
      <c r="EDY88" s="163"/>
      <c r="EDZ88" s="163"/>
      <c r="EEA88" s="163"/>
      <c r="EEB88" s="163"/>
      <c r="EEC88" s="163"/>
      <c r="EED88" s="163"/>
      <c r="EEE88" s="163"/>
      <c r="EEF88" s="163"/>
      <c r="EEG88" s="163"/>
      <c r="EEH88" s="163"/>
      <c r="EEI88" s="163"/>
      <c r="EEJ88" s="163"/>
      <c r="EEK88" s="163"/>
      <c r="EEL88" s="163"/>
      <c r="EEM88" s="163"/>
      <c r="EEN88" s="163"/>
      <c r="EEO88" s="163"/>
      <c r="EEP88" s="163"/>
      <c r="EEQ88" s="163"/>
      <c r="EER88" s="163"/>
      <c r="EES88" s="163"/>
      <c r="EET88" s="163"/>
      <c r="EEU88" s="163"/>
      <c r="EEV88" s="163"/>
      <c r="EEW88" s="163"/>
      <c r="EEX88" s="163"/>
      <c r="EEY88" s="163"/>
      <c r="EEZ88" s="163"/>
      <c r="EFA88" s="163"/>
      <c r="EFB88" s="163"/>
      <c r="EFC88" s="163"/>
      <c r="EFD88" s="163"/>
      <c r="EFE88" s="163"/>
      <c r="EFF88" s="163"/>
      <c r="EFG88" s="163"/>
      <c r="EFH88" s="163"/>
      <c r="EFI88" s="163"/>
      <c r="EFJ88" s="163"/>
      <c r="EFK88" s="163"/>
      <c r="EFL88" s="163"/>
      <c r="EFM88" s="163"/>
      <c r="EFN88" s="163"/>
      <c r="EFO88" s="163"/>
      <c r="EFP88" s="163"/>
      <c r="EFQ88" s="163"/>
      <c r="EFR88" s="163"/>
      <c r="EFS88" s="163"/>
      <c r="EFT88" s="163"/>
      <c r="EFU88" s="163"/>
      <c r="EFV88" s="163"/>
      <c r="EFW88" s="163"/>
      <c r="EFX88" s="163"/>
      <c r="EFY88" s="163"/>
      <c r="EFZ88" s="163"/>
      <c r="EGA88" s="163"/>
      <c r="EGB88" s="163"/>
      <c r="EGC88" s="163"/>
      <c r="EGD88" s="163"/>
      <c r="EGE88" s="163"/>
      <c r="EGF88" s="163"/>
      <c r="EGG88" s="163"/>
      <c r="EGH88" s="163"/>
      <c r="EGI88" s="163"/>
      <c r="EGJ88" s="163"/>
      <c r="EGK88" s="163"/>
      <c r="EGL88" s="163"/>
      <c r="EGM88" s="163"/>
      <c r="EGN88" s="163"/>
      <c r="EGO88" s="163"/>
      <c r="EGP88" s="163"/>
      <c r="EGQ88" s="163"/>
      <c r="EGR88" s="163"/>
      <c r="EGS88" s="163"/>
      <c r="EGT88" s="163"/>
      <c r="EGU88" s="163"/>
      <c r="EGV88" s="163"/>
      <c r="EGW88" s="163"/>
      <c r="EGX88" s="163"/>
      <c r="EGY88" s="163"/>
      <c r="EGZ88" s="163"/>
      <c r="EHA88" s="163"/>
      <c r="EHB88" s="163"/>
      <c r="EHC88" s="163"/>
      <c r="EHD88" s="163"/>
      <c r="EHE88" s="163"/>
      <c r="EHF88" s="163"/>
      <c r="EHG88" s="163"/>
      <c r="EHH88" s="163"/>
      <c r="EHI88" s="163"/>
      <c r="EHJ88" s="163"/>
      <c r="EHK88" s="163"/>
      <c r="EHL88" s="163"/>
      <c r="EHM88" s="163"/>
      <c r="EHN88" s="163"/>
      <c r="EHO88" s="163"/>
      <c r="EHP88" s="163"/>
      <c r="EHQ88" s="163"/>
      <c r="EHR88" s="163"/>
      <c r="EHS88" s="163"/>
      <c r="EHT88" s="163"/>
      <c r="EHU88" s="163"/>
      <c r="EHV88" s="163"/>
      <c r="EHW88" s="163"/>
      <c r="EHX88" s="163"/>
      <c r="EHY88" s="163"/>
      <c r="EHZ88" s="163"/>
      <c r="EIA88" s="163"/>
      <c r="EIB88" s="163"/>
      <c r="EIC88" s="163"/>
      <c r="EID88" s="163"/>
      <c r="EIE88" s="163"/>
      <c r="EIF88" s="163"/>
      <c r="EIG88" s="163"/>
      <c r="EIH88" s="163"/>
      <c r="EII88" s="163"/>
      <c r="EIJ88" s="163"/>
      <c r="EIK88" s="163"/>
      <c r="EIL88" s="163"/>
      <c r="EIM88" s="163"/>
      <c r="EIN88" s="163"/>
      <c r="EIO88" s="163"/>
      <c r="EIP88" s="163"/>
      <c r="EIQ88" s="163"/>
      <c r="EIR88" s="163"/>
      <c r="EIS88" s="163"/>
      <c r="EIT88" s="163"/>
      <c r="EIU88" s="163"/>
      <c r="EIV88" s="163"/>
      <c r="EIW88" s="163"/>
      <c r="EIX88" s="163"/>
      <c r="EIY88" s="163"/>
      <c r="EIZ88" s="163"/>
      <c r="EJA88" s="163"/>
      <c r="EJB88" s="163"/>
      <c r="EJC88" s="163"/>
      <c r="EJD88" s="163"/>
      <c r="EJE88" s="163"/>
      <c r="EJF88" s="163"/>
      <c r="EJG88" s="163"/>
      <c r="EJH88" s="163"/>
      <c r="EJI88" s="163"/>
      <c r="EJJ88" s="163"/>
      <c r="EJK88" s="163"/>
      <c r="EJL88" s="163"/>
      <c r="EJM88" s="163"/>
      <c r="EJN88" s="163"/>
      <c r="EJO88" s="163"/>
      <c r="EJP88" s="163"/>
      <c r="EJQ88" s="163"/>
      <c r="EJR88" s="163"/>
      <c r="EJS88" s="163"/>
      <c r="EJT88" s="163"/>
      <c r="EJU88" s="163"/>
      <c r="EJV88" s="163"/>
      <c r="EJW88" s="163"/>
      <c r="EJX88" s="163"/>
      <c r="EJY88" s="163"/>
      <c r="EJZ88" s="163"/>
      <c r="EKA88" s="163"/>
      <c r="EKB88" s="163"/>
      <c r="EKC88" s="163"/>
      <c r="EKD88" s="163"/>
      <c r="EKE88" s="163"/>
      <c r="EKF88" s="163"/>
      <c r="EKG88" s="163"/>
      <c r="EKH88" s="163"/>
      <c r="EKI88" s="163"/>
      <c r="EKJ88" s="163"/>
      <c r="EKK88" s="163"/>
      <c r="EKL88" s="163"/>
      <c r="EKM88" s="163"/>
      <c r="EKN88" s="163"/>
      <c r="EKO88" s="163"/>
      <c r="EKP88" s="163"/>
      <c r="EKQ88" s="163"/>
      <c r="EKR88" s="163"/>
      <c r="EKS88" s="163"/>
      <c r="EKT88" s="163"/>
      <c r="EKU88" s="163"/>
      <c r="EKV88" s="163"/>
      <c r="EKW88" s="163"/>
      <c r="EKX88" s="163"/>
      <c r="EKY88" s="163"/>
      <c r="EKZ88" s="163"/>
      <c r="ELA88" s="163"/>
      <c r="ELB88" s="163"/>
      <c r="ELC88" s="163"/>
      <c r="ELD88" s="163"/>
      <c r="ELE88" s="163"/>
      <c r="ELF88" s="163"/>
      <c r="ELG88" s="163"/>
      <c r="ELH88" s="163"/>
      <c r="ELI88" s="163"/>
      <c r="ELJ88" s="163"/>
      <c r="ELK88" s="163"/>
      <c r="ELL88" s="163"/>
      <c r="ELM88" s="163"/>
      <c r="ELN88" s="163"/>
      <c r="ELO88" s="163"/>
      <c r="ELP88" s="163"/>
      <c r="ELQ88" s="163"/>
      <c r="ELR88" s="163"/>
      <c r="ELS88" s="163"/>
      <c r="ELT88" s="163"/>
      <c r="ELU88" s="163"/>
      <c r="ELV88" s="163"/>
      <c r="ELW88" s="163"/>
      <c r="ELX88" s="163"/>
      <c r="ELY88" s="163"/>
      <c r="ELZ88" s="163"/>
      <c r="EMA88" s="163"/>
      <c r="EMB88" s="163"/>
      <c r="EMC88" s="163"/>
      <c r="EMD88" s="163"/>
      <c r="EME88" s="163"/>
      <c r="EMF88" s="163"/>
      <c r="EMG88" s="163"/>
      <c r="EMH88" s="163"/>
      <c r="EMI88" s="163"/>
      <c r="EMJ88" s="163"/>
      <c r="EMK88" s="163"/>
      <c r="EML88" s="163"/>
      <c r="EMM88" s="163"/>
      <c r="EMN88" s="163"/>
      <c r="EMO88" s="163"/>
      <c r="EMP88" s="163"/>
      <c r="EMQ88" s="163"/>
      <c r="EMR88" s="163"/>
      <c r="EMS88" s="163"/>
      <c r="EMT88" s="163"/>
      <c r="EMU88" s="163"/>
      <c r="EMV88" s="163"/>
      <c r="EMW88" s="163"/>
      <c r="EMX88" s="163"/>
      <c r="EMY88" s="163"/>
      <c r="EMZ88" s="163"/>
      <c r="ENA88" s="163"/>
      <c r="ENB88" s="163"/>
      <c r="ENC88" s="163"/>
      <c r="END88" s="163"/>
      <c r="ENE88" s="163"/>
      <c r="ENF88" s="163"/>
      <c r="ENG88" s="163"/>
      <c r="ENH88" s="163"/>
      <c r="ENI88" s="163"/>
      <c r="ENJ88" s="163"/>
      <c r="ENK88" s="163"/>
      <c r="ENL88" s="163"/>
      <c r="ENM88" s="163"/>
      <c r="ENN88" s="163"/>
      <c r="ENO88" s="163"/>
      <c r="ENP88" s="163"/>
      <c r="ENQ88" s="163"/>
      <c r="ENR88" s="163"/>
      <c r="ENS88" s="163"/>
      <c r="ENT88" s="163"/>
      <c r="ENU88" s="163"/>
      <c r="ENV88" s="163"/>
      <c r="ENW88" s="163"/>
      <c r="ENX88" s="163"/>
      <c r="ENY88" s="163"/>
      <c r="ENZ88" s="163"/>
      <c r="EOA88" s="163"/>
      <c r="EOB88" s="163"/>
      <c r="EOC88" s="163"/>
      <c r="EOD88" s="163"/>
      <c r="EOE88" s="163"/>
      <c r="EOF88" s="163"/>
      <c r="EOG88" s="163"/>
      <c r="EOH88" s="163"/>
      <c r="EOI88" s="163"/>
      <c r="EOJ88" s="163"/>
      <c r="EOK88" s="163"/>
      <c r="EOL88" s="163"/>
      <c r="EOM88" s="163"/>
      <c r="EON88" s="163"/>
      <c r="EOO88" s="163"/>
      <c r="EOP88" s="163"/>
      <c r="EOQ88" s="163"/>
      <c r="EOR88" s="163"/>
      <c r="EOS88" s="163"/>
      <c r="EOT88" s="163"/>
      <c r="EOU88" s="163"/>
      <c r="EOV88" s="163"/>
      <c r="EOW88" s="163"/>
      <c r="EOX88" s="163"/>
      <c r="EOY88" s="163"/>
      <c r="EOZ88" s="163"/>
      <c r="EPA88" s="163"/>
      <c r="EPB88" s="163"/>
      <c r="EPC88" s="163"/>
      <c r="EPD88" s="163"/>
      <c r="EPE88" s="163"/>
      <c r="EPF88" s="163"/>
      <c r="EPG88" s="163"/>
      <c r="EPH88" s="163"/>
      <c r="EPI88" s="163"/>
      <c r="EPJ88" s="163"/>
      <c r="EPK88" s="163"/>
      <c r="EPL88" s="163"/>
      <c r="EPM88" s="163"/>
      <c r="EPN88" s="163"/>
      <c r="EPO88" s="163"/>
      <c r="EPP88" s="163"/>
      <c r="EPQ88" s="163"/>
      <c r="EPR88" s="163"/>
      <c r="EPS88" s="163"/>
      <c r="EPT88" s="163"/>
      <c r="EPU88" s="163"/>
      <c r="EPV88" s="163"/>
      <c r="EPW88" s="163"/>
      <c r="EPX88" s="163"/>
      <c r="EPY88" s="163"/>
      <c r="EPZ88" s="163"/>
      <c r="EQA88" s="163"/>
      <c r="EQB88" s="163"/>
      <c r="EQC88" s="163"/>
      <c r="EQD88" s="163"/>
      <c r="EQE88" s="163"/>
      <c r="EQF88" s="163"/>
      <c r="EQG88" s="163"/>
      <c r="EQH88" s="163"/>
      <c r="EQI88" s="163"/>
      <c r="EQJ88" s="163"/>
      <c r="EQK88" s="163"/>
      <c r="EQL88" s="163"/>
      <c r="EQM88" s="163"/>
      <c r="EQN88" s="163"/>
      <c r="EQO88" s="163"/>
      <c r="EQP88" s="163"/>
      <c r="EQQ88" s="163"/>
      <c r="EQR88" s="163"/>
      <c r="EQS88" s="163"/>
      <c r="EQT88" s="163"/>
      <c r="EQU88" s="163"/>
      <c r="EQV88" s="163"/>
      <c r="EQW88" s="163"/>
      <c r="EQX88" s="163"/>
      <c r="EQY88" s="163"/>
      <c r="EQZ88" s="163"/>
      <c r="ERA88" s="163"/>
      <c r="ERB88" s="163"/>
      <c r="ERC88" s="163"/>
      <c r="ERD88" s="163"/>
      <c r="ERE88" s="163"/>
      <c r="ERF88" s="163"/>
      <c r="ERG88" s="163"/>
      <c r="ERH88" s="163"/>
      <c r="ERI88" s="163"/>
      <c r="ERJ88" s="163"/>
      <c r="ERK88" s="163"/>
      <c r="ERL88" s="163"/>
      <c r="ERM88" s="163"/>
      <c r="ERN88" s="163"/>
      <c r="ERO88" s="163"/>
      <c r="ERP88" s="163"/>
      <c r="ERQ88" s="163"/>
      <c r="ERR88" s="163"/>
      <c r="ERS88" s="163"/>
      <c r="ERT88" s="163"/>
      <c r="ERU88" s="163"/>
      <c r="ERV88" s="163"/>
      <c r="ERW88" s="163"/>
      <c r="ERX88" s="163"/>
      <c r="ERY88" s="163"/>
      <c r="ERZ88" s="163"/>
      <c r="ESA88" s="163"/>
      <c r="ESB88" s="163"/>
      <c r="ESC88" s="163"/>
      <c r="ESD88" s="163"/>
      <c r="ESE88" s="163"/>
      <c r="ESF88" s="163"/>
      <c r="ESG88" s="163"/>
      <c r="ESH88" s="163"/>
      <c r="ESI88" s="163"/>
      <c r="ESJ88" s="163"/>
      <c r="ESK88" s="163"/>
      <c r="ESL88" s="163"/>
      <c r="ESM88" s="163"/>
      <c r="ESN88" s="163"/>
      <c r="ESO88" s="163"/>
      <c r="ESP88" s="163"/>
      <c r="ESQ88" s="163"/>
      <c r="ESR88" s="163"/>
      <c r="ESS88" s="163"/>
      <c r="EST88" s="163"/>
      <c r="ESU88" s="163"/>
      <c r="ESV88" s="163"/>
      <c r="ESW88" s="163"/>
      <c r="ESX88" s="163"/>
      <c r="ESY88" s="163"/>
      <c r="ESZ88" s="163"/>
      <c r="ETA88" s="163"/>
      <c r="ETB88" s="163"/>
      <c r="ETC88" s="163"/>
      <c r="ETD88" s="163"/>
      <c r="ETE88" s="163"/>
      <c r="ETF88" s="163"/>
      <c r="ETG88" s="163"/>
      <c r="ETH88" s="163"/>
      <c r="ETI88" s="163"/>
      <c r="ETJ88" s="163"/>
      <c r="ETK88" s="163"/>
      <c r="ETL88" s="163"/>
      <c r="ETM88" s="163"/>
      <c r="ETN88" s="163"/>
      <c r="ETO88" s="163"/>
      <c r="ETP88" s="163"/>
      <c r="ETQ88" s="163"/>
      <c r="ETR88" s="163"/>
      <c r="ETS88" s="163"/>
      <c r="ETT88" s="163"/>
      <c r="ETU88" s="163"/>
      <c r="ETV88" s="163"/>
      <c r="ETW88" s="163"/>
      <c r="ETX88" s="163"/>
      <c r="ETY88" s="163"/>
      <c r="ETZ88" s="163"/>
      <c r="EUA88" s="163"/>
      <c r="EUB88" s="163"/>
      <c r="EUC88" s="163"/>
      <c r="EUD88" s="163"/>
      <c r="EUE88" s="163"/>
      <c r="EUF88" s="163"/>
      <c r="EUG88" s="163"/>
      <c r="EUH88" s="163"/>
      <c r="EUI88" s="163"/>
      <c r="EUJ88" s="163"/>
      <c r="EUK88" s="163"/>
      <c r="EUL88" s="163"/>
      <c r="EUM88" s="163"/>
      <c r="EUN88" s="163"/>
      <c r="EUO88" s="163"/>
      <c r="EUP88" s="163"/>
      <c r="EUQ88" s="163"/>
      <c r="EUR88" s="163"/>
      <c r="EUS88" s="163"/>
      <c r="EUT88" s="163"/>
      <c r="EUU88" s="163"/>
      <c r="EUV88" s="163"/>
      <c r="EUW88" s="163"/>
      <c r="EUX88" s="163"/>
      <c r="EUY88" s="163"/>
      <c r="EUZ88" s="163"/>
      <c r="EVA88" s="163"/>
      <c r="EVB88" s="163"/>
      <c r="EVC88" s="163"/>
      <c r="EVD88" s="163"/>
      <c r="EVE88" s="163"/>
      <c r="EVF88" s="163"/>
      <c r="EVG88" s="163"/>
      <c r="EVH88" s="163"/>
      <c r="EVI88" s="163"/>
      <c r="EVJ88" s="163"/>
      <c r="EVK88" s="163"/>
      <c r="EVL88" s="163"/>
      <c r="EVM88" s="163"/>
      <c r="EVN88" s="163"/>
      <c r="EVO88" s="163"/>
      <c r="EVP88" s="163"/>
      <c r="EVQ88" s="163"/>
      <c r="EVR88" s="163"/>
      <c r="EVS88" s="163"/>
      <c r="EVT88" s="163"/>
      <c r="EVU88" s="163"/>
      <c r="EVV88" s="163"/>
      <c r="EVW88" s="163"/>
      <c r="EVX88" s="163"/>
      <c r="EVY88" s="163"/>
      <c r="EVZ88" s="163"/>
      <c r="EWA88" s="163"/>
      <c r="EWB88" s="163"/>
      <c r="EWC88" s="163"/>
      <c r="EWD88" s="163"/>
      <c r="EWE88" s="163"/>
      <c r="EWF88" s="163"/>
      <c r="EWG88" s="163"/>
      <c r="EWH88" s="163"/>
      <c r="EWI88" s="163"/>
      <c r="EWJ88" s="163"/>
      <c r="EWK88" s="163"/>
      <c r="EWL88" s="163"/>
      <c r="EWM88" s="163"/>
      <c r="EWN88" s="163"/>
      <c r="EWO88" s="163"/>
      <c r="EWP88" s="163"/>
      <c r="EWQ88" s="163"/>
      <c r="EWR88" s="163"/>
      <c r="EWS88" s="163"/>
      <c r="EWT88" s="163"/>
      <c r="EWU88" s="163"/>
      <c r="EWV88" s="163"/>
      <c r="EWW88" s="163"/>
      <c r="EWX88" s="163"/>
      <c r="EWY88" s="163"/>
      <c r="EWZ88" s="163"/>
      <c r="EXA88" s="163"/>
      <c r="EXB88" s="163"/>
      <c r="EXC88" s="163"/>
      <c r="EXD88" s="163"/>
      <c r="EXE88" s="163"/>
      <c r="EXF88" s="163"/>
      <c r="EXG88" s="163"/>
      <c r="EXH88" s="163"/>
      <c r="EXI88" s="163"/>
      <c r="EXJ88" s="163"/>
      <c r="EXK88" s="163"/>
      <c r="EXL88" s="163"/>
      <c r="EXM88" s="163"/>
      <c r="EXN88" s="163"/>
      <c r="EXO88" s="163"/>
      <c r="EXP88" s="163"/>
      <c r="EXQ88" s="163"/>
      <c r="EXR88" s="163"/>
      <c r="EXS88" s="163"/>
      <c r="EXT88" s="163"/>
      <c r="EXU88" s="163"/>
      <c r="EXV88" s="163"/>
      <c r="EXW88" s="163"/>
      <c r="EXX88" s="163"/>
      <c r="EXY88" s="163"/>
      <c r="EXZ88" s="163"/>
      <c r="EYA88" s="163"/>
      <c r="EYB88" s="163"/>
      <c r="EYC88" s="163"/>
      <c r="EYD88" s="163"/>
      <c r="EYE88" s="163"/>
      <c r="EYF88" s="163"/>
      <c r="EYG88" s="163"/>
      <c r="EYH88" s="163"/>
      <c r="EYI88" s="163"/>
      <c r="EYJ88" s="163"/>
      <c r="EYK88" s="163"/>
      <c r="EYL88" s="163"/>
      <c r="EYM88" s="163"/>
      <c r="EYN88" s="163"/>
      <c r="EYO88" s="163"/>
      <c r="EYP88" s="163"/>
      <c r="EYQ88" s="163"/>
      <c r="EYR88" s="163"/>
      <c r="EYS88" s="163"/>
      <c r="EYT88" s="163"/>
      <c r="EYU88" s="163"/>
      <c r="EYV88" s="163"/>
      <c r="EYW88" s="163"/>
      <c r="EYX88" s="163"/>
      <c r="EYY88" s="163"/>
      <c r="EYZ88" s="163"/>
      <c r="EZA88" s="163"/>
      <c r="EZB88" s="163"/>
      <c r="EZC88" s="163"/>
      <c r="EZD88" s="163"/>
      <c r="EZE88" s="163"/>
      <c r="EZF88" s="163"/>
      <c r="EZG88" s="163"/>
      <c r="EZH88" s="163"/>
      <c r="EZI88" s="163"/>
      <c r="EZJ88" s="163"/>
      <c r="EZK88" s="163"/>
      <c r="EZL88" s="163"/>
      <c r="EZM88" s="163"/>
      <c r="EZN88" s="163"/>
      <c r="EZO88" s="163"/>
      <c r="EZP88" s="163"/>
      <c r="EZQ88" s="163"/>
      <c r="EZR88" s="163"/>
      <c r="EZS88" s="163"/>
      <c r="EZT88" s="163"/>
      <c r="EZU88" s="163"/>
      <c r="EZV88" s="163"/>
      <c r="EZW88" s="163"/>
      <c r="EZX88" s="163"/>
      <c r="EZY88" s="163"/>
      <c r="EZZ88" s="163"/>
      <c r="FAA88" s="163"/>
      <c r="FAB88" s="163"/>
      <c r="FAC88" s="163"/>
      <c r="FAD88" s="163"/>
      <c r="FAE88" s="163"/>
      <c r="FAF88" s="163"/>
      <c r="FAG88" s="163"/>
      <c r="FAH88" s="163"/>
      <c r="FAI88" s="163"/>
      <c r="FAJ88" s="163"/>
      <c r="FAK88" s="163"/>
      <c r="FAL88" s="163"/>
      <c r="FAM88" s="163"/>
      <c r="FAN88" s="163"/>
      <c r="FAO88" s="163"/>
      <c r="FAP88" s="163"/>
      <c r="FAQ88" s="163"/>
      <c r="FAR88" s="163"/>
      <c r="FAS88" s="163"/>
      <c r="FAT88" s="163"/>
      <c r="FAU88" s="163"/>
      <c r="FAV88" s="163"/>
      <c r="FAW88" s="163"/>
      <c r="FAX88" s="163"/>
      <c r="FAY88" s="163"/>
      <c r="FAZ88" s="163"/>
      <c r="FBA88" s="163"/>
      <c r="FBB88" s="163"/>
      <c r="FBC88" s="163"/>
      <c r="FBD88" s="163"/>
      <c r="FBE88" s="163"/>
      <c r="FBF88" s="163"/>
      <c r="FBG88" s="163"/>
      <c r="FBH88" s="163"/>
      <c r="FBI88" s="163"/>
      <c r="FBJ88" s="163"/>
      <c r="FBK88" s="163"/>
      <c r="FBL88" s="163"/>
      <c r="FBM88" s="163"/>
      <c r="FBN88" s="163"/>
      <c r="FBO88" s="163"/>
      <c r="FBP88" s="163"/>
      <c r="FBQ88" s="163"/>
      <c r="FBR88" s="163"/>
      <c r="FBS88" s="163"/>
      <c r="FBT88" s="163"/>
      <c r="FBU88" s="163"/>
      <c r="FBV88" s="163"/>
      <c r="FBW88" s="163"/>
      <c r="FBX88" s="163"/>
      <c r="FBY88" s="163"/>
      <c r="FBZ88" s="163"/>
      <c r="FCA88" s="163"/>
      <c r="FCB88" s="163"/>
      <c r="FCC88" s="163"/>
      <c r="FCD88" s="163"/>
      <c r="FCE88" s="163"/>
      <c r="FCF88" s="163"/>
      <c r="FCG88" s="163"/>
      <c r="FCH88" s="163"/>
      <c r="FCI88" s="163"/>
      <c r="FCJ88" s="163"/>
      <c r="FCK88" s="163"/>
      <c r="FCL88" s="163"/>
      <c r="FCM88" s="163"/>
      <c r="FCN88" s="163"/>
      <c r="FCO88" s="163"/>
      <c r="FCP88" s="163"/>
      <c r="FCQ88" s="163"/>
      <c r="FCR88" s="163"/>
      <c r="FCS88" s="163"/>
      <c r="FCT88" s="163"/>
      <c r="FCU88" s="163"/>
      <c r="FCV88" s="163"/>
      <c r="FCW88" s="163"/>
      <c r="FCX88" s="163"/>
      <c r="FCY88" s="163"/>
      <c r="FCZ88" s="163"/>
      <c r="FDA88" s="163"/>
      <c r="FDB88" s="163"/>
      <c r="FDC88" s="163"/>
      <c r="FDD88" s="163"/>
      <c r="FDE88" s="163"/>
      <c r="FDF88" s="163"/>
      <c r="FDG88" s="163"/>
      <c r="FDH88" s="163"/>
      <c r="FDI88" s="163"/>
      <c r="FDJ88" s="163"/>
      <c r="FDK88" s="163"/>
      <c r="FDL88" s="163"/>
      <c r="FDM88" s="163"/>
      <c r="FDN88" s="163"/>
      <c r="FDO88" s="163"/>
      <c r="FDP88" s="163"/>
      <c r="FDQ88" s="163"/>
      <c r="FDR88" s="163"/>
      <c r="FDS88" s="163"/>
      <c r="FDT88" s="163"/>
      <c r="FDU88" s="163"/>
      <c r="FDV88" s="163"/>
      <c r="FDW88" s="163"/>
      <c r="FDX88" s="163"/>
      <c r="FDY88" s="163"/>
      <c r="FDZ88" s="163"/>
      <c r="FEA88" s="163"/>
      <c r="FEB88" s="163"/>
      <c r="FEC88" s="163"/>
      <c r="FED88" s="163"/>
      <c r="FEE88" s="163"/>
      <c r="FEF88" s="163"/>
      <c r="FEG88" s="163"/>
      <c r="FEH88" s="163"/>
      <c r="FEI88" s="163"/>
      <c r="FEJ88" s="163"/>
      <c r="FEK88" s="163"/>
      <c r="FEL88" s="163"/>
      <c r="FEM88" s="163"/>
      <c r="FEN88" s="163"/>
      <c r="FEO88" s="163"/>
      <c r="FEP88" s="163"/>
      <c r="FEQ88" s="163"/>
      <c r="FER88" s="163"/>
      <c r="FES88" s="163"/>
      <c r="FET88" s="163"/>
      <c r="FEU88" s="163"/>
      <c r="FEV88" s="163"/>
      <c r="FEW88" s="163"/>
      <c r="FEX88" s="163"/>
      <c r="FEY88" s="163"/>
      <c r="FEZ88" s="163"/>
      <c r="FFA88" s="163"/>
      <c r="FFB88" s="163"/>
      <c r="FFC88" s="163"/>
      <c r="FFD88" s="163"/>
      <c r="FFE88" s="163"/>
      <c r="FFF88" s="163"/>
      <c r="FFG88" s="163"/>
      <c r="FFH88" s="163"/>
      <c r="FFI88" s="163"/>
      <c r="FFJ88" s="163"/>
      <c r="FFK88" s="163"/>
      <c r="FFL88" s="163"/>
      <c r="FFM88" s="163"/>
      <c r="FFN88" s="163"/>
      <c r="FFO88" s="163"/>
      <c r="FFP88" s="163"/>
      <c r="FFQ88" s="163"/>
      <c r="FFR88" s="163"/>
      <c r="FFS88" s="163"/>
      <c r="FFT88" s="163"/>
      <c r="FFU88" s="163"/>
      <c r="FFV88" s="163"/>
      <c r="FFW88" s="163"/>
      <c r="FFX88" s="163"/>
      <c r="FFY88" s="163"/>
      <c r="FFZ88" s="163"/>
      <c r="FGA88" s="163"/>
      <c r="FGB88" s="163"/>
      <c r="FGC88" s="163"/>
      <c r="FGD88" s="163"/>
      <c r="FGE88" s="163"/>
      <c r="FGF88" s="163"/>
      <c r="FGG88" s="163"/>
      <c r="FGH88" s="163"/>
      <c r="FGI88" s="163"/>
      <c r="FGJ88" s="163"/>
      <c r="FGK88" s="163"/>
      <c r="FGL88" s="163"/>
      <c r="FGM88" s="163"/>
      <c r="FGN88" s="163"/>
      <c r="FGO88" s="163"/>
      <c r="FGP88" s="163"/>
      <c r="FGQ88" s="163"/>
      <c r="FGR88" s="163"/>
      <c r="FGS88" s="163"/>
      <c r="FGT88" s="163"/>
      <c r="FGU88" s="163"/>
      <c r="FGV88" s="163"/>
      <c r="FGW88" s="163"/>
      <c r="FGX88" s="163"/>
      <c r="FGY88" s="163"/>
      <c r="FGZ88" s="163"/>
      <c r="FHA88" s="163"/>
      <c r="FHB88" s="163"/>
      <c r="FHC88" s="163"/>
      <c r="FHD88" s="163"/>
      <c r="FHE88" s="163"/>
      <c r="FHF88" s="163"/>
      <c r="FHG88" s="163"/>
      <c r="FHH88" s="163"/>
      <c r="FHI88" s="163"/>
      <c r="FHJ88" s="163"/>
      <c r="FHK88" s="163"/>
      <c r="FHL88" s="163"/>
      <c r="FHM88" s="163"/>
      <c r="FHN88" s="163"/>
      <c r="FHO88" s="163"/>
      <c r="FHP88" s="163"/>
      <c r="FHQ88" s="163"/>
      <c r="FHR88" s="163"/>
      <c r="FHS88" s="163"/>
      <c r="FHT88" s="163"/>
      <c r="FHU88" s="163"/>
      <c r="FHV88" s="163"/>
      <c r="FHW88" s="163"/>
      <c r="FHX88" s="163"/>
      <c r="FHY88" s="163"/>
      <c r="FHZ88" s="163"/>
      <c r="FIA88" s="163"/>
      <c r="FIB88" s="163"/>
      <c r="FIC88" s="163"/>
      <c r="FID88" s="163"/>
      <c r="FIE88" s="163"/>
      <c r="FIF88" s="163"/>
      <c r="FIG88" s="163"/>
      <c r="FIH88" s="163"/>
      <c r="FII88" s="163"/>
      <c r="FIJ88" s="163"/>
      <c r="FIK88" s="163"/>
      <c r="FIL88" s="163"/>
      <c r="FIM88" s="163"/>
      <c r="FIN88" s="163"/>
      <c r="FIO88" s="163"/>
      <c r="FIP88" s="163"/>
      <c r="FIQ88" s="163"/>
      <c r="FIR88" s="163"/>
      <c r="FIS88" s="163"/>
      <c r="FIT88" s="163"/>
      <c r="FIU88" s="163"/>
      <c r="FIV88" s="163"/>
      <c r="FIW88" s="163"/>
      <c r="FIX88" s="163"/>
      <c r="FIY88" s="163"/>
      <c r="FIZ88" s="163"/>
      <c r="FJA88" s="163"/>
      <c r="FJB88" s="163"/>
      <c r="FJC88" s="163"/>
      <c r="FJD88" s="163"/>
      <c r="FJE88" s="163"/>
      <c r="FJF88" s="163"/>
      <c r="FJG88" s="163"/>
      <c r="FJH88" s="163"/>
      <c r="FJI88" s="163"/>
      <c r="FJJ88" s="163"/>
      <c r="FJK88" s="163"/>
      <c r="FJL88" s="163"/>
      <c r="FJM88" s="163"/>
      <c r="FJN88" s="163"/>
      <c r="FJO88" s="163"/>
      <c r="FJP88" s="163"/>
      <c r="FJQ88" s="163"/>
      <c r="FJR88" s="163"/>
      <c r="FJS88" s="163"/>
      <c r="FJT88" s="163"/>
      <c r="FJU88" s="163"/>
      <c r="FJV88" s="163"/>
      <c r="FJW88" s="163"/>
      <c r="FJX88" s="163"/>
      <c r="FJY88" s="163"/>
      <c r="FJZ88" s="163"/>
      <c r="FKA88" s="163"/>
      <c r="FKB88" s="163"/>
      <c r="FKC88" s="163"/>
      <c r="FKD88" s="163"/>
      <c r="FKE88" s="163"/>
      <c r="FKF88" s="163"/>
      <c r="FKG88" s="163"/>
      <c r="FKH88" s="163"/>
      <c r="FKI88" s="163"/>
      <c r="FKJ88" s="163"/>
      <c r="FKK88" s="163"/>
      <c r="FKL88" s="163"/>
      <c r="FKM88" s="163"/>
      <c r="FKN88" s="163"/>
      <c r="FKO88" s="163"/>
      <c r="FKP88" s="163"/>
      <c r="FKQ88" s="163"/>
      <c r="FKR88" s="163"/>
      <c r="FKS88" s="163"/>
      <c r="FKT88" s="163"/>
      <c r="FKU88" s="163"/>
      <c r="FKV88" s="163"/>
      <c r="FKW88" s="163"/>
      <c r="FKX88" s="163"/>
      <c r="FKY88" s="163"/>
      <c r="FKZ88" s="163"/>
      <c r="FLA88" s="163"/>
      <c r="FLB88" s="163"/>
      <c r="FLC88" s="163"/>
      <c r="FLD88" s="163"/>
      <c r="FLE88" s="163"/>
      <c r="FLF88" s="163"/>
      <c r="FLG88" s="163"/>
      <c r="FLH88" s="163"/>
      <c r="FLI88" s="163"/>
      <c r="FLJ88" s="163"/>
      <c r="FLK88" s="163"/>
      <c r="FLL88" s="163"/>
      <c r="FLM88" s="163"/>
      <c r="FLN88" s="163"/>
      <c r="FLO88" s="163"/>
      <c r="FLP88" s="163"/>
      <c r="FLQ88" s="163"/>
      <c r="FLR88" s="163"/>
      <c r="FLS88" s="163"/>
      <c r="FLT88" s="163"/>
      <c r="FLU88" s="163"/>
      <c r="FLV88" s="163"/>
      <c r="FLW88" s="163"/>
      <c r="FLX88" s="163"/>
      <c r="FLY88" s="163"/>
      <c r="FLZ88" s="163"/>
      <c r="FMA88" s="163"/>
      <c r="FMB88" s="163"/>
      <c r="FMC88" s="163"/>
      <c r="FMD88" s="163"/>
      <c r="FME88" s="163"/>
      <c r="FMF88" s="163"/>
      <c r="FMG88" s="163"/>
      <c r="FMH88" s="163"/>
      <c r="FMI88" s="163"/>
      <c r="FMJ88" s="163"/>
      <c r="FMK88" s="163"/>
      <c r="FML88" s="163"/>
      <c r="FMM88" s="163"/>
      <c r="FMN88" s="163"/>
      <c r="FMO88" s="163"/>
      <c r="FMP88" s="163"/>
      <c r="FMQ88" s="163"/>
      <c r="FMR88" s="163"/>
      <c r="FMS88" s="163"/>
      <c r="FMT88" s="163"/>
      <c r="FMU88" s="163"/>
      <c r="FMV88" s="163"/>
      <c r="FMW88" s="163"/>
      <c r="FMX88" s="163"/>
      <c r="FMY88" s="163"/>
      <c r="FMZ88" s="163"/>
      <c r="FNA88" s="163"/>
      <c r="FNB88" s="163"/>
      <c r="FNC88" s="163"/>
      <c r="FND88" s="163"/>
      <c r="FNE88" s="163"/>
      <c r="FNF88" s="163"/>
      <c r="FNG88" s="163"/>
      <c r="FNH88" s="163"/>
      <c r="FNI88" s="163"/>
      <c r="FNJ88" s="163"/>
      <c r="FNK88" s="163"/>
      <c r="FNL88" s="163"/>
      <c r="FNM88" s="163"/>
      <c r="FNN88" s="163"/>
      <c r="FNO88" s="163"/>
      <c r="FNP88" s="163"/>
      <c r="FNQ88" s="163"/>
      <c r="FNR88" s="163"/>
      <c r="FNS88" s="163"/>
      <c r="FNT88" s="163"/>
      <c r="FNU88" s="163"/>
      <c r="FNV88" s="163"/>
      <c r="FNW88" s="163"/>
      <c r="FNX88" s="163"/>
      <c r="FNY88" s="163"/>
      <c r="FNZ88" s="163"/>
      <c r="FOA88" s="163"/>
      <c r="FOB88" s="163"/>
      <c r="FOC88" s="163"/>
      <c r="FOD88" s="163"/>
      <c r="FOE88" s="163"/>
      <c r="FOF88" s="163"/>
      <c r="FOG88" s="163"/>
      <c r="FOH88" s="163"/>
      <c r="FOI88" s="163"/>
      <c r="FOJ88" s="163"/>
      <c r="FOK88" s="163"/>
      <c r="FOL88" s="163"/>
      <c r="FOM88" s="163"/>
      <c r="FON88" s="163"/>
      <c r="FOO88" s="163"/>
      <c r="FOP88" s="163"/>
      <c r="FOQ88" s="163"/>
      <c r="FOR88" s="163"/>
      <c r="FOS88" s="163"/>
      <c r="FOT88" s="163"/>
      <c r="FOU88" s="163"/>
      <c r="FOV88" s="163"/>
      <c r="FOW88" s="163"/>
      <c r="FOX88" s="163"/>
      <c r="FOY88" s="163"/>
      <c r="FOZ88" s="163"/>
      <c r="FPA88" s="163"/>
      <c r="FPB88" s="163"/>
      <c r="FPC88" s="163"/>
      <c r="FPD88" s="163"/>
      <c r="FPE88" s="163"/>
      <c r="FPF88" s="163"/>
      <c r="FPG88" s="163"/>
      <c r="FPH88" s="163"/>
      <c r="FPI88" s="163"/>
      <c r="FPJ88" s="163"/>
      <c r="FPK88" s="163"/>
      <c r="FPL88" s="163"/>
      <c r="FPM88" s="163"/>
      <c r="FPN88" s="163"/>
      <c r="FPO88" s="163"/>
      <c r="FPP88" s="163"/>
      <c r="FPQ88" s="163"/>
      <c r="FPR88" s="163"/>
      <c r="FPS88" s="163"/>
      <c r="FPT88" s="163"/>
      <c r="FPU88" s="163"/>
      <c r="FPV88" s="163"/>
      <c r="FPW88" s="163"/>
      <c r="FPX88" s="163"/>
      <c r="FPY88" s="163"/>
      <c r="FPZ88" s="163"/>
      <c r="FQA88" s="163"/>
      <c r="FQB88" s="163"/>
      <c r="FQC88" s="163"/>
      <c r="FQD88" s="163"/>
      <c r="FQE88" s="163"/>
      <c r="FQF88" s="163"/>
      <c r="FQG88" s="163"/>
      <c r="FQH88" s="163"/>
      <c r="FQI88" s="163"/>
      <c r="FQJ88" s="163"/>
      <c r="FQK88" s="163"/>
      <c r="FQL88" s="163"/>
      <c r="FQM88" s="163"/>
      <c r="FQN88" s="163"/>
      <c r="FQO88" s="163"/>
      <c r="FQP88" s="163"/>
      <c r="FQQ88" s="163"/>
      <c r="FQR88" s="163"/>
      <c r="FQS88" s="163"/>
      <c r="FQT88" s="163"/>
      <c r="FQU88" s="163"/>
      <c r="FQV88" s="163"/>
      <c r="FQW88" s="163"/>
      <c r="FQX88" s="163"/>
      <c r="FQY88" s="163"/>
      <c r="FQZ88" s="163"/>
      <c r="FRA88" s="163"/>
      <c r="FRB88" s="163"/>
      <c r="FRC88" s="163"/>
      <c r="FRD88" s="163"/>
      <c r="FRE88" s="163"/>
      <c r="FRF88" s="163"/>
      <c r="FRG88" s="163"/>
      <c r="FRH88" s="163"/>
      <c r="FRI88" s="163"/>
      <c r="FRJ88" s="163"/>
      <c r="FRK88" s="163"/>
      <c r="FRL88" s="163"/>
      <c r="FRM88" s="163"/>
      <c r="FRN88" s="163"/>
      <c r="FRO88" s="163"/>
      <c r="FRP88" s="163"/>
      <c r="FRQ88" s="163"/>
      <c r="FRR88" s="163"/>
      <c r="FRS88" s="163"/>
      <c r="FRT88" s="163"/>
      <c r="FRU88" s="163"/>
      <c r="FRV88" s="163"/>
      <c r="FRW88" s="163"/>
      <c r="FRX88" s="163"/>
      <c r="FRY88" s="163"/>
      <c r="FRZ88" s="163"/>
      <c r="FSA88" s="163"/>
      <c r="FSB88" s="163"/>
      <c r="FSC88" s="163"/>
      <c r="FSD88" s="163"/>
      <c r="FSE88" s="163"/>
      <c r="FSF88" s="163"/>
      <c r="FSG88" s="163"/>
      <c r="FSH88" s="163"/>
      <c r="FSI88" s="163"/>
      <c r="FSJ88" s="163"/>
      <c r="FSK88" s="163"/>
      <c r="FSL88" s="163"/>
      <c r="FSM88" s="163"/>
      <c r="FSN88" s="163"/>
      <c r="FSO88" s="163"/>
      <c r="FSP88" s="163"/>
      <c r="FSQ88" s="163"/>
      <c r="FSR88" s="163"/>
      <c r="FSS88" s="163"/>
      <c r="FST88" s="163"/>
      <c r="FSU88" s="163"/>
      <c r="FSV88" s="163"/>
      <c r="FSW88" s="163"/>
      <c r="FSX88" s="163"/>
      <c r="FSY88" s="163"/>
      <c r="FSZ88" s="163"/>
      <c r="FTA88" s="163"/>
      <c r="FTB88" s="163"/>
      <c r="FTC88" s="163"/>
      <c r="FTD88" s="163"/>
      <c r="FTE88" s="163"/>
      <c r="FTF88" s="163"/>
      <c r="FTG88" s="163"/>
      <c r="FTH88" s="163"/>
      <c r="FTI88" s="163"/>
      <c r="FTJ88" s="163"/>
      <c r="FTK88" s="163"/>
      <c r="FTL88" s="163"/>
      <c r="FTM88" s="163"/>
      <c r="FTN88" s="163"/>
      <c r="FTO88" s="163"/>
      <c r="FTP88" s="163"/>
      <c r="FTQ88" s="163"/>
      <c r="FTR88" s="163"/>
      <c r="FTS88" s="163"/>
      <c r="FTT88" s="163"/>
      <c r="FTU88" s="163"/>
      <c r="FTV88" s="163"/>
      <c r="FTW88" s="163"/>
      <c r="FTX88" s="163"/>
      <c r="FTY88" s="163"/>
      <c r="FTZ88" s="163"/>
      <c r="FUA88" s="163"/>
      <c r="FUB88" s="163"/>
      <c r="FUC88" s="163"/>
      <c r="FUD88" s="163"/>
      <c r="FUE88" s="163"/>
      <c r="FUF88" s="163"/>
      <c r="FUG88" s="163"/>
      <c r="FUH88" s="163"/>
      <c r="FUI88" s="163"/>
      <c r="FUJ88" s="163"/>
      <c r="FUK88" s="163"/>
      <c r="FUL88" s="163"/>
      <c r="FUM88" s="163"/>
      <c r="FUN88" s="163"/>
      <c r="FUO88" s="163"/>
      <c r="FUP88" s="163"/>
      <c r="FUQ88" s="163"/>
      <c r="FUR88" s="163"/>
      <c r="FUS88" s="163"/>
      <c r="FUT88" s="163"/>
      <c r="FUU88" s="163"/>
      <c r="FUV88" s="163"/>
      <c r="FUW88" s="163"/>
      <c r="FUX88" s="163"/>
      <c r="FUY88" s="163"/>
      <c r="FUZ88" s="163"/>
      <c r="FVA88" s="163"/>
      <c r="FVB88" s="163"/>
      <c r="FVC88" s="163"/>
      <c r="FVD88" s="163"/>
      <c r="FVE88" s="163"/>
      <c r="FVF88" s="163"/>
      <c r="FVG88" s="163"/>
      <c r="FVH88" s="163"/>
      <c r="FVI88" s="163"/>
      <c r="FVJ88" s="163"/>
      <c r="FVK88" s="163"/>
      <c r="FVL88" s="163"/>
      <c r="FVM88" s="163"/>
      <c r="FVN88" s="163"/>
      <c r="FVO88" s="163"/>
      <c r="FVP88" s="163"/>
      <c r="FVQ88" s="163"/>
      <c r="FVR88" s="163"/>
      <c r="FVS88" s="163"/>
      <c r="FVT88" s="163"/>
      <c r="FVU88" s="163"/>
      <c r="FVV88" s="163"/>
      <c r="FVW88" s="163"/>
      <c r="FVX88" s="163"/>
      <c r="FVY88" s="163"/>
      <c r="FVZ88" s="163"/>
      <c r="FWA88" s="163"/>
      <c r="FWB88" s="163"/>
      <c r="FWC88" s="163"/>
      <c r="FWD88" s="163"/>
      <c r="FWE88" s="163"/>
      <c r="FWF88" s="163"/>
      <c r="FWG88" s="163"/>
      <c r="FWH88" s="163"/>
      <c r="FWI88" s="163"/>
      <c r="FWJ88" s="163"/>
      <c r="FWK88" s="163"/>
      <c r="FWL88" s="163"/>
      <c r="FWM88" s="163"/>
      <c r="FWN88" s="163"/>
      <c r="FWO88" s="163"/>
      <c r="FWP88" s="163"/>
      <c r="FWQ88" s="163"/>
      <c r="FWR88" s="163"/>
      <c r="FWS88" s="163"/>
      <c r="FWT88" s="163"/>
      <c r="FWU88" s="163"/>
      <c r="FWV88" s="163"/>
      <c r="FWW88" s="163"/>
      <c r="FWX88" s="163"/>
      <c r="FWY88" s="163"/>
      <c r="FWZ88" s="163"/>
      <c r="FXA88" s="163"/>
      <c r="FXB88" s="163"/>
      <c r="FXC88" s="163"/>
      <c r="FXD88" s="163"/>
      <c r="FXE88" s="163"/>
      <c r="FXF88" s="163"/>
      <c r="FXG88" s="163"/>
      <c r="FXH88" s="163"/>
      <c r="FXI88" s="163"/>
      <c r="FXJ88" s="163"/>
      <c r="FXK88" s="163"/>
      <c r="FXL88" s="163"/>
      <c r="FXM88" s="163"/>
      <c r="FXN88" s="163"/>
      <c r="FXO88" s="163"/>
      <c r="FXP88" s="163"/>
      <c r="FXQ88" s="163"/>
      <c r="FXR88" s="163"/>
      <c r="FXS88" s="163"/>
      <c r="FXT88" s="163"/>
      <c r="FXU88" s="163"/>
      <c r="FXV88" s="163"/>
      <c r="FXW88" s="163"/>
      <c r="FXX88" s="163"/>
      <c r="FXY88" s="163"/>
      <c r="FXZ88" s="163"/>
      <c r="FYA88" s="163"/>
      <c r="FYB88" s="163"/>
      <c r="FYC88" s="163"/>
      <c r="FYD88" s="163"/>
      <c r="FYE88" s="163"/>
      <c r="FYF88" s="163"/>
      <c r="FYG88" s="163"/>
      <c r="FYH88" s="163"/>
      <c r="FYI88" s="163"/>
      <c r="FYJ88" s="163"/>
      <c r="FYK88" s="163"/>
      <c r="FYL88" s="163"/>
      <c r="FYM88" s="163"/>
      <c r="FYN88" s="163"/>
      <c r="FYO88" s="163"/>
      <c r="FYP88" s="163"/>
      <c r="FYQ88" s="163"/>
      <c r="FYR88" s="163"/>
      <c r="FYS88" s="163"/>
      <c r="FYT88" s="163"/>
      <c r="FYU88" s="163"/>
      <c r="FYV88" s="163"/>
      <c r="FYW88" s="163"/>
      <c r="FYX88" s="163"/>
      <c r="FYY88" s="163"/>
      <c r="FYZ88" s="163"/>
      <c r="FZA88" s="163"/>
      <c r="FZB88" s="163"/>
      <c r="FZC88" s="163"/>
      <c r="FZD88" s="163"/>
      <c r="FZE88" s="163"/>
      <c r="FZF88" s="163"/>
      <c r="FZG88" s="163"/>
      <c r="FZH88" s="163"/>
      <c r="FZI88" s="163"/>
      <c r="FZJ88" s="163"/>
      <c r="FZK88" s="163"/>
      <c r="FZL88" s="163"/>
      <c r="FZM88" s="163"/>
      <c r="FZN88" s="163"/>
      <c r="FZO88" s="163"/>
      <c r="FZP88" s="163"/>
      <c r="FZQ88" s="163"/>
      <c r="FZR88" s="163"/>
      <c r="FZS88" s="163"/>
      <c r="FZT88" s="163"/>
      <c r="FZU88" s="163"/>
      <c r="FZV88" s="163"/>
      <c r="FZW88" s="163"/>
      <c r="FZX88" s="163"/>
      <c r="FZY88" s="163"/>
      <c r="FZZ88" s="163"/>
      <c r="GAA88" s="163"/>
      <c r="GAB88" s="163"/>
      <c r="GAC88" s="163"/>
      <c r="GAD88" s="163"/>
      <c r="GAE88" s="163"/>
      <c r="GAF88" s="163"/>
      <c r="GAG88" s="163"/>
      <c r="GAH88" s="163"/>
      <c r="GAI88" s="163"/>
      <c r="GAJ88" s="163"/>
      <c r="GAK88" s="163"/>
      <c r="GAL88" s="163"/>
      <c r="GAM88" s="163"/>
      <c r="GAN88" s="163"/>
      <c r="GAO88" s="163"/>
      <c r="GAP88" s="163"/>
      <c r="GAQ88" s="163"/>
      <c r="GAR88" s="163"/>
      <c r="GAS88" s="163"/>
      <c r="GAT88" s="163"/>
      <c r="GAU88" s="163"/>
      <c r="GAV88" s="163"/>
      <c r="GAW88" s="163"/>
      <c r="GAX88" s="163"/>
      <c r="GAY88" s="163"/>
      <c r="GAZ88" s="163"/>
      <c r="GBA88" s="163"/>
      <c r="GBB88" s="163"/>
      <c r="GBC88" s="163"/>
      <c r="GBD88" s="163"/>
      <c r="GBE88" s="163"/>
      <c r="GBF88" s="163"/>
      <c r="GBG88" s="163"/>
      <c r="GBH88" s="163"/>
      <c r="GBI88" s="163"/>
      <c r="GBJ88" s="163"/>
      <c r="GBK88" s="163"/>
      <c r="GBL88" s="163"/>
      <c r="GBM88" s="163"/>
      <c r="GBN88" s="163"/>
      <c r="GBO88" s="163"/>
      <c r="GBP88" s="163"/>
      <c r="GBQ88" s="163"/>
      <c r="GBR88" s="163"/>
      <c r="GBS88" s="163"/>
      <c r="GBT88" s="163"/>
      <c r="GBU88" s="163"/>
      <c r="GBV88" s="163"/>
      <c r="GBW88" s="163"/>
      <c r="GBX88" s="163"/>
      <c r="GBY88" s="163"/>
      <c r="GBZ88" s="163"/>
      <c r="GCA88" s="163"/>
      <c r="GCB88" s="163"/>
      <c r="GCC88" s="163"/>
      <c r="GCD88" s="163"/>
      <c r="GCE88" s="163"/>
      <c r="GCF88" s="163"/>
      <c r="GCG88" s="163"/>
      <c r="GCH88" s="163"/>
      <c r="GCI88" s="163"/>
      <c r="GCJ88" s="163"/>
      <c r="GCK88" s="163"/>
      <c r="GCL88" s="163"/>
      <c r="GCM88" s="163"/>
      <c r="GCN88" s="163"/>
      <c r="GCO88" s="163"/>
      <c r="GCP88" s="163"/>
      <c r="GCQ88" s="163"/>
      <c r="GCR88" s="163"/>
      <c r="GCS88" s="163"/>
      <c r="GCT88" s="163"/>
      <c r="GCU88" s="163"/>
      <c r="GCV88" s="163"/>
      <c r="GCW88" s="163"/>
      <c r="GCX88" s="163"/>
      <c r="GCY88" s="163"/>
      <c r="GCZ88" s="163"/>
      <c r="GDA88" s="163"/>
      <c r="GDB88" s="163"/>
      <c r="GDC88" s="163"/>
      <c r="GDD88" s="163"/>
      <c r="GDE88" s="163"/>
      <c r="GDF88" s="163"/>
      <c r="GDG88" s="163"/>
      <c r="GDH88" s="163"/>
      <c r="GDI88" s="163"/>
      <c r="GDJ88" s="163"/>
      <c r="GDK88" s="163"/>
      <c r="GDL88" s="163"/>
      <c r="GDM88" s="163"/>
      <c r="GDN88" s="163"/>
      <c r="GDO88" s="163"/>
      <c r="GDP88" s="163"/>
      <c r="GDQ88" s="163"/>
      <c r="GDR88" s="163"/>
      <c r="GDS88" s="163"/>
      <c r="GDT88" s="163"/>
      <c r="GDU88" s="163"/>
      <c r="GDV88" s="163"/>
      <c r="GDW88" s="163"/>
      <c r="GDX88" s="163"/>
      <c r="GDY88" s="163"/>
      <c r="GDZ88" s="163"/>
      <c r="GEA88" s="163"/>
      <c r="GEB88" s="163"/>
      <c r="GEC88" s="163"/>
      <c r="GED88" s="163"/>
      <c r="GEE88" s="163"/>
      <c r="GEF88" s="163"/>
      <c r="GEG88" s="163"/>
      <c r="GEH88" s="163"/>
      <c r="GEI88" s="163"/>
      <c r="GEJ88" s="163"/>
      <c r="GEK88" s="163"/>
      <c r="GEL88" s="163"/>
      <c r="GEM88" s="163"/>
      <c r="GEN88" s="163"/>
      <c r="GEO88" s="163"/>
      <c r="GEP88" s="163"/>
      <c r="GEQ88" s="163"/>
      <c r="GER88" s="163"/>
      <c r="GES88" s="163"/>
      <c r="GET88" s="163"/>
      <c r="GEU88" s="163"/>
      <c r="GEV88" s="163"/>
      <c r="GEW88" s="163"/>
      <c r="GEX88" s="163"/>
      <c r="GEY88" s="163"/>
      <c r="GEZ88" s="163"/>
      <c r="GFA88" s="163"/>
      <c r="GFB88" s="163"/>
      <c r="GFC88" s="163"/>
      <c r="GFD88" s="163"/>
      <c r="GFE88" s="163"/>
      <c r="GFF88" s="163"/>
      <c r="GFG88" s="163"/>
      <c r="GFH88" s="163"/>
      <c r="GFI88" s="163"/>
      <c r="GFJ88" s="163"/>
      <c r="GFK88" s="163"/>
      <c r="GFL88" s="163"/>
      <c r="GFM88" s="163"/>
      <c r="GFN88" s="163"/>
      <c r="GFO88" s="163"/>
      <c r="GFP88" s="163"/>
      <c r="GFQ88" s="163"/>
      <c r="GFR88" s="163"/>
      <c r="GFS88" s="163"/>
      <c r="GFT88" s="163"/>
      <c r="GFU88" s="163"/>
      <c r="GFV88" s="163"/>
      <c r="GFW88" s="163"/>
      <c r="GFX88" s="163"/>
      <c r="GFY88" s="163"/>
      <c r="GFZ88" s="163"/>
      <c r="GGA88" s="163"/>
      <c r="GGB88" s="163"/>
      <c r="GGC88" s="163"/>
      <c r="GGD88" s="163"/>
      <c r="GGE88" s="163"/>
      <c r="GGF88" s="163"/>
      <c r="GGG88" s="163"/>
      <c r="GGH88" s="163"/>
      <c r="GGI88" s="163"/>
      <c r="GGJ88" s="163"/>
      <c r="GGK88" s="163"/>
      <c r="GGL88" s="163"/>
      <c r="GGM88" s="163"/>
      <c r="GGN88" s="163"/>
      <c r="GGO88" s="163"/>
      <c r="GGP88" s="163"/>
      <c r="GGQ88" s="163"/>
      <c r="GGR88" s="163"/>
      <c r="GGS88" s="163"/>
      <c r="GGT88" s="163"/>
      <c r="GGU88" s="163"/>
      <c r="GGV88" s="163"/>
      <c r="GGW88" s="163"/>
      <c r="GGX88" s="163"/>
      <c r="GGY88" s="163"/>
      <c r="GGZ88" s="163"/>
      <c r="GHA88" s="163"/>
      <c r="GHB88" s="163"/>
      <c r="GHC88" s="163"/>
      <c r="GHD88" s="163"/>
      <c r="GHE88" s="163"/>
      <c r="GHF88" s="163"/>
      <c r="GHG88" s="163"/>
      <c r="GHH88" s="163"/>
      <c r="GHI88" s="163"/>
      <c r="GHJ88" s="163"/>
      <c r="GHK88" s="163"/>
      <c r="GHL88" s="163"/>
      <c r="GHM88" s="163"/>
      <c r="GHN88" s="163"/>
      <c r="GHO88" s="163"/>
      <c r="GHP88" s="163"/>
      <c r="GHQ88" s="163"/>
      <c r="GHR88" s="163"/>
      <c r="GHS88" s="163"/>
      <c r="GHT88" s="163"/>
      <c r="GHU88" s="163"/>
      <c r="GHV88" s="163"/>
      <c r="GHW88" s="163"/>
      <c r="GHX88" s="163"/>
      <c r="GHY88" s="163"/>
      <c r="GHZ88" s="163"/>
      <c r="GIA88" s="163"/>
      <c r="GIB88" s="163"/>
      <c r="GIC88" s="163"/>
      <c r="GID88" s="163"/>
      <c r="GIE88" s="163"/>
      <c r="GIF88" s="163"/>
      <c r="GIG88" s="163"/>
      <c r="GIH88" s="163"/>
      <c r="GII88" s="163"/>
      <c r="GIJ88" s="163"/>
      <c r="GIK88" s="163"/>
      <c r="GIL88" s="163"/>
      <c r="GIM88" s="163"/>
      <c r="GIN88" s="163"/>
      <c r="GIO88" s="163"/>
      <c r="GIP88" s="163"/>
      <c r="GIQ88" s="163"/>
      <c r="GIR88" s="163"/>
      <c r="GIS88" s="163"/>
      <c r="GIT88" s="163"/>
      <c r="GIU88" s="163"/>
      <c r="GIV88" s="163"/>
      <c r="GIW88" s="163"/>
      <c r="GIX88" s="163"/>
      <c r="GIY88" s="163"/>
      <c r="GIZ88" s="163"/>
      <c r="GJA88" s="163"/>
      <c r="GJB88" s="163"/>
      <c r="GJC88" s="163"/>
      <c r="GJD88" s="163"/>
      <c r="GJE88" s="163"/>
      <c r="GJF88" s="163"/>
      <c r="GJG88" s="163"/>
      <c r="GJH88" s="163"/>
      <c r="GJI88" s="163"/>
      <c r="GJJ88" s="163"/>
      <c r="GJK88" s="163"/>
      <c r="GJL88" s="163"/>
      <c r="GJM88" s="163"/>
      <c r="GJN88" s="163"/>
      <c r="GJO88" s="163"/>
      <c r="GJP88" s="163"/>
      <c r="GJQ88" s="163"/>
      <c r="GJR88" s="163"/>
      <c r="GJS88" s="163"/>
      <c r="GJT88" s="163"/>
      <c r="GJU88" s="163"/>
      <c r="GJV88" s="163"/>
      <c r="GJW88" s="163"/>
      <c r="GJX88" s="163"/>
      <c r="GJY88" s="163"/>
      <c r="GJZ88" s="163"/>
      <c r="GKA88" s="163"/>
      <c r="GKB88" s="163"/>
      <c r="GKC88" s="163"/>
      <c r="GKD88" s="163"/>
      <c r="GKE88" s="163"/>
      <c r="GKF88" s="163"/>
      <c r="GKG88" s="163"/>
      <c r="GKH88" s="163"/>
      <c r="GKI88" s="163"/>
      <c r="GKJ88" s="163"/>
      <c r="GKK88" s="163"/>
      <c r="GKL88" s="163"/>
      <c r="GKM88" s="163"/>
      <c r="GKN88" s="163"/>
      <c r="GKO88" s="163"/>
      <c r="GKP88" s="163"/>
      <c r="GKQ88" s="163"/>
      <c r="GKR88" s="163"/>
      <c r="GKS88" s="163"/>
      <c r="GKT88" s="163"/>
      <c r="GKU88" s="163"/>
      <c r="GKV88" s="163"/>
      <c r="GKW88" s="163"/>
      <c r="GKX88" s="163"/>
      <c r="GKY88" s="163"/>
      <c r="GKZ88" s="163"/>
      <c r="GLA88" s="163"/>
      <c r="GLB88" s="163"/>
      <c r="GLC88" s="163"/>
      <c r="GLD88" s="163"/>
      <c r="GLE88" s="163"/>
      <c r="GLF88" s="163"/>
      <c r="GLG88" s="163"/>
      <c r="GLH88" s="163"/>
      <c r="GLI88" s="163"/>
      <c r="GLJ88" s="163"/>
      <c r="GLK88" s="163"/>
      <c r="GLL88" s="163"/>
      <c r="GLM88" s="163"/>
      <c r="GLN88" s="163"/>
      <c r="GLO88" s="163"/>
      <c r="GLP88" s="163"/>
      <c r="GLQ88" s="163"/>
      <c r="GLR88" s="163"/>
      <c r="GLS88" s="163"/>
      <c r="GLT88" s="163"/>
      <c r="GLU88" s="163"/>
      <c r="GLV88" s="163"/>
      <c r="GLW88" s="163"/>
      <c r="GLX88" s="163"/>
      <c r="GLY88" s="163"/>
      <c r="GLZ88" s="163"/>
      <c r="GMA88" s="163"/>
      <c r="GMB88" s="163"/>
      <c r="GMC88" s="163"/>
      <c r="GMD88" s="163"/>
      <c r="GME88" s="163"/>
      <c r="GMF88" s="163"/>
      <c r="GMG88" s="163"/>
      <c r="GMH88" s="163"/>
      <c r="GMI88" s="163"/>
      <c r="GMJ88" s="163"/>
      <c r="GMK88" s="163"/>
      <c r="GML88" s="163"/>
      <c r="GMM88" s="163"/>
      <c r="GMN88" s="163"/>
      <c r="GMO88" s="163"/>
      <c r="GMP88" s="163"/>
      <c r="GMQ88" s="163"/>
      <c r="GMR88" s="163"/>
      <c r="GMS88" s="163"/>
      <c r="GMT88" s="163"/>
      <c r="GMU88" s="163"/>
      <c r="GMV88" s="163"/>
      <c r="GMW88" s="163"/>
      <c r="GMX88" s="163"/>
      <c r="GMY88" s="163"/>
      <c r="GMZ88" s="163"/>
      <c r="GNA88" s="163"/>
      <c r="GNB88" s="163"/>
      <c r="GNC88" s="163"/>
      <c r="GND88" s="163"/>
      <c r="GNE88" s="163"/>
      <c r="GNF88" s="163"/>
      <c r="GNG88" s="163"/>
      <c r="GNH88" s="163"/>
      <c r="GNI88" s="163"/>
      <c r="GNJ88" s="163"/>
      <c r="GNK88" s="163"/>
      <c r="GNL88" s="163"/>
      <c r="GNM88" s="163"/>
      <c r="GNN88" s="163"/>
      <c r="GNO88" s="163"/>
      <c r="GNP88" s="163"/>
      <c r="GNQ88" s="163"/>
      <c r="GNR88" s="163"/>
      <c r="GNS88" s="163"/>
      <c r="GNT88" s="163"/>
      <c r="GNU88" s="163"/>
      <c r="GNV88" s="163"/>
      <c r="GNW88" s="163"/>
      <c r="GNX88" s="163"/>
      <c r="GNY88" s="163"/>
      <c r="GNZ88" s="163"/>
      <c r="GOA88" s="163"/>
      <c r="GOB88" s="163"/>
      <c r="GOC88" s="163"/>
      <c r="GOD88" s="163"/>
      <c r="GOE88" s="163"/>
      <c r="GOF88" s="163"/>
      <c r="GOG88" s="163"/>
      <c r="GOH88" s="163"/>
      <c r="GOI88" s="163"/>
      <c r="GOJ88" s="163"/>
      <c r="GOK88" s="163"/>
      <c r="GOL88" s="163"/>
      <c r="GOM88" s="163"/>
      <c r="GON88" s="163"/>
      <c r="GOO88" s="163"/>
      <c r="GOP88" s="163"/>
      <c r="GOQ88" s="163"/>
      <c r="GOR88" s="163"/>
      <c r="GOS88" s="163"/>
      <c r="GOT88" s="163"/>
      <c r="GOU88" s="163"/>
      <c r="GOV88" s="163"/>
      <c r="GOW88" s="163"/>
      <c r="GOX88" s="163"/>
      <c r="GOY88" s="163"/>
      <c r="GOZ88" s="163"/>
      <c r="GPA88" s="163"/>
      <c r="GPB88" s="163"/>
      <c r="GPC88" s="163"/>
      <c r="GPD88" s="163"/>
      <c r="GPE88" s="163"/>
      <c r="GPF88" s="163"/>
      <c r="GPG88" s="163"/>
      <c r="GPH88" s="163"/>
      <c r="GPI88" s="163"/>
      <c r="GPJ88" s="163"/>
      <c r="GPK88" s="163"/>
      <c r="GPL88" s="163"/>
      <c r="GPM88" s="163"/>
      <c r="GPN88" s="163"/>
      <c r="GPO88" s="163"/>
      <c r="GPP88" s="163"/>
      <c r="GPQ88" s="163"/>
      <c r="GPR88" s="163"/>
      <c r="GPS88" s="163"/>
      <c r="GPT88" s="163"/>
      <c r="GPU88" s="163"/>
      <c r="GPV88" s="163"/>
      <c r="GPW88" s="163"/>
      <c r="GPX88" s="163"/>
      <c r="GPY88" s="163"/>
      <c r="GPZ88" s="163"/>
      <c r="GQA88" s="163"/>
      <c r="GQB88" s="163"/>
      <c r="GQC88" s="163"/>
      <c r="GQD88" s="163"/>
      <c r="GQE88" s="163"/>
      <c r="GQF88" s="163"/>
      <c r="GQG88" s="163"/>
      <c r="GQH88" s="163"/>
      <c r="GQI88" s="163"/>
      <c r="GQJ88" s="163"/>
      <c r="GQK88" s="163"/>
      <c r="GQL88" s="163"/>
      <c r="GQM88" s="163"/>
      <c r="GQN88" s="163"/>
      <c r="GQO88" s="163"/>
      <c r="GQP88" s="163"/>
      <c r="GQQ88" s="163"/>
      <c r="GQR88" s="163"/>
      <c r="GQS88" s="163"/>
      <c r="GQT88" s="163"/>
      <c r="GQU88" s="163"/>
      <c r="GQV88" s="163"/>
      <c r="GQW88" s="163"/>
      <c r="GQX88" s="163"/>
      <c r="GQY88" s="163"/>
      <c r="GQZ88" s="163"/>
      <c r="GRA88" s="163"/>
      <c r="GRB88" s="163"/>
      <c r="GRC88" s="163"/>
      <c r="GRD88" s="163"/>
      <c r="GRE88" s="163"/>
      <c r="GRF88" s="163"/>
      <c r="GRG88" s="163"/>
      <c r="GRH88" s="163"/>
      <c r="GRI88" s="163"/>
      <c r="GRJ88" s="163"/>
      <c r="GRK88" s="163"/>
      <c r="GRL88" s="163"/>
      <c r="GRM88" s="163"/>
      <c r="GRN88" s="163"/>
      <c r="GRO88" s="163"/>
      <c r="GRP88" s="163"/>
      <c r="GRQ88" s="163"/>
      <c r="GRR88" s="163"/>
      <c r="GRS88" s="163"/>
      <c r="GRT88" s="163"/>
      <c r="GRU88" s="163"/>
      <c r="GRV88" s="163"/>
      <c r="GRW88" s="163"/>
      <c r="GRX88" s="163"/>
      <c r="GRY88" s="163"/>
      <c r="GRZ88" s="163"/>
      <c r="GSA88" s="163"/>
      <c r="GSB88" s="163"/>
      <c r="GSC88" s="163"/>
      <c r="GSD88" s="163"/>
      <c r="GSE88" s="163"/>
      <c r="GSF88" s="163"/>
      <c r="GSG88" s="163"/>
      <c r="GSH88" s="163"/>
      <c r="GSI88" s="163"/>
      <c r="GSJ88" s="163"/>
      <c r="GSK88" s="163"/>
      <c r="GSL88" s="163"/>
      <c r="GSM88" s="163"/>
      <c r="GSN88" s="163"/>
      <c r="GSO88" s="163"/>
      <c r="GSP88" s="163"/>
      <c r="GSQ88" s="163"/>
      <c r="GSR88" s="163"/>
      <c r="GSS88" s="163"/>
      <c r="GST88" s="163"/>
      <c r="GSU88" s="163"/>
      <c r="GSV88" s="163"/>
      <c r="GSW88" s="163"/>
      <c r="GSX88" s="163"/>
      <c r="GSY88" s="163"/>
      <c r="GSZ88" s="163"/>
      <c r="GTA88" s="163"/>
      <c r="GTB88" s="163"/>
      <c r="GTC88" s="163"/>
      <c r="GTD88" s="163"/>
      <c r="GTE88" s="163"/>
      <c r="GTF88" s="163"/>
      <c r="GTG88" s="163"/>
      <c r="GTH88" s="163"/>
      <c r="GTI88" s="163"/>
      <c r="GTJ88" s="163"/>
      <c r="GTK88" s="163"/>
      <c r="GTL88" s="163"/>
      <c r="GTM88" s="163"/>
      <c r="GTN88" s="163"/>
      <c r="GTO88" s="163"/>
      <c r="GTP88" s="163"/>
      <c r="GTQ88" s="163"/>
      <c r="GTR88" s="163"/>
      <c r="GTS88" s="163"/>
      <c r="GTT88" s="163"/>
      <c r="GTU88" s="163"/>
      <c r="GTV88" s="163"/>
      <c r="GTW88" s="163"/>
      <c r="GTX88" s="163"/>
      <c r="GTY88" s="163"/>
      <c r="GTZ88" s="163"/>
      <c r="GUA88" s="163"/>
      <c r="GUB88" s="163"/>
      <c r="GUC88" s="163"/>
      <c r="GUD88" s="163"/>
      <c r="GUE88" s="163"/>
      <c r="GUF88" s="163"/>
      <c r="GUG88" s="163"/>
      <c r="GUH88" s="163"/>
      <c r="GUI88" s="163"/>
      <c r="GUJ88" s="163"/>
      <c r="GUK88" s="163"/>
      <c r="GUL88" s="163"/>
      <c r="GUM88" s="163"/>
      <c r="GUN88" s="163"/>
      <c r="GUO88" s="163"/>
      <c r="GUP88" s="163"/>
      <c r="GUQ88" s="163"/>
      <c r="GUR88" s="163"/>
      <c r="GUS88" s="163"/>
      <c r="GUT88" s="163"/>
      <c r="GUU88" s="163"/>
      <c r="GUV88" s="163"/>
      <c r="GUW88" s="163"/>
      <c r="GUX88" s="163"/>
      <c r="GUY88" s="163"/>
      <c r="GUZ88" s="163"/>
      <c r="GVA88" s="163"/>
      <c r="GVB88" s="163"/>
      <c r="GVC88" s="163"/>
      <c r="GVD88" s="163"/>
      <c r="GVE88" s="163"/>
      <c r="GVF88" s="163"/>
      <c r="GVG88" s="163"/>
      <c r="GVH88" s="163"/>
      <c r="GVI88" s="163"/>
      <c r="GVJ88" s="163"/>
      <c r="GVK88" s="163"/>
      <c r="GVL88" s="163"/>
      <c r="GVM88" s="163"/>
      <c r="GVN88" s="163"/>
      <c r="GVO88" s="163"/>
      <c r="GVP88" s="163"/>
      <c r="GVQ88" s="163"/>
      <c r="GVR88" s="163"/>
      <c r="GVS88" s="163"/>
      <c r="GVT88" s="163"/>
      <c r="GVU88" s="163"/>
      <c r="GVV88" s="163"/>
      <c r="GVW88" s="163"/>
      <c r="GVX88" s="163"/>
      <c r="GVY88" s="163"/>
      <c r="GVZ88" s="163"/>
      <c r="GWA88" s="163"/>
      <c r="GWB88" s="163"/>
      <c r="GWC88" s="163"/>
      <c r="GWD88" s="163"/>
      <c r="GWE88" s="163"/>
      <c r="GWF88" s="163"/>
      <c r="GWG88" s="163"/>
      <c r="GWH88" s="163"/>
      <c r="GWI88" s="163"/>
      <c r="GWJ88" s="163"/>
      <c r="GWK88" s="163"/>
      <c r="GWL88" s="163"/>
      <c r="GWM88" s="163"/>
      <c r="GWN88" s="163"/>
      <c r="GWO88" s="163"/>
      <c r="GWP88" s="163"/>
      <c r="GWQ88" s="163"/>
      <c r="GWR88" s="163"/>
      <c r="GWS88" s="163"/>
      <c r="GWT88" s="163"/>
      <c r="GWU88" s="163"/>
      <c r="GWV88" s="163"/>
      <c r="GWW88" s="163"/>
      <c r="GWX88" s="163"/>
      <c r="GWY88" s="163"/>
      <c r="GWZ88" s="163"/>
      <c r="GXA88" s="163"/>
      <c r="GXB88" s="163"/>
      <c r="GXC88" s="163"/>
      <c r="GXD88" s="163"/>
      <c r="GXE88" s="163"/>
      <c r="GXF88" s="163"/>
      <c r="GXG88" s="163"/>
      <c r="GXH88" s="163"/>
      <c r="GXI88" s="163"/>
      <c r="GXJ88" s="163"/>
      <c r="GXK88" s="163"/>
      <c r="GXL88" s="163"/>
      <c r="GXM88" s="163"/>
      <c r="GXN88" s="163"/>
      <c r="GXO88" s="163"/>
      <c r="GXP88" s="163"/>
      <c r="GXQ88" s="163"/>
      <c r="GXR88" s="163"/>
      <c r="GXS88" s="163"/>
      <c r="GXT88" s="163"/>
      <c r="GXU88" s="163"/>
      <c r="GXV88" s="163"/>
      <c r="GXW88" s="163"/>
      <c r="GXX88" s="163"/>
      <c r="GXY88" s="163"/>
      <c r="GXZ88" s="163"/>
      <c r="GYA88" s="163"/>
      <c r="GYB88" s="163"/>
      <c r="GYC88" s="163"/>
      <c r="GYD88" s="163"/>
      <c r="GYE88" s="163"/>
      <c r="GYF88" s="163"/>
      <c r="GYG88" s="163"/>
      <c r="GYH88" s="163"/>
      <c r="GYI88" s="163"/>
      <c r="GYJ88" s="163"/>
      <c r="GYK88" s="163"/>
      <c r="GYL88" s="163"/>
      <c r="GYM88" s="163"/>
      <c r="GYN88" s="163"/>
      <c r="GYO88" s="163"/>
      <c r="GYP88" s="163"/>
      <c r="GYQ88" s="163"/>
      <c r="GYR88" s="163"/>
      <c r="GYS88" s="163"/>
      <c r="GYT88" s="163"/>
      <c r="GYU88" s="163"/>
      <c r="GYV88" s="163"/>
      <c r="GYW88" s="163"/>
      <c r="GYX88" s="163"/>
      <c r="GYY88" s="163"/>
      <c r="GYZ88" s="163"/>
      <c r="GZA88" s="163"/>
      <c r="GZB88" s="163"/>
      <c r="GZC88" s="163"/>
      <c r="GZD88" s="163"/>
      <c r="GZE88" s="163"/>
      <c r="GZF88" s="163"/>
      <c r="GZG88" s="163"/>
      <c r="GZH88" s="163"/>
      <c r="GZI88" s="163"/>
      <c r="GZJ88" s="163"/>
      <c r="GZK88" s="163"/>
      <c r="GZL88" s="163"/>
      <c r="GZM88" s="163"/>
      <c r="GZN88" s="163"/>
      <c r="GZO88" s="163"/>
      <c r="GZP88" s="163"/>
      <c r="GZQ88" s="163"/>
      <c r="GZR88" s="163"/>
      <c r="GZS88" s="163"/>
      <c r="GZT88" s="163"/>
      <c r="GZU88" s="163"/>
      <c r="GZV88" s="163"/>
      <c r="GZW88" s="163"/>
      <c r="GZX88" s="163"/>
      <c r="GZY88" s="163"/>
      <c r="GZZ88" s="163"/>
      <c r="HAA88" s="163"/>
      <c r="HAB88" s="163"/>
      <c r="HAC88" s="163"/>
      <c r="HAD88" s="163"/>
      <c r="HAE88" s="163"/>
      <c r="HAF88" s="163"/>
      <c r="HAG88" s="163"/>
      <c r="HAH88" s="163"/>
      <c r="HAI88" s="163"/>
      <c r="HAJ88" s="163"/>
      <c r="HAK88" s="163"/>
      <c r="HAL88" s="163"/>
      <c r="HAM88" s="163"/>
      <c r="HAN88" s="163"/>
      <c r="HAO88" s="163"/>
      <c r="HAP88" s="163"/>
      <c r="HAQ88" s="163"/>
      <c r="HAR88" s="163"/>
      <c r="HAS88" s="163"/>
      <c r="HAT88" s="163"/>
      <c r="HAU88" s="163"/>
      <c r="HAV88" s="163"/>
      <c r="HAW88" s="163"/>
      <c r="HAX88" s="163"/>
      <c r="HAY88" s="163"/>
      <c r="HAZ88" s="163"/>
      <c r="HBA88" s="163"/>
      <c r="HBB88" s="163"/>
      <c r="HBC88" s="163"/>
      <c r="HBD88" s="163"/>
      <c r="HBE88" s="163"/>
      <c r="HBF88" s="163"/>
      <c r="HBG88" s="163"/>
      <c r="HBH88" s="163"/>
      <c r="HBI88" s="163"/>
      <c r="HBJ88" s="163"/>
      <c r="HBK88" s="163"/>
      <c r="HBL88" s="163"/>
      <c r="HBM88" s="163"/>
      <c r="HBN88" s="163"/>
      <c r="HBO88" s="163"/>
      <c r="HBP88" s="163"/>
      <c r="HBQ88" s="163"/>
      <c r="HBR88" s="163"/>
      <c r="HBS88" s="163"/>
      <c r="HBT88" s="163"/>
      <c r="HBU88" s="163"/>
      <c r="HBV88" s="163"/>
      <c r="HBW88" s="163"/>
      <c r="HBX88" s="163"/>
      <c r="HBY88" s="163"/>
      <c r="HBZ88" s="163"/>
      <c r="HCA88" s="163"/>
      <c r="HCB88" s="163"/>
      <c r="HCC88" s="163"/>
      <c r="HCD88" s="163"/>
      <c r="HCE88" s="163"/>
      <c r="HCF88" s="163"/>
      <c r="HCG88" s="163"/>
      <c r="HCH88" s="163"/>
      <c r="HCI88" s="163"/>
      <c r="HCJ88" s="163"/>
      <c r="HCK88" s="163"/>
      <c r="HCL88" s="163"/>
      <c r="HCM88" s="163"/>
      <c r="HCN88" s="163"/>
      <c r="HCO88" s="163"/>
      <c r="HCP88" s="163"/>
      <c r="HCQ88" s="163"/>
      <c r="HCR88" s="163"/>
      <c r="HCS88" s="163"/>
      <c r="HCT88" s="163"/>
      <c r="HCU88" s="163"/>
      <c r="HCV88" s="163"/>
      <c r="HCW88" s="163"/>
      <c r="HCX88" s="163"/>
      <c r="HCY88" s="163"/>
      <c r="HCZ88" s="163"/>
      <c r="HDA88" s="163"/>
      <c r="HDB88" s="163"/>
      <c r="HDC88" s="163"/>
      <c r="HDD88" s="163"/>
      <c r="HDE88" s="163"/>
      <c r="HDF88" s="163"/>
      <c r="HDG88" s="163"/>
      <c r="HDH88" s="163"/>
      <c r="HDI88" s="163"/>
      <c r="HDJ88" s="163"/>
      <c r="HDK88" s="163"/>
      <c r="HDL88" s="163"/>
      <c r="HDM88" s="163"/>
      <c r="HDN88" s="163"/>
      <c r="HDO88" s="163"/>
      <c r="HDP88" s="163"/>
      <c r="HDQ88" s="163"/>
      <c r="HDR88" s="163"/>
      <c r="HDS88" s="163"/>
      <c r="HDT88" s="163"/>
      <c r="HDU88" s="163"/>
      <c r="HDV88" s="163"/>
      <c r="HDW88" s="163"/>
      <c r="HDX88" s="163"/>
      <c r="HDY88" s="163"/>
      <c r="HDZ88" s="163"/>
      <c r="HEA88" s="163"/>
      <c r="HEB88" s="163"/>
      <c r="HEC88" s="163"/>
      <c r="HED88" s="163"/>
      <c r="HEE88" s="163"/>
      <c r="HEF88" s="163"/>
      <c r="HEG88" s="163"/>
      <c r="HEH88" s="163"/>
      <c r="HEI88" s="163"/>
      <c r="HEJ88" s="163"/>
      <c r="HEK88" s="163"/>
      <c r="HEL88" s="163"/>
      <c r="HEM88" s="163"/>
      <c r="HEN88" s="163"/>
      <c r="HEO88" s="163"/>
      <c r="HEP88" s="163"/>
      <c r="HEQ88" s="163"/>
      <c r="HER88" s="163"/>
      <c r="HES88" s="163"/>
      <c r="HET88" s="163"/>
      <c r="HEU88" s="163"/>
      <c r="HEV88" s="163"/>
      <c r="HEW88" s="163"/>
      <c r="HEX88" s="163"/>
      <c r="HEY88" s="163"/>
      <c r="HEZ88" s="163"/>
      <c r="HFA88" s="163"/>
      <c r="HFB88" s="163"/>
      <c r="HFC88" s="163"/>
      <c r="HFD88" s="163"/>
      <c r="HFE88" s="163"/>
      <c r="HFF88" s="163"/>
      <c r="HFG88" s="163"/>
      <c r="HFH88" s="163"/>
      <c r="HFI88" s="163"/>
      <c r="HFJ88" s="163"/>
      <c r="HFK88" s="163"/>
      <c r="HFL88" s="163"/>
      <c r="HFM88" s="163"/>
      <c r="HFN88" s="163"/>
      <c r="HFO88" s="163"/>
      <c r="HFP88" s="163"/>
      <c r="HFQ88" s="163"/>
      <c r="HFR88" s="163"/>
      <c r="HFS88" s="163"/>
      <c r="HFT88" s="163"/>
      <c r="HFU88" s="163"/>
      <c r="HFV88" s="163"/>
      <c r="HFW88" s="163"/>
      <c r="HFX88" s="163"/>
      <c r="HFY88" s="163"/>
      <c r="HFZ88" s="163"/>
      <c r="HGA88" s="163"/>
      <c r="HGB88" s="163"/>
      <c r="HGC88" s="163"/>
      <c r="HGD88" s="163"/>
      <c r="HGE88" s="163"/>
      <c r="HGF88" s="163"/>
      <c r="HGG88" s="163"/>
      <c r="HGH88" s="163"/>
      <c r="HGI88" s="163"/>
      <c r="HGJ88" s="163"/>
      <c r="HGK88" s="163"/>
      <c r="HGL88" s="163"/>
      <c r="HGM88" s="163"/>
      <c r="HGN88" s="163"/>
      <c r="HGO88" s="163"/>
      <c r="HGP88" s="163"/>
      <c r="HGQ88" s="163"/>
      <c r="HGR88" s="163"/>
      <c r="HGS88" s="163"/>
      <c r="HGT88" s="163"/>
      <c r="HGU88" s="163"/>
      <c r="HGV88" s="163"/>
      <c r="HGW88" s="163"/>
      <c r="HGX88" s="163"/>
      <c r="HGY88" s="163"/>
      <c r="HGZ88" s="163"/>
      <c r="HHA88" s="163"/>
      <c r="HHB88" s="163"/>
      <c r="HHC88" s="163"/>
      <c r="HHD88" s="163"/>
      <c r="HHE88" s="163"/>
      <c r="HHF88" s="163"/>
      <c r="HHG88" s="163"/>
      <c r="HHH88" s="163"/>
      <c r="HHI88" s="163"/>
      <c r="HHJ88" s="163"/>
      <c r="HHK88" s="163"/>
      <c r="HHL88" s="163"/>
      <c r="HHM88" s="163"/>
      <c r="HHN88" s="163"/>
      <c r="HHO88" s="163"/>
      <c r="HHP88" s="163"/>
      <c r="HHQ88" s="163"/>
      <c r="HHR88" s="163"/>
      <c r="HHS88" s="163"/>
      <c r="HHT88" s="163"/>
      <c r="HHU88" s="163"/>
      <c r="HHV88" s="163"/>
      <c r="HHW88" s="163"/>
      <c r="HHX88" s="163"/>
      <c r="HHY88" s="163"/>
      <c r="HHZ88" s="163"/>
      <c r="HIA88" s="163"/>
      <c r="HIB88" s="163"/>
      <c r="HIC88" s="163"/>
      <c r="HID88" s="163"/>
      <c r="HIE88" s="163"/>
      <c r="HIF88" s="163"/>
      <c r="HIG88" s="163"/>
      <c r="HIH88" s="163"/>
      <c r="HII88" s="163"/>
      <c r="HIJ88" s="163"/>
      <c r="HIK88" s="163"/>
      <c r="HIL88" s="163"/>
      <c r="HIM88" s="163"/>
      <c r="HIN88" s="163"/>
      <c r="HIO88" s="163"/>
      <c r="HIP88" s="163"/>
      <c r="HIQ88" s="163"/>
      <c r="HIR88" s="163"/>
      <c r="HIS88" s="163"/>
      <c r="HIT88" s="163"/>
      <c r="HIU88" s="163"/>
      <c r="HIV88" s="163"/>
      <c r="HIW88" s="163"/>
      <c r="HIX88" s="163"/>
      <c r="HIY88" s="163"/>
      <c r="HIZ88" s="163"/>
      <c r="HJA88" s="163"/>
      <c r="HJB88" s="163"/>
      <c r="HJC88" s="163"/>
      <c r="HJD88" s="163"/>
      <c r="HJE88" s="163"/>
      <c r="HJF88" s="163"/>
      <c r="HJG88" s="163"/>
      <c r="HJH88" s="163"/>
      <c r="HJI88" s="163"/>
      <c r="HJJ88" s="163"/>
      <c r="HJK88" s="163"/>
      <c r="HJL88" s="163"/>
      <c r="HJM88" s="163"/>
      <c r="HJN88" s="163"/>
      <c r="HJO88" s="163"/>
      <c r="HJP88" s="163"/>
      <c r="HJQ88" s="163"/>
      <c r="HJR88" s="163"/>
      <c r="HJS88" s="163"/>
      <c r="HJT88" s="163"/>
      <c r="HJU88" s="163"/>
      <c r="HJV88" s="163"/>
      <c r="HJW88" s="163"/>
      <c r="HJX88" s="163"/>
      <c r="HJY88" s="163"/>
      <c r="HJZ88" s="163"/>
      <c r="HKA88" s="163"/>
      <c r="HKB88" s="163"/>
      <c r="HKC88" s="163"/>
      <c r="HKD88" s="163"/>
      <c r="HKE88" s="163"/>
      <c r="HKF88" s="163"/>
      <c r="HKG88" s="163"/>
      <c r="HKH88" s="163"/>
      <c r="HKI88" s="163"/>
      <c r="HKJ88" s="163"/>
      <c r="HKK88" s="163"/>
      <c r="HKL88" s="163"/>
      <c r="HKM88" s="163"/>
      <c r="HKN88" s="163"/>
      <c r="HKO88" s="163"/>
      <c r="HKP88" s="163"/>
      <c r="HKQ88" s="163"/>
      <c r="HKR88" s="163"/>
      <c r="HKS88" s="163"/>
      <c r="HKT88" s="163"/>
      <c r="HKU88" s="163"/>
      <c r="HKV88" s="163"/>
      <c r="HKW88" s="163"/>
      <c r="HKX88" s="163"/>
      <c r="HKY88" s="163"/>
      <c r="HKZ88" s="163"/>
      <c r="HLA88" s="163"/>
      <c r="HLB88" s="163"/>
      <c r="HLC88" s="163"/>
      <c r="HLD88" s="163"/>
      <c r="HLE88" s="163"/>
      <c r="HLF88" s="163"/>
      <c r="HLG88" s="163"/>
      <c r="HLH88" s="163"/>
      <c r="HLI88" s="163"/>
      <c r="HLJ88" s="163"/>
      <c r="HLK88" s="163"/>
      <c r="HLL88" s="163"/>
      <c r="HLM88" s="163"/>
      <c r="HLN88" s="163"/>
      <c r="HLO88" s="163"/>
      <c r="HLP88" s="163"/>
      <c r="HLQ88" s="163"/>
      <c r="HLR88" s="163"/>
      <c r="HLS88" s="163"/>
      <c r="HLT88" s="163"/>
      <c r="HLU88" s="163"/>
      <c r="HLV88" s="163"/>
      <c r="HLW88" s="163"/>
      <c r="HLX88" s="163"/>
      <c r="HLY88" s="163"/>
      <c r="HLZ88" s="163"/>
      <c r="HMA88" s="163"/>
      <c r="HMB88" s="163"/>
      <c r="HMC88" s="163"/>
      <c r="HMD88" s="163"/>
      <c r="HME88" s="163"/>
      <c r="HMF88" s="163"/>
      <c r="HMG88" s="163"/>
      <c r="HMH88" s="163"/>
      <c r="HMI88" s="163"/>
      <c r="HMJ88" s="163"/>
      <c r="HMK88" s="163"/>
      <c r="HML88" s="163"/>
      <c r="HMM88" s="163"/>
      <c r="HMN88" s="163"/>
      <c r="HMO88" s="163"/>
      <c r="HMP88" s="163"/>
      <c r="HMQ88" s="163"/>
      <c r="HMR88" s="163"/>
      <c r="HMS88" s="163"/>
      <c r="HMT88" s="163"/>
      <c r="HMU88" s="163"/>
      <c r="HMV88" s="163"/>
      <c r="HMW88" s="163"/>
      <c r="HMX88" s="163"/>
      <c r="HMY88" s="163"/>
      <c r="HMZ88" s="163"/>
      <c r="HNA88" s="163"/>
      <c r="HNB88" s="163"/>
      <c r="HNC88" s="163"/>
      <c r="HND88" s="163"/>
      <c r="HNE88" s="163"/>
      <c r="HNF88" s="163"/>
      <c r="HNG88" s="163"/>
      <c r="HNH88" s="163"/>
      <c r="HNI88" s="163"/>
      <c r="HNJ88" s="163"/>
      <c r="HNK88" s="163"/>
      <c r="HNL88" s="163"/>
      <c r="HNM88" s="163"/>
      <c r="HNN88" s="163"/>
      <c r="HNO88" s="163"/>
      <c r="HNP88" s="163"/>
      <c r="HNQ88" s="163"/>
      <c r="HNR88" s="163"/>
      <c r="HNS88" s="163"/>
      <c r="HNT88" s="163"/>
      <c r="HNU88" s="163"/>
      <c r="HNV88" s="163"/>
      <c r="HNW88" s="163"/>
      <c r="HNX88" s="163"/>
      <c r="HNY88" s="163"/>
      <c r="HNZ88" s="163"/>
      <c r="HOA88" s="163"/>
      <c r="HOB88" s="163"/>
      <c r="HOC88" s="163"/>
      <c r="HOD88" s="163"/>
      <c r="HOE88" s="163"/>
      <c r="HOF88" s="163"/>
      <c r="HOG88" s="163"/>
      <c r="HOH88" s="163"/>
      <c r="HOI88" s="163"/>
      <c r="HOJ88" s="163"/>
      <c r="HOK88" s="163"/>
      <c r="HOL88" s="163"/>
      <c r="HOM88" s="163"/>
      <c r="HON88" s="163"/>
      <c r="HOO88" s="163"/>
      <c r="HOP88" s="163"/>
      <c r="HOQ88" s="163"/>
      <c r="HOR88" s="163"/>
      <c r="HOS88" s="163"/>
      <c r="HOT88" s="163"/>
      <c r="HOU88" s="163"/>
      <c r="HOV88" s="163"/>
      <c r="HOW88" s="163"/>
      <c r="HOX88" s="163"/>
      <c r="HOY88" s="163"/>
      <c r="HOZ88" s="163"/>
      <c r="HPA88" s="163"/>
      <c r="HPB88" s="163"/>
      <c r="HPC88" s="163"/>
      <c r="HPD88" s="163"/>
      <c r="HPE88" s="163"/>
      <c r="HPF88" s="163"/>
      <c r="HPG88" s="163"/>
      <c r="HPH88" s="163"/>
      <c r="HPI88" s="163"/>
      <c r="HPJ88" s="163"/>
      <c r="HPK88" s="163"/>
      <c r="HPL88" s="163"/>
      <c r="HPM88" s="163"/>
      <c r="HPN88" s="163"/>
      <c r="HPO88" s="163"/>
      <c r="HPP88" s="163"/>
      <c r="HPQ88" s="163"/>
      <c r="HPR88" s="163"/>
      <c r="HPS88" s="163"/>
      <c r="HPT88" s="163"/>
      <c r="HPU88" s="163"/>
      <c r="HPV88" s="163"/>
      <c r="HPW88" s="163"/>
      <c r="HPX88" s="163"/>
      <c r="HPY88" s="163"/>
      <c r="HPZ88" s="163"/>
      <c r="HQA88" s="163"/>
      <c r="HQB88" s="163"/>
      <c r="HQC88" s="163"/>
      <c r="HQD88" s="163"/>
      <c r="HQE88" s="163"/>
      <c r="HQF88" s="163"/>
      <c r="HQG88" s="163"/>
      <c r="HQH88" s="163"/>
      <c r="HQI88" s="163"/>
      <c r="HQJ88" s="163"/>
      <c r="HQK88" s="163"/>
      <c r="HQL88" s="163"/>
      <c r="HQM88" s="163"/>
      <c r="HQN88" s="163"/>
      <c r="HQO88" s="163"/>
      <c r="HQP88" s="163"/>
      <c r="HQQ88" s="163"/>
      <c r="HQR88" s="163"/>
      <c r="HQS88" s="163"/>
      <c r="HQT88" s="163"/>
      <c r="HQU88" s="163"/>
      <c r="HQV88" s="163"/>
      <c r="HQW88" s="163"/>
      <c r="HQX88" s="163"/>
      <c r="HQY88" s="163"/>
      <c r="HQZ88" s="163"/>
      <c r="HRA88" s="163"/>
      <c r="HRB88" s="163"/>
      <c r="HRC88" s="163"/>
      <c r="HRD88" s="163"/>
      <c r="HRE88" s="163"/>
      <c r="HRF88" s="163"/>
      <c r="HRG88" s="163"/>
      <c r="HRH88" s="163"/>
      <c r="HRI88" s="163"/>
      <c r="HRJ88" s="163"/>
      <c r="HRK88" s="163"/>
      <c r="HRL88" s="163"/>
      <c r="HRM88" s="163"/>
      <c r="HRN88" s="163"/>
      <c r="HRO88" s="163"/>
      <c r="HRP88" s="163"/>
      <c r="HRQ88" s="163"/>
      <c r="HRR88" s="163"/>
      <c r="HRS88" s="163"/>
      <c r="HRT88" s="163"/>
      <c r="HRU88" s="163"/>
      <c r="HRV88" s="163"/>
      <c r="HRW88" s="163"/>
      <c r="HRX88" s="163"/>
      <c r="HRY88" s="163"/>
      <c r="HRZ88" s="163"/>
      <c r="HSA88" s="163"/>
      <c r="HSB88" s="163"/>
      <c r="HSC88" s="163"/>
      <c r="HSD88" s="163"/>
      <c r="HSE88" s="163"/>
      <c r="HSF88" s="163"/>
      <c r="HSG88" s="163"/>
      <c r="HSH88" s="163"/>
      <c r="HSI88" s="163"/>
      <c r="HSJ88" s="163"/>
      <c r="HSK88" s="163"/>
      <c r="HSL88" s="163"/>
      <c r="HSM88" s="163"/>
      <c r="HSN88" s="163"/>
      <c r="HSO88" s="163"/>
      <c r="HSP88" s="163"/>
      <c r="HSQ88" s="163"/>
      <c r="HSR88" s="163"/>
      <c r="HSS88" s="163"/>
      <c r="HST88" s="163"/>
      <c r="HSU88" s="163"/>
      <c r="HSV88" s="163"/>
      <c r="HSW88" s="163"/>
      <c r="HSX88" s="163"/>
      <c r="HSY88" s="163"/>
      <c r="HSZ88" s="163"/>
      <c r="HTA88" s="163"/>
      <c r="HTB88" s="163"/>
      <c r="HTC88" s="163"/>
      <c r="HTD88" s="163"/>
      <c r="HTE88" s="163"/>
      <c r="HTF88" s="163"/>
      <c r="HTG88" s="163"/>
      <c r="HTH88" s="163"/>
      <c r="HTI88" s="163"/>
      <c r="HTJ88" s="163"/>
      <c r="HTK88" s="163"/>
      <c r="HTL88" s="163"/>
      <c r="HTM88" s="163"/>
      <c r="HTN88" s="163"/>
      <c r="HTO88" s="163"/>
      <c r="HTP88" s="163"/>
      <c r="HTQ88" s="163"/>
      <c r="HTR88" s="163"/>
      <c r="HTS88" s="163"/>
      <c r="HTT88" s="163"/>
      <c r="HTU88" s="163"/>
      <c r="HTV88" s="163"/>
      <c r="HTW88" s="163"/>
      <c r="HTX88" s="163"/>
      <c r="HTY88" s="163"/>
      <c r="HTZ88" s="163"/>
      <c r="HUA88" s="163"/>
      <c r="HUB88" s="163"/>
      <c r="HUC88" s="163"/>
      <c r="HUD88" s="163"/>
      <c r="HUE88" s="163"/>
      <c r="HUF88" s="163"/>
      <c r="HUG88" s="163"/>
      <c r="HUH88" s="163"/>
      <c r="HUI88" s="163"/>
      <c r="HUJ88" s="163"/>
      <c r="HUK88" s="163"/>
      <c r="HUL88" s="163"/>
      <c r="HUM88" s="163"/>
      <c r="HUN88" s="163"/>
      <c r="HUO88" s="163"/>
      <c r="HUP88" s="163"/>
      <c r="HUQ88" s="163"/>
      <c r="HUR88" s="163"/>
      <c r="HUS88" s="163"/>
      <c r="HUT88" s="163"/>
      <c r="HUU88" s="163"/>
      <c r="HUV88" s="163"/>
      <c r="HUW88" s="163"/>
      <c r="HUX88" s="163"/>
      <c r="HUY88" s="163"/>
      <c r="HUZ88" s="163"/>
      <c r="HVA88" s="163"/>
      <c r="HVB88" s="163"/>
      <c r="HVC88" s="163"/>
      <c r="HVD88" s="163"/>
      <c r="HVE88" s="163"/>
      <c r="HVF88" s="163"/>
      <c r="HVG88" s="163"/>
      <c r="HVH88" s="163"/>
      <c r="HVI88" s="163"/>
      <c r="HVJ88" s="163"/>
      <c r="HVK88" s="163"/>
      <c r="HVL88" s="163"/>
      <c r="HVM88" s="163"/>
      <c r="HVN88" s="163"/>
      <c r="HVO88" s="163"/>
      <c r="HVP88" s="163"/>
      <c r="HVQ88" s="163"/>
      <c r="HVR88" s="163"/>
      <c r="HVS88" s="163"/>
      <c r="HVT88" s="163"/>
      <c r="HVU88" s="163"/>
      <c r="HVV88" s="163"/>
      <c r="HVW88" s="163"/>
      <c r="HVX88" s="163"/>
      <c r="HVY88" s="163"/>
      <c r="HVZ88" s="163"/>
      <c r="HWA88" s="163"/>
      <c r="HWB88" s="163"/>
      <c r="HWC88" s="163"/>
      <c r="HWD88" s="163"/>
      <c r="HWE88" s="163"/>
      <c r="HWF88" s="163"/>
      <c r="HWG88" s="163"/>
      <c r="HWH88" s="163"/>
      <c r="HWI88" s="163"/>
      <c r="HWJ88" s="163"/>
      <c r="HWK88" s="163"/>
      <c r="HWL88" s="163"/>
      <c r="HWM88" s="163"/>
      <c r="HWN88" s="163"/>
      <c r="HWO88" s="163"/>
      <c r="HWP88" s="163"/>
      <c r="HWQ88" s="163"/>
      <c r="HWR88" s="163"/>
      <c r="HWS88" s="163"/>
      <c r="HWT88" s="163"/>
      <c r="HWU88" s="163"/>
      <c r="HWV88" s="163"/>
      <c r="HWW88" s="163"/>
      <c r="HWX88" s="163"/>
      <c r="HWY88" s="163"/>
      <c r="HWZ88" s="163"/>
      <c r="HXA88" s="163"/>
      <c r="HXB88" s="163"/>
      <c r="HXC88" s="163"/>
      <c r="HXD88" s="163"/>
      <c r="HXE88" s="163"/>
      <c r="HXF88" s="163"/>
      <c r="HXG88" s="163"/>
      <c r="HXH88" s="163"/>
      <c r="HXI88" s="163"/>
      <c r="HXJ88" s="163"/>
      <c r="HXK88" s="163"/>
      <c r="HXL88" s="163"/>
      <c r="HXM88" s="163"/>
      <c r="HXN88" s="163"/>
      <c r="HXO88" s="163"/>
      <c r="HXP88" s="163"/>
      <c r="HXQ88" s="163"/>
      <c r="HXR88" s="163"/>
      <c r="HXS88" s="163"/>
      <c r="HXT88" s="163"/>
      <c r="HXU88" s="163"/>
      <c r="HXV88" s="163"/>
      <c r="HXW88" s="163"/>
      <c r="HXX88" s="163"/>
      <c r="HXY88" s="163"/>
      <c r="HXZ88" s="163"/>
      <c r="HYA88" s="163"/>
      <c r="HYB88" s="163"/>
      <c r="HYC88" s="163"/>
      <c r="HYD88" s="163"/>
      <c r="HYE88" s="163"/>
      <c r="HYF88" s="163"/>
      <c r="HYG88" s="163"/>
      <c r="HYH88" s="163"/>
      <c r="HYI88" s="163"/>
      <c r="HYJ88" s="163"/>
      <c r="HYK88" s="163"/>
      <c r="HYL88" s="163"/>
      <c r="HYM88" s="163"/>
      <c r="HYN88" s="163"/>
      <c r="HYO88" s="163"/>
      <c r="HYP88" s="163"/>
      <c r="HYQ88" s="163"/>
      <c r="HYR88" s="163"/>
      <c r="HYS88" s="163"/>
      <c r="HYT88" s="163"/>
      <c r="HYU88" s="163"/>
      <c r="HYV88" s="163"/>
      <c r="HYW88" s="163"/>
      <c r="HYX88" s="163"/>
      <c r="HYY88" s="163"/>
      <c r="HYZ88" s="163"/>
      <c r="HZA88" s="163"/>
      <c r="HZB88" s="163"/>
      <c r="HZC88" s="163"/>
      <c r="HZD88" s="163"/>
      <c r="HZE88" s="163"/>
      <c r="HZF88" s="163"/>
      <c r="HZG88" s="163"/>
      <c r="HZH88" s="163"/>
      <c r="HZI88" s="163"/>
      <c r="HZJ88" s="163"/>
      <c r="HZK88" s="163"/>
      <c r="HZL88" s="163"/>
      <c r="HZM88" s="163"/>
      <c r="HZN88" s="163"/>
      <c r="HZO88" s="163"/>
      <c r="HZP88" s="163"/>
      <c r="HZQ88" s="163"/>
      <c r="HZR88" s="163"/>
      <c r="HZS88" s="163"/>
      <c r="HZT88" s="163"/>
      <c r="HZU88" s="163"/>
      <c r="HZV88" s="163"/>
      <c r="HZW88" s="163"/>
      <c r="HZX88" s="163"/>
      <c r="HZY88" s="163"/>
      <c r="HZZ88" s="163"/>
      <c r="IAA88" s="163"/>
      <c r="IAB88" s="163"/>
      <c r="IAC88" s="163"/>
      <c r="IAD88" s="163"/>
      <c r="IAE88" s="163"/>
      <c r="IAF88" s="163"/>
      <c r="IAG88" s="163"/>
      <c r="IAH88" s="163"/>
      <c r="IAI88" s="163"/>
      <c r="IAJ88" s="163"/>
      <c r="IAK88" s="163"/>
      <c r="IAL88" s="163"/>
      <c r="IAM88" s="163"/>
      <c r="IAN88" s="163"/>
      <c r="IAO88" s="163"/>
      <c r="IAP88" s="163"/>
      <c r="IAQ88" s="163"/>
      <c r="IAR88" s="163"/>
      <c r="IAS88" s="163"/>
      <c r="IAT88" s="163"/>
      <c r="IAU88" s="163"/>
      <c r="IAV88" s="163"/>
      <c r="IAW88" s="163"/>
      <c r="IAX88" s="163"/>
      <c r="IAY88" s="163"/>
      <c r="IAZ88" s="163"/>
      <c r="IBA88" s="163"/>
      <c r="IBB88" s="163"/>
      <c r="IBC88" s="163"/>
      <c r="IBD88" s="163"/>
      <c r="IBE88" s="163"/>
      <c r="IBF88" s="163"/>
      <c r="IBG88" s="163"/>
      <c r="IBH88" s="163"/>
      <c r="IBI88" s="163"/>
      <c r="IBJ88" s="163"/>
      <c r="IBK88" s="163"/>
      <c r="IBL88" s="163"/>
      <c r="IBM88" s="163"/>
      <c r="IBN88" s="163"/>
      <c r="IBO88" s="163"/>
      <c r="IBP88" s="163"/>
      <c r="IBQ88" s="163"/>
      <c r="IBR88" s="163"/>
      <c r="IBS88" s="163"/>
      <c r="IBT88" s="163"/>
      <c r="IBU88" s="163"/>
      <c r="IBV88" s="163"/>
      <c r="IBW88" s="163"/>
      <c r="IBX88" s="163"/>
      <c r="IBY88" s="163"/>
      <c r="IBZ88" s="163"/>
      <c r="ICA88" s="163"/>
      <c r="ICB88" s="163"/>
      <c r="ICC88" s="163"/>
      <c r="ICD88" s="163"/>
      <c r="ICE88" s="163"/>
      <c r="ICF88" s="163"/>
      <c r="ICG88" s="163"/>
      <c r="ICH88" s="163"/>
      <c r="ICI88" s="163"/>
      <c r="ICJ88" s="163"/>
      <c r="ICK88" s="163"/>
      <c r="ICL88" s="163"/>
      <c r="ICM88" s="163"/>
      <c r="ICN88" s="163"/>
      <c r="ICO88" s="163"/>
      <c r="ICP88" s="163"/>
      <c r="ICQ88" s="163"/>
      <c r="ICR88" s="163"/>
      <c r="ICS88" s="163"/>
      <c r="ICT88" s="163"/>
      <c r="ICU88" s="163"/>
      <c r="ICV88" s="163"/>
      <c r="ICW88" s="163"/>
      <c r="ICX88" s="163"/>
      <c r="ICY88" s="163"/>
      <c r="ICZ88" s="163"/>
      <c r="IDA88" s="163"/>
      <c r="IDB88" s="163"/>
      <c r="IDC88" s="163"/>
      <c r="IDD88" s="163"/>
      <c r="IDE88" s="163"/>
      <c r="IDF88" s="163"/>
      <c r="IDG88" s="163"/>
      <c r="IDH88" s="163"/>
      <c r="IDI88" s="163"/>
      <c r="IDJ88" s="163"/>
      <c r="IDK88" s="163"/>
      <c r="IDL88" s="163"/>
      <c r="IDM88" s="163"/>
      <c r="IDN88" s="163"/>
      <c r="IDO88" s="163"/>
      <c r="IDP88" s="163"/>
      <c r="IDQ88" s="163"/>
      <c r="IDR88" s="163"/>
      <c r="IDS88" s="163"/>
      <c r="IDT88" s="163"/>
      <c r="IDU88" s="163"/>
      <c r="IDV88" s="163"/>
      <c r="IDW88" s="163"/>
      <c r="IDX88" s="163"/>
      <c r="IDY88" s="163"/>
      <c r="IDZ88" s="163"/>
      <c r="IEA88" s="163"/>
      <c r="IEB88" s="163"/>
      <c r="IEC88" s="163"/>
      <c r="IED88" s="163"/>
      <c r="IEE88" s="163"/>
      <c r="IEF88" s="163"/>
      <c r="IEG88" s="163"/>
      <c r="IEH88" s="163"/>
      <c r="IEI88" s="163"/>
      <c r="IEJ88" s="163"/>
      <c r="IEK88" s="163"/>
      <c r="IEL88" s="163"/>
      <c r="IEM88" s="163"/>
      <c r="IEN88" s="163"/>
      <c r="IEO88" s="163"/>
      <c r="IEP88" s="163"/>
      <c r="IEQ88" s="163"/>
      <c r="IER88" s="163"/>
      <c r="IES88" s="163"/>
      <c r="IET88" s="163"/>
      <c r="IEU88" s="163"/>
      <c r="IEV88" s="163"/>
      <c r="IEW88" s="163"/>
      <c r="IEX88" s="163"/>
      <c r="IEY88" s="163"/>
      <c r="IEZ88" s="163"/>
      <c r="IFA88" s="163"/>
      <c r="IFB88" s="163"/>
      <c r="IFC88" s="163"/>
      <c r="IFD88" s="163"/>
      <c r="IFE88" s="163"/>
      <c r="IFF88" s="163"/>
      <c r="IFG88" s="163"/>
      <c r="IFH88" s="163"/>
      <c r="IFI88" s="163"/>
      <c r="IFJ88" s="163"/>
      <c r="IFK88" s="163"/>
      <c r="IFL88" s="163"/>
      <c r="IFM88" s="163"/>
      <c r="IFN88" s="163"/>
      <c r="IFO88" s="163"/>
      <c r="IFP88" s="163"/>
      <c r="IFQ88" s="163"/>
      <c r="IFR88" s="163"/>
      <c r="IFS88" s="163"/>
      <c r="IFT88" s="163"/>
      <c r="IFU88" s="163"/>
      <c r="IFV88" s="163"/>
      <c r="IFW88" s="163"/>
      <c r="IFX88" s="163"/>
      <c r="IFY88" s="163"/>
      <c r="IFZ88" s="163"/>
      <c r="IGA88" s="163"/>
      <c r="IGB88" s="163"/>
      <c r="IGC88" s="163"/>
      <c r="IGD88" s="163"/>
      <c r="IGE88" s="163"/>
      <c r="IGF88" s="163"/>
      <c r="IGG88" s="163"/>
      <c r="IGH88" s="163"/>
      <c r="IGI88" s="163"/>
      <c r="IGJ88" s="163"/>
      <c r="IGK88" s="163"/>
      <c r="IGL88" s="163"/>
      <c r="IGM88" s="163"/>
      <c r="IGN88" s="163"/>
      <c r="IGO88" s="163"/>
      <c r="IGP88" s="163"/>
      <c r="IGQ88" s="163"/>
      <c r="IGR88" s="163"/>
      <c r="IGS88" s="163"/>
      <c r="IGT88" s="163"/>
      <c r="IGU88" s="163"/>
      <c r="IGV88" s="163"/>
      <c r="IGW88" s="163"/>
      <c r="IGX88" s="163"/>
      <c r="IGY88" s="163"/>
      <c r="IGZ88" s="163"/>
      <c r="IHA88" s="163"/>
      <c r="IHB88" s="163"/>
      <c r="IHC88" s="163"/>
      <c r="IHD88" s="163"/>
      <c r="IHE88" s="163"/>
      <c r="IHF88" s="163"/>
      <c r="IHG88" s="163"/>
      <c r="IHH88" s="163"/>
      <c r="IHI88" s="163"/>
      <c r="IHJ88" s="163"/>
      <c r="IHK88" s="163"/>
      <c r="IHL88" s="163"/>
      <c r="IHM88" s="163"/>
      <c r="IHN88" s="163"/>
      <c r="IHO88" s="163"/>
      <c r="IHP88" s="163"/>
      <c r="IHQ88" s="163"/>
      <c r="IHR88" s="163"/>
      <c r="IHS88" s="163"/>
      <c r="IHT88" s="163"/>
      <c r="IHU88" s="163"/>
      <c r="IHV88" s="163"/>
      <c r="IHW88" s="163"/>
      <c r="IHX88" s="163"/>
      <c r="IHY88" s="163"/>
      <c r="IHZ88" s="163"/>
      <c r="IIA88" s="163"/>
      <c r="IIB88" s="163"/>
      <c r="IIC88" s="163"/>
      <c r="IID88" s="163"/>
      <c r="IIE88" s="163"/>
      <c r="IIF88" s="163"/>
      <c r="IIG88" s="163"/>
      <c r="IIH88" s="163"/>
      <c r="III88" s="163"/>
      <c r="IIJ88" s="163"/>
      <c r="IIK88" s="163"/>
      <c r="IIL88" s="163"/>
      <c r="IIM88" s="163"/>
      <c r="IIN88" s="163"/>
      <c r="IIO88" s="163"/>
      <c r="IIP88" s="163"/>
      <c r="IIQ88" s="163"/>
      <c r="IIR88" s="163"/>
      <c r="IIS88" s="163"/>
      <c r="IIT88" s="163"/>
      <c r="IIU88" s="163"/>
      <c r="IIV88" s="163"/>
      <c r="IIW88" s="163"/>
      <c r="IIX88" s="163"/>
      <c r="IIY88" s="163"/>
      <c r="IIZ88" s="163"/>
      <c r="IJA88" s="163"/>
      <c r="IJB88" s="163"/>
      <c r="IJC88" s="163"/>
      <c r="IJD88" s="163"/>
      <c r="IJE88" s="163"/>
      <c r="IJF88" s="163"/>
      <c r="IJG88" s="163"/>
      <c r="IJH88" s="163"/>
      <c r="IJI88" s="163"/>
      <c r="IJJ88" s="163"/>
      <c r="IJK88" s="163"/>
      <c r="IJL88" s="163"/>
      <c r="IJM88" s="163"/>
      <c r="IJN88" s="163"/>
      <c r="IJO88" s="163"/>
      <c r="IJP88" s="163"/>
      <c r="IJQ88" s="163"/>
      <c r="IJR88" s="163"/>
      <c r="IJS88" s="163"/>
      <c r="IJT88" s="163"/>
      <c r="IJU88" s="163"/>
      <c r="IJV88" s="163"/>
      <c r="IJW88" s="163"/>
      <c r="IJX88" s="163"/>
      <c r="IJY88" s="163"/>
      <c r="IJZ88" s="163"/>
      <c r="IKA88" s="163"/>
      <c r="IKB88" s="163"/>
      <c r="IKC88" s="163"/>
      <c r="IKD88" s="163"/>
      <c r="IKE88" s="163"/>
      <c r="IKF88" s="163"/>
      <c r="IKG88" s="163"/>
      <c r="IKH88" s="163"/>
      <c r="IKI88" s="163"/>
      <c r="IKJ88" s="163"/>
      <c r="IKK88" s="163"/>
      <c r="IKL88" s="163"/>
      <c r="IKM88" s="163"/>
      <c r="IKN88" s="163"/>
      <c r="IKO88" s="163"/>
      <c r="IKP88" s="163"/>
      <c r="IKQ88" s="163"/>
      <c r="IKR88" s="163"/>
      <c r="IKS88" s="163"/>
      <c r="IKT88" s="163"/>
      <c r="IKU88" s="163"/>
      <c r="IKV88" s="163"/>
      <c r="IKW88" s="163"/>
      <c r="IKX88" s="163"/>
      <c r="IKY88" s="163"/>
      <c r="IKZ88" s="163"/>
      <c r="ILA88" s="163"/>
      <c r="ILB88" s="163"/>
      <c r="ILC88" s="163"/>
      <c r="ILD88" s="163"/>
      <c r="ILE88" s="163"/>
      <c r="ILF88" s="163"/>
      <c r="ILG88" s="163"/>
      <c r="ILH88" s="163"/>
      <c r="ILI88" s="163"/>
      <c r="ILJ88" s="163"/>
      <c r="ILK88" s="163"/>
      <c r="ILL88" s="163"/>
      <c r="ILM88" s="163"/>
      <c r="ILN88" s="163"/>
      <c r="ILO88" s="163"/>
      <c r="ILP88" s="163"/>
      <c r="ILQ88" s="163"/>
      <c r="ILR88" s="163"/>
      <c r="ILS88" s="163"/>
      <c r="ILT88" s="163"/>
      <c r="ILU88" s="163"/>
      <c r="ILV88" s="163"/>
      <c r="ILW88" s="163"/>
      <c r="ILX88" s="163"/>
      <c r="ILY88" s="163"/>
      <c r="ILZ88" s="163"/>
      <c r="IMA88" s="163"/>
      <c r="IMB88" s="163"/>
      <c r="IMC88" s="163"/>
      <c r="IMD88" s="163"/>
      <c r="IME88" s="163"/>
      <c r="IMF88" s="163"/>
      <c r="IMG88" s="163"/>
      <c r="IMH88" s="163"/>
      <c r="IMI88" s="163"/>
      <c r="IMJ88" s="163"/>
      <c r="IMK88" s="163"/>
      <c r="IML88" s="163"/>
      <c r="IMM88" s="163"/>
      <c r="IMN88" s="163"/>
      <c r="IMO88" s="163"/>
      <c r="IMP88" s="163"/>
      <c r="IMQ88" s="163"/>
      <c r="IMR88" s="163"/>
      <c r="IMS88" s="163"/>
      <c r="IMT88" s="163"/>
      <c r="IMU88" s="163"/>
      <c r="IMV88" s="163"/>
      <c r="IMW88" s="163"/>
      <c r="IMX88" s="163"/>
      <c r="IMY88" s="163"/>
      <c r="IMZ88" s="163"/>
      <c r="INA88" s="163"/>
      <c r="INB88" s="163"/>
      <c r="INC88" s="163"/>
      <c r="IND88" s="163"/>
      <c r="INE88" s="163"/>
      <c r="INF88" s="163"/>
      <c r="ING88" s="163"/>
      <c r="INH88" s="163"/>
      <c r="INI88" s="163"/>
      <c r="INJ88" s="163"/>
      <c r="INK88" s="163"/>
      <c r="INL88" s="163"/>
      <c r="INM88" s="163"/>
      <c r="INN88" s="163"/>
      <c r="INO88" s="163"/>
      <c r="INP88" s="163"/>
      <c r="INQ88" s="163"/>
      <c r="INR88" s="163"/>
      <c r="INS88" s="163"/>
      <c r="INT88" s="163"/>
      <c r="INU88" s="163"/>
      <c r="INV88" s="163"/>
      <c r="INW88" s="163"/>
      <c r="INX88" s="163"/>
      <c r="INY88" s="163"/>
      <c r="INZ88" s="163"/>
      <c r="IOA88" s="163"/>
      <c r="IOB88" s="163"/>
      <c r="IOC88" s="163"/>
      <c r="IOD88" s="163"/>
      <c r="IOE88" s="163"/>
      <c r="IOF88" s="163"/>
      <c r="IOG88" s="163"/>
      <c r="IOH88" s="163"/>
      <c r="IOI88" s="163"/>
      <c r="IOJ88" s="163"/>
      <c r="IOK88" s="163"/>
      <c r="IOL88" s="163"/>
      <c r="IOM88" s="163"/>
      <c r="ION88" s="163"/>
      <c r="IOO88" s="163"/>
      <c r="IOP88" s="163"/>
      <c r="IOQ88" s="163"/>
      <c r="IOR88" s="163"/>
      <c r="IOS88" s="163"/>
      <c r="IOT88" s="163"/>
      <c r="IOU88" s="163"/>
      <c r="IOV88" s="163"/>
      <c r="IOW88" s="163"/>
      <c r="IOX88" s="163"/>
      <c r="IOY88" s="163"/>
      <c r="IOZ88" s="163"/>
      <c r="IPA88" s="163"/>
      <c r="IPB88" s="163"/>
      <c r="IPC88" s="163"/>
      <c r="IPD88" s="163"/>
      <c r="IPE88" s="163"/>
      <c r="IPF88" s="163"/>
      <c r="IPG88" s="163"/>
      <c r="IPH88" s="163"/>
      <c r="IPI88" s="163"/>
      <c r="IPJ88" s="163"/>
      <c r="IPK88" s="163"/>
      <c r="IPL88" s="163"/>
      <c r="IPM88" s="163"/>
      <c r="IPN88" s="163"/>
      <c r="IPO88" s="163"/>
      <c r="IPP88" s="163"/>
      <c r="IPQ88" s="163"/>
      <c r="IPR88" s="163"/>
      <c r="IPS88" s="163"/>
      <c r="IPT88" s="163"/>
      <c r="IPU88" s="163"/>
      <c r="IPV88" s="163"/>
      <c r="IPW88" s="163"/>
      <c r="IPX88" s="163"/>
      <c r="IPY88" s="163"/>
      <c r="IPZ88" s="163"/>
      <c r="IQA88" s="163"/>
      <c r="IQB88" s="163"/>
      <c r="IQC88" s="163"/>
      <c r="IQD88" s="163"/>
      <c r="IQE88" s="163"/>
      <c r="IQF88" s="163"/>
      <c r="IQG88" s="163"/>
      <c r="IQH88" s="163"/>
      <c r="IQI88" s="163"/>
      <c r="IQJ88" s="163"/>
      <c r="IQK88" s="163"/>
      <c r="IQL88" s="163"/>
      <c r="IQM88" s="163"/>
      <c r="IQN88" s="163"/>
      <c r="IQO88" s="163"/>
      <c r="IQP88" s="163"/>
      <c r="IQQ88" s="163"/>
      <c r="IQR88" s="163"/>
      <c r="IQS88" s="163"/>
      <c r="IQT88" s="163"/>
      <c r="IQU88" s="163"/>
      <c r="IQV88" s="163"/>
      <c r="IQW88" s="163"/>
      <c r="IQX88" s="163"/>
      <c r="IQY88" s="163"/>
      <c r="IQZ88" s="163"/>
      <c r="IRA88" s="163"/>
      <c r="IRB88" s="163"/>
      <c r="IRC88" s="163"/>
      <c r="IRD88" s="163"/>
      <c r="IRE88" s="163"/>
      <c r="IRF88" s="163"/>
      <c r="IRG88" s="163"/>
      <c r="IRH88" s="163"/>
      <c r="IRI88" s="163"/>
      <c r="IRJ88" s="163"/>
      <c r="IRK88" s="163"/>
      <c r="IRL88" s="163"/>
      <c r="IRM88" s="163"/>
      <c r="IRN88" s="163"/>
      <c r="IRO88" s="163"/>
      <c r="IRP88" s="163"/>
      <c r="IRQ88" s="163"/>
      <c r="IRR88" s="163"/>
      <c r="IRS88" s="163"/>
      <c r="IRT88" s="163"/>
      <c r="IRU88" s="163"/>
      <c r="IRV88" s="163"/>
      <c r="IRW88" s="163"/>
      <c r="IRX88" s="163"/>
      <c r="IRY88" s="163"/>
      <c r="IRZ88" s="163"/>
      <c r="ISA88" s="163"/>
      <c r="ISB88" s="163"/>
      <c r="ISC88" s="163"/>
      <c r="ISD88" s="163"/>
      <c r="ISE88" s="163"/>
      <c r="ISF88" s="163"/>
      <c r="ISG88" s="163"/>
      <c r="ISH88" s="163"/>
      <c r="ISI88" s="163"/>
      <c r="ISJ88" s="163"/>
      <c r="ISK88" s="163"/>
      <c r="ISL88" s="163"/>
      <c r="ISM88" s="163"/>
      <c r="ISN88" s="163"/>
      <c r="ISO88" s="163"/>
      <c r="ISP88" s="163"/>
      <c r="ISQ88" s="163"/>
      <c r="ISR88" s="163"/>
      <c r="ISS88" s="163"/>
      <c r="IST88" s="163"/>
      <c r="ISU88" s="163"/>
      <c r="ISV88" s="163"/>
      <c r="ISW88" s="163"/>
      <c r="ISX88" s="163"/>
      <c r="ISY88" s="163"/>
      <c r="ISZ88" s="163"/>
      <c r="ITA88" s="163"/>
      <c r="ITB88" s="163"/>
      <c r="ITC88" s="163"/>
      <c r="ITD88" s="163"/>
      <c r="ITE88" s="163"/>
      <c r="ITF88" s="163"/>
      <c r="ITG88" s="163"/>
      <c r="ITH88" s="163"/>
      <c r="ITI88" s="163"/>
      <c r="ITJ88" s="163"/>
      <c r="ITK88" s="163"/>
      <c r="ITL88" s="163"/>
      <c r="ITM88" s="163"/>
      <c r="ITN88" s="163"/>
      <c r="ITO88" s="163"/>
      <c r="ITP88" s="163"/>
      <c r="ITQ88" s="163"/>
      <c r="ITR88" s="163"/>
      <c r="ITS88" s="163"/>
      <c r="ITT88" s="163"/>
      <c r="ITU88" s="163"/>
      <c r="ITV88" s="163"/>
      <c r="ITW88" s="163"/>
      <c r="ITX88" s="163"/>
      <c r="ITY88" s="163"/>
      <c r="ITZ88" s="163"/>
      <c r="IUA88" s="163"/>
      <c r="IUB88" s="163"/>
      <c r="IUC88" s="163"/>
      <c r="IUD88" s="163"/>
      <c r="IUE88" s="163"/>
      <c r="IUF88" s="163"/>
      <c r="IUG88" s="163"/>
      <c r="IUH88" s="163"/>
      <c r="IUI88" s="163"/>
      <c r="IUJ88" s="163"/>
      <c r="IUK88" s="163"/>
      <c r="IUL88" s="163"/>
      <c r="IUM88" s="163"/>
      <c r="IUN88" s="163"/>
      <c r="IUO88" s="163"/>
      <c r="IUP88" s="163"/>
      <c r="IUQ88" s="163"/>
      <c r="IUR88" s="163"/>
      <c r="IUS88" s="163"/>
      <c r="IUT88" s="163"/>
      <c r="IUU88" s="163"/>
      <c r="IUV88" s="163"/>
      <c r="IUW88" s="163"/>
      <c r="IUX88" s="163"/>
      <c r="IUY88" s="163"/>
      <c r="IUZ88" s="163"/>
      <c r="IVA88" s="163"/>
      <c r="IVB88" s="163"/>
      <c r="IVC88" s="163"/>
      <c r="IVD88" s="163"/>
      <c r="IVE88" s="163"/>
      <c r="IVF88" s="163"/>
      <c r="IVG88" s="163"/>
      <c r="IVH88" s="163"/>
      <c r="IVI88" s="163"/>
      <c r="IVJ88" s="163"/>
      <c r="IVK88" s="163"/>
      <c r="IVL88" s="163"/>
      <c r="IVM88" s="163"/>
      <c r="IVN88" s="163"/>
      <c r="IVO88" s="163"/>
      <c r="IVP88" s="163"/>
      <c r="IVQ88" s="163"/>
      <c r="IVR88" s="163"/>
      <c r="IVS88" s="163"/>
      <c r="IVT88" s="163"/>
      <c r="IVU88" s="163"/>
      <c r="IVV88" s="163"/>
      <c r="IVW88" s="163"/>
      <c r="IVX88" s="163"/>
      <c r="IVY88" s="163"/>
      <c r="IVZ88" s="163"/>
      <c r="IWA88" s="163"/>
      <c r="IWB88" s="163"/>
      <c r="IWC88" s="163"/>
      <c r="IWD88" s="163"/>
      <c r="IWE88" s="163"/>
      <c r="IWF88" s="163"/>
      <c r="IWG88" s="163"/>
      <c r="IWH88" s="163"/>
      <c r="IWI88" s="163"/>
      <c r="IWJ88" s="163"/>
      <c r="IWK88" s="163"/>
      <c r="IWL88" s="163"/>
      <c r="IWM88" s="163"/>
      <c r="IWN88" s="163"/>
      <c r="IWO88" s="163"/>
      <c r="IWP88" s="163"/>
      <c r="IWQ88" s="163"/>
      <c r="IWR88" s="163"/>
      <c r="IWS88" s="163"/>
      <c r="IWT88" s="163"/>
      <c r="IWU88" s="163"/>
      <c r="IWV88" s="163"/>
      <c r="IWW88" s="163"/>
      <c r="IWX88" s="163"/>
      <c r="IWY88" s="163"/>
      <c r="IWZ88" s="163"/>
      <c r="IXA88" s="163"/>
      <c r="IXB88" s="163"/>
      <c r="IXC88" s="163"/>
      <c r="IXD88" s="163"/>
      <c r="IXE88" s="163"/>
      <c r="IXF88" s="163"/>
      <c r="IXG88" s="163"/>
      <c r="IXH88" s="163"/>
      <c r="IXI88" s="163"/>
      <c r="IXJ88" s="163"/>
      <c r="IXK88" s="163"/>
      <c r="IXL88" s="163"/>
      <c r="IXM88" s="163"/>
      <c r="IXN88" s="163"/>
      <c r="IXO88" s="163"/>
      <c r="IXP88" s="163"/>
      <c r="IXQ88" s="163"/>
      <c r="IXR88" s="163"/>
      <c r="IXS88" s="163"/>
      <c r="IXT88" s="163"/>
      <c r="IXU88" s="163"/>
      <c r="IXV88" s="163"/>
      <c r="IXW88" s="163"/>
      <c r="IXX88" s="163"/>
      <c r="IXY88" s="163"/>
      <c r="IXZ88" s="163"/>
      <c r="IYA88" s="163"/>
      <c r="IYB88" s="163"/>
      <c r="IYC88" s="163"/>
      <c r="IYD88" s="163"/>
      <c r="IYE88" s="163"/>
      <c r="IYF88" s="163"/>
      <c r="IYG88" s="163"/>
      <c r="IYH88" s="163"/>
      <c r="IYI88" s="163"/>
      <c r="IYJ88" s="163"/>
      <c r="IYK88" s="163"/>
      <c r="IYL88" s="163"/>
      <c r="IYM88" s="163"/>
      <c r="IYN88" s="163"/>
      <c r="IYO88" s="163"/>
      <c r="IYP88" s="163"/>
      <c r="IYQ88" s="163"/>
      <c r="IYR88" s="163"/>
      <c r="IYS88" s="163"/>
      <c r="IYT88" s="163"/>
      <c r="IYU88" s="163"/>
      <c r="IYV88" s="163"/>
      <c r="IYW88" s="163"/>
      <c r="IYX88" s="163"/>
      <c r="IYY88" s="163"/>
      <c r="IYZ88" s="163"/>
      <c r="IZA88" s="163"/>
      <c r="IZB88" s="163"/>
      <c r="IZC88" s="163"/>
      <c r="IZD88" s="163"/>
      <c r="IZE88" s="163"/>
      <c r="IZF88" s="163"/>
      <c r="IZG88" s="163"/>
      <c r="IZH88" s="163"/>
      <c r="IZI88" s="163"/>
      <c r="IZJ88" s="163"/>
      <c r="IZK88" s="163"/>
      <c r="IZL88" s="163"/>
      <c r="IZM88" s="163"/>
      <c r="IZN88" s="163"/>
      <c r="IZO88" s="163"/>
      <c r="IZP88" s="163"/>
      <c r="IZQ88" s="163"/>
      <c r="IZR88" s="163"/>
      <c r="IZS88" s="163"/>
      <c r="IZT88" s="163"/>
      <c r="IZU88" s="163"/>
      <c r="IZV88" s="163"/>
      <c r="IZW88" s="163"/>
      <c r="IZX88" s="163"/>
      <c r="IZY88" s="163"/>
      <c r="IZZ88" s="163"/>
      <c r="JAA88" s="163"/>
      <c r="JAB88" s="163"/>
      <c r="JAC88" s="163"/>
      <c r="JAD88" s="163"/>
      <c r="JAE88" s="163"/>
      <c r="JAF88" s="163"/>
      <c r="JAG88" s="163"/>
      <c r="JAH88" s="163"/>
      <c r="JAI88" s="163"/>
      <c r="JAJ88" s="163"/>
      <c r="JAK88" s="163"/>
      <c r="JAL88" s="163"/>
      <c r="JAM88" s="163"/>
      <c r="JAN88" s="163"/>
      <c r="JAO88" s="163"/>
      <c r="JAP88" s="163"/>
      <c r="JAQ88" s="163"/>
      <c r="JAR88" s="163"/>
      <c r="JAS88" s="163"/>
      <c r="JAT88" s="163"/>
      <c r="JAU88" s="163"/>
      <c r="JAV88" s="163"/>
      <c r="JAW88" s="163"/>
      <c r="JAX88" s="163"/>
      <c r="JAY88" s="163"/>
      <c r="JAZ88" s="163"/>
      <c r="JBA88" s="163"/>
      <c r="JBB88" s="163"/>
      <c r="JBC88" s="163"/>
      <c r="JBD88" s="163"/>
      <c r="JBE88" s="163"/>
      <c r="JBF88" s="163"/>
      <c r="JBG88" s="163"/>
      <c r="JBH88" s="163"/>
      <c r="JBI88" s="163"/>
      <c r="JBJ88" s="163"/>
      <c r="JBK88" s="163"/>
      <c r="JBL88" s="163"/>
      <c r="JBM88" s="163"/>
      <c r="JBN88" s="163"/>
      <c r="JBO88" s="163"/>
      <c r="JBP88" s="163"/>
      <c r="JBQ88" s="163"/>
      <c r="JBR88" s="163"/>
      <c r="JBS88" s="163"/>
      <c r="JBT88" s="163"/>
      <c r="JBU88" s="163"/>
      <c r="JBV88" s="163"/>
      <c r="JBW88" s="163"/>
      <c r="JBX88" s="163"/>
      <c r="JBY88" s="163"/>
      <c r="JBZ88" s="163"/>
      <c r="JCA88" s="163"/>
      <c r="JCB88" s="163"/>
      <c r="JCC88" s="163"/>
      <c r="JCD88" s="163"/>
      <c r="JCE88" s="163"/>
      <c r="JCF88" s="163"/>
      <c r="JCG88" s="163"/>
      <c r="JCH88" s="163"/>
      <c r="JCI88" s="163"/>
      <c r="JCJ88" s="163"/>
      <c r="JCK88" s="163"/>
      <c r="JCL88" s="163"/>
      <c r="JCM88" s="163"/>
      <c r="JCN88" s="163"/>
      <c r="JCO88" s="163"/>
      <c r="JCP88" s="163"/>
      <c r="JCQ88" s="163"/>
      <c r="JCR88" s="163"/>
      <c r="JCS88" s="163"/>
      <c r="JCT88" s="163"/>
      <c r="JCU88" s="163"/>
      <c r="JCV88" s="163"/>
      <c r="JCW88" s="163"/>
      <c r="JCX88" s="163"/>
      <c r="JCY88" s="163"/>
      <c r="JCZ88" s="163"/>
      <c r="JDA88" s="163"/>
      <c r="JDB88" s="163"/>
      <c r="JDC88" s="163"/>
      <c r="JDD88" s="163"/>
      <c r="JDE88" s="163"/>
      <c r="JDF88" s="163"/>
      <c r="JDG88" s="163"/>
      <c r="JDH88" s="163"/>
      <c r="JDI88" s="163"/>
      <c r="JDJ88" s="163"/>
      <c r="JDK88" s="163"/>
      <c r="JDL88" s="163"/>
      <c r="JDM88" s="163"/>
      <c r="JDN88" s="163"/>
      <c r="JDO88" s="163"/>
      <c r="JDP88" s="163"/>
      <c r="JDQ88" s="163"/>
      <c r="JDR88" s="163"/>
      <c r="JDS88" s="163"/>
      <c r="JDT88" s="163"/>
      <c r="JDU88" s="163"/>
      <c r="JDV88" s="163"/>
      <c r="JDW88" s="163"/>
      <c r="JDX88" s="163"/>
      <c r="JDY88" s="163"/>
      <c r="JDZ88" s="163"/>
      <c r="JEA88" s="163"/>
      <c r="JEB88" s="163"/>
      <c r="JEC88" s="163"/>
      <c r="JED88" s="163"/>
      <c r="JEE88" s="163"/>
      <c r="JEF88" s="163"/>
      <c r="JEG88" s="163"/>
      <c r="JEH88" s="163"/>
      <c r="JEI88" s="163"/>
      <c r="JEJ88" s="163"/>
      <c r="JEK88" s="163"/>
      <c r="JEL88" s="163"/>
      <c r="JEM88" s="163"/>
      <c r="JEN88" s="163"/>
      <c r="JEO88" s="163"/>
      <c r="JEP88" s="163"/>
      <c r="JEQ88" s="163"/>
      <c r="JER88" s="163"/>
      <c r="JES88" s="163"/>
      <c r="JET88" s="163"/>
      <c r="JEU88" s="163"/>
      <c r="JEV88" s="163"/>
      <c r="JEW88" s="163"/>
      <c r="JEX88" s="163"/>
      <c r="JEY88" s="163"/>
      <c r="JEZ88" s="163"/>
      <c r="JFA88" s="163"/>
      <c r="JFB88" s="163"/>
      <c r="JFC88" s="163"/>
      <c r="JFD88" s="163"/>
      <c r="JFE88" s="163"/>
      <c r="JFF88" s="163"/>
      <c r="JFG88" s="163"/>
      <c r="JFH88" s="163"/>
      <c r="JFI88" s="163"/>
      <c r="JFJ88" s="163"/>
      <c r="JFK88" s="163"/>
      <c r="JFL88" s="163"/>
      <c r="JFM88" s="163"/>
      <c r="JFN88" s="163"/>
      <c r="JFO88" s="163"/>
      <c r="JFP88" s="163"/>
      <c r="JFQ88" s="163"/>
      <c r="JFR88" s="163"/>
      <c r="JFS88" s="163"/>
      <c r="JFT88" s="163"/>
      <c r="JFU88" s="163"/>
      <c r="JFV88" s="163"/>
      <c r="JFW88" s="163"/>
      <c r="JFX88" s="163"/>
      <c r="JFY88" s="163"/>
      <c r="JFZ88" s="163"/>
      <c r="JGA88" s="163"/>
      <c r="JGB88" s="163"/>
      <c r="JGC88" s="163"/>
      <c r="JGD88" s="163"/>
      <c r="JGE88" s="163"/>
      <c r="JGF88" s="163"/>
      <c r="JGG88" s="163"/>
      <c r="JGH88" s="163"/>
      <c r="JGI88" s="163"/>
      <c r="JGJ88" s="163"/>
      <c r="JGK88" s="163"/>
      <c r="JGL88" s="163"/>
      <c r="JGM88" s="163"/>
      <c r="JGN88" s="163"/>
      <c r="JGO88" s="163"/>
      <c r="JGP88" s="163"/>
      <c r="JGQ88" s="163"/>
      <c r="JGR88" s="163"/>
      <c r="JGS88" s="163"/>
      <c r="JGT88" s="163"/>
      <c r="JGU88" s="163"/>
      <c r="JGV88" s="163"/>
      <c r="JGW88" s="163"/>
      <c r="JGX88" s="163"/>
      <c r="JGY88" s="163"/>
      <c r="JGZ88" s="163"/>
      <c r="JHA88" s="163"/>
      <c r="JHB88" s="163"/>
      <c r="JHC88" s="163"/>
      <c r="JHD88" s="163"/>
      <c r="JHE88" s="163"/>
      <c r="JHF88" s="163"/>
      <c r="JHG88" s="163"/>
      <c r="JHH88" s="163"/>
      <c r="JHI88" s="163"/>
      <c r="JHJ88" s="163"/>
      <c r="JHK88" s="163"/>
      <c r="JHL88" s="163"/>
      <c r="JHM88" s="163"/>
      <c r="JHN88" s="163"/>
      <c r="JHO88" s="163"/>
      <c r="JHP88" s="163"/>
      <c r="JHQ88" s="163"/>
      <c r="JHR88" s="163"/>
      <c r="JHS88" s="163"/>
      <c r="JHT88" s="163"/>
      <c r="JHU88" s="163"/>
      <c r="JHV88" s="163"/>
      <c r="JHW88" s="163"/>
      <c r="JHX88" s="163"/>
      <c r="JHY88" s="163"/>
      <c r="JHZ88" s="163"/>
      <c r="JIA88" s="163"/>
      <c r="JIB88" s="163"/>
      <c r="JIC88" s="163"/>
      <c r="JID88" s="163"/>
      <c r="JIE88" s="163"/>
      <c r="JIF88" s="163"/>
      <c r="JIG88" s="163"/>
      <c r="JIH88" s="163"/>
      <c r="JII88" s="163"/>
      <c r="JIJ88" s="163"/>
      <c r="JIK88" s="163"/>
      <c r="JIL88" s="163"/>
      <c r="JIM88" s="163"/>
      <c r="JIN88" s="163"/>
      <c r="JIO88" s="163"/>
      <c r="JIP88" s="163"/>
      <c r="JIQ88" s="163"/>
      <c r="JIR88" s="163"/>
      <c r="JIS88" s="163"/>
      <c r="JIT88" s="163"/>
      <c r="JIU88" s="163"/>
      <c r="JIV88" s="163"/>
      <c r="JIW88" s="163"/>
      <c r="JIX88" s="163"/>
      <c r="JIY88" s="163"/>
      <c r="JIZ88" s="163"/>
      <c r="JJA88" s="163"/>
      <c r="JJB88" s="163"/>
      <c r="JJC88" s="163"/>
      <c r="JJD88" s="163"/>
      <c r="JJE88" s="163"/>
      <c r="JJF88" s="163"/>
      <c r="JJG88" s="163"/>
      <c r="JJH88" s="163"/>
      <c r="JJI88" s="163"/>
      <c r="JJJ88" s="163"/>
      <c r="JJK88" s="163"/>
      <c r="JJL88" s="163"/>
      <c r="JJM88" s="163"/>
      <c r="JJN88" s="163"/>
      <c r="JJO88" s="163"/>
      <c r="JJP88" s="163"/>
      <c r="JJQ88" s="163"/>
      <c r="JJR88" s="163"/>
      <c r="JJS88" s="163"/>
      <c r="JJT88" s="163"/>
      <c r="JJU88" s="163"/>
      <c r="JJV88" s="163"/>
      <c r="JJW88" s="163"/>
      <c r="JJX88" s="163"/>
      <c r="JJY88" s="163"/>
      <c r="JJZ88" s="163"/>
      <c r="JKA88" s="163"/>
      <c r="JKB88" s="163"/>
      <c r="JKC88" s="163"/>
      <c r="JKD88" s="163"/>
      <c r="JKE88" s="163"/>
      <c r="JKF88" s="163"/>
      <c r="JKG88" s="163"/>
      <c r="JKH88" s="163"/>
      <c r="JKI88" s="163"/>
      <c r="JKJ88" s="163"/>
      <c r="JKK88" s="163"/>
      <c r="JKL88" s="163"/>
      <c r="JKM88" s="163"/>
      <c r="JKN88" s="163"/>
      <c r="JKO88" s="163"/>
      <c r="JKP88" s="163"/>
      <c r="JKQ88" s="163"/>
      <c r="JKR88" s="163"/>
      <c r="JKS88" s="163"/>
      <c r="JKT88" s="163"/>
      <c r="JKU88" s="163"/>
      <c r="JKV88" s="163"/>
      <c r="JKW88" s="163"/>
      <c r="JKX88" s="163"/>
      <c r="JKY88" s="163"/>
      <c r="JKZ88" s="163"/>
      <c r="JLA88" s="163"/>
      <c r="JLB88" s="163"/>
      <c r="JLC88" s="163"/>
      <c r="JLD88" s="163"/>
      <c r="JLE88" s="163"/>
      <c r="JLF88" s="163"/>
      <c r="JLG88" s="163"/>
      <c r="JLH88" s="163"/>
      <c r="JLI88" s="163"/>
      <c r="JLJ88" s="163"/>
      <c r="JLK88" s="163"/>
      <c r="JLL88" s="163"/>
      <c r="JLM88" s="163"/>
      <c r="JLN88" s="163"/>
      <c r="JLO88" s="163"/>
      <c r="JLP88" s="163"/>
      <c r="JLQ88" s="163"/>
      <c r="JLR88" s="163"/>
      <c r="JLS88" s="163"/>
      <c r="JLT88" s="163"/>
      <c r="JLU88" s="163"/>
      <c r="JLV88" s="163"/>
      <c r="JLW88" s="163"/>
      <c r="JLX88" s="163"/>
      <c r="JLY88" s="163"/>
      <c r="JLZ88" s="163"/>
      <c r="JMA88" s="163"/>
      <c r="JMB88" s="163"/>
      <c r="JMC88" s="163"/>
      <c r="JMD88" s="163"/>
      <c r="JME88" s="163"/>
      <c r="JMF88" s="163"/>
      <c r="JMG88" s="163"/>
      <c r="JMH88" s="163"/>
      <c r="JMI88" s="163"/>
      <c r="JMJ88" s="163"/>
      <c r="JMK88" s="163"/>
      <c r="JML88" s="163"/>
      <c r="JMM88" s="163"/>
      <c r="JMN88" s="163"/>
      <c r="JMO88" s="163"/>
      <c r="JMP88" s="163"/>
      <c r="JMQ88" s="163"/>
      <c r="JMR88" s="163"/>
      <c r="JMS88" s="163"/>
      <c r="JMT88" s="163"/>
      <c r="JMU88" s="163"/>
      <c r="JMV88" s="163"/>
      <c r="JMW88" s="163"/>
      <c r="JMX88" s="163"/>
      <c r="JMY88" s="163"/>
      <c r="JMZ88" s="163"/>
      <c r="JNA88" s="163"/>
      <c r="JNB88" s="163"/>
      <c r="JNC88" s="163"/>
      <c r="JND88" s="163"/>
      <c r="JNE88" s="163"/>
      <c r="JNF88" s="163"/>
      <c r="JNG88" s="163"/>
      <c r="JNH88" s="163"/>
      <c r="JNI88" s="163"/>
      <c r="JNJ88" s="163"/>
      <c r="JNK88" s="163"/>
      <c r="JNL88" s="163"/>
      <c r="JNM88" s="163"/>
      <c r="JNN88" s="163"/>
      <c r="JNO88" s="163"/>
      <c r="JNP88" s="163"/>
      <c r="JNQ88" s="163"/>
      <c r="JNR88" s="163"/>
      <c r="JNS88" s="163"/>
      <c r="JNT88" s="163"/>
      <c r="JNU88" s="163"/>
      <c r="JNV88" s="163"/>
      <c r="JNW88" s="163"/>
      <c r="JNX88" s="163"/>
      <c r="JNY88" s="163"/>
      <c r="JNZ88" s="163"/>
      <c r="JOA88" s="163"/>
      <c r="JOB88" s="163"/>
      <c r="JOC88" s="163"/>
      <c r="JOD88" s="163"/>
      <c r="JOE88" s="163"/>
      <c r="JOF88" s="163"/>
      <c r="JOG88" s="163"/>
      <c r="JOH88" s="163"/>
      <c r="JOI88" s="163"/>
      <c r="JOJ88" s="163"/>
      <c r="JOK88" s="163"/>
      <c r="JOL88" s="163"/>
      <c r="JOM88" s="163"/>
      <c r="JON88" s="163"/>
      <c r="JOO88" s="163"/>
      <c r="JOP88" s="163"/>
      <c r="JOQ88" s="163"/>
      <c r="JOR88" s="163"/>
      <c r="JOS88" s="163"/>
      <c r="JOT88" s="163"/>
      <c r="JOU88" s="163"/>
      <c r="JOV88" s="163"/>
      <c r="JOW88" s="163"/>
      <c r="JOX88" s="163"/>
      <c r="JOY88" s="163"/>
      <c r="JOZ88" s="163"/>
      <c r="JPA88" s="163"/>
      <c r="JPB88" s="163"/>
      <c r="JPC88" s="163"/>
      <c r="JPD88" s="163"/>
      <c r="JPE88" s="163"/>
      <c r="JPF88" s="163"/>
      <c r="JPG88" s="163"/>
      <c r="JPH88" s="163"/>
      <c r="JPI88" s="163"/>
      <c r="JPJ88" s="163"/>
      <c r="JPK88" s="163"/>
      <c r="JPL88" s="163"/>
      <c r="JPM88" s="163"/>
      <c r="JPN88" s="163"/>
      <c r="JPO88" s="163"/>
      <c r="JPP88" s="163"/>
      <c r="JPQ88" s="163"/>
      <c r="JPR88" s="163"/>
      <c r="JPS88" s="163"/>
      <c r="JPT88" s="163"/>
      <c r="JPU88" s="163"/>
      <c r="JPV88" s="163"/>
      <c r="JPW88" s="163"/>
      <c r="JPX88" s="163"/>
      <c r="JPY88" s="163"/>
      <c r="JPZ88" s="163"/>
      <c r="JQA88" s="163"/>
      <c r="JQB88" s="163"/>
      <c r="JQC88" s="163"/>
      <c r="JQD88" s="163"/>
      <c r="JQE88" s="163"/>
      <c r="JQF88" s="163"/>
      <c r="JQG88" s="163"/>
      <c r="JQH88" s="163"/>
      <c r="JQI88" s="163"/>
      <c r="JQJ88" s="163"/>
      <c r="JQK88" s="163"/>
      <c r="JQL88" s="163"/>
      <c r="JQM88" s="163"/>
      <c r="JQN88" s="163"/>
      <c r="JQO88" s="163"/>
      <c r="JQP88" s="163"/>
      <c r="JQQ88" s="163"/>
      <c r="JQR88" s="163"/>
      <c r="JQS88" s="163"/>
      <c r="JQT88" s="163"/>
      <c r="JQU88" s="163"/>
      <c r="JQV88" s="163"/>
      <c r="JQW88" s="163"/>
      <c r="JQX88" s="163"/>
      <c r="JQY88" s="163"/>
      <c r="JQZ88" s="163"/>
      <c r="JRA88" s="163"/>
      <c r="JRB88" s="163"/>
      <c r="JRC88" s="163"/>
      <c r="JRD88" s="163"/>
      <c r="JRE88" s="163"/>
      <c r="JRF88" s="163"/>
      <c r="JRG88" s="163"/>
      <c r="JRH88" s="163"/>
      <c r="JRI88" s="163"/>
      <c r="JRJ88" s="163"/>
      <c r="JRK88" s="163"/>
      <c r="JRL88" s="163"/>
      <c r="JRM88" s="163"/>
      <c r="JRN88" s="163"/>
      <c r="JRO88" s="163"/>
      <c r="JRP88" s="163"/>
      <c r="JRQ88" s="163"/>
      <c r="JRR88" s="163"/>
      <c r="JRS88" s="163"/>
      <c r="JRT88" s="163"/>
      <c r="JRU88" s="163"/>
      <c r="JRV88" s="163"/>
      <c r="JRW88" s="163"/>
      <c r="JRX88" s="163"/>
      <c r="JRY88" s="163"/>
      <c r="JRZ88" s="163"/>
      <c r="JSA88" s="163"/>
      <c r="JSB88" s="163"/>
      <c r="JSC88" s="163"/>
      <c r="JSD88" s="163"/>
      <c r="JSE88" s="163"/>
      <c r="JSF88" s="163"/>
      <c r="JSG88" s="163"/>
      <c r="JSH88" s="163"/>
      <c r="JSI88" s="163"/>
      <c r="JSJ88" s="163"/>
      <c r="JSK88" s="163"/>
      <c r="JSL88" s="163"/>
      <c r="JSM88" s="163"/>
      <c r="JSN88" s="163"/>
      <c r="JSO88" s="163"/>
      <c r="JSP88" s="163"/>
      <c r="JSQ88" s="163"/>
      <c r="JSR88" s="163"/>
      <c r="JSS88" s="163"/>
      <c r="JST88" s="163"/>
      <c r="JSU88" s="163"/>
      <c r="JSV88" s="163"/>
      <c r="JSW88" s="163"/>
      <c r="JSX88" s="163"/>
      <c r="JSY88" s="163"/>
      <c r="JSZ88" s="163"/>
      <c r="JTA88" s="163"/>
      <c r="JTB88" s="163"/>
      <c r="JTC88" s="163"/>
      <c r="JTD88" s="163"/>
      <c r="JTE88" s="163"/>
      <c r="JTF88" s="163"/>
      <c r="JTG88" s="163"/>
      <c r="JTH88" s="163"/>
      <c r="JTI88" s="163"/>
      <c r="JTJ88" s="163"/>
      <c r="JTK88" s="163"/>
      <c r="JTL88" s="163"/>
      <c r="JTM88" s="163"/>
      <c r="JTN88" s="163"/>
      <c r="JTO88" s="163"/>
      <c r="JTP88" s="163"/>
      <c r="JTQ88" s="163"/>
      <c r="JTR88" s="163"/>
      <c r="JTS88" s="163"/>
      <c r="JTT88" s="163"/>
      <c r="JTU88" s="163"/>
      <c r="JTV88" s="163"/>
      <c r="JTW88" s="163"/>
      <c r="JTX88" s="163"/>
      <c r="JTY88" s="163"/>
      <c r="JTZ88" s="163"/>
      <c r="JUA88" s="163"/>
      <c r="JUB88" s="163"/>
      <c r="JUC88" s="163"/>
      <c r="JUD88" s="163"/>
      <c r="JUE88" s="163"/>
      <c r="JUF88" s="163"/>
      <c r="JUG88" s="163"/>
      <c r="JUH88" s="163"/>
      <c r="JUI88" s="163"/>
      <c r="JUJ88" s="163"/>
      <c r="JUK88" s="163"/>
      <c r="JUL88" s="163"/>
      <c r="JUM88" s="163"/>
      <c r="JUN88" s="163"/>
      <c r="JUO88" s="163"/>
      <c r="JUP88" s="163"/>
      <c r="JUQ88" s="163"/>
      <c r="JUR88" s="163"/>
      <c r="JUS88" s="163"/>
      <c r="JUT88" s="163"/>
      <c r="JUU88" s="163"/>
      <c r="JUV88" s="163"/>
      <c r="JUW88" s="163"/>
      <c r="JUX88" s="163"/>
      <c r="JUY88" s="163"/>
      <c r="JUZ88" s="163"/>
      <c r="JVA88" s="163"/>
      <c r="JVB88" s="163"/>
      <c r="JVC88" s="163"/>
      <c r="JVD88" s="163"/>
      <c r="JVE88" s="163"/>
      <c r="JVF88" s="163"/>
      <c r="JVG88" s="163"/>
      <c r="JVH88" s="163"/>
      <c r="JVI88" s="163"/>
      <c r="JVJ88" s="163"/>
      <c r="JVK88" s="163"/>
      <c r="JVL88" s="163"/>
      <c r="JVM88" s="163"/>
      <c r="JVN88" s="163"/>
      <c r="JVO88" s="163"/>
      <c r="JVP88" s="163"/>
      <c r="JVQ88" s="163"/>
      <c r="JVR88" s="163"/>
      <c r="JVS88" s="163"/>
      <c r="JVT88" s="163"/>
      <c r="JVU88" s="163"/>
      <c r="JVV88" s="163"/>
      <c r="JVW88" s="163"/>
      <c r="JVX88" s="163"/>
      <c r="JVY88" s="163"/>
      <c r="JVZ88" s="163"/>
      <c r="JWA88" s="163"/>
      <c r="JWB88" s="163"/>
      <c r="JWC88" s="163"/>
      <c r="JWD88" s="163"/>
      <c r="JWE88" s="163"/>
      <c r="JWF88" s="163"/>
      <c r="JWG88" s="163"/>
      <c r="JWH88" s="163"/>
      <c r="JWI88" s="163"/>
      <c r="JWJ88" s="163"/>
      <c r="JWK88" s="163"/>
      <c r="JWL88" s="163"/>
      <c r="JWM88" s="163"/>
      <c r="JWN88" s="163"/>
      <c r="JWO88" s="163"/>
      <c r="JWP88" s="163"/>
      <c r="JWQ88" s="163"/>
      <c r="JWR88" s="163"/>
      <c r="JWS88" s="163"/>
      <c r="JWT88" s="163"/>
      <c r="JWU88" s="163"/>
      <c r="JWV88" s="163"/>
      <c r="JWW88" s="163"/>
      <c r="JWX88" s="163"/>
      <c r="JWY88" s="163"/>
      <c r="JWZ88" s="163"/>
      <c r="JXA88" s="163"/>
      <c r="JXB88" s="163"/>
      <c r="JXC88" s="163"/>
      <c r="JXD88" s="163"/>
      <c r="JXE88" s="163"/>
      <c r="JXF88" s="163"/>
      <c r="JXG88" s="163"/>
      <c r="JXH88" s="163"/>
      <c r="JXI88" s="163"/>
      <c r="JXJ88" s="163"/>
      <c r="JXK88" s="163"/>
      <c r="JXL88" s="163"/>
      <c r="JXM88" s="163"/>
      <c r="JXN88" s="163"/>
      <c r="JXO88" s="163"/>
      <c r="JXP88" s="163"/>
      <c r="JXQ88" s="163"/>
      <c r="JXR88" s="163"/>
      <c r="JXS88" s="163"/>
      <c r="JXT88" s="163"/>
      <c r="JXU88" s="163"/>
      <c r="JXV88" s="163"/>
      <c r="JXW88" s="163"/>
      <c r="JXX88" s="163"/>
      <c r="JXY88" s="163"/>
      <c r="JXZ88" s="163"/>
      <c r="JYA88" s="163"/>
      <c r="JYB88" s="163"/>
      <c r="JYC88" s="163"/>
      <c r="JYD88" s="163"/>
      <c r="JYE88" s="163"/>
      <c r="JYF88" s="163"/>
      <c r="JYG88" s="163"/>
      <c r="JYH88" s="163"/>
      <c r="JYI88" s="163"/>
      <c r="JYJ88" s="163"/>
      <c r="JYK88" s="163"/>
      <c r="JYL88" s="163"/>
      <c r="JYM88" s="163"/>
      <c r="JYN88" s="163"/>
      <c r="JYO88" s="163"/>
      <c r="JYP88" s="163"/>
      <c r="JYQ88" s="163"/>
      <c r="JYR88" s="163"/>
      <c r="JYS88" s="163"/>
      <c r="JYT88" s="163"/>
      <c r="JYU88" s="163"/>
      <c r="JYV88" s="163"/>
      <c r="JYW88" s="163"/>
      <c r="JYX88" s="163"/>
      <c r="JYY88" s="163"/>
      <c r="JYZ88" s="163"/>
      <c r="JZA88" s="163"/>
      <c r="JZB88" s="163"/>
      <c r="JZC88" s="163"/>
      <c r="JZD88" s="163"/>
      <c r="JZE88" s="163"/>
      <c r="JZF88" s="163"/>
      <c r="JZG88" s="163"/>
      <c r="JZH88" s="163"/>
      <c r="JZI88" s="163"/>
      <c r="JZJ88" s="163"/>
      <c r="JZK88" s="163"/>
      <c r="JZL88" s="163"/>
      <c r="JZM88" s="163"/>
      <c r="JZN88" s="163"/>
      <c r="JZO88" s="163"/>
      <c r="JZP88" s="163"/>
      <c r="JZQ88" s="163"/>
      <c r="JZR88" s="163"/>
      <c r="JZS88" s="163"/>
      <c r="JZT88" s="163"/>
      <c r="JZU88" s="163"/>
      <c r="JZV88" s="163"/>
      <c r="JZW88" s="163"/>
      <c r="JZX88" s="163"/>
      <c r="JZY88" s="163"/>
      <c r="JZZ88" s="163"/>
      <c r="KAA88" s="163"/>
      <c r="KAB88" s="163"/>
      <c r="KAC88" s="163"/>
      <c r="KAD88" s="163"/>
      <c r="KAE88" s="163"/>
      <c r="KAF88" s="163"/>
      <c r="KAG88" s="163"/>
      <c r="KAH88" s="163"/>
      <c r="KAI88" s="163"/>
      <c r="KAJ88" s="163"/>
      <c r="KAK88" s="163"/>
      <c r="KAL88" s="163"/>
      <c r="KAM88" s="163"/>
      <c r="KAN88" s="163"/>
      <c r="KAO88" s="163"/>
      <c r="KAP88" s="163"/>
      <c r="KAQ88" s="163"/>
      <c r="KAR88" s="163"/>
      <c r="KAS88" s="163"/>
      <c r="KAT88" s="163"/>
      <c r="KAU88" s="163"/>
      <c r="KAV88" s="163"/>
      <c r="KAW88" s="163"/>
      <c r="KAX88" s="163"/>
      <c r="KAY88" s="163"/>
      <c r="KAZ88" s="163"/>
      <c r="KBA88" s="163"/>
      <c r="KBB88" s="163"/>
      <c r="KBC88" s="163"/>
      <c r="KBD88" s="163"/>
      <c r="KBE88" s="163"/>
      <c r="KBF88" s="163"/>
      <c r="KBG88" s="163"/>
      <c r="KBH88" s="163"/>
      <c r="KBI88" s="163"/>
      <c r="KBJ88" s="163"/>
      <c r="KBK88" s="163"/>
      <c r="KBL88" s="163"/>
      <c r="KBM88" s="163"/>
      <c r="KBN88" s="163"/>
      <c r="KBO88" s="163"/>
      <c r="KBP88" s="163"/>
      <c r="KBQ88" s="163"/>
      <c r="KBR88" s="163"/>
      <c r="KBS88" s="163"/>
      <c r="KBT88" s="163"/>
      <c r="KBU88" s="163"/>
      <c r="KBV88" s="163"/>
      <c r="KBW88" s="163"/>
      <c r="KBX88" s="163"/>
      <c r="KBY88" s="163"/>
      <c r="KBZ88" s="163"/>
      <c r="KCA88" s="163"/>
      <c r="KCB88" s="163"/>
      <c r="KCC88" s="163"/>
      <c r="KCD88" s="163"/>
      <c r="KCE88" s="163"/>
      <c r="KCF88" s="163"/>
      <c r="KCG88" s="163"/>
      <c r="KCH88" s="163"/>
      <c r="KCI88" s="163"/>
      <c r="KCJ88" s="163"/>
      <c r="KCK88" s="163"/>
      <c r="KCL88" s="163"/>
      <c r="KCM88" s="163"/>
      <c r="KCN88" s="163"/>
      <c r="KCO88" s="163"/>
      <c r="KCP88" s="163"/>
      <c r="KCQ88" s="163"/>
      <c r="KCR88" s="163"/>
      <c r="KCS88" s="163"/>
      <c r="KCT88" s="163"/>
      <c r="KCU88" s="163"/>
      <c r="KCV88" s="163"/>
      <c r="KCW88" s="163"/>
      <c r="KCX88" s="163"/>
      <c r="KCY88" s="163"/>
      <c r="KCZ88" s="163"/>
      <c r="KDA88" s="163"/>
      <c r="KDB88" s="163"/>
      <c r="KDC88" s="163"/>
      <c r="KDD88" s="163"/>
      <c r="KDE88" s="163"/>
      <c r="KDF88" s="163"/>
      <c r="KDG88" s="163"/>
      <c r="KDH88" s="163"/>
      <c r="KDI88" s="163"/>
      <c r="KDJ88" s="163"/>
      <c r="KDK88" s="163"/>
      <c r="KDL88" s="163"/>
      <c r="KDM88" s="163"/>
      <c r="KDN88" s="163"/>
      <c r="KDO88" s="163"/>
      <c r="KDP88" s="163"/>
      <c r="KDQ88" s="163"/>
      <c r="KDR88" s="163"/>
      <c r="KDS88" s="163"/>
      <c r="KDT88" s="163"/>
      <c r="KDU88" s="163"/>
      <c r="KDV88" s="163"/>
      <c r="KDW88" s="163"/>
      <c r="KDX88" s="163"/>
      <c r="KDY88" s="163"/>
      <c r="KDZ88" s="163"/>
      <c r="KEA88" s="163"/>
      <c r="KEB88" s="163"/>
      <c r="KEC88" s="163"/>
      <c r="KED88" s="163"/>
      <c r="KEE88" s="163"/>
      <c r="KEF88" s="163"/>
      <c r="KEG88" s="163"/>
      <c r="KEH88" s="163"/>
      <c r="KEI88" s="163"/>
      <c r="KEJ88" s="163"/>
      <c r="KEK88" s="163"/>
      <c r="KEL88" s="163"/>
      <c r="KEM88" s="163"/>
      <c r="KEN88" s="163"/>
      <c r="KEO88" s="163"/>
      <c r="KEP88" s="163"/>
      <c r="KEQ88" s="163"/>
      <c r="KER88" s="163"/>
      <c r="KES88" s="163"/>
      <c r="KET88" s="163"/>
      <c r="KEU88" s="163"/>
      <c r="KEV88" s="163"/>
      <c r="KEW88" s="163"/>
      <c r="KEX88" s="163"/>
      <c r="KEY88" s="163"/>
      <c r="KEZ88" s="163"/>
      <c r="KFA88" s="163"/>
      <c r="KFB88" s="163"/>
      <c r="KFC88" s="163"/>
      <c r="KFD88" s="163"/>
      <c r="KFE88" s="163"/>
      <c r="KFF88" s="163"/>
      <c r="KFG88" s="163"/>
      <c r="KFH88" s="163"/>
      <c r="KFI88" s="163"/>
      <c r="KFJ88" s="163"/>
      <c r="KFK88" s="163"/>
      <c r="KFL88" s="163"/>
      <c r="KFM88" s="163"/>
      <c r="KFN88" s="163"/>
      <c r="KFO88" s="163"/>
      <c r="KFP88" s="163"/>
      <c r="KFQ88" s="163"/>
      <c r="KFR88" s="163"/>
      <c r="KFS88" s="163"/>
      <c r="KFT88" s="163"/>
      <c r="KFU88" s="163"/>
      <c r="KFV88" s="163"/>
      <c r="KFW88" s="163"/>
      <c r="KFX88" s="163"/>
      <c r="KFY88" s="163"/>
      <c r="KFZ88" s="163"/>
      <c r="KGA88" s="163"/>
      <c r="KGB88" s="163"/>
      <c r="KGC88" s="163"/>
      <c r="KGD88" s="163"/>
      <c r="KGE88" s="163"/>
      <c r="KGF88" s="163"/>
      <c r="KGG88" s="163"/>
      <c r="KGH88" s="163"/>
      <c r="KGI88" s="163"/>
      <c r="KGJ88" s="163"/>
      <c r="KGK88" s="163"/>
      <c r="KGL88" s="163"/>
      <c r="KGM88" s="163"/>
      <c r="KGN88" s="163"/>
      <c r="KGO88" s="163"/>
      <c r="KGP88" s="163"/>
      <c r="KGQ88" s="163"/>
      <c r="KGR88" s="163"/>
      <c r="KGS88" s="163"/>
      <c r="KGT88" s="163"/>
      <c r="KGU88" s="163"/>
      <c r="KGV88" s="163"/>
      <c r="KGW88" s="163"/>
      <c r="KGX88" s="163"/>
      <c r="KGY88" s="163"/>
      <c r="KGZ88" s="163"/>
      <c r="KHA88" s="163"/>
      <c r="KHB88" s="163"/>
      <c r="KHC88" s="163"/>
      <c r="KHD88" s="163"/>
      <c r="KHE88" s="163"/>
      <c r="KHF88" s="163"/>
      <c r="KHG88" s="163"/>
      <c r="KHH88" s="163"/>
      <c r="KHI88" s="163"/>
      <c r="KHJ88" s="163"/>
      <c r="KHK88" s="163"/>
      <c r="KHL88" s="163"/>
      <c r="KHM88" s="163"/>
      <c r="KHN88" s="163"/>
      <c r="KHO88" s="163"/>
      <c r="KHP88" s="163"/>
      <c r="KHQ88" s="163"/>
      <c r="KHR88" s="163"/>
      <c r="KHS88" s="163"/>
      <c r="KHT88" s="163"/>
      <c r="KHU88" s="163"/>
      <c r="KHV88" s="163"/>
      <c r="KHW88" s="163"/>
      <c r="KHX88" s="163"/>
      <c r="KHY88" s="163"/>
      <c r="KHZ88" s="163"/>
      <c r="KIA88" s="163"/>
      <c r="KIB88" s="163"/>
      <c r="KIC88" s="163"/>
      <c r="KID88" s="163"/>
      <c r="KIE88" s="163"/>
      <c r="KIF88" s="163"/>
      <c r="KIG88" s="163"/>
      <c r="KIH88" s="163"/>
      <c r="KII88" s="163"/>
      <c r="KIJ88" s="163"/>
      <c r="KIK88" s="163"/>
      <c r="KIL88" s="163"/>
      <c r="KIM88" s="163"/>
      <c r="KIN88" s="163"/>
      <c r="KIO88" s="163"/>
      <c r="KIP88" s="163"/>
      <c r="KIQ88" s="163"/>
      <c r="KIR88" s="163"/>
      <c r="KIS88" s="163"/>
      <c r="KIT88" s="163"/>
      <c r="KIU88" s="163"/>
      <c r="KIV88" s="163"/>
      <c r="KIW88" s="163"/>
      <c r="KIX88" s="163"/>
      <c r="KIY88" s="163"/>
      <c r="KIZ88" s="163"/>
      <c r="KJA88" s="163"/>
      <c r="KJB88" s="163"/>
      <c r="KJC88" s="163"/>
      <c r="KJD88" s="163"/>
      <c r="KJE88" s="163"/>
      <c r="KJF88" s="163"/>
      <c r="KJG88" s="163"/>
      <c r="KJH88" s="163"/>
      <c r="KJI88" s="163"/>
      <c r="KJJ88" s="163"/>
      <c r="KJK88" s="163"/>
      <c r="KJL88" s="163"/>
      <c r="KJM88" s="163"/>
      <c r="KJN88" s="163"/>
      <c r="KJO88" s="163"/>
      <c r="KJP88" s="163"/>
      <c r="KJQ88" s="163"/>
      <c r="KJR88" s="163"/>
      <c r="KJS88" s="163"/>
      <c r="KJT88" s="163"/>
      <c r="KJU88" s="163"/>
      <c r="KJV88" s="163"/>
      <c r="KJW88" s="163"/>
      <c r="KJX88" s="163"/>
      <c r="KJY88" s="163"/>
      <c r="KJZ88" s="163"/>
      <c r="KKA88" s="163"/>
      <c r="KKB88" s="163"/>
      <c r="KKC88" s="163"/>
      <c r="KKD88" s="163"/>
      <c r="KKE88" s="163"/>
      <c r="KKF88" s="163"/>
      <c r="KKG88" s="163"/>
      <c r="KKH88" s="163"/>
      <c r="KKI88" s="163"/>
      <c r="KKJ88" s="163"/>
      <c r="KKK88" s="163"/>
      <c r="KKL88" s="163"/>
      <c r="KKM88" s="163"/>
      <c r="KKN88" s="163"/>
      <c r="KKO88" s="163"/>
      <c r="KKP88" s="163"/>
      <c r="KKQ88" s="163"/>
      <c r="KKR88" s="163"/>
      <c r="KKS88" s="163"/>
      <c r="KKT88" s="163"/>
      <c r="KKU88" s="163"/>
      <c r="KKV88" s="163"/>
      <c r="KKW88" s="163"/>
      <c r="KKX88" s="163"/>
      <c r="KKY88" s="163"/>
      <c r="KKZ88" s="163"/>
      <c r="KLA88" s="163"/>
      <c r="KLB88" s="163"/>
      <c r="KLC88" s="163"/>
      <c r="KLD88" s="163"/>
      <c r="KLE88" s="163"/>
      <c r="KLF88" s="163"/>
      <c r="KLG88" s="163"/>
      <c r="KLH88" s="163"/>
      <c r="KLI88" s="163"/>
      <c r="KLJ88" s="163"/>
      <c r="KLK88" s="163"/>
      <c r="KLL88" s="163"/>
      <c r="KLM88" s="163"/>
      <c r="KLN88" s="163"/>
      <c r="KLO88" s="163"/>
      <c r="KLP88" s="163"/>
      <c r="KLQ88" s="163"/>
      <c r="KLR88" s="163"/>
      <c r="KLS88" s="163"/>
      <c r="KLT88" s="163"/>
      <c r="KLU88" s="163"/>
      <c r="KLV88" s="163"/>
      <c r="KLW88" s="163"/>
      <c r="KLX88" s="163"/>
      <c r="KLY88" s="163"/>
      <c r="KLZ88" s="163"/>
      <c r="KMA88" s="163"/>
      <c r="KMB88" s="163"/>
      <c r="KMC88" s="163"/>
      <c r="KMD88" s="163"/>
      <c r="KME88" s="163"/>
      <c r="KMF88" s="163"/>
      <c r="KMG88" s="163"/>
      <c r="KMH88" s="163"/>
      <c r="KMI88" s="163"/>
      <c r="KMJ88" s="163"/>
      <c r="KMK88" s="163"/>
      <c r="KML88" s="163"/>
      <c r="KMM88" s="163"/>
      <c r="KMN88" s="163"/>
      <c r="KMO88" s="163"/>
      <c r="KMP88" s="163"/>
      <c r="KMQ88" s="163"/>
      <c r="KMR88" s="163"/>
      <c r="KMS88" s="163"/>
      <c r="KMT88" s="163"/>
      <c r="KMU88" s="163"/>
      <c r="KMV88" s="163"/>
      <c r="KMW88" s="163"/>
      <c r="KMX88" s="163"/>
      <c r="KMY88" s="163"/>
      <c r="KMZ88" s="163"/>
      <c r="KNA88" s="163"/>
      <c r="KNB88" s="163"/>
      <c r="KNC88" s="163"/>
      <c r="KND88" s="163"/>
      <c r="KNE88" s="163"/>
      <c r="KNF88" s="163"/>
      <c r="KNG88" s="163"/>
      <c r="KNH88" s="163"/>
      <c r="KNI88" s="163"/>
      <c r="KNJ88" s="163"/>
      <c r="KNK88" s="163"/>
      <c r="KNL88" s="163"/>
      <c r="KNM88" s="163"/>
      <c r="KNN88" s="163"/>
      <c r="KNO88" s="163"/>
      <c r="KNP88" s="163"/>
      <c r="KNQ88" s="163"/>
      <c r="KNR88" s="163"/>
      <c r="KNS88" s="163"/>
      <c r="KNT88" s="163"/>
      <c r="KNU88" s="163"/>
      <c r="KNV88" s="163"/>
      <c r="KNW88" s="163"/>
      <c r="KNX88" s="163"/>
      <c r="KNY88" s="163"/>
      <c r="KNZ88" s="163"/>
      <c r="KOA88" s="163"/>
      <c r="KOB88" s="163"/>
      <c r="KOC88" s="163"/>
      <c r="KOD88" s="163"/>
      <c r="KOE88" s="163"/>
      <c r="KOF88" s="163"/>
      <c r="KOG88" s="163"/>
      <c r="KOH88" s="163"/>
      <c r="KOI88" s="163"/>
      <c r="KOJ88" s="163"/>
      <c r="KOK88" s="163"/>
      <c r="KOL88" s="163"/>
      <c r="KOM88" s="163"/>
      <c r="KON88" s="163"/>
      <c r="KOO88" s="163"/>
      <c r="KOP88" s="163"/>
      <c r="KOQ88" s="163"/>
      <c r="KOR88" s="163"/>
      <c r="KOS88" s="163"/>
      <c r="KOT88" s="163"/>
      <c r="KOU88" s="163"/>
      <c r="KOV88" s="163"/>
      <c r="KOW88" s="163"/>
      <c r="KOX88" s="163"/>
      <c r="KOY88" s="163"/>
      <c r="KOZ88" s="163"/>
      <c r="KPA88" s="163"/>
      <c r="KPB88" s="163"/>
      <c r="KPC88" s="163"/>
      <c r="KPD88" s="163"/>
      <c r="KPE88" s="163"/>
      <c r="KPF88" s="163"/>
      <c r="KPG88" s="163"/>
      <c r="KPH88" s="163"/>
      <c r="KPI88" s="163"/>
      <c r="KPJ88" s="163"/>
      <c r="KPK88" s="163"/>
      <c r="KPL88" s="163"/>
      <c r="KPM88" s="163"/>
      <c r="KPN88" s="163"/>
      <c r="KPO88" s="163"/>
      <c r="KPP88" s="163"/>
      <c r="KPQ88" s="163"/>
      <c r="KPR88" s="163"/>
      <c r="KPS88" s="163"/>
      <c r="KPT88" s="163"/>
      <c r="KPU88" s="163"/>
      <c r="KPV88" s="163"/>
      <c r="KPW88" s="163"/>
      <c r="KPX88" s="163"/>
      <c r="KPY88" s="163"/>
      <c r="KPZ88" s="163"/>
      <c r="KQA88" s="163"/>
      <c r="KQB88" s="163"/>
      <c r="KQC88" s="163"/>
      <c r="KQD88" s="163"/>
      <c r="KQE88" s="163"/>
      <c r="KQF88" s="163"/>
      <c r="KQG88" s="163"/>
      <c r="KQH88" s="163"/>
      <c r="KQI88" s="163"/>
      <c r="KQJ88" s="163"/>
      <c r="KQK88" s="163"/>
      <c r="KQL88" s="163"/>
      <c r="KQM88" s="163"/>
      <c r="KQN88" s="163"/>
      <c r="KQO88" s="163"/>
      <c r="KQP88" s="163"/>
      <c r="KQQ88" s="163"/>
      <c r="KQR88" s="163"/>
      <c r="KQS88" s="163"/>
      <c r="KQT88" s="163"/>
      <c r="KQU88" s="163"/>
      <c r="KQV88" s="163"/>
      <c r="KQW88" s="163"/>
      <c r="KQX88" s="163"/>
      <c r="KQY88" s="163"/>
      <c r="KQZ88" s="163"/>
      <c r="KRA88" s="163"/>
      <c r="KRB88" s="163"/>
      <c r="KRC88" s="163"/>
      <c r="KRD88" s="163"/>
      <c r="KRE88" s="163"/>
      <c r="KRF88" s="163"/>
      <c r="KRG88" s="163"/>
      <c r="KRH88" s="163"/>
      <c r="KRI88" s="163"/>
      <c r="KRJ88" s="163"/>
      <c r="KRK88" s="163"/>
      <c r="KRL88" s="163"/>
      <c r="KRM88" s="163"/>
      <c r="KRN88" s="163"/>
      <c r="KRO88" s="163"/>
      <c r="KRP88" s="163"/>
      <c r="KRQ88" s="163"/>
      <c r="KRR88" s="163"/>
      <c r="KRS88" s="163"/>
      <c r="KRT88" s="163"/>
      <c r="KRU88" s="163"/>
      <c r="KRV88" s="163"/>
      <c r="KRW88" s="163"/>
      <c r="KRX88" s="163"/>
      <c r="KRY88" s="163"/>
      <c r="KRZ88" s="163"/>
      <c r="KSA88" s="163"/>
      <c r="KSB88" s="163"/>
      <c r="KSC88" s="163"/>
      <c r="KSD88" s="163"/>
      <c r="KSE88" s="163"/>
      <c r="KSF88" s="163"/>
      <c r="KSG88" s="163"/>
      <c r="KSH88" s="163"/>
      <c r="KSI88" s="163"/>
      <c r="KSJ88" s="163"/>
      <c r="KSK88" s="163"/>
      <c r="KSL88" s="163"/>
      <c r="KSM88" s="163"/>
      <c r="KSN88" s="163"/>
      <c r="KSO88" s="163"/>
      <c r="KSP88" s="163"/>
      <c r="KSQ88" s="163"/>
      <c r="KSR88" s="163"/>
      <c r="KSS88" s="163"/>
      <c r="KST88" s="163"/>
      <c r="KSU88" s="163"/>
      <c r="KSV88" s="163"/>
      <c r="KSW88" s="163"/>
      <c r="KSX88" s="163"/>
      <c r="KSY88" s="163"/>
      <c r="KSZ88" s="163"/>
      <c r="KTA88" s="163"/>
      <c r="KTB88" s="163"/>
      <c r="KTC88" s="163"/>
      <c r="KTD88" s="163"/>
      <c r="KTE88" s="163"/>
      <c r="KTF88" s="163"/>
      <c r="KTG88" s="163"/>
      <c r="KTH88" s="163"/>
      <c r="KTI88" s="163"/>
      <c r="KTJ88" s="163"/>
      <c r="KTK88" s="163"/>
      <c r="KTL88" s="163"/>
      <c r="KTM88" s="163"/>
      <c r="KTN88" s="163"/>
      <c r="KTO88" s="163"/>
      <c r="KTP88" s="163"/>
      <c r="KTQ88" s="163"/>
      <c r="KTR88" s="163"/>
      <c r="KTS88" s="163"/>
      <c r="KTT88" s="163"/>
      <c r="KTU88" s="163"/>
      <c r="KTV88" s="163"/>
      <c r="KTW88" s="163"/>
      <c r="KTX88" s="163"/>
      <c r="KTY88" s="163"/>
      <c r="KTZ88" s="163"/>
      <c r="KUA88" s="163"/>
      <c r="KUB88" s="163"/>
      <c r="KUC88" s="163"/>
      <c r="KUD88" s="163"/>
      <c r="KUE88" s="163"/>
      <c r="KUF88" s="163"/>
      <c r="KUG88" s="163"/>
      <c r="KUH88" s="163"/>
      <c r="KUI88" s="163"/>
      <c r="KUJ88" s="163"/>
      <c r="KUK88" s="163"/>
      <c r="KUL88" s="163"/>
      <c r="KUM88" s="163"/>
      <c r="KUN88" s="163"/>
      <c r="KUO88" s="163"/>
      <c r="KUP88" s="163"/>
      <c r="KUQ88" s="163"/>
      <c r="KUR88" s="163"/>
      <c r="KUS88" s="163"/>
      <c r="KUT88" s="163"/>
      <c r="KUU88" s="163"/>
      <c r="KUV88" s="163"/>
      <c r="KUW88" s="163"/>
      <c r="KUX88" s="163"/>
      <c r="KUY88" s="163"/>
      <c r="KUZ88" s="163"/>
      <c r="KVA88" s="163"/>
      <c r="KVB88" s="163"/>
      <c r="KVC88" s="163"/>
      <c r="KVD88" s="163"/>
      <c r="KVE88" s="163"/>
      <c r="KVF88" s="163"/>
      <c r="KVG88" s="163"/>
      <c r="KVH88" s="163"/>
      <c r="KVI88" s="163"/>
      <c r="KVJ88" s="163"/>
      <c r="KVK88" s="163"/>
      <c r="KVL88" s="163"/>
      <c r="KVM88" s="163"/>
      <c r="KVN88" s="163"/>
      <c r="KVO88" s="163"/>
      <c r="KVP88" s="163"/>
      <c r="KVQ88" s="163"/>
      <c r="KVR88" s="163"/>
      <c r="KVS88" s="163"/>
      <c r="KVT88" s="163"/>
      <c r="KVU88" s="163"/>
      <c r="KVV88" s="163"/>
      <c r="KVW88" s="163"/>
      <c r="KVX88" s="163"/>
      <c r="KVY88" s="163"/>
      <c r="KVZ88" s="163"/>
      <c r="KWA88" s="163"/>
      <c r="KWB88" s="163"/>
      <c r="KWC88" s="163"/>
      <c r="KWD88" s="163"/>
      <c r="KWE88" s="163"/>
      <c r="KWF88" s="163"/>
      <c r="KWG88" s="163"/>
      <c r="KWH88" s="163"/>
      <c r="KWI88" s="163"/>
      <c r="KWJ88" s="163"/>
      <c r="KWK88" s="163"/>
      <c r="KWL88" s="163"/>
      <c r="KWM88" s="163"/>
      <c r="KWN88" s="163"/>
      <c r="KWO88" s="163"/>
      <c r="KWP88" s="163"/>
      <c r="KWQ88" s="163"/>
      <c r="KWR88" s="163"/>
      <c r="KWS88" s="163"/>
      <c r="KWT88" s="163"/>
      <c r="KWU88" s="163"/>
      <c r="KWV88" s="163"/>
      <c r="KWW88" s="163"/>
      <c r="KWX88" s="163"/>
      <c r="KWY88" s="163"/>
      <c r="KWZ88" s="163"/>
      <c r="KXA88" s="163"/>
      <c r="KXB88" s="163"/>
      <c r="KXC88" s="163"/>
      <c r="KXD88" s="163"/>
      <c r="KXE88" s="163"/>
      <c r="KXF88" s="163"/>
      <c r="KXG88" s="163"/>
      <c r="KXH88" s="163"/>
      <c r="KXI88" s="163"/>
      <c r="KXJ88" s="163"/>
      <c r="KXK88" s="163"/>
      <c r="KXL88" s="163"/>
      <c r="KXM88" s="163"/>
      <c r="KXN88" s="163"/>
      <c r="KXO88" s="163"/>
      <c r="KXP88" s="163"/>
      <c r="KXQ88" s="163"/>
      <c r="KXR88" s="163"/>
      <c r="KXS88" s="163"/>
      <c r="KXT88" s="163"/>
      <c r="KXU88" s="163"/>
      <c r="KXV88" s="163"/>
      <c r="KXW88" s="163"/>
      <c r="KXX88" s="163"/>
      <c r="KXY88" s="163"/>
      <c r="KXZ88" s="163"/>
      <c r="KYA88" s="163"/>
      <c r="KYB88" s="163"/>
      <c r="KYC88" s="163"/>
      <c r="KYD88" s="163"/>
      <c r="KYE88" s="163"/>
      <c r="KYF88" s="163"/>
      <c r="KYG88" s="163"/>
      <c r="KYH88" s="163"/>
      <c r="KYI88" s="163"/>
      <c r="KYJ88" s="163"/>
      <c r="KYK88" s="163"/>
      <c r="KYL88" s="163"/>
      <c r="KYM88" s="163"/>
      <c r="KYN88" s="163"/>
      <c r="KYO88" s="163"/>
      <c r="KYP88" s="163"/>
      <c r="KYQ88" s="163"/>
      <c r="KYR88" s="163"/>
      <c r="KYS88" s="163"/>
      <c r="KYT88" s="163"/>
      <c r="KYU88" s="163"/>
      <c r="KYV88" s="163"/>
      <c r="KYW88" s="163"/>
      <c r="KYX88" s="163"/>
      <c r="KYY88" s="163"/>
      <c r="KYZ88" s="163"/>
      <c r="KZA88" s="163"/>
      <c r="KZB88" s="163"/>
      <c r="KZC88" s="163"/>
      <c r="KZD88" s="163"/>
      <c r="KZE88" s="163"/>
      <c r="KZF88" s="163"/>
      <c r="KZG88" s="163"/>
      <c r="KZH88" s="163"/>
      <c r="KZI88" s="163"/>
      <c r="KZJ88" s="163"/>
      <c r="KZK88" s="163"/>
      <c r="KZL88" s="163"/>
      <c r="KZM88" s="163"/>
      <c r="KZN88" s="163"/>
      <c r="KZO88" s="163"/>
      <c r="KZP88" s="163"/>
      <c r="KZQ88" s="163"/>
      <c r="KZR88" s="163"/>
      <c r="KZS88" s="163"/>
      <c r="KZT88" s="163"/>
      <c r="KZU88" s="163"/>
      <c r="KZV88" s="163"/>
      <c r="KZW88" s="163"/>
      <c r="KZX88" s="163"/>
      <c r="KZY88" s="163"/>
      <c r="KZZ88" s="163"/>
      <c r="LAA88" s="163"/>
      <c r="LAB88" s="163"/>
      <c r="LAC88" s="163"/>
      <c r="LAD88" s="163"/>
      <c r="LAE88" s="163"/>
      <c r="LAF88" s="163"/>
      <c r="LAG88" s="163"/>
      <c r="LAH88" s="163"/>
      <c r="LAI88" s="163"/>
      <c r="LAJ88" s="163"/>
      <c r="LAK88" s="163"/>
      <c r="LAL88" s="163"/>
      <c r="LAM88" s="163"/>
      <c r="LAN88" s="163"/>
      <c r="LAO88" s="163"/>
      <c r="LAP88" s="163"/>
      <c r="LAQ88" s="163"/>
      <c r="LAR88" s="163"/>
      <c r="LAS88" s="163"/>
      <c r="LAT88" s="163"/>
      <c r="LAU88" s="163"/>
      <c r="LAV88" s="163"/>
      <c r="LAW88" s="163"/>
      <c r="LAX88" s="163"/>
      <c r="LAY88" s="163"/>
      <c r="LAZ88" s="163"/>
      <c r="LBA88" s="163"/>
      <c r="LBB88" s="163"/>
      <c r="LBC88" s="163"/>
      <c r="LBD88" s="163"/>
      <c r="LBE88" s="163"/>
      <c r="LBF88" s="163"/>
      <c r="LBG88" s="163"/>
      <c r="LBH88" s="163"/>
      <c r="LBI88" s="163"/>
      <c r="LBJ88" s="163"/>
      <c r="LBK88" s="163"/>
      <c r="LBL88" s="163"/>
      <c r="LBM88" s="163"/>
      <c r="LBN88" s="163"/>
      <c r="LBO88" s="163"/>
      <c r="LBP88" s="163"/>
      <c r="LBQ88" s="163"/>
      <c r="LBR88" s="163"/>
      <c r="LBS88" s="163"/>
      <c r="LBT88" s="163"/>
      <c r="LBU88" s="163"/>
      <c r="LBV88" s="163"/>
      <c r="LBW88" s="163"/>
      <c r="LBX88" s="163"/>
      <c r="LBY88" s="163"/>
      <c r="LBZ88" s="163"/>
      <c r="LCA88" s="163"/>
      <c r="LCB88" s="163"/>
      <c r="LCC88" s="163"/>
      <c r="LCD88" s="163"/>
      <c r="LCE88" s="163"/>
      <c r="LCF88" s="163"/>
      <c r="LCG88" s="163"/>
      <c r="LCH88" s="163"/>
      <c r="LCI88" s="163"/>
      <c r="LCJ88" s="163"/>
      <c r="LCK88" s="163"/>
      <c r="LCL88" s="163"/>
      <c r="LCM88" s="163"/>
      <c r="LCN88" s="163"/>
      <c r="LCO88" s="163"/>
      <c r="LCP88" s="163"/>
      <c r="LCQ88" s="163"/>
      <c r="LCR88" s="163"/>
      <c r="LCS88" s="163"/>
      <c r="LCT88" s="163"/>
      <c r="LCU88" s="163"/>
      <c r="LCV88" s="163"/>
      <c r="LCW88" s="163"/>
      <c r="LCX88" s="163"/>
      <c r="LCY88" s="163"/>
      <c r="LCZ88" s="163"/>
      <c r="LDA88" s="163"/>
      <c r="LDB88" s="163"/>
      <c r="LDC88" s="163"/>
      <c r="LDD88" s="163"/>
      <c r="LDE88" s="163"/>
      <c r="LDF88" s="163"/>
      <c r="LDG88" s="163"/>
      <c r="LDH88" s="163"/>
      <c r="LDI88" s="163"/>
      <c r="LDJ88" s="163"/>
      <c r="LDK88" s="163"/>
      <c r="LDL88" s="163"/>
      <c r="LDM88" s="163"/>
      <c r="LDN88" s="163"/>
      <c r="LDO88" s="163"/>
      <c r="LDP88" s="163"/>
      <c r="LDQ88" s="163"/>
      <c r="LDR88" s="163"/>
      <c r="LDS88" s="163"/>
      <c r="LDT88" s="163"/>
      <c r="LDU88" s="163"/>
      <c r="LDV88" s="163"/>
      <c r="LDW88" s="163"/>
      <c r="LDX88" s="163"/>
      <c r="LDY88" s="163"/>
      <c r="LDZ88" s="163"/>
      <c r="LEA88" s="163"/>
      <c r="LEB88" s="163"/>
      <c r="LEC88" s="163"/>
      <c r="LED88" s="163"/>
      <c r="LEE88" s="163"/>
      <c r="LEF88" s="163"/>
      <c r="LEG88" s="163"/>
      <c r="LEH88" s="163"/>
      <c r="LEI88" s="163"/>
      <c r="LEJ88" s="163"/>
      <c r="LEK88" s="163"/>
      <c r="LEL88" s="163"/>
      <c r="LEM88" s="163"/>
      <c r="LEN88" s="163"/>
      <c r="LEO88" s="163"/>
      <c r="LEP88" s="163"/>
      <c r="LEQ88" s="163"/>
      <c r="LER88" s="163"/>
      <c r="LES88" s="163"/>
      <c r="LET88" s="163"/>
      <c r="LEU88" s="163"/>
      <c r="LEV88" s="163"/>
      <c r="LEW88" s="163"/>
      <c r="LEX88" s="163"/>
      <c r="LEY88" s="163"/>
      <c r="LEZ88" s="163"/>
      <c r="LFA88" s="163"/>
      <c r="LFB88" s="163"/>
      <c r="LFC88" s="163"/>
      <c r="LFD88" s="163"/>
      <c r="LFE88" s="163"/>
      <c r="LFF88" s="163"/>
      <c r="LFG88" s="163"/>
      <c r="LFH88" s="163"/>
      <c r="LFI88" s="163"/>
      <c r="LFJ88" s="163"/>
      <c r="LFK88" s="163"/>
      <c r="LFL88" s="163"/>
      <c r="LFM88" s="163"/>
      <c r="LFN88" s="163"/>
      <c r="LFO88" s="163"/>
      <c r="LFP88" s="163"/>
      <c r="LFQ88" s="163"/>
      <c r="LFR88" s="163"/>
      <c r="LFS88" s="163"/>
      <c r="LFT88" s="163"/>
      <c r="LFU88" s="163"/>
      <c r="LFV88" s="163"/>
      <c r="LFW88" s="163"/>
      <c r="LFX88" s="163"/>
      <c r="LFY88" s="163"/>
      <c r="LFZ88" s="163"/>
      <c r="LGA88" s="163"/>
      <c r="LGB88" s="163"/>
      <c r="LGC88" s="163"/>
      <c r="LGD88" s="163"/>
      <c r="LGE88" s="163"/>
      <c r="LGF88" s="163"/>
      <c r="LGG88" s="163"/>
      <c r="LGH88" s="163"/>
      <c r="LGI88" s="163"/>
      <c r="LGJ88" s="163"/>
      <c r="LGK88" s="163"/>
      <c r="LGL88" s="163"/>
      <c r="LGM88" s="163"/>
      <c r="LGN88" s="163"/>
      <c r="LGO88" s="163"/>
      <c r="LGP88" s="163"/>
      <c r="LGQ88" s="163"/>
      <c r="LGR88" s="163"/>
      <c r="LGS88" s="163"/>
      <c r="LGT88" s="163"/>
      <c r="LGU88" s="163"/>
      <c r="LGV88" s="163"/>
      <c r="LGW88" s="163"/>
      <c r="LGX88" s="163"/>
      <c r="LGY88" s="163"/>
      <c r="LGZ88" s="163"/>
      <c r="LHA88" s="163"/>
      <c r="LHB88" s="163"/>
      <c r="LHC88" s="163"/>
      <c r="LHD88" s="163"/>
      <c r="LHE88" s="163"/>
      <c r="LHF88" s="163"/>
      <c r="LHG88" s="163"/>
      <c r="LHH88" s="163"/>
      <c r="LHI88" s="163"/>
      <c r="LHJ88" s="163"/>
      <c r="LHK88" s="163"/>
      <c r="LHL88" s="163"/>
      <c r="LHM88" s="163"/>
      <c r="LHN88" s="163"/>
      <c r="LHO88" s="163"/>
      <c r="LHP88" s="163"/>
      <c r="LHQ88" s="163"/>
      <c r="LHR88" s="163"/>
      <c r="LHS88" s="163"/>
      <c r="LHT88" s="163"/>
      <c r="LHU88" s="163"/>
      <c r="LHV88" s="163"/>
      <c r="LHW88" s="163"/>
      <c r="LHX88" s="163"/>
      <c r="LHY88" s="163"/>
      <c r="LHZ88" s="163"/>
      <c r="LIA88" s="163"/>
      <c r="LIB88" s="163"/>
      <c r="LIC88" s="163"/>
      <c r="LID88" s="163"/>
      <c r="LIE88" s="163"/>
      <c r="LIF88" s="163"/>
      <c r="LIG88" s="163"/>
      <c r="LIH88" s="163"/>
      <c r="LII88" s="163"/>
      <c r="LIJ88" s="163"/>
      <c r="LIK88" s="163"/>
      <c r="LIL88" s="163"/>
      <c r="LIM88" s="163"/>
      <c r="LIN88" s="163"/>
      <c r="LIO88" s="163"/>
      <c r="LIP88" s="163"/>
      <c r="LIQ88" s="163"/>
      <c r="LIR88" s="163"/>
      <c r="LIS88" s="163"/>
      <c r="LIT88" s="163"/>
      <c r="LIU88" s="163"/>
      <c r="LIV88" s="163"/>
      <c r="LIW88" s="163"/>
      <c r="LIX88" s="163"/>
      <c r="LIY88" s="163"/>
      <c r="LIZ88" s="163"/>
      <c r="LJA88" s="163"/>
      <c r="LJB88" s="163"/>
      <c r="LJC88" s="163"/>
      <c r="LJD88" s="163"/>
      <c r="LJE88" s="163"/>
      <c r="LJF88" s="163"/>
      <c r="LJG88" s="163"/>
      <c r="LJH88" s="163"/>
      <c r="LJI88" s="163"/>
      <c r="LJJ88" s="163"/>
      <c r="LJK88" s="163"/>
      <c r="LJL88" s="163"/>
      <c r="LJM88" s="163"/>
      <c r="LJN88" s="163"/>
      <c r="LJO88" s="163"/>
      <c r="LJP88" s="163"/>
      <c r="LJQ88" s="163"/>
      <c r="LJR88" s="163"/>
      <c r="LJS88" s="163"/>
      <c r="LJT88" s="163"/>
      <c r="LJU88" s="163"/>
      <c r="LJV88" s="163"/>
      <c r="LJW88" s="163"/>
      <c r="LJX88" s="163"/>
      <c r="LJY88" s="163"/>
      <c r="LJZ88" s="163"/>
      <c r="LKA88" s="163"/>
      <c r="LKB88" s="163"/>
      <c r="LKC88" s="163"/>
      <c r="LKD88" s="163"/>
      <c r="LKE88" s="163"/>
      <c r="LKF88" s="163"/>
      <c r="LKG88" s="163"/>
      <c r="LKH88" s="163"/>
      <c r="LKI88" s="163"/>
      <c r="LKJ88" s="163"/>
      <c r="LKK88" s="163"/>
      <c r="LKL88" s="163"/>
      <c r="LKM88" s="163"/>
      <c r="LKN88" s="163"/>
      <c r="LKO88" s="163"/>
      <c r="LKP88" s="163"/>
      <c r="LKQ88" s="163"/>
      <c r="LKR88" s="163"/>
      <c r="LKS88" s="163"/>
      <c r="LKT88" s="163"/>
      <c r="LKU88" s="163"/>
      <c r="LKV88" s="163"/>
      <c r="LKW88" s="163"/>
      <c r="LKX88" s="163"/>
      <c r="LKY88" s="163"/>
      <c r="LKZ88" s="163"/>
      <c r="LLA88" s="163"/>
      <c r="LLB88" s="163"/>
      <c r="LLC88" s="163"/>
      <c r="LLD88" s="163"/>
      <c r="LLE88" s="163"/>
      <c r="LLF88" s="163"/>
      <c r="LLG88" s="163"/>
      <c r="LLH88" s="163"/>
      <c r="LLI88" s="163"/>
      <c r="LLJ88" s="163"/>
      <c r="LLK88" s="163"/>
      <c r="LLL88" s="163"/>
      <c r="LLM88" s="163"/>
      <c r="LLN88" s="163"/>
      <c r="LLO88" s="163"/>
      <c r="LLP88" s="163"/>
      <c r="LLQ88" s="163"/>
      <c r="LLR88" s="163"/>
      <c r="LLS88" s="163"/>
      <c r="LLT88" s="163"/>
      <c r="LLU88" s="163"/>
      <c r="LLV88" s="163"/>
      <c r="LLW88" s="163"/>
      <c r="LLX88" s="163"/>
      <c r="LLY88" s="163"/>
      <c r="LLZ88" s="163"/>
      <c r="LMA88" s="163"/>
      <c r="LMB88" s="163"/>
      <c r="LMC88" s="163"/>
      <c r="LMD88" s="163"/>
      <c r="LME88" s="163"/>
      <c r="LMF88" s="163"/>
      <c r="LMG88" s="163"/>
      <c r="LMH88" s="163"/>
      <c r="LMI88" s="163"/>
      <c r="LMJ88" s="163"/>
      <c r="LMK88" s="163"/>
      <c r="LML88" s="163"/>
      <c r="LMM88" s="163"/>
      <c r="LMN88" s="163"/>
      <c r="LMO88" s="163"/>
      <c r="LMP88" s="163"/>
      <c r="LMQ88" s="163"/>
      <c r="LMR88" s="163"/>
      <c r="LMS88" s="163"/>
      <c r="LMT88" s="163"/>
      <c r="LMU88" s="163"/>
      <c r="LMV88" s="163"/>
      <c r="LMW88" s="163"/>
      <c r="LMX88" s="163"/>
      <c r="LMY88" s="163"/>
      <c r="LMZ88" s="163"/>
      <c r="LNA88" s="163"/>
      <c r="LNB88" s="163"/>
      <c r="LNC88" s="163"/>
      <c r="LND88" s="163"/>
      <c r="LNE88" s="163"/>
      <c r="LNF88" s="163"/>
      <c r="LNG88" s="163"/>
      <c r="LNH88" s="163"/>
      <c r="LNI88" s="163"/>
      <c r="LNJ88" s="163"/>
      <c r="LNK88" s="163"/>
      <c r="LNL88" s="163"/>
      <c r="LNM88" s="163"/>
      <c r="LNN88" s="163"/>
      <c r="LNO88" s="163"/>
      <c r="LNP88" s="163"/>
      <c r="LNQ88" s="163"/>
      <c r="LNR88" s="163"/>
      <c r="LNS88" s="163"/>
      <c r="LNT88" s="163"/>
      <c r="LNU88" s="163"/>
      <c r="LNV88" s="163"/>
      <c r="LNW88" s="163"/>
      <c r="LNX88" s="163"/>
      <c r="LNY88" s="163"/>
      <c r="LNZ88" s="163"/>
      <c r="LOA88" s="163"/>
      <c r="LOB88" s="163"/>
      <c r="LOC88" s="163"/>
      <c r="LOD88" s="163"/>
      <c r="LOE88" s="163"/>
      <c r="LOF88" s="163"/>
      <c r="LOG88" s="163"/>
      <c r="LOH88" s="163"/>
      <c r="LOI88" s="163"/>
      <c r="LOJ88" s="163"/>
      <c r="LOK88" s="163"/>
      <c r="LOL88" s="163"/>
      <c r="LOM88" s="163"/>
      <c r="LON88" s="163"/>
      <c r="LOO88" s="163"/>
      <c r="LOP88" s="163"/>
      <c r="LOQ88" s="163"/>
      <c r="LOR88" s="163"/>
      <c r="LOS88" s="163"/>
      <c r="LOT88" s="163"/>
      <c r="LOU88" s="163"/>
      <c r="LOV88" s="163"/>
      <c r="LOW88" s="163"/>
      <c r="LOX88" s="163"/>
      <c r="LOY88" s="163"/>
      <c r="LOZ88" s="163"/>
      <c r="LPA88" s="163"/>
      <c r="LPB88" s="163"/>
      <c r="LPC88" s="163"/>
      <c r="LPD88" s="163"/>
      <c r="LPE88" s="163"/>
      <c r="LPF88" s="163"/>
      <c r="LPG88" s="163"/>
      <c r="LPH88" s="163"/>
      <c r="LPI88" s="163"/>
      <c r="LPJ88" s="163"/>
      <c r="LPK88" s="163"/>
      <c r="LPL88" s="163"/>
      <c r="LPM88" s="163"/>
      <c r="LPN88" s="163"/>
      <c r="LPO88" s="163"/>
      <c r="LPP88" s="163"/>
      <c r="LPQ88" s="163"/>
      <c r="LPR88" s="163"/>
      <c r="LPS88" s="163"/>
      <c r="LPT88" s="163"/>
      <c r="LPU88" s="163"/>
      <c r="LPV88" s="163"/>
      <c r="LPW88" s="163"/>
      <c r="LPX88" s="163"/>
      <c r="LPY88" s="163"/>
      <c r="LPZ88" s="163"/>
      <c r="LQA88" s="163"/>
      <c r="LQB88" s="163"/>
      <c r="LQC88" s="163"/>
      <c r="LQD88" s="163"/>
      <c r="LQE88" s="163"/>
      <c r="LQF88" s="163"/>
      <c r="LQG88" s="163"/>
      <c r="LQH88" s="163"/>
      <c r="LQI88" s="163"/>
      <c r="LQJ88" s="163"/>
      <c r="LQK88" s="163"/>
      <c r="LQL88" s="163"/>
      <c r="LQM88" s="163"/>
      <c r="LQN88" s="163"/>
      <c r="LQO88" s="163"/>
      <c r="LQP88" s="163"/>
      <c r="LQQ88" s="163"/>
      <c r="LQR88" s="163"/>
      <c r="LQS88" s="163"/>
      <c r="LQT88" s="163"/>
      <c r="LQU88" s="163"/>
      <c r="LQV88" s="163"/>
      <c r="LQW88" s="163"/>
      <c r="LQX88" s="163"/>
      <c r="LQY88" s="163"/>
      <c r="LQZ88" s="163"/>
      <c r="LRA88" s="163"/>
      <c r="LRB88" s="163"/>
      <c r="LRC88" s="163"/>
      <c r="LRD88" s="163"/>
      <c r="LRE88" s="163"/>
      <c r="LRF88" s="163"/>
      <c r="LRG88" s="163"/>
      <c r="LRH88" s="163"/>
      <c r="LRI88" s="163"/>
      <c r="LRJ88" s="163"/>
      <c r="LRK88" s="163"/>
      <c r="LRL88" s="163"/>
      <c r="LRM88" s="163"/>
      <c r="LRN88" s="163"/>
      <c r="LRO88" s="163"/>
      <c r="LRP88" s="163"/>
      <c r="LRQ88" s="163"/>
      <c r="LRR88" s="163"/>
      <c r="LRS88" s="163"/>
      <c r="LRT88" s="163"/>
      <c r="LRU88" s="163"/>
      <c r="LRV88" s="163"/>
      <c r="LRW88" s="163"/>
      <c r="LRX88" s="163"/>
      <c r="LRY88" s="163"/>
      <c r="LRZ88" s="163"/>
      <c r="LSA88" s="163"/>
      <c r="LSB88" s="163"/>
      <c r="LSC88" s="163"/>
      <c r="LSD88" s="163"/>
      <c r="LSE88" s="163"/>
      <c r="LSF88" s="163"/>
      <c r="LSG88" s="163"/>
      <c r="LSH88" s="163"/>
      <c r="LSI88" s="163"/>
      <c r="LSJ88" s="163"/>
      <c r="LSK88" s="163"/>
      <c r="LSL88" s="163"/>
      <c r="LSM88" s="163"/>
      <c r="LSN88" s="163"/>
      <c r="LSO88" s="163"/>
      <c r="LSP88" s="163"/>
      <c r="LSQ88" s="163"/>
      <c r="LSR88" s="163"/>
      <c r="LSS88" s="163"/>
      <c r="LST88" s="163"/>
      <c r="LSU88" s="163"/>
      <c r="LSV88" s="163"/>
      <c r="LSW88" s="163"/>
      <c r="LSX88" s="163"/>
      <c r="LSY88" s="163"/>
      <c r="LSZ88" s="163"/>
      <c r="LTA88" s="163"/>
      <c r="LTB88" s="163"/>
      <c r="LTC88" s="163"/>
      <c r="LTD88" s="163"/>
      <c r="LTE88" s="163"/>
      <c r="LTF88" s="163"/>
      <c r="LTG88" s="163"/>
      <c r="LTH88" s="163"/>
      <c r="LTI88" s="163"/>
      <c r="LTJ88" s="163"/>
      <c r="LTK88" s="163"/>
      <c r="LTL88" s="163"/>
      <c r="LTM88" s="163"/>
      <c r="LTN88" s="163"/>
      <c r="LTO88" s="163"/>
      <c r="LTP88" s="163"/>
      <c r="LTQ88" s="163"/>
      <c r="LTR88" s="163"/>
      <c r="LTS88" s="163"/>
      <c r="LTT88" s="163"/>
      <c r="LTU88" s="163"/>
      <c r="LTV88" s="163"/>
      <c r="LTW88" s="163"/>
      <c r="LTX88" s="163"/>
      <c r="LTY88" s="163"/>
      <c r="LTZ88" s="163"/>
      <c r="LUA88" s="163"/>
      <c r="LUB88" s="163"/>
      <c r="LUC88" s="163"/>
      <c r="LUD88" s="163"/>
      <c r="LUE88" s="163"/>
      <c r="LUF88" s="163"/>
      <c r="LUG88" s="163"/>
      <c r="LUH88" s="163"/>
      <c r="LUI88" s="163"/>
      <c r="LUJ88" s="163"/>
      <c r="LUK88" s="163"/>
      <c r="LUL88" s="163"/>
      <c r="LUM88" s="163"/>
      <c r="LUN88" s="163"/>
      <c r="LUO88" s="163"/>
      <c r="LUP88" s="163"/>
      <c r="LUQ88" s="163"/>
      <c r="LUR88" s="163"/>
      <c r="LUS88" s="163"/>
      <c r="LUT88" s="163"/>
      <c r="LUU88" s="163"/>
      <c r="LUV88" s="163"/>
      <c r="LUW88" s="163"/>
      <c r="LUX88" s="163"/>
      <c r="LUY88" s="163"/>
      <c r="LUZ88" s="163"/>
      <c r="LVA88" s="163"/>
      <c r="LVB88" s="163"/>
      <c r="LVC88" s="163"/>
      <c r="LVD88" s="163"/>
      <c r="LVE88" s="163"/>
      <c r="LVF88" s="163"/>
      <c r="LVG88" s="163"/>
      <c r="LVH88" s="163"/>
      <c r="LVI88" s="163"/>
      <c r="LVJ88" s="163"/>
      <c r="LVK88" s="163"/>
      <c r="LVL88" s="163"/>
      <c r="LVM88" s="163"/>
      <c r="LVN88" s="163"/>
      <c r="LVO88" s="163"/>
      <c r="LVP88" s="163"/>
      <c r="LVQ88" s="163"/>
      <c r="LVR88" s="163"/>
      <c r="LVS88" s="163"/>
      <c r="LVT88" s="163"/>
      <c r="LVU88" s="163"/>
      <c r="LVV88" s="163"/>
      <c r="LVW88" s="163"/>
      <c r="LVX88" s="163"/>
      <c r="LVY88" s="163"/>
      <c r="LVZ88" s="163"/>
      <c r="LWA88" s="163"/>
      <c r="LWB88" s="163"/>
      <c r="LWC88" s="163"/>
      <c r="LWD88" s="163"/>
      <c r="LWE88" s="163"/>
      <c r="LWF88" s="163"/>
      <c r="LWG88" s="163"/>
      <c r="LWH88" s="163"/>
      <c r="LWI88" s="163"/>
      <c r="LWJ88" s="163"/>
      <c r="LWK88" s="163"/>
      <c r="LWL88" s="163"/>
      <c r="LWM88" s="163"/>
      <c r="LWN88" s="163"/>
      <c r="LWO88" s="163"/>
      <c r="LWP88" s="163"/>
      <c r="LWQ88" s="163"/>
      <c r="LWR88" s="163"/>
      <c r="LWS88" s="163"/>
      <c r="LWT88" s="163"/>
      <c r="LWU88" s="163"/>
      <c r="LWV88" s="163"/>
      <c r="LWW88" s="163"/>
      <c r="LWX88" s="163"/>
      <c r="LWY88" s="163"/>
      <c r="LWZ88" s="163"/>
      <c r="LXA88" s="163"/>
      <c r="LXB88" s="163"/>
      <c r="LXC88" s="163"/>
      <c r="LXD88" s="163"/>
      <c r="LXE88" s="163"/>
      <c r="LXF88" s="163"/>
      <c r="LXG88" s="163"/>
      <c r="LXH88" s="163"/>
      <c r="LXI88" s="163"/>
      <c r="LXJ88" s="163"/>
      <c r="LXK88" s="163"/>
      <c r="LXL88" s="163"/>
      <c r="LXM88" s="163"/>
      <c r="LXN88" s="163"/>
      <c r="LXO88" s="163"/>
      <c r="LXP88" s="163"/>
      <c r="LXQ88" s="163"/>
      <c r="LXR88" s="163"/>
      <c r="LXS88" s="163"/>
      <c r="LXT88" s="163"/>
      <c r="LXU88" s="163"/>
      <c r="LXV88" s="163"/>
      <c r="LXW88" s="163"/>
      <c r="LXX88" s="163"/>
      <c r="LXY88" s="163"/>
      <c r="LXZ88" s="163"/>
      <c r="LYA88" s="163"/>
      <c r="LYB88" s="163"/>
      <c r="LYC88" s="163"/>
      <c r="LYD88" s="163"/>
      <c r="LYE88" s="163"/>
      <c r="LYF88" s="163"/>
      <c r="LYG88" s="163"/>
      <c r="LYH88" s="163"/>
      <c r="LYI88" s="163"/>
      <c r="LYJ88" s="163"/>
      <c r="LYK88" s="163"/>
      <c r="LYL88" s="163"/>
      <c r="LYM88" s="163"/>
      <c r="LYN88" s="163"/>
      <c r="LYO88" s="163"/>
      <c r="LYP88" s="163"/>
      <c r="LYQ88" s="163"/>
      <c r="LYR88" s="163"/>
      <c r="LYS88" s="163"/>
      <c r="LYT88" s="163"/>
      <c r="LYU88" s="163"/>
      <c r="LYV88" s="163"/>
      <c r="LYW88" s="163"/>
      <c r="LYX88" s="163"/>
      <c r="LYY88" s="163"/>
      <c r="LYZ88" s="163"/>
      <c r="LZA88" s="163"/>
      <c r="LZB88" s="163"/>
      <c r="LZC88" s="163"/>
      <c r="LZD88" s="163"/>
      <c r="LZE88" s="163"/>
      <c r="LZF88" s="163"/>
      <c r="LZG88" s="163"/>
      <c r="LZH88" s="163"/>
      <c r="LZI88" s="163"/>
      <c r="LZJ88" s="163"/>
      <c r="LZK88" s="163"/>
      <c r="LZL88" s="163"/>
      <c r="LZM88" s="163"/>
      <c r="LZN88" s="163"/>
      <c r="LZO88" s="163"/>
      <c r="LZP88" s="163"/>
      <c r="LZQ88" s="163"/>
      <c r="LZR88" s="163"/>
      <c r="LZS88" s="163"/>
      <c r="LZT88" s="163"/>
      <c r="LZU88" s="163"/>
      <c r="LZV88" s="163"/>
      <c r="LZW88" s="163"/>
      <c r="LZX88" s="163"/>
      <c r="LZY88" s="163"/>
      <c r="LZZ88" s="163"/>
      <c r="MAA88" s="163"/>
      <c r="MAB88" s="163"/>
      <c r="MAC88" s="163"/>
      <c r="MAD88" s="163"/>
      <c r="MAE88" s="163"/>
      <c r="MAF88" s="163"/>
      <c r="MAG88" s="163"/>
      <c r="MAH88" s="163"/>
      <c r="MAI88" s="163"/>
      <c r="MAJ88" s="163"/>
      <c r="MAK88" s="163"/>
      <c r="MAL88" s="163"/>
      <c r="MAM88" s="163"/>
      <c r="MAN88" s="163"/>
      <c r="MAO88" s="163"/>
      <c r="MAP88" s="163"/>
      <c r="MAQ88" s="163"/>
      <c r="MAR88" s="163"/>
      <c r="MAS88" s="163"/>
      <c r="MAT88" s="163"/>
      <c r="MAU88" s="163"/>
      <c r="MAV88" s="163"/>
      <c r="MAW88" s="163"/>
      <c r="MAX88" s="163"/>
      <c r="MAY88" s="163"/>
      <c r="MAZ88" s="163"/>
      <c r="MBA88" s="163"/>
      <c r="MBB88" s="163"/>
      <c r="MBC88" s="163"/>
      <c r="MBD88" s="163"/>
      <c r="MBE88" s="163"/>
      <c r="MBF88" s="163"/>
      <c r="MBG88" s="163"/>
      <c r="MBH88" s="163"/>
      <c r="MBI88" s="163"/>
      <c r="MBJ88" s="163"/>
      <c r="MBK88" s="163"/>
      <c r="MBL88" s="163"/>
      <c r="MBM88" s="163"/>
      <c r="MBN88" s="163"/>
      <c r="MBO88" s="163"/>
      <c r="MBP88" s="163"/>
      <c r="MBQ88" s="163"/>
      <c r="MBR88" s="163"/>
      <c r="MBS88" s="163"/>
      <c r="MBT88" s="163"/>
      <c r="MBU88" s="163"/>
      <c r="MBV88" s="163"/>
      <c r="MBW88" s="163"/>
      <c r="MBX88" s="163"/>
      <c r="MBY88" s="163"/>
      <c r="MBZ88" s="163"/>
      <c r="MCA88" s="163"/>
      <c r="MCB88" s="163"/>
      <c r="MCC88" s="163"/>
      <c r="MCD88" s="163"/>
      <c r="MCE88" s="163"/>
      <c r="MCF88" s="163"/>
      <c r="MCG88" s="163"/>
      <c r="MCH88" s="163"/>
      <c r="MCI88" s="163"/>
      <c r="MCJ88" s="163"/>
      <c r="MCK88" s="163"/>
      <c r="MCL88" s="163"/>
      <c r="MCM88" s="163"/>
      <c r="MCN88" s="163"/>
      <c r="MCO88" s="163"/>
      <c r="MCP88" s="163"/>
      <c r="MCQ88" s="163"/>
      <c r="MCR88" s="163"/>
      <c r="MCS88" s="163"/>
      <c r="MCT88" s="163"/>
      <c r="MCU88" s="163"/>
      <c r="MCV88" s="163"/>
      <c r="MCW88" s="163"/>
      <c r="MCX88" s="163"/>
      <c r="MCY88" s="163"/>
      <c r="MCZ88" s="163"/>
      <c r="MDA88" s="163"/>
      <c r="MDB88" s="163"/>
      <c r="MDC88" s="163"/>
      <c r="MDD88" s="163"/>
      <c r="MDE88" s="163"/>
      <c r="MDF88" s="163"/>
      <c r="MDG88" s="163"/>
      <c r="MDH88" s="163"/>
      <c r="MDI88" s="163"/>
      <c r="MDJ88" s="163"/>
      <c r="MDK88" s="163"/>
      <c r="MDL88" s="163"/>
      <c r="MDM88" s="163"/>
      <c r="MDN88" s="163"/>
      <c r="MDO88" s="163"/>
      <c r="MDP88" s="163"/>
      <c r="MDQ88" s="163"/>
      <c r="MDR88" s="163"/>
      <c r="MDS88" s="163"/>
      <c r="MDT88" s="163"/>
      <c r="MDU88" s="163"/>
      <c r="MDV88" s="163"/>
      <c r="MDW88" s="163"/>
      <c r="MDX88" s="163"/>
      <c r="MDY88" s="163"/>
      <c r="MDZ88" s="163"/>
      <c r="MEA88" s="163"/>
      <c r="MEB88" s="163"/>
      <c r="MEC88" s="163"/>
      <c r="MED88" s="163"/>
      <c r="MEE88" s="163"/>
      <c r="MEF88" s="163"/>
      <c r="MEG88" s="163"/>
      <c r="MEH88" s="163"/>
      <c r="MEI88" s="163"/>
      <c r="MEJ88" s="163"/>
      <c r="MEK88" s="163"/>
      <c r="MEL88" s="163"/>
      <c r="MEM88" s="163"/>
      <c r="MEN88" s="163"/>
      <c r="MEO88" s="163"/>
      <c r="MEP88" s="163"/>
      <c r="MEQ88" s="163"/>
      <c r="MER88" s="163"/>
      <c r="MES88" s="163"/>
      <c r="MET88" s="163"/>
      <c r="MEU88" s="163"/>
      <c r="MEV88" s="163"/>
      <c r="MEW88" s="163"/>
      <c r="MEX88" s="163"/>
      <c r="MEY88" s="163"/>
      <c r="MEZ88" s="163"/>
      <c r="MFA88" s="163"/>
      <c r="MFB88" s="163"/>
      <c r="MFC88" s="163"/>
      <c r="MFD88" s="163"/>
      <c r="MFE88" s="163"/>
      <c r="MFF88" s="163"/>
      <c r="MFG88" s="163"/>
      <c r="MFH88" s="163"/>
      <c r="MFI88" s="163"/>
      <c r="MFJ88" s="163"/>
      <c r="MFK88" s="163"/>
      <c r="MFL88" s="163"/>
      <c r="MFM88" s="163"/>
      <c r="MFN88" s="163"/>
      <c r="MFO88" s="163"/>
      <c r="MFP88" s="163"/>
      <c r="MFQ88" s="163"/>
      <c r="MFR88" s="163"/>
      <c r="MFS88" s="163"/>
      <c r="MFT88" s="163"/>
      <c r="MFU88" s="163"/>
      <c r="MFV88" s="163"/>
      <c r="MFW88" s="163"/>
      <c r="MFX88" s="163"/>
      <c r="MFY88" s="163"/>
      <c r="MFZ88" s="163"/>
      <c r="MGA88" s="163"/>
      <c r="MGB88" s="163"/>
      <c r="MGC88" s="163"/>
      <c r="MGD88" s="163"/>
      <c r="MGE88" s="163"/>
      <c r="MGF88" s="163"/>
      <c r="MGG88" s="163"/>
      <c r="MGH88" s="163"/>
      <c r="MGI88" s="163"/>
      <c r="MGJ88" s="163"/>
      <c r="MGK88" s="163"/>
      <c r="MGL88" s="163"/>
      <c r="MGM88" s="163"/>
      <c r="MGN88" s="163"/>
      <c r="MGO88" s="163"/>
      <c r="MGP88" s="163"/>
      <c r="MGQ88" s="163"/>
      <c r="MGR88" s="163"/>
      <c r="MGS88" s="163"/>
      <c r="MGT88" s="163"/>
      <c r="MGU88" s="163"/>
      <c r="MGV88" s="163"/>
      <c r="MGW88" s="163"/>
      <c r="MGX88" s="163"/>
      <c r="MGY88" s="163"/>
      <c r="MGZ88" s="163"/>
      <c r="MHA88" s="163"/>
      <c r="MHB88" s="163"/>
      <c r="MHC88" s="163"/>
      <c r="MHD88" s="163"/>
      <c r="MHE88" s="163"/>
      <c r="MHF88" s="163"/>
      <c r="MHG88" s="163"/>
      <c r="MHH88" s="163"/>
      <c r="MHI88" s="163"/>
      <c r="MHJ88" s="163"/>
      <c r="MHK88" s="163"/>
      <c r="MHL88" s="163"/>
      <c r="MHM88" s="163"/>
      <c r="MHN88" s="163"/>
      <c r="MHO88" s="163"/>
      <c r="MHP88" s="163"/>
      <c r="MHQ88" s="163"/>
      <c r="MHR88" s="163"/>
      <c r="MHS88" s="163"/>
      <c r="MHT88" s="163"/>
      <c r="MHU88" s="163"/>
      <c r="MHV88" s="163"/>
      <c r="MHW88" s="163"/>
      <c r="MHX88" s="163"/>
      <c r="MHY88" s="163"/>
      <c r="MHZ88" s="163"/>
      <c r="MIA88" s="163"/>
      <c r="MIB88" s="163"/>
      <c r="MIC88" s="163"/>
      <c r="MID88" s="163"/>
      <c r="MIE88" s="163"/>
      <c r="MIF88" s="163"/>
      <c r="MIG88" s="163"/>
      <c r="MIH88" s="163"/>
      <c r="MII88" s="163"/>
      <c r="MIJ88" s="163"/>
      <c r="MIK88" s="163"/>
      <c r="MIL88" s="163"/>
      <c r="MIM88" s="163"/>
      <c r="MIN88" s="163"/>
      <c r="MIO88" s="163"/>
      <c r="MIP88" s="163"/>
      <c r="MIQ88" s="163"/>
      <c r="MIR88" s="163"/>
      <c r="MIS88" s="163"/>
      <c r="MIT88" s="163"/>
      <c r="MIU88" s="163"/>
      <c r="MIV88" s="163"/>
      <c r="MIW88" s="163"/>
      <c r="MIX88" s="163"/>
      <c r="MIY88" s="163"/>
      <c r="MIZ88" s="163"/>
      <c r="MJA88" s="163"/>
      <c r="MJB88" s="163"/>
      <c r="MJC88" s="163"/>
      <c r="MJD88" s="163"/>
      <c r="MJE88" s="163"/>
      <c r="MJF88" s="163"/>
      <c r="MJG88" s="163"/>
      <c r="MJH88" s="163"/>
      <c r="MJI88" s="163"/>
      <c r="MJJ88" s="163"/>
      <c r="MJK88" s="163"/>
      <c r="MJL88" s="163"/>
      <c r="MJM88" s="163"/>
      <c r="MJN88" s="163"/>
      <c r="MJO88" s="163"/>
      <c r="MJP88" s="163"/>
      <c r="MJQ88" s="163"/>
      <c r="MJR88" s="163"/>
      <c r="MJS88" s="163"/>
      <c r="MJT88" s="163"/>
      <c r="MJU88" s="163"/>
      <c r="MJV88" s="163"/>
      <c r="MJW88" s="163"/>
      <c r="MJX88" s="163"/>
      <c r="MJY88" s="163"/>
      <c r="MJZ88" s="163"/>
      <c r="MKA88" s="163"/>
      <c r="MKB88" s="163"/>
      <c r="MKC88" s="163"/>
      <c r="MKD88" s="163"/>
      <c r="MKE88" s="163"/>
      <c r="MKF88" s="163"/>
      <c r="MKG88" s="163"/>
      <c r="MKH88" s="163"/>
      <c r="MKI88" s="163"/>
      <c r="MKJ88" s="163"/>
      <c r="MKK88" s="163"/>
      <c r="MKL88" s="163"/>
      <c r="MKM88" s="163"/>
      <c r="MKN88" s="163"/>
      <c r="MKO88" s="163"/>
      <c r="MKP88" s="163"/>
      <c r="MKQ88" s="163"/>
      <c r="MKR88" s="163"/>
      <c r="MKS88" s="163"/>
      <c r="MKT88" s="163"/>
      <c r="MKU88" s="163"/>
      <c r="MKV88" s="163"/>
      <c r="MKW88" s="163"/>
      <c r="MKX88" s="163"/>
      <c r="MKY88" s="163"/>
      <c r="MKZ88" s="163"/>
      <c r="MLA88" s="163"/>
      <c r="MLB88" s="163"/>
      <c r="MLC88" s="163"/>
      <c r="MLD88" s="163"/>
      <c r="MLE88" s="163"/>
      <c r="MLF88" s="163"/>
      <c r="MLG88" s="163"/>
      <c r="MLH88" s="163"/>
      <c r="MLI88" s="163"/>
      <c r="MLJ88" s="163"/>
      <c r="MLK88" s="163"/>
      <c r="MLL88" s="163"/>
      <c r="MLM88" s="163"/>
      <c r="MLN88" s="163"/>
      <c r="MLO88" s="163"/>
      <c r="MLP88" s="163"/>
      <c r="MLQ88" s="163"/>
      <c r="MLR88" s="163"/>
      <c r="MLS88" s="163"/>
      <c r="MLT88" s="163"/>
      <c r="MLU88" s="163"/>
      <c r="MLV88" s="163"/>
      <c r="MLW88" s="163"/>
      <c r="MLX88" s="163"/>
      <c r="MLY88" s="163"/>
      <c r="MLZ88" s="163"/>
      <c r="MMA88" s="163"/>
      <c r="MMB88" s="163"/>
      <c r="MMC88" s="163"/>
      <c r="MMD88" s="163"/>
      <c r="MME88" s="163"/>
      <c r="MMF88" s="163"/>
      <c r="MMG88" s="163"/>
      <c r="MMH88" s="163"/>
      <c r="MMI88" s="163"/>
      <c r="MMJ88" s="163"/>
      <c r="MMK88" s="163"/>
      <c r="MML88" s="163"/>
      <c r="MMM88" s="163"/>
      <c r="MMN88" s="163"/>
      <c r="MMO88" s="163"/>
      <c r="MMP88" s="163"/>
      <c r="MMQ88" s="163"/>
      <c r="MMR88" s="163"/>
      <c r="MMS88" s="163"/>
      <c r="MMT88" s="163"/>
      <c r="MMU88" s="163"/>
      <c r="MMV88" s="163"/>
      <c r="MMW88" s="163"/>
      <c r="MMX88" s="163"/>
      <c r="MMY88" s="163"/>
      <c r="MMZ88" s="163"/>
      <c r="MNA88" s="163"/>
      <c r="MNB88" s="163"/>
      <c r="MNC88" s="163"/>
      <c r="MND88" s="163"/>
      <c r="MNE88" s="163"/>
      <c r="MNF88" s="163"/>
      <c r="MNG88" s="163"/>
      <c r="MNH88" s="163"/>
      <c r="MNI88" s="163"/>
      <c r="MNJ88" s="163"/>
      <c r="MNK88" s="163"/>
      <c r="MNL88" s="163"/>
      <c r="MNM88" s="163"/>
      <c r="MNN88" s="163"/>
      <c r="MNO88" s="163"/>
      <c r="MNP88" s="163"/>
      <c r="MNQ88" s="163"/>
      <c r="MNR88" s="163"/>
      <c r="MNS88" s="163"/>
      <c r="MNT88" s="163"/>
      <c r="MNU88" s="163"/>
      <c r="MNV88" s="163"/>
      <c r="MNW88" s="163"/>
      <c r="MNX88" s="163"/>
      <c r="MNY88" s="163"/>
      <c r="MNZ88" s="163"/>
      <c r="MOA88" s="163"/>
      <c r="MOB88" s="163"/>
      <c r="MOC88" s="163"/>
      <c r="MOD88" s="163"/>
      <c r="MOE88" s="163"/>
      <c r="MOF88" s="163"/>
      <c r="MOG88" s="163"/>
      <c r="MOH88" s="163"/>
      <c r="MOI88" s="163"/>
      <c r="MOJ88" s="163"/>
      <c r="MOK88" s="163"/>
      <c r="MOL88" s="163"/>
      <c r="MOM88" s="163"/>
      <c r="MON88" s="163"/>
      <c r="MOO88" s="163"/>
      <c r="MOP88" s="163"/>
      <c r="MOQ88" s="163"/>
      <c r="MOR88" s="163"/>
      <c r="MOS88" s="163"/>
      <c r="MOT88" s="163"/>
      <c r="MOU88" s="163"/>
      <c r="MOV88" s="163"/>
      <c r="MOW88" s="163"/>
      <c r="MOX88" s="163"/>
      <c r="MOY88" s="163"/>
      <c r="MOZ88" s="163"/>
      <c r="MPA88" s="163"/>
      <c r="MPB88" s="163"/>
      <c r="MPC88" s="163"/>
      <c r="MPD88" s="163"/>
      <c r="MPE88" s="163"/>
      <c r="MPF88" s="163"/>
      <c r="MPG88" s="163"/>
      <c r="MPH88" s="163"/>
      <c r="MPI88" s="163"/>
      <c r="MPJ88" s="163"/>
      <c r="MPK88" s="163"/>
      <c r="MPL88" s="163"/>
      <c r="MPM88" s="163"/>
      <c r="MPN88" s="163"/>
      <c r="MPO88" s="163"/>
      <c r="MPP88" s="163"/>
      <c r="MPQ88" s="163"/>
      <c r="MPR88" s="163"/>
      <c r="MPS88" s="163"/>
      <c r="MPT88" s="163"/>
      <c r="MPU88" s="163"/>
      <c r="MPV88" s="163"/>
      <c r="MPW88" s="163"/>
      <c r="MPX88" s="163"/>
      <c r="MPY88" s="163"/>
      <c r="MPZ88" s="163"/>
      <c r="MQA88" s="163"/>
      <c r="MQB88" s="163"/>
      <c r="MQC88" s="163"/>
      <c r="MQD88" s="163"/>
      <c r="MQE88" s="163"/>
      <c r="MQF88" s="163"/>
      <c r="MQG88" s="163"/>
      <c r="MQH88" s="163"/>
      <c r="MQI88" s="163"/>
      <c r="MQJ88" s="163"/>
      <c r="MQK88" s="163"/>
      <c r="MQL88" s="163"/>
      <c r="MQM88" s="163"/>
      <c r="MQN88" s="163"/>
      <c r="MQO88" s="163"/>
      <c r="MQP88" s="163"/>
      <c r="MQQ88" s="163"/>
      <c r="MQR88" s="163"/>
      <c r="MQS88" s="163"/>
      <c r="MQT88" s="163"/>
      <c r="MQU88" s="163"/>
      <c r="MQV88" s="163"/>
      <c r="MQW88" s="163"/>
      <c r="MQX88" s="163"/>
      <c r="MQY88" s="163"/>
      <c r="MQZ88" s="163"/>
      <c r="MRA88" s="163"/>
      <c r="MRB88" s="163"/>
      <c r="MRC88" s="163"/>
      <c r="MRD88" s="163"/>
      <c r="MRE88" s="163"/>
      <c r="MRF88" s="163"/>
      <c r="MRG88" s="163"/>
      <c r="MRH88" s="163"/>
      <c r="MRI88" s="163"/>
      <c r="MRJ88" s="163"/>
      <c r="MRK88" s="163"/>
      <c r="MRL88" s="163"/>
      <c r="MRM88" s="163"/>
      <c r="MRN88" s="163"/>
      <c r="MRO88" s="163"/>
      <c r="MRP88" s="163"/>
      <c r="MRQ88" s="163"/>
      <c r="MRR88" s="163"/>
      <c r="MRS88" s="163"/>
      <c r="MRT88" s="163"/>
      <c r="MRU88" s="163"/>
      <c r="MRV88" s="163"/>
      <c r="MRW88" s="163"/>
      <c r="MRX88" s="163"/>
      <c r="MRY88" s="163"/>
      <c r="MRZ88" s="163"/>
      <c r="MSA88" s="163"/>
      <c r="MSB88" s="163"/>
      <c r="MSC88" s="163"/>
      <c r="MSD88" s="163"/>
      <c r="MSE88" s="163"/>
      <c r="MSF88" s="163"/>
      <c r="MSG88" s="163"/>
      <c r="MSH88" s="163"/>
      <c r="MSI88" s="163"/>
      <c r="MSJ88" s="163"/>
      <c r="MSK88" s="163"/>
      <c r="MSL88" s="163"/>
      <c r="MSM88" s="163"/>
      <c r="MSN88" s="163"/>
      <c r="MSO88" s="163"/>
      <c r="MSP88" s="163"/>
      <c r="MSQ88" s="163"/>
      <c r="MSR88" s="163"/>
      <c r="MSS88" s="163"/>
      <c r="MST88" s="163"/>
      <c r="MSU88" s="163"/>
      <c r="MSV88" s="163"/>
      <c r="MSW88" s="163"/>
      <c r="MSX88" s="163"/>
      <c r="MSY88" s="163"/>
      <c r="MSZ88" s="163"/>
      <c r="MTA88" s="163"/>
      <c r="MTB88" s="163"/>
      <c r="MTC88" s="163"/>
      <c r="MTD88" s="163"/>
      <c r="MTE88" s="163"/>
      <c r="MTF88" s="163"/>
      <c r="MTG88" s="163"/>
      <c r="MTH88" s="163"/>
      <c r="MTI88" s="163"/>
      <c r="MTJ88" s="163"/>
      <c r="MTK88" s="163"/>
      <c r="MTL88" s="163"/>
      <c r="MTM88" s="163"/>
      <c r="MTN88" s="163"/>
      <c r="MTO88" s="163"/>
      <c r="MTP88" s="163"/>
      <c r="MTQ88" s="163"/>
      <c r="MTR88" s="163"/>
      <c r="MTS88" s="163"/>
      <c r="MTT88" s="163"/>
      <c r="MTU88" s="163"/>
      <c r="MTV88" s="163"/>
      <c r="MTW88" s="163"/>
      <c r="MTX88" s="163"/>
      <c r="MTY88" s="163"/>
      <c r="MTZ88" s="163"/>
      <c r="MUA88" s="163"/>
      <c r="MUB88" s="163"/>
      <c r="MUC88" s="163"/>
      <c r="MUD88" s="163"/>
      <c r="MUE88" s="163"/>
      <c r="MUF88" s="163"/>
      <c r="MUG88" s="163"/>
      <c r="MUH88" s="163"/>
      <c r="MUI88" s="163"/>
      <c r="MUJ88" s="163"/>
      <c r="MUK88" s="163"/>
      <c r="MUL88" s="163"/>
      <c r="MUM88" s="163"/>
      <c r="MUN88" s="163"/>
      <c r="MUO88" s="163"/>
      <c r="MUP88" s="163"/>
      <c r="MUQ88" s="163"/>
      <c r="MUR88" s="163"/>
      <c r="MUS88" s="163"/>
      <c r="MUT88" s="163"/>
      <c r="MUU88" s="163"/>
      <c r="MUV88" s="163"/>
      <c r="MUW88" s="163"/>
      <c r="MUX88" s="163"/>
      <c r="MUY88" s="163"/>
      <c r="MUZ88" s="163"/>
      <c r="MVA88" s="163"/>
      <c r="MVB88" s="163"/>
      <c r="MVC88" s="163"/>
      <c r="MVD88" s="163"/>
      <c r="MVE88" s="163"/>
      <c r="MVF88" s="163"/>
      <c r="MVG88" s="163"/>
      <c r="MVH88" s="163"/>
      <c r="MVI88" s="163"/>
      <c r="MVJ88" s="163"/>
      <c r="MVK88" s="163"/>
      <c r="MVL88" s="163"/>
      <c r="MVM88" s="163"/>
      <c r="MVN88" s="163"/>
      <c r="MVO88" s="163"/>
      <c r="MVP88" s="163"/>
      <c r="MVQ88" s="163"/>
      <c r="MVR88" s="163"/>
      <c r="MVS88" s="163"/>
      <c r="MVT88" s="163"/>
      <c r="MVU88" s="163"/>
      <c r="MVV88" s="163"/>
      <c r="MVW88" s="163"/>
      <c r="MVX88" s="163"/>
      <c r="MVY88" s="163"/>
      <c r="MVZ88" s="163"/>
      <c r="MWA88" s="163"/>
      <c r="MWB88" s="163"/>
      <c r="MWC88" s="163"/>
      <c r="MWD88" s="163"/>
      <c r="MWE88" s="163"/>
      <c r="MWF88" s="163"/>
      <c r="MWG88" s="163"/>
      <c r="MWH88" s="163"/>
      <c r="MWI88" s="163"/>
      <c r="MWJ88" s="163"/>
      <c r="MWK88" s="163"/>
      <c r="MWL88" s="163"/>
      <c r="MWM88" s="163"/>
      <c r="MWN88" s="163"/>
      <c r="MWO88" s="163"/>
      <c r="MWP88" s="163"/>
      <c r="MWQ88" s="163"/>
      <c r="MWR88" s="163"/>
      <c r="MWS88" s="163"/>
      <c r="MWT88" s="163"/>
      <c r="MWU88" s="163"/>
      <c r="MWV88" s="163"/>
      <c r="MWW88" s="163"/>
      <c r="MWX88" s="163"/>
      <c r="MWY88" s="163"/>
      <c r="MWZ88" s="163"/>
      <c r="MXA88" s="163"/>
      <c r="MXB88" s="163"/>
      <c r="MXC88" s="163"/>
      <c r="MXD88" s="163"/>
      <c r="MXE88" s="163"/>
      <c r="MXF88" s="163"/>
      <c r="MXG88" s="163"/>
      <c r="MXH88" s="163"/>
      <c r="MXI88" s="163"/>
      <c r="MXJ88" s="163"/>
      <c r="MXK88" s="163"/>
      <c r="MXL88" s="163"/>
      <c r="MXM88" s="163"/>
      <c r="MXN88" s="163"/>
      <c r="MXO88" s="163"/>
      <c r="MXP88" s="163"/>
      <c r="MXQ88" s="163"/>
      <c r="MXR88" s="163"/>
      <c r="MXS88" s="163"/>
      <c r="MXT88" s="163"/>
      <c r="MXU88" s="163"/>
      <c r="MXV88" s="163"/>
      <c r="MXW88" s="163"/>
      <c r="MXX88" s="163"/>
      <c r="MXY88" s="163"/>
      <c r="MXZ88" s="163"/>
      <c r="MYA88" s="163"/>
      <c r="MYB88" s="163"/>
      <c r="MYC88" s="163"/>
      <c r="MYD88" s="163"/>
      <c r="MYE88" s="163"/>
      <c r="MYF88" s="163"/>
      <c r="MYG88" s="163"/>
      <c r="MYH88" s="163"/>
      <c r="MYI88" s="163"/>
      <c r="MYJ88" s="163"/>
      <c r="MYK88" s="163"/>
      <c r="MYL88" s="163"/>
      <c r="MYM88" s="163"/>
      <c r="MYN88" s="163"/>
      <c r="MYO88" s="163"/>
      <c r="MYP88" s="163"/>
      <c r="MYQ88" s="163"/>
      <c r="MYR88" s="163"/>
      <c r="MYS88" s="163"/>
      <c r="MYT88" s="163"/>
      <c r="MYU88" s="163"/>
      <c r="MYV88" s="163"/>
      <c r="MYW88" s="163"/>
      <c r="MYX88" s="163"/>
      <c r="MYY88" s="163"/>
      <c r="MYZ88" s="163"/>
      <c r="MZA88" s="163"/>
      <c r="MZB88" s="163"/>
      <c r="MZC88" s="163"/>
      <c r="MZD88" s="163"/>
      <c r="MZE88" s="163"/>
      <c r="MZF88" s="163"/>
      <c r="MZG88" s="163"/>
      <c r="MZH88" s="163"/>
      <c r="MZI88" s="163"/>
      <c r="MZJ88" s="163"/>
      <c r="MZK88" s="163"/>
      <c r="MZL88" s="163"/>
      <c r="MZM88" s="163"/>
      <c r="MZN88" s="163"/>
      <c r="MZO88" s="163"/>
      <c r="MZP88" s="163"/>
      <c r="MZQ88" s="163"/>
      <c r="MZR88" s="163"/>
      <c r="MZS88" s="163"/>
      <c r="MZT88" s="163"/>
      <c r="MZU88" s="163"/>
      <c r="MZV88" s="163"/>
      <c r="MZW88" s="163"/>
      <c r="MZX88" s="163"/>
      <c r="MZY88" s="163"/>
      <c r="MZZ88" s="163"/>
      <c r="NAA88" s="163"/>
      <c r="NAB88" s="163"/>
      <c r="NAC88" s="163"/>
      <c r="NAD88" s="163"/>
      <c r="NAE88" s="163"/>
      <c r="NAF88" s="163"/>
      <c r="NAG88" s="163"/>
      <c r="NAH88" s="163"/>
      <c r="NAI88" s="163"/>
      <c r="NAJ88" s="163"/>
      <c r="NAK88" s="163"/>
      <c r="NAL88" s="163"/>
      <c r="NAM88" s="163"/>
      <c r="NAN88" s="163"/>
      <c r="NAO88" s="163"/>
      <c r="NAP88" s="163"/>
      <c r="NAQ88" s="163"/>
      <c r="NAR88" s="163"/>
      <c r="NAS88" s="163"/>
      <c r="NAT88" s="163"/>
      <c r="NAU88" s="163"/>
      <c r="NAV88" s="163"/>
      <c r="NAW88" s="163"/>
      <c r="NAX88" s="163"/>
      <c r="NAY88" s="163"/>
      <c r="NAZ88" s="163"/>
      <c r="NBA88" s="163"/>
      <c r="NBB88" s="163"/>
      <c r="NBC88" s="163"/>
      <c r="NBD88" s="163"/>
      <c r="NBE88" s="163"/>
      <c r="NBF88" s="163"/>
      <c r="NBG88" s="163"/>
      <c r="NBH88" s="163"/>
      <c r="NBI88" s="163"/>
      <c r="NBJ88" s="163"/>
      <c r="NBK88" s="163"/>
      <c r="NBL88" s="163"/>
      <c r="NBM88" s="163"/>
      <c r="NBN88" s="163"/>
      <c r="NBO88" s="163"/>
      <c r="NBP88" s="163"/>
      <c r="NBQ88" s="163"/>
      <c r="NBR88" s="163"/>
      <c r="NBS88" s="163"/>
      <c r="NBT88" s="163"/>
      <c r="NBU88" s="163"/>
      <c r="NBV88" s="163"/>
      <c r="NBW88" s="163"/>
      <c r="NBX88" s="163"/>
      <c r="NBY88" s="163"/>
      <c r="NBZ88" s="163"/>
      <c r="NCA88" s="163"/>
      <c r="NCB88" s="163"/>
      <c r="NCC88" s="163"/>
      <c r="NCD88" s="163"/>
      <c r="NCE88" s="163"/>
      <c r="NCF88" s="163"/>
      <c r="NCG88" s="163"/>
      <c r="NCH88" s="163"/>
      <c r="NCI88" s="163"/>
      <c r="NCJ88" s="163"/>
      <c r="NCK88" s="163"/>
      <c r="NCL88" s="163"/>
      <c r="NCM88" s="163"/>
      <c r="NCN88" s="163"/>
      <c r="NCO88" s="163"/>
      <c r="NCP88" s="163"/>
      <c r="NCQ88" s="163"/>
      <c r="NCR88" s="163"/>
      <c r="NCS88" s="163"/>
      <c r="NCT88" s="163"/>
      <c r="NCU88" s="163"/>
      <c r="NCV88" s="163"/>
      <c r="NCW88" s="163"/>
      <c r="NCX88" s="163"/>
      <c r="NCY88" s="163"/>
      <c r="NCZ88" s="163"/>
      <c r="NDA88" s="163"/>
      <c r="NDB88" s="163"/>
      <c r="NDC88" s="163"/>
      <c r="NDD88" s="163"/>
      <c r="NDE88" s="163"/>
      <c r="NDF88" s="163"/>
      <c r="NDG88" s="163"/>
      <c r="NDH88" s="163"/>
      <c r="NDI88" s="163"/>
      <c r="NDJ88" s="163"/>
      <c r="NDK88" s="163"/>
      <c r="NDL88" s="163"/>
      <c r="NDM88" s="163"/>
      <c r="NDN88" s="163"/>
      <c r="NDO88" s="163"/>
      <c r="NDP88" s="163"/>
      <c r="NDQ88" s="163"/>
      <c r="NDR88" s="163"/>
      <c r="NDS88" s="163"/>
      <c r="NDT88" s="163"/>
      <c r="NDU88" s="163"/>
      <c r="NDV88" s="163"/>
      <c r="NDW88" s="163"/>
      <c r="NDX88" s="163"/>
      <c r="NDY88" s="163"/>
      <c r="NDZ88" s="163"/>
      <c r="NEA88" s="163"/>
      <c r="NEB88" s="163"/>
      <c r="NEC88" s="163"/>
      <c r="NED88" s="163"/>
      <c r="NEE88" s="163"/>
      <c r="NEF88" s="163"/>
      <c r="NEG88" s="163"/>
      <c r="NEH88" s="163"/>
      <c r="NEI88" s="163"/>
      <c r="NEJ88" s="163"/>
      <c r="NEK88" s="163"/>
      <c r="NEL88" s="163"/>
      <c r="NEM88" s="163"/>
      <c r="NEN88" s="163"/>
      <c r="NEO88" s="163"/>
      <c r="NEP88" s="163"/>
      <c r="NEQ88" s="163"/>
      <c r="NER88" s="163"/>
      <c r="NES88" s="163"/>
      <c r="NET88" s="163"/>
      <c r="NEU88" s="163"/>
      <c r="NEV88" s="163"/>
      <c r="NEW88" s="163"/>
      <c r="NEX88" s="163"/>
      <c r="NEY88" s="163"/>
      <c r="NEZ88" s="163"/>
      <c r="NFA88" s="163"/>
      <c r="NFB88" s="163"/>
      <c r="NFC88" s="163"/>
      <c r="NFD88" s="163"/>
      <c r="NFE88" s="163"/>
      <c r="NFF88" s="163"/>
      <c r="NFG88" s="163"/>
      <c r="NFH88" s="163"/>
      <c r="NFI88" s="163"/>
      <c r="NFJ88" s="163"/>
      <c r="NFK88" s="163"/>
      <c r="NFL88" s="163"/>
      <c r="NFM88" s="163"/>
      <c r="NFN88" s="163"/>
      <c r="NFO88" s="163"/>
      <c r="NFP88" s="163"/>
      <c r="NFQ88" s="163"/>
      <c r="NFR88" s="163"/>
      <c r="NFS88" s="163"/>
      <c r="NFT88" s="163"/>
      <c r="NFU88" s="163"/>
      <c r="NFV88" s="163"/>
      <c r="NFW88" s="163"/>
      <c r="NFX88" s="163"/>
      <c r="NFY88" s="163"/>
      <c r="NFZ88" s="163"/>
      <c r="NGA88" s="163"/>
      <c r="NGB88" s="163"/>
      <c r="NGC88" s="163"/>
      <c r="NGD88" s="163"/>
      <c r="NGE88" s="163"/>
      <c r="NGF88" s="163"/>
      <c r="NGG88" s="163"/>
      <c r="NGH88" s="163"/>
      <c r="NGI88" s="163"/>
      <c r="NGJ88" s="163"/>
      <c r="NGK88" s="163"/>
      <c r="NGL88" s="163"/>
      <c r="NGM88" s="163"/>
      <c r="NGN88" s="163"/>
      <c r="NGO88" s="163"/>
      <c r="NGP88" s="163"/>
      <c r="NGQ88" s="163"/>
      <c r="NGR88" s="163"/>
      <c r="NGS88" s="163"/>
      <c r="NGT88" s="163"/>
      <c r="NGU88" s="163"/>
      <c r="NGV88" s="163"/>
      <c r="NGW88" s="163"/>
      <c r="NGX88" s="163"/>
      <c r="NGY88" s="163"/>
      <c r="NGZ88" s="163"/>
      <c r="NHA88" s="163"/>
      <c r="NHB88" s="163"/>
      <c r="NHC88" s="163"/>
      <c r="NHD88" s="163"/>
      <c r="NHE88" s="163"/>
      <c r="NHF88" s="163"/>
      <c r="NHG88" s="163"/>
      <c r="NHH88" s="163"/>
      <c r="NHI88" s="163"/>
      <c r="NHJ88" s="163"/>
      <c r="NHK88" s="163"/>
      <c r="NHL88" s="163"/>
      <c r="NHM88" s="163"/>
      <c r="NHN88" s="163"/>
      <c r="NHO88" s="163"/>
      <c r="NHP88" s="163"/>
      <c r="NHQ88" s="163"/>
      <c r="NHR88" s="163"/>
      <c r="NHS88" s="163"/>
      <c r="NHT88" s="163"/>
      <c r="NHU88" s="163"/>
      <c r="NHV88" s="163"/>
      <c r="NHW88" s="163"/>
      <c r="NHX88" s="163"/>
      <c r="NHY88" s="163"/>
      <c r="NHZ88" s="163"/>
      <c r="NIA88" s="163"/>
      <c r="NIB88" s="163"/>
      <c r="NIC88" s="163"/>
      <c r="NID88" s="163"/>
      <c r="NIE88" s="163"/>
      <c r="NIF88" s="163"/>
      <c r="NIG88" s="163"/>
      <c r="NIH88" s="163"/>
      <c r="NII88" s="163"/>
      <c r="NIJ88" s="163"/>
      <c r="NIK88" s="163"/>
      <c r="NIL88" s="163"/>
      <c r="NIM88" s="163"/>
      <c r="NIN88" s="163"/>
      <c r="NIO88" s="163"/>
      <c r="NIP88" s="163"/>
      <c r="NIQ88" s="163"/>
      <c r="NIR88" s="163"/>
      <c r="NIS88" s="163"/>
      <c r="NIT88" s="163"/>
      <c r="NIU88" s="163"/>
      <c r="NIV88" s="163"/>
      <c r="NIW88" s="163"/>
      <c r="NIX88" s="163"/>
      <c r="NIY88" s="163"/>
      <c r="NIZ88" s="163"/>
      <c r="NJA88" s="163"/>
      <c r="NJB88" s="163"/>
      <c r="NJC88" s="163"/>
      <c r="NJD88" s="163"/>
      <c r="NJE88" s="163"/>
      <c r="NJF88" s="163"/>
      <c r="NJG88" s="163"/>
      <c r="NJH88" s="163"/>
      <c r="NJI88" s="163"/>
      <c r="NJJ88" s="163"/>
      <c r="NJK88" s="163"/>
      <c r="NJL88" s="163"/>
      <c r="NJM88" s="163"/>
      <c r="NJN88" s="163"/>
      <c r="NJO88" s="163"/>
      <c r="NJP88" s="163"/>
      <c r="NJQ88" s="163"/>
      <c r="NJR88" s="163"/>
      <c r="NJS88" s="163"/>
      <c r="NJT88" s="163"/>
      <c r="NJU88" s="163"/>
      <c r="NJV88" s="163"/>
      <c r="NJW88" s="163"/>
      <c r="NJX88" s="163"/>
      <c r="NJY88" s="163"/>
      <c r="NJZ88" s="163"/>
      <c r="NKA88" s="163"/>
      <c r="NKB88" s="163"/>
      <c r="NKC88" s="163"/>
      <c r="NKD88" s="163"/>
      <c r="NKE88" s="163"/>
      <c r="NKF88" s="163"/>
      <c r="NKG88" s="163"/>
      <c r="NKH88" s="163"/>
      <c r="NKI88" s="163"/>
      <c r="NKJ88" s="163"/>
      <c r="NKK88" s="163"/>
      <c r="NKL88" s="163"/>
      <c r="NKM88" s="163"/>
      <c r="NKN88" s="163"/>
      <c r="NKO88" s="163"/>
      <c r="NKP88" s="163"/>
      <c r="NKQ88" s="163"/>
      <c r="NKR88" s="163"/>
      <c r="NKS88" s="163"/>
      <c r="NKT88" s="163"/>
      <c r="NKU88" s="163"/>
      <c r="NKV88" s="163"/>
      <c r="NKW88" s="163"/>
      <c r="NKX88" s="163"/>
      <c r="NKY88" s="163"/>
      <c r="NKZ88" s="163"/>
      <c r="NLA88" s="163"/>
      <c r="NLB88" s="163"/>
      <c r="NLC88" s="163"/>
      <c r="NLD88" s="163"/>
      <c r="NLE88" s="163"/>
      <c r="NLF88" s="163"/>
      <c r="NLG88" s="163"/>
      <c r="NLH88" s="163"/>
      <c r="NLI88" s="163"/>
      <c r="NLJ88" s="163"/>
      <c r="NLK88" s="163"/>
      <c r="NLL88" s="163"/>
      <c r="NLM88" s="163"/>
      <c r="NLN88" s="163"/>
      <c r="NLO88" s="163"/>
      <c r="NLP88" s="163"/>
      <c r="NLQ88" s="163"/>
      <c r="NLR88" s="163"/>
      <c r="NLS88" s="163"/>
      <c r="NLT88" s="163"/>
      <c r="NLU88" s="163"/>
      <c r="NLV88" s="163"/>
      <c r="NLW88" s="163"/>
      <c r="NLX88" s="163"/>
      <c r="NLY88" s="163"/>
      <c r="NLZ88" s="163"/>
      <c r="NMA88" s="163"/>
      <c r="NMB88" s="163"/>
      <c r="NMC88" s="163"/>
      <c r="NMD88" s="163"/>
      <c r="NME88" s="163"/>
      <c r="NMF88" s="163"/>
      <c r="NMG88" s="163"/>
      <c r="NMH88" s="163"/>
      <c r="NMI88" s="163"/>
      <c r="NMJ88" s="163"/>
      <c r="NMK88" s="163"/>
      <c r="NML88" s="163"/>
      <c r="NMM88" s="163"/>
      <c r="NMN88" s="163"/>
      <c r="NMO88" s="163"/>
      <c r="NMP88" s="163"/>
      <c r="NMQ88" s="163"/>
      <c r="NMR88" s="163"/>
      <c r="NMS88" s="163"/>
      <c r="NMT88" s="163"/>
      <c r="NMU88" s="163"/>
      <c r="NMV88" s="163"/>
      <c r="NMW88" s="163"/>
      <c r="NMX88" s="163"/>
      <c r="NMY88" s="163"/>
      <c r="NMZ88" s="163"/>
      <c r="NNA88" s="163"/>
      <c r="NNB88" s="163"/>
      <c r="NNC88" s="163"/>
      <c r="NND88" s="163"/>
      <c r="NNE88" s="163"/>
      <c r="NNF88" s="163"/>
      <c r="NNG88" s="163"/>
      <c r="NNH88" s="163"/>
      <c r="NNI88" s="163"/>
      <c r="NNJ88" s="163"/>
      <c r="NNK88" s="163"/>
      <c r="NNL88" s="163"/>
      <c r="NNM88" s="163"/>
      <c r="NNN88" s="163"/>
      <c r="NNO88" s="163"/>
      <c r="NNP88" s="163"/>
      <c r="NNQ88" s="163"/>
      <c r="NNR88" s="163"/>
      <c r="NNS88" s="163"/>
      <c r="NNT88" s="163"/>
      <c r="NNU88" s="163"/>
      <c r="NNV88" s="163"/>
      <c r="NNW88" s="163"/>
      <c r="NNX88" s="163"/>
      <c r="NNY88" s="163"/>
      <c r="NNZ88" s="163"/>
      <c r="NOA88" s="163"/>
      <c r="NOB88" s="163"/>
      <c r="NOC88" s="163"/>
      <c r="NOD88" s="163"/>
      <c r="NOE88" s="163"/>
      <c r="NOF88" s="163"/>
      <c r="NOG88" s="163"/>
      <c r="NOH88" s="163"/>
      <c r="NOI88" s="163"/>
      <c r="NOJ88" s="163"/>
      <c r="NOK88" s="163"/>
      <c r="NOL88" s="163"/>
      <c r="NOM88" s="163"/>
      <c r="NON88" s="163"/>
      <c r="NOO88" s="163"/>
      <c r="NOP88" s="163"/>
      <c r="NOQ88" s="163"/>
      <c r="NOR88" s="163"/>
      <c r="NOS88" s="163"/>
      <c r="NOT88" s="163"/>
      <c r="NOU88" s="163"/>
      <c r="NOV88" s="163"/>
      <c r="NOW88" s="163"/>
      <c r="NOX88" s="163"/>
      <c r="NOY88" s="163"/>
      <c r="NOZ88" s="163"/>
      <c r="NPA88" s="163"/>
      <c r="NPB88" s="163"/>
      <c r="NPC88" s="163"/>
      <c r="NPD88" s="163"/>
      <c r="NPE88" s="163"/>
      <c r="NPF88" s="163"/>
      <c r="NPG88" s="163"/>
      <c r="NPH88" s="163"/>
      <c r="NPI88" s="163"/>
      <c r="NPJ88" s="163"/>
      <c r="NPK88" s="163"/>
      <c r="NPL88" s="163"/>
      <c r="NPM88" s="163"/>
      <c r="NPN88" s="163"/>
      <c r="NPO88" s="163"/>
      <c r="NPP88" s="163"/>
      <c r="NPQ88" s="163"/>
      <c r="NPR88" s="163"/>
      <c r="NPS88" s="163"/>
      <c r="NPT88" s="163"/>
      <c r="NPU88" s="163"/>
      <c r="NPV88" s="163"/>
      <c r="NPW88" s="163"/>
      <c r="NPX88" s="163"/>
      <c r="NPY88" s="163"/>
      <c r="NPZ88" s="163"/>
      <c r="NQA88" s="163"/>
      <c r="NQB88" s="163"/>
      <c r="NQC88" s="163"/>
      <c r="NQD88" s="163"/>
      <c r="NQE88" s="163"/>
      <c r="NQF88" s="163"/>
      <c r="NQG88" s="163"/>
      <c r="NQH88" s="163"/>
      <c r="NQI88" s="163"/>
      <c r="NQJ88" s="163"/>
      <c r="NQK88" s="163"/>
      <c r="NQL88" s="163"/>
      <c r="NQM88" s="163"/>
      <c r="NQN88" s="163"/>
      <c r="NQO88" s="163"/>
      <c r="NQP88" s="163"/>
      <c r="NQQ88" s="163"/>
      <c r="NQR88" s="163"/>
      <c r="NQS88" s="163"/>
      <c r="NQT88" s="163"/>
      <c r="NQU88" s="163"/>
      <c r="NQV88" s="163"/>
      <c r="NQW88" s="163"/>
      <c r="NQX88" s="163"/>
      <c r="NQY88" s="163"/>
      <c r="NQZ88" s="163"/>
      <c r="NRA88" s="163"/>
      <c r="NRB88" s="163"/>
      <c r="NRC88" s="163"/>
      <c r="NRD88" s="163"/>
      <c r="NRE88" s="163"/>
      <c r="NRF88" s="163"/>
      <c r="NRG88" s="163"/>
      <c r="NRH88" s="163"/>
      <c r="NRI88" s="163"/>
      <c r="NRJ88" s="163"/>
      <c r="NRK88" s="163"/>
      <c r="NRL88" s="163"/>
      <c r="NRM88" s="163"/>
      <c r="NRN88" s="163"/>
      <c r="NRO88" s="163"/>
      <c r="NRP88" s="163"/>
      <c r="NRQ88" s="163"/>
      <c r="NRR88" s="163"/>
      <c r="NRS88" s="163"/>
      <c r="NRT88" s="163"/>
      <c r="NRU88" s="163"/>
      <c r="NRV88" s="163"/>
      <c r="NRW88" s="163"/>
      <c r="NRX88" s="163"/>
      <c r="NRY88" s="163"/>
      <c r="NRZ88" s="163"/>
      <c r="NSA88" s="163"/>
      <c r="NSB88" s="163"/>
      <c r="NSC88" s="163"/>
      <c r="NSD88" s="163"/>
      <c r="NSE88" s="163"/>
      <c r="NSF88" s="163"/>
      <c r="NSG88" s="163"/>
      <c r="NSH88" s="163"/>
      <c r="NSI88" s="163"/>
      <c r="NSJ88" s="163"/>
      <c r="NSK88" s="163"/>
      <c r="NSL88" s="163"/>
      <c r="NSM88" s="163"/>
      <c r="NSN88" s="163"/>
      <c r="NSO88" s="163"/>
      <c r="NSP88" s="163"/>
      <c r="NSQ88" s="163"/>
      <c r="NSR88" s="163"/>
      <c r="NSS88" s="163"/>
      <c r="NST88" s="163"/>
      <c r="NSU88" s="163"/>
      <c r="NSV88" s="163"/>
      <c r="NSW88" s="163"/>
      <c r="NSX88" s="163"/>
      <c r="NSY88" s="163"/>
      <c r="NSZ88" s="163"/>
      <c r="NTA88" s="163"/>
      <c r="NTB88" s="163"/>
      <c r="NTC88" s="163"/>
      <c r="NTD88" s="163"/>
      <c r="NTE88" s="163"/>
      <c r="NTF88" s="163"/>
      <c r="NTG88" s="163"/>
      <c r="NTH88" s="163"/>
      <c r="NTI88" s="163"/>
      <c r="NTJ88" s="163"/>
      <c r="NTK88" s="163"/>
      <c r="NTL88" s="163"/>
      <c r="NTM88" s="163"/>
      <c r="NTN88" s="163"/>
      <c r="NTO88" s="163"/>
      <c r="NTP88" s="163"/>
      <c r="NTQ88" s="163"/>
      <c r="NTR88" s="163"/>
      <c r="NTS88" s="163"/>
      <c r="NTT88" s="163"/>
      <c r="NTU88" s="163"/>
      <c r="NTV88" s="163"/>
      <c r="NTW88" s="163"/>
      <c r="NTX88" s="163"/>
      <c r="NTY88" s="163"/>
      <c r="NTZ88" s="163"/>
      <c r="NUA88" s="163"/>
      <c r="NUB88" s="163"/>
      <c r="NUC88" s="163"/>
      <c r="NUD88" s="163"/>
      <c r="NUE88" s="163"/>
      <c r="NUF88" s="163"/>
      <c r="NUG88" s="163"/>
      <c r="NUH88" s="163"/>
      <c r="NUI88" s="163"/>
      <c r="NUJ88" s="163"/>
      <c r="NUK88" s="163"/>
      <c r="NUL88" s="163"/>
      <c r="NUM88" s="163"/>
      <c r="NUN88" s="163"/>
      <c r="NUO88" s="163"/>
      <c r="NUP88" s="163"/>
      <c r="NUQ88" s="163"/>
      <c r="NUR88" s="163"/>
      <c r="NUS88" s="163"/>
      <c r="NUT88" s="163"/>
      <c r="NUU88" s="163"/>
      <c r="NUV88" s="163"/>
      <c r="NUW88" s="163"/>
      <c r="NUX88" s="163"/>
      <c r="NUY88" s="163"/>
      <c r="NUZ88" s="163"/>
      <c r="NVA88" s="163"/>
      <c r="NVB88" s="163"/>
      <c r="NVC88" s="163"/>
      <c r="NVD88" s="163"/>
      <c r="NVE88" s="163"/>
      <c r="NVF88" s="163"/>
      <c r="NVG88" s="163"/>
      <c r="NVH88" s="163"/>
      <c r="NVI88" s="163"/>
      <c r="NVJ88" s="163"/>
      <c r="NVK88" s="163"/>
      <c r="NVL88" s="163"/>
      <c r="NVM88" s="163"/>
      <c r="NVN88" s="163"/>
      <c r="NVO88" s="163"/>
      <c r="NVP88" s="163"/>
      <c r="NVQ88" s="163"/>
      <c r="NVR88" s="163"/>
      <c r="NVS88" s="163"/>
      <c r="NVT88" s="163"/>
      <c r="NVU88" s="163"/>
      <c r="NVV88" s="163"/>
      <c r="NVW88" s="163"/>
      <c r="NVX88" s="163"/>
      <c r="NVY88" s="163"/>
      <c r="NVZ88" s="163"/>
      <c r="NWA88" s="163"/>
      <c r="NWB88" s="163"/>
      <c r="NWC88" s="163"/>
      <c r="NWD88" s="163"/>
      <c r="NWE88" s="163"/>
      <c r="NWF88" s="163"/>
      <c r="NWG88" s="163"/>
      <c r="NWH88" s="163"/>
      <c r="NWI88" s="163"/>
      <c r="NWJ88" s="163"/>
      <c r="NWK88" s="163"/>
      <c r="NWL88" s="163"/>
      <c r="NWM88" s="163"/>
      <c r="NWN88" s="163"/>
      <c r="NWO88" s="163"/>
      <c r="NWP88" s="163"/>
      <c r="NWQ88" s="163"/>
      <c r="NWR88" s="163"/>
      <c r="NWS88" s="163"/>
      <c r="NWT88" s="163"/>
      <c r="NWU88" s="163"/>
      <c r="NWV88" s="163"/>
      <c r="NWW88" s="163"/>
      <c r="NWX88" s="163"/>
      <c r="NWY88" s="163"/>
      <c r="NWZ88" s="163"/>
      <c r="NXA88" s="163"/>
      <c r="NXB88" s="163"/>
      <c r="NXC88" s="163"/>
      <c r="NXD88" s="163"/>
      <c r="NXE88" s="163"/>
      <c r="NXF88" s="163"/>
      <c r="NXG88" s="163"/>
      <c r="NXH88" s="163"/>
      <c r="NXI88" s="163"/>
      <c r="NXJ88" s="163"/>
      <c r="NXK88" s="163"/>
      <c r="NXL88" s="163"/>
      <c r="NXM88" s="163"/>
      <c r="NXN88" s="163"/>
      <c r="NXO88" s="163"/>
      <c r="NXP88" s="163"/>
      <c r="NXQ88" s="163"/>
      <c r="NXR88" s="163"/>
      <c r="NXS88" s="163"/>
      <c r="NXT88" s="163"/>
      <c r="NXU88" s="163"/>
      <c r="NXV88" s="163"/>
      <c r="NXW88" s="163"/>
      <c r="NXX88" s="163"/>
      <c r="NXY88" s="163"/>
      <c r="NXZ88" s="163"/>
      <c r="NYA88" s="163"/>
      <c r="NYB88" s="163"/>
      <c r="NYC88" s="163"/>
      <c r="NYD88" s="163"/>
      <c r="NYE88" s="163"/>
      <c r="NYF88" s="163"/>
      <c r="NYG88" s="163"/>
      <c r="NYH88" s="163"/>
      <c r="NYI88" s="163"/>
      <c r="NYJ88" s="163"/>
      <c r="NYK88" s="163"/>
      <c r="NYL88" s="163"/>
      <c r="NYM88" s="163"/>
      <c r="NYN88" s="163"/>
      <c r="NYO88" s="163"/>
      <c r="NYP88" s="163"/>
      <c r="NYQ88" s="163"/>
      <c r="NYR88" s="163"/>
      <c r="NYS88" s="163"/>
      <c r="NYT88" s="163"/>
      <c r="NYU88" s="163"/>
      <c r="NYV88" s="163"/>
      <c r="NYW88" s="163"/>
      <c r="NYX88" s="163"/>
      <c r="NYY88" s="163"/>
      <c r="NYZ88" s="163"/>
      <c r="NZA88" s="163"/>
      <c r="NZB88" s="163"/>
      <c r="NZC88" s="163"/>
      <c r="NZD88" s="163"/>
      <c r="NZE88" s="163"/>
      <c r="NZF88" s="163"/>
      <c r="NZG88" s="163"/>
      <c r="NZH88" s="163"/>
      <c r="NZI88" s="163"/>
      <c r="NZJ88" s="163"/>
      <c r="NZK88" s="163"/>
      <c r="NZL88" s="163"/>
      <c r="NZM88" s="163"/>
      <c r="NZN88" s="163"/>
      <c r="NZO88" s="163"/>
      <c r="NZP88" s="163"/>
      <c r="NZQ88" s="163"/>
      <c r="NZR88" s="163"/>
      <c r="NZS88" s="163"/>
      <c r="NZT88" s="163"/>
      <c r="NZU88" s="163"/>
      <c r="NZV88" s="163"/>
      <c r="NZW88" s="163"/>
      <c r="NZX88" s="163"/>
      <c r="NZY88" s="163"/>
      <c r="NZZ88" s="163"/>
      <c r="OAA88" s="163"/>
      <c r="OAB88" s="163"/>
      <c r="OAC88" s="163"/>
      <c r="OAD88" s="163"/>
      <c r="OAE88" s="163"/>
      <c r="OAF88" s="163"/>
      <c r="OAG88" s="163"/>
      <c r="OAH88" s="163"/>
      <c r="OAI88" s="163"/>
      <c r="OAJ88" s="163"/>
      <c r="OAK88" s="163"/>
      <c r="OAL88" s="163"/>
      <c r="OAM88" s="163"/>
      <c r="OAN88" s="163"/>
      <c r="OAO88" s="163"/>
      <c r="OAP88" s="163"/>
      <c r="OAQ88" s="163"/>
      <c r="OAR88" s="163"/>
      <c r="OAS88" s="163"/>
      <c r="OAT88" s="163"/>
      <c r="OAU88" s="163"/>
      <c r="OAV88" s="163"/>
      <c r="OAW88" s="163"/>
      <c r="OAX88" s="163"/>
      <c r="OAY88" s="163"/>
      <c r="OAZ88" s="163"/>
      <c r="OBA88" s="163"/>
      <c r="OBB88" s="163"/>
      <c r="OBC88" s="163"/>
      <c r="OBD88" s="163"/>
      <c r="OBE88" s="163"/>
      <c r="OBF88" s="163"/>
      <c r="OBG88" s="163"/>
      <c r="OBH88" s="163"/>
      <c r="OBI88" s="163"/>
      <c r="OBJ88" s="163"/>
      <c r="OBK88" s="163"/>
      <c r="OBL88" s="163"/>
      <c r="OBM88" s="163"/>
      <c r="OBN88" s="163"/>
      <c r="OBO88" s="163"/>
      <c r="OBP88" s="163"/>
      <c r="OBQ88" s="163"/>
      <c r="OBR88" s="163"/>
      <c r="OBS88" s="163"/>
      <c r="OBT88" s="163"/>
      <c r="OBU88" s="163"/>
      <c r="OBV88" s="163"/>
      <c r="OBW88" s="163"/>
      <c r="OBX88" s="163"/>
      <c r="OBY88" s="163"/>
      <c r="OBZ88" s="163"/>
      <c r="OCA88" s="163"/>
      <c r="OCB88" s="163"/>
      <c r="OCC88" s="163"/>
      <c r="OCD88" s="163"/>
      <c r="OCE88" s="163"/>
      <c r="OCF88" s="163"/>
      <c r="OCG88" s="163"/>
      <c r="OCH88" s="163"/>
      <c r="OCI88" s="163"/>
      <c r="OCJ88" s="163"/>
      <c r="OCK88" s="163"/>
      <c r="OCL88" s="163"/>
      <c r="OCM88" s="163"/>
      <c r="OCN88" s="163"/>
      <c r="OCO88" s="163"/>
      <c r="OCP88" s="163"/>
      <c r="OCQ88" s="163"/>
      <c r="OCR88" s="163"/>
      <c r="OCS88" s="163"/>
      <c r="OCT88" s="163"/>
      <c r="OCU88" s="163"/>
      <c r="OCV88" s="163"/>
      <c r="OCW88" s="163"/>
      <c r="OCX88" s="163"/>
      <c r="OCY88" s="163"/>
      <c r="OCZ88" s="163"/>
      <c r="ODA88" s="163"/>
      <c r="ODB88" s="163"/>
      <c r="ODC88" s="163"/>
      <c r="ODD88" s="163"/>
      <c r="ODE88" s="163"/>
      <c r="ODF88" s="163"/>
      <c r="ODG88" s="163"/>
      <c r="ODH88" s="163"/>
      <c r="ODI88" s="163"/>
      <c r="ODJ88" s="163"/>
      <c r="ODK88" s="163"/>
      <c r="ODL88" s="163"/>
      <c r="ODM88" s="163"/>
      <c r="ODN88" s="163"/>
      <c r="ODO88" s="163"/>
      <c r="ODP88" s="163"/>
      <c r="ODQ88" s="163"/>
      <c r="ODR88" s="163"/>
      <c r="ODS88" s="163"/>
      <c r="ODT88" s="163"/>
      <c r="ODU88" s="163"/>
      <c r="ODV88" s="163"/>
      <c r="ODW88" s="163"/>
      <c r="ODX88" s="163"/>
      <c r="ODY88" s="163"/>
      <c r="ODZ88" s="163"/>
      <c r="OEA88" s="163"/>
      <c r="OEB88" s="163"/>
      <c r="OEC88" s="163"/>
      <c r="OED88" s="163"/>
      <c r="OEE88" s="163"/>
      <c r="OEF88" s="163"/>
      <c r="OEG88" s="163"/>
      <c r="OEH88" s="163"/>
      <c r="OEI88" s="163"/>
      <c r="OEJ88" s="163"/>
      <c r="OEK88" s="163"/>
      <c r="OEL88" s="163"/>
      <c r="OEM88" s="163"/>
      <c r="OEN88" s="163"/>
      <c r="OEO88" s="163"/>
      <c r="OEP88" s="163"/>
      <c r="OEQ88" s="163"/>
      <c r="OER88" s="163"/>
      <c r="OES88" s="163"/>
      <c r="OET88" s="163"/>
      <c r="OEU88" s="163"/>
      <c r="OEV88" s="163"/>
      <c r="OEW88" s="163"/>
      <c r="OEX88" s="163"/>
      <c r="OEY88" s="163"/>
      <c r="OEZ88" s="163"/>
      <c r="OFA88" s="163"/>
      <c r="OFB88" s="163"/>
      <c r="OFC88" s="163"/>
      <c r="OFD88" s="163"/>
      <c r="OFE88" s="163"/>
      <c r="OFF88" s="163"/>
      <c r="OFG88" s="163"/>
      <c r="OFH88" s="163"/>
      <c r="OFI88" s="163"/>
      <c r="OFJ88" s="163"/>
      <c r="OFK88" s="163"/>
      <c r="OFL88" s="163"/>
      <c r="OFM88" s="163"/>
      <c r="OFN88" s="163"/>
      <c r="OFO88" s="163"/>
      <c r="OFP88" s="163"/>
      <c r="OFQ88" s="163"/>
      <c r="OFR88" s="163"/>
      <c r="OFS88" s="163"/>
      <c r="OFT88" s="163"/>
      <c r="OFU88" s="163"/>
      <c r="OFV88" s="163"/>
      <c r="OFW88" s="163"/>
      <c r="OFX88" s="163"/>
      <c r="OFY88" s="163"/>
      <c r="OFZ88" s="163"/>
      <c r="OGA88" s="163"/>
      <c r="OGB88" s="163"/>
      <c r="OGC88" s="163"/>
      <c r="OGD88" s="163"/>
      <c r="OGE88" s="163"/>
      <c r="OGF88" s="163"/>
      <c r="OGG88" s="163"/>
      <c r="OGH88" s="163"/>
      <c r="OGI88" s="163"/>
      <c r="OGJ88" s="163"/>
      <c r="OGK88" s="163"/>
      <c r="OGL88" s="163"/>
      <c r="OGM88" s="163"/>
      <c r="OGN88" s="163"/>
      <c r="OGO88" s="163"/>
      <c r="OGP88" s="163"/>
      <c r="OGQ88" s="163"/>
      <c r="OGR88" s="163"/>
      <c r="OGS88" s="163"/>
      <c r="OGT88" s="163"/>
      <c r="OGU88" s="163"/>
      <c r="OGV88" s="163"/>
      <c r="OGW88" s="163"/>
      <c r="OGX88" s="163"/>
      <c r="OGY88" s="163"/>
      <c r="OGZ88" s="163"/>
      <c r="OHA88" s="163"/>
      <c r="OHB88" s="163"/>
      <c r="OHC88" s="163"/>
      <c r="OHD88" s="163"/>
      <c r="OHE88" s="163"/>
      <c r="OHF88" s="163"/>
      <c r="OHG88" s="163"/>
      <c r="OHH88" s="163"/>
      <c r="OHI88" s="163"/>
      <c r="OHJ88" s="163"/>
      <c r="OHK88" s="163"/>
      <c r="OHL88" s="163"/>
      <c r="OHM88" s="163"/>
      <c r="OHN88" s="163"/>
      <c r="OHO88" s="163"/>
      <c r="OHP88" s="163"/>
      <c r="OHQ88" s="163"/>
      <c r="OHR88" s="163"/>
      <c r="OHS88" s="163"/>
      <c r="OHT88" s="163"/>
      <c r="OHU88" s="163"/>
      <c r="OHV88" s="163"/>
      <c r="OHW88" s="163"/>
      <c r="OHX88" s="163"/>
      <c r="OHY88" s="163"/>
      <c r="OHZ88" s="163"/>
      <c r="OIA88" s="163"/>
      <c r="OIB88" s="163"/>
      <c r="OIC88" s="163"/>
      <c r="OID88" s="163"/>
      <c r="OIE88" s="163"/>
      <c r="OIF88" s="163"/>
      <c r="OIG88" s="163"/>
      <c r="OIH88" s="163"/>
      <c r="OII88" s="163"/>
      <c r="OIJ88" s="163"/>
      <c r="OIK88" s="163"/>
      <c r="OIL88" s="163"/>
      <c r="OIM88" s="163"/>
      <c r="OIN88" s="163"/>
      <c r="OIO88" s="163"/>
      <c r="OIP88" s="163"/>
      <c r="OIQ88" s="163"/>
      <c r="OIR88" s="163"/>
      <c r="OIS88" s="163"/>
      <c r="OIT88" s="163"/>
      <c r="OIU88" s="163"/>
      <c r="OIV88" s="163"/>
      <c r="OIW88" s="163"/>
      <c r="OIX88" s="163"/>
      <c r="OIY88" s="163"/>
      <c r="OIZ88" s="163"/>
      <c r="OJA88" s="163"/>
      <c r="OJB88" s="163"/>
      <c r="OJC88" s="163"/>
      <c r="OJD88" s="163"/>
      <c r="OJE88" s="163"/>
      <c r="OJF88" s="163"/>
      <c r="OJG88" s="163"/>
      <c r="OJH88" s="163"/>
      <c r="OJI88" s="163"/>
      <c r="OJJ88" s="163"/>
      <c r="OJK88" s="163"/>
      <c r="OJL88" s="163"/>
      <c r="OJM88" s="163"/>
      <c r="OJN88" s="163"/>
      <c r="OJO88" s="163"/>
      <c r="OJP88" s="163"/>
      <c r="OJQ88" s="163"/>
      <c r="OJR88" s="163"/>
      <c r="OJS88" s="163"/>
      <c r="OJT88" s="163"/>
      <c r="OJU88" s="163"/>
      <c r="OJV88" s="163"/>
      <c r="OJW88" s="163"/>
      <c r="OJX88" s="163"/>
      <c r="OJY88" s="163"/>
      <c r="OJZ88" s="163"/>
      <c r="OKA88" s="163"/>
      <c r="OKB88" s="163"/>
      <c r="OKC88" s="163"/>
      <c r="OKD88" s="163"/>
      <c r="OKE88" s="163"/>
      <c r="OKF88" s="163"/>
      <c r="OKG88" s="163"/>
      <c r="OKH88" s="163"/>
      <c r="OKI88" s="163"/>
      <c r="OKJ88" s="163"/>
      <c r="OKK88" s="163"/>
      <c r="OKL88" s="163"/>
      <c r="OKM88" s="163"/>
      <c r="OKN88" s="163"/>
      <c r="OKO88" s="163"/>
      <c r="OKP88" s="163"/>
      <c r="OKQ88" s="163"/>
      <c r="OKR88" s="163"/>
      <c r="OKS88" s="163"/>
      <c r="OKT88" s="163"/>
      <c r="OKU88" s="163"/>
      <c r="OKV88" s="163"/>
      <c r="OKW88" s="163"/>
      <c r="OKX88" s="163"/>
      <c r="OKY88" s="163"/>
      <c r="OKZ88" s="163"/>
      <c r="OLA88" s="163"/>
      <c r="OLB88" s="163"/>
      <c r="OLC88" s="163"/>
      <c r="OLD88" s="163"/>
      <c r="OLE88" s="163"/>
      <c r="OLF88" s="163"/>
      <c r="OLG88" s="163"/>
      <c r="OLH88" s="163"/>
      <c r="OLI88" s="163"/>
      <c r="OLJ88" s="163"/>
      <c r="OLK88" s="163"/>
      <c r="OLL88" s="163"/>
      <c r="OLM88" s="163"/>
      <c r="OLN88" s="163"/>
      <c r="OLO88" s="163"/>
      <c r="OLP88" s="163"/>
      <c r="OLQ88" s="163"/>
      <c r="OLR88" s="163"/>
      <c r="OLS88" s="163"/>
      <c r="OLT88" s="163"/>
      <c r="OLU88" s="163"/>
      <c r="OLV88" s="163"/>
      <c r="OLW88" s="163"/>
      <c r="OLX88" s="163"/>
      <c r="OLY88" s="163"/>
      <c r="OLZ88" s="163"/>
      <c r="OMA88" s="163"/>
      <c r="OMB88" s="163"/>
      <c r="OMC88" s="163"/>
      <c r="OMD88" s="163"/>
      <c r="OME88" s="163"/>
      <c r="OMF88" s="163"/>
      <c r="OMG88" s="163"/>
      <c r="OMH88" s="163"/>
      <c r="OMI88" s="163"/>
      <c r="OMJ88" s="163"/>
      <c r="OMK88" s="163"/>
      <c r="OML88" s="163"/>
      <c r="OMM88" s="163"/>
      <c r="OMN88" s="163"/>
      <c r="OMO88" s="163"/>
      <c r="OMP88" s="163"/>
      <c r="OMQ88" s="163"/>
      <c r="OMR88" s="163"/>
      <c r="OMS88" s="163"/>
      <c r="OMT88" s="163"/>
      <c r="OMU88" s="163"/>
      <c r="OMV88" s="163"/>
      <c r="OMW88" s="163"/>
      <c r="OMX88" s="163"/>
      <c r="OMY88" s="163"/>
      <c r="OMZ88" s="163"/>
      <c r="ONA88" s="163"/>
      <c r="ONB88" s="163"/>
      <c r="ONC88" s="163"/>
      <c r="OND88" s="163"/>
      <c r="ONE88" s="163"/>
      <c r="ONF88" s="163"/>
      <c r="ONG88" s="163"/>
      <c r="ONH88" s="163"/>
      <c r="ONI88" s="163"/>
      <c r="ONJ88" s="163"/>
      <c r="ONK88" s="163"/>
      <c r="ONL88" s="163"/>
      <c r="ONM88" s="163"/>
      <c r="ONN88" s="163"/>
      <c r="ONO88" s="163"/>
      <c r="ONP88" s="163"/>
      <c r="ONQ88" s="163"/>
      <c r="ONR88" s="163"/>
      <c r="ONS88" s="163"/>
      <c r="ONT88" s="163"/>
      <c r="ONU88" s="163"/>
      <c r="ONV88" s="163"/>
      <c r="ONW88" s="163"/>
      <c r="ONX88" s="163"/>
      <c r="ONY88" s="163"/>
      <c r="ONZ88" s="163"/>
      <c r="OOA88" s="163"/>
      <c r="OOB88" s="163"/>
      <c r="OOC88" s="163"/>
      <c r="OOD88" s="163"/>
      <c r="OOE88" s="163"/>
      <c r="OOF88" s="163"/>
      <c r="OOG88" s="163"/>
      <c r="OOH88" s="163"/>
      <c r="OOI88" s="163"/>
      <c r="OOJ88" s="163"/>
      <c r="OOK88" s="163"/>
      <c r="OOL88" s="163"/>
      <c r="OOM88" s="163"/>
      <c r="OON88" s="163"/>
      <c r="OOO88" s="163"/>
      <c r="OOP88" s="163"/>
      <c r="OOQ88" s="163"/>
      <c r="OOR88" s="163"/>
      <c r="OOS88" s="163"/>
      <c r="OOT88" s="163"/>
      <c r="OOU88" s="163"/>
      <c r="OOV88" s="163"/>
      <c r="OOW88" s="163"/>
      <c r="OOX88" s="163"/>
      <c r="OOY88" s="163"/>
      <c r="OOZ88" s="163"/>
      <c r="OPA88" s="163"/>
      <c r="OPB88" s="163"/>
      <c r="OPC88" s="163"/>
      <c r="OPD88" s="163"/>
      <c r="OPE88" s="163"/>
      <c r="OPF88" s="163"/>
      <c r="OPG88" s="163"/>
      <c r="OPH88" s="163"/>
      <c r="OPI88" s="163"/>
      <c r="OPJ88" s="163"/>
      <c r="OPK88" s="163"/>
      <c r="OPL88" s="163"/>
      <c r="OPM88" s="163"/>
      <c r="OPN88" s="163"/>
      <c r="OPO88" s="163"/>
      <c r="OPP88" s="163"/>
      <c r="OPQ88" s="163"/>
      <c r="OPR88" s="163"/>
      <c r="OPS88" s="163"/>
      <c r="OPT88" s="163"/>
      <c r="OPU88" s="163"/>
      <c r="OPV88" s="163"/>
      <c r="OPW88" s="163"/>
      <c r="OPX88" s="163"/>
      <c r="OPY88" s="163"/>
      <c r="OPZ88" s="163"/>
      <c r="OQA88" s="163"/>
      <c r="OQB88" s="163"/>
      <c r="OQC88" s="163"/>
      <c r="OQD88" s="163"/>
      <c r="OQE88" s="163"/>
      <c r="OQF88" s="163"/>
      <c r="OQG88" s="163"/>
      <c r="OQH88" s="163"/>
      <c r="OQI88" s="163"/>
      <c r="OQJ88" s="163"/>
      <c r="OQK88" s="163"/>
      <c r="OQL88" s="163"/>
      <c r="OQM88" s="163"/>
      <c r="OQN88" s="163"/>
      <c r="OQO88" s="163"/>
      <c r="OQP88" s="163"/>
      <c r="OQQ88" s="163"/>
      <c r="OQR88" s="163"/>
      <c r="OQS88" s="163"/>
      <c r="OQT88" s="163"/>
      <c r="OQU88" s="163"/>
      <c r="OQV88" s="163"/>
      <c r="OQW88" s="163"/>
      <c r="OQX88" s="163"/>
      <c r="OQY88" s="163"/>
      <c r="OQZ88" s="163"/>
      <c r="ORA88" s="163"/>
      <c r="ORB88" s="163"/>
      <c r="ORC88" s="163"/>
      <c r="ORD88" s="163"/>
      <c r="ORE88" s="163"/>
      <c r="ORF88" s="163"/>
      <c r="ORG88" s="163"/>
      <c r="ORH88" s="163"/>
      <c r="ORI88" s="163"/>
      <c r="ORJ88" s="163"/>
      <c r="ORK88" s="163"/>
      <c r="ORL88" s="163"/>
      <c r="ORM88" s="163"/>
      <c r="ORN88" s="163"/>
      <c r="ORO88" s="163"/>
      <c r="ORP88" s="163"/>
      <c r="ORQ88" s="163"/>
      <c r="ORR88" s="163"/>
      <c r="ORS88" s="163"/>
      <c r="ORT88" s="163"/>
      <c r="ORU88" s="163"/>
      <c r="ORV88" s="163"/>
      <c r="ORW88" s="163"/>
      <c r="ORX88" s="163"/>
      <c r="ORY88" s="163"/>
      <c r="ORZ88" s="163"/>
      <c r="OSA88" s="163"/>
      <c r="OSB88" s="163"/>
      <c r="OSC88" s="163"/>
      <c r="OSD88" s="163"/>
      <c r="OSE88" s="163"/>
      <c r="OSF88" s="163"/>
      <c r="OSG88" s="163"/>
      <c r="OSH88" s="163"/>
      <c r="OSI88" s="163"/>
      <c r="OSJ88" s="163"/>
      <c r="OSK88" s="163"/>
      <c r="OSL88" s="163"/>
      <c r="OSM88" s="163"/>
      <c r="OSN88" s="163"/>
      <c r="OSO88" s="163"/>
      <c r="OSP88" s="163"/>
      <c r="OSQ88" s="163"/>
      <c r="OSR88" s="163"/>
      <c r="OSS88" s="163"/>
      <c r="OST88" s="163"/>
      <c r="OSU88" s="163"/>
      <c r="OSV88" s="163"/>
      <c r="OSW88" s="163"/>
      <c r="OSX88" s="163"/>
      <c r="OSY88" s="163"/>
      <c r="OSZ88" s="163"/>
      <c r="OTA88" s="163"/>
      <c r="OTB88" s="163"/>
      <c r="OTC88" s="163"/>
      <c r="OTD88" s="163"/>
      <c r="OTE88" s="163"/>
      <c r="OTF88" s="163"/>
      <c r="OTG88" s="163"/>
      <c r="OTH88" s="163"/>
      <c r="OTI88" s="163"/>
      <c r="OTJ88" s="163"/>
      <c r="OTK88" s="163"/>
      <c r="OTL88" s="163"/>
      <c r="OTM88" s="163"/>
      <c r="OTN88" s="163"/>
      <c r="OTO88" s="163"/>
      <c r="OTP88" s="163"/>
      <c r="OTQ88" s="163"/>
      <c r="OTR88" s="163"/>
      <c r="OTS88" s="163"/>
      <c r="OTT88" s="163"/>
      <c r="OTU88" s="163"/>
      <c r="OTV88" s="163"/>
      <c r="OTW88" s="163"/>
      <c r="OTX88" s="163"/>
      <c r="OTY88" s="163"/>
      <c r="OTZ88" s="163"/>
      <c r="OUA88" s="163"/>
      <c r="OUB88" s="163"/>
      <c r="OUC88" s="163"/>
      <c r="OUD88" s="163"/>
      <c r="OUE88" s="163"/>
      <c r="OUF88" s="163"/>
      <c r="OUG88" s="163"/>
      <c r="OUH88" s="163"/>
      <c r="OUI88" s="163"/>
      <c r="OUJ88" s="163"/>
      <c r="OUK88" s="163"/>
      <c r="OUL88" s="163"/>
      <c r="OUM88" s="163"/>
      <c r="OUN88" s="163"/>
      <c r="OUO88" s="163"/>
      <c r="OUP88" s="163"/>
      <c r="OUQ88" s="163"/>
      <c r="OUR88" s="163"/>
      <c r="OUS88" s="163"/>
      <c r="OUT88" s="163"/>
      <c r="OUU88" s="163"/>
      <c r="OUV88" s="163"/>
      <c r="OUW88" s="163"/>
      <c r="OUX88" s="163"/>
      <c r="OUY88" s="163"/>
      <c r="OUZ88" s="163"/>
      <c r="OVA88" s="163"/>
      <c r="OVB88" s="163"/>
      <c r="OVC88" s="163"/>
      <c r="OVD88" s="163"/>
      <c r="OVE88" s="163"/>
      <c r="OVF88" s="163"/>
      <c r="OVG88" s="163"/>
      <c r="OVH88" s="163"/>
      <c r="OVI88" s="163"/>
      <c r="OVJ88" s="163"/>
      <c r="OVK88" s="163"/>
      <c r="OVL88" s="163"/>
      <c r="OVM88" s="163"/>
      <c r="OVN88" s="163"/>
      <c r="OVO88" s="163"/>
      <c r="OVP88" s="163"/>
      <c r="OVQ88" s="163"/>
      <c r="OVR88" s="163"/>
      <c r="OVS88" s="163"/>
      <c r="OVT88" s="163"/>
      <c r="OVU88" s="163"/>
      <c r="OVV88" s="163"/>
      <c r="OVW88" s="163"/>
      <c r="OVX88" s="163"/>
      <c r="OVY88" s="163"/>
      <c r="OVZ88" s="163"/>
      <c r="OWA88" s="163"/>
      <c r="OWB88" s="163"/>
      <c r="OWC88" s="163"/>
      <c r="OWD88" s="163"/>
      <c r="OWE88" s="163"/>
      <c r="OWF88" s="163"/>
      <c r="OWG88" s="163"/>
      <c r="OWH88" s="163"/>
      <c r="OWI88" s="163"/>
      <c r="OWJ88" s="163"/>
      <c r="OWK88" s="163"/>
      <c r="OWL88" s="163"/>
      <c r="OWM88" s="163"/>
      <c r="OWN88" s="163"/>
      <c r="OWO88" s="163"/>
      <c r="OWP88" s="163"/>
      <c r="OWQ88" s="163"/>
      <c r="OWR88" s="163"/>
      <c r="OWS88" s="163"/>
      <c r="OWT88" s="163"/>
      <c r="OWU88" s="163"/>
      <c r="OWV88" s="163"/>
      <c r="OWW88" s="163"/>
      <c r="OWX88" s="163"/>
      <c r="OWY88" s="163"/>
      <c r="OWZ88" s="163"/>
      <c r="OXA88" s="163"/>
      <c r="OXB88" s="163"/>
      <c r="OXC88" s="163"/>
      <c r="OXD88" s="163"/>
      <c r="OXE88" s="163"/>
      <c r="OXF88" s="163"/>
      <c r="OXG88" s="163"/>
      <c r="OXH88" s="163"/>
      <c r="OXI88" s="163"/>
      <c r="OXJ88" s="163"/>
      <c r="OXK88" s="163"/>
      <c r="OXL88" s="163"/>
      <c r="OXM88" s="163"/>
      <c r="OXN88" s="163"/>
      <c r="OXO88" s="163"/>
      <c r="OXP88" s="163"/>
      <c r="OXQ88" s="163"/>
      <c r="OXR88" s="163"/>
      <c r="OXS88" s="163"/>
      <c r="OXT88" s="163"/>
      <c r="OXU88" s="163"/>
      <c r="OXV88" s="163"/>
      <c r="OXW88" s="163"/>
      <c r="OXX88" s="163"/>
      <c r="OXY88" s="163"/>
      <c r="OXZ88" s="163"/>
      <c r="OYA88" s="163"/>
      <c r="OYB88" s="163"/>
      <c r="OYC88" s="163"/>
      <c r="OYD88" s="163"/>
      <c r="OYE88" s="163"/>
      <c r="OYF88" s="163"/>
      <c r="OYG88" s="163"/>
      <c r="OYH88" s="163"/>
      <c r="OYI88" s="163"/>
      <c r="OYJ88" s="163"/>
      <c r="OYK88" s="163"/>
      <c r="OYL88" s="163"/>
      <c r="OYM88" s="163"/>
      <c r="OYN88" s="163"/>
      <c r="OYO88" s="163"/>
      <c r="OYP88" s="163"/>
      <c r="OYQ88" s="163"/>
      <c r="OYR88" s="163"/>
      <c r="OYS88" s="163"/>
      <c r="OYT88" s="163"/>
      <c r="OYU88" s="163"/>
      <c r="OYV88" s="163"/>
      <c r="OYW88" s="163"/>
      <c r="OYX88" s="163"/>
      <c r="OYY88" s="163"/>
      <c r="OYZ88" s="163"/>
      <c r="OZA88" s="163"/>
      <c r="OZB88" s="163"/>
      <c r="OZC88" s="163"/>
      <c r="OZD88" s="163"/>
      <c r="OZE88" s="163"/>
      <c r="OZF88" s="163"/>
      <c r="OZG88" s="163"/>
      <c r="OZH88" s="163"/>
      <c r="OZI88" s="163"/>
      <c r="OZJ88" s="163"/>
      <c r="OZK88" s="163"/>
      <c r="OZL88" s="163"/>
      <c r="OZM88" s="163"/>
      <c r="OZN88" s="163"/>
      <c r="OZO88" s="163"/>
      <c r="OZP88" s="163"/>
      <c r="OZQ88" s="163"/>
      <c r="OZR88" s="163"/>
      <c r="OZS88" s="163"/>
      <c r="OZT88" s="163"/>
      <c r="OZU88" s="163"/>
      <c r="OZV88" s="163"/>
      <c r="OZW88" s="163"/>
      <c r="OZX88" s="163"/>
      <c r="OZY88" s="163"/>
      <c r="OZZ88" s="163"/>
      <c r="PAA88" s="163"/>
      <c r="PAB88" s="163"/>
      <c r="PAC88" s="163"/>
      <c r="PAD88" s="163"/>
      <c r="PAE88" s="163"/>
      <c r="PAF88" s="163"/>
      <c r="PAG88" s="163"/>
      <c r="PAH88" s="163"/>
      <c r="PAI88" s="163"/>
      <c r="PAJ88" s="163"/>
      <c r="PAK88" s="163"/>
      <c r="PAL88" s="163"/>
      <c r="PAM88" s="163"/>
      <c r="PAN88" s="163"/>
      <c r="PAO88" s="163"/>
      <c r="PAP88" s="163"/>
      <c r="PAQ88" s="163"/>
      <c r="PAR88" s="163"/>
      <c r="PAS88" s="163"/>
      <c r="PAT88" s="163"/>
      <c r="PAU88" s="163"/>
      <c r="PAV88" s="163"/>
      <c r="PAW88" s="163"/>
      <c r="PAX88" s="163"/>
      <c r="PAY88" s="163"/>
      <c r="PAZ88" s="163"/>
      <c r="PBA88" s="163"/>
      <c r="PBB88" s="163"/>
      <c r="PBC88" s="163"/>
      <c r="PBD88" s="163"/>
      <c r="PBE88" s="163"/>
      <c r="PBF88" s="163"/>
      <c r="PBG88" s="163"/>
      <c r="PBH88" s="163"/>
      <c r="PBI88" s="163"/>
      <c r="PBJ88" s="163"/>
      <c r="PBK88" s="163"/>
      <c r="PBL88" s="163"/>
      <c r="PBM88" s="163"/>
      <c r="PBN88" s="163"/>
      <c r="PBO88" s="163"/>
      <c r="PBP88" s="163"/>
      <c r="PBQ88" s="163"/>
      <c r="PBR88" s="163"/>
      <c r="PBS88" s="163"/>
      <c r="PBT88" s="163"/>
      <c r="PBU88" s="163"/>
      <c r="PBV88" s="163"/>
      <c r="PBW88" s="163"/>
      <c r="PBX88" s="163"/>
      <c r="PBY88" s="163"/>
      <c r="PBZ88" s="163"/>
      <c r="PCA88" s="163"/>
      <c r="PCB88" s="163"/>
      <c r="PCC88" s="163"/>
      <c r="PCD88" s="163"/>
      <c r="PCE88" s="163"/>
      <c r="PCF88" s="163"/>
      <c r="PCG88" s="163"/>
      <c r="PCH88" s="163"/>
      <c r="PCI88" s="163"/>
      <c r="PCJ88" s="163"/>
      <c r="PCK88" s="163"/>
      <c r="PCL88" s="163"/>
      <c r="PCM88" s="163"/>
      <c r="PCN88" s="163"/>
      <c r="PCO88" s="163"/>
      <c r="PCP88" s="163"/>
      <c r="PCQ88" s="163"/>
      <c r="PCR88" s="163"/>
      <c r="PCS88" s="163"/>
      <c r="PCT88" s="163"/>
      <c r="PCU88" s="163"/>
      <c r="PCV88" s="163"/>
      <c r="PCW88" s="163"/>
      <c r="PCX88" s="163"/>
      <c r="PCY88" s="163"/>
      <c r="PCZ88" s="163"/>
      <c r="PDA88" s="163"/>
      <c r="PDB88" s="163"/>
      <c r="PDC88" s="163"/>
      <c r="PDD88" s="163"/>
      <c r="PDE88" s="163"/>
      <c r="PDF88" s="163"/>
      <c r="PDG88" s="163"/>
      <c r="PDH88" s="163"/>
      <c r="PDI88" s="163"/>
      <c r="PDJ88" s="163"/>
      <c r="PDK88" s="163"/>
      <c r="PDL88" s="163"/>
      <c r="PDM88" s="163"/>
      <c r="PDN88" s="163"/>
      <c r="PDO88" s="163"/>
      <c r="PDP88" s="163"/>
      <c r="PDQ88" s="163"/>
      <c r="PDR88" s="163"/>
      <c r="PDS88" s="163"/>
      <c r="PDT88" s="163"/>
      <c r="PDU88" s="163"/>
      <c r="PDV88" s="163"/>
      <c r="PDW88" s="163"/>
      <c r="PDX88" s="163"/>
      <c r="PDY88" s="163"/>
      <c r="PDZ88" s="163"/>
      <c r="PEA88" s="163"/>
      <c r="PEB88" s="163"/>
      <c r="PEC88" s="163"/>
      <c r="PED88" s="163"/>
      <c r="PEE88" s="163"/>
      <c r="PEF88" s="163"/>
      <c r="PEG88" s="163"/>
      <c r="PEH88" s="163"/>
      <c r="PEI88" s="163"/>
      <c r="PEJ88" s="163"/>
      <c r="PEK88" s="163"/>
      <c r="PEL88" s="163"/>
      <c r="PEM88" s="163"/>
      <c r="PEN88" s="163"/>
      <c r="PEO88" s="163"/>
      <c r="PEP88" s="163"/>
      <c r="PEQ88" s="163"/>
      <c r="PER88" s="163"/>
      <c r="PES88" s="163"/>
      <c r="PET88" s="163"/>
      <c r="PEU88" s="163"/>
      <c r="PEV88" s="163"/>
      <c r="PEW88" s="163"/>
      <c r="PEX88" s="163"/>
      <c r="PEY88" s="163"/>
      <c r="PEZ88" s="163"/>
      <c r="PFA88" s="163"/>
      <c r="PFB88" s="163"/>
      <c r="PFC88" s="163"/>
      <c r="PFD88" s="163"/>
      <c r="PFE88" s="163"/>
      <c r="PFF88" s="163"/>
      <c r="PFG88" s="163"/>
      <c r="PFH88" s="163"/>
      <c r="PFI88" s="163"/>
      <c r="PFJ88" s="163"/>
      <c r="PFK88" s="163"/>
      <c r="PFL88" s="163"/>
      <c r="PFM88" s="163"/>
      <c r="PFN88" s="163"/>
      <c r="PFO88" s="163"/>
      <c r="PFP88" s="163"/>
      <c r="PFQ88" s="163"/>
      <c r="PFR88" s="163"/>
      <c r="PFS88" s="163"/>
      <c r="PFT88" s="163"/>
      <c r="PFU88" s="163"/>
      <c r="PFV88" s="163"/>
      <c r="PFW88" s="163"/>
      <c r="PFX88" s="163"/>
      <c r="PFY88" s="163"/>
      <c r="PFZ88" s="163"/>
      <c r="PGA88" s="163"/>
      <c r="PGB88" s="163"/>
      <c r="PGC88" s="163"/>
      <c r="PGD88" s="163"/>
      <c r="PGE88" s="163"/>
      <c r="PGF88" s="163"/>
      <c r="PGG88" s="163"/>
      <c r="PGH88" s="163"/>
      <c r="PGI88" s="163"/>
      <c r="PGJ88" s="163"/>
      <c r="PGK88" s="163"/>
      <c r="PGL88" s="163"/>
      <c r="PGM88" s="163"/>
      <c r="PGN88" s="163"/>
      <c r="PGO88" s="163"/>
      <c r="PGP88" s="163"/>
      <c r="PGQ88" s="163"/>
      <c r="PGR88" s="163"/>
      <c r="PGS88" s="163"/>
      <c r="PGT88" s="163"/>
      <c r="PGU88" s="163"/>
      <c r="PGV88" s="163"/>
      <c r="PGW88" s="163"/>
      <c r="PGX88" s="163"/>
      <c r="PGY88" s="163"/>
      <c r="PGZ88" s="163"/>
      <c r="PHA88" s="163"/>
      <c r="PHB88" s="163"/>
      <c r="PHC88" s="163"/>
      <c r="PHD88" s="163"/>
      <c r="PHE88" s="163"/>
      <c r="PHF88" s="163"/>
      <c r="PHG88" s="163"/>
      <c r="PHH88" s="163"/>
      <c r="PHI88" s="163"/>
      <c r="PHJ88" s="163"/>
      <c r="PHK88" s="163"/>
      <c r="PHL88" s="163"/>
      <c r="PHM88" s="163"/>
      <c r="PHN88" s="163"/>
      <c r="PHO88" s="163"/>
      <c r="PHP88" s="163"/>
      <c r="PHQ88" s="163"/>
      <c r="PHR88" s="163"/>
      <c r="PHS88" s="163"/>
      <c r="PHT88" s="163"/>
      <c r="PHU88" s="163"/>
      <c r="PHV88" s="163"/>
      <c r="PHW88" s="163"/>
      <c r="PHX88" s="163"/>
      <c r="PHY88" s="163"/>
      <c r="PHZ88" s="163"/>
      <c r="PIA88" s="163"/>
      <c r="PIB88" s="163"/>
      <c r="PIC88" s="163"/>
      <c r="PID88" s="163"/>
      <c r="PIE88" s="163"/>
      <c r="PIF88" s="163"/>
      <c r="PIG88" s="163"/>
      <c r="PIH88" s="163"/>
      <c r="PII88" s="163"/>
      <c r="PIJ88" s="163"/>
      <c r="PIK88" s="163"/>
      <c r="PIL88" s="163"/>
      <c r="PIM88" s="163"/>
      <c r="PIN88" s="163"/>
      <c r="PIO88" s="163"/>
      <c r="PIP88" s="163"/>
      <c r="PIQ88" s="163"/>
      <c r="PIR88" s="163"/>
      <c r="PIS88" s="163"/>
      <c r="PIT88" s="163"/>
      <c r="PIU88" s="163"/>
      <c r="PIV88" s="163"/>
      <c r="PIW88" s="163"/>
      <c r="PIX88" s="163"/>
      <c r="PIY88" s="163"/>
      <c r="PIZ88" s="163"/>
      <c r="PJA88" s="163"/>
      <c r="PJB88" s="163"/>
      <c r="PJC88" s="163"/>
      <c r="PJD88" s="163"/>
      <c r="PJE88" s="163"/>
      <c r="PJF88" s="163"/>
      <c r="PJG88" s="163"/>
      <c r="PJH88" s="163"/>
      <c r="PJI88" s="163"/>
      <c r="PJJ88" s="163"/>
      <c r="PJK88" s="163"/>
      <c r="PJL88" s="163"/>
      <c r="PJM88" s="163"/>
      <c r="PJN88" s="163"/>
      <c r="PJO88" s="163"/>
      <c r="PJP88" s="163"/>
      <c r="PJQ88" s="163"/>
      <c r="PJR88" s="163"/>
      <c r="PJS88" s="163"/>
      <c r="PJT88" s="163"/>
      <c r="PJU88" s="163"/>
      <c r="PJV88" s="163"/>
      <c r="PJW88" s="163"/>
      <c r="PJX88" s="163"/>
      <c r="PJY88" s="163"/>
      <c r="PJZ88" s="163"/>
      <c r="PKA88" s="163"/>
      <c r="PKB88" s="163"/>
      <c r="PKC88" s="163"/>
      <c r="PKD88" s="163"/>
      <c r="PKE88" s="163"/>
      <c r="PKF88" s="163"/>
      <c r="PKG88" s="163"/>
      <c r="PKH88" s="163"/>
      <c r="PKI88" s="163"/>
      <c r="PKJ88" s="163"/>
      <c r="PKK88" s="163"/>
      <c r="PKL88" s="163"/>
      <c r="PKM88" s="163"/>
      <c r="PKN88" s="163"/>
      <c r="PKO88" s="163"/>
      <c r="PKP88" s="163"/>
      <c r="PKQ88" s="163"/>
      <c r="PKR88" s="163"/>
      <c r="PKS88" s="163"/>
      <c r="PKT88" s="163"/>
      <c r="PKU88" s="163"/>
      <c r="PKV88" s="163"/>
      <c r="PKW88" s="163"/>
      <c r="PKX88" s="163"/>
      <c r="PKY88" s="163"/>
      <c r="PKZ88" s="163"/>
      <c r="PLA88" s="163"/>
      <c r="PLB88" s="163"/>
      <c r="PLC88" s="163"/>
      <c r="PLD88" s="163"/>
      <c r="PLE88" s="163"/>
      <c r="PLF88" s="163"/>
      <c r="PLG88" s="163"/>
      <c r="PLH88" s="163"/>
      <c r="PLI88" s="163"/>
      <c r="PLJ88" s="163"/>
      <c r="PLK88" s="163"/>
      <c r="PLL88" s="163"/>
      <c r="PLM88" s="163"/>
      <c r="PLN88" s="163"/>
      <c r="PLO88" s="163"/>
      <c r="PLP88" s="163"/>
      <c r="PLQ88" s="163"/>
      <c r="PLR88" s="163"/>
      <c r="PLS88" s="163"/>
      <c r="PLT88" s="163"/>
      <c r="PLU88" s="163"/>
      <c r="PLV88" s="163"/>
      <c r="PLW88" s="163"/>
      <c r="PLX88" s="163"/>
      <c r="PLY88" s="163"/>
      <c r="PLZ88" s="163"/>
      <c r="PMA88" s="163"/>
      <c r="PMB88" s="163"/>
      <c r="PMC88" s="163"/>
      <c r="PMD88" s="163"/>
      <c r="PME88" s="163"/>
      <c r="PMF88" s="163"/>
      <c r="PMG88" s="163"/>
      <c r="PMH88" s="163"/>
      <c r="PMI88" s="163"/>
      <c r="PMJ88" s="163"/>
      <c r="PMK88" s="163"/>
      <c r="PML88" s="163"/>
      <c r="PMM88" s="163"/>
      <c r="PMN88" s="163"/>
      <c r="PMO88" s="163"/>
      <c r="PMP88" s="163"/>
      <c r="PMQ88" s="163"/>
      <c r="PMR88" s="163"/>
      <c r="PMS88" s="163"/>
      <c r="PMT88" s="163"/>
      <c r="PMU88" s="163"/>
      <c r="PMV88" s="163"/>
      <c r="PMW88" s="163"/>
      <c r="PMX88" s="163"/>
      <c r="PMY88" s="163"/>
      <c r="PMZ88" s="163"/>
      <c r="PNA88" s="163"/>
      <c r="PNB88" s="163"/>
      <c r="PNC88" s="163"/>
      <c r="PND88" s="163"/>
      <c r="PNE88" s="163"/>
      <c r="PNF88" s="163"/>
      <c r="PNG88" s="163"/>
      <c r="PNH88" s="163"/>
      <c r="PNI88" s="163"/>
      <c r="PNJ88" s="163"/>
      <c r="PNK88" s="163"/>
      <c r="PNL88" s="163"/>
      <c r="PNM88" s="163"/>
      <c r="PNN88" s="163"/>
      <c r="PNO88" s="163"/>
      <c r="PNP88" s="163"/>
      <c r="PNQ88" s="163"/>
      <c r="PNR88" s="163"/>
      <c r="PNS88" s="163"/>
      <c r="PNT88" s="163"/>
      <c r="PNU88" s="163"/>
      <c r="PNV88" s="163"/>
      <c r="PNW88" s="163"/>
      <c r="PNX88" s="163"/>
      <c r="PNY88" s="163"/>
      <c r="PNZ88" s="163"/>
      <c r="POA88" s="163"/>
      <c r="POB88" s="163"/>
      <c r="POC88" s="163"/>
      <c r="POD88" s="163"/>
      <c r="POE88" s="163"/>
      <c r="POF88" s="163"/>
      <c r="POG88" s="163"/>
      <c r="POH88" s="163"/>
      <c r="POI88" s="163"/>
      <c r="POJ88" s="163"/>
      <c r="POK88" s="163"/>
      <c r="POL88" s="163"/>
      <c r="POM88" s="163"/>
      <c r="PON88" s="163"/>
      <c r="POO88" s="163"/>
      <c r="POP88" s="163"/>
      <c r="POQ88" s="163"/>
      <c r="POR88" s="163"/>
      <c r="POS88" s="163"/>
      <c r="POT88" s="163"/>
      <c r="POU88" s="163"/>
      <c r="POV88" s="163"/>
      <c r="POW88" s="163"/>
      <c r="POX88" s="163"/>
      <c r="POY88" s="163"/>
      <c r="POZ88" s="163"/>
      <c r="PPA88" s="163"/>
      <c r="PPB88" s="163"/>
      <c r="PPC88" s="163"/>
      <c r="PPD88" s="163"/>
      <c r="PPE88" s="163"/>
      <c r="PPF88" s="163"/>
      <c r="PPG88" s="163"/>
      <c r="PPH88" s="163"/>
      <c r="PPI88" s="163"/>
      <c r="PPJ88" s="163"/>
      <c r="PPK88" s="163"/>
      <c r="PPL88" s="163"/>
      <c r="PPM88" s="163"/>
      <c r="PPN88" s="163"/>
      <c r="PPO88" s="163"/>
      <c r="PPP88" s="163"/>
      <c r="PPQ88" s="163"/>
      <c r="PPR88" s="163"/>
      <c r="PPS88" s="163"/>
      <c r="PPT88" s="163"/>
      <c r="PPU88" s="163"/>
      <c r="PPV88" s="163"/>
      <c r="PPW88" s="163"/>
      <c r="PPX88" s="163"/>
      <c r="PPY88" s="163"/>
      <c r="PPZ88" s="163"/>
      <c r="PQA88" s="163"/>
      <c r="PQB88" s="163"/>
      <c r="PQC88" s="163"/>
      <c r="PQD88" s="163"/>
      <c r="PQE88" s="163"/>
      <c r="PQF88" s="163"/>
      <c r="PQG88" s="163"/>
      <c r="PQH88" s="163"/>
      <c r="PQI88" s="163"/>
      <c r="PQJ88" s="163"/>
      <c r="PQK88" s="163"/>
      <c r="PQL88" s="163"/>
      <c r="PQM88" s="163"/>
      <c r="PQN88" s="163"/>
      <c r="PQO88" s="163"/>
      <c r="PQP88" s="163"/>
      <c r="PQQ88" s="163"/>
      <c r="PQR88" s="163"/>
      <c r="PQS88" s="163"/>
      <c r="PQT88" s="163"/>
      <c r="PQU88" s="163"/>
      <c r="PQV88" s="163"/>
      <c r="PQW88" s="163"/>
      <c r="PQX88" s="163"/>
      <c r="PQY88" s="163"/>
      <c r="PQZ88" s="163"/>
      <c r="PRA88" s="163"/>
      <c r="PRB88" s="163"/>
      <c r="PRC88" s="163"/>
      <c r="PRD88" s="163"/>
      <c r="PRE88" s="163"/>
      <c r="PRF88" s="163"/>
      <c r="PRG88" s="163"/>
      <c r="PRH88" s="163"/>
      <c r="PRI88" s="163"/>
      <c r="PRJ88" s="163"/>
      <c r="PRK88" s="163"/>
      <c r="PRL88" s="163"/>
      <c r="PRM88" s="163"/>
      <c r="PRN88" s="163"/>
      <c r="PRO88" s="163"/>
      <c r="PRP88" s="163"/>
      <c r="PRQ88" s="163"/>
      <c r="PRR88" s="163"/>
      <c r="PRS88" s="163"/>
      <c r="PRT88" s="163"/>
      <c r="PRU88" s="163"/>
      <c r="PRV88" s="163"/>
      <c r="PRW88" s="163"/>
      <c r="PRX88" s="163"/>
      <c r="PRY88" s="163"/>
      <c r="PRZ88" s="163"/>
      <c r="PSA88" s="163"/>
      <c r="PSB88" s="163"/>
      <c r="PSC88" s="163"/>
      <c r="PSD88" s="163"/>
      <c r="PSE88" s="163"/>
      <c r="PSF88" s="163"/>
      <c r="PSG88" s="163"/>
      <c r="PSH88" s="163"/>
      <c r="PSI88" s="163"/>
      <c r="PSJ88" s="163"/>
      <c r="PSK88" s="163"/>
      <c r="PSL88" s="163"/>
      <c r="PSM88" s="163"/>
      <c r="PSN88" s="163"/>
      <c r="PSO88" s="163"/>
      <c r="PSP88" s="163"/>
      <c r="PSQ88" s="163"/>
      <c r="PSR88" s="163"/>
      <c r="PSS88" s="163"/>
      <c r="PST88" s="163"/>
      <c r="PSU88" s="163"/>
      <c r="PSV88" s="163"/>
      <c r="PSW88" s="163"/>
      <c r="PSX88" s="163"/>
      <c r="PSY88" s="163"/>
      <c r="PSZ88" s="163"/>
      <c r="PTA88" s="163"/>
      <c r="PTB88" s="163"/>
      <c r="PTC88" s="163"/>
      <c r="PTD88" s="163"/>
      <c r="PTE88" s="163"/>
      <c r="PTF88" s="163"/>
      <c r="PTG88" s="163"/>
      <c r="PTH88" s="163"/>
      <c r="PTI88" s="163"/>
      <c r="PTJ88" s="163"/>
      <c r="PTK88" s="163"/>
      <c r="PTL88" s="163"/>
      <c r="PTM88" s="163"/>
      <c r="PTN88" s="163"/>
      <c r="PTO88" s="163"/>
      <c r="PTP88" s="163"/>
      <c r="PTQ88" s="163"/>
      <c r="PTR88" s="163"/>
      <c r="PTS88" s="163"/>
      <c r="PTT88" s="163"/>
      <c r="PTU88" s="163"/>
      <c r="PTV88" s="163"/>
      <c r="PTW88" s="163"/>
      <c r="PTX88" s="163"/>
      <c r="PTY88" s="163"/>
      <c r="PTZ88" s="163"/>
      <c r="PUA88" s="163"/>
      <c r="PUB88" s="163"/>
      <c r="PUC88" s="163"/>
      <c r="PUD88" s="163"/>
      <c r="PUE88" s="163"/>
      <c r="PUF88" s="163"/>
      <c r="PUG88" s="163"/>
      <c r="PUH88" s="163"/>
      <c r="PUI88" s="163"/>
      <c r="PUJ88" s="163"/>
      <c r="PUK88" s="163"/>
      <c r="PUL88" s="163"/>
      <c r="PUM88" s="163"/>
      <c r="PUN88" s="163"/>
      <c r="PUO88" s="163"/>
      <c r="PUP88" s="163"/>
      <c r="PUQ88" s="163"/>
      <c r="PUR88" s="163"/>
      <c r="PUS88" s="163"/>
      <c r="PUT88" s="163"/>
      <c r="PUU88" s="163"/>
      <c r="PUV88" s="163"/>
      <c r="PUW88" s="163"/>
      <c r="PUX88" s="163"/>
      <c r="PUY88" s="163"/>
      <c r="PUZ88" s="163"/>
      <c r="PVA88" s="163"/>
      <c r="PVB88" s="163"/>
      <c r="PVC88" s="163"/>
      <c r="PVD88" s="163"/>
      <c r="PVE88" s="163"/>
      <c r="PVF88" s="163"/>
      <c r="PVG88" s="163"/>
      <c r="PVH88" s="163"/>
      <c r="PVI88" s="163"/>
      <c r="PVJ88" s="163"/>
      <c r="PVK88" s="163"/>
      <c r="PVL88" s="163"/>
      <c r="PVM88" s="163"/>
      <c r="PVN88" s="163"/>
      <c r="PVO88" s="163"/>
      <c r="PVP88" s="163"/>
      <c r="PVQ88" s="163"/>
      <c r="PVR88" s="163"/>
      <c r="PVS88" s="163"/>
      <c r="PVT88" s="163"/>
      <c r="PVU88" s="163"/>
      <c r="PVV88" s="163"/>
      <c r="PVW88" s="163"/>
      <c r="PVX88" s="163"/>
      <c r="PVY88" s="163"/>
      <c r="PVZ88" s="163"/>
      <c r="PWA88" s="163"/>
      <c r="PWB88" s="163"/>
      <c r="PWC88" s="163"/>
      <c r="PWD88" s="163"/>
      <c r="PWE88" s="163"/>
      <c r="PWF88" s="163"/>
      <c r="PWG88" s="163"/>
      <c r="PWH88" s="163"/>
      <c r="PWI88" s="163"/>
      <c r="PWJ88" s="163"/>
      <c r="PWK88" s="163"/>
      <c r="PWL88" s="163"/>
      <c r="PWM88" s="163"/>
      <c r="PWN88" s="163"/>
      <c r="PWO88" s="163"/>
      <c r="PWP88" s="163"/>
      <c r="PWQ88" s="163"/>
      <c r="PWR88" s="163"/>
      <c r="PWS88" s="163"/>
      <c r="PWT88" s="163"/>
      <c r="PWU88" s="163"/>
      <c r="PWV88" s="163"/>
      <c r="PWW88" s="163"/>
      <c r="PWX88" s="163"/>
      <c r="PWY88" s="163"/>
      <c r="PWZ88" s="163"/>
      <c r="PXA88" s="163"/>
      <c r="PXB88" s="163"/>
      <c r="PXC88" s="163"/>
      <c r="PXD88" s="163"/>
      <c r="PXE88" s="163"/>
      <c r="PXF88" s="163"/>
      <c r="PXG88" s="163"/>
      <c r="PXH88" s="163"/>
      <c r="PXI88" s="163"/>
      <c r="PXJ88" s="163"/>
      <c r="PXK88" s="163"/>
      <c r="PXL88" s="163"/>
      <c r="PXM88" s="163"/>
      <c r="PXN88" s="163"/>
      <c r="PXO88" s="163"/>
      <c r="PXP88" s="163"/>
      <c r="PXQ88" s="163"/>
      <c r="PXR88" s="163"/>
      <c r="PXS88" s="163"/>
      <c r="PXT88" s="163"/>
      <c r="PXU88" s="163"/>
      <c r="PXV88" s="163"/>
      <c r="PXW88" s="163"/>
      <c r="PXX88" s="163"/>
      <c r="PXY88" s="163"/>
      <c r="PXZ88" s="163"/>
      <c r="PYA88" s="163"/>
      <c r="PYB88" s="163"/>
      <c r="PYC88" s="163"/>
      <c r="PYD88" s="163"/>
      <c r="PYE88" s="163"/>
      <c r="PYF88" s="163"/>
      <c r="PYG88" s="163"/>
      <c r="PYH88" s="163"/>
      <c r="PYI88" s="163"/>
      <c r="PYJ88" s="163"/>
      <c r="PYK88" s="163"/>
      <c r="PYL88" s="163"/>
      <c r="PYM88" s="163"/>
      <c r="PYN88" s="163"/>
      <c r="PYO88" s="163"/>
      <c r="PYP88" s="163"/>
      <c r="PYQ88" s="163"/>
      <c r="PYR88" s="163"/>
      <c r="PYS88" s="163"/>
      <c r="PYT88" s="163"/>
      <c r="PYU88" s="163"/>
      <c r="PYV88" s="163"/>
      <c r="PYW88" s="163"/>
      <c r="PYX88" s="163"/>
      <c r="PYY88" s="163"/>
      <c r="PYZ88" s="163"/>
      <c r="PZA88" s="163"/>
      <c r="PZB88" s="163"/>
      <c r="PZC88" s="163"/>
      <c r="PZD88" s="163"/>
      <c r="PZE88" s="163"/>
      <c r="PZF88" s="163"/>
      <c r="PZG88" s="163"/>
      <c r="PZH88" s="163"/>
      <c r="PZI88" s="163"/>
      <c r="PZJ88" s="163"/>
      <c r="PZK88" s="163"/>
      <c r="PZL88" s="163"/>
      <c r="PZM88" s="163"/>
      <c r="PZN88" s="163"/>
      <c r="PZO88" s="163"/>
      <c r="PZP88" s="163"/>
      <c r="PZQ88" s="163"/>
      <c r="PZR88" s="163"/>
      <c r="PZS88" s="163"/>
      <c r="PZT88" s="163"/>
      <c r="PZU88" s="163"/>
      <c r="PZV88" s="163"/>
      <c r="PZW88" s="163"/>
      <c r="PZX88" s="163"/>
      <c r="PZY88" s="163"/>
      <c r="PZZ88" s="163"/>
      <c r="QAA88" s="163"/>
      <c r="QAB88" s="163"/>
      <c r="QAC88" s="163"/>
      <c r="QAD88" s="163"/>
      <c r="QAE88" s="163"/>
      <c r="QAF88" s="163"/>
      <c r="QAG88" s="163"/>
      <c r="QAH88" s="163"/>
      <c r="QAI88" s="163"/>
      <c r="QAJ88" s="163"/>
      <c r="QAK88" s="163"/>
      <c r="QAL88" s="163"/>
      <c r="QAM88" s="163"/>
      <c r="QAN88" s="163"/>
      <c r="QAO88" s="163"/>
      <c r="QAP88" s="163"/>
      <c r="QAQ88" s="163"/>
      <c r="QAR88" s="163"/>
      <c r="QAS88" s="163"/>
      <c r="QAT88" s="163"/>
      <c r="QAU88" s="163"/>
      <c r="QAV88" s="163"/>
      <c r="QAW88" s="163"/>
      <c r="QAX88" s="163"/>
      <c r="QAY88" s="163"/>
      <c r="QAZ88" s="163"/>
      <c r="QBA88" s="163"/>
      <c r="QBB88" s="163"/>
      <c r="QBC88" s="163"/>
      <c r="QBD88" s="163"/>
      <c r="QBE88" s="163"/>
      <c r="QBF88" s="163"/>
      <c r="QBG88" s="163"/>
      <c r="QBH88" s="163"/>
      <c r="QBI88" s="163"/>
      <c r="QBJ88" s="163"/>
      <c r="QBK88" s="163"/>
      <c r="QBL88" s="163"/>
      <c r="QBM88" s="163"/>
      <c r="QBN88" s="163"/>
      <c r="QBO88" s="163"/>
      <c r="QBP88" s="163"/>
      <c r="QBQ88" s="163"/>
      <c r="QBR88" s="163"/>
      <c r="QBS88" s="163"/>
      <c r="QBT88" s="163"/>
      <c r="QBU88" s="163"/>
      <c r="QBV88" s="163"/>
      <c r="QBW88" s="163"/>
      <c r="QBX88" s="163"/>
      <c r="QBY88" s="163"/>
      <c r="QBZ88" s="163"/>
      <c r="QCA88" s="163"/>
      <c r="QCB88" s="163"/>
      <c r="QCC88" s="163"/>
      <c r="QCD88" s="163"/>
      <c r="QCE88" s="163"/>
      <c r="QCF88" s="163"/>
      <c r="QCG88" s="163"/>
      <c r="QCH88" s="163"/>
      <c r="QCI88" s="163"/>
      <c r="QCJ88" s="163"/>
      <c r="QCK88" s="163"/>
      <c r="QCL88" s="163"/>
      <c r="QCM88" s="163"/>
      <c r="QCN88" s="163"/>
      <c r="QCO88" s="163"/>
      <c r="QCP88" s="163"/>
      <c r="QCQ88" s="163"/>
      <c r="QCR88" s="163"/>
      <c r="QCS88" s="163"/>
      <c r="QCT88" s="163"/>
      <c r="QCU88" s="163"/>
      <c r="QCV88" s="163"/>
      <c r="QCW88" s="163"/>
      <c r="QCX88" s="163"/>
      <c r="QCY88" s="163"/>
      <c r="QCZ88" s="163"/>
      <c r="QDA88" s="163"/>
      <c r="QDB88" s="163"/>
      <c r="QDC88" s="163"/>
      <c r="QDD88" s="163"/>
      <c r="QDE88" s="163"/>
      <c r="QDF88" s="163"/>
      <c r="QDG88" s="163"/>
      <c r="QDH88" s="163"/>
      <c r="QDI88" s="163"/>
      <c r="QDJ88" s="163"/>
      <c r="QDK88" s="163"/>
      <c r="QDL88" s="163"/>
      <c r="QDM88" s="163"/>
      <c r="QDN88" s="163"/>
      <c r="QDO88" s="163"/>
      <c r="QDP88" s="163"/>
      <c r="QDQ88" s="163"/>
      <c r="QDR88" s="163"/>
      <c r="QDS88" s="163"/>
      <c r="QDT88" s="163"/>
      <c r="QDU88" s="163"/>
      <c r="QDV88" s="163"/>
      <c r="QDW88" s="163"/>
      <c r="QDX88" s="163"/>
      <c r="QDY88" s="163"/>
      <c r="QDZ88" s="163"/>
      <c r="QEA88" s="163"/>
      <c r="QEB88" s="163"/>
      <c r="QEC88" s="163"/>
      <c r="QED88" s="163"/>
      <c r="QEE88" s="163"/>
      <c r="QEF88" s="163"/>
      <c r="QEG88" s="163"/>
      <c r="QEH88" s="163"/>
      <c r="QEI88" s="163"/>
      <c r="QEJ88" s="163"/>
      <c r="QEK88" s="163"/>
      <c r="QEL88" s="163"/>
      <c r="QEM88" s="163"/>
      <c r="QEN88" s="163"/>
      <c r="QEO88" s="163"/>
      <c r="QEP88" s="163"/>
      <c r="QEQ88" s="163"/>
      <c r="QER88" s="163"/>
      <c r="QES88" s="163"/>
      <c r="QET88" s="163"/>
      <c r="QEU88" s="163"/>
      <c r="QEV88" s="163"/>
      <c r="QEW88" s="163"/>
      <c r="QEX88" s="163"/>
      <c r="QEY88" s="163"/>
      <c r="QEZ88" s="163"/>
      <c r="QFA88" s="163"/>
      <c r="QFB88" s="163"/>
      <c r="QFC88" s="163"/>
      <c r="QFD88" s="163"/>
      <c r="QFE88" s="163"/>
      <c r="QFF88" s="163"/>
      <c r="QFG88" s="163"/>
      <c r="QFH88" s="163"/>
      <c r="QFI88" s="163"/>
      <c r="QFJ88" s="163"/>
      <c r="QFK88" s="163"/>
      <c r="QFL88" s="163"/>
      <c r="QFM88" s="163"/>
      <c r="QFN88" s="163"/>
      <c r="QFO88" s="163"/>
      <c r="QFP88" s="163"/>
      <c r="QFQ88" s="163"/>
      <c r="QFR88" s="163"/>
      <c r="QFS88" s="163"/>
      <c r="QFT88" s="163"/>
      <c r="QFU88" s="163"/>
      <c r="QFV88" s="163"/>
      <c r="QFW88" s="163"/>
      <c r="QFX88" s="163"/>
      <c r="QFY88" s="163"/>
      <c r="QFZ88" s="163"/>
      <c r="QGA88" s="163"/>
      <c r="QGB88" s="163"/>
      <c r="QGC88" s="163"/>
      <c r="QGD88" s="163"/>
      <c r="QGE88" s="163"/>
      <c r="QGF88" s="163"/>
      <c r="QGG88" s="163"/>
      <c r="QGH88" s="163"/>
      <c r="QGI88" s="163"/>
      <c r="QGJ88" s="163"/>
      <c r="QGK88" s="163"/>
      <c r="QGL88" s="163"/>
      <c r="QGM88" s="163"/>
      <c r="QGN88" s="163"/>
      <c r="QGO88" s="163"/>
      <c r="QGP88" s="163"/>
      <c r="QGQ88" s="163"/>
      <c r="QGR88" s="163"/>
      <c r="QGS88" s="163"/>
      <c r="QGT88" s="163"/>
      <c r="QGU88" s="163"/>
      <c r="QGV88" s="163"/>
      <c r="QGW88" s="163"/>
      <c r="QGX88" s="163"/>
      <c r="QGY88" s="163"/>
      <c r="QGZ88" s="163"/>
      <c r="QHA88" s="163"/>
      <c r="QHB88" s="163"/>
      <c r="QHC88" s="163"/>
      <c r="QHD88" s="163"/>
      <c r="QHE88" s="163"/>
      <c r="QHF88" s="163"/>
      <c r="QHG88" s="163"/>
      <c r="QHH88" s="163"/>
      <c r="QHI88" s="163"/>
      <c r="QHJ88" s="163"/>
      <c r="QHK88" s="163"/>
      <c r="QHL88" s="163"/>
      <c r="QHM88" s="163"/>
      <c r="QHN88" s="163"/>
      <c r="QHO88" s="163"/>
      <c r="QHP88" s="163"/>
      <c r="QHQ88" s="163"/>
      <c r="QHR88" s="163"/>
      <c r="QHS88" s="163"/>
      <c r="QHT88" s="163"/>
      <c r="QHU88" s="163"/>
      <c r="QHV88" s="163"/>
      <c r="QHW88" s="163"/>
      <c r="QHX88" s="163"/>
      <c r="QHY88" s="163"/>
      <c r="QHZ88" s="163"/>
      <c r="QIA88" s="163"/>
      <c r="QIB88" s="163"/>
      <c r="QIC88" s="163"/>
      <c r="QID88" s="163"/>
      <c r="QIE88" s="163"/>
      <c r="QIF88" s="163"/>
      <c r="QIG88" s="163"/>
      <c r="QIH88" s="163"/>
      <c r="QII88" s="163"/>
      <c r="QIJ88" s="163"/>
      <c r="QIK88" s="163"/>
      <c r="QIL88" s="163"/>
      <c r="QIM88" s="163"/>
      <c r="QIN88" s="163"/>
      <c r="QIO88" s="163"/>
      <c r="QIP88" s="163"/>
      <c r="QIQ88" s="163"/>
      <c r="QIR88" s="163"/>
      <c r="QIS88" s="163"/>
      <c r="QIT88" s="163"/>
      <c r="QIU88" s="163"/>
      <c r="QIV88" s="163"/>
      <c r="QIW88" s="163"/>
      <c r="QIX88" s="163"/>
      <c r="QIY88" s="163"/>
      <c r="QIZ88" s="163"/>
      <c r="QJA88" s="163"/>
      <c r="QJB88" s="163"/>
      <c r="QJC88" s="163"/>
      <c r="QJD88" s="163"/>
      <c r="QJE88" s="163"/>
      <c r="QJF88" s="163"/>
      <c r="QJG88" s="163"/>
      <c r="QJH88" s="163"/>
      <c r="QJI88" s="163"/>
      <c r="QJJ88" s="163"/>
      <c r="QJK88" s="163"/>
      <c r="QJL88" s="163"/>
      <c r="QJM88" s="163"/>
      <c r="QJN88" s="163"/>
      <c r="QJO88" s="163"/>
      <c r="QJP88" s="163"/>
      <c r="QJQ88" s="163"/>
      <c r="QJR88" s="163"/>
      <c r="QJS88" s="163"/>
      <c r="QJT88" s="163"/>
      <c r="QJU88" s="163"/>
      <c r="QJV88" s="163"/>
      <c r="QJW88" s="163"/>
      <c r="QJX88" s="163"/>
      <c r="QJY88" s="163"/>
      <c r="QJZ88" s="163"/>
      <c r="QKA88" s="163"/>
      <c r="QKB88" s="163"/>
      <c r="QKC88" s="163"/>
      <c r="QKD88" s="163"/>
      <c r="QKE88" s="163"/>
      <c r="QKF88" s="163"/>
      <c r="QKG88" s="163"/>
      <c r="QKH88" s="163"/>
      <c r="QKI88" s="163"/>
      <c r="QKJ88" s="163"/>
      <c r="QKK88" s="163"/>
      <c r="QKL88" s="163"/>
      <c r="QKM88" s="163"/>
      <c r="QKN88" s="163"/>
      <c r="QKO88" s="163"/>
      <c r="QKP88" s="163"/>
      <c r="QKQ88" s="163"/>
      <c r="QKR88" s="163"/>
      <c r="QKS88" s="163"/>
      <c r="QKT88" s="163"/>
      <c r="QKU88" s="163"/>
      <c r="QKV88" s="163"/>
      <c r="QKW88" s="163"/>
      <c r="QKX88" s="163"/>
      <c r="QKY88" s="163"/>
      <c r="QKZ88" s="163"/>
      <c r="QLA88" s="163"/>
      <c r="QLB88" s="163"/>
      <c r="QLC88" s="163"/>
      <c r="QLD88" s="163"/>
      <c r="QLE88" s="163"/>
      <c r="QLF88" s="163"/>
      <c r="QLG88" s="163"/>
      <c r="QLH88" s="163"/>
      <c r="QLI88" s="163"/>
      <c r="QLJ88" s="163"/>
      <c r="QLK88" s="163"/>
      <c r="QLL88" s="163"/>
      <c r="QLM88" s="163"/>
      <c r="QLN88" s="163"/>
      <c r="QLO88" s="163"/>
      <c r="QLP88" s="163"/>
      <c r="QLQ88" s="163"/>
      <c r="QLR88" s="163"/>
      <c r="QLS88" s="163"/>
      <c r="QLT88" s="163"/>
      <c r="QLU88" s="163"/>
      <c r="QLV88" s="163"/>
      <c r="QLW88" s="163"/>
      <c r="QLX88" s="163"/>
      <c r="QLY88" s="163"/>
      <c r="QLZ88" s="163"/>
      <c r="QMA88" s="163"/>
      <c r="QMB88" s="163"/>
      <c r="QMC88" s="163"/>
      <c r="QMD88" s="163"/>
      <c r="QME88" s="163"/>
      <c r="QMF88" s="163"/>
      <c r="QMG88" s="163"/>
      <c r="QMH88" s="163"/>
      <c r="QMI88" s="163"/>
      <c r="QMJ88" s="163"/>
      <c r="QMK88" s="163"/>
      <c r="QML88" s="163"/>
      <c r="QMM88" s="163"/>
      <c r="QMN88" s="163"/>
      <c r="QMO88" s="163"/>
      <c r="QMP88" s="163"/>
      <c r="QMQ88" s="163"/>
      <c r="QMR88" s="163"/>
      <c r="QMS88" s="163"/>
      <c r="QMT88" s="163"/>
      <c r="QMU88" s="163"/>
      <c r="QMV88" s="163"/>
      <c r="QMW88" s="163"/>
      <c r="QMX88" s="163"/>
      <c r="QMY88" s="163"/>
      <c r="QMZ88" s="163"/>
      <c r="QNA88" s="163"/>
      <c r="QNB88" s="163"/>
      <c r="QNC88" s="163"/>
      <c r="QND88" s="163"/>
      <c r="QNE88" s="163"/>
      <c r="QNF88" s="163"/>
      <c r="QNG88" s="163"/>
      <c r="QNH88" s="163"/>
      <c r="QNI88" s="163"/>
      <c r="QNJ88" s="163"/>
      <c r="QNK88" s="163"/>
      <c r="QNL88" s="163"/>
      <c r="QNM88" s="163"/>
      <c r="QNN88" s="163"/>
      <c r="QNO88" s="163"/>
      <c r="QNP88" s="163"/>
      <c r="QNQ88" s="163"/>
      <c r="QNR88" s="163"/>
      <c r="QNS88" s="163"/>
      <c r="QNT88" s="163"/>
      <c r="QNU88" s="163"/>
      <c r="QNV88" s="163"/>
      <c r="QNW88" s="163"/>
      <c r="QNX88" s="163"/>
      <c r="QNY88" s="163"/>
      <c r="QNZ88" s="163"/>
      <c r="QOA88" s="163"/>
      <c r="QOB88" s="163"/>
      <c r="QOC88" s="163"/>
      <c r="QOD88" s="163"/>
      <c r="QOE88" s="163"/>
      <c r="QOF88" s="163"/>
      <c r="QOG88" s="163"/>
      <c r="QOH88" s="163"/>
      <c r="QOI88" s="163"/>
      <c r="QOJ88" s="163"/>
      <c r="QOK88" s="163"/>
      <c r="QOL88" s="163"/>
      <c r="QOM88" s="163"/>
      <c r="QON88" s="163"/>
      <c r="QOO88" s="163"/>
      <c r="QOP88" s="163"/>
      <c r="QOQ88" s="163"/>
      <c r="QOR88" s="163"/>
      <c r="QOS88" s="163"/>
      <c r="QOT88" s="163"/>
      <c r="QOU88" s="163"/>
      <c r="QOV88" s="163"/>
      <c r="QOW88" s="163"/>
      <c r="QOX88" s="163"/>
      <c r="QOY88" s="163"/>
      <c r="QOZ88" s="163"/>
      <c r="QPA88" s="163"/>
      <c r="QPB88" s="163"/>
      <c r="QPC88" s="163"/>
      <c r="QPD88" s="163"/>
      <c r="QPE88" s="163"/>
      <c r="QPF88" s="163"/>
      <c r="QPG88" s="163"/>
      <c r="QPH88" s="163"/>
      <c r="QPI88" s="163"/>
      <c r="QPJ88" s="163"/>
      <c r="QPK88" s="163"/>
      <c r="QPL88" s="163"/>
      <c r="QPM88" s="163"/>
      <c r="QPN88" s="163"/>
      <c r="QPO88" s="163"/>
      <c r="QPP88" s="163"/>
      <c r="QPQ88" s="163"/>
      <c r="QPR88" s="163"/>
      <c r="QPS88" s="163"/>
      <c r="QPT88" s="163"/>
      <c r="QPU88" s="163"/>
      <c r="QPV88" s="163"/>
      <c r="QPW88" s="163"/>
      <c r="QPX88" s="163"/>
      <c r="QPY88" s="163"/>
      <c r="QPZ88" s="163"/>
      <c r="QQA88" s="163"/>
      <c r="QQB88" s="163"/>
      <c r="QQC88" s="163"/>
      <c r="QQD88" s="163"/>
      <c r="QQE88" s="163"/>
      <c r="QQF88" s="163"/>
      <c r="QQG88" s="163"/>
      <c r="QQH88" s="163"/>
      <c r="QQI88" s="163"/>
      <c r="QQJ88" s="163"/>
      <c r="QQK88" s="163"/>
      <c r="QQL88" s="163"/>
      <c r="QQM88" s="163"/>
      <c r="QQN88" s="163"/>
      <c r="QQO88" s="163"/>
      <c r="QQP88" s="163"/>
      <c r="QQQ88" s="163"/>
      <c r="QQR88" s="163"/>
      <c r="QQS88" s="163"/>
      <c r="QQT88" s="163"/>
      <c r="QQU88" s="163"/>
      <c r="QQV88" s="163"/>
      <c r="QQW88" s="163"/>
      <c r="QQX88" s="163"/>
      <c r="QQY88" s="163"/>
      <c r="QQZ88" s="163"/>
      <c r="QRA88" s="163"/>
      <c r="QRB88" s="163"/>
      <c r="QRC88" s="163"/>
      <c r="QRD88" s="163"/>
      <c r="QRE88" s="163"/>
      <c r="QRF88" s="163"/>
      <c r="QRG88" s="163"/>
      <c r="QRH88" s="163"/>
      <c r="QRI88" s="163"/>
      <c r="QRJ88" s="163"/>
      <c r="QRK88" s="163"/>
      <c r="QRL88" s="163"/>
      <c r="QRM88" s="163"/>
      <c r="QRN88" s="163"/>
      <c r="QRO88" s="163"/>
      <c r="QRP88" s="163"/>
      <c r="QRQ88" s="163"/>
      <c r="QRR88" s="163"/>
      <c r="QRS88" s="163"/>
      <c r="QRT88" s="163"/>
      <c r="QRU88" s="163"/>
      <c r="QRV88" s="163"/>
      <c r="QRW88" s="163"/>
      <c r="QRX88" s="163"/>
      <c r="QRY88" s="163"/>
      <c r="QRZ88" s="163"/>
      <c r="QSA88" s="163"/>
      <c r="QSB88" s="163"/>
      <c r="QSC88" s="163"/>
      <c r="QSD88" s="163"/>
      <c r="QSE88" s="163"/>
      <c r="QSF88" s="163"/>
      <c r="QSG88" s="163"/>
      <c r="QSH88" s="163"/>
      <c r="QSI88" s="163"/>
      <c r="QSJ88" s="163"/>
      <c r="QSK88" s="163"/>
      <c r="QSL88" s="163"/>
      <c r="QSM88" s="163"/>
      <c r="QSN88" s="163"/>
      <c r="QSO88" s="163"/>
      <c r="QSP88" s="163"/>
      <c r="QSQ88" s="163"/>
      <c r="QSR88" s="163"/>
      <c r="QSS88" s="163"/>
      <c r="QST88" s="163"/>
      <c r="QSU88" s="163"/>
      <c r="QSV88" s="163"/>
      <c r="QSW88" s="163"/>
      <c r="QSX88" s="163"/>
      <c r="QSY88" s="163"/>
      <c r="QSZ88" s="163"/>
      <c r="QTA88" s="163"/>
      <c r="QTB88" s="163"/>
      <c r="QTC88" s="163"/>
      <c r="QTD88" s="163"/>
      <c r="QTE88" s="163"/>
      <c r="QTF88" s="163"/>
      <c r="QTG88" s="163"/>
      <c r="QTH88" s="163"/>
      <c r="QTI88" s="163"/>
      <c r="QTJ88" s="163"/>
      <c r="QTK88" s="163"/>
      <c r="QTL88" s="163"/>
      <c r="QTM88" s="163"/>
      <c r="QTN88" s="163"/>
      <c r="QTO88" s="163"/>
      <c r="QTP88" s="163"/>
      <c r="QTQ88" s="163"/>
      <c r="QTR88" s="163"/>
      <c r="QTS88" s="163"/>
      <c r="QTT88" s="163"/>
      <c r="QTU88" s="163"/>
      <c r="QTV88" s="163"/>
      <c r="QTW88" s="163"/>
      <c r="QTX88" s="163"/>
      <c r="QTY88" s="163"/>
      <c r="QTZ88" s="163"/>
      <c r="QUA88" s="163"/>
      <c r="QUB88" s="163"/>
      <c r="QUC88" s="163"/>
      <c r="QUD88" s="163"/>
      <c r="QUE88" s="163"/>
      <c r="QUF88" s="163"/>
      <c r="QUG88" s="163"/>
      <c r="QUH88" s="163"/>
      <c r="QUI88" s="163"/>
      <c r="QUJ88" s="163"/>
      <c r="QUK88" s="163"/>
      <c r="QUL88" s="163"/>
      <c r="QUM88" s="163"/>
      <c r="QUN88" s="163"/>
      <c r="QUO88" s="163"/>
      <c r="QUP88" s="163"/>
      <c r="QUQ88" s="163"/>
      <c r="QUR88" s="163"/>
      <c r="QUS88" s="163"/>
      <c r="QUT88" s="163"/>
      <c r="QUU88" s="163"/>
      <c r="QUV88" s="163"/>
      <c r="QUW88" s="163"/>
      <c r="QUX88" s="163"/>
      <c r="QUY88" s="163"/>
      <c r="QUZ88" s="163"/>
      <c r="QVA88" s="163"/>
      <c r="QVB88" s="163"/>
      <c r="QVC88" s="163"/>
      <c r="QVD88" s="163"/>
      <c r="QVE88" s="163"/>
      <c r="QVF88" s="163"/>
      <c r="QVG88" s="163"/>
      <c r="QVH88" s="163"/>
      <c r="QVI88" s="163"/>
      <c r="QVJ88" s="163"/>
      <c r="QVK88" s="163"/>
      <c r="QVL88" s="163"/>
      <c r="QVM88" s="163"/>
      <c r="QVN88" s="163"/>
      <c r="QVO88" s="163"/>
      <c r="QVP88" s="163"/>
      <c r="QVQ88" s="163"/>
      <c r="QVR88" s="163"/>
      <c r="QVS88" s="163"/>
      <c r="QVT88" s="163"/>
      <c r="QVU88" s="163"/>
      <c r="QVV88" s="163"/>
      <c r="QVW88" s="163"/>
      <c r="QVX88" s="163"/>
      <c r="QVY88" s="163"/>
      <c r="QVZ88" s="163"/>
      <c r="QWA88" s="163"/>
      <c r="QWB88" s="163"/>
      <c r="QWC88" s="163"/>
      <c r="QWD88" s="163"/>
      <c r="QWE88" s="163"/>
      <c r="QWF88" s="163"/>
      <c r="QWG88" s="163"/>
      <c r="QWH88" s="163"/>
      <c r="QWI88" s="163"/>
      <c r="QWJ88" s="163"/>
      <c r="QWK88" s="163"/>
      <c r="QWL88" s="163"/>
      <c r="QWM88" s="163"/>
      <c r="QWN88" s="163"/>
      <c r="QWO88" s="163"/>
      <c r="QWP88" s="163"/>
      <c r="QWQ88" s="163"/>
      <c r="QWR88" s="163"/>
      <c r="QWS88" s="163"/>
      <c r="QWT88" s="163"/>
      <c r="QWU88" s="163"/>
      <c r="QWV88" s="163"/>
      <c r="QWW88" s="163"/>
      <c r="QWX88" s="163"/>
      <c r="QWY88" s="163"/>
      <c r="QWZ88" s="163"/>
      <c r="QXA88" s="163"/>
      <c r="QXB88" s="163"/>
      <c r="QXC88" s="163"/>
      <c r="QXD88" s="163"/>
      <c r="QXE88" s="163"/>
      <c r="QXF88" s="163"/>
      <c r="QXG88" s="163"/>
      <c r="QXH88" s="163"/>
      <c r="QXI88" s="163"/>
      <c r="QXJ88" s="163"/>
      <c r="QXK88" s="163"/>
      <c r="QXL88" s="163"/>
      <c r="QXM88" s="163"/>
      <c r="QXN88" s="163"/>
      <c r="QXO88" s="163"/>
      <c r="QXP88" s="163"/>
      <c r="QXQ88" s="163"/>
      <c r="QXR88" s="163"/>
      <c r="QXS88" s="163"/>
      <c r="QXT88" s="163"/>
      <c r="QXU88" s="163"/>
      <c r="QXV88" s="163"/>
      <c r="QXW88" s="163"/>
      <c r="QXX88" s="163"/>
      <c r="QXY88" s="163"/>
      <c r="QXZ88" s="163"/>
      <c r="QYA88" s="163"/>
      <c r="QYB88" s="163"/>
      <c r="QYC88" s="163"/>
      <c r="QYD88" s="163"/>
      <c r="QYE88" s="163"/>
      <c r="QYF88" s="163"/>
      <c r="QYG88" s="163"/>
      <c r="QYH88" s="163"/>
      <c r="QYI88" s="163"/>
      <c r="QYJ88" s="163"/>
      <c r="QYK88" s="163"/>
      <c r="QYL88" s="163"/>
      <c r="QYM88" s="163"/>
      <c r="QYN88" s="163"/>
      <c r="QYO88" s="163"/>
      <c r="QYP88" s="163"/>
      <c r="QYQ88" s="163"/>
      <c r="QYR88" s="163"/>
      <c r="QYS88" s="163"/>
      <c r="QYT88" s="163"/>
      <c r="QYU88" s="163"/>
      <c r="QYV88" s="163"/>
      <c r="QYW88" s="163"/>
      <c r="QYX88" s="163"/>
      <c r="QYY88" s="163"/>
      <c r="QYZ88" s="163"/>
      <c r="QZA88" s="163"/>
      <c r="QZB88" s="163"/>
      <c r="QZC88" s="163"/>
      <c r="QZD88" s="163"/>
      <c r="QZE88" s="163"/>
      <c r="QZF88" s="163"/>
      <c r="QZG88" s="163"/>
      <c r="QZH88" s="163"/>
      <c r="QZI88" s="163"/>
      <c r="QZJ88" s="163"/>
      <c r="QZK88" s="163"/>
      <c r="QZL88" s="163"/>
      <c r="QZM88" s="163"/>
      <c r="QZN88" s="163"/>
      <c r="QZO88" s="163"/>
      <c r="QZP88" s="163"/>
      <c r="QZQ88" s="163"/>
      <c r="QZR88" s="163"/>
      <c r="QZS88" s="163"/>
      <c r="QZT88" s="163"/>
      <c r="QZU88" s="163"/>
      <c r="QZV88" s="163"/>
      <c r="QZW88" s="163"/>
      <c r="QZX88" s="163"/>
      <c r="QZY88" s="163"/>
      <c r="QZZ88" s="163"/>
      <c r="RAA88" s="163"/>
      <c r="RAB88" s="163"/>
      <c r="RAC88" s="163"/>
      <c r="RAD88" s="163"/>
      <c r="RAE88" s="163"/>
      <c r="RAF88" s="163"/>
      <c r="RAG88" s="163"/>
      <c r="RAH88" s="163"/>
      <c r="RAI88" s="163"/>
      <c r="RAJ88" s="163"/>
      <c r="RAK88" s="163"/>
      <c r="RAL88" s="163"/>
      <c r="RAM88" s="163"/>
      <c r="RAN88" s="163"/>
      <c r="RAO88" s="163"/>
      <c r="RAP88" s="163"/>
      <c r="RAQ88" s="163"/>
      <c r="RAR88" s="163"/>
      <c r="RAS88" s="163"/>
      <c r="RAT88" s="163"/>
      <c r="RAU88" s="163"/>
      <c r="RAV88" s="163"/>
      <c r="RAW88" s="163"/>
      <c r="RAX88" s="163"/>
      <c r="RAY88" s="163"/>
      <c r="RAZ88" s="163"/>
      <c r="RBA88" s="163"/>
      <c r="RBB88" s="163"/>
      <c r="RBC88" s="163"/>
      <c r="RBD88" s="163"/>
      <c r="RBE88" s="163"/>
      <c r="RBF88" s="163"/>
      <c r="RBG88" s="163"/>
      <c r="RBH88" s="163"/>
      <c r="RBI88" s="163"/>
      <c r="RBJ88" s="163"/>
      <c r="RBK88" s="163"/>
      <c r="RBL88" s="163"/>
      <c r="RBM88" s="163"/>
      <c r="RBN88" s="163"/>
      <c r="RBO88" s="163"/>
      <c r="RBP88" s="163"/>
      <c r="RBQ88" s="163"/>
      <c r="RBR88" s="163"/>
      <c r="RBS88" s="163"/>
      <c r="RBT88" s="163"/>
      <c r="RBU88" s="163"/>
      <c r="RBV88" s="163"/>
      <c r="RBW88" s="163"/>
      <c r="RBX88" s="163"/>
      <c r="RBY88" s="163"/>
      <c r="RBZ88" s="163"/>
      <c r="RCA88" s="163"/>
      <c r="RCB88" s="163"/>
      <c r="RCC88" s="163"/>
      <c r="RCD88" s="163"/>
      <c r="RCE88" s="163"/>
      <c r="RCF88" s="163"/>
      <c r="RCG88" s="163"/>
      <c r="RCH88" s="163"/>
      <c r="RCI88" s="163"/>
      <c r="RCJ88" s="163"/>
      <c r="RCK88" s="163"/>
      <c r="RCL88" s="163"/>
      <c r="RCM88" s="163"/>
      <c r="RCN88" s="163"/>
      <c r="RCO88" s="163"/>
      <c r="RCP88" s="163"/>
      <c r="RCQ88" s="163"/>
      <c r="RCR88" s="163"/>
      <c r="RCS88" s="163"/>
      <c r="RCT88" s="163"/>
      <c r="RCU88" s="163"/>
      <c r="RCV88" s="163"/>
      <c r="RCW88" s="163"/>
      <c r="RCX88" s="163"/>
      <c r="RCY88" s="163"/>
      <c r="RCZ88" s="163"/>
      <c r="RDA88" s="163"/>
      <c r="RDB88" s="163"/>
      <c r="RDC88" s="163"/>
      <c r="RDD88" s="163"/>
      <c r="RDE88" s="163"/>
      <c r="RDF88" s="163"/>
      <c r="RDG88" s="163"/>
      <c r="RDH88" s="163"/>
      <c r="RDI88" s="163"/>
      <c r="RDJ88" s="163"/>
      <c r="RDK88" s="163"/>
      <c r="RDL88" s="163"/>
      <c r="RDM88" s="163"/>
      <c r="RDN88" s="163"/>
      <c r="RDO88" s="163"/>
      <c r="RDP88" s="163"/>
      <c r="RDQ88" s="163"/>
      <c r="RDR88" s="163"/>
      <c r="RDS88" s="163"/>
      <c r="RDT88" s="163"/>
      <c r="RDU88" s="163"/>
      <c r="RDV88" s="163"/>
      <c r="RDW88" s="163"/>
      <c r="RDX88" s="163"/>
      <c r="RDY88" s="163"/>
      <c r="RDZ88" s="163"/>
      <c r="REA88" s="163"/>
      <c r="REB88" s="163"/>
      <c r="REC88" s="163"/>
      <c r="RED88" s="163"/>
      <c r="REE88" s="163"/>
      <c r="REF88" s="163"/>
      <c r="REG88" s="163"/>
      <c r="REH88" s="163"/>
      <c r="REI88" s="163"/>
      <c r="REJ88" s="163"/>
      <c r="REK88" s="163"/>
      <c r="REL88" s="163"/>
      <c r="REM88" s="163"/>
      <c r="REN88" s="163"/>
      <c r="REO88" s="163"/>
      <c r="REP88" s="163"/>
      <c r="REQ88" s="163"/>
      <c r="RER88" s="163"/>
      <c r="RES88" s="163"/>
      <c r="RET88" s="163"/>
      <c r="REU88" s="163"/>
      <c r="REV88" s="163"/>
      <c r="REW88" s="163"/>
      <c r="REX88" s="163"/>
      <c r="REY88" s="163"/>
      <c r="REZ88" s="163"/>
      <c r="RFA88" s="163"/>
      <c r="RFB88" s="163"/>
      <c r="RFC88" s="163"/>
      <c r="RFD88" s="163"/>
      <c r="RFE88" s="163"/>
      <c r="RFF88" s="163"/>
      <c r="RFG88" s="163"/>
      <c r="RFH88" s="163"/>
      <c r="RFI88" s="163"/>
      <c r="RFJ88" s="163"/>
      <c r="RFK88" s="163"/>
      <c r="RFL88" s="163"/>
      <c r="RFM88" s="163"/>
      <c r="RFN88" s="163"/>
      <c r="RFO88" s="163"/>
      <c r="RFP88" s="163"/>
      <c r="RFQ88" s="163"/>
      <c r="RFR88" s="163"/>
      <c r="RFS88" s="163"/>
      <c r="RFT88" s="163"/>
      <c r="RFU88" s="163"/>
      <c r="RFV88" s="163"/>
      <c r="RFW88" s="163"/>
      <c r="RFX88" s="163"/>
      <c r="RFY88" s="163"/>
      <c r="RFZ88" s="163"/>
      <c r="RGA88" s="163"/>
      <c r="RGB88" s="163"/>
      <c r="RGC88" s="163"/>
      <c r="RGD88" s="163"/>
      <c r="RGE88" s="163"/>
      <c r="RGF88" s="163"/>
      <c r="RGG88" s="163"/>
      <c r="RGH88" s="163"/>
      <c r="RGI88" s="163"/>
      <c r="RGJ88" s="163"/>
      <c r="RGK88" s="163"/>
      <c r="RGL88" s="163"/>
      <c r="RGM88" s="163"/>
      <c r="RGN88" s="163"/>
      <c r="RGO88" s="163"/>
      <c r="RGP88" s="163"/>
      <c r="RGQ88" s="163"/>
      <c r="RGR88" s="163"/>
      <c r="RGS88" s="163"/>
      <c r="RGT88" s="163"/>
      <c r="RGU88" s="163"/>
      <c r="RGV88" s="163"/>
      <c r="RGW88" s="163"/>
      <c r="RGX88" s="163"/>
      <c r="RGY88" s="163"/>
      <c r="RGZ88" s="163"/>
      <c r="RHA88" s="163"/>
      <c r="RHB88" s="163"/>
      <c r="RHC88" s="163"/>
      <c r="RHD88" s="163"/>
      <c r="RHE88" s="163"/>
      <c r="RHF88" s="163"/>
      <c r="RHG88" s="163"/>
      <c r="RHH88" s="163"/>
      <c r="RHI88" s="163"/>
      <c r="RHJ88" s="163"/>
      <c r="RHK88" s="163"/>
      <c r="RHL88" s="163"/>
      <c r="RHM88" s="163"/>
      <c r="RHN88" s="163"/>
      <c r="RHO88" s="163"/>
      <c r="RHP88" s="163"/>
      <c r="RHQ88" s="163"/>
      <c r="RHR88" s="163"/>
      <c r="RHS88" s="163"/>
      <c r="RHT88" s="163"/>
      <c r="RHU88" s="163"/>
      <c r="RHV88" s="163"/>
      <c r="RHW88" s="163"/>
      <c r="RHX88" s="163"/>
      <c r="RHY88" s="163"/>
      <c r="RHZ88" s="163"/>
      <c r="RIA88" s="163"/>
      <c r="RIB88" s="163"/>
      <c r="RIC88" s="163"/>
      <c r="RID88" s="163"/>
      <c r="RIE88" s="163"/>
      <c r="RIF88" s="163"/>
      <c r="RIG88" s="163"/>
      <c r="RIH88" s="163"/>
      <c r="RII88" s="163"/>
      <c r="RIJ88" s="163"/>
      <c r="RIK88" s="163"/>
      <c r="RIL88" s="163"/>
      <c r="RIM88" s="163"/>
      <c r="RIN88" s="163"/>
      <c r="RIO88" s="163"/>
      <c r="RIP88" s="163"/>
      <c r="RIQ88" s="163"/>
      <c r="RIR88" s="163"/>
      <c r="RIS88" s="163"/>
      <c r="RIT88" s="163"/>
      <c r="RIU88" s="163"/>
      <c r="RIV88" s="163"/>
      <c r="RIW88" s="163"/>
      <c r="RIX88" s="163"/>
      <c r="RIY88" s="163"/>
      <c r="RIZ88" s="163"/>
      <c r="RJA88" s="163"/>
      <c r="RJB88" s="163"/>
      <c r="RJC88" s="163"/>
      <c r="RJD88" s="163"/>
      <c r="RJE88" s="163"/>
      <c r="RJF88" s="163"/>
      <c r="RJG88" s="163"/>
      <c r="RJH88" s="163"/>
      <c r="RJI88" s="163"/>
      <c r="RJJ88" s="163"/>
      <c r="RJK88" s="163"/>
      <c r="RJL88" s="163"/>
      <c r="RJM88" s="163"/>
      <c r="RJN88" s="163"/>
      <c r="RJO88" s="163"/>
      <c r="RJP88" s="163"/>
      <c r="RJQ88" s="163"/>
      <c r="RJR88" s="163"/>
      <c r="RJS88" s="163"/>
      <c r="RJT88" s="163"/>
      <c r="RJU88" s="163"/>
      <c r="RJV88" s="163"/>
      <c r="RJW88" s="163"/>
      <c r="RJX88" s="163"/>
      <c r="RJY88" s="163"/>
      <c r="RJZ88" s="163"/>
      <c r="RKA88" s="163"/>
      <c r="RKB88" s="163"/>
      <c r="RKC88" s="163"/>
      <c r="RKD88" s="163"/>
      <c r="RKE88" s="163"/>
      <c r="RKF88" s="163"/>
      <c r="RKG88" s="163"/>
      <c r="RKH88" s="163"/>
      <c r="RKI88" s="163"/>
      <c r="RKJ88" s="163"/>
      <c r="RKK88" s="163"/>
      <c r="RKL88" s="163"/>
      <c r="RKM88" s="163"/>
      <c r="RKN88" s="163"/>
      <c r="RKO88" s="163"/>
      <c r="RKP88" s="163"/>
      <c r="RKQ88" s="163"/>
      <c r="RKR88" s="163"/>
      <c r="RKS88" s="163"/>
      <c r="RKT88" s="163"/>
      <c r="RKU88" s="163"/>
      <c r="RKV88" s="163"/>
      <c r="RKW88" s="163"/>
      <c r="RKX88" s="163"/>
      <c r="RKY88" s="163"/>
      <c r="RKZ88" s="163"/>
      <c r="RLA88" s="163"/>
      <c r="RLB88" s="163"/>
      <c r="RLC88" s="163"/>
      <c r="RLD88" s="163"/>
      <c r="RLE88" s="163"/>
      <c r="RLF88" s="163"/>
      <c r="RLG88" s="163"/>
      <c r="RLH88" s="163"/>
      <c r="RLI88" s="163"/>
      <c r="RLJ88" s="163"/>
      <c r="RLK88" s="163"/>
      <c r="RLL88" s="163"/>
      <c r="RLM88" s="163"/>
      <c r="RLN88" s="163"/>
      <c r="RLO88" s="163"/>
      <c r="RLP88" s="163"/>
      <c r="RLQ88" s="163"/>
      <c r="RLR88" s="163"/>
      <c r="RLS88" s="163"/>
      <c r="RLT88" s="163"/>
      <c r="RLU88" s="163"/>
      <c r="RLV88" s="163"/>
      <c r="RLW88" s="163"/>
      <c r="RLX88" s="163"/>
      <c r="RLY88" s="163"/>
      <c r="RLZ88" s="163"/>
      <c r="RMA88" s="163"/>
      <c r="RMB88" s="163"/>
      <c r="RMC88" s="163"/>
      <c r="RMD88" s="163"/>
      <c r="RME88" s="163"/>
      <c r="RMF88" s="163"/>
      <c r="RMG88" s="163"/>
      <c r="RMH88" s="163"/>
      <c r="RMI88" s="163"/>
      <c r="RMJ88" s="163"/>
      <c r="RMK88" s="163"/>
      <c r="RML88" s="163"/>
      <c r="RMM88" s="163"/>
      <c r="RMN88" s="163"/>
      <c r="RMO88" s="163"/>
      <c r="RMP88" s="163"/>
      <c r="RMQ88" s="163"/>
      <c r="RMR88" s="163"/>
      <c r="RMS88" s="163"/>
      <c r="RMT88" s="163"/>
      <c r="RMU88" s="163"/>
      <c r="RMV88" s="163"/>
      <c r="RMW88" s="163"/>
      <c r="RMX88" s="163"/>
      <c r="RMY88" s="163"/>
      <c r="RMZ88" s="163"/>
      <c r="RNA88" s="163"/>
      <c r="RNB88" s="163"/>
      <c r="RNC88" s="163"/>
      <c r="RND88" s="163"/>
      <c r="RNE88" s="163"/>
      <c r="RNF88" s="163"/>
      <c r="RNG88" s="163"/>
      <c r="RNH88" s="163"/>
      <c r="RNI88" s="163"/>
      <c r="RNJ88" s="163"/>
      <c r="RNK88" s="163"/>
      <c r="RNL88" s="163"/>
      <c r="RNM88" s="163"/>
      <c r="RNN88" s="163"/>
      <c r="RNO88" s="163"/>
      <c r="RNP88" s="163"/>
      <c r="RNQ88" s="163"/>
      <c r="RNR88" s="163"/>
      <c r="RNS88" s="163"/>
      <c r="RNT88" s="163"/>
      <c r="RNU88" s="163"/>
      <c r="RNV88" s="163"/>
      <c r="RNW88" s="163"/>
      <c r="RNX88" s="163"/>
      <c r="RNY88" s="163"/>
      <c r="RNZ88" s="163"/>
      <c r="ROA88" s="163"/>
      <c r="ROB88" s="163"/>
      <c r="ROC88" s="163"/>
      <c r="ROD88" s="163"/>
      <c r="ROE88" s="163"/>
      <c r="ROF88" s="163"/>
      <c r="ROG88" s="163"/>
      <c r="ROH88" s="163"/>
      <c r="ROI88" s="163"/>
      <c r="ROJ88" s="163"/>
      <c r="ROK88" s="163"/>
      <c r="ROL88" s="163"/>
      <c r="ROM88" s="163"/>
      <c r="RON88" s="163"/>
      <c r="ROO88" s="163"/>
      <c r="ROP88" s="163"/>
      <c r="ROQ88" s="163"/>
      <c r="ROR88" s="163"/>
      <c r="ROS88" s="163"/>
      <c r="ROT88" s="163"/>
      <c r="ROU88" s="163"/>
      <c r="ROV88" s="163"/>
      <c r="ROW88" s="163"/>
      <c r="ROX88" s="163"/>
      <c r="ROY88" s="163"/>
      <c r="ROZ88" s="163"/>
      <c r="RPA88" s="163"/>
      <c r="RPB88" s="163"/>
      <c r="RPC88" s="163"/>
      <c r="RPD88" s="163"/>
      <c r="RPE88" s="163"/>
      <c r="RPF88" s="163"/>
      <c r="RPG88" s="163"/>
      <c r="RPH88" s="163"/>
      <c r="RPI88" s="163"/>
      <c r="RPJ88" s="163"/>
      <c r="RPK88" s="163"/>
      <c r="RPL88" s="163"/>
      <c r="RPM88" s="163"/>
      <c r="RPN88" s="163"/>
      <c r="RPO88" s="163"/>
      <c r="RPP88" s="163"/>
      <c r="RPQ88" s="163"/>
      <c r="RPR88" s="163"/>
      <c r="RPS88" s="163"/>
      <c r="RPT88" s="163"/>
      <c r="RPU88" s="163"/>
      <c r="RPV88" s="163"/>
      <c r="RPW88" s="163"/>
      <c r="RPX88" s="163"/>
      <c r="RPY88" s="163"/>
      <c r="RPZ88" s="163"/>
      <c r="RQA88" s="163"/>
      <c r="RQB88" s="163"/>
      <c r="RQC88" s="163"/>
      <c r="RQD88" s="163"/>
      <c r="RQE88" s="163"/>
      <c r="RQF88" s="163"/>
      <c r="RQG88" s="163"/>
      <c r="RQH88" s="163"/>
      <c r="RQI88" s="163"/>
      <c r="RQJ88" s="163"/>
      <c r="RQK88" s="163"/>
      <c r="RQL88" s="163"/>
      <c r="RQM88" s="163"/>
      <c r="RQN88" s="163"/>
      <c r="RQO88" s="163"/>
      <c r="RQP88" s="163"/>
      <c r="RQQ88" s="163"/>
      <c r="RQR88" s="163"/>
      <c r="RQS88" s="163"/>
      <c r="RQT88" s="163"/>
      <c r="RQU88" s="163"/>
      <c r="RQV88" s="163"/>
      <c r="RQW88" s="163"/>
      <c r="RQX88" s="163"/>
      <c r="RQY88" s="163"/>
      <c r="RQZ88" s="163"/>
      <c r="RRA88" s="163"/>
      <c r="RRB88" s="163"/>
      <c r="RRC88" s="163"/>
      <c r="RRD88" s="163"/>
      <c r="RRE88" s="163"/>
      <c r="RRF88" s="163"/>
      <c r="RRG88" s="163"/>
      <c r="RRH88" s="163"/>
      <c r="RRI88" s="163"/>
      <c r="RRJ88" s="163"/>
      <c r="RRK88" s="163"/>
      <c r="RRL88" s="163"/>
      <c r="RRM88" s="163"/>
      <c r="RRN88" s="163"/>
      <c r="RRO88" s="163"/>
      <c r="RRP88" s="163"/>
      <c r="RRQ88" s="163"/>
      <c r="RRR88" s="163"/>
      <c r="RRS88" s="163"/>
      <c r="RRT88" s="163"/>
      <c r="RRU88" s="163"/>
      <c r="RRV88" s="163"/>
      <c r="RRW88" s="163"/>
      <c r="RRX88" s="163"/>
      <c r="RRY88" s="163"/>
      <c r="RRZ88" s="163"/>
      <c r="RSA88" s="163"/>
      <c r="RSB88" s="163"/>
      <c r="RSC88" s="163"/>
      <c r="RSD88" s="163"/>
      <c r="RSE88" s="163"/>
      <c r="RSF88" s="163"/>
      <c r="RSG88" s="163"/>
      <c r="RSH88" s="163"/>
      <c r="RSI88" s="163"/>
      <c r="RSJ88" s="163"/>
      <c r="RSK88" s="163"/>
      <c r="RSL88" s="163"/>
      <c r="RSM88" s="163"/>
      <c r="RSN88" s="163"/>
      <c r="RSO88" s="163"/>
      <c r="RSP88" s="163"/>
      <c r="RSQ88" s="163"/>
      <c r="RSR88" s="163"/>
      <c r="RSS88" s="163"/>
      <c r="RST88" s="163"/>
      <c r="RSU88" s="163"/>
      <c r="RSV88" s="163"/>
      <c r="RSW88" s="163"/>
      <c r="RSX88" s="163"/>
      <c r="RSY88" s="163"/>
      <c r="RSZ88" s="163"/>
      <c r="RTA88" s="163"/>
      <c r="RTB88" s="163"/>
      <c r="RTC88" s="163"/>
      <c r="RTD88" s="163"/>
      <c r="RTE88" s="163"/>
      <c r="RTF88" s="163"/>
      <c r="RTG88" s="163"/>
      <c r="RTH88" s="163"/>
      <c r="RTI88" s="163"/>
      <c r="RTJ88" s="163"/>
      <c r="RTK88" s="163"/>
      <c r="RTL88" s="163"/>
      <c r="RTM88" s="163"/>
      <c r="RTN88" s="163"/>
      <c r="RTO88" s="163"/>
      <c r="RTP88" s="163"/>
      <c r="RTQ88" s="163"/>
      <c r="RTR88" s="163"/>
      <c r="RTS88" s="163"/>
      <c r="RTT88" s="163"/>
      <c r="RTU88" s="163"/>
      <c r="RTV88" s="163"/>
      <c r="RTW88" s="163"/>
      <c r="RTX88" s="163"/>
      <c r="RTY88" s="163"/>
      <c r="RTZ88" s="163"/>
      <c r="RUA88" s="163"/>
      <c r="RUB88" s="163"/>
      <c r="RUC88" s="163"/>
      <c r="RUD88" s="163"/>
      <c r="RUE88" s="163"/>
      <c r="RUF88" s="163"/>
      <c r="RUG88" s="163"/>
      <c r="RUH88" s="163"/>
      <c r="RUI88" s="163"/>
      <c r="RUJ88" s="163"/>
      <c r="RUK88" s="163"/>
      <c r="RUL88" s="163"/>
      <c r="RUM88" s="163"/>
      <c r="RUN88" s="163"/>
      <c r="RUO88" s="163"/>
      <c r="RUP88" s="163"/>
      <c r="RUQ88" s="163"/>
      <c r="RUR88" s="163"/>
      <c r="RUS88" s="163"/>
      <c r="RUT88" s="163"/>
      <c r="RUU88" s="163"/>
      <c r="RUV88" s="163"/>
      <c r="RUW88" s="163"/>
      <c r="RUX88" s="163"/>
      <c r="RUY88" s="163"/>
      <c r="RUZ88" s="163"/>
      <c r="RVA88" s="163"/>
      <c r="RVB88" s="163"/>
      <c r="RVC88" s="163"/>
      <c r="RVD88" s="163"/>
      <c r="RVE88" s="163"/>
      <c r="RVF88" s="163"/>
      <c r="RVG88" s="163"/>
      <c r="RVH88" s="163"/>
      <c r="RVI88" s="163"/>
      <c r="RVJ88" s="163"/>
      <c r="RVK88" s="163"/>
      <c r="RVL88" s="163"/>
      <c r="RVM88" s="163"/>
      <c r="RVN88" s="163"/>
      <c r="RVO88" s="163"/>
      <c r="RVP88" s="163"/>
      <c r="RVQ88" s="163"/>
      <c r="RVR88" s="163"/>
      <c r="RVS88" s="163"/>
      <c r="RVT88" s="163"/>
      <c r="RVU88" s="163"/>
      <c r="RVV88" s="163"/>
      <c r="RVW88" s="163"/>
      <c r="RVX88" s="163"/>
      <c r="RVY88" s="163"/>
      <c r="RVZ88" s="163"/>
      <c r="RWA88" s="163"/>
      <c r="RWB88" s="163"/>
      <c r="RWC88" s="163"/>
      <c r="RWD88" s="163"/>
      <c r="RWE88" s="163"/>
      <c r="RWF88" s="163"/>
      <c r="RWG88" s="163"/>
      <c r="RWH88" s="163"/>
      <c r="RWI88" s="163"/>
      <c r="RWJ88" s="163"/>
      <c r="RWK88" s="163"/>
      <c r="RWL88" s="163"/>
      <c r="RWM88" s="163"/>
      <c r="RWN88" s="163"/>
      <c r="RWO88" s="163"/>
      <c r="RWP88" s="163"/>
      <c r="RWQ88" s="163"/>
      <c r="RWR88" s="163"/>
      <c r="RWS88" s="163"/>
      <c r="RWT88" s="163"/>
      <c r="RWU88" s="163"/>
      <c r="RWV88" s="163"/>
      <c r="RWW88" s="163"/>
      <c r="RWX88" s="163"/>
      <c r="RWY88" s="163"/>
      <c r="RWZ88" s="163"/>
      <c r="RXA88" s="163"/>
      <c r="RXB88" s="163"/>
      <c r="RXC88" s="163"/>
      <c r="RXD88" s="163"/>
      <c r="RXE88" s="163"/>
      <c r="RXF88" s="163"/>
      <c r="RXG88" s="163"/>
      <c r="RXH88" s="163"/>
      <c r="RXI88" s="163"/>
      <c r="RXJ88" s="163"/>
      <c r="RXK88" s="163"/>
      <c r="RXL88" s="163"/>
      <c r="RXM88" s="163"/>
      <c r="RXN88" s="163"/>
      <c r="RXO88" s="163"/>
      <c r="RXP88" s="163"/>
      <c r="RXQ88" s="163"/>
      <c r="RXR88" s="163"/>
      <c r="RXS88" s="163"/>
      <c r="RXT88" s="163"/>
      <c r="RXU88" s="163"/>
      <c r="RXV88" s="163"/>
      <c r="RXW88" s="163"/>
      <c r="RXX88" s="163"/>
      <c r="RXY88" s="163"/>
      <c r="RXZ88" s="163"/>
      <c r="RYA88" s="163"/>
      <c r="RYB88" s="163"/>
      <c r="RYC88" s="163"/>
      <c r="RYD88" s="163"/>
      <c r="RYE88" s="163"/>
      <c r="RYF88" s="163"/>
      <c r="RYG88" s="163"/>
      <c r="RYH88" s="163"/>
      <c r="RYI88" s="163"/>
      <c r="RYJ88" s="163"/>
      <c r="RYK88" s="163"/>
      <c r="RYL88" s="163"/>
      <c r="RYM88" s="163"/>
      <c r="RYN88" s="163"/>
      <c r="RYO88" s="163"/>
      <c r="RYP88" s="163"/>
      <c r="RYQ88" s="163"/>
      <c r="RYR88" s="163"/>
      <c r="RYS88" s="163"/>
      <c r="RYT88" s="163"/>
      <c r="RYU88" s="163"/>
      <c r="RYV88" s="163"/>
      <c r="RYW88" s="163"/>
      <c r="RYX88" s="163"/>
      <c r="RYY88" s="163"/>
      <c r="RYZ88" s="163"/>
      <c r="RZA88" s="163"/>
      <c r="RZB88" s="163"/>
      <c r="RZC88" s="163"/>
      <c r="RZD88" s="163"/>
      <c r="RZE88" s="163"/>
      <c r="RZF88" s="163"/>
      <c r="RZG88" s="163"/>
      <c r="RZH88" s="163"/>
      <c r="RZI88" s="163"/>
      <c r="RZJ88" s="163"/>
      <c r="RZK88" s="163"/>
      <c r="RZL88" s="163"/>
      <c r="RZM88" s="163"/>
      <c r="RZN88" s="163"/>
      <c r="RZO88" s="163"/>
      <c r="RZP88" s="163"/>
      <c r="RZQ88" s="163"/>
      <c r="RZR88" s="163"/>
      <c r="RZS88" s="163"/>
      <c r="RZT88" s="163"/>
      <c r="RZU88" s="163"/>
      <c r="RZV88" s="163"/>
      <c r="RZW88" s="163"/>
      <c r="RZX88" s="163"/>
      <c r="RZY88" s="163"/>
      <c r="RZZ88" s="163"/>
      <c r="SAA88" s="163"/>
      <c r="SAB88" s="163"/>
      <c r="SAC88" s="163"/>
      <c r="SAD88" s="163"/>
      <c r="SAE88" s="163"/>
      <c r="SAF88" s="163"/>
      <c r="SAG88" s="163"/>
      <c r="SAH88" s="163"/>
      <c r="SAI88" s="163"/>
      <c r="SAJ88" s="163"/>
      <c r="SAK88" s="163"/>
      <c r="SAL88" s="163"/>
      <c r="SAM88" s="163"/>
      <c r="SAN88" s="163"/>
      <c r="SAO88" s="163"/>
      <c r="SAP88" s="163"/>
      <c r="SAQ88" s="163"/>
      <c r="SAR88" s="163"/>
      <c r="SAS88" s="163"/>
      <c r="SAT88" s="163"/>
      <c r="SAU88" s="163"/>
      <c r="SAV88" s="163"/>
      <c r="SAW88" s="163"/>
      <c r="SAX88" s="163"/>
      <c r="SAY88" s="163"/>
      <c r="SAZ88" s="163"/>
      <c r="SBA88" s="163"/>
      <c r="SBB88" s="163"/>
      <c r="SBC88" s="163"/>
      <c r="SBD88" s="163"/>
      <c r="SBE88" s="163"/>
      <c r="SBF88" s="163"/>
      <c r="SBG88" s="163"/>
      <c r="SBH88" s="163"/>
      <c r="SBI88" s="163"/>
      <c r="SBJ88" s="163"/>
      <c r="SBK88" s="163"/>
      <c r="SBL88" s="163"/>
      <c r="SBM88" s="163"/>
      <c r="SBN88" s="163"/>
      <c r="SBO88" s="163"/>
      <c r="SBP88" s="163"/>
      <c r="SBQ88" s="163"/>
      <c r="SBR88" s="163"/>
      <c r="SBS88" s="163"/>
      <c r="SBT88" s="163"/>
      <c r="SBU88" s="163"/>
      <c r="SBV88" s="163"/>
      <c r="SBW88" s="163"/>
      <c r="SBX88" s="163"/>
      <c r="SBY88" s="163"/>
      <c r="SBZ88" s="163"/>
      <c r="SCA88" s="163"/>
      <c r="SCB88" s="163"/>
      <c r="SCC88" s="163"/>
      <c r="SCD88" s="163"/>
      <c r="SCE88" s="163"/>
      <c r="SCF88" s="163"/>
      <c r="SCG88" s="163"/>
      <c r="SCH88" s="163"/>
      <c r="SCI88" s="163"/>
      <c r="SCJ88" s="163"/>
      <c r="SCK88" s="163"/>
      <c r="SCL88" s="163"/>
      <c r="SCM88" s="163"/>
      <c r="SCN88" s="163"/>
      <c r="SCO88" s="163"/>
      <c r="SCP88" s="163"/>
      <c r="SCQ88" s="163"/>
      <c r="SCR88" s="163"/>
      <c r="SCS88" s="163"/>
      <c r="SCT88" s="163"/>
      <c r="SCU88" s="163"/>
      <c r="SCV88" s="163"/>
      <c r="SCW88" s="163"/>
      <c r="SCX88" s="163"/>
      <c r="SCY88" s="163"/>
      <c r="SCZ88" s="163"/>
      <c r="SDA88" s="163"/>
      <c r="SDB88" s="163"/>
      <c r="SDC88" s="163"/>
      <c r="SDD88" s="163"/>
      <c r="SDE88" s="163"/>
      <c r="SDF88" s="163"/>
      <c r="SDG88" s="163"/>
      <c r="SDH88" s="163"/>
      <c r="SDI88" s="163"/>
      <c r="SDJ88" s="163"/>
      <c r="SDK88" s="163"/>
      <c r="SDL88" s="163"/>
      <c r="SDM88" s="163"/>
      <c r="SDN88" s="163"/>
      <c r="SDO88" s="163"/>
      <c r="SDP88" s="163"/>
      <c r="SDQ88" s="163"/>
      <c r="SDR88" s="163"/>
      <c r="SDS88" s="163"/>
      <c r="SDT88" s="163"/>
      <c r="SDU88" s="163"/>
      <c r="SDV88" s="163"/>
      <c r="SDW88" s="163"/>
      <c r="SDX88" s="163"/>
      <c r="SDY88" s="163"/>
      <c r="SDZ88" s="163"/>
      <c r="SEA88" s="163"/>
      <c r="SEB88" s="163"/>
      <c r="SEC88" s="163"/>
      <c r="SED88" s="163"/>
      <c r="SEE88" s="163"/>
      <c r="SEF88" s="163"/>
      <c r="SEG88" s="163"/>
      <c r="SEH88" s="163"/>
      <c r="SEI88" s="163"/>
      <c r="SEJ88" s="163"/>
      <c r="SEK88" s="163"/>
      <c r="SEL88" s="163"/>
      <c r="SEM88" s="163"/>
      <c r="SEN88" s="163"/>
      <c r="SEO88" s="163"/>
      <c r="SEP88" s="163"/>
      <c r="SEQ88" s="163"/>
      <c r="SER88" s="163"/>
      <c r="SES88" s="163"/>
      <c r="SET88" s="163"/>
      <c r="SEU88" s="163"/>
      <c r="SEV88" s="163"/>
      <c r="SEW88" s="163"/>
      <c r="SEX88" s="163"/>
      <c r="SEY88" s="163"/>
      <c r="SEZ88" s="163"/>
      <c r="SFA88" s="163"/>
      <c r="SFB88" s="163"/>
      <c r="SFC88" s="163"/>
      <c r="SFD88" s="163"/>
      <c r="SFE88" s="163"/>
      <c r="SFF88" s="163"/>
      <c r="SFG88" s="163"/>
      <c r="SFH88" s="163"/>
      <c r="SFI88" s="163"/>
      <c r="SFJ88" s="163"/>
      <c r="SFK88" s="163"/>
      <c r="SFL88" s="163"/>
      <c r="SFM88" s="163"/>
      <c r="SFN88" s="163"/>
      <c r="SFO88" s="163"/>
      <c r="SFP88" s="163"/>
      <c r="SFQ88" s="163"/>
      <c r="SFR88" s="163"/>
      <c r="SFS88" s="163"/>
      <c r="SFT88" s="163"/>
      <c r="SFU88" s="163"/>
      <c r="SFV88" s="163"/>
      <c r="SFW88" s="163"/>
      <c r="SFX88" s="163"/>
      <c r="SFY88" s="163"/>
      <c r="SFZ88" s="163"/>
      <c r="SGA88" s="163"/>
      <c r="SGB88" s="163"/>
      <c r="SGC88" s="163"/>
      <c r="SGD88" s="163"/>
      <c r="SGE88" s="163"/>
      <c r="SGF88" s="163"/>
      <c r="SGG88" s="163"/>
      <c r="SGH88" s="163"/>
      <c r="SGI88" s="163"/>
      <c r="SGJ88" s="163"/>
      <c r="SGK88" s="163"/>
      <c r="SGL88" s="163"/>
      <c r="SGM88" s="163"/>
      <c r="SGN88" s="163"/>
      <c r="SGO88" s="163"/>
      <c r="SGP88" s="163"/>
      <c r="SGQ88" s="163"/>
      <c r="SGR88" s="163"/>
      <c r="SGS88" s="163"/>
      <c r="SGT88" s="163"/>
      <c r="SGU88" s="163"/>
      <c r="SGV88" s="163"/>
      <c r="SGW88" s="163"/>
      <c r="SGX88" s="163"/>
      <c r="SGY88" s="163"/>
      <c r="SGZ88" s="163"/>
      <c r="SHA88" s="163"/>
      <c r="SHB88" s="163"/>
      <c r="SHC88" s="163"/>
      <c r="SHD88" s="163"/>
      <c r="SHE88" s="163"/>
      <c r="SHF88" s="163"/>
      <c r="SHG88" s="163"/>
      <c r="SHH88" s="163"/>
      <c r="SHI88" s="163"/>
      <c r="SHJ88" s="163"/>
      <c r="SHK88" s="163"/>
      <c r="SHL88" s="163"/>
      <c r="SHM88" s="163"/>
      <c r="SHN88" s="163"/>
      <c r="SHO88" s="163"/>
      <c r="SHP88" s="163"/>
      <c r="SHQ88" s="163"/>
      <c r="SHR88" s="163"/>
      <c r="SHS88" s="163"/>
      <c r="SHT88" s="163"/>
      <c r="SHU88" s="163"/>
      <c r="SHV88" s="163"/>
      <c r="SHW88" s="163"/>
      <c r="SHX88" s="163"/>
      <c r="SHY88" s="163"/>
      <c r="SHZ88" s="163"/>
      <c r="SIA88" s="163"/>
      <c r="SIB88" s="163"/>
      <c r="SIC88" s="163"/>
      <c r="SID88" s="163"/>
      <c r="SIE88" s="163"/>
      <c r="SIF88" s="163"/>
      <c r="SIG88" s="163"/>
      <c r="SIH88" s="163"/>
      <c r="SII88" s="163"/>
      <c r="SIJ88" s="163"/>
      <c r="SIK88" s="163"/>
      <c r="SIL88" s="163"/>
      <c r="SIM88" s="163"/>
      <c r="SIN88" s="163"/>
      <c r="SIO88" s="163"/>
      <c r="SIP88" s="163"/>
      <c r="SIQ88" s="163"/>
      <c r="SIR88" s="163"/>
      <c r="SIS88" s="163"/>
      <c r="SIT88" s="163"/>
      <c r="SIU88" s="163"/>
      <c r="SIV88" s="163"/>
      <c r="SIW88" s="163"/>
      <c r="SIX88" s="163"/>
      <c r="SIY88" s="163"/>
      <c r="SIZ88" s="163"/>
      <c r="SJA88" s="163"/>
      <c r="SJB88" s="163"/>
      <c r="SJC88" s="163"/>
      <c r="SJD88" s="163"/>
      <c r="SJE88" s="163"/>
      <c r="SJF88" s="163"/>
      <c r="SJG88" s="163"/>
      <c r="SJH88" s="163"/>
      <c r="SJI88" s="163"/>
      <c r="SJJ88" s="163"/>
      <c r="SJK88" s="163"/>
      <c r="SJL88" s="163"/>
      <c r="SJM88" s="163"/>
      <c r="SJN88" s="163"/>
      <c r="SJO88" s="163"/>
      <c r="SJP88" s="163"/>
      <c r="SJQ88" s="163"/>
      <c r="SJR88" s="163"/>
      <c r="SJS88" s="163"/>
      <c r="SJT88" s="163"/>
      <c r="SJU88" s="163"/>
      <c r="SJV88" s="163"/>
      <c r="SJW88" s="163"/>
      <c r="SJX88" s="163"/>
      <c r="SJY88" s="163"/>
      <c r="SJZ88" s="163"/>
      <c r="SKA88" s="163"/>
      <c r="SKB88" s="163"/>
      <c r="SKC88" s="163"/>
      <c r="SKD88" s="163"/>
      <c r="SKE88" s="163"/>
      <c r="SKF88" s="163"/>
      <c r="SKG88" s="163"/>
      <c r="SKH88" s="163"/>
      <c r="SKI88" s="163"/>
      <c r="SKJ88" s="163"/>
      <c r="SKK88" s="163"/>
      <c r="SKL88" s="163"/>
      <c r="SKM88" s="163"/>
      <c r="SKN88" s="163"/>
      <c r="SKO88" s="163"/>
      <c r="SKP88" s="163"/>
      <c r="SKQ88" s="163"/>
      <c r="SKR88" s="163"/>
      <c r="SKS88" s="163"/>
      <c r="SKT88" s="163"/>
      <c r="SKU88" s="163"/>
      <c r="SKV88" s="163"/>
      <c r="SKW88" s="163"/>
      <c r="SKX88" s="163"/>
      <c r="SKY88" s="163"/>
      <c r="SKZ88" s="163"/>
      <c r="SLA88" s="163"/>
      <c r="SLB88" s="163"/>
      <c r="SLC88" s="163"/>
      <c r="SLD88" s="163"/>
      <c r="SLE88" s="163"/>
      <c r="SLF88" s="163"/>
      <c r="SLG88" s="163"/>
      <c r="SLH88" s="163"/>
      <c r="SLI88" s="163"/>
      <c r="SLJ88" s="163"/>
      <c r="SLK88" s="163"/>
      <c r="SLL88" s="163"/>
      <c r="SLM88" s="163"/>
      <c r="SLN88" s="163"/>
      <c r="SLO88" s="163"/>
      <c r="SLP88" s="163"/>
      <c r="SLQ88" s="163"/>
      <c r="SLR88" s="163"/>
      <c r="SLS88" s="163"/>
      <c r="SLT88" s="163"/>
      <c r="SLU88" s="163"/>
      <c r="SLV88" s="163"/>
      <c r="SLW88" s="163"/>
      <c r="SLX88" s="163"/>
      <c r="SLY88" s="163"/>
      <c r="SLZ88" s="163"/>
      <c r="SMA88" s="163"/>
      <c r="SMB88" s="163"/>
      <c r="SMC88" s="163"/>
      <c r="SMD88" s="163"/>
      <c r="SME88" s="163"/>
      <c r="SMF88" s="163"/>
      <c r="SMG88" s="163"/>
      <c r="SMH88" s="163"/>
      <c r="SMI88" s="163"/>
      <c r="SMJ88" s="163"/>
      <c r="SMK88" s="163"/>
      <c r="SML88" s="163"/>
      <c r="SMM88" s="163"/>
      <c r="SMN88" s="163"/>
      <c r="SMO88" s="163"/>
      <c r="SMP88" s="163"/>
      <c r="SMQ88" s="163"/>
      <c r="SMR88" s="163"/>
      <c r="SMS88" s="163"/>
      <c r="SMT88" s="163"/>
      <c r="SMU88" s="163"/>
      <c r="SMV88" s="163"/>
      <c r="SMW88" s="163"/>
      <c r="SMX88" s="163"/>
      <c r="SMY88" s="163"/>
      <c r="SMZ88" s="163"/>
      <c r="SNA88" s="163"/>
      <c r="SNB88" s="163"/>
      <c r="SNC88" s="163"/>
      <c r="SND88" s="163"/>
      <c r="SNE88" s="163"/>
      <c r="SNF88" s="163"/>
      <c r="SNG88" s="163"/>
      <c r="SNH88" s="163"/>
      <c r="SNI88" s="163"/>
      <c r="SNJ88" s="163"/>
      <c r="SNK88" s="163"/>
      <c r="SNL88" s="163"/>
      <c r="SNM88" s="163"/>
      <c r="SNN88" s="163"/>
      <c r="SNO88" s="163"/>
      <c r="SNP88" s="163"/>
      <c r="SNQ88" s="163"/>
      <c r="SNR88" s="163"/>
      <c r="SNS88" s="163"/>
      <c r="SNT88" s="163"/>
      <c r="SNU88" s="163"/>
      <c r="SNV88" s="163"/>
      <c r="SNW88" s="163"/>
      <c r="SNX88" s="163"/>
      <c r="SNY88" s="163"/>
      <c r="SNZ88" s="163"/>
      <c r="SOA88" s="163"/>
      <c r="SOB88" s="163"/>
      <c r="SOC88" s="163"/>
      <c r="SOD88" s="163"/>
      <c r="SOE88" s="163"/>
      <c r="SOF88" s="163"/>
      <c r="SOG88" s="163"/>
      <c r="SOH88" s="163"/>
      <c r="SOI88" s="163"/>
      <c r="SOJ88" s="163"/>
      <c r="SOK88" s="163"/>
      <c r="SOL88" s="163"/>
      <c r="SOM88" s="163"/>
      <c r="SON88" s="163"/>
      <c r="SOO88" s="163"/>
      <c r="SOP88" s="163"/>
      <c r="SOQ88" s="163"/>
      <c r="SOR88" s="163"/>
      <c r="SOS88" s="163"/>
      <c r="SOT88" s="163"/>
      <c r="SOU88" s="163"/>
      <c r="SOV88" s="163"/>
      <c r="SOW88" s="163"/>
      <c r="SOX88" s="163"/>
      <c r="SOY88" s="163"/>
      <c r="SOZ88" s="163"/>
      <c r="SPA88" s="163"/>
      <c r="SPB88" s="163"/>
      <c r="SPC88" s="163"/>
      <c r="SPD88" s="163"/>
      <c r="SPE88" s="163"/>
      <c r="SPF88" s="163"/>
      <c r="SPG88" s="163"/>
      <c r="SPH88" s="163"/>
      <c r="SPI88" s="163"/>
      <c r="SPJ88" s="163"/>
      <c r="SPK88" s="163"/>
      <c r="SPL88" s="163"/>
      <c r="SPM88" s="163"/>
      <c r="SPN88" s="163"/>
      <c r="SPO88" s="163"/>
      <c r="SPP88" s="163"/>
      <c r="SPQ88" s="163"/>
      <c r="SPR88" s="163"/>
      <c r="SPS88" s="163"/>
      <c r="SPT88" s="163"/>
      <c r="SPU88" s="163"/>
      <c r="SPV88" s="163"/>
      <c r="SPW88" s="163"/>
      <c r="SPX88" s="163"/>
      <c r="SPY88" s="163"/>
      <c r="SPZ88" s="163"/>
      <c r="SQA88" s="163"/>
      <c r="SQB88" s="163"/>
      <c r="SQC88" s="163"/>
      <c r="SQD88" s="163"/>
      <c r="SQE88" s="163"/>
      <c r="SQF88" s="163"/>
      <c r="SQG88" s="163"/>
      <c r="SQH88" s="163"/>
      <c r="SQI88" s="163"/>
      <c r="SQJ88" s="163"/>
      <c r="SQK88" s="163"/>
      <c r="SQL88" s="163"/>
      <c r="SQM88" s="163"/>
      <c r="SQN88" s="163"/>
      <c r="SQO88" s="163"/>
      <c r="SQP88" s="163"/>
      <c r="SQQ88" s="163"/>
      <c r="SQR88" s="163"/>
      <c r="SQS88" s="163"/>
      <c r="SQT88" s="163"/>
      <c r="SQU88" s="163"/>
      <c r="SQV88" s="163"/>
      <c r="SQW88" s="163"/>
      <c r="SQX88" s="163"/>
      <c r="SQY88" s="163"/>
      <c r="SQZ88" s="163"/>
      <c r="SRA88" s="163"/>
      <c r="SRB88" s="163"/>
      <c r="SRC88" s="163"/>
      <c r="SRD88" s="163"/>
      <c r="SRE88" s="163"/>
      <c r="SRF88" s="163"/>
      <c r="SRG88" s="163"/>
      <c r="SRH88" s="163"/>
      <c r="SRI88" s="163"/>
      <c r="SRJ88" s="163"/>
      <c r="SRK88" s="163"/>
      <c r="SRL88" s="163"/>
      <c r="SRM88" s="163"/>
      <c r="SRN88" s="163"/>
      <c r="SRO88" s="163"/>
      <c r="SRP88" s="163"/>
      <c r="SRQ88" s="163"/>
      <c r="SRR88" s="163"/>
      <c r="SRS88" s="163"/>
      <c r="SRT88" s="163"/>
      <c r="SRU88" s="163"/>
      <c r="SRV88" s="163"/>
      <c r="SRW88" s="163"/>
      <c r="SRX88" s="163"/>
      <c r="SRY88" s="163"/>
      <c r="SRZ88" s="163"/>
      <c r="SSA88" s="163"/>
      <c r="SSB88" s="163"/>
      <c r="SSC88" s="163"/>
      <c r="SSD88" s="163"/>
      <c r="SSE88" s="163"/>
      <c r="SSF88" s="163"/>
      <c r="SSG88" s="163"/>
      <c r="SSH88" s="163"/>
      <c r="SSI88" s="163"/>
      <c r="SSJ88" s="163"/>
      <c r="SSK88" s="163"/>
      <c r="SSL88" s="163"/>
      <c r="SSM88" s="163"/>
      <c r="SSN88" s="163"/>
      <c r="SSO88" s="163"/>
      <c r="SSP88" s="163"/>
      <c r="SSQ88" s="163"/>
      <c r="SSR88" s="163"/>
      <c r="SSS88" s="163"/>
      <c r="SST88" s="163"/>
      <c r="SSU88" s="163"/>
      <c r="SSV88" s="163"/>
      <c r="SSW88" s="163"/>
      <c r="SSX88" s="163"/>
      <c r="SSY88" s="163"/>
      <c r="SSZ88" s="163"/>
      <c r="STA88" s="163"/>
      <c r="STB88" s="163"/>
      <c r="STC88" s="163"/>
      <c r="STD88" s="163"/>
      <c r="STE88" s="163"/>
      <c r="STF88" s="163"/>
      <c r="STG88" s="163"/>
      <c r="STH88" s="163"/>
      <c r="STI88" s="163"/>
      <c r="STJ88" s="163"/>
      <c r="STK88" s="163"/>
      <c r="STL88" s="163"/>
      <c r="STM88" s="163"/>
      <c r="STN88" s="163"/>
      <c r="STO88" s="163"/>
      <c r="STP88" s="163"/>
      <c r="STQ88" s="163"/>
      <c r="STR88" s="163"/>
      <c r="STS88" s="163"/>
      <c r="STT88" s="163"/>
      <c r="STU88" s="163"/>
      <c r="STV88" s="163"/>
      <c r="STW88" s="163"/>
      <c r="STX88" s="163"/>
      <c r="STY88" s="163"/>
      <c r="STZ88" s="163"/>
      <c r="SUA88" s="163"/>
      <c r="SUB88" s="163"/>
      <c r="SUC88" s="163"/>
      <c r="SUD88" s="163"/>
      <c r="SUE88" s="163"/>
      <c r="SUF88" s="163"/>
      <c r="SUG88" s="163"/>
      <c r="SUH88" s="163"/>
      <c r="SUI88" s="163"/>
      <c r="SUJ88" s="163"/>
      <c r="SUK88" s="163"/>
      <c r="SUL88" s="163"/>
      <c r="SUM88" s="163"/>
      <c r="SUN88" s="163"/>
      <c r="SUO88" s="163"/>
      <c r="SUP88" s="163"/>
      <c r="SUQ88" s="163"/>
      <c r="SUR88" s="163"/>
      <c r="SUS88" s="163"/>
      <c r="SUT88" s="163"/>
      <c r="SUU88" s="163"/>
      <c r="SUV88" s="163"/>
      <c r="SUW88" s="163"/>
      <c r="SUX88" s="163"/>
      <c r="SUY88" s="163"/>
      <c r="SUZ88" s="163"/>
      <c r="SVA88" s="163"/>
      <c r="SVB88" s="163"/>
      <c r="SVC88" s="163"/>
      <c r="SVD88" s="163"/>
      <c r="SVE88" s="163"/>
      <c r="SVF88" s="163"/>
      <c r="SVG88" s="163"/>
      <c r="SVH88" s="163"/>
      <c r="SVI88" s="163"/>
      <c r="SVJ88" s="163"/>
      <c r="SVK88" s="163"/>
      <c r="SVL88" s="163"/>
      <c r="SVM88" s="163"/>
      <c r="SVN88" s="163"/>
      <c r="SVO88" s="163"/>
      <c r="SVP88" s="163"/>
      <c r="SVQ88" s="163"/>
      <c r="SVR88" s="163"/>
      <c r="SVS88" s="163"/>
      <c r="SVT88" s="163"/>
      <c r="SVU88" s="163"/>
      <c r="SVV88" s="163"/>
      <c r="SVW88" s="163"/>
      <c r="SVX88" s="163"/>
      <c r="SVY88" s="163"/>
      <c r="SVZ88" s="163"/>
      <c r="SWA88" s="163"/>
      <c r="SWB88" s="163"/>
      <c r="SWC88" s="163"/>
      <c r="SWD88" s="163"/>
      <c r="SWE88" s="163"/>
      <c r="SWF88" s="163"/>
      <c r="SWG88" s="163"/>
      <c r="SWH88" s="163"/>
      <c r="SWI88" s="163"/>
      <c r="SWJ88" s="163"/>
      <c r="SWK88" s="163"/>
      <c r="SWL88" s="163"/>
      <c r="SWM88" s="163"/>
      <c r="SWN88" s="163"/>
      <c r="SWO88" s="163"/>
      <c r="SWP88" s="163"/>
      <c r="SWQ88" s="163"/>
      <c r="SWR88" s="163"/>
      <c r="SWS88" s="163"/>
      <c r="SWT88" s="163"/>
      <c r="SWU88" s="163"/>
      <c r="SWV88" s="163"/>
      <c r="SWW88" s="163"/>
      <c r="SWX88" s="163"/>
      <c r="SWY88" s="163"/>
      <c r="SWZ88" s="163"/>
      <c r="SXA88" s="163"/>
      <c r="SXB88" s="163"/>
      <c r="SXC88" s="163"/>
      <c r="SXD88" s="163"/>
      <c r="SXE88" s="163"/>
      <c r="SXF88" s="163"/>
      <c r="SXG88" s="163"/>
      <c r="SXH88" s="163"/>
      <c r="SXI88" s="163"/>
      <c r="SXJ88" s="163"/>
      <c r="SXK88" s="163"/>
      <c r="SXL88" s="163"/>
      <c r="SXM88" s="163"/>
      <c r="SXN88" s="163"/>
      <c r="SXO88" s="163"/>
      <c r="SXP88" s="163"/>
      <c r="SXQ88" s="163"/>
      <c r="SXR88" s="163"/>
      <c r="SXS88" s="163"/>
      <c r="SXT88" s="163"/>
      <c r="SXU88" s="163"/>
      <c r="SXV88" s="163"/>
      <c r="SXW88" s="163"/>
      <c r="SXX88" s="163"/>
      <c r="SXY88" s="163"/>
      <c r="SXZ88" s="163"/>
      <c r="SYA88" s="163"/>
      <c r="SYB88" s="163"/>
      <c r="SYC88" s="163"/>
      <c r="SYD88" s="163"/>
      <c r="SYE88" s="163"/>
      <c r="SYF88" s="163"/>
      <c r="SYG88" s="163"/>
      <c r="SYH88" s="163"/>
      <c r="SYI88" s="163"/>
      <c r="SYJ88" s="163"/>
      <c r="SYK88" s="163"/>
      <c r="SYL88" s="163"/>
      <c r="SYM88" s="163"/>
      <c r="SYN88" s="163"/>
      <c r="SYO88" s="163"/>
      <c r="SYP88" s="163"/>
      <c r="SYQ88" s="163"/>
      <c r="SYR88" s="163"/>
      <c r="SYS88" s="163"/>
      <c r="SYT88" s="163"/>
      <c r="SYU88" s="163"/>
      <c r="SYV88" s="163"/>
      <c r="SYW88" s="163"/>
      <c r="SYX88" s="163"/>
      <c r="SYY88" s="163"/>
      <c r="SYZ88" s="163"/>
      <c r="SZA88" s="163"/>
      <c r="SZB88" s="163"/>
      <c r="SZC88" s="163"/>
      <c r="SZD88" s="163"/>
      <c r="SZE88" s="163"/>
      <c r="SZF88" s="163"/>
      <c r="SZG88" s="163"/>
      <c r="SZH88" s="163"/>
      <c r="SZI88" s="163"/>
      <c r="SZJ88" s="163"/>
      <c r="SZK88" s="163"/>
      <c r="SZL88" s="163"/>
      <c r="SZM88" s="163"/>
      <c r="SZN88" s="163"/>
      <c r="SZO88" s="163"/>
      <c r="SZP88" s="163"/>
      <c r="SZQ88" s="163"/>
      <c r="SZR88" s="163"/>
      <c r="SZS88" s="163"/>
      <c r="SZT88" s="163"/>
      <c r="SZU88" s="163"/>
      <c r="SZV88" s="163"/>
      <c r="SZW88" s="163"/>
      <c r="SZX88" s="163"/>
      <c r="SZY88" s="163"/>
      <c r="SZZ88" s="163"/>
      <c r="TAA88" s="163"/>
      <c r="TAB88" s="163"/>
      <c r="TAC88" s="163"/>
      <c r="TAD88" s="163"/>
      <c r="TAE88" s="163"/>
      <c r="TAF88" s="163"/>
      <c r="TAG88" s="163"/>
      <c r="TAH88" s="163"/>
      <c r="TAI88" s="163"/>
      <c r="TAJ88" s="163"/>
      <c r="TAK88" s="163"/>
      <c r="TAL88" s="163"/>
      <c r="TAM88" s="163"/>
      <c r="TAN88" s="163"/>
      <c r="TAO88" s="163"/>
      <c r="TAP88" s="163"/>
      <c r="TAQ88" s="163"/>
      <c r="TAR88" s="163"/>
      <c r="TAS88" s="163"/>
      <c r="TAT88" s="163"/>
      <c r="TAU88" s="163"/>
      <c r="TAV88" s="163"/>
      <c r="TAW88" s="163"/>
      <c r="TAX88" s="163"/>
      <c r="TAY88" s="163"/>
      <c r="TAZ88" s="163"/>
      <c r="TBA88" s="163"/>
      <c r="TBB88" s="163"/>
      <c r="TBC88" s="163"/>
      <c r="TBD88" s="163"/>
      <c r="TBE88" s="163"/>
      <c r="TBF88" s="163"/>
      <c r="TBG88" s="163"/>
      <c r="TBH88" s="163"/>
      <c r="TBI88" s="163"/>
      <c r="TBJ88" s="163"/>
      <c r="TBK88" s="163"/>
      <c r="TBL88" s="163"/>
      <c r="TBM88" s="163"/>
      <c r="TBN88" s="163"/>
      <c r="TBO88" s="163"/>
      <c r="TBP88" s="163"/>
      <c r="TBQ88" s="163"/>
      <c r="TBR88" s="163"/>
      <c r="TBS88" s="163"/>
      <c r="TBT88" s="163"/>
      <c r="TBU88" s="163"/>
      <c r="TBV88" s="163"/>
      <c r="TBW88" s="163"/>
      <c r="TBX88" s="163"/>
      <c r="TBY88" s="163"/>
      <c r="TBZ88" s="163"/>
      <c r="TCA88" s="163"/>
      <c r="TCB88" s="163"/>
      <c r="TCC88" s="163"/>
      <c r="TCD88" s="163"/>
      <c r="TCE88" s="163"/>
      <c r="TCF88" s="163"/>
      <c r="TCG88" s="163"/>
      <c r="TCH88" s="163"/>
      <c r="TCI88" s="163"/>
      <c r="TCJ88" s="163"/>
      <c r="TCK88" s="163"/>
      <c r="TCL88" s="163"/>
      <c r="TCM88" s="163"/>
      <c r="TCN88" s="163"/>
      <c r="TCO88" s="163"/>
      <c r="TCP88" s="163"/>
      <c r="TCQ88" s="163"/>
      <c r="TCR88" s="163"/>
      <c r="TCS88" s="163"/>
      <c r="TCT88" s="163"/>
      <c r="TCU88" s="163"/>
      <c r="TCV88" s="163"/>
      <c r="TCW88" s="163"/>
      <c r="TCX88" s="163"/>
      <c r="TCY88" s="163"/>
      <c r="TCZ88" s="163"/>
      <c r="TDA88" s="163"/>
      <c r="TDB88" s="163"/>
      <c r="TDC88" s="163"/>
      <c r="TDD88" s="163"/>
      <c r="TDE88" s="163"/>
      <c r="TDF88" s="163"/>
      <c r="TDG88" s="163"/>
      <c r="TDH88" s="163"/>
      <c r="TDI88" s="163"/>
      <c r="TDJ88" s="163"/>
      <c r="TDK88" s="163"/>
      <c r="TDL88" s="163"/>
      <c r="TDM88" s="163"/>
      <c r="TDN88" s="163"/>
      <c r="TDO88" s="163"/>
      <c r="TDP88" s="163"/>
      <c r="TDQ88" s="163"/>
      <c r="TDR88" s="163"/>
      <c r="TDS88" s="163"/>
      <c r="TDT88" s="163"/>
      <c r="TDU88" s="163"/>
      <c r="TDV88" s="163"/>
      <c r="TDW88" s="163"/>
      <c r="TDX88" s="163"/>
      <c r="TDY88" s="163"/>
      <c r="TDZ88" s="163"/>
      <c r="TEA88" s="163"/>
      <c r="TEB88" s="163"/>
      <c r="TEC88" s="163"/>
      <c r="TED88" s="163"/>
      <c r="TEE88" s="163"/>
      <c r="TEF88" s="163"/>
      <c r="TEG88" s="163"/>
      <c r="TEH88" s="163"/>
      <c r="TEI88" s="163"/>
      <c r="TEJ88" s="163"/>
      <c r="TEK88" s="163"/>
      <c r="TEL88" s="163"/>
      <c r="TEM88" s="163"/>
      <c r="TEN88" s="163"/>
      <c r="TEO88" s="163"/>
      <c r="TEP88" s="163"/>
      <c r="TEQ88" s="163"/>
      <c r="TER88" s="163"/>
      <c r="TES88" s="163"/>
      <c r="TET88" s="163"/>
      <c r="TEU88" s="163"/>
      <c r="TEV88" s="163"/>
      <c r="TEW88" s="163"/>
      <c r="TEX88" s="163"/>
      <c r="TEY88" s="163"/>
      <c r="TEZ88" s="163"/>
      <c r="TFA88" s="163"/>
      <c r="TFB88" s="163"/>
      <c r="TFC88" s="163"/>
      <c r="TFD88" s="163"/>
      <c r="TFE88" s="163"/>
      <c r="TFF88" s="163"/>
      <c r="TFG88" s="163"/>
      <c r="TFH88" s="163"/>
      <c r="TFI88" s="163"/>
      <c r="TFJ88" s="163"/>
      <c r="TFK88" s="163"/>
      <c r="TFL88" s="163"/>
      <c r="TFM88" s="163"/>
      <c r="TFN88" s="163"/>
      <c r="TFO88" s="163"/>
      <c r="TFP88" s="163"/>
      <c r="TFQ88" s="163"/>
      <c r="TFR88" s="163"/>
      <c r="TFS88" s="163"/>
      <c r="TFT88" s="163"/>
      <c r="TFU88" s="163"/>
      <c r="TFV88" s="163"/>
      <c r="TFW88" s="163"/>
      <c r="TFX88" s="163"/>
      <c r="TFY88" s="163"/>
      <c r="TFZ88" s="163"/>
      <c r="TGA88" s="163"/>
      <c r="TGB88" s="163"/>
      <c r="TGC88" s="163"/>
      <c r="TGD88" s="163"/>
      <c r="TGE88" s="163"/>
      <c r="TGF88" s="163"/>
      <c r="TGG88" s="163"/>
      <c r="TGH88" s="163"/>
      <c r="TGI88" s="163"/>
      <c r="TGJ88" s="163"/>
      <c r="TGK88" s="163"/>
      <c r="TGL88" s="163"/>
      <c r="TGM88" s="163"/>
      <c r="TGN88" s="163"/>
      <c r="TGO88" s="163"/>
      <c r="TGP88" s="163"/>
      <c r="TGQ88" s="163"/>
      <c r="TGR88" s="163"/>
      <c r="TGS88" s="163"/>
      <c r="TGT88" s="163"/>
      <c r="TGU88" s="163"/>
      <c r="TGV88" s="163"/>
      <c r="TGW88" s="163"/>
      <c r="TGX88" s="163"/>
      <c r="TGY88" s="163"/>
      <c r="TGZ88" s="163"/>
      <c r="THA88" s="163"/>
      <c r="THB88" s="163"/>
      <c r="THC88" s="163"/>
      <c r="THD88" s="163"/>
      <c r="THE88" s="163"/>
      <c r="THF88" s="163"/>
      <c r="THG88" s="163"/>
      <c r="THH88" s="163"/>
      <c r="THI88" s="163"/>
      <c r="THJ88" s="163"/>
      <c r="THK88" s="163"/>
      <c r="THL88" s="163"/>
      <c r="THM88" s="163"/>
      <c r="THN88" s="163"/>
      <c r="THO88" s="163"/>
      <c r="THP88" s="163"/>
      <c r="THQ88" s="163"/>
      <c r="THR88" s="163"/>
      <c r="THS88" s="163"/>
      <c r="THT88" s="163"/>
      <c r="THU88" s="163"/>
      <c r="THV88" s="163"/>
      <c r="THW88" s="163"/>
      <c r="THX88" s="163"/>
      <c r="THY88" s="163"/>
      <c r="THZ88" s="163"/>
      <c r="TIA88" s="163"/>
      <c r="TIB88" s="163"/>
      <c r="TIC88" s="163"/>
      <c r="TID88" s="163"/>
      <c r="TIE88" s="163"/>
      <c r="TIF88" s="163"/>
      <c r="TIG88" s="163"/>
      <c r="TIH88" s="163"/>
      <c r="TII88" s="163"/>
      <c r="TIJ88" s="163"/>
      <c r="TIK88" s="163"/>
      <c r="TIL88" s="163"/>
      <c r="TIM88" s="163"/>
      <c r="TIN88" s="163"/>
      <c r="TIO88" s="163"/>
      <c r="TIP88" s="163"/>
      <c r="TIQ88" s="163"/>
      <c r="TIR88" s="163"/>
      <c r="TIS88" s="163"/>
      <c r="TIT88" s="163"/>
      <c r="TIU88" s="163"/>
      <c r="TIV88" s="163"/>
      <c r="TIW88" s="163"/>
      <c r="TIX88" s="163"/>
      <c r="TIY88" s="163"/>
      <c r="TIZ88" s="163"/>
      <c r="TJA88" s="163"/>
      <c r="TJB88" s="163"/>
      <c r="TJC88" s="163"/>
      <c r="TJD88" s="163"/>
      <c r="TJE88" s="163"/>
      <c r="TJF88" s="163"/>
      <c r="TJG88" s="163"/>
      <c r="TJH88" s="163"/>
      <c r="TJI88" s="163"/>
      <c r="TJJ88" s="163"/>
      <c r="TJK88" s="163"/>
      <c r="TJL88" s="163"/>
      <c r="TJM88" s="163"/>
      <c r="TJN88" s="163"/>
      <c r="TJO88" s="163"/>
      <c r="TJP88" s="163"/>
      <c r="TJQ88" s="163"/>
      <c r="TJR88" s="163"/>
      <c r="TJS88" s="163"/>
      <c r="TJT88" s="163"/>
      <c r="TJU88" s="163"/>
      <c r="TJV88" s="163"/>
      <c r="TJW88" s="163"/>
      <c r="TJX88" s="163"/>
      <c r="TJY88" s="163"/>
      <c r="TJZ88" s="163"/>
      <c r="TKA88" s="163"/>
      <c r="TKB88" s="163"/>
      <c r="TKC88" s="163"/>
      <c r="TKD88" s="163"/>
      <c r="TKE88" s="163"/>
      <c r="TKF88" s="163"/>
      <c r="TKG88" s="163"/>
      <c r="TKH88" s="163"/>
      <c r="TKI88" s="163"/>
      <c r="TKJ88" s="163"/>
      <c r="TKK88" s="163"/>
      <c r="TKL88" s="163"/>
      <c r="TKM88" s="163"/>
      <c r="TKN88" s="163"/>
      <c r="TKO88" s="163"/>
      <c r="TKP88" s="163"/>
      <c r="TKQ88" s="163"/>
      <c r="TKR88" s="163"/>
      <c r="TKS88" s="163"/>
      <c r="TKT88" s="163"/>
      <c r="TKU88" s="163"/>
      <c r="TKV88" s="163"/>
      <c r="TKW88" s="163"/>
      <c r="TKX88" s="163"/>
      <c r="TKY88" s="163"/>
      <c r="TKZ88" s="163"/>
      <c r="TLA88" s="163"/>
      <c r="TLB88" s="163"/>
      <c r="TLC88" s="163"/>
      <c r="TLD88" s="163"/>
      <c r="TLE88" s="163"/>
      <c r="TLF88" s="163"/>
      <c r="TLG88" s="163"/>
      <c r="TLH88" s="163"/>
      <c r="TLI88" s="163"/>
      <c r="TLJ88" s="163"/>
      <c r="TLK88" s="163"/>
      <c r="TLL88" s="163"/>
      <c r="TLM88" s="163"/>
      <c r="TLN88" s="163"/>
      <c r="TLO88" s="163"/>
      <c r="TLP88" s="163"/>
      <c r="TLQ88" s="163"/>
      <c r="TLR88" s="163"/>
      <c r="TLS88" s="163"/>
      <c r="TLT88" s="163"/>
      <c r="TLU88" s="163"/>
      <c r="TLV88" s="163"/>
      <c r="TLW88" s="163"/>
      <c r="TLX88" s="163"/>
      <c r="TLY88" s="163"/>
      <c r="TLZ88" s="163"/>
      <c r="TMA88" s="163"/>
      <c r="TMB88" s="163"/>
      <c r="TMC88" s="163"/>
      <c r="TMD88" s="163"/>
      <c r="TME88" s="163"/>
      <c r="TMF88" s="163"/>
      <c r="TMG88" s="163"/>
      <c r="TMH88" s="163"/>
      <c r="TMI88" s="163"/>
      <c r="TMJ88" s="163"/>
      <c r="TMK88" s="163"/>
      <c r="TML88" s="163"/>
      <c r="TMM88" s="163"/>
      <c r="TMN88" s="163"/>
      <c r="TMO88" s="163"/>
      <c r="TMP88" s="163"/>
      <c r="TMQ88" s="163"/>
      <c r="TMR88" s="163"/>
      <c r="TMS88" s="163"/>
      <c r="TMT88" s="163"/>
      <c r="TMU88" s="163"/>
      <c r="TMV88" s="163"/>
      <c r="TMW88" s="163"/>
      <c r="TMX88" s="163"/>
      <c r="TMY88" s="163"/>
      <c r="TMZ88" s="163"/>
      <c r="TNA88" s="163"/>
      <c r="TNB88" s="163"/>
      <c r="TNC88" s="163"/>
      <c r="TND88" s="163"/>
      <c r="TNE88" s="163"/>
      <c r="TNF88" s="163"/>
      <c r="TNG88" s="163"/>
      <c r="TNH88" s="163"/>
      <c r="TNI88" s="163"/>
      <c r="TNJ88" s="163"/>
      <c r="TNK88" s="163"/>
      <c r="TNL88" s="163"/>
      <c r="TNM88" s="163"/>
      <c r="TNN88" s="163"/>
      <c r="TNO88" s="163"/>
      <c r="TNP88" s="163"/>
      <c r="TNQ88" s="163"/>
      <c r="TNR88" s="163"/>
      <c r="TNS88" s="163"/>
      <c r="TNT88" s="163"/>
      <c r="TNU88" s="163"/>
      <c r="TNV88" s="163"/>
      <c r="TNW88" s="163"/>
      <c r="TNX88" s="163"/>
      <c r="TNY88" s="163"/>
      <c r="TNZ88" s="163"/>
      <c r="TOA88" s="163"/>
      <c r="TOB88" s="163"/>
      <c r="TOC88" s="163"/>
      <c r="TOD88" s="163"/>
      <c r="TOE88" s="163"/>
      <c r="TOF88" s="163"/>
      <c r="TOG88" s="163"/>
      <c r="TOH88" s="163"/>
      <c r="TOI88" s="163"/>
      <c r="TOJ88" s="163"/>
      <c r="TOK88" s="163"/>
      <c r="TOL88" s="163"/>
      <c r="TOM88" s="163"/>
      <c r="TON88" s="163"/>
      <c r="TOO88" s="163"/>
      <c r="TOP88" s="163"/>
      <c r="TOQ88" s="163"/>
      <c r="TOR88" s="163"/>
      <c r="TOS88" s="163"/>
      <c r="TOT88" s="163"/>
      <c r="TOU88" s="163"/>
      <c r="TOV88" s="163"/>
      <c r="TOW88" s="163"/>
      <c r="TOX88" s="163"/>
      <c r="TOY88" s="163"/>
      <c r="TOZ88" s="163"/>
      <c r="TPA88" s="163"/>
      <c r="TPB88" s="163"/>
      <c r="TPC88" s="163"/>
      <c r="TPD88" s="163"/>
      <c r="TPE88" s="163"/>
      <c r="TPF88" s="163"/>
      <c r="TPG88" s="163"/>
      <c r="TPH88" s="163"/>
      <c r="TPI88" s="163"/>
      <c r="TPJ88" s="163"/>
      <c r="TPK88" s="163"/>
      <c r="TPL88" s="163"/>
      <c r="TPM88" s="163"/>
      <c r="TPN88" s="163"/>
      <c r="TPO88" s="163"/>
      <c r="TPP88" s="163"/>
      <c r="TPQ88" s="163"/>
      <c r="TPR88" s="163"/>
      <c r="TPS88" s="163"/>
      <c r="TPT88" s="163"/>
      <c r="TPU88" s="163"/>
      <c r="TPV88" s="163"/>
      <c r="TPW88" s="163"/>
      <c r="TPX88" s="163"/>
      <c r="TPY88" s="163"/>
      <c r="TPZ88" s="163"/>
      <c r="TQA88" s="163"/>
      <c r="TQB88" s="163"/>
      <c r="TQC88" s="163"/>
      <c r="TQD88" s="163"/>
      <c r="TQE88" s="163"/>
      <c r="TQF88" s="163"/>
      <c r="TQG88" s="163"/>
      <c r="TQH88" s="163"/>
      <c r="TQI88" s="163"/>
      <c r="TQJ88" s="163"/>
      <c r="TQK88" s="163"/>
      <c r="TQL88" s="163"/>
      <c r="TQM88" s="163"/>
      <c r="TQN88" s="163"/>
      <c r="TQO88" s="163"/>
      <c r="TQP88" s="163"/>
      <c r="TQQ88" s="163"/>
      <c r="TQR88" s="163"/>
      <c r="TQS88" s="163"/>
      <c r="TQT88" s="163"/>
      <c r="TQU88" s="163"/>
      <c r="TQV88" s="163"/>
      <c r="TQW88" s="163"/>
      <c r="TQX88" s="163"/>
      <c r="TQY88" s="163"/>
      <c r="TQZ88" s="163"/>
      <c r="TRA88" s="163"/>
      <c r="TRB88" s="163"/>
      <c r="TRC88" s="163"/>
      <c r="TRD88" s="163"/>
      <c r="TRE88" s="163"/>
      <c r="TRF88" s="163"/>
      <c r="TRG88" s="163"/>
      <c r="TRH88" s="163"/>
      <c r="TRI88" s="163"/>
      <c r="TRJ88" s="163"/>
      <c r="TRK88" s="163"/>
      <c r="TRL88" s="163"/>
      <c r="TRM88" s="163"/>
      <c r="TRN88" s="163"/>
      <c r="TRO88" s="163"/>
      <c r="TRP88" s="163"/>
      <c r="TRQ88" s="163"/>
      <c r="TRR88" s="163"/>
      <c r="TRS88" s="163"/>
      <c r="TRT88" s="163"/>
      <c r="TRU88" s="163"/>
      <c r="TRV88" s="163"/>
      <c r="TRW88" s="163"/>
      <c r="TRX88" s="163"/>
      <c r="TRY88" s="163"/>
      <c r="TRZ88" s="163"/>
      <c r="TSA88" s="163"/>
      <c r="TSB88" s="163"/>
      <c r="TSC88" s="163"/>
      <c r="TSD88" s="163"/>
      <c r="TSE88" s="163"/>
      <c r="TSF88" s="163"/>
      <c r="TSG88" s="163"/>
      <c r="TSH88" s="163"/>
      <c r="TSI88" s="163"/>
      <c r="TSJ88" s="163"/>
      <c r="TSK88" s="163"/>
      <c r="TSL88" s="163"/>
      <c r="TSM88" s="163"/>
      <c r="TSN88" s="163"/>
      <c r="TSO88" s="163"/>
      <c r="TSP88" s="163"/>
      <c r="TSQ88" s="163"/>
      <c r="TSR88" s="163"/>
      <c r="TSS88" s="163"/>
      <c r="TST88" s="163"/>
      <c r="TSU88" s="163"/>
      <c r="TSV88" s="163"/>
      <c r="TSW88" s="163"/>
      <c r="TSX88" s="163"/>
      <c r="TSY88" s="163"/>
      <c r="TSZ88" s="163"/>
      <c r="TTA88" s="163"/>
      <c r="TTB88" s="163"/>
      <c r="TTC88" s="163"/>
      <c r="TTD88" s="163"/>
      <c r="TTE88" s="163"/>
      <c r="TTF88" s="163"/>
      <c r="TTG88" s="163"/>
      <c r="TTH88" s="163"/>
      <c r="TTI88" s="163"/>
      <c r="TTJ88" s="163"/>
      <c r="TTK88" s="163"/>
      <c r="TTL88" s="163"/>
      <c r="TTM88" s="163"/>
      <c r="TTN88" s="163"/>
      <c r="TTO88" s="163"/>
      <c r="TTP88" s="163"/>
      <c r="TTQ88" s="163"/>
      <c r="TTR88" s="163"/>
      <c r="TTS88" s="163"/>
      <c r="TTT88" s="163"/>
      <c r="TTU88" s="163"/>
      <c r="TTV88" s="163"/>
      <c r="TTW88" s="163"/>
      <c r="TTX88" s="163"/>
      <c r="TTY88" s="163"/>
      <c r="TTZ88" s="163"/>
      <c r="TUA88" s="163"/>
      <c r="TUB88" s="163"/>
      <c r="TUC88" s="163"/>
      <c r="TUD88" s="163"/>
      <c r="TUE88" s="163"/>
      <c r="TUF88" s="163"/>
      <c r="TUG88" s="163"/>
      <c r="TUH88" s="163"/>
      <c r="TUI88" s="163"/>
      <c r="TUJ88" s="163"/>
      <c r="TUK88" s="163"/>
      <c r="TUL88" s="163"/>
      <c r="TUM88" s="163"/>
      <c r="TUN88" s="163"/>
      <c r="TUO88" s="163"/>
      <c r="TUP88" s="163"/>
      <c r="TUQ88" s="163"/>
      <c r="TUR88" s="163"/>
      <c r="TUS88" s="163"/>
      <c r="TUT88" s="163"/>
      <c r="TUU88" s="163"/>
      <c r="TUV88" s="163"/>
      <c r="TUW88" s="163"/>
      <c r="TUX88" s="163"/>
      <c r="TUY88" s="163"/>
      <c r="TUZ88" s="163"/>
      <c r="TVA88" s="163"/>
      <c r="TVB88" s="163"/>
      <c r="TVC88" s="163"/>
      <c r="TVD88" s="163"/>
      <c r="TVE88" s="163"/>
      <c r="TVF88" s="163"/>
      <c r="TVG88" s="163"/>
      <c r="TVH88" s="163"/>
      <c r="TVI88" s="163"/>
      <c r="TVJ88" s="163"/>
      <c r="TVK88" s="163"/>
      <c r="TVL88" s="163"/>
      <c r="TVM88" s="163"/>
      <c r="TVN88" s="163"/>
      <c r="TVO88" s="163"/>
      <c r="TVP88" s="163"/>
      <c r="TVQ88" s="163"/>
      <c r="TVR88" s="163"/>
      <c r="TVS88" s="163"/>
      <c r="TVT88" s="163"/>
      <c r="TVU88" s="163"/>
      <c r="TVV88" s="163"/>
      <c r="TVW88" s="163"/>
      <c r="TVX88" s="163"/>
      <c r="TVY88" s="163"/>
      <c r="TVZ88" s="163"/>
      <c r="TWA88" s="163"/>
      <c r="TWB88" s="163"/>
      <c r="TWC88" s="163"/>
      <c r="TWD88" s="163"/>
      <c r="TWE88" s="163"/>
      <c r="TWF88" s="163"/>
      <c r="TWG88" s="163"/>
      <c r="TWH88" s="163"/>
      <c r="TWI88" s="163"/>
      <c r="TWJ88" s="163"/>
      <c r="TWK88" s="163"/>
      <c r="TWL88" s="163"/>
      <c r="TWM88" s="163"/>
      <c r="TWN88" s="163"/>
      <c r="TWO88" s="163"/>
      <c r="TWP88" s="163"/>
      <c r="TWQ88" s="163"/>
      <c r="TWR88" s="163"/>
      <c r="TWS88" s="163"/>
      <c r="TWT88" s="163"/>
      <c r="TWU88" s="163"/>
      <c r="TWV88" s="163"/>
      <c r="TWW88" s="163"/>
      <c r="TWX88" s="163"/>
      <c r="TWY88" s="163"/>
      <c r="TWZ88" s="163"/>
      <c r="TXA88" s="163"/>
      <c r="TXB88" s="163"/>
      <c r="TXC88" s="163"/>
      <c r="TXD88" s="163"/>
      <c r="TXE88" s="163"/>
      <c r="TXF88" s="163"/>
      <c r="TXG88" s="163"/>
      <c r="TXH88" s="163"/>
      <c r="TXI88" s="163"/>
      <c r="TXJ88" s="163"/>
      <c r="TXK88" s="163"/>
      <c r="TXL88" s="163"/>
      <c r="TXM88" s="163"/>
      <c r="TXN88" s="163"/>
      <c r="TXO88" s="163"/>
      <c r="TXP88" s="163"/>
      <c r="TXQ88" s="163"/>
      <c r="TXR88" s="163"/>
      <c r="TXS88" s="163"/>
      <c r="TXT88" s="163"/>
      <c r="TXU88" s="163"/>
      <c r="TXV88" s="163"/>
      <c r="TXW88" s="163"/>
      <c r="TXX88" s="163"/>
      <c r="TXY88" s="163"/>
      <c r="TXZ88" s="163"/>
      <c r="TYA88" s="163"/>
      <c r="TYB88" s="163"/>
      <c r="TYC88" s="163"/>
      <c r="TYD88" s="163"/>
      <c r="TYE88" s="163"/>
      <c r="TYF88" s="163"/>
      <c r="TYG88" s="163"/>
      <c r="TYH88" s="163"/>
      <c r="TYI88" s="163"/>
      <c r="TYJ88" s="163"/>
      <c r="TYK88" s="163"/>
      <c r="TYL88" s="163"/>
      <c r="TYM88" s="163"/>
      <c r="TYN88" s="163"/>
      <c r="TYO88" s="163"/>
      <c r="TYP88" s="163"/>
      <c r="TYQ88" s="163"/>
      <c r="TYR88" s="163"/>
      <c r="TYS88" s="163"/>
      <c r="TYT88" s="163"/>
      <c r="TYU88" s="163"/>
      <c r="TYV88" s="163"/>
      <c r="TYW88" s="163"/>
      <c r="TYX88" s="163"/>
      <c r="TYY88" s="163"/>
      <c r="TYZ88" s="163"/>
      <c r="TZA88" s="163"/>
      <c r="TZB88" s="163"/>
      <c r="TZC88" s="163"/>
      <c r="TZD88" s="163"/>
      <c r="TZE88" s="163"/>
      <c r="TZF88" s="163"/>
      <c r="TZG88" s="163"/>
      <c r="TZH88" s="163"/>
      <c r="TZI88" s="163"/>
      <c r="TZJ88" s="163"/>
      <c r="TZK88" s="163"/>
      <c r="TZL88" s="163"/>
      <c r="TZM88" s="163"/>
      <c r="TZN88" s="163"/>
      <c r="TZO88" s="163"/>
      <c r="TZP88" s="163"/>
      <c r="TZQ88" s="163"/>
      <c r="TZR88" s="163"/>
      <c r="TZS88" s="163"/>
      <c r="TZT88" s="163"/>
      <c r="TZU88" s="163"/>
      <c r="TZV88" s="163"/>
      <c r="TZW88" s="163"/>
      <c r="TZX88" s="163"/>
      <c r="TZY88" s="163"/>
      <c r="TZZ88" s="163"/>
      <c r="UAA88" s="163"/>
      <c r="UAB88" s="163"/>
      <c r="UAC88" s="163"/>
      <c r="UAD88" s="163"/>
      <c r="UAE88" s="163"/>
      <c r="UAF88" s="163"/>
      <c r="UAG88" s="163"/>
      <c r="UAH88" s="163"/>
      <c r="UAI88" s="163"/>
      <c r="UAJ88" s="163"/>
      <c r="UAK88" s="163"/>
      <c r="UAL88" s="163"/>
      <c r="UAM88" s="163"/>
      <c r="UAN88" s="163"/>
      <c r="UAO88" s="163"/>
      <c r="UAP88" s="163"/>
      <c r="UAQ88" s="163"/>
      <c r="UAR88" s="163"/>
      <c r="UAS88" s="163"/>
      <c r="UAT88" s="163"/>
      <c r="UAU88" s="163"/>
      <c r="UAV88" s="163"/>
      <c r="UAW88" s="163"/>
      <c r="UAX88" s="163"/>
      <c r="UAY88" s="163"/>
      <c r="UAZ88" s="163"/>
      <c r="UBA88" s="163"/>
      <c r="UBB88" s="163"/>
      <c r="UBC88" s="163"/>
      <c r="UBD88" s="163"/>
      <c r="UBE88" s="163"/>
      <c r="UBF88" s="163"/>
      <c r="UBG88" s="163"/>
      <c r="UBH88" s="163"/>
      <c r="UBI88" s="163"/>
      <c r="UBJ88" s="163"/>
      <c r="UBK88" s="163"/>
      <c r="UBL88" s="163"/>
      <c r="UBM88" s="163"/>
      <c r="UBN88" s="163"/>
      <c r="UBO88" s="163"/>
      <c r="UBP88" s="163"/>
      <c r="UBQ88" s="163"/>
      <c r="UBR88" s="163"/>
      <c r="UBS88" s="163"/>
      <c r="UBT88" s="163"/>
      <c r="UBU88" s="163"/>
      <c r="UBV88" s="163"/>
      <c r="UBW88" s="163"/>
      <c r="UBX88" s="163"/>
      <c r="UBY88" s="163"/>
      <c r="UBZ88" s="163"/>
      <c r="UCA88" s="163"/>
      <c r="UCB88" s="163"/>
      <c r="UCC88" s="163"/>
      <c r="UCD88" s="163"/>
      <c r="UCE88" s="163"/>
      <c r="UCF88" s="163"/>
      <c r="UCG88" s="163"/>
      <c r="UCH88" s="163"/>
      <c r="UCI88" s="163"/>
      <c r="UCJ88" s="163"/>
      <c r="UCK88" s="163"/>
      <c r="UCL88" s="163"/>
      <c r="UCM88" s="163"/>
      <c r="UCN88" s="163"/>
      <c r="UCO88" s="163"/>
      <c r="UCP88" s="163"/>
      <c r="UCQ88" s="163"/>
      <c r="UCR88" s="163"/>
      <c r="UCS88" s="163"/>
      <c r="UCT88" s="163"/>
      <c r="UCU88" s="163"/>
      <c r="UCV88" s="163"/>
      <c r="UCW88" s="163"/>
      <c r="UCX88" s="163"/>
      <c r="UCY88" s="163"/>
      <c r="UCZ88" s="163"/>
      <c r="UDA88" s="163"/>
      <c r="UDB88" s="163"/>
      <c r="UDC88" s="163"/>
      <c r="UDD88" s="163"/>
      <c r="UDE88" s="163"/>
      <c r="UDF88" s="163"/>
      <c r="UDG88" s="163"/>
      <c r="UDH88" s="163"/>
      <c r="UDI88" s="163"/>
      <c r="UDJ88" s="163"/>
      <c r="UDK88" s="163"/>
      <c r="UDL88" s="163"/>
      <c r="UDM88" s="163"/>
      <c r="UDN88" s="163"/>
      <c r="UDO88" s="163"/>
      <c r="UDP88" s="163"/>
      <c r="UDQ88" s="163"/>
      <c r="UDR88" s="163"/>
      <c r="UDS88" s="163"/>
      <c r="UDT88" s="163"/>
      <c r="UDU88" s="163"/>
      <c r="UDV88" s="163"/>
      <c r="UDW88" s="163"/>
      <c r="UDX88" s="163"/>
      <c r="UDY88" s="163"/>
      <c r="UDZ88" s="163"/>
      <c r="UEA88" s="163"/>
      <c r="UEB88" s="163"/>
      <c r="UEC88" s="163"/>
      <c r="UED88" s="163"/>
      <c r="UEE88" s="163"/>
      <c r="UEF88" s="163"/>
      <c r="UEG88" s="163"/>
      <c r="UEH88" s="163"/>
      <c r="UEI88" s="163"/>
      <c r="UEJ88" s="163"/>
      <c r="UEK88" s="163"/>
      <c r="UEL88" s="163"/>
      <c r="UEM88" s="163"/>
      <c r="UEN88" s="163"/>
      <c r="UEO88" s="163"/>
      <c r="UEP88" s="163"/>
      <c r="UEQ88" s="163"/>
      <c r="UER88" s="163"/>
      <c r="UES88" s="163"/>
      <c r="UET88" s="163"/>
      <c r="UEU88" s="163"/>
      <c r="UEV88" s="163"/>
      <c r="UEW88" s="163"/>
      <c r="UEX88" s="163"/>
      <c r="UEY88" s="163"/>
      <c r="UEZ88" s="163"/>
      <c r="UFA88" s="163"/>
      <c r="UFB88" s="163"/>
      <c r="UFC88" s="163"/>
      <c r="UFD88" s="163"/>
      <c r="UFE88" s="163"/>
      <c r="UFF88" s="163"/>
      <c r="UFG88" s="163"/>
      <c r="UFH88" s="163"/>
      <c r="UFI88" s="163"/>
      <c r="UFJ88" s="163"/>
      <c r="UFK88" s="163"/>
      <c r="UFL88" s="163"/>
      <c r="UFM88" s="163"/>
      <c r="UFN88" s="163"/>
      <c r="UFO88" s="163"/>
      <c r="UFP88" s="163"/>
      <c r="UFQ88" s="163"/>
      <c r="UFR88" s="163"/>
      <c r="UFS88" s="163"/>
      <c r="UFT88" s="163"/>
      <c r="UFU88" s="163"/>
      <c r="UFV88" s="163"/>
      <c r="UFW88" s="163"/>
      <c r="UFX88" s="163"/>
      <c r="UFY88" s="163"/>
      <c r="UFZ88" s="163"/>
      <c r="UGA88" s="163"/>
      <c r="UGB88" s="163"/>
      <c r="UGC88" s="163"/>
      <c r="UGD88" s="163"/>
      <c r="UGE88" s="163"/>
      <c r="UGF88" s="163"/>
      <c r="UGG88" s="163"/>
      <c r="UGH88" s="163"/>
      <c r="UGI88" s="163"/>
      <c r="UGJ88" s="163"/>
      <c r="UGK88" s="163"/>
      <c r="UGL88" s="163"/>
      <c r="UGM88" s="163"/>
      <c r="UGN88" s="163"/>
      <c r="UGO88" s="163"/>
      <c r="UGP88" s="163"/>
      <c r="UGQ88" s="163"/>
      <c r="UGR88" s="163"/>
      <c r="UGS88" s="163"/>
      <c r="UGT88" s="163"/>
      <c r="UGU88" s="163"/>
      <c r="UGV88" s="163"/>
      <c r="UGW88" s="163"/>
      <c r="UGX88" s="163"/>
      <c r="UGY88" s="163"/>
      <c r="UGZ88" s="163"/>
      <c r="UHA88" s="163"/>
      <c r="UHB88" s="163"/>
      <c r="UHC88" s="163"/>
      <c r="UHD88" s="163"/>
      <c r="UHE88" s="163"/>
      <c r="UHF88" s="163"/>
      <c r="UHG88" s="163"/>
      <c r="UHH88" s="163"/>
      <c r="UHI88" s="163"/>
      <c r="UHJ88" s="163"/>
      <c r="UHK88" s="163"/>
      <c r="UHL88" s="163"/>
      <c r="UHM88" s="163"/>
      <c r="UHN88" s="163"/>
      <c r="UHO88" s="163"/>
      <c r="UHP88" s="163"/>
      <c r="UHQ88" s="163"/>
      <c r="UHR88" s="163"/>
      <c r="UHS88" s="163"/>
      <c r="UHT88" s="163"/>
      <c r="UHU88" s="163"/>
      <c r="UHV88" s="163"/>
      <c r="UHW88" s="163"/>
      <c r="UHX88" s="163"/>
      <c r="UHY88" s="163"/>
      <c r="UHZ88" s="163"/>
      <c r="UIA88" s="163"/>
      <c r="UIB88" s="163"/>
      <c r="UIC88" s="163"/>
      <c r="UID88" s="163"/>
      <c r="UIE88" s="163"/>
      <c r="UIF88" s="163"/>
      <c r="UIG88" s="163"/>
      <c r="UIH88" s="163"/>
      <c r="UII88" s="163"/>
      <c r="UIJ88" s="163"/>
      <c r="UIK88" s="163"/>
      <c r="UIL88" s="163"/>
      <c r="UIM88" s="163"/>
      <c r="UIN88" s="163"/>
      <c r="UIO88" s="163"/>
      <c r="UIP88" s="163"/>
      <c r="UIQ88" s="163"/>
      <c r="UIR88" s="163"/>
      <c r="UIS88" s="163"/>
      <c r="UIT88" s="163"/>
      <c r="UIU88" s="163"/>
      <c r="UIV88" s="163"/>
      <c r="UIW88" s="163"/>
      <c r="UIX88" s="163"/>
      <c r="UIY88" s="163"/>
      <c r="UIZ88" s="163"/>
      <c r="UJA88" s="163"/>
      <c r="UJB88" s="163"/>
      <c r="UJC88" s="163"/>
      <c r="UJD88" s="163"/>
      <c r="UJE88" s="163"/>
      <c r="UJF88" s="163"/>
      <c r="UJG88" s="163"/>
      <c r="UJH88" s="163"/>
      <c r="UJI88" s="163"/>
      <c r="UJJ88" s="163"/>
      <c r="UJK88" s="163"/>
      <c r="UJL88" s="163"/>
      <c r="UJM88" s="163"/>
      <c r="UJN88" s="163"/>
      <c r="UJO88" s="163"/>
      <c r="UJP88" s="163"/>
      <c r="UJQ88" s="163"/>
      <c r="UJR88" s="163"/>
      <c r="UJS88" s="163"/>
      <c r="UJT88" s="163"/>
      <c r="UJU88" s="163"/>
      <c r="UJV88" s="163"/>
      <c r="UJW88" s="163"/>
      <c r="UJX88" s="163"/>
      <c r="UJY88" s="163"/>
      <c r="UJZ88" s="163"/>
      <c r="UKA88" s="163"/>
      <c r="UKB88" s="163"/>
      <c r="UKC88" s="163"/>
      <c r="UKD88" s="163"/>
      <c r="UKE88" s="163"/>
      <c r="UKF88" s="163"/>
      <c r="UKG88" s="163"/>
      <c r="UKH88" s="163"/>
      <c r="UKI88" s="163"/>
      <c r="UKJ88" s="163"/>
      <c r="UKK88" s="163"/>
      <c r="UKL88" s="163"/>
      <c r="UKM88" s="163"/>
      <c r="UKN88" s="163"/>
      <c r="UKO88" s="163"/>
      <c r="UKP88" s="163"/>
      <c r="UKQ88" s="163"/>
      <c r="UKR88" s="163"/>
      <c r="UKS88" s="163"/>
      <c r="UKT88" s="163"/>
      <c r="UKU88" s="163"/>
      <c r="UKV88" s="163"/>
      <c r="UKW88" s="163"/>
      <c r="UKX88" s="163"/>
      <c r="UKY88" s="163"/>
      <c r="UKZ88" s="163"/>
      <c r="ULA88" s="163"/>
      <c r="ULB88" s="163"/>
      <c r="ULC88" s="163"/>
      <c r="ULD88" s="163"/>
      <c r="ULE88" s="163"/>
      <c r="ULF88" s="163"/>
      <c r="ULG88" s="163"/>
      <c r="ULH88" s="163"/>
      <c r="ULI88" s="163"/>
      <c r="ULJ88" s="163"/>
      <c r="ULK88" s="163"/>
      <c r="ULL88" s="163"/>
      <c r="ULM88" s="163"/>
      <c r="ULN88" s="163"/>
      <c r="ULO88" s="163"/>
      <c r="ULP88" s="163"/>
      <c r="ULQ88" s="163"/>
      <c r="ULR88" s="163"/>
      <c r="ULS88" s="163"/>
      <c r="ULT88" s="163"/>
      <c r="ULU88" s="163"/>
      <c r="ULV88" s="163"/>
      <c r="ULW88" s="163"/>
      <c r="ULX88" s="163"/>
      <c r="ULY88" s="163"/>
      <c r="ULZ88" s="163"/>
      <c r="UMA88" s="163"/>
      <c r="UMB88" s="163"/>
      <c r="UMC88" s="163"/>
      <c r="UMD88" s="163"/>
      <c r="UME88" s="163"/>
      <c r="UMF88" s="163"/>
      <c r="UMG88" s="163"/>
      <c r="UMH88" s="163"/>
      <c r="UMI88" s="163"/>
      <c r="UMJ88" s="163"/>
      <c r="UMK88" s="163"/>
      <c r="UML88" s="163"/>
      <c r="UMM88" s="163"/>
      <c r="UMN88" s="163"/>
      <c r="UMO88" s="163"/>
      <c r="UMP88" s="163"/>
      <c r="UMQ88" s="163"/>
      <c r="UMR88" s="163"/>
      <c r="UMS88" s="163"/>
      <c r="UMT88" s="163"/>
      <c r="UMU88" s="163"/>
      <c r="UMV88" s="163"/>
      <c r="UMW88" s="163"/>
      <c r="UMX88" s="163"/>
      <c r="UMY88" s="163"/>
      <c r="UMZ88" s="163"/>
      <c r="UNA88" s="163"/>
      <c r="UNB88" s="163"/>
      <c r="UNC88" s="163"/>
      <c r="UND88" s="163"/>
      <c r="UNE88" s="163"/>
      <c r="UNF88" s="163"/>
      <c r="UNG88" s="163"/>
      <c r="UNH88" s="163"/>
      <c r="UNI88" s="163"/>
      <c r="UNJ88" s="163"/>
      <c r="UNK88" s="163"/>
      <c r="UNL88" s="163"/>
      <c r="UNM88" s="163"/>
      <c r="UNN88" s="163"/>
      <c r="UNO88" s="163"/>
      <c r="UNP88" s="163"/>
      <c r="UNQ88" s="163"/>
      <c r="UNR88" s="163"/>
      <c r="UNS88" s="163"/>
      <c r="UNT88" s="163"/>
      <c r="UNU88" s="163"/>
      <c r="UNV88" s="163"/>
      <c r="UNW88" s="163"/>
      <c r="UNX88" s="163"/>
      <c r="UNY88" s="163"/>
      <c r="UNZ88" s="163"/>
      <c r="UOA88" s="163"/>
      <c r="UOB88" s="163"/>
      <c r="UOC88" s="163"/>
      <c r="UOD88" s="163"/>
      <c r="UOE88" s="163"/>
      <c r="UOF88" s="163"/>
      <c r="UOG88" s="163"/>
      <c r="UOH88" s="163"/>
      <c r="UOI88" s="163"/>
      <c r="UOJ88" s="163"/>
      <c r="UOK88" s="163"/>
      <c r="UOL88" s="163"/>
      <c r="UOM88" s="163"/>
      <c r="UON88" s="163"/>
      <c r="UOO88" s="163"/>
      <c r="UOP88" s="163"/>
      <c r="UOQ88" s="163"/>
      <c r="UOR88" s="163"/>
      <c r="UOS88" s="163"/>
      <c r="UOT88" s="163"/>
      <c r="UOU88" s="163"/>
      <c r="UOV88" s="163"/>
      <c r="UOW88" s="163"/>
      <c r="UOX88" s="163"/>
      <c r="UOY88" s="163"/>
      <c r="UOZ88" s="163"/>
      <c r="UPA88" s="163"/>
      <c r="UPB88" s="163"/>
      <c r="UPC88" s="163"/>
      <c r="UPD88" s="163"/>
      <c r="UPE88" s="163"/>
      <c r="UPF88" s="163"/>
      <c r="UPG88" s="163"/>
      <c r="UPH88" s="163"/>
      <c r="UPI88" s="163"/>
      <c r="UPJ88" s="163"/>
      <c r="UPK88" s="163"/>
      <c r="UPL88" s="163"/>
      <c r="UPM88" s="163"/>
      <c r="UPN88" s="163"/>
      <c r="UPO88" s="163"/>
      <c r="UPP88" s="163"/>
      <c r="UPQ88" s="163"/>
      <c r="UPR88" s="163"/>
      <c r="UPS88" s="163"/>
      <c r="UPT88" s="163"/>
      <c r="UPU88" s="163"/>
      <c r="UPV88" s="163"/>
      <c r="UPW88" s="163"/>
      <c r="UPX88" s="163"/>
      <c r="UPY88" s="163"/>
      <c r="UPZ88" s="163"/>
      <c r="UQA88" s="163"/>
      <c r="UQB88" s="163"/>
      <c r="UQC88" s="163"/>
      <c r="UQD88" s="163"/>
      <c r="UQE88" s="163"/>
      <c r="UQF88" s="163"/>
      <c r="UQG88" s="163"/>
      <c r="UQH88" s="163"/>
      <c r="UQI88" s="163"/>
      <c r="UQJ88" s="163"/>
      <c r="UQK88" s="163"/>
      <c r="UQL88" s="163"/>
      <c r="UQM88" s="163"/>
      <c r="UQN88" s="163"/>
      <c r="UQO88" s="163"/>
      <c r="UQP88" s="163"/>
      <c r="UQQ88" s="163"/>
      <c r="UQR88" s="163"/>
      <c r="UQS88" s="163"/>
      <c r="UQT88" s="163"/>
      <c r="UQU88" s="163"/>
      <c r="UQV88" s="163"/>
      <c r="UQW88" s="163"/>
      <c r="UQX88" s="163"/>
      <c r="UQY88" s="163"/>
      <c r="UQZ88" s="163"/>
      <c r="URA88" s="163"/>
      <c r="URB88" s="163"/>
      <c r="URC88" s="163"/>
      <c r="URD88" s="163"/>
      <c r="URE88" s="163"/>
      <c r="URF88" s="163"/>
      <c r="URG88" s="163"/>
      <c r="URH88" s="163"/>
      <c r="URI88" s="163"/>
      <c r="URJ88" s="163"/>
      <c r="URK88" s="163"/>
      <c r="URL88" s="163"/>
      <c r="URM88" s="163"/>
      <c r="URN88" s="163"/>
      <c r="URO88" s="163"/>
      <c r="URP88" s="163"/>
      <c r="URQ88" s="163"/>
      <c r="URR88" s="163"/>
      <c r="URS88" s="163"/>
      <c r="URT88" s="163"/>
      <c r="URU88" s="163"/>
      <c r="URV88" s="163"/>
      <c r="URW88" s="163"/>
      <c r="URX88" s="163"/>
      <c r="URY88" s="163"/>
      <c r="URZ88" s="163"/>
      <c r="USA88" s="163"/>
      <c r="USB88" s="163"/>
      <c r="USC88" s="163"/>
      <c r="USD88" s="163"/>
      <c r="USE88" s="163"/>
      <c r="USF88" s="163"/>
      <c r="USG88" s="163"/>
      <c r="USH88" s="163"/>
      <c r="USI88" s="163"/>
      <c r="USJ88" s="163"/>
      <c r="USK88" s="163"/>
      <c r="USL88" s="163"/>
      <c r="USM88" s="163"/>
      <c r="USN88" s="163"/>
      <c r="USO88" s="163"/>
      <c r="USP88" s="163"/>
      <c r="USQ88" s="163"/>
      <c r="USR88" s="163"/>
      <c r="USS88" s="163"/>
      <c r="UST88" s="163"/>
      <c r="USU88" s="163"/>
      <c r="USV88" s="163"/>
      <c r="USW88" s="163"/>
      <c r="USX88" s="163"/>
      <c r="USY88" s="163"/>
      <c r="USZ88" s="163"/>
      <c r="UTA88" s="163"/>
      <c r="UTB88" s="163"/>
      <c r="UTC88" s="163"/>
      <c r="UTD88" s="163"/>
      <c r="UTE88" s="163"/>
      <c r="UTF88" s="163"/>
      <c r="UTG88" s="163"/>
      <c r="UTH88" s="163"/>
      <c r="UTI88" s="163"/>
      <c r="UTJ88" s="163"/>
      <c r="UTK88" s="163"/>
      <c r="UTL88" s="163"/>
      <c r="UTM88" s="163"/>
      <c r="UTN88" s="163"/>
      <c r="UTO88" s="163"/>
      <c r="UTP88" s="163"/>
      <c r="UTQ88" s="163"/>
      <c r="UTR88" s="163"/>
      <c r="UTS88" s="163"/>
      <c r="UTT88" s="163"/>
      <c r="UTU88" s="163"/>
      <c r="UTV88" s="163"/>
      <c r="UTW88" s="163"/>
      <c r="UTX88" s="163"/>
      <c r="UTY88" s="163"/>
      <c r="UTZ88" s="163"/>
      <c r="UUA88" s="163"/>
      <c r="UUB88" s="163"/>
      <c r="UUC88" s="163"/>
      <c r="UUD88" s="163"/>
      <c r="UUE88" s="163"/>
      <c r="UUF88" s="163"/>
      <c r="UUG88" s="163"/>
      <c r="UUH88" s="163"/>
      <c r="UUI88" s="163"/>
      <c r="UUJ88" s="163"/>
      <c r="UUK88" s="163"/>
      <c r="UUL88" s="163"/>
      <c r="UUM88" s="163"/>
      <c r="UUN88" s="163"/>
      <c r="UUO88" s="163"/>
      <c r="UUP88" s="163"/>
      <c r="UUQ88" s="163"/>
      <c r="UUR88" s="163"/>
      <c r="UUS88" s="163"/>
      <c r="UUT88" s="163"/>
      <c r="UUU88" s="163"/>
      <c r="UUV88" s="163"/>
      <c r="UUW88" s="163"/>
      <c r="UUX88" s="163"/>
      <c r="UUY88" s="163"/>
      <c r="UUZ88" s="163"/>
      <c r="UVA88" s="163"/>
      <c r="UVB88" s="163"/>
      <c r="UVC88" s="163"/>
      <c r="UVD88" s="163"/>
      <c r="UVE88" s="163"/>
      <c r="UVF88" s="163"/>
      <c r="UVG88" s="163"/>
      <c r="UVH88" s="163"/>
      <c r="UVI88" s="163"/>
      <c r="UVJ88" s="163"/>
      <c r="UVK88" s="163"/>
      <c r="UVL88" s="163"/>
      <c r="UVM88" s="163"/>
      <c r="UVN88" s="163"/>
      <c r="UVO88" s="163"/>
      <c r="UVP88" s="163"/>
      <c r="UVQ88" s="163"/>
      <c r="UVR88" s="163"/>
      <c r="UVS88" s="163"/>
      <c r="UVT88" s="163"/>
      <c r="UVU88" s="163"/>
      <c r="UVV88" s="163"/>
      <c r="UVW88" s="163"/>
      <c r="UVX88" s="163"/>
      <c r="UVY88" s="163"/>
      <c r="UVZ88" s="163"/>
      <c r="UWA88" s="163"/>
      <c r="UWB88" s="163"/>
      <c r="UWC88" s="163"/>
      <c r="UWD88" s="163"/>
      <c r="UWE88" s="163"/>
      <c r="UWF88" s="163"/>
      <c r="UWG88" s="163"/>
      <c r="UWH88" s="163"/>
      <c r="UWI88" s="163"/>
      <c r="UWJ88" s="163"/>
      <c r="UWK88" s="163"/>
      <c r="UWL88" s="163"/>
      <c r="UWM88" s="163"/>
      <c r="UWN88" s="163"/>
      <c r="UWO88" s="163"/>
      <c r="UWP88" s="163"/>
      <c r="UWQ88" s="163"/>
      <c r="UWR88" s="163"/>
      <c r="UWS88" s="163"/>
      <c r="UWT88" s="163"/>
      <c r="UWU88" s="163"/>
      <c r="UWV88" s="163"/>
      <c r="UWW88" s="163"/>
      <c r="UWX88" s="163"/>
      <c r="UWY88" s="163"/>
      <c r="UWZ88" s="163"/>
      <c r="UXA88" s="163"/>
      <c r="UXB88" s="163"/>
      <c r="UXC88" s="163"/>
      <c r="UXD88" s="163"/>
      <c r="UXE88" s="163"/>
      <c r="UXF88" s="163"/>
      <c r="UXG88" s="163"/>
      <c r="UXH88" s="163"/>
      <c r="UXI88" s="163"/>
      <c r="UXJ88" s="163"/>
      <c r="UXK88" s="163"/>
      <c r="UXL88" s="163"/>
      <c r="UXM88" s="163"/>
      <c r="UXN88" s="163"/>
      <c r="UXO88" s="163"/>
      <c r="UXP88" s="163"/>
      <c r="UXQ88" s="163"/>
      <c r="UXR88" s="163"/>
      <c r="UXS88" s="163"/>
      <c r="UXT88" s="163"/>
      <c r="UXU88" s="163"/>
      <c r="UXV88" s="163"/>
      <c r="UXW88" s="163"/>
      <c r="UXX88" s="163"/>
      <c r="UXY88" s="163"/>
      <c r="UXZ88" s="163"/>
      <c r="UYA88" s="163"/>
      <c r="UYB88" s="163"/>
      <c r="UYC88" s="163"/>
      <c r="UYD88" s="163"/>
      <c r="UYE88" s="163"/>
      <c r="UYF88" s="163"/>
      <c r="UYG88" s="163"/>
      <c r="UYH88" s="163"/>
      <c r="UYI88" s="163"/>
      <c r="UYJ88" s="163"/>
      <c r="UYK88" s="163"/>
      <c r="UYL88" s="163"/>
      <c r="UYM88" s="163"/>
      <c r="UYN88" s="163"/>
      <c r="UYO88" s="163"/>
      <c r="UYP88" s="163"/>
      <c r="UYQ88" s="163"/>
      <c r="UYR88" s="163"/>
      <c r="UYS88" s="163"/>
      <c r="UYT88" s="163"/>
      <c r="UYU88" s="163"/>
      <c r="UYV88" s="163"/>
      <c r="UYW88" s="163"/>
      <c r="UYX88" s="163"/>
      <c r="UYY88" s="163"/>
      <c r="UYZ88" s="163"/>
      <c r="UZA88" s="163"/>
      <c r="UZB88" s="163"/>
      <c r="UZC88" s="163"/>
      <c r="UZD88" s="163"/>
      <c r="UZE88" s="163"/>
      <c r="UZF88" s="163"/>
      <c r="UZG88" s="163"/>
      <c r="UZH88" s="163"/>
      <c r="UZI88" s="163"/>
      <c r="UZJ88" s="163"/>
      <c r="UZK88" s="163"/>
      <c r="UZL88" s="163"/>
      <c r="UZM88" s="163"/>
      <c r="UZN88" s="163"/>
      <c r="UZO88" s="163"/>
      <c r="UZP88" s="163"/>
      <c r="UZQ88" s="163"/>
      <c r="UZR88" s="163"/>
      <c r="UZS88" s="163"/>
      <c r="UZT88" s="163"/>
      <c r="UZU88" s="163"/>
      <c r="UZV88" s="163"/>
      <c r="UZW88" s="163"/>
      <c r="UZX88" s="163"/>
      <c r="UZY88" s="163"/>
      <c r="UZZ88" s="163"/>
      <c r="VAA88" s="163"/>
      <c r="VAB88" s="163"/>
      <c r="VAC88" s="163"/>
      <c r="VAD88" s="163"/>
      <c r="VAE88" s="163"/>
      <c r="VAF88" s="163"/>
      <c r="VAG88" s="163"/>
      <c r="VAH88" s="163"/>
      <c r="VAI88" s="163"/>
      <c r="VAJ88" s="163"/>
      <c r="VAK88" s="163"/>
      <c r="VAL88" s="163"/>
      <c r="VAM88" s="163"/>
      <c r="VAN88" s="163"/>
      <c r="VAO88" s="163"/>
      <c r="VAP88" s="163"/>
      <c r="VAQ88" s="163"/>
      <c r="VAR88" s="163"/>
      <c r="VAS88" s="163"/>
      <c r="VAT88" s="163"/>
      <c r="VAU88" s="163"/>
      <c r="VAV88" s="163"/>
      <c r="VAW88" s="163"/>
      <c r="VAX88" s="163"/>
      <c r="VAY88" s="163"/>
      <c r="VAZ88" s="163"/>
      <c r="VBA88" s="163"/>
      <c r="VBB88" s="163"/>
      <c r="VBC88" s="163"/>
      <c r="VBD88" s="163"/>
      <c r="VBE88" s="163"/>
      <c r="VBF88" s="163"/>
      <c r="VBG88" s="163"/>
      <c r="VBH88" s="163"/>
      <c r="VBI88" s="163"/>
      <c r="VBJ88" s="163"/>
      <c r="VBK88" s="163"/>
      <c r="VBL88" s="163"/>
      <c r="VBM88" s="163"/>
      <c r="VBN88" s="163"/>
      <c r="VBO88" s="163"/>
      <c r="VBP88" s="163"/>
      <c r="VBQ88" s="163"/>
      <c r="VBR88" s="163"/>
      <c r="VBS88" s="163"/>
      <c r="VBT88" s="163"/>
      <c r="VBU88" s="163"/>
      <c r="VBV88" s="163"/>
      <c r="VBW88" s="163"/>
      <c r="VBX88" s="163"/>
      <c r="VBY88" s="163"/>
      <c r="VBZ88" s="163"/>
      <c r="VCA88" s="163"/>
      <c r="VCB88" s="163"/>
      <c r="VCC88" s="163"/>
      <c r="VCD88" s="163"/>
      <c r="VCE88" s="163"/>
      <c r="VCF88" s="163"/>
      <c r="VCG88" s="163"/>
      <c r="VCH88" s="163"/>
      <c r="VCI88" s="163"/>
      <c r="VCJ88" s="163"/>
      <c r="VCK88" s="163"/>
      <c r="VCL88" s="163"/>
      <c r="VCM88" s="163"/>
      <c r="VCN88" s="163"/>
      <c r="VCO88" s="163"/>
      <c r="VCP88" s="163"/>
      <c r="VCQ88" s="163"/>
      <c r="VCR88" s="163"/>
      <c r="VCS88" s="163"/>
      <c r="VCT88" s="163"/>
      <c r="VCU88" s="163"/>
      <c r="VCV88" s="163"/>
      <c r="VCW88" s="163"/>
      <c r="VCX88" s="163"/>
      <c r="VCY88" s="163"/>
      <c r="VCZ88" s="163"/>
      <c r="VDA88" s="163"/>
      <c r="VDB88" s="163"/>
      <c r="VDC88" s="163"/>
      <c r="VDD88" s="163"/>
      <c r="VDE88" s="163"/>
      <c r="VDF88" s="163"/>
      <c r="VDG88" s="163"/>
      <c r="VDH88" s="163"/>
      <c r="VDI88" s="163"/>
      <c r="VDJ88" s="163"/>
      <c r="VDK88" s="163"/>
      <c r="VDL88" s="163"/>
      <c r="VDM88" s="163"/>
      <c r="VDN88" s="163"/>
      <c r="VDO88" s="163"/>
      <c r="VDP88" s="163"/>
      <c r="VDQ88" s="163"/>
      <c r="VDR88" s="163"/>
      <c r="VDS88" s="163"/>
      <c r="VDT88" s="163"/>
      <c r="VDU88" s="163"/>
      <c r="VDV88" s="163"/>
      <c r="VDW88" s="163"/>
      <c r="VDX88" s="163"/>
      <c r="VDY88" s="163"/>
      <c r="VDZ88" s="163"/>
      <c r="VEA88" s="163"/>
      <c r="VEB88" s="163"/>
      <c r="VEC88" s="163"/>
      <c r="VED88" s="163"/>
      <c r="VEE88" s="163"/>
      <c r="VEF88" s="163"/>
      <c r="VEG88" s="163"/>
      <c r="VEH88" s="163"/>
      <c r="VEI88" s="163"/>
      <c r="VEJ88" s="163"/>
      <c r="VEK88" s="163"/>
      <c r="VEL88" s="163"/>
      <c r="VEM88" s="163"/>
      <c r="VEN88" s="163"/>
      <c r="VEO88" s="163"/>
      <c r="VEP88" s="163"/>
      <c r="VEQ88" s="163"/>
      <c r="VER88" s="163"/>
      <c r="VES88" s="163"/>
      <c r="VET88" s="163"/>
      <c r="VEU88" s="163"/>
      <c r="VEV88" s="163"/>
      <c r="VEW88" s="163"/>
      <c r="VEX88" s="163"/>
      <c r="VEY88" s="163"/>
      <c r="VEZ88" s="163"/>
      <c r="VFA88" s="163"/>
      <c r="VFB88" s="163"/>
      <c r="VFC88" s="163"/>
      <c r="VFD88" s="163"/>
      <c r="VFE88" s="163"/>
      <c r="VFF88" s="163"/>
      <c r="VFG88" s="163"/>
      <c r="VFH88" s="163"/>
      <c r="VFI88" s="163"/>
      <c r="VFJ88" s="163"/>
      <c r="VFK88" s="163"/>
      <c r="VFL88" s="163"/>
      <c r="VFM88" s="163"/>
      <c r="VFN88" s="163"/>
      <c r="VFO88" s="163"/>
      <c r="VFP88" s="163"/>
      <c r="VFQ88" s="163"/>
      <c r="VFR88" s="163"/>
      <c r="VFS88" s="163"/>
      <c r="VFT88" s="163"/>
      <c r="VFU88" s="163"/>
      <c r="VFV88" s="163"/>
      <c r="VFW88" s="163"/>
      <c r="VFX88" s="163"/>
      <c r="VFY88" s="163"/>
      <c r="VFZ88" s="163"/>
      <c r="VGA88" s="163"/>
      <c r="VGB88" s="163"/>
      <c r="VGC88" s="163"/>
      <c r="VGD88" s="163"/>
      <c r="VGE88" s="163"/>
      <c r="VGF88" s="163"/>
      <c r="VGG88" s="163"/>
      <c r="VGH88" s="163"/>
      <c r="VGI88" s="163"/>
      <c r="VGJ88" s="163"/>
      <c r="VGK88" s="163"/>
      <c r="VGL88" s="163"/>
      <c r="VGM88" s="163"/>
      <c r="VGN88" s="163"/>
      <c r="VGO88" s="163"/>
      <c r="VGP88" s="163"/>
      <c r="VGQ88" s="163"/>
      <c r="VGR88" s="163"/>
      <c r="VGS88" s="163"/>
      <c r="VGT88" s="163"/>
      <c r="VGU88" s="163"/>
      <c r="VGV88" s="163"/>
      <c r="VGW88" s="163"/>
      <c r="VGX88" s="163"/>
      <c r="VGY88" s="163"/>
      <c r="VGZ88" s="163"/>
      <c r="VHA88" s="163"/>
      <c r="VHB88" s="163"/>
      <c r="VHC88" s="163"/>
      <c r="VHD88" s="163"/>
      <c r="VHE88" s="163"/>
      <c r="VHF88" s="163"/>
      <c r="VHG88" s="163"/>
      <c r="VHH88" s="163"/>
      <c r="VHI88" s="163"/>
      <c r="VHJ88" s="163"/>
      <c r="VHK88" s="163"/>
      <c r="VHL88" s="163"/>
      <c r="VHM88" s="163"/>
      <c r="VHN88" s="163"/>
      <c r="VHO88" s="163"/>
      <c r="VHP88" s="163"/>
      <c r="VHQ88" s="163"/>
      <c r="VHR88" s="163"/>
      <c r="VHS88" s="163"/>
      <c r="VHT88" s="163"/>
      <c r="VHU88" s="163"/>
      <c r="VHV88" s="163"/>
      <c r="VHW88" s="163"/>
      <c r="VHX88" s="163"/>
      <c r="VHY88" s="163"/>
      <c r="VHZ88" s="163"/>
      <c r="VIA88" s="163"/>
      <c r="VIB88" s="163"/>
      <c r="VIC88" s="163"/>
      <c r="VID88" s="163"/>
      <c r="VIE88" s="163"/>
      <c r="VIF88" s="163"/>
      <c r="VIG88" s="163"/>
      <c r="VIH88" s="163"/>
      <c r="VII88" s="163"/>
      <c r="VIJ88" s="163"/>
      <c r="VIK88" s="163"/>
      <c r="VIL88" s="163"/>
      <c r="VIM88" s="163"/>
      <c r="VIN88" s="163"/>
      <c r="VIO88" s="163"/>
      <c r="VIP88" s="163"/>
      <c r="VIQ88" s="163"/>
      <c r="VIR88" s="163"/>
      <c r="VIS88" s="163"/>
      <c r="VIT88" s="163"/>
      <c r="VIU88" s="163"/>
      <c r="VIV88" s="163"/>
      <c r="VIW88" s="163"/>
      <c r="VIX88" s="163"/>
      <c r="VIY88" s="163"/>
      <c r="VIZ88" s="163"/>
      <c r="VJA88" s="163"/>
      <c r="VJB88" s="163"/>
      <c r="VJC88" s="163"/>
      <c r="VJD88" s="163"/>
      <c r="VJE88" s="163"/>
      <c r="VJF88" s="163"/>
      <c r="VJG88" s="163"/>
      <c r="VJH88" s="163"/>
      <c r="VJI88" s="163"/>
      <c r="VJJ88" s="163"/>
      <c r="VJK88" s="163"/>
      <c r="VJL88" s="163"/>
      <c r="VJM88" s="163"/>
      <c r="VJN88" s="163"/>
      <c r="VJO88" s="163"/>
      <c r="VJP88" s="163"/>
      <c r="VJQ88" s="163"/>
      <c r="VJR88" s="163"/>
      <c r="VJS88" s="163"/>
      <c r="VJT88" s="163"/>
      <c r="VJU88" s="163"/>
      <c r="VJV88" s="163"/>
      <c r="VJW88" s="163"/>
      <c r="VJX88" s="163"/>
      <c r="VJY88" s="163"/>
      <c r="VJZ88" s="163"/>
      <c r="VKA88" s="163"/>
      <c r="VKB88" s="163"/>
      <c r="VKC88" s="163"/>
      <c r="VKD88" s="163"/>
      <c r="VKE88" s="163"/>
      <c r="VKF88" s="163"/>
      <c r="VKG88" s="163"/>
      <c r="VKH88" s="163"/>
      <c r="VKI88" s="163"/>
      <c r="VKJ88" s="163"/>
      <c r="VKK88" s="163"/>
      <c r="VKL88" s="163"/>
      <c r="VKM88" s="163"/>
      <c r="VKN88" s="163"/>
      <c r="VKO88" s="163"/>
      <c r="VKP88" s="163"/>
      <c r="VKQ88" s="163"/>
      <c r="VKR88" s="163"/>
      <c r="VKS88" s="163"/>
      <c r="VKT88" s="163"/>
      <c r="VKU88" s="163"/>
      <c r="VKV88" s="163"/>
      <c r="VKW88" s="163"/>
      <c r="VKX88" s="163"/>
      <c r="VKY88" s="163"/>
      <c r="VKZ88" s="163"/>
      <c r="VLA88" s="163"/>
      <c r="VLB88" s="163"/>
      <c r="VLC88" s="163"/>
      <c r="VLD88" s="163"/>
      <c r="VLE88" s="163"/>
      <c r="VLF88" s="163"/>
      <c r="VLG88" s="163"/>
      <c r="VLH88" s="163"/>
      <c r="VLI88" s="163"/>
      <c r="VLJ88" s="163"/>
      <c r="VLK88" s="163"/>
      <c r="VLL88" s="163"/>
      <c r="VLM88" s="163"/>
      <c r="VLN88" s="163"/>
      <c r="VLO88" s="163"/>
      <c r="VLP88" s="163"/>
      <c r="VLQ88" s="163"/>
      <c r="VLR88" s="163"/>
      <c r="VLS88" s="163"/>
      <c r="VLT88" s="163"/>
      <c r="VLU88" s="163"/>
      <c r="VLV88" s="163"/>
      <c r="VLW88" s="163"/>
      <c r="VLX88" s="163"/>
      <c r="VLY88" s="163"/>
      <c r="VLZ88" s="163"/>
      <c r="VMA88" s="163"/>
      <c r="VMB88" s="163"/>
      <c r="VMC88" s="163"/>
      <c r="VMD88" s="163"/>
      <c r="VME88" s="163"/>
      <c r="VMF88" s="163"/>
      <c r="VMG88" s="163"/>
      <c r="VMH88" s="163"/>
      <c r="VMI88" s="163"/>
      <c r="VMJ88" s="163"/>
      <c r="VMK88" s="163"/>
      <c r="VML88" s="163"/>
      <c r="VMM88" s="163"/>
      <c r="VMN88" s="163"/>
      <c r="VMO88" s="163"/>
      <c r="VMP88" s="163"/>
      <c r="VMQ88" s="163"/>
      <c r="VMR88" s="163"/>
      <c r="VMS88" s="163"/>
      <c r="VMT88" s="163"/>
      <c r="VMU88" s="163"/>
      <c r="VMV88" s="163"/>
      <c r="VMW88" s="163"/>
      <c r="VMX88" s="163"/>
      <c r="VMY88" s="163"/>
      <c r="VMZ88" s="163"/>
      <c r="VNA88" s="163"/>
      <c r="VNB88" s="163"/>
      <c r="VNC88" s="163"/>
      <c r="VND88" s="163"/>
      <c r="VNE88" s="163"/>
      <c r="VNF88" s="163"/>
      <c r="VNG88" s="163"/>
      <c r="VNH88" s="163"/>
      <c r="VNI88" s="163"/>
      <c r="VNJ88" s="163"/>
      <c r="VNK88" s="163"/>
      <c r="VNL88" s="163"/>
      <c r="VNM88" s="163"/>
      <c r="VNN88" s="163"/>
      <c r="VNO88" s="163"/>
      <c r="VNP88" s="163"/>
      <c r="VNQ88" s="163"/>
      <c r="VNR88" s="163"/>
      <c r="VNS88" s="163"/>
      <c r="VNT88" s="163"/>
      <c r="VNU88" s="163"/>
      <c r="VNV88" s="163"/>
      <c r="VNW88" s="163"/>
      <c r="VNX88" s="163"/>
      <c r="VNY88" s="163"/>
      <c r="VNZ88" s="163"/>
      <c r="VOA88" s="163"/>
      <c r="VOB88" s="163"/>
      <c r="VOC88" s="163"/>
      <c r="VOD88" s="163"/>
      <c r="VOE88" s="163"/>
      <c r="VOF88" s="163"/>
      <c r="VOG88" s="163"/>
      <c r="VOH88" s="163"/>
      <c r="VOI88" s="163"/>
      <c r="VOJ88" s="163"/>
      <c r="VOK88" s="163"/>
      <c r="VOL88" s="163"/>
      <c r="VOM88" s="163"/>
      <c r="VON88" s="163"/>
      <c r="VOO88" s="163"/>
      <c r="VOP88" s="163"/>
      <c r="VOQ88" s="163"/>
      <c r="VOR88" s="163"/>
      <c r="VOS88" s="163"/>
      <c r="VOT88" s="163"/>
      <c r="VOU88" s="163"/>
      <c r="VOV88" s="163"/>
      <c r="VOW88" s="163"/>
      <c r="VOX88" s="163"/>
      <c r="VOY88" s="163"/>
      <c r="VOZ88" s="163"/>
      <c r="VPA88" s="163"/>
      <c r="VPB88" s="163"/>
      <c r="VPC88" s="163"/>
      <c r="VPD88" s="163"/>
      <c r="VPE88" s="163"/>
      <c r="VPF88" s="163"/>
      <c r="VPG88" s="163"/>
      <c r="VPH88" s="163"/>
      <c r="VPI88" s="163"/>
      <c r="VPJ88" s="163"/>
      <c r="VPK88" s="163"/>
      <c r="VPL88" s="163"/>
      <c r="VPM88" s="163"/>
      <c r="VPN88" s="163"/>
      <c r="VPO88" s="163"/>
      <c r="VPP88" s="163"/>
      <c r="VPQ88" s="163"/>
      <c r="VPR88" s="163"/>
      <c r="VPS88" s="163"/>
      <c r="VPT88" s="163"/>
      <c r="VPU88" s="163"/>
      <c r="VPV88" s="163"/>
      <c r="VPW88" s="163"/>
      <c r="VPX88" s="163"/>
      <c r="VPY88" s="163"/>
      <c r="VPZ88" s="163"/>
      <c r="VQA88" s="163"/>
      <c r="VQB88" s="163"/>
      <c r="VQC88" s="163"/>
      <c r="VQD88" s="163"/>
      <c r="VQE88" s="163"/>
      <c r="VQF88" s="163"/>
      <c r="VQG88" s="163"/>
      <c r="VQH88" s="163"/>
      <c r="VQI88" s="163"/>
      <c r="VQJ88" s="163"/>
      <c r="VQK88" s="163"/>
      <c r="VQL88" s="163"/>
      <c r="VQM88" s="163"/>
      <c r="VQN88" s="163"/>
      <c r="VQO88" s="163"/>
      <c r="VQP88" s="163"/>
      <c r="VQQ88" s="163"/>
      <c r="VQR88" s="163"/>
      <c r="VQS88" s="163"/>
      <c r="VQT88" s="163"/>
      <c r="VQU88" s="163"/>
      <c r="VQV88" s="163"/>
      <c r="VQW88" s="163"/>
      <c r="VQX88" s="163"/>
      <c r="VQY88" s="163"/>
      <c r="VQZ88" s="163"/>
      <c r="VRA88" s="163"/>
      <c r="VRB88" s="163"/>
      <c r="VRC88" s="163"/>
      <c r="VRD88" s="163"/>
      <c r="VRE88" s="163"/>
      <c r="VRF88" s="163"/>
      <c r="VRG88" s="163"/>
      <c r="VRH88" s="163"/>
      <c r="VRI88" s="163"/>
      <c r="VRJ88" s="163"/>
      <c r="VRK88" s="163"/>
      <c r="VRL88" s="163"/>
      <c r="VRM88" s="163"/>
      <c r="VRN88" s="163"/>
      <c r="VRO88" s="163"/>
      <c r="VRP88" s="163"/>
      <c r="VRQ88" s="163"/>
      <c r="VRR88" s="163"/>
      <c r="VRS88" s="163"/>
      <c r="VRT88" s="163"/>
      <c r="VRU88" s="163"/>
      <c r="VRV88" s="163"/>
      <c r="VRW88" s="163"/>
      <c r="VRX88" s="163"/>
      <c r="VRY88" s="163"/>
      <c r="VRZ88" s="163"/>
      <c r="VSA88" s="163"/>
      <c r="VSB88" s="163"/>
      <c r="VSC88" s="163"/>
      <c r="VSD88" s="163"/>
      <c r="VSE88" s="163"/>
      <c r="VSF88" s="163"/>
      <c r="VSG88" s="163"/>
      <c r="VSH88" s="163"/>
      <c r="VSI88" s="163"/>
      <c r="VSJ88" s="163"/>
      <c r="VSK88" s="163"/>
      <c r="VSL88" s="163"/>
      <c r="VSM88" s="163"/>
      <c r="VSN88" s="163"/>
      <c r="VSO88" s="163"/>
      <c r="VSP88" s="163"/>
      <c r="VSQ88" s="163"/>
      <c r="VSR88" s="163"/>
      <c r="VSS88" s="163"/>
      <c r="VST88" s="163"/>
      <c r="VSU88" s="163"/>
      <c r="VSV88" s="163"/>
      <c r="VSW88" s="163"/>
      <c r="VSX88" s="163"/>
      <c r="VSY88" s="163"/>
      <c r="VSZ88" s="163"/>
      <c r="VTA88" s="163"/>
      <c r="VTB88" s="163"/>
      <c r="VTC88" s="163"/>
      <c r="VTD88" s="163"/>
      <c r="VTE88" s="163"/>
      <c r="VTF88" s="163"/>
      <c r="VTG88" s="163"/>
      <c r="VTH88" s="163"/>
      <c r="VTI88" s="163"/>
      <c r="VTJ88" s="163"/>
      <c r="VTK88" s="163"/>
      <c r="VTL88" s="163"/>
      <c r="VTM88" s="163"/>
      <c r="VTN88" s="163"/>
      <c r="VTO88" s="163"/>
      <c r="VTP88" s="163"/>
      <c r="VTQ88" s="163"/>
      <c r="VTR88" s="163"/>
      <c r="VTS88" s="163"/>
      <c r="VTT88" s="163"/>
      <c r="VTU88" s="163"/>
      <c r="VTV88" s="163"/>
      <c r="VTW88" s="163"/>
      <c r="VTX88" s="163"/>
      <c r="VTY88" s="163"/>
      <c r="VTZ88" s="163"/>
      <c r="VUA88" s="163"/>
      <c r="VUB88" s="163"/>
      <c r="VUC88" s="163"/>
      <c r="VUD88" s="163"/>
      <c r="VUE88" s="163"/>
      <c r="VUF88" s="163"/>
      <c r="VUG88" s="163"/>
      <c r="VUH88" s="163"/>
      <c r="VUI88" s="163"/>
      <c r="VUJ88" s="163"/>
      <c r="VUK88" s="163"/>
      <c r="VUL88" s="163"/>
      <c r="VUM88" s="163"/>
      <c r="VUN88" s="163"/>
      <c r="VUO88" s="163"/>
      <c r="VUP88" s="163"/>
      <c r="VUQ88" s="163"/>
      <c r="VUR88" s="163"/>
      <c r="VUS88" s="163"/>
      <c r="VUT88" s="163"/>
      <c r="VUU88" s="163"/>
      <c r="VUV88" s="163"/>
      <c r="VUW88" s="163"/>
      <c r="VUX88" s="163"/>
      <c r="VUY88" s="163"/>
      <c r="VUZ88" s="163"/>
      <c r="VVA88" s="163"/>
      <c r="VVB88" s="163"/>
      <c r="VVC88" s="163"/>
      <c r="VVD88" s="163"/>
      <c r="VVE88" s="163"/>
      <c r="VVF88" s="163"/>
      <c r="VVG88" s="163"/>
      <c r="VVH88" s="163"/>
      <c r="VVI88" s="163"/>
      <c r="VVJ88" s="163"/>
      <c r="VVK88" s="163"/>
      <c r="VVL88" s="163"/>
      <c r="VVM88" s="163"/>
      <c r="VVN88" s="163"/>
      <c r="VVO88" s="163"/>
      <c r="VVP88" s="163"/>
      <c r="VVQ88" s="163"/>
      <c r="VVR88" s="163"/>
      <c r="VVS88" s="163"/>
      <c r="VVT88" s="163"/>
      <c r="VVU88" s="163"/>
      <c r="VVV88" s="163"/>
      <c r="VVW88" s="163"/>
      <c r="VVX88" s="163"/>
      <c r="VVY88" s="163"/>
      <c r="VVZ88" s="163"/>
      <c r="VWA88" s="163"/>
      <c r="VWB88" s="163"/>
      <c r="VWC88" s="163"/>
      <c r="VWD88" s="163"/>
      <c r="VWE88" s="163"/>
      <c r="VWF88" s="163"/>
      <c r="VWG88" s="163"/>
      <c r="VWH88" s="163"/>
      <c r="VWI88" s="163"/>
      <c r="VWJ88" s="163"/>
      <c r="VWK88" s="163"/>
      <c r="VWL88" s="163"/>
      <c r="VWM88" s="163"/>
      <c r="VWN88" s="163"/>
      <c r="VWO88" s="163"/>
      <c r="VWP88" s="163"/>
      <c r="VWQ88" s="163"/>
      <c r="VWR88" s="163"/>
      <c r="VWS88" s="163"/>
      <c r="VWT88" s="163"/>
      <c r="VWU88" s="163"/>
      <c r="VWV88" s="163"/>
      <c r="VWW88" s="163"/>
      <c r="VWX88" s="163"/>
      <c r="VWY88" s="163"/>
      <c r="VWZ88" s="163"/>
      <c r="VXA88" s="163"/>
      <c r="VXB88" s="163"/>
      <c r="VXC88" s="163"/>
      <c r="VXD88" s="163"/>
      <c r="VXE88" s="163"/>
      <c r="VXF88" s="163"/>
      <c r="VXG88" s="163"/>
      <c r="VXH88" s="163"/>
      <c r="VXI88" s="163"/>
      <c r="VXJ88" s="163"/>
      <c r="VXK88" s="163"/>
      <c r="VXL88" s="163"/>
      <c r="VXM88" s="163"/>
      <c r="VXN88" s="163"/>
      <c r="VXO88" s="163"/>
      <c r="VXP88" s="163"/>
      <c r="VXQ88" s="163"/>
      <c r="VXR88" s="163"/>
      <c r="VXS88" s="163"/>
      <c r="VXT88" s="163"/>
      <c r="VXU88" s="163"/>
      <c r="VXV88" s="163"/>
      <c r="VXW88" s="163"/>
      <c r="VXX88" s="163"/>
      <c r="VXY88" s="163"/>
      <c r="VXZ88" s="163"/>
      <c r="VYA88" s="163"/>
      <c r="VYB88" s="163"/>
      <c r="VYC88" s="163"/>
      <c r="VYD88" s="163"/>
      <c r="VYE88" s="163"/>
      <c r="VYF88" s="163"/>
      <c r="VYG88" s="163"/>
      <c r="VYH88" s="163"/>
      <c r="VYI88" s="163"/>
      <c r="VYJ88" s="163"/>
      <c r="VYK88" s="163"/>
      <c r="VYL88" s="163"/>
      <c r="VYM88" s="163"/>
      <c r="VYN88" s="163"/>
      <c r="VYO88" s="163"/>
      <c r="VYP88" s="163"/>
      <c r="VYQ88" s="163"/>
      <c r="VYR88" s="163"/>
      <c r="VYS88" s="163"/>
      <c r="VYT88" s="163"/>
      <c r="VYU88" s="163"/>
      <c r="VYV88" s="163"/>
      <c r="VYW88" s="163"/>
      <c r="VYX88" s="163"/>
      <c r="VYY88" s="163"/>
      <c r="VYZ88" s="163"/>
      <c r="VZA88" s="163"/>
      <c r="VZB88" s="163"/>
      <c r="VZC88" s="163"/>
      <c r="VZD88" s="163"/>
      <c r="VZE88" s="163"/>
      <c r="VZF88" s="163"/>
      <c r="VZG88" s="163"/>
      <c r="VZH88" s="163"/>
      <c r="VZI88" s="163"/>
      <c r="VZJ88" s="163"/>
      <c r="VZK88" s="163"/>
      <c r="VZL88" s="163"/>
      <c r="VZM88" s="163"/>
      <c r="VZN88" s="163"/>
      <c r="VZO88" s="163"/>
      <c r="VZP88" s="163"/>
      <c r="VZQ88" s="163"/>
      <c r="VZR88" s="163"/>
      <c r="VZS88" s="163"/>
      <c r="VZT88" s="163"/>
      <c r="VZU88" s="163"/>
      <c r="VZV88" s="163"/>
      <c r="VZW88" s="163"/>
      <c r="VZX88" s="163"/>
      <c r="VZY88" s="163"/>
      <c r="VZZ88" s="163"/>
      <c r="WAA88" s="163"/>
      <c r="WAB88" s="163"/>
      <c r="WAC88" s="163"/>
      <c r="WAD88" s="163"/>
      <c r="WAE88" s="163"/>
      <c r="WAF88" s="163"/>
      <c r="WAG88" s="163"/>
      <c r="WAH88" s="163"/>
      <c r="WAI88" s="163"/>
      <c r="WAJ88" s="163"/>
      <c r="WAK88" s="163"/>
      <c r="WAL88" s="163"/>
      <c r="WAM88" s="163"/>
      <c r="WAN88" s="163"/>
      <c r="WAO88" s="163"/>
      <c r="WAP88" s="163"/>
      <c r="WAQ88" s="163"/>
      <c r="WAR88" s="163"/>
      <c r="WAS88" s="163"/>
      <c r="WAT88" s="163"/>
      <c r="WAU88" s="163"/>
      <c r="WAV88" s="163"/>
      <c r="WAW88" s="163"/>
      <c r="WAX88" s="163"/>
      <c r="WAY88" s="163"/>
      <c r="WAZ88" s="163"/>
      <c r="WBA88" s="163"/>
      <c r="WBB88" s="163"/>
      <c r="WBC88" s="163"/>
      <c r="WBD88" s="163"/>
      <c r="WBE88" s="163"/>
      <c r="WBF88" s="163"/>
      <c r="WBG88" s="163"/>
      <c r="WBH88" s="163"/>
      <c r="WBI88" s="163"/>
      <c r="WBJ88" s="163"/>
      <c r="WBK88" s="163"/>
      <c r="WBL88" s="163"/>
      <c r="WBM88" s="163"/>
      <c r="WBN88" s="163"/>
      <c r="WBO88" s="163"/>
      <c r="WBP88" s="163"/>
      <c r="WBQ88" s="163"/>
      <c r="WBR88" s="163"/>
      <c r="WBS88" s="163"/>
      <c r="WBT88" s="163"/>
      <c r="WBU88" s="163"/>
      <c r="WBV88" s="163"/>
      <c r="WBW88" s="163"/>
      <c r="WBX88" s="163"/>
      <c r="WBY88" s="163"/>
      <c r="WBZ88" s="163"/>
      <c r="WCA88" s="163"/>
      <c r="WCB88" s="163"/>
      <c r="WCC88" s="163"/>
      <c r="WCD88" s="163"/>
      <c r="WCE88" s="163"/>
      <c r="WCF88" s="163"/>
      <c r="WCG88" s="163"/>
      <c r="WCH88" s="163"/>
      <c r="WCI88" s="163"/>
      <c r="WCJ88" s="163"/>
      <c r="WCK88" s="163"/>
      <c r="WCL88" s="163"/>
      <c r="WCM88" s="163"/>
      <c r="WCN88" s="163"/>
      <c r="WCO88" s="163"/>
      <c r="WCP88" s="163"/>
      <c r="WCQ88" s="163"/>
      <c r="WCR88" s="163"/>
      <c r="WCS88" s="163"/>
      <c r="WCT88" s="163"/>
      <c r="WCU88" s="163"/>
      <c r="WCV88" s="163"/>
      <c r="WCW88" s="163"/>
      <c r="WCX88" s="163"/>
      <c r="WCY88" s="163"/>
      <c r="WCZ88" s="163"/>
      <c r="WDA88" s="163"/>
      <c r="WDB88" s="163"/>
      <c r="WDC88" s="163"/>
      <c r="WDD88" s="163"/>
      <c r="WDE88" s="163"/>
      <c r="WDF88" s="163"/>
      <c r="WDG88" s="163"/>
      <c r="WDH88" s="163"/>
      <c r="WDI88" s="163"/>
      <c r="WDJ88" s="163"/>
      <c r="WDK88" s="163"/>
      <c r="WDL88" s="163"/>
      <c r="WDM88" s="163"/>
      <c r="WDN88" s="163"/>
      <c r="WDO88" s="163"/>
      <c r="WDP88" s="163"/>
      <c r="WDQ88" s="163"/>
      <c r="WDR88" s="163"/>
      <c r="WDS88" s="163"/>
      <c r="WDT88" s="163"/>
      <c r="WDU88" s="163"/>
      <c r="WDV88" s="163"/>
      <c r="WDW88" s="163"/>
      <c r="WDX88" s="163"/>
      <c r="WDY88" s="163"/>
      <c r="WDZ88" s="163"/>
      <c r="WEA88" s="163"/>
      <c r="WEB88" s="163"/>
      <c r="WEC88" s="163"/>
      <c r="WED88" s="163"/>
      <c r="WEE88" s="163"/>
      <c r="WEF88" s="163"/>
      <c r="WEG88" s="163"/>
      <c r="WEH88" s="163"/>
      <c r="WEI88" s="163"/>
      <c r="WEJ88" s="163"/>
      <c r="WEK88" s="163"/>
      <c r="WEL88" s="163"/>
      <c r="WEM88" s="163"/>
      <c r="WEN88" s="163"/>
      <c r="WEO88" s="163"/>
      <c r="WEP88" s="163"/>
      <c r="WEQ88" s="163"/>
      <c r="WER88" s="163"/>
      <c r="WES88" s="163"/>
      <c r="WET88" s="163"/>
      <c r="WEU88" s="163"/>
      <c r="WEV88" s="163"/>
      <c r="WEW88" s="163"/>
      <c r="WEX88" s="163"/>
      <c r="WEY88" s="163"/>
      <c r="WEZ88" s="163"/>
      <c r="WFA88" s="163"/>
      <c r="WFB88" s="163"/>
      <c r="WFC88" s="163"/>
      <c r="WFD88" s="163"/>
      <c r="WFE88" s="163"/>
      <c r="WFF88" s="163"/>
      <c r="WFG88" s="163"/>
      <c r="WFH88" s="163"/>
      <c r="WFI88" s="163"/>
      <c r="WFJ88" s="163"/>
      <c r="WFK88" s="163"/>
      <c r="WFL88" s="163"/>
      <c r="WFM88" s="163"/>
      <c r="WFN88" s="163"/>
      <c r="WFO88" s="163"/>
      <c r="WFP88" s="163"/>
      <c r="WFQ88" s="163"/>
      <c r="WFR88" s="163"/>
      <c r="WFS88" s="163"/>
      <c r="WFT88" s="163"/>
      <c r="WFU88" s="163"/>
      <c r="WFV88" s="163"/>
      <c r="WFW88" s="163"/>
      <c r="WFX88" s="163"/>
      <c r="WFY88" s="163"/>
      <c r="WFZ88" s="163"/>
      <c r="WGA88" s="163"/>
      <c r="WGB88" s="163"/>
      <c r="WGC88" s="163"/>
      <c r="WGD88" s="163"/>
      <c r="WGE88" s="163"/>
      <c r="WGF88" s="163"/>
      <c r="WGG88" s="163"/>
      <c r="WGH88" s="163"/>
      <c r="WGI88" s="163"/>
      <c r="WGJ88" s="163"/>
      <c r="WGK88" s="163"/>
      <c r="WGL88" s="163"/>
      <c r="WGM88" s="163"/>
      <c r="WGN88" s="163"/>
      <c r="WGO88" s="163"/>
      <c r="WGP88" s="163"/>
      <c r="WGQ88" s="163"/>
      <c r="WGR88" s="163"/>
      <c r="WGS88" s="163"/>
      <c r="WGT88" s="163"/>
      <c r="WGU88" s="163"/>
      <c r="WGV88" s="163"/>
      <c r="WGW88" s="163"/>
      <c r="WGX88" s="163"/>
      <c r="WGY88" s="163"/>
      <c r="WGZ88" s="163"/>
      <c r="WHA88" s="163"/>
      <c r="WHB88" s="163"/>
      <c r="WHC88" s="163"/>
      <c r="WHD88" s="163"/>
      <c r="WHE88" s="163"/>
      <c r="WHF88" s="163"/>
      <c r="WHG88" s="163"/>
      <c r="WHH88" s="163"/>
      <c r="WHI88" s="163"/>
      <c r="WHJ88" s="163"/>
      <c r="WHK88" s="163"/>
      <c r="WHL88" s="163"/>
      <c r="WHM88" s="163"/>
      <c r="WHN88" s="163"/>
      <c r="WHO88" s="163"/>
      <c r="WHP88" s="163"/>
      <c r="WHQ88" s="163"/>
      <c r="WHR88" s="163"/>
      <c r="WHS88" s="163"/>
      <c r="WHT88" s="163"/>
      <c r="WHU88" s="163"/>
      <c r="WHV88" s="163"/>
      <c r="WHW88" s="163"/>
      <c r="WHX88" s="163"/>
      <c r="WHY88" s="163"/>
      <c r="WHZ88" s="163"/>
      <c r="WIA88" s="163"/>
      <c r="WIB88" s="163"/>
      <c r="WIC88" s="163"/>
      <c r="WID88" s="163"/>
      <c r="WIE88" s="163"/>
      <c r="WIF88" s="163"/>
      <c r="WIG88" s="163"/>
      <c r="WIH88" s="163"/>
      <c r="WII88" s="163"/>
      <c r="WIJ88" s="163"/>
      <c r="WIK88" s="163"/>
      <c r="WIL88" s="163"/>
      <c r="WIM88" s="163"/>
      <c r="WIN88" s="163"/>
      <c r="WIO88" s="163"/>
      <c r="WIP88" s="163"/>
      <c r="WIQ88" s="163"/>
      <c r="WIR88" s="163"/>
      <c r="WIS88" s="163"/>
      <c r="WIT88" s="163"/>
      <c r="WIU88" s="163"/>
      <c r="WIV88" s="163"/>
      <c r="WIW88" s="163"/>
      <c r="WIX88" s="163"/>
      <c r="WIY88" s="163"/>
      <c r="WIZ88" s="163"/>
      <c r="WJA88" s="163"/>
      <c r="WJB88" s="163"/>
      <c r="WJC88" s="163"/>
      <c r="WJD88" s="163"/>
      <c r="WJE88" s="163"/>
      <c r="WJF88" s="163"/>
      <c r="WJG88" s="163"/>
      <c r="WJH88" s="163"/>
      <c r="WJI88" s="163"/>
      <c r="WJJ88" s="163"/>
      <c r="WJK88" s="163"/>
      <c r="WJL88" s="163"/>
      <c r="WJM88" s="163"/>
      <c r="WJN88" s="163"/>
      <c r="WJO88" s="163"/>
      <c r="WJP88" s="163"/>
      <c r="WJQ88" s="163"/>
      <c r="WJR88" s="163"/>
      <c r="WJS88" s="163"/>
      <c r="WJT88" s="163"/>
      <c r="WJU88" s="163"/>
      <c r="WJV88" s="163"/>
      <c r="WJW88" s="163"/>
      <c r="WJX88" s="163"/>
      <c r="WJY88" s="163"/>
      <c r="WJZ88" s="163"/>
      <c r="WKA88" s="163"/>
      <c r="WKB88" s="163"/>
      <c r="WKC88" s="163"/>
      <c r="WKD88" s="163"/>
      <c r="WKE88" s="163"/>
      <c r="WKF88" s="163"/>
      <c r="WKG88" s="163"/>
      <c r="WKH88" s="163"/>
      <c r="WKI88" s="163"/>
      <c r="WKJ88" s="163"/>
      <c r="WKK88" s="163"/>
      <c r="WKL88" s="163"/>
      <c r="WKM88" s="163"/>
      <c r="WKN88" s="163"/>
      <c r="WKO88" s="163"/>
      <c r="WKP88" s="163"/>
      <c r="WKQ88" s="163"/>
      <c r="WKR88" s="163"/>
      <c r="WKS88" s="163"/>
      <c r="WKT88" s="163"/>
      <c r="WKU88" s="163"/>
      <c r="WKV88" s="163"/>
      <c r="WKW88" s="163"/>
      <c r="WKX88" s="163"/>
      <c r="WKY88" s="163"/>
      <c r="WKZ88" s="163"/>
      <c r="WLA88" s="163"/>
      <c r="WLB88" s="163"/>
      <c r="WLC88" s="163"/>
      <c r="WLD88" s="163"/>
      <c r="WLE88" s="163"/>
      <c r="WLF88" s="163"/>
      <c r="WLG88" s="163"/>
      <c r="WLH88" s="163"/>
      <c r="WLI88" s="163"/>
      <c r="WLJ88" s="163"/>
      <c r="WLK88" s="163"/>
      <c r="WLL88" s="163"/>
      <c r="WLM88" s="163"/>
      <c r="WLN88" s="163"/>
      <c r="WLO88" s="163"/>
      <c r="WLP88" s="163"/>
      <c r="WLQ88" s="163"/>
      <c r="WLR88" s="163"/>
      <c r="WLS88" s="163"/>
      <c r="WLT88" s="163"/>
      <c r="WLU88" s="163"/>
      <c r="WLV88" s="163"/>
      <c r="WLW88" s="163"/>
      <c r="WLX88" s="163"/>
      <c r="WLY88" s="163"/>
      <c r="WLZ88" s="163"/>
      <c r="WMA88" s="163"/>
      <c r="WMB88" s="163"/>
      <c r="WMC88" s="163"/>
      <c r="WMD88" s="163"/>
      <c r="WME88" s="163"/>
      <c r="WMF88" s="163"/>
      <c r="WMG88" s="163"/>
      <c r="WMH88" s="163"/>
      <c r="WMI88" s="163"/>
      <c r="WMJ88" s="163"/>
      <c r="WMK88" s="163"/>
      <c r="WML88" s="163"/>
      <c r="WMM88" s="163"/>
      <c r="WMN88" s="163"/>
      <c r="WMO88" s="163"/>
      <c r="WMP88" s="163"/>
      <c r="WMQ88" s="163"/>
      <c r="WMR88" s="163"/>
      <c r="WMS88" s="163"/>
      <c r="WMT88" s="163"/>
      <c r="WMU88" s="163"/>
      <c r="WMV88" s="163"/>
      <c r="WMW88" s="163"/>
      <c r="WMX88" s="163"/>
      <c r="WMY88" s="163"/>
      <c r="WMZ88" s="163"/>
      <c r="WNA88" s="163"/>
      <c r="WNB88" s="163"/>
      <c r="WNC88" s="163"/>
      <c r="WND88" s="163"/>
      <c r="WNE88" s="163"/>
      <c r="WNF88" s="163"/>
      <c r="WNG88" s="163"/>
      <c r="WNH88" s="163"/>
      <c r="WNI88" s="163"/>
      <c r="WNJ88" s="163"/>
      <c r="WNK88" s="163"/>
      <c r="WNL88" s="163"/>
      <c r="WNM88" s="163"/>
      <c r="WNN88" s="163"/>
      <c r="WNO88" s="163"/>
      <c r="WNP88" s="163"/>
      <c r="WNQ88" s="163"/>
      <c r="WNR88" s="163"/>
      <c r="WNS88" s="163"/>
      <c r="WNT88" s="163"/>
      <c r="WNU88" s="163"/>
      <c r="WNV88" s="163"/>
      <c r="WNW88" s="163"/>
      <c r="WNX88" s="163"/>
      <c r="WNY88" s="163"/>
      <c r="WNZ88" s="163"/>
      <c r="WOA88" s="163"/>
      <c r="WOB88" s="163"/>
      <c r="WOC88" s="163"/>
      <c r="WOD88" s="163"/>
      <c r="WOE88" s="163"/>
      <c r="WOF88" s="163"/>
      <c r="WOG88" s="163"/>
      <c r="WOH88" s="163"/>
      <c r="WOI88" s="163"/>
      <c r="WOJ88" s="163"/>
      <c r="WOK88" s="163"/>
      <c r="WOL88" s="163"/>
      <c r="WOM88" s="163"/>
      <c r="WON88" s="163"/>
      <c r="WOO88" s="163"/>
      <c r="WOP88" s="163"/>
      <c r="WOQ88" s="163"/>
      <c r="WOR88" s="163"/>
      <c r="WOS88" s="163"/>
      <c r="WOT88" s="163"/>
      <c r="WOU88" s="163"/>
      <c r="WOV88" s="163"/>
      <c r="WOW88" s="163"/>
      <c r="WOX88" s="163"/>
      <c r="WOY88" s="163"/>
      <c r="WOZ88" s="163"/>
      <c r="WPA88" s="163"/>
      <c r="WPB88" s="163"/>
      <c r="WPC88" s="163"/>
      <c r="WPD88" s="163"/>
      <c r="WPE88" s="163"/>
      <c r="WPF88" s="163"/>
      <c r="WPG88" s="163"/>
      <c r="WPH88" s="163"/>
      <c r="WPI88" s="163"/>
      <c r="WPJ88" s="163"/>
      <c r="WPK88" s="163"/>
      <c r="WPL88" s="163"/>
      <c r="WPM88" s="163"/>
      <c r="WPN88" s="163"/>
      <c r="WPO88" s="163"/>
      <c r="WPP88" s="163"/>
      <c r="WPQ88" s="163"/>
      <c r="WPR88" s="163"/>
      <c r="WPS88" s="163"/>
      <c r="WPT88" s="163"/>
      <c r="WPU88" s="163"/>
      <c r="WPV88" s="163"/>
      <c r="WPW88" s="163"/>
      <c r="WPX88" s="163"/>
      <c r="WPY88" s="163"/>
      <c r="WPZ88" s="163"/>
      <c r="WQA88" s="163"/>
      <c r="WQB88" s="163"/>
      <c r="WQC88" s="163"/>
      <c r="WQD88" s="163"/>
      <c r="WQE88" s="163"/>
      <c r="WQF88" s="163"/>
      <c r="WQG88" s="163"/>
      <c r="WQH88" s="163"/>
      <c r="WQI88" s="163"/>
      <c r="WQJ88" s="163"/>
      <c r="WQK88" s="163"/>
      <c r="WQL88" s="163"/>
      <c r="WQM88" s="163"/>
      <c r="WQN88" s="163"/>
      <c r="WQO88" s="163"/>
      <c r="WQP88" s="163"/>
      <c r="WQQ88" s="163"/>
      <c r="WQR88" s="163"/>
      <c r="WQS88" s="163"/>
      <c r="WQT88" s="163"/>
      <c r="WQU88" s="163"/>
      <c r="WQV88" s="163"/>
      <c r="WQW88" s="163"/>
      <c r="WQX88" s="163"/>
      <c r="WQY88" s="163"/>
      <c r="WQZ88" s="163"/>
      <c r="WRA88" s="163"/>
      <c r="WRB88" s="163"/>
      <c r="WRC88" s="163"/>
      <c r="WRD88" s="163"/>
      <c r="WRE88" s="163"/>
      <c r="WRF88" s="163"/>
      <c r="WRG88" s="163"/>
      <c r="WRH88" s="163"/>
      <c r="WRI88" s="163"/>
      <c r="WRJ88" s="163"/>
      <c r="WRK88" s="163"/>
      <c r="WRL88" s="163"/>
      <c r="WRM88" s="163"/>
      <c r="WRN88" s="163"/>
      <c r="WRO88" s="163"/>
      <c r="WRP88" s="163"/>
      <c r="WRQ88" s="163"/>
      <c r="WRR88" s="163"/>
      <c r="WRS88" s="163"/>
      <c r="WRT88" s="163"/>
      <c r="WRU88" s="163"/>
      <c r="WRV88" s="163"/>
      <c r="WRW88" s="163"/>
      <c r="WRX88" s="163"/>
      <c r="WRY88" s="163"/>
      <c r="WRZ88" s="163"/>
      <c r="WSA88" s="163"/>
      <c r="WSB88" s="163"/>
      <c r="WSC88" s="163"/>
      <c r="WSD88" s="163"/>
      <c r="WSE88" s="163"/>
      <c r="WSF88" s="163"/>
      <c r="WSG88" s="163"/>
      <c r="WSH88" s="163"/>
      <c r="WSI88" s="163"/>
      <c r="WSJ88" s="163"/>
      <c r="WSK88" s="163"/>
      <c r="WSL88" s="163"/>
      <c r="WSM88" s="163"/>
      <c r="WSN88" s="163"/>
      <c r="WSO88" s="163"/>
      <c r="WSP88" s="163"/>
      <c r="WSQ88" s="163"/>
      <c r="WSR88" s="163"/>
      <c r="WSS88" s="163"/>
      <c r="WST88" s="163"/>
      <c r="WSU88" s="163"/>
      <c r="WSV88" s="163"/>
      <c r="WSW88" s="163"/>
      <c r="WSX88" s="163"/>
      <c r="WSY88" s="163"/>
      <c r="WSZ88" s="163"/>
      <c r="WTA88" s="163"/>
      <c r="WTB88" s="163"/>
      <c r="WTC88" s="163"/>
      <c r="WTD88" s="163"/>
      <c r="WTE88" s="163"/>
      <c r="WTF88" s="163"/>
      <c r="WTG88" s="163"/>
      <c r="WTH88" s="163"/>
      <c r="WTI88" s="163"/>
      <c r="WTJ88" s="163"/>
      <c r="WTK88" s="163"/>
      <c r="WTL88" s="163"/>
      <c r="WTM88" s="163"/>
      <c r="WTN88" s="163"/>
      <c r="WTO88" s="163"/>
      <c r="WTP88" s="163"/>
      <c r="WTQ88" s="163"/>
      <c r="WTR88" s="163"/>
      <c r="WTS88" s="163"/>
      <c r="WTT88" s="163"/>
      <c r="WTU88" s="163"/>
      <c r="WTV88" s="163"/>
      <c r="WTW88" s="163"/>
      <c r="WTX88" s="163"/>
      <c r="WTY88" s="163"/>
      <c r="WTZ88" s="163"/>
      <c r="WUA88" s="163"/>
      <c r="WUB88" s="163"/>
      <c r="WUC88" s="163"/>
      <c r="WUD88" s="163"/>
      <c r="WUE88" s="163"/>
      <c r="WUF88" s="163"/>
      <c r="WUG88" s="163"/>
      <c r="WUH88" s="163"/>
      <c r="WUI88" s="163"/>
      <c r="WUJ88" s="163"/>
      <c r="WUK88" s="163"/>
      <c r="WUL88" s="163"/>
      <c r="WUM88" s="163"/>
      <c r="WUN88" s="163"/>
      <c r="WUO88" s="163"/>
      <c r="WUP88" s="163"/>
      <c r="WUQ88" s="163"/>
      <c r="WUR88" s="163"/>
      <c r="WUS88" s="163"/>
      <c r="WUT88" s="163"/>
      <c r="WUU88" s="163"/>
      <c r="WUV88" s="163"/>
      <c r="WUW88" s="163"/>
      <c r="WUX88" s="163"/>
      <c r="WUY88" s="163"/>
      <c r="WUZ88" s="163"/>
      <c r="WVA88" s="163"/>
      <c r="WVB88" s="163"/>
      <c r="WVC88" s="163"/>
      <c r="WVD88" s="163"/>
      <c r="WVE88" s="163"/>
      <c r="WVF88" s="163"/>
      <c r="WVG88" s="163"/>
      <c r="WVH88" s="163"/>
      <c r="WVI88" s="163"/>
      <c r="WVJ88" s="163"/>
      <c r="WVK88" s="163"/>
      <c r="WVL88" s="163"/>
      <c r="WVM88" s="163"/>
      <c r="WVN88" s="163"/>
      <c r="WVO88" s="163"/>
      <c r="WVP88" s="163"/>
      <c r="WVQ88" s="163"/>
      <c r="WVR88" s="163"/>
      <c r="WVS88" s="163"/>
      <c r="WVT88" s="163"/>
      <c r="WVU88" s="163"/>
      <c r="WVV88" s="163"/>
      <c r="WVW88" s="163"/>
      <c r="WVX88" s="163"/>
      <c r="WVY88" s="163"/>
      <c r="WVZ88" s="163"/>
      <c r="WWA88" s="163"/>
      <c r="WWB88" s="163"/>
      <c r="WWC88" s="163"/>
      <c r="WWD88" s="163"/>
      <c r="WWE88" s="163"/>
      <c r="WWF88" s="163"/>
      <c r="WWG88" s="163"/>
      <c r="WWH88" s="163"/>
      <c r="WWI88" s="163"/>
      <c r="WWJ88" s="163"/>
      <c r="WWK88" s="163"/>
      <c r="WWL88" s="163"/>
      <c r="WWM88" s="163"/>
      <c r="WWN88" s="163"/>
      <c r="WWO88" s="163"/>
      <c r="WWP88" s="163"/>
      <c r="WWQ88" s="163"/>
      <c r="WWR88" s="163"/>
      <c r="WWS88" s="163"/>
      <c r="WWT88" s="163"/>
      <c r="WWU88" s="163"/>
      <c r="WWV88" s="163"/>
      <c r="WWW88" s="163"/>
      <c r="WWX88" s="163"/>
      <c r="WWY88" s="163"/>
      <c r="WWZ88" s="163"/>
      <c r="WXA88" s="163"/>
      <c r="WXB88" s="163"/>
      <c r="WXC88" s="163"/>
      <c r="WXD88" s="163"/>
      <c r="WXE88" s="163"/>
      <c r="WXF88" s="163"/>
      <c r="WXG88" s="163"/>
      <c r="WXH88" s="163"/>
      <c r="WXI88" s="163"/>
      <c r="WXJ88" s="163"/>
      <c r="WXK88" s="163"/>
      <c r="WXL88" s="163"/>
      <c r="WXM88" s="163"/>
      <c r="WXN88" s="163"/>
      <c r="WXO88" s="163"/>
      <c r="WXP88" s="163"/>
      <c r="WXQ88" s="163"/>
      <c r="WXR88" s="163"/>
      <c r="WXS88" s="163"/>
      <c r="WXT88" s="163"/>
      <c r="WXU88" s="163"/>
      <c r="WXV88" s="163"/>
      <c r="WXW88" s="163"/>
      <c r="WXX88" s="163"/>
      <c r="WXY88" s="163"/>
      <c r="WXZ88" s="163"/>
      <c r="WYA88" s="163"/>
      <c r="WYB88" s="163"/>
      <c r="WYC88" s="163"/>
      <c r="WYD88" s="163"/>
      <c r="WYE88" s="163"/>
      <c r="WYF88" s="163"/>
      <c r="WYG88" s="163"/>
      <c r="WYH88" s="163"/>
      <c r="WYI88" s="163"/>
      <c r="WYJ88" s="163"/>
      <c r="WYK88" s="163"/>
      <c r="WYL88" s="163"/>
      <c r="WYM88" s="163"/>
      <c r="WYN88" s="163"/>
      <c r="WYO88" s="163"/>
      <c r="WYP88" s="163"/>
      <c r="WYQ88" s="163"/>
      <c r="WYR88" s="163"/>
      <c r="WYS88" s="163"/>
      <c r="WYT88" s="163"/>
      <c r="WYU88" s="163"/>
      <c r="WYV88" s="163"/>
      <c r="WYW88" s="163"/>
      <c r="WYX88" s="163"/>
      <c r="WYY88" s="163"/>
      <c r="WYZ88" s="163"/>
      <c r="WZA88" s="163"/>
      <c r="WZB88" s="163"/>
      <c r="WZC88" s="163"/>
      <c r="WZD88" s="163"/>
      <c r="WZE88" s="163"/>
      <c r="WZF88" s="163"/>
      <c r="WZG88" s="163"/>
      <c r="WZH88" s="163"/>
      <c r="WZI88" s="163"/>
      <c r="WZJ88" s="163"/>
      <c r="WZK88" s="163"/>
      <c r="WZL88" s="163"/>
      <c r="WZM88" s="163"/>
      <c r="WZN88" s="163"/>
      <c r="WZO88" s="163"/>
      <c r="WZP88" s="163"/>
      <c r="WZQ88" s="163"/>
      <c r="WZR88" s="163"/>
      <c r="WZS88" s="163"/>
      <c r="WZT88" s="163"/>
      <c r="WZU88" s="163"/>
      <c r="WZV88" s="163"/>
      <c r="WZW88" s="163"/>
      <c r="WZX88" s="163"/>
      <c r="WZY88" s="163"/>
      <c r="WZZ88" s="163"/>
      <c r="XAA88" s="163"/>
      <c r="XAB88" s="163"/>
      <c r="XAC88" s="163"/>
      <c r="XAD88" s="163"/>
      <c r="XAE88" s="163"/>
      <c r="XAF88" s="163"/>
      <c r="XAG88" s="163"/>
      <c r="XAH88" s="163"/>
      <c r="XAI88" s="163"/>
      <c r="XAJ88" s="163"/>
      <c r="XAK88" s="163"/>
      <c r="XAL88" s="163"/>
      <c r="XAM88" s="163"/>
      <c r="XAN88" s="163"/>
      <c r="XAO88" s="163"/>
      <c r="XAP88" s="163"/>
      <c r="XAQ88" s="163"/>
      <c r="XAR88" s="163"/>
      <c r="XAS88" s="163"/>
      <c r="XAT88" s="163"/>
      <c r="XAU88" s="163"/>
      <c r="XAV88" s="163"/>
      <c r="XAW88" s="163"/>
      <c r="XAX88" s="163"/>
      <c r="XAY88" s="163"/>
      <c r="XAZ88" s="163"/>
      <c r="XBA88" s="163"/>
      <c r="XBB88" s="163"/>
      <c r="XBC88" s="163"/>
      <c r="XBD88" s="163"/>
      <c r="XBE88" s="163"/>
      <c r="XBF88" s="163"/>
      <c r="XBG88" s="163"/>
      <c r="XBH88" s="163"/>
      <c r="XBI88" s="163"/>
      <c r="XBJ88" s="163"/>
      <c r="XBK88" s="163"/>
      <c r="XBL88" s="163"/>
      <c r="XBM88" s="163"/>
      <c r="XBN88" s="163"/>
      <c r="XBO88" s="163"/>
      <c r="XBP88" s="163"/>
      <c r="XBQ88" s="163"/>
      <c r="XBR88" s="163"/>
      <c r="XBS88" s="163"/>
      <c r="XBT88" s="163"/>
      <c r="XBU88" s="163"/>
      <c r="XBV88" s="163"/>
      <c r="XBW88" s="163"/>
      <c r="XBX88" s="163"/>
      <c r="XBY88" s="163"/>
      <c r="XBZ88" s="163"/>
      <c r="XCA88" s="163"/>
      <c r="XCB88" s="163"/>
      <c r="XCC88" s="163"/>
      <c r="XCD88" s="163"/>
      <c r="XCE88" s="163"/>
      <c r="XCF88" s="163"/>
      <c r="XCG88" s="163"/>
      <c r="XCH88" s="163"/>
      <c r="XCI88" s="163"/>
      <c r="XCJ88" s="163"/>
      <c r="XCK88" s="163"/>
      <c r="XCL88" s="163"/>
      <c r="XCM88" s="163"/>
      <c r="XCN88" s="163"/>
      <c r="XCO88" s="163"/>
      <c r="XCP88" s="163"/>
      <c r="XCQ88" s="163"/>
      <c r="XCR88" s="163"/>
      <c r="XCS88" s="163"/>
      <c r="XCT88" s="163"/>
      <c r="XCU88" s="163"/>
      <c r="XCV88" s="163"/>
      <c r="XCW88" s="163"/>
    </row>
    <row r="89" spans="1:16325" s="153" customFormat="1" hidden="1">
      <c r="A89" s="6"/>
      <c r="B89" s="83" t="s">
        <v>95</v>
      </c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  <c r="AA89" s="6"/>
      <c r="AB89" s="6"/>
      <c r="AC89" s="6"/>
      <c r="AD89" s="6"/>
      <c r="AE89" s="6"/>
      <c r="AF89" s="6"/>
      <c r="AG89" s="6"/>
      <c r="AH89" s="6"/>
      <c r="AI89" s="6"/>
      <c r="AJ89" s="6"/>
      <c r="AK89" s="6"/>
      <c r="AL89" s="6"/>
      <c r="AM89" s="6"/>
      <c r="AN89" s="6"/>
      <c r="AO89" s="6"/>
      <c r="AP89" s="6"/>
      <c r="AQ89" s="6"/>
      <c r="AR89" s="6"/>
      <c r="AS89" s="155">
        <f t="shared" ref="AS89:AY89" si="47">AS88+AS87</f>
        <v>40</v>
      </c>
      <c r="AT89" s="155">
        <f t="shared" si="47"/>
        <v>85</v>
      </c>
      <c r="AU89" s="156">
        <f t="shared" si="47"/>
        <v>125</v>
      </c>
      <c r="AV89" s="155">
        <f t="shared" si="47"/>
        <v>105</v>
      </c>
      <c r="AW89" s="155">
        <f t="shared" si="47"/>
        <v>130</v>
      </c>
      <c r="AX89" s="155">
        <f t="shared" si="47"/>
        <v>195</v>
      </c>
      <c r="AY89" s="155">
        <f t="shared" si="47"/>
        <v>225</v>
      </c>
      <c r="AZ89" s="156">
        <f>AZ88+AZ87</f>
        <v>655</v>
      </c>
      <c r="BA89" s="6"/>
      <c r="BB89" s="6"/>
      <c r="BC89" s="6"/>
      <c r="BD89" s="6"/>
      <c r="BE89" s="6"/>
      <c r="BF89" s="6"/>
      <c r="BG89" s="6"/>
      <c r="BH89" s="6"/>
      <c r="BI89" s="6"/>
      <c r="BJ89" s="6"/>
      <c r="BK89" s="6"/>
      <c r="BL89" s="6"/>
      <c r="BM89" s="6"/>
      <c r="BN89" s="6"/>
      <c r="BO89" s="6"/>
      <c r="BP89" s="6"/>
      <c r="BQ89" s="6"/>
      <c r="BR89" s="6"/>
      <c r="BS89" s="6"/>
      <c r="BT89" s="6"/>
      <c r="BU89" s="6"/>
      <c r="BV89" s="6"/>
      <c r="BW89" s="6"/>
      <c r="BX89" s="6"/>
      <c r="BY89" s="6"/>
      <c r="BZ89" s="6"/>
      <c r="CA89" s="6"/>
      <c r="CB89" s="6"/>
      <c r="CC89" s="6"/>
      <c r="CD89" s="6"/>
      <c r="CE89" s="6"/>
      <c r="CF89" s="6"/>
      <c r="CG89" s="6"/>
      <c r="CH89" s="6"/>
      <c r="CI89" s="6"/>
      <c r="CJ89" s="6"/>
      <c r="CK89" s="6"/>
      <c r="CL89" s="6"/>
      <c r="CM89" s="6"/>
      <c r="CN89" s="6"/>
      <c r="CO89" s="6"/>
      <c r="CP89" s="6"/>
      <c r="CQ89" s="6"/>
      <c r="CR89" s="6"/>
      <c r="CS89" s="6"/>
      <c r="CT89" s="6"/>
      <c r="CU89" s="6"/>
      <c r="CV89" s="6"/>
      <c r="CW89" s="6"/>
      <c r="CX89" s="6"/>
      <c r="CY89" s="6"/>
      <c r="CZ89" s="6"/>
      <c r="DA89" s="6"/>
      <c r="DB89" s="6"/>
      <c r="DC89" s="6"/>
      <c r="DD89" s="6"/>
      <c r="DE89" s="6"/>
      <c r="DF89" s="6"/>
      <c r="DG89" s="6"/>
      <c r="DH89" s="6"/>
      <c r="DI89" s="6"/>
      <c r="DJ89" s="6"/>
      <c r="DK89" s="6"/>
      <c r="DL89" s="6"/>
      <c r="DM89" s="6"/>
      <c r="DN89" s="6"/>
      <c r="DO89" s="6"/>
      <c r="DP89" s="6"/>
      <c r="DQ89" s="6"/>
      <c r="DR89" s="6"/>
      <c r="DS89" s="6"/>
      <c r="DT89" s="6"/>
      <c r="DU89" s="6"/>
      <c r="DV89" s="6"/>
      <c r="DW89" s="6"/>
      <c r="DX89" s="6"/>
      <c r="DY89" s="6"/>
      <c r="DZ89" s="6"/>
      <c r="EA89" s="6"/>
      <c r="EB89" s="6"/>
      <c r="EC89" s="6"/>
      <c r="ED89" s="6"/>
      <c r="EE89" s="6"/>
      <c r="EF89" s="6"/>
      <c r="EG89" s="6"/>
      <c r="EH89" s="6"/>
      <c r="EI89" s="6"/>
      <c r="EJ89" s="6"/>
      <c r="EK89" s="6"/>
      <c r="EL89" s="6"/>
      <c r="EM89" s="6"/>
      <c r="EN89" s="6"/>
      <c r="EO89" s="6"/>
      <c r="EP89" s="6"/>
      <c r="EQ89" s="6"/>
      <c r="ER89" s="6"/>
      <c r="ES89" s="6"/>
      <c r="ET89" s="6"/>
      <c r="EU89" s="6"/>
      <c r="EV89" s="6"/>
      <c r="EW89" s="6"/>
      <c r="EX89" s="6"/>
      <c r="EY89" s="6"/>
      <c r="EZ89" s="6"/>
      <c r="FA89" s="6"/>
      <c r="FB89" s="6"/>
      <c r="FC89" s="6"/>
      <c r="FD89" s="6"/>
      <c r="FE89" s="6"/>
      <c r="FF89" s="6"/>
      <c r="FG89" s="6"/>
      <c r="FH89" s="6"/>
      <c r="FI89" s="6"/>
      <c r="FJ89" s="6"/>
      <c r="FK89" s="6"/>
      <c r="FL89" s="6"/>
      <c r="FM89" s="6"/>
      <c r="FN89" s="6"/>
      <c r="FO89" s="6"/>
      <c r="FP89" s="6"/>
      <c r="FQ89" s="6"/>
      <c r="FR89" s="6"/>
      <c r="FS89" s="6"/>
      <c r="FT89" s="6"/>
      <c r="FU89" s="6"/>
      <c r="FV89" s="6"/>
      <c r="FW89" s="6"/>
      <c r="FX89" s="6"/>
      <c r="FY89" s="6"/>
      <c r="FZ89" s="6"/>
      <c r="GA89" s="6"/>
      <c r="GB89" s="6"/>
      <c r="GC89" s="6"/>
      <c r="GD89" s="6"/>
      <c r="GE89" s="6"/>
      <c r="GF89" s="6"/>
      <c r="GG89" s="6"/>
      <c r="GH89" s="6"/>
      <c r="GI89" s="6"/>
      <c r="GJ89" s="6"/>
      <c r="GK89" s="6"/>
      <c r="GL89" s="6"/>
      <c r="GM89" s="6"/>
      <c r="GN89" s="6"/>
      <c r="GO89" s="6"/>
      <c r="GP89" s="6"/>
      <c r="GQ89" s="6"/>
      <c r="GR89" s="6"/>
      <c r="GS89" s="6"/>
      <c r="GT89" s="6"/>
      <c r="GU89" s="6"/>
      <c r="GV89" s="6"/>
      <c r="GW89" s="6"/>
      <c r="GX89" s="6"/>
      <c r="GY89" s="6"/>
      <c r="GZ89" s="6"/>
      <c r="HA89" s="6"/>
      <c r="HB89" s="6"/>
      <c r="HC89" s="6"/>
      <c r="HD89" s="6"/>
      <c r="HE89" s="6"/>
      <c r="HF89" s="6"/>
      <c r="HG89" s="6"/>
      <c r="HH89" s="6"/>
      <c r="HI89" s="6"/>
      <c r="HJ89" s="6"/>
      <c r="HK89" s="6"/>
      <c r="HL89" s="6"/>
      <c r="HM89" s="6"/>
      <c r="HN89" s="6"/>
      <c r="HO89" s="6"/>
      <c r="HP89" s="6"/>
      <c r="HQ89" s="6"/>
      <c r="HR89" s="6"/>
      <c r="HS89" s="6"/>
      <c r="HT89" s="6"/>
      <c r="HU89" s="6"/>
      <c r="HV89" s="6"/>
      <c r="HW89" s="6"/>
      <c r="HX89" s="6"/>
      <c r="HY89" s="6"/>
      <c r="HZ89" s="6"/>
      <c r="IA89" s="6"/>
      <c r="IB89" s="6"/>
      <c r="IC89" s="6"/>
      <c r="ID89" s="6"/>
      <c r="IE89" s="6"/>
      <c r="IF89" s="6"/>
      <c r="IG89" s="6"/>
      <c r="IH89" s="6"/>
      <c r="II89" s="6"/>
      <c r="IJ89" s="6"/>
      <c r="IK89" s="6"/>
      <c r="IL89" s="6"/>
      <c r="IM89" s="6"/>
      <c r="IN89" s="6"/>
      <c r="IO89" s="6"/>
      <c r="IP89" s="6"/>
      <c r="IQ89" s="6"/>
      <c r="IR89" s="6"/>
      <c r="IS89" s="6"/>
      <c r="IT89" s="6"/>
      <c r="IU89" s="6"/>
      <c r="IV89" s="6"/>
      <c r="IW89" s="6"/>
      <c r="IX89" s="6"/>
      <c r="IY89" s="6"/>
      <c r="IZ89" s="6"/>
      <c r="JA89" s="6"/>
      <c r="JB89" s="6"/>
      <c r="JC89" s="6"/>
      <c r="JD89" s="6"/>
      <c r="JE89" s="6"/>
      <c r="JF89" s="6"/>
      <c r="JG89" s="6"/>
      <c r="JH89" s="6"/>
      <c r="JI89" s="6"/>
      <c r="JJ89" s="6"/>
      <c r="JK89" s="6"/>
      <c r="JL89" s="6"/>
      <c r="JM89" s="6"/>
      <c r="JN89" s="6"/>
      <c r="JO89" s="6"/>
      <c r="JP89" s="6"/>
      <c r="JQ89" s="6"/>
      <c r="JR89" s="6"/>
      <c r="JS89" s="6"/>
      <c r="JT89" s="6"/>
      <c r="JU89" s="6"/>
      <c r="JV89" s="6"/>
      <c r="JW89" s="6"/>
      <c r="JX89" s="6"/>
      <c r="JY89" s="6"/>
      <c r="JZ89" s="6"/>
      <c r="KA89" s="6"/>
      <c r="KB89" s="6"/>
      <c r="KC89" s="6"/>
      <c r="KD89" s="6"/>
      <c r="KE89" s="6"/>
      <c r="KF89" s="6"/>
      <c r="KG89" s="6"/>
      <c r="KH89" s="6"/>
      <c r="KI89" s="6"/>
      <c r="KJ89" s="6"/>
      <c r="KK89" s="6"/>
      <c r="KL89" s="6"/>
      <c r="KM89" s="6"/>
      <c r="KN89" s="6"/>
      <c r="KO89" s="6"/>
      <c r="KP89" s="6"/>
      <c r="KQ89" s="6"/>
      <c r="KR89" s="6"/>
      <c r="KS89" s="6"/>
      <c r="KT89" s="6"/>
      <c r="KU89" s="6"/>
      <c r="KV89" s="6"/>
      <c r="KW89" s="6"/>
      <c r="KX89" s="6"/>
      <c r="KY89" s="6"/>
      <c r="KZ89" s="6"/>
      <c r="LA89" s="6"/>
      <c r="LB89" s="6"/>
      <c r="LC89" s="6"/>
      <c r="LD89" s="6"/>
      <c r="LE89" s="6"/>
      <c r="LF89" s="6"/>
      <c r="LG89" s="6"/>
      <c r="LH89" s="6"/>
      <c r="LI89" s="6"/>
      <c r="LJ89" s="6"/>
      <c r="LK89" s="6"/>
      <c r="LL89" s="6"/>
      <c r="LM89" s="6"/>
      <c r="LN89" s="6"/>
      <c r="LO89" s="6"/>
      <c r="LP89" s="6"/>
      <c r="LQ89" s="6"/>
      <c r="LR89" s="6"/>
      <c r="LS89" s="6"/>
      <c r="LT89" s="6"/>
      <c r="LU89" s="6"/>
      <c r="LV89" s="6"/>
      <c r="LW89" s="6"/>
      <c r="LX89" s="6"/>
      <c r="LY89" s="6"/>
      <c r="LZ89" s="6"/>
      <c r="MA89" s="6"/>
      <c r="MB89" s="6"/>
      <c r="MC89" s="6"/>
      <c r="MD89" s="6"/>
      <c r="ME89" s="6"/>
      <c r="MF89" s="6"/>
      <c r="MG89" s="6"/>
      <c r="MH89" s="6"/>
      <c r="MI89" s="6"/>
      <c r="MJ89" s="6"/>
      <c r="MK89" s="6"/>
      <c r="ML89" s="6"/>
      <c r="MM89" s="6"/>
      <c r="MN89" s="6"/>
      <c r="MO89" s="6"/>
      <c r="MP89" s="6"/>
      <c r="MQ89" s="6"/>
      <c r="MR89" s="6"/>
      <c r="MS89" s="6"/>
      <c r="MT89" s="6"/>
      <c r="MU89" s="6"/>
      <c r="MV89" s="6"/>
      <c r="MW89" s="6"/>
      <c r="MX89" s="6"/>
      <c r="MY89" s="6"/>
      <c r="MZ89" s="6"/>
      <c r="NA89" s="6"/>
      <c r="NB89" s="6"/>
      <c r="NC89" s="6"/>
      <c r="ND89" s="6"/>
      <c r="NE89" s="6"/>
      <c r="NF89" s="6"/>
      <c r="NG89" s="6"/>
      <c r="NH89" s="6"/>
      <c r="NI89" s="6"/>
      <c r="NJ89" s="6"/>
      <c r="NK89" s="6"/>
      <c r="NL89" s="6"/>
      <c r="NM89" s="6"/>
      <c r="NN89" s="6"/>
      <c r="NO89" s="6"/>
      <c r="NP89" s="6"/>
      <c r="NQ89" s="6"/>
      <c r="NR89" s="6"/>
      <c r="NS89" s="6"/>
      <c r="NT89" s="6"/>
      <c r="NU89" s="6"/>
      <c r="NV89" s="6"/>
      <c r="NW89" s="6"/>
      <c r="NX89" s="6"/>
      <c r="NY89" s="6"/>
      <c r="NZ89" s="6"/>
      <c r="OA89" s="6"/>
      <c r="OB89" s="6"/>
      <c r="OC89" s="6"/>
      <c r="OD89" s="6"/>
      <c r="OE89" s="6"/>
      <c r="OF89" s="6"/>
      <c r="OG89" s="6"/>
      <c r="OH89" s="6"/>
      <c r="OI89" s="6"/>
      <c r="OJ89" s="6"/>
      <c r="OK89" s="6"/>
      <c r="OL89" s="6"/>
      <c r="OM89" s="6"/>
      <c r="ON89" s="6"/>
      <c r="OO89" s="6"/>
      <c r="OP89" s="6"/>
      <c r="OQ89" s="6"/>
      <c r="OR89" s="6"/>
      <c r="OS89" s="6"/>
      <c r="OT89" s="6"/>
      <c r="OU89" s="6"/>
      <c r="OV89" s="6"/>
      <c r="OW89" s="6"/>
      <c r="OX89" s="6"/>
      <c r="OY89" s="6"/>
      <c r="OZ89" s="6"/>
      <c r="PA89" s="6"/>
      <c r="PB89" s="6"/>
      <c r="PC89" s="6"/>
      <c r="PD89" s="6"/>
      <c r="PE89" s="6"/>
      <c r="PF89" s="6"/>
      <c r="PG89" s="6"/>
      <c r="PH89" s="6"/>
      <c r="PI89" s="6"/>
      <c r="PJ89" s="6"/>
      <c r="PK89" s="6"/>
      <c r="PL89" s="6"/>
      <c r="PM89" s="6"/>
      <c r="PN89" s="6"/>
      <c r="PO89" s="6"/>
      <c r="PP89" s="6"/>
      <c r="PQ89" s="6"/>
      <c r="PR89" s="6"/>
      <c r="PS89" s="6"/>
      <c r="PT89" s="6"/>
      <c r="PU89" s="6"/>
      <c r="PV89" s="6"/>
      <c r="PW89" s="6"/>
      <c r="PX89" s="6"/>
      <c r="PY89" s="6"/>
      <c r="PZ89" s="6"/>
      <c r="QA89" s="6"/>
      <c r="QB89" s="6"/>
      <c r="QC89" s="6"/>
      <c r="QD89" s="6"/>
      <c r="QE89" s="6"/>
      <c r="QF89" s="6"/>
      <c r="QG89" s="6"/>
      <c r="QH89" s="6"/>
      <c r="QI89" s="6"/>
      <c r="QJ89" s="6"/>
      <c r="QK89" s="6"/>
      <c r="QL89" s="6"/>
      <c r="QM89" s="6"/>
      <c r="QN89" s="6"/>
      <c r="QO89" s="6"/>
      <c r="QP89" s="6"/>
      <c r="QQ89" s="6"/>
      <c r="QR89" s="6"/>
      <c r="QS89" s="6"/>
      <c r="QT89" s="6"/>
      <c r="QU89" s="6"/>
      <c r="QV89" s="6"/>
      <c r="QW89" s="6"/>
      <c r="QX89" s="6"/>
      <c r="QY89" s="6"/>
      <c r="QZ89" s="6"/>
      <c r="RA89" s="6"/>
      <c r="RB89" s="6"/>
      <c r="RC89" s="6"/>
      <c r="RD89" s="6"/>
      <c r="RE89" s="6"/>
      <c r="RF89" s="6"/>
      <c r="RG89" s="6"/>
      <c r="RH89" s="6"/>
      <c r="RI89" s="6"/>
      <c r="RJ89" s="6"/>
      <c r="RK89" s="6"/>
      <c r="RL89" s="6"/>
      <c r="RM89" s="6"/>
      <c r="RN89" s="6"/>
      <c r="RO89" s="6"/>
      <c r="RP89" s="6"/>
      <c r="RQ89" s="6"/>
      <c r="RR89" s="6"/>
      <c r="RS89" s="6"/>
      <c r="RT89" s="6"/>
      <c r="RU89" s="6"/>
      <c r="RV89" s="6"/>
      <c r="RW89" s="6"/>
      <c r="RX89" s="6"/>
      <c r="RY89" s="6"/>
      <c r="RZ89" s="6"/>
      <c r="SA89" s="6"/>
      <c r="SB89" s="6"/>
      <c r="SC89" s="6"/>
      <c r="SD89" s="6"/>
      <c r="SE89" s="6"/>
      <c r="SF89" s="6"/>
      <c r="SG89" s="6"/>
      <c r="SH89" s="6"/>
      <c r="SI89" s="6"/>
      <c r="SJ89" s="6"/>
      <c r="SK89" s="6"/>
      <c r="SL89" s="6"/>
      <c r="SM89" s="6"/>
      <c r="SN89" s="6"/>
      <c r="SO89" s="6"/>
      <c r="SP89" s="6"/>
      <c r="SQ89" s="6"/>
      <c r="SR89" s="6"/>
      <c r="SS89" s="6"/>
      <c r="ST89" s="6"/>
      <c r="SU89" s="6"/>
      <c r="SV89" s="6"/>
      <c r="SW89" s="6"/>
      <c r="SX89" s="6"/>
      <c r="SY89" s="6"/>
      <c r="SZ89" s="6"/>
      <c r="TA89" s="6"/>
      <c r="TB89" s="6"/>
      <c r="TC89" s="6"/>
      <c r="TD89" s="6"/>
      <c r="TE89" s="6"/>
      <c r="TF89" s="6"/>
      <c r="TG89" s="6"/>
      <c r="TH89" s="6"/>
      <c r="TI89" s="6"/>
      <c r="TJ89" s="6"/>
      <c r="TK89" s="6"/>
      <c r="TL89" s="6"/>
      <c r="TM89" s="6"/>
      <c r="TN89" s="6"/>
      <c r="TO89" s="6"/>
      <c r="TP89" s="6"/>
      <c r="TQ89" s="6"/>
      <c r="TR89" s="6"/>
      <c r="TS89" s="6"/>
      <c r="TT89" s="6"/>
      <c r="TU89" s="6"/>
      <c r="TV89" s="6"/>
      <c r="TW89" s="6"/>
      <c r="TX89" s="6"/>
      <c r="TY89" s="6"/>
      <c r="TZ89" s="6"/>
      <c r="UA89" s="6"/>
      <c r="UB89" s="6"/>
      <c r="UC89" s="6"/>
      <c r="UD89" s="6"/>
      <c r="UE89" s="6"/>
      <c r="UF89" s="6"/>
      <c r="UG89" s="6"/>
      <c r="UH89" s="6"/>
      <c r="UI89" s="6"/>
      <c r="UJ89" s="6"/>
      <c r="UK89" s="6"/>
      <c r="UL89" s="6"/>
      <c r="UM89" s="6"/>
      <c r="UN89" s="6"/>
      <c r="UO89" s="6"/>
      <c r="UP89" s="6"/>
      <c r="UQ89" s="6"/>
      <c r="UR89" s="6"/>
      <c r="US89" s="6"/>
      <c r="UT89" s="6"/>
      <c r="UU89" s="6"/>
      <c r="UV89" s="6"/>
      <c r="UW89" s="6"/>
      <c r="UX89" s="6"/>
      <c r="UY89" s="6"/>
      <c r="UZ89" s="6"/>
      <c r="VA89" s="6"/>
      <c r="VB89" s="6"/>
      <c r="VC89" s="6"/>
      <c r="VD89" s="6"/>
      <c r="VE89" s="6"/>
      <c r="VF89" s="6"/>
      <c r="VG89" s="6"/>
      <c r="VH89" s="6"/>
      <c r="VI89" s="6"/>
      <c r="VJ89" s="6"/>
      <c r="VK89" s="6"/>
      <c r="VL89" s="6"/>
      <c r="VM89" s="6"/>
      <c r="VN89" s="6"/>
      <c r="VO89" s="6"/>
      <c r="VP89" s="6"/>
      <c r="VQ89" s="6"/>
      <c r="VR89" s="6"/>
      <c r="VS89" s="6"/>
      <c r="VT89" s="6"/>
      <c r="VU89" s="6"/>
      <c r="VV89" s="6"/>
      <c r="VW89" s="6"/>
      <c r="VX89" s="6"/>
      <c r="VY89" s="6"/>
      <c r="VZ89" s="6"/>
      <c r="WA89" s="6"/>
      <c r="WB89" s="6"/>
      <c r="WC89" s="6"/>
      <c r="WD89" s="6"/>
      <c r="WE89" s="6"/>
      <c r="WF89" s="6"/>
      <c r="WG89" s="6"/>
      <c r="WH89" s="6"/>
      <c r="WI89" s="6"/>
      <c r="WJ89" s="6"/>
      <c r="WK89" s="6"/>
      <c r="WL89" s="6"/>
      <c r="WM89" s="6"/>
      <c r="WN89" s="6"/>
      <c r="WO89" s="6"/>
      <c r="WP89" s="6"/>
      <c r="WQ89" s="6"/>
      <c r="WR89" s="6"/>
      <c r="WS89" s="6"/>
      <c r="WT89" s="6"/>
      <c r="WU89" s="6"/>
      <c r="WV89" s="6"/>
      <c r="WW89" s="6"/>
      <c r="WX89" s="6"/>
      <c r="WY89" s="6"/>
      <c r="WZ89" s="6"/>
      <c r="XA89" s="6"/>
      <c r="XB89" s="6"/>
      <c r="XC89" s="6"/>
      <c r="XD89" s="6"/>
      <c r="XE89" s="6"/>
      <c r="XF89" s="6"/>
      <c r="XG89" s="6"/>
      <c r="XH89" s="6"/>
      <c r="XI89" s="6"/>
      <c r="XJ89" s="6"/>
      <c r="XK89" s="6"/>
      <c r="XL89" s="6"/>
      <c r="XM89" s="6"/>
      <c r="XN89" s="6"/>
      <c r="XO89" s="6"/>
      <c r="XP89" s="6"/>
      <c r="XQ89" s="6"/>
      <c r="XR89" s="6"/>
      <c r="XS89" s="6"/>
      <c r="XT89" s="6"/>
      <c r="XU89" s="6"/>
      <c r="XV89" s="6"/>
      <c r="XW89" s="6"/>
      <c r="XX89" s="6"/>
      <c r="XY89" s="6"/>
      <c r="XZ89" s="6"/>
      <c r="YA89" s="6"/>
      <c r="YB89" s="6"/>
      <c r="YC89" s="6"/>
      <c r="YD89" s="6"/>
      <c r="YE89" s="6"/>
      <c r="YF89" s="6"/>
      <c r="YG89" s="6"/>
      <c r="YH89" s="6"/>
      <c r="YI89" s="6"/>
      <c r="YJ89" s="6"/>
      <c r="YK89" s="6"/>
      <c r="YL89" s="6"/>
      <c r="YM89" s="6"/>
      <c r="YN89" s="6"/>
      <c r="YO89" s="6"/>
      <c r="YP89" s="6"/>
      <c r="YQ89" s="6"/>
      <c r="YR89" s="6"/>
      <c r="YS89" s="6"/>
      <c r="YT89" s="6"/>
      <c r="YU89" s="6"/>
      <c r="YV89" s="6"/>
      <c r="YW89" s="6"/>
      <c r="YX89" s="6"/>
      <c r="YY89" s="6"/>
      <c r="YZ89" s="6"/>
      <c r="ZA89" s="6"/>
      <c r="ZB89" s="6"/>
      <c r="ZC89" s="6"/>
      <c r="ZD89" s="6"/>
      <c r="ZE89" s="6"/>
      <c r="ZF89" s="6"/>
      <c r="ZG89" s="6"/>
      <c r="ZH89" s="6"/>
      <c r="ZI89" s="6"/>
      <c r="ZJ89" s="6"/>
      <c r="ZK89" s="6"/>
      <c r="ZL89" s="6"/>
      <c r="ZM89" s="6"/>
      <c r="ZN89" s="6"/>
      <c r="ZO89" s="6"/>
      <c r="ZP89" s="6"/>
      <c r="ZQ89" s="6"/>
      <c r="ZR89" s="6"/>
      <c r="ZS89" s="6"/>
      <c r="ZT89" s="6"/>
      <c r="ZU89" s="6"/>
      <c r="ZV89" s="6"/>
      <c r="ZW89" s="6"/>
      <c r="ZX89" s="6"/>
      <c r="ZY89" s="6"/>
      <c r="ZZ89" s="6"/>
      <c r="AAA89" s="6"/>
      <c r="AAB89" s="6"/>
      <c r="AAC89" s="6"/>
      <c r="AAD89" s="6"/>
      <c r="AAE89" s="6"/>
      <c r="AAF89" s="6"/>
      <c r="AAG89" s="6"/>
      <c r="AAH89" s="6"/>
      <c r="AAI89" s="6"/>
      <c r="AAJ89" s="6"/>
      <c r="AAK89" s="6"/>
      <c r="AAL89" s="6"/>
      <c r="AAM89" s="6"/>
      <c r="AAN89" s="6"/>
      <c r="AAO89" s="6"/>
      <c r="AAP89" s="6"/>
      <c r="AAQ89" s="6"/>
      <c r="AAR89" s="6"/>
      <c r="AAS89" s="6"/>
      <c r="AAT89" s="6"/>
      <c r="AAU89" s="6"/>
      <c r="AAV89" s="6"/>
      <c r="AAW89" s="6"/>
      <c r="AAX89" s="6"/>
      <c r="AAY89" s="6"/>
      <c r="AAZ89" s="6"/>
      <c r="ABA89" s="6"/>
      <c r="ABB89" s="6"/>
      <c r="ABC89" s="6"/>
      <c r="ABD89" s="6"/>
      <c r="ABE89" s="6"/>
      <c r="ABF89" s="6"/>
      <c r="ABG89" s="6"/>
      <c r="ABH89" s="6"/>
      <c r="ABI89" s="6"/>
      <c r="ABJ89" s="6"/>
      <c r="ABK89" s="6"/>
      <c r="ABL89" s="6"/>
      <c r="ABM89" s="6"/>
      <c r="ABN89" s="6"/>
      <c r="ABO89" s="6"/>
      <c r="ABP89" s="6"/>
      <c r="ABQ89" s="6"/>
      <c r="ABR89" s="6"/>
      <c r="ABS89" s="6"/>
      <c r="ABT89" s="6"/>
      <c r="ABU89" s="6"/>
      <c r="ABV89" s="6"/>
      <c r="ABW89" s="6"/>
      <c r="ABX89" s="6"/>
      <c r="ABY89" s="6"/>
      <c r="ABZ89" s="6"/>
      <c r="ACA89" s="6"/>
      <c r="ACB89" s="6"/>
      <c r="ACC89" s="6"/>
      <c r="ACD89" s="6"/>
      <c r="ACE89" s="6"/>
      <c r="ACF89" s="6"/>
      <c r="ACG89" s="6"/>
      <c r="ACH89" s="6"/>
      <c r="ACI89" s="6"/>
      <c r="ACJ89" s="6"/>
      <c r="ACK89" s="6"/>
      <c r="ACL89" s="6"/>
      <c r="ACM89" s="6"/>
      <c r="ACN89" s="6"/>
      <c r="ACO89" s="6"/>
      <c r="ACP89" s="6"/>
      <c r="ACQ89" s="6"/>
      <c r="ACR89" s="6"/>
      <c r="ACS89" s="6"/>
      <c r="ACT89" s="6"/>
      <c r="ACU89" s="6"/>
      <c r="ACV89" s="6"/>
      <c r="ACW89" s="6"/>
      <c r="ACX89" s="6"/>
      <c r="ACY89" s="6"/>
      <c r="ACZ89" s="6"/>
      <c r="ADA89" s="6"/>
      <c r="ADB89" s="6"/>
      <c r="ADC89" s="6"/>
      <c r="ADD89" s="6"/>
      <c r="ADE89" s="6"/>
      <c r="ADF89" s="6"/>
      <c r="ADG89" s="6"/>
      <c r="ADH89" s="6"/>
      <c r="ADI89" s="6"/>
      <c r="ADJ89" s="6"/>
      <c r="ADK89" s="6"/>
      <c r="ADL89" s="6"/>
      <c r="ADM89" s="6"/>
      <c r="ADN89" s="6"/>
      <c r="ADO89" s="6"/>
      <c r="ADP89" s="6"/>
      <c r="ADQ89" s="6"/>
      <c r="ADR89" s="6"/>
      <c r="ADS89" s="6"/>
      <c r="ADT89" s="6"/>
      <c r="ADU89" s="6"/>
      <c r="ADV89" s="6"/>
      <c r="ADW89" s="6"/>
      <c r="ADX89" s="6"/>
      <c r="ADY89" s="6"/>
      <c r="ADZ89" s="6"/>
      <c r="AEA89" s="6"/>
      <c r="AEB89" s="6"/>
      <c r="AEC89" s="6"/>
      <c r="AED89" s="6"/>
      <c r="AEE89" s="6"/>
      <c r="AEF89" s="6"/>
      <c r="AEG89" s="6"/>
      <c r="AEH89" s="6"/>
      <c r="AEI89" s="6"/>
      <c r="AEJ89" s="6"/>
      <c r="AEK89" s="6"/>
      <c r="AEL89" s="6"/>
      <c r="AEM89" s="6"/>
      <c r="AEN89" s="6"/>
      <c r="AEO89" s="6"/>
      <c r="AEP89" s="6"/>
      <c r="AEQ89" s="6"/>
      <c r="AER89" s="6"/>
      <c r="AES89" s="6"/>
      <c r="AET89" s="6"/>
      <c r="AEU89" s="6"/>
      <c r="AEV89" s="6"/>
      <c r="AEW89" s="6"/>
      <c r="AEX89" s="6"/>
      <c r="AEY89" s="6"/>
      <c r="AEZ89" s="6"/>
      <c r="AFA89" s="6"/>
      <c r="AFB89" s="6"/>
      <c r="AFC89" s="6"/>
      <c r="AFD89" s="6"/>
      <c r="AFE89" s="6"/>
      <c r="AFF89" s="6"/>
      <c r="AFG89" s="6"/>
      <c r="AFH89" s="6"/>
      <c r="AFI89" s="6"/>
      <c r="AFJ89" s="6"/>
      <c r="AFK89" s="6"/>
      <c r="AFL89" s="6"/>
      <c r="AFM89" s="6"/>
      <c r="AFN89" s="6"/>
      <c r="AFO89" s="6"/>
      <c r="AFP89" s="6"/>
      <c r="AFQ89" s="6"/>
      <c r="AFR89" s="6"/>
      <c r="AFS89" s="6"/>
      <c r="AFT89" s="6"/>
      <c r="AFU89" s="6"/>
      <c r="AFV89" s="6"/>
      <c r="AFW89" s="6"/>
      <c r="AFX89" s="6"/>
      <c r="AFY89" s="6"/>
      <c r="AFZ89" s="6"/>
      <c r="AGA89" s="6"/>
      <c r="AGB89" s="6"/>
      <c r="AGC89" s="6"/>
      <c r="AGD89" s="6"/>
      <c r="AGE89" s="6"/>
      <c r="AGF89" s="6"/>
      <c r="AGG89" s="6"/>
      <c r="AGH89" s="6"/>
      <c r="AGI89" s="6"/>
      <c r="AGJ89" s="6"/>
      <c r="AGK89" s="6"/>
      <c r="AGL89" s="6"/>
      <c r="AGM89" s="6"/>
      <c r="AGN89" s="6"/>
      <c r="AGO89" s="6"/>
      <c r="AGP89" s="6"/>
      <c r="AGQ89" s="6"/>
      <c r="AGR89" s="6"/>
      <c r="AGS89" s="6"/>
      <c r="AGT89" s="6"/>
      <c r="AGU89" s="6"/>
      <c r="AGV89" s="6"/>
      <c r="AGW89" s="6"/>
      <c r="AGX89" s="6"/>
      <c r="AGY89" s="6"/>
      <c r="AGZ89" s="6"/>
      <c r="AHA89" s="6"/>
      <c r="AHB89" s="6"/>
      <c r="AHC89" s="6"/>
      <c r="AHD89" s="6"/>
      <c r="AHE89" s="6"/>
      <c r="AHF89" s="6"/>
      <c r="AHG89" s="6"/>
      <c r="AHH89" s="6"/>
      <c r="AHI89" s="6"/>
      <c r="AHJ89" s="6"/>
      <c r="AHK89" s="6"/>
      <c r="AHL89" s="6"/>
      <c r="AHM89" s="6"/>
      <c r="AHN89" s="6"/>
      <c r="AHO89" s="6"/>
      <c r="AHP89" s="6"/>
      <c r="AHQ89" s="6"/>
      <c r="AHR89" s="6"/>
      <c r="AHS89" s="6"/>
      <c r="AHT89" s="6"/>
      <c r="AHU89" s="6"/>
      <c r="AHV89" s="6"/>
      <c r="AHW89" s="6"/>
      <c r="AHX89" s="6"/>
      <c r="AHY89" s="6"/>
      <c r="AHZ89" s="6"/>
      <c r="AIA89" s="6"/>
      <c r="AIB89" s="6"/>
      <c r="AIC89" s="6"/>
      <c r="AID89" s="6"/>
      <c r="AIE89" s="6"/>
      <c r="AIF89" s="6"/>
      <c r="AIG89" s="6"/>
      <c r="AIH89" s="6"/>
      <c r="AII89" s="6"/>
      <c r="AIJ89" s="6"/>
      <c r="AIK89" s="6"/>
      <c r="AIL89" s="6"/>
      <c r="AIM89" s="6"/>
      <c r="AIN89" s="6"/>
      <c r="AIO89" s="6"/>
      <c r="AIP89" s="6"/>
      <c r="AIQ89" s="6"/>
      <c r="AIR89" s="6"/>
      <c r="AIS89" s="6"/>
      <c r="AIT89" s="6"/>
      <c r="AIU89" s="6"/>
      <c r="AIV89" s="6"/>
      <c r="AIW89" s="6"/>
      <c r="AIX89" s="6"/>
      <c r="AIY89" s="6"/>
      <c r="AIZ89" s="6"/>
      <c r="AJA89" s="6"/>
      <c r="AJB89" s="6"/>
      <c r="AJC89" s="6"/>
      <c r="AJD89" s="6"/>
      <c r="AJE89" s="6"/>
      <c r="AJF89" s="6"/>
      <c r="AJG89" s="6"/>
      <c r="AJH89" s="6"/>
      <c r="AJI89" s="6"/>
      <c r="AJJ89" s="6"/>
      <c r="AJK89" s="6"/>
      <c r="AJL89" s="6"/>
      <c r="AJM89" s="6"/>
      <c r="AJN89" s="6"/>
      <c r="AJO89" s="6"/>
      <c r="AJP89" s="6"/>
      <c r="AJQ89" s="6"/>
      <c r="AJR89" s="6"/>
      <c r="AJS89" s="6"/>
      <c r="AJT89" s="6"/>
      <c r="AJU89" s="6"/>
      <c r="AJV89" s="6"/>
      <c r="AJW89" s="6"/>
      <c r="AJX89" s="6"/>
      <c r="AJY89" s="6"/>
      <c r="AJZ89" s="6"/>
      <c r="AKA89" s="6"/>
      <c r="AKB89" s="6"/>
      <c r="AKC89" s="6"/>
      <c r="AKD89" s="6"/>
      <c r="AKE89" s="6"/>
      <c r="AKF89" s="6"/>
      <c r="AKG89" s="6"/>
      <c r="AKH89" s="6"/>
      <c r="AKI89" s="6"/>
      <c r="AKJ89" s="6"/>
      <c r="AKK89" s="6"/>
      <c r="AKL89" s="6"/>
      <c r="AKM89" s="6"/>
      <c r="AKN89" s="6"/>
      <c r="AKO89" s="6"/>
      <c r="AKP89" s="6"/>
      <c r="AKQ89" s="6"/>
      <c r="AKR89" s="6"/>
      <c r="AKS89" s="6"/>
      <c r="AKT89" s="6"/>
      <c r="AKU89" s="6"/>
      <c r="AKV89" s="6"/>
      <c r="AKW89" s="6"/>
      <c r="AKX89" s="6"/>
      <c r="AKY89" s="6"/>
      <c r="AKZ89" s="6"/>
      <c r="ALA89" s="6"/>
      <c r="ALB89" s="6"/>
      <c r="ALC89" s="6"/>
      <c r="ALD89" s="6"/>
      <c r="ALE89" s="6"/>
      <c r="ALF89" s="6"/>
      <c r="ALG89" s="6"/>
      <c r="ALH89" s="6"/>
      <c r="ALI89" s="6"/>
      <c r="ALJ89" s="6"/>
      <c r="ALK89" s="6"/>
      <c r="ALL89" s="6"/>
      <c r="ALM89" s="6"/>
      <c r="ALN89" s="6"/>
      <c r="ALO89" s="6"/>
      <c r="ALP89" s="6"/>
      <c r="ALQ89" s="6"/>
      <c r="ALR89" s="6"/>
      <c r="ALS89" s="6"/>
      <c r="ALT89" s="6"/>
      <c r="ALU89" s="6"/>
      <c r="ALV89" s="6"/>
      <c r="ALW89" s="6"/>
      <c r="ALX89" s="6"/>
      <c r="ALY89" s="6"/>
      <c r="ALZ89" s="6"/>
      <c r="AMA89" s="6"/>
      <c r="AMB89" s="6"/>
      <c r="AMC89" s="6"/>
      <c r="AMD89" s="6"/>
      <c r="AME89" s="6"/>
      <c r="AMF89" s="6"/>
      <c r="AMG89" s="6"/>
      <c r="AMH89" s="6"/>
      <c r="AMI89" s="6"/>
      <c r="AMJ89" s="6"/>
      <c r="AMK89" s="6"/>
      <c r="AML89" s="6"/>
      <c r="AMM89" s="6"/>
      <c r="AMN89" s="6"/>
      <c r="AMO89" s="6"/>
      <c r="AMP89" s="6"/>
      <c r="AMQ89" s="6"/>
      <c r="AMR89" s="6"/>
      <c r="AMS89" s="6"/>
      <c r="AMT89" s="6"/>
      <c r="AMU89" s="6"/>
      <c r="AMV89" s="6"/>
      <c r="AMW89" s="6"/>
      <c r="AMX89" s="6"/>
      <c r="AMY89" s="6"/>
      <c r="AMZ89" s="6"/>
      <c r="ANA89" s="6"/>
      <c r="ANB89" s="6"/>
      <c r="ANC89" s="6"/>
      <c r="AND89" s="6"/>
      <c r="ANE89" s="6"/>
      <c r="ANF89" s="6"/>
      <c r="ANG89" s="6"/>
      <c r="ANH89" s="6"/>
      <c r="ANI89" s="6"/>
      <c r="ANJ89" s="6"/>
      <c r="ANK89" s="6"/>
      <c r="ANL89" s="6"/>
      <c r="ANM89" s="6"/>
      <c r="ANN89" s="6"/>
      <c r="ANO89" s="6"/>
      <c r="ANP89" s="6"/>
      <c r="ANQ89" s="6"/>
      <c r="ANR89" s="6"/>
      <c r="ANS89" s="6"/>
      <c r="ANT89" s="6"/>
      <c r="ANU89" s="6"/>
      <c r="ANV89" s="6"/>
      <c r="ANW89" s="6"/>
      <c r="ANX89" s="6"/>
      <c r="ANY89" s="6"/>
      <c r="ANZ89" s="6"/>
      <c r="AOA89" s="6"/>
      <c r="AOB89" s="6"/>
      <c r="AOC89" s="6"/>
      <c r="AOD89" s="6"/>
      <c r="AOE89" s="6"/>
      <c r="AOF89" s="6"/>
      <c r="AOG89" s="6"/>
      <c r="AOH89" s="6"/>
      <c r="AOI89" s="6"/>
      <c r="AOJ89" s="6"/>
      <c r="AOK89" s="6"/>
      <c r="AOL89" s="6"/>
      <c r="AOM89" s="6"/>
      <c r="AON89" s="6"/>
      <c r="AOO89" s="6"/>
      <c r="AOP89" s="6"/>
      <c r="AOQ89" s="6"/>
      <c r="AOR89" s="6"/>
      <c r="AOS89" s="6"/>
      <c r="AOT89" s="6"/>
      <c r="AOU89" s="6"/>
      <c r="AOV89" s="6"/>
      <c r="AOW89" s="6"/>
      <c r="AOX89" s="6"/>
      <c r="AOY89" s="6"/>
      <c r="AOZ89" s="6"/>
      <c r="APA89" s="6"/>
      <c r="APB89" s="6"/>
      <c r="APC89" s="6"/>
      <c r="APD89" s="6"/>
      <c r="APE89" s="6"/>
      <c r="APF89" s="6"/>
      <c r="APG89" s="6"/>
      <c r="APH89" s="6"/>
      <c r="API89" s="6"/>
      <c r="APJ89" s="6"/>
      <c r="APK89" s="6"/>
      <c r="APL89" s="6"/>
      <c r="APM89" s="6"/>
      <c r="APN89" s="6"/>
      <c r="APO89" s="6"/>
      <c r="APP89" s="6"/>
      <c r="APQ89" s="6"/>
      <c r="APR89" s="6"/>
      <c r="APS89" s="6"/>
      <c r="APT89" s="6"/>
      <c r="APU89" s="6"/>
      <c r="APV89" s="6"/>
      <c r="APW89" s="6"/>
      <c r="APX89" s="6"/>
      <c r="APY89" s="6"/>
      <c r="APZ89" s="6"/>
      <c r="AQA89" s="6"/>
      <c r="AQB89" s="6"/>
      <c r="AQC89" s="6"/>
      <c r="AQD89" s="6"/>
      <c r="AQE89" s="6"/>
      <c r="AQF89" s="6"/>
      <c r="AQG89" s="6"/>
      <c r="AQH89" s="6"/>
      <c r="AQI89" s="6"/>
      <c r="AQJ89" s="6"/>
      <c r="AQK89" s="6"/>
      <c r="AQL89" s="6"/>
      <c r="AQM89" s="6"/>
      <c r="AQN89" s="6"/>
      <c r="AQO89" s="6"/>
      <c r="AQP89" s="6"/>
      <c r="AQQ89" s="6"/>
      <c r="AQR89" s="6"/>
      <c r="AQS89" s="6"/>
      <c r="AQT89" s="6"/>
      <c r="AQU89" s="6"/>
      <c r="AQV89" s="6"/>
      <c r="AQW89" s="6"/>
      <c r="AQX89" s="6"/>
      <c r="AQY89" s="6"/>
      <c r="AQZ89" s="6"/>
      <c r="ARA89" s="6"/>
      <c r="ARB89" s="6"/>
      <c r="ARC89" s="6"/>
      <c r="ARD89" s="6"/>
      <c r="ARE89" s="6"/>
      <c r="ARF89" s="6"/>
      <c r="ARG89" s="6"/>
      <c r="ARH89" s="6"/>
      <c r="ARI89" s="6"/>
      <c r="ARJ89" s="6"/>
      <c r="ARK89" s="6"/>
      <c r="ARL89" s="6"/>
      <c r="ARM89" s="6"/>
      <c r="ARN89" s="6"/>
      <c r="ARO89" s="6"/>
      <c r="ARP89" s="6"/>
      <c r="ARQ89" s="6"/>
      <c r="ARR89" s="6"/>
      <c r="ARS89" s="6"/>
      <c r="ART89" s="6"/>
      <c r="ARU89" s="6"/>
      <c r="ARV89" s="6"/>
      <c r="ARW89" s="6"/>
      <c r="ARX89" s="6"/>
      <c r="ARY89" s="6"/>
      <c r="ARZ89" s="6"/>
      <c r="ASA89" s="6"/>
      <c r="ASB89" s="6"/>
      <c r="ASC89" s="6"/>
      <c r="ASD89" s="6"/>
      <c r="ASE89" s="6"/>
      <c r="ASF89" s="6"/>
      <c r="ASG89" s="6"/>
      <c r="ASH89" s="6"/>
      <c r="ASI89" s="6"/>
      <c r="ASJ89" s="6"/>
      <c r="ASK89" s="6"/>
      <c r="ASL89" s="6"/>
      <c r="ASM89" s="6"/>
      <c r="ASN89" s="6"/>
      <c r="ASO89" s="6"/>
      <c r="ASP89" s="6"/>
      <c r="ASQ89" s="6"/>
      <c r="ASR89" s="6"/>
      <c r="ASS89" s="6"/>
      <c r="AST89" s="6"/>
      <c r="ASU89" s="6"/>
      <c r="ASV89" s="6"/>
      <c r="ASW89" s="6"/>
      <c r="ASX89" s="6"/>
      <c r="ASY89" s="6"/>
      <c r="ASZ89" s="6"/>
      <c r="ATA89" s="6"/>
      <c r="ATB89" s="6"/>
      <c r="ATC89" s="6"/>
      <c r="ATD89" s="6"/>
      <c r="ATE89" s="6"/>
      <c r="ATF89" s="6"/>
      <c r="ATG89" s="6"/>
      <c r="ATH89" s="6"/>
      <c r="ATI89" s="6"/>
      <c r="ATJ89" s="6"/>
      <c r="ATK89" s="6"/>
      <c r="ATL89" s="6"/>
      <c r="ATM89" s="6"/>
      <c r="ATN89" s="6"/>
      <c r="ATO89" s="6"/>
      <c r="ATP89" s="6"/>
      <c r="ATQ89" s="6"/>
      <c r="ATR89" s="6"/>
      <c r="ATS89" s="6"/>
      <c r="ATT89" s="6"/>
      <c r="ATU89" s="6"/>
      <c r="ATV89" s="6"/>
      <c r="ATW89" s="6"/>
      <c r="ATX89" s="6"/>
      <c r="ATY89" s="6"/>
      <c r="ATZ89" s="6"/>
      <c r="AUA89" s="6"/>
      <c r="AUB89" s="6"/>
      <c r="AUC89" s="6"/>
      <c r="AUD89" s="6"/>
      <c r="AUE89" s="6"/>
      <c r="AUF89" s="6"/>
      <c r="AUG89" s="6"/>
      <c r="AUH89" s="6"/>
      <c r="AUI89" s="6"/>
      <c r="AUJ89" s="6"/>
      <c r="AUK89" s="6"/>
      <c r="AUL89" s="6"/>
      <c r="AUM89" s="6"/>
      <c r="AUN89" s="6"/>
      <c r="AUO89" s="6"/>
      <c r="AUP89" s="6"/>
      <c r="AUQ89" s="6"/>
      <c r="AUR89" s="6"/>
      <c r="AUS89" s="6"/>
      <c r="AUT89" s="6"/>
      <c r="AUU89" s="6"/>
      <c r="AUV89" s="6"/>
      <c r="AUW89" s="6"/>
      <c r="AUX89" s="6"/>
      <c r="AUY89" s="6"/>
      <c r="AUZ89" s="6"/>
      <c r="AVA89" s="6"/>
      <c r="AVB89" s="6"/>
      <c r="AVC89" s="6"/>
      <c r="AVD89" s="6"/>
      <c r="AVE89" s="6"/>
      <c r="AVF89" s="6"/>
      <c r="AVG89" s="6"/>
      <c r="AVH89" s="6"/>
      <c r="AVI89" s="6"/>
      <c r="AVJ89" s="6"/>
      <c r="AVK89" s="6"/>
      <c r="AVL89" s="6"/>
      <c r="AVM89" s="6"/>
      <c r="AVN89" s="6"/>
      <c r="AVO89" s="6"/>
      <c r="AVP89" s="6"/>
      <c r="AVQ89" s="6"/>
      <c r="AVR89" s="6"/>
      <c r="AVS89" s="6"/>
      <c r="AVT89" s="6"/>
      <c r="AVU89" s="6"/>
      <c r="AVV89" s="6"/>
      <c r="AVW89" s="6"/>
      <c r="AVX89" s="6"/>
      <c r="AVY89" s="6"/>
      <c r="AVZ89" s="6"/>
      <c r="AWA89" s="6"/>
      <c r="AWB89" s="6"/>
      <c r="AWC89" s="6"/>
      <c r="AWD89" s="6"/>
      <c r="AWE89" s="6"/>
      <c r="AWF89" s="6"/>
      <c r="AWG89" s="6"/>
      <c r="AWH89" s="6"/>
      <c r="AWI89" s="6"/>
      <c r="AWJ89" s="6"/>
      <c r="AWK89" s="6"/>
      <c r="AWL89" s="6"/>
      <c r="AWM89" s="6"/>
      <c r="AWN89" s="6"/>
      <c r="AWO89" s="6"/>
      <c r="AWP89" s="6"/>
      <c r="AWQ89" s="6"/>
      <c r="AWR89" s="6"/>
      <c r="AWS89" s="6"/>
      <c r="AWT89" s="6"/>
      <c r="AWU89" s="6"/>
      <c r="AWV89" s="6"/>
      <c r="AWW89" s="6"/>
      <c r="AWX89" s="6"/>
      <c r="AWY89" s="6"/>
      <c r="AWZ89" s="6"/>
      <c r="AXA89" s="6"/>
      <c r="AXB89" s="6"/>
      <c r="AXC89" s="6"/>
      <c r="AXD89" s="6"/>
      <c r="AXE89" s="6"/>
      <c r="AXF89" s="6"/>
      <c r="AXG89" s="6"/>
      <c r="AXH89" s="6"/>
      <c r="AXI89" s="6"/>
      <c r="AXJ89" s="6"/>
      <c r="AXK89" s="6"/>
      <c r="AXL89" s="6"/>
      <c r="AXM89" s="6"/>
      <c r="AXN89" s="6"/>
      <c r="AXO89" s="6"/>
      <c r="AXP89" s="6"/>
      <c r="AXQ89" s="6"/>
      <c r="AXR89" s="6"/>
      <c r="AXS89" s="6"/>
      <c r="AXT89" s="6"/>
      <c r="AXU89" s="6"/>
      <c r="AXV89" s="6"/>
      <c r="AXW89" s="6"/>
      <c r="AXX89" s="6"/>
      <c r="AXY89" s="6"/>
      <c r="AXZ89" s="6"/>
      <c r="AYA89" s="6"/>
      <c r="AYB89" s="6"/>
      <c r="AYC89" s="6"/>
      <c r="AYD89" s="6"/>
      <c r="AYE89" s="6"/>
      <c r="AYF89" s="6"/>
      <c r="AYG89" s="6"/>
      <c r="AYH89" s="6"/>
      <c r="AYI89" s="6"/>
      <c r="AYJ89" s="6"/>
      <c r="AYK89" s="6"/>
      <c r="AYL89" s="6"/>
      <c r="AYM89" s="6"/>
      <c r="AYN89" s="6"/>
      <c r="AYO89" s="6"/>
      <c r="AYP89" s="6"/>
      <c r="AYQ89" s="6"/>
      <c r="AYR89" s="6"/>
      <c r="AYS89" s="6"/>
      <c r="AYT89" s="6"/>
      <c r="AYU89" s="6"/>
      <c r="AYV89" s="6"/>
      <c r="AYW89" s="6"/>
      <c r="AYX89" s="6"/>
      <c r="AYY89" s="6"/>
      <c r="AYZ89" s="6"/>
      <c r="AZA89" s="6"/>
      <c r="AZB89" s="6"/>
      <c r="AZC89" s="6"/>
      <c r="AZD89" s="6"/>
      <c r="AZE89" s="6"/>
      <c r="AZF89" s="6"/>
      <c r="AZG89" s="6"/>
      <c r="AZH89" s="6"/>
      <c r="AZI89" s="6"/>
      <c r="AZJ89" s="6"/>
      <c r="AZK89" s="6"/>
      <c r="AZL89" s="6"/>
      <c r="AZM89" s="6"/>
      <c r="AZN89" s="6"/>
      <c r="AZO89" s="6"/>
      <c r="AZP89" s="6"/>
      <c r="AZQ89" s="6"/>
      <c r="AZR89" s="6"/>
      <c r="AZS89" s="6"/>
      <c r="AZT89" s="6"/>
      <c r="AZU89" s="6"/>
      <c r="AZV89" s="6"/>
      <c r="AZW89" s="6"/>
      <c r="AZX89" s="6"/>
      <c r="AZY89" s="6"/>
      <c r="AZZ89" s="6"/>
      <c r="BAA89" s="6"/>
      <c r="BAB89" s="6"/>
      <c r="BAC89" s="6"/>
      <c r="BAD89" s="6"/>
      <c r="BAE89" s="6"/>
      <c r="BAF89" s="6"/>
      <c r="BAG89" s="6"/>
      <c r="BAH89" s="6"/>
      <c r="BAI89" s="6"/>
      <c r="BAJ89" s="6"/>
      <c r="BAK89" s="6"/>
      <c r="BAL89" s="6"/>
      <c r="BAM89" s="6"/>
      <c r="BAN89" s="6"/>
      <c r="BAO89" s="6"/>
      <c r="BAP89" s="6"/>
      <c r="BAQ89" s="6"/>
      <c r="BAR89" s="6"/>
      <c r="BAS89" s="6"/>
      <c r="BAT89" s="6"/>
      <c r="BAU89" s="6"/>
      <c r="BAV89" s="6"/>
      <c r="BAW89" s="6"/>
      <c r="BAX89" s="6"/>
      <c r="BAY89" s="6"/>
      <c r="BAZ89" s="6"/>
      <c r="BBA89" s="6"/>
      <c r="BBB89" s="6"/>
      <c r="BBC89" s="6"/>
      <c r="BBD89" s="6"/>
      <c r="BBE89" s="6"/>
      <c r="BBF89" s="6"/>
      <c r="BBG89" s="6"/>
      <c r="BBH89" s="6"/>
      <c r="BBI89" s="6"/>
      <c r="BBJ89" s="6"/>
      <c r="BBK89" s="6"/>
      <c r="BBL89" s="6"/>
      <c r="BBM89" s="6"/>
      <c r="BBN89" s="6"/>
      <c r="BBO89" s="6"/>
      <c r="BBP89" s="6"/>
      <c r="BBQ89" s="6"/>
      <c r="BBR89" s="6"/>
      <c r="BBS89" s="6"/>
      <c r="BBT89" s="6"/>
      <c r="BBU89" s="6"/>
      <c r="BBV89" s="6"/>
      <c r="BBW89" s="6"/>
      <c r="BBX89" s="6"/>
      <c r="BBY89" s="6"/>
      <c r="BBZ89" s="6"/>
      <c r="BCA89" s="6"/>
      <c r="BCB89" s="6"/>
      <c r="BCC89" s="6"/>
      <c r="BCD89" s="6"/>
      <c r="BCE89" s="6"/>
      <c r="BCF89" s="6"/>
      <c r="BCG89" s="6"/>
      <c r="BCH89" s="6"/>
      <c r="BCI89" s="6"/>
      <c r="BCJ89" s="6"/>
      <c r="BCK89" s="6"/>
      <c r="BCL89" s="6"/>
      <c r="BCM89" s="6"/>
      <c r="BCN89" s="6"/>
      <c r="BCO89" s="6"/>
      <c r="BCP89" s="6"/>
      <c r="BCQ89" s="6"/>
      <c r="BCR89" s="6"/>
      <c r="BCS89" s="6"/>
      <c r="BCT89" s="6"/>
      <c r="BCU89" s="6"/>
      <c r="BCV89" s="6"/>
      <c r="BCW89" s="6"/>
      <c r="BCX89" s="6"/>
      <c r="BCY89" s="6"/>
      <c r="BCZ89" s="6"/>
      <c r="BDA89" s="6"/>
      <c r="BDB89" s="6"/>
      <c r="BDC89" s="6"/>
      <c r="BDD89" s="6"/>
      <c r="BDE89" s="6"/>
      <c r="BDF89" s="6"/>
      <c r="BDG89" s="6"/>
      <c r="BDH89" s="6"/>
      <c r="BDI89" s="6"/>
      <c r="BDJ89" s="6"/>
      <c r="BDK89" s="6"/>
      <c r="BDL89" s="6"/>
      <c r="BDM89" s="6"/>
      <c r="BDN89" s="6"/>
      <c r="BDO89" s="6"/>
      <c r="BDP89" s="6"/>
      <c r="BDQ89" s="6"/>
      <c r="BDR89" s="6"/>
      <c r="BDS89" s="6"/>
      <c r="BDT89" s="6"/>
      <c r="BDU89" s="6"/>
      <c r="BDV89" s="6"/>
      <c r="BDW89" s="6"/>
      <c r="BDX89" s="6"/>
      <c r="BDY89" s="6"/>
      <c r="BDZ89" s="6"/>
      <c r="BEA89" s="6"/>
      <c r="BEB89" s="6"/>
      <c r="BEC89" s="6"/>
      <c r="BED89" s="6"/>
      <c r="BEE89" s="6"/>
      <c r="BEF89" s="6"/>
      <c r="BEG89" s="6"/>
      <c r="BEH89" s="6"/>
      <c r="BEI89" s="6"/>
      <c r="BEJ89" s="6"/>
      <c r="BEK89" s="6"/>
      <c r="BEL89" s="6"/>
      <c r="BEM89" s="6"/>
      <c r="BEN89" s="6"/>
      <c r="BEO89" s="6"/>
      <c r="BEP89" s="6"/>
      <c r="BEQ89" s="6"/>
      <c r="BER89" s="6"/>
      <c r="BES89" s="6"/>
      <c r="BET89" s="6"/>
      <c r="BEU89" s="6"/>
      <c r="BEV89" s="6"/>
      <c r="BEW89" s="6"/>
      <c r="BEX89" s="6"/>
      <c r="BEY89" s="6"/>
      <c r="BEZ89" s="6"/>
      <c r="BFA89" s="6"/>
      <c r="BFB89" s="6"/>
      <c r="BFC89" s="6"/>
      <c r="BFD89" s="6"/>
      <c r="BFE89" s="6"/>
      <c r="BFF89" s="6"/>
      <c r="BFG89" s="6"/>
      <c r="BFH89" s="6"/>
      <c r="BFI89" s="6"/>
      <c r="BFJ89" s="6"/>
      <c r="BFK89" s="6"/>
      <c r="BFL89" s="6"/>
      <c r="BFM89" s="6"/>
      <c r="BFN89" s="6"/>
      <c r="BFO89" s="6"/>
      <c r="BFP89" s="6"/>
      <c r="BFQ89" s="6"/>
      <c r="BFR89" s="6"/>
      <c r="BFS89" s="6"/>
      <c r="BFT89" s="6"/>
      <c r="BFU89" s="6"/>
      <c r="BFV89" s="6"/>
      <c r="BFW89" s="6"/>
      <c r="BFX89" s="6"/>
      <c r="BFY89" s="6"/>
      <c r="BFZ89" s="6"/>
      <c r="BGA89" s="6"/>
      <c r="BGB89" s="6"/>
      <c r="BGC89" s="6"/>
      <c r="BGD89" s="6"/>
      <c r="BGE89" s="6"/>
      <c r="BGF89" s="6"/>
      <c r="BGG89" s="6"/>
      <c r="BGH89" s="6"/>
      <c r="BGI89" s="6"/>
      <c r="BGJ89" s="6"/>
      <c r="BGK89" s="6"/>
      <c r="BGL89" s="6"/>
      <c r="BGM89" s="6"/>
      <c r="BGN89" s="6"/>
      <c r="BGO89" s="6"/>
      <c r="BGP89" s="6"/>
      <c r="BGQ89" s="6"/>
      <c r="BGR89" s="6"/>
      <c r="BGS89" s="6"/>
      <c r="BGT89" s="6"/>
      <c r="BGU89" s="6"/>
      <c r="BGV89" s="6"/>
      <c r="BGW89" s="6"/>
      <c r="BGX89" s="6"/>
      <c r="BGY89" s="6"/>
      <c r="BGZ89" s="6"/>
      <c r="BHA89" s="6"/>
      <c r="BHB89" s="6"/>
      <c r="BHC89" s="6"/>
      <c r="BHD89" s="6"/>
      <c r="BHE89" s="6"/>
      <c r="BHF89" s="6"/>
      <c r="BHG89" s="6"/>
      <c r="BHH89" s="6"/>
      <c r="BHI89" s="6"/>
      <c r="BHJ89" s="6"/>
      <c r="BHK89" s="6"/>
      <c r="BHL89" s="6"/>
      <c r="BHM89" s="6"/>
      <c r="BHN89" s="6"/>
      <c r="BHO89" s="6"/>
      <c r="BHP89" s="6"/>
      <c r="BHQ89" s="6"/>
      <c r="BHR89" s="6"/>
      <c r="BHS89" s="6"/>
      <c r="BHT89" s="6"/>
      <c r="BHU89" s="6"/>
      <c r="BHV89" s="6"/>
      <c r="BHW89" s="6"/>
      <c r="BHX89" s="6"/>
      <c r="BHY89" s="6"/>
      <c r="BHZ89" s="6"/>
      <c r="BIA89" s="6"/>
      <c r="BIB89" s="6"/>
      <c r="BIC89" s="6"/>
      <c r="BID89" s="6"/>
      <c r="BIE89" s="6"/>
      <c r="BIF89" s="6"/>
      <c r="BIG89" s="6"/>
      <c r="BIH89" s="6"/>
      <c r="BII89" s="6"/>
      <c r="BIJ89" s="6"/>
      <c r="BIK89" s="6"/>
      <c r="BIL89" s="6"/>
      <c r="BIM89" s="6"/>
      <c r="BIN89" s="6"/>
      <c r="BIO89" s="6"/>
      <c r="BIP89" s="6"/>
      <c r="BIQ89" s="6"/>
      <c r="BIR89" s="6"/>
      <c r="BIS89" s="6"/>
      <c r="BIT89" s="6"/>
      <c r="BIU89" s="6"/>
      <c r="BIV89" s="6"/>
      <c r="BIW89" s="6"/>
      <c r="BIX89" s="6"/>
      <c r="BIY89" s="6"/>
      <c r="BIZ89" s="6"/>
      <c r="BJA89" s="6"/>
      <c r="BJB89" s="6"/>
      <c r="BJC89" s="6"/>
      <c r="BJD89" s="6"/>
      <c r="BJE89" s="6"/>
      <c r="BJF89" s="6"/>
      <c r="BJG89" s="6"/>
      <c r="BJH89" s="6"/>
      <c r="BJI89" s="6"/>
      <c r="BJJ89" s="6"/>
      <c r="BJK89" s="6"/>
      <c r="BJL89" s="6"/>
      <c r="BJM89" s="6"/>
      <c r="BJN89" s="6"/>
      <c r="BJO89" s="6"/>
      <c r="BJP89" s="6"/>
      <c r="BJQ89" s="6"/>
      <c r="BJR89" s="6"/>
      <c r="BJS89" s="6"/>
      <c r="BJT89" s="6"/>
      <c r="BJU89" s="6"/>
      <c r="BJV89" s="6"/>
      <c r="BJW89" s="6"/>
      <c r="BJX89" s="6"/>
      <c r="BJY89" s="6"/>
      <c r="BJZ89" s="6"/>
      <c r="BKA89" s="6"/>
      <c r="BKB89" s="6"/>
      <c r="BKC89" s="6"/>
      <c r="BKD89" s="6"/>
      <c r="BKE89" s="6"/>
      <c r="BKF89" s="6"/>
      <c r="BKG89" s="6"/>
      <c r="BKH89" s="6"/>
      <c r="BKI89" s="6"/>
      <c r="BKJ89" s="6"/>
      <c r="BKK89" s="6"/>
      <c r="BKL89" s="6"/>
      <c r="BKM89" s="6"/>
      <c r="BKN89" s="6"/>
      <c r="BKO89" s="6"/>
      <c r="BKP89" s="6"/>
      <c r="BKQ89" s="6"/>
      <c r="BKR89" s="6"/>
      <c r="BKS89" s="6"/>
      <c r="BKT89" s="6"/>
      <c r="BKU89" s="6"/>
      <c r="BKV89" s="6"/>
      <c r="BKW89" s="6"/>
      <c r="BKX89" s="6"/>
      <c r="BKY89" s="6"/>
      <c r="BKZ89" s="6"/>
      <c r="BLA89" s="6"/>
      <c r="BLB89" s="6"/>
      <c r="BLC89" s="6"/>
      <c r="BLD89" s="6"/>
      <c r="BLE89" s="6"/>
      <c r="BLF89" s="6"/>
      <c r="BLG89" s="6"/>
      <c r="BLH89" s="6"/>
      <c r="BLI89" s="6"/>
      <c r="BLJ89" s="6"/>
      <c r="BLK89" s="6"/>
      <c r="BLL89" s="6"/>
      <c r="BLM89" s="6"/>
      <c r="BLN89" s="6"/>
      <c r="BLO89" s="6"/>
      <c r="BLP89" s="6"/>
      <c r="BLQ89" s="6"/>
      <c r="BLR89" s="6"/>
      <c r="BLS89" s="6"/>
      <c r="BLT89" s="6"/>
      <c r="BLU89" s="6"/>
      <c r="BLV89" s="6"/>
      <c r="BLW89" s="6"/>
      <c r="BLX89" s="6"/>
      <c r="BLY89" s="6"/>
      <c r="BLZ89" s="6"/>
      <c r="BMA89" s="6"/>
      <c r="BMB89" s="6"/>
      <c r="BMC89" s="6"/>
      <c r="BMD89" s="6"/>
      <c r="BME89" s="6"/>
      <c r="BMF89" s="6"/>
      <c r="BMG89" s="6"/>
      <c r="BMH89" s="6"/>
      <c r="BMI89" s="6"/>
      <c r="BMJ89" s="6"/>
      <c r="BMK89" s="6"/>
      <c r="BML89" s="6"/>
      <c r="BMM89" s="6"/>
      <c r="BMN89" s="6"/>
      <c r="BMO89" s="6"/>
      <c r="BMP89" s="6"/>
      <c r="BMQ89" s="6"/>
      <c r="BMR89" s="6"/>
      <c r="BMS89" s="6"/>
      <c r="BMT89" s="6"/>
      <c r="BMU89" s="6"/>
      <c r="BMV89" s="6"/>
      <c r="BMW89" s="6"/>
      <c r="BMX89" s="6"/>
      <c r="BMY89" s="6"/>
      <c r="BMZ89" s="6"/>
      <c r="BNA89" s="6"/>
      <c r="BNB89" s="6"/>
      <c r="BNC89" s="6"/>
      <c r="BND89" s="6"/>
      <c r="BNE89" s="6"/>
      <c r="BNF89" s="6"/>
      <c r="BNG89" s="6"/>
      <c r="BNH89" s="6"/>
      <c r="BNI89" s="6"/>
      <c r="BNJ89" s="6"/>
      <c r="BNK89" s="6"/>
      <c r="BNL89" s="6"/>
      <c r="BNM89" s="6"/>
      <c r="BNN89" s="6"/>
      <c r="BNO89" s="6"/>
      <c r="BNP89" s="6"/>
      <c r="BNQ89" s="6"/>
      <c r="BNR89" s="6"/>
      <c r="BNS89" s="6"/>
      <c r="BNT89" s="6"/>
      <c r="BNU89" s="6"/>
      <c r="BNV89" s="6"/>
      <c r="BNW89" s="6"/>
      <c r="BNX89" s="6"/>
      <c r="BNY89" s="6"/>
      <c r="BNZ89" s="6"/>
      <c r="BOA89" s="6"/>
      <c r="BOB89" s="6"/>
      <c r="BOC89" s="6"/>
      <c r="BOD89" s="6"/>
      <c r="BOE89" s="6"/>
      <c r="BOF89" s="6"/>
      <c r="BOG89" s="6"/>
      <c r="BOH89" s="6"/>
      <c r="BOI89" s="6"/>
      <c r="BOJ89" s="6"/>
      <c r="BOK89" s="6"/>
      <c r="BOL89" s="6"/>
      <c r="BOM89" s="6"/>
      <c r="BON89" s="6"/>
      <c r="BOO89" s="6"/>
      <c r="BOP89" s="6"/>
      <c r="BOQ89" s="6"/>
      <c r="BOR89" s="6"/>
      <c r="BOS89" s="6"/>
      <c r="BOT89" s="6"/>
      <c r="BOU89" s="6"/>
      <c r="BOV89" s="6"/>
      <c r="BOW89" s="6"/>
      <c r="BOX89" s="6"/>
      <c r="BOY89" s="6"/>
      <c r="BOZ89" s="6"/>
      <c r="BPA89" s="6"/>
      <c r="BPB89" s="6"/>
      <c r="BPC89" s="6"/>
      <c r="BPD89" s="6"/>
      <c r="BPE89" s="6"/>
      <c r="BPF89" s="6"/>
      <c r="BPG89" s="6"/>
      <c r="BPH89" s="6"/>
      <c r="BPI89" s="6"/>
      <c r="BPJ89" s="6"/>
      <c r="BPK89" s="6"/>
      <c r="BPL89" s="6"/>
      <c r="BPM89" s="6"/>
      <c r="BPN89" s="6"/>
      <c r="BPO89" s="6"/>
      <c r="BPP89" s="6"/>
      <c r="BPQ89" s="6"/>
      <c r="BPR89" s="6"/>
      <c r="BPS89" s="6"/>
      <c r="BPT89" s="6"/>
      <c r="BPU89" s="6"/>
      <c r="BPV89" s="6"/>
      <c r="BPW89" s="6"/>
      <c r="BPX89" s="6"/>
      <c r="BPY89" s="6"/>
      <c r="BPZ89" s="6"/>
      <c r="BQA89" s="6"/>
      <c r="BQB89" s="6"/>
      <c r="BQC89" s="6"/>
      <c r="BQD89" s="6"/>
      <c r="BQE89" s="6"/>
      <c r="BQF89" s="6"/>
      <c r="BQG89" s="6"/>
      <c r="BQH89" s="6"/>
      <c r="BQI89" s="6"/>
      <c r="BQJ89" s="6"/>
      <c r="BQK89" s="6"/>
      <c r="BQL89" s="6"/>
      <c r="BQM89" s="6"/>
      <c r="BQN89" s="6"/>
      <c r="BQO89" s="6"/>
      <c r="BQP89" s="6"/>
      <c r="BQQ89" s="6"/>
      <c r="BQR89" s="6"/>
      <c r="BQS89" s="6"/>
      <c r="BQT89" s="6"/>
      <c r="BQU89" s="6"/>
      <c r="BQV89" s="6"/>
      <c r="BQW89" s="6"/>
      <c r="BQX89" s="6"/>
      <c r="BQY89" s="6"/>
      <c r="BQZ89" s="6"/>
      <c r="BRA89" s="6"/>
      <c r="BRB89" s="6"/>
      <c r="BRC89" s="6"/>
      <c r="BRD89" s="6"/>
      <c r="BRE89" s="6"/>
      <c r="BRF89" s="6"/>
      <c r="BRG89" s="6"/>
      <c r="BRH89" s="6"/>
      <c r="BRI89" s="6"/>
      <c r="BRJ89" s="6"/>
      <c r="BRK89" s="6"/>
      <c r="BRL89" s="6"/>
      <c r="BRM89" s="6"/>
      <c r="BRN89" s="6"/>
      <c r="BRO89" s="6"/>
      <c r="BRP89" s="6"/>
      <c r="BRQ89" s="6"/>
      <c r="BRR89" s="6"/>
      <c r="BRS89" s="6"/>
      <c r="BRT89" s="6"/>
      <c r="BRU89" s="6"/>
      <c r="BRV89" s="6"/>
      <c r="BRW89" s="6"/>
      <c r="BRX89" s="6"/>
      <c r="BRY89" s="6"/>
      <c r="BRZ89" s="6"/>
      <c r="BSA89" s="6"/>
      <c r="BSB89" s="6"/>
      <c r="BSC89" s="6"/>
      <c r="BSD89" s="6"/>
      <c r="BSE89" s="6"/>
      <c r="BSF89" s="6"/>
      <c r="BSG89" s="6"/>
      <c r="BSH89" s="6"/>
      <c r="BSI89" s="6"/>
      <c r="BSJ89" s="6"/>
      <c r="BSK89" s="6"/>
      <c r="BSL89" s="6"/>
      <c r="BSM89" s="6"/>
      <c r="BSN89" s="6"/>
      <c r="BSO89" s="6"/>
      <c r="BSP89" s="6"/>
      <c r="BSQ89" s="6"/>
      <c r="BSR89" s="6"/>
      <c r="BSS89" s="6"/>
      <c r="BST89" s="6"/>
      <c r="BSU89" s="6"/>
      <c r="BSV89" s="6"/>
      <c r="BSW89" s="6"/>
      <c r="BSX89" s="6"/>
      <c r="BSY89" s="6"/>
      <c r="BSZ89" s="6"/>
      <c r="BTA89" s="6"/>
      <c r="BTB89" s="6"/>
      <c r="BTC89" s="6"/>
      <c r="BTD89" s="6"/>
      <c r="BTE89" s="6"/>
      <c r="BTF89" s="6"/>
      <c r="BTG89" s="6"/>
      <c r="BTH89" s="6"/>
      <c r="BTI89" s="6"/>
      <c r="BTJ89" s="6"/>
      <c r="BTK89" s="6"/>
      <c r="BTL89" s="6"/>
      <c r="BTM89" s="6"/>
      <c r="BTN89" s="6"/>
      <c r="BTO89" s="6"/>
      <c r="BTP89" s="6"/>
      <c r="BTQ89" s="6"/>
      <c r="BTR89" s="6"/>
      <c r="BTS89" s="6"/>
      <c r="BTT89" s="6"/>
      <c r="BTU89" s="6"/>
      <c r="BTV89" s="6"/>
      <c r="BTW89" s="6"/>
      <c r="BTX89" s="6"/>
      <c r="BTY89" s="6"/>
      <c r="BTZ89" s="6"/>
      <c r="BUA89" s="6"/>
      <c r="BUB89" s="6"/>
      <c r="BUC89" s="6"/>
      <c r="BUD89" s="6"/>
      <c r="BUE89" s="6"/>
      <c r="BUF89" s="6"/>
      <c r="BUG89" s="6"/>
      <c r="BUH89" s="6"/>
      <c r="BUI89" s="6"/>
      <c r="BUJ89" s="6"/>
      <c r="BUK89" s="6"/>
      <c r="BUL89" s="6"/>
      <c r="BUM89" s="6"/>
      <c r="BUN89" s="6"/>
      <c r="BUO89" s="6"/>
      <c r="BUP89" s="6"/>
      <c r="BUQ89" s="6"/>
      <c r="BUR89" s="6"/>
      <c r="BUS89" s="6"/>
      <c r="BUT89" s="6"/>
      <c r="BUU89" s="6"/>
      <c r="BUV89" s="6"/>
      <c r="BUW89" s="6"/>
      <c r="BUX89" s="6"/>
      <c r="BUY89" s="6"/>
      <c r="BUZ89" s="6"/>
      <c r="BVA89" s="6"/>
      <c r="BVB89" s="6"/>
      <c r="BVC89" s="6"/>
      <c r="BVD89" s="6"/>
      <c r="BVE89" s="6"/>
      <c r="BVF89" s="6"/>
      <c r="BVG89" s="6"/>
      <c r="BVH89" s="6"/>
      <c r="BVI89" s="6"/>
      <c r="BVJ89" s="6"/>
      <c r="BVK89" s="6"/>
      <c r="BVL89" s="6"/>
      <c r="BVM89" s="6"/>
      <c r="BVN89" s="6"/>
      <c r="BVO89" s="6"/>
      <c r="BVP89" s="6"/>
      <c r="BVQ89" s="6"/>
      <c r="BVR89" s="6"/>
      <c r="BVS89" s="6"/>
      <c r="BVT89" s="6"/>
      <c r="BVU89" s="6"/>
      <c r="BVV89" s="6"/>
      <c r="BVW89" s="6"/>
      <c r="BVX89" s="6"/>
      <c r="BVY89" s="6"/>
      <c r="BVZ89" s="6"/>
      <c r="BWA89" s="6"/>
      <c r="BWB89" s="6"/>
      <c r="BWC89" s="6"/>
      <c r="BWD89" s="6"/>
      <c r="BWE89" s="6"/>
      <c r="BWF89" s="6"/>
      <c r="BWG89" s="6"/>
      <c r="BWH89" s="6"/>
      <c r="BWI89" s="6"/>
      <c r="BWJ89" s="6"/>
      <c r="BWK89" s="6"/>
      <c r="BWL89" s="6"/>
      <c r="BWM89" s="6"/>
      <c r="BWN89" s="6"/>
      <c r="BWO89" s="6"/>
      <c r="BWP89" s="6"/>
      <c r="BWQ89" s="6"/>
      <c r="BWR89" s="6"/>
      <c r="BWS89" s="6"/>
      <c r="BWT89" s="6"/>
      <c r="BWU89" s="6"/>
      <c r="BWV89" s="6"/>
      <c r="BWW89" s="6"/>
      <c r="BWX89" s="6"/>
      <c r="BWY89" s="6"/>
      <c r="BWZ89" s="6"/>
      <c r="BXA89" s="6"/>
      <c r="BXB89" s="6"/>
      <c r="BXC89" s="6"/>
      <c r="BXD89" s="6"/>
      <c r="BXE89" s="6"/>
      <c r="BXF89" s="6"/>
      <c r="BXG89" s="6"/>
      <c r="BXH89" s="6"/>
      <c r="BXI89" s="6"/>
      <c r="BXJ89" s="6"/>
      <c r="BXK89" s="6"/>
      <c r="BXL89" s="6"/>
      <c r="BXM89" s="6"/>
      <c r="BXN89" s="6"/>
      <c r="BXO89" s="6"/>
      <c r="BXP89" s="6"/>
      <c r="BXQ89" s="6"/>
      <c r="BXR89" s="6"/>
      <c r="BXS89" s="6"/>
      <c r="BXT89" s="6"/>
      <c r="BXU89" s="6"/>
      <c r="BXV89" s="6"/>
      <c r="BXW89" s="6"/>
      <c r="BXX89" s="6"/>
      <c r="BXY89" s="6"/>
      <c r="BXZ89" s="6"/>
      <c r="BYA89" s="6"/>
      <c r="BYB89" s="6"/>
      <c r="BYC89" s="6"/>
      <c r="BYD89" s="6"/>
      <c r="BYE89" s="6"/>
      <c r="BYF89" s="6"/>
      <c r="BYG89" s="6"/>
      <c r="BYH89" s="6"/>
      <c r="BYI89" s="6"/>
      <c r="BYJ89" s="6"/>
      <c r="BYK89" s="6"/>
      <c r="BYL89" s="6"/>
      <c r="BYM89" s="6"/>
      <c r="BYN89" s="6"/>
      <c r="BYO89" s="6"/>
      <c r="BYP89" s="6"/>
      <c r="BYQ89" s="6"/>
      <c r="BYR89" s="6"/>
      <c r="BYS89" s="6"/>
      <c r="BYT89" s="6"/>
      <c r="BYU89" s="6"/>
      <c r="BYV89" s="6"/>
      <c r="BYW89" s="6"/>
      <c r="BYX89" s="6"/>
      <c r="BYY89" s="6"/>
      <c r="BYZ89" s="6"/>
      <c r="BZA89" s="6"/>
      <c r="BZB89" s="6"/>
      <c r="BZC89" s="6"/>
      <c r="BZD89" s="6"/>
      <c r="BZE89" s="6"/>
      <c r="BZF89" s="6"/>
      <c r="BZG89" s="6"/>
      <c r="BZH89" s="6"/>
      <c r="BZI89" s="6"/>
      <c r="BZJ89" s="6"/>
      <c r="BZK89" s="6"/>
      <c r="BZL89" s="6"/>
      <c r="BZM89" s="6"/>
      <c r="BZN89" s="6"/>
      <c r="BZO89" s="6"/>
      <c r="BZP89" s="6"/>
      <c r="BZQ89" s="6"/>
      <c r="BZR89" s="6"/>
      <c r="BZS89" s="6"/>
      <c r="BZT89" s="6"/>
      <c r="BZU89" s="6"/>
      <c r="BZV89" s="6"/>
      <c r="BZW89" s="6"/>
      <c r="BZX89" s="6"/>
      <c r="BZY89" s="6"/>
      <c r="BZZ89" s="6"/>
      <c r="CAA89" s="6"/>
      <c r="CAB89" s="6"/>
      <c r="CAC89" s="6"/>
      <c r="CAD89" s="6"/>
      <c r="CAE89" s="6"/>
      <c r="CAF89" s="6"/>
      <c r="CAG89" s="6"/>
      <c r="CAH89" s="6"/>
      <c r="CAI89" s="6"/>
      <c r="CAJ89" s="6"/>
      <c r="CAK89" s="6"/>
      <c r="CAL89" s="6"/>
      <c r="CAM89" s="6"/>
      <c r="CAN89" s="6"/>
      <c r="CAO89" s="6"/>
      <c r="CAP89" s="6"/>
      <c r="CAQ89" s="6"/>
      <c r="CAR89" s="6"/>
      <c r="CAS89" s="6"/>
      <c r="CAT89" s="6"/>
      <c r="CAU89" s="6"/>
      <c r="CAV89" s="6"/>
      <c r="CAW89" s="6"/>
      <c r="CAX89" s="6"/>
      <c r="CAY89" s="6"/>
      <c r="CAZ89" s="6"/>
      <c r="CBA89" s="6"/>
      <c r="CBB89" s="6"/>
      <c r="CBC89" s="6"/>
      <c r="CBD89" s="6"/>
      <c r="CBE89" s="6"/>
      <c r="CBF89" s="6"/>
      <c r="CBG89" s="6"/>
      <c r="CBH89" s="6"/>
      <c r="CBI89" s="6"/>
      <c r="CBJ89" s="6"/>
      <c r="CBK89" s="6"/>
      <c r="CBL89" s="6"/>
      <c r="CBM89" s="6"/>
      <c r="CBN89" s="6"/>
      <c r="CBO89" s="6"/>
      <c r="CBP89" s="6"/>
      <c r="CBQ89" s="6"/>
      <c r="CBR89" s="6"/>
      <c r="CBS89" s="6"/>
      <c r="CBT89" s="6"/>
      <c r="CBU89" s="6"/>
      <c r="CBV89" s="6"/>
      <c r="CBW89" s="6"/>
      <c r="CBX89" s="6"/>
      <c r="CBY89" s="6"/>
      <c r="CBZ89" s="6"/>
      <c r="CCA89" s="6"/>
      <c r="CCB89" s="6"/>
      <c r="CCC89" s="6"/>
      <c r="CCD89" s="6"/>
      <c r="CCE89" s="6"/>
      <c r="CCF89" s="6"/>
      <c r="CCG89" s="6"/>
      <c r="CCH89" s="6"/>
      <c r="CCI89" s="6"/>
      <c r="CCJ89" s="6"/>
      <c r="CCK89" s="6"/>
      <c r="CCL89" s="6"/>
      <c r="CCM89" s="6"/>
      <c r="CCN89" s="6"/>
      <c r="CCO89" s="6"/>
      <c r="CCP89" s="6"/>
      <c r="CCQ89" s="6"/>
      <c r="CCR89" s="6"/>
      <c r="CCS89" s="6"/>
      <c r="CCT89" s="6"/>
      <c r="CCU89" s="6"/>
      <c r="CCV89" s="6"/>
      <c r="CCW89" s="6"/>
      <c r="CCX89" s="6"/>
      <c r="CCY89" s="6"/>
      <c r="CCZ89" s="6"/>
      <c r="CDA89" s="6"/>
      <c r="CDB89" s="6"/>
      <c r="CDC89" s="6"/>
      <c r="CDD89" s="6"/>
      <c r="CDE89" s="6"/>
      <c r="CDF89" s="6"/>
      <c r="CDG89" s="6"/>
      <c r="CDH89" s="6"/>
      <c r="CDI89" s="6"/>
      <c r="CDJ89" s="6"/>
      <c r="CDK89" s="6"/>
      <c r="CDL89" s="6"/>
      <c r="CDM89" s="6"/>
      <c r="CDN89" s="6"/>
      <c r="CDO89" s="6"/>
      <c r="CDP89" s="6"/>
      <c r="CDQ89" s="6"/>
      <c r="CDR89" s="6"/>
      <c r="CDS89" s="6"/>
      <c r="CDT89" s="6"/>
      <c r="CDU89" s="6"/>
      <c r="CDV89" s="6"/>
      <c r="CDW89" s="6"/>
      <c r="CDX89" s="6"/>
      <c r="CDY89" s="6"/>
      <c r="CDZ89" s="6"/>
      <c r="CEA89" s="6"/>
      <c r="CEB89" s="6"/>
      <c r="CEC89" s="6"/>
      <c r="CED89" s="6"/>
      <c r="CEE89" s="6"/>
      <c r="CEF89" s="6"/>
      <c r="CEG89" s="6"/>
      <c r="CEH89" s="6"/>
      <c r="CEI89" s="6"/>
      <c r="CEJ89" s="6"/>
      <c r="CEK89" s="6"/>
      <c r="CEL89" s="6"/>
      <c r="CEM89" s="6"/>
      <c r="CEN89" s="6"/>
      <c r="CEO89" s="6"/>
      <c r="CEP89" s="6"/>
      <c r="CEQ89" s="6"/>
      <c r="CER89" s="6"/>
      <c r="CES89" s="6"/>
      <c r="CET89" s="6"/>
      <c r="CEU89" s="6"/>
      <c r="CEV89" s="6"/>
      <c r="CEW89" s="6"/>
      <c r="CEX89" s="6"/>
      <c r="CEY89" s="6"/>
      <c r="CEZ89" s="6"/>
      <c r="CFA89" s="6"/>
      <c r="CFB89" s="6"/>
      <c r="CFC89" s="6"/>
      <c r="CFD89" s="6"/>
      <c r="CFE89" s="6"/>
      <c r="CFF89" s="6"/>
      <c r="CFG89" s="6"/>
      <c r="CFH89" s="6"/>
      <c r="CFI89" s="6"/>
      <c r="CFJ89" s="6"/>
      <c r="CFK89" s="6"/>
      <c r="CFL89" s="6"/>
      <c r="CFM89" s="6"/>
      <c r="CFN89" s="6"/>
      <c r="CFO89" s="6"/>
      <c r="CFP89" s="6"/>
      <c r="CFQ89" s="6"/>
      <c r="CFR89" s="6"/>
      <c r="CFS89" s="6"/>
      <c r="CFT89" s="6"/>
      <c r="CFU89" s="6"/>
      <c r="CFV89" s="6"/>
      <c r="CFW89" s="6"/>
      <c r="CFX89" s="6"/>
      <c r="CFY89" s="6"/>
      <c r="CFZ89" s="6"/>
      <c r="CGA89" s="6"/>
      <c r="CGB89" s="6"/>
      <c r="CGC89" s="6"/>
      <c r="CGD89" s="6"/>
      <c r="CGE89" s="6"/>
      <c r="CGF89" s="6"/>
      <c r="CGG89" s="6"/>
      <c r="CGH89" s="6"/>
      <c r="CGI89" s="6"/>
      <c r="CGJ89" s="6"/>
      <c r="CGK89" s="6"/>
      <c r="CGL89" s="6"/>
      <c r="CGM89" s="6"/>
      <c r="CGN89" s="6"/>
      <c r="CGO89" s="6"/>
      <c r="CGP89" s="6"/>
      <c r="CGQ89" s="6"/>
      <c r="CGR89" s="6"/>
      <c r="CGS89" s="6"/>
      <c r="CGT89" s="6"/>
      <c r="CGU89" s="6"/>
      <c r="CGV89" s="6"/>
      <c r="CGW89" s="6"/>
      <c r="CGX89" s="6"/>
      <c r="CGY89" s="6"/>
      <c r="CGZ89" s="6"/>
      <c r="CHA89" s="6"/>
      <c r="CHB89" s="6"/>
      <c r="CHC89" s="6"/>
      <c r="CHD89" s="6"/>
      <c r="CHE89" s="6"/>
      <c r="CHF89" s="6"/>
      <c r="CHG89" s="6"/>
      <c r="CHH89" s="6"/>
      <c r="CHI89" s="6"/>
      <c r="CHJ89" s="6"/>
      <c r="CHK89" s="6"/>
      <c r="CHL89" s="6"/>
      <c r="CHM89" s="6"/>
      <c r="CHN89" s="6"/>
      <c r="CHO89" s="6"/>
      <c r="CHP89" s="6"/>
      <c r="CHQ89" s="6"/>
      <c r="CHR89" s="6"/>
      <c r="CHS89" s="6"/>
      <c r="CHT89" s="6"/>
      <c r="CHU89" s="6"/>
      <c r="CHV89" s="6"/>
      <c r="CHW89" s="6"/>
      <c r="CHX89" s="6"/>
      <c r="CHY89" s="6"/>
      <c r="CHZ89" s="6"/>
      <c r="CIA89" s="6"/>
      <c r="CIB89" s="6"/>
      <c r="CIC89" s="6"/>
      <c r="CID89" s="6"/>
      <c r="CIE89" s="6"/>
      <c r="CIF89" s="6"/>
      <c r="CIG89" s="6"/>
      <c r="CIH89" s="6"/>
      <c r="CII89" s="6"/>
      <c r="CIJ89" s="6"/>
      <c r="CIK89" s="6"/>
      <c r="CIL89" s="6"/>
      <c r="CIM89" s="6"/>
      <c r="CIN89" s="6"/>
      <c r="CIO89" s="6"/>
      <c r="CIP89" s="6"/>
      <c r="CIQ89" s="6"/>
      <c r="CIR89" s="6"/>
      <c r="CIS89" s="6"/>
      <c r="CIT89" s="6"/>
      <c r="CIU89" s="6"/>
      <c r="CIV89" s="6"/>
      <c r="CIW89" s="6"/>
      <c r="CIX89" s="6"/>
      <c r="CIY89" s="6"/>
      <c r="CIZ89" s="6"/>
      <c r="CJA89" s="6"/>
      <c r="CJB89" s="6"/>
      <c r="CJC89" s="6"/>
      <c r="CJD89" s="6"/>
      <c r="CJE89" s="6"/>
      <c r="CJF89" s="6"/>
      <c r="CJG89" s="6"/>
      <c r="CJH89" s="6"/>
      <c r="CJI89" s="6"/>
      <c r="CJJ89" s="6"/>
      <c r="CJK89" s="6"/>
      <c r="CJL89" s="6"/>
      <c r="CJM89" s="6"/>
      <c r="CJN89" s="6"/>
      <c r="CJO89" s="6"/>
      <c r="CJP89" s="6"/>
      <c r="CJQ89" s="6"/>
      <c r="CJR89" s="6"/>
      <c r="CJS89" s="6"/>
      <c r="CJT89" s="6"/>
      <c r="CJU89" s="6"/>
      <c r="CJV89" s="6"/>
      <c r="CJW89" s="6"/>
      <c r="CJX89" s="6"/>
      <c r="CJY89" s="6"/>
      <c r="CJZ89" s="6"/>
      <c r="CKA89" s="6"/>
      <c r="CKB89" s="6"/>
      <c r="CKC89" s="6"/>
      <c r="CKD89" s="6"/>
      <c r="CKE89" s="6"/>
      <c r="CKF89" s="6"/>
      <c r="CKG89" s="6"/>
      <c r="CKH89" s="6"/>
      <c r="CKI89" s="6"/>
      <c r="CKJ89" s="6"/>
      <c r="CKK89" s="6"/>
      <c r="CKL89" s="6"/>
      <c r="CKM89" s="6"/>
      <c r="CKN89" s="6"/>
      <c r="CKO89" s="6"/>
      <c r="CKP89" s="6"/>
      <c r="CKQ89" s="6"/>
      <c r="CKR89" s="6"/>
      <c r="CKS89" s="6"/>
      <c r="CKT89" s="6"/>
      <c r="CKU89" s="6"/>
      <c r="CKV89" s="6"/>
      <c r="CKW89" s="6"/>
      <c r="CKX89" s="6"/>
      <c r="CKY89" s="6"/>
      <c r="CKZ89" s="6"/>
      <c r="CLA89" s="6"/>
      <c r="CLB89" s="6"/>
      <c r="CLC89" s="6"/>
      <c r="CLD89" s="6"/>
      <c r="CLE89" s="6"/>
      <c r="CLF89" s="6"/>
      <c r="CLG89" s="6"/>
      <c r="CLH89" s="6"/>
      <c r="CLI89" s="6"/>
      <c r="CLJ89" s="6"/>
      <c r="CLK89" s="6"/>
      <c r="CLL89" s="6"/>
      <c r="CLM89" s="6"/>
      <c r="CLN89" s="6"/>
      <c r="CLO89" s="6"/>
      <c r="CLP89" s="6"/>
      <c r="CLQ89" s="6"/>
      <c r="CLR89" s="6"/>
      <c r="CLS89" s="6"/>
      <c r="CLT89" s="6"/>
      <c r="CLU89" s="6"/>
      <c r="CLV89" s="6"/>
      <c r="CLW89" s="6"/>
      <c r="CLX89" s="6"/>
      <c r="CLY89" s="6"/>
      <c r="CLZ89" s="6"/>
      <c r="CMA89" s="6"/>
      <c r="CMB89" s="6"/>
      <c r="CMC89" s="6"/>
      <c r="CMD89" s="6"/>
      <c r="CME89" s="6"/>
      <c r="CMF89" s="6"/>
      <c r="CMG89" s="6"/>
      <c r="CMH89" s="6"/>
      <c r="CMI89" s="6"/>
      <c r="CMJ89" s="6"/>
      <c r="CMK89" s="6"/>
      <c r="CML89" s="6"/>
      <c r="CMM89" s="6"/>
      <c r="CMN89" s="6"/>
      <c r="CMO89" s="6"/>
      <c r="CMP89" s="6"/>
      <c r="CMQ89" s="6"/>
      <c r="CMR89" s="6"/>
      <c r="CMS89" s="6"/>
      <c r="CMT89" s="6"/>
      <c r="CMU89" s="6"/>
      <c r="CMV89" s="6"/>
      <c r="CMW89" s="6"/>
      <c r="CMX89" s="6"/>
      <c r="CMY89" s="6"/>
      <c r="CMZ89" s="6"/>
      <c r="CNA89" s="6"/>
      <c r="CNB89" s="6"/>
      <c r="CNC89" s="6"/>
      <c r="CND89" s="6"/>
      <c r="CNE89" s="6"/>
      <c r="CNF89" s="6"/>
      <c r="CNG89" s="6"/>
      <c r="CNH89" s="6"/>
      <c r="CNI89" s="6"/>
      <c r="CNJ89" s="6"/>
      <c r="CNK89" s="6"/>
      <c r="CNL89" s="6"/>
      <c r="CNM89" s="6"/>
      <c r="CNN89" s="6"/>
      <c r="CNO89" s="6"/>
      <c r="CNP89" s="6"/>
      <c r="CNQ89" s="6"/>
      <c r="CNR89" s="6"/>
      <c r="CNS89" s="6"/>
      <c r="CNT89" s="6"/>
      <c r="CNU89" s="6"/>
      <c r="CNV89" s="6"/>
      <c r="CNW89" s="6"/>
      <c r="CNX89" s="6"/>
      <c r="CNY89" s="6"/>
      <c r="CNZ89" s="6"/>
      <c r="COA89" s="6"/>
      <c r="COB89" s="6"/>
      <c r="COC89" s="6"/>
      <c r="COD89" s="6"/>
      <c r="COE89" s="6"/>
      <c r="COF89" s="6"/>
      <c r="COG89" s="6"/>
      <c r="COH89" s="6"/>
      <c r="COI89" s="6"/>
      <c r="COJ89" s="6"/>
      <c r="COK89" s="6"/>
      <c r="COL89" s="6"/>
      <c r="COM89" s="6"/>
      <c r="CON89" s="6"/>
      <c r="COO89" s="6"/>
      <c r="COP89" s="6"/>
      <c r="COQ89" s="6"/>
      <c r="COR89" s="6"/>
      <c r="COS89" s="6"/>
      <c r="COT89" s="6"/>
      <c r="COU89" s="6"/>
      <c r="COV89" s="6"/>
      <c r="COW89" s="6"/>
      <c r="COX89" s="6"/>
      <c r="COY89" s="6"/>
      <c r="COZ89" s="6"/>
      <c r="CPA89" s="6"/>
      <c r="CPB89" s="6"/>
      <c r="CPC89" s="6"/>
      <c r="CPD89" s="6"/>
      <c r="CPE89" s="6"/>
      <c r="CPF89" s="6"/>
      <c r="CPG89" s="6"/>
      <c r="CPH89" s="6"/>
      <c r="CPI89" s="6"/>
      <c r="CPJ89" s="6"/>
      <c r="CPK89" s="6"/>
      <c r="CPL89" s="6"/>
      <c r="CPM89" s="6"/>
      <c r="CPN89" s="6"/>
      <c r="CPO89" s="6"/>
      <c r="CPP89" s="6"/>
      <c r="CPQ89" s="6"/>
      <c r="CPR89" s="6"/>
      <c r="CPS89" s="6"/>
      <c r="CPT89" s="6"/>
      <c r="CPU89" s="6"/>
      <c r="CPV89" s="6"/>
      <c r="CPW89" s="6"/>
      <c r="CPX89" s="6"/>
      <c r="CPY89" s="6"/>
      <c r="CPZ89" s="6"/>
      <c r="CQA89" s="6"/>
      <c r="CQB89" s="6"/>
      <c r="CQC89" s="6"/>
      <c r="CQD89" s="6"/>
      <c r="CQE89" s="6"/>
      <c r="CQF89" s="6"/>
      <c r="CQG89" s="6"/>
      <c r="CQH89" s="6"/>
      <c r="CQI89" s="6"/>
      <c r="CQJ89" s="6"/>
      <c r="CQK89" s="6"/>
      <c r="CQL89" s="6"/>
      <c r="CQM89" s="6"/>
      <c r="CQN89" s="6"/>
      <c r="CQO89" s="6"/>
      <c r="CQP89" s="6"/>
      <c r="CQQ89" s="6"/>
      <c r="CQR89" s="6"/>
      <c r="CQS89" s="6"/>
      <c r="CQT89" s="6"/>
      <c r="CQU89" s="6"/>
      <c r="CQV89" s="6"/>
      <c r="CQW89" s="6"/>
      <c r="CQX89" s="6"/>
      <c r="CQY89" s="6"/>
      <c r="CQZ89" s="6"/>
      <c r="CRA89" s="6"/>
      <c r="CRB89" s="6"/>
      <c r="CRC89" s="6"/>
      <c r="CRD89" s="6"/>
      <c r="CRE89" s="6"/>
      <c r="CRF89" s="6"/>
      <c r="CRG89" s="6"/>
      <c r="CRH89" s="6"/>
      <c r="CRI89" s="6"/>
      <c r="CRJ89" s="6"/>
      <c r="CRK89" s="6"/>
      <c r="CRL89" s="6"/>
      <c r="CRM89" s="6"/>
      <c r="CRN89" s="6"/>
      <c r="CRO89" s="6"/>
      <c r="CRP89" s="6"/>
      <c r="CRQ89" s="6"/>
      <c r="CRR89" s="6"/>
      <c r="CRS89" s="6"/>
      <c r="CRT89" s="6"/>
      <c r="CRU89" s="6"/>
      <c r="CRV89" s="6"/>
      <c r="CRW89" s="6"/>
      <c r="CRX89" s="6"/>
      <c r="CRY89" s="6"/>
      <c r="CRZ89" s="6"/>
      <c r="CSA89" s="6"/>
      <c r="CSB89" s="6"/>
      <c r="CSC89" s="6"/>
      <c r="CSD89" s="6"/>
      <c r="CSE89" s="6"/>
      <c r="CSF89" s="6"/>
      <c r="CSG89" s="6"/>
      <c r="CSH89" s="6"/>
      <c r="CSI89" s="6"/>
      <c r="CSJ89" s="6"/>
      <c r="CSK89" s="6"/>
      <c r="CSL89" s="6"/>
      <c r="CSM89" s="6"/>
      <c r="CSN89" s="6"/>
      <c r="CSO89" s="6"/>
      <c r="CSP89" s="6"/>
      <c r="CSQ89" s="6"/>
      <c r="CSR89" s="6"/>
      <c r="CSS89" s="6"/>
      <c r="CST89" s="6"/>
      <c r="CSU89" s="6"/>
      <c r="CSV89" s="6"/>
      <c r="CSW89" s="6"/>
      <c r="CSX89" s="6"/>
      <c r="CSY89" s="6"/>
      <c r="CSZ89" s="6"/>
      <c r="CTA89" s="6"/>
      <c r="CTB89" s="6"/>
      <c r="CTC89" s="6"/>
      <c r="CTD89" s="6"/>
      <c r="CTE89" s="6"/>
      <c r="CTF89" s="6"/>
      <c r="CTG89" s="6"/>
      <c r="CTH89" s="6"/>
      <c r="CTI89" s="6"/>
      <c r="CTJ89" s="6"/>
      <c r="CTK89" s="6"/>
      <c r="CTL89" s="6"/>
      <c r="CTM89" s="6"/>
      <c r="CTN89" s="6"/>
      <c r="CTO89" s="6"/>
      <c r="CTP89" s="6"/>
      <c r="CTQ89" s="6"/>
      <c r="CTR89" s="6"/>
      <c r="CTS89" s="6"/>
      <c r="CTT89" s="6"/>
      <c r="CTU89" s="6"/>
      <c r="CTV89" s="6"/>
      <c r="CTW89" s="6"/>
      <c r="CTX89" s="6"/>
      <c r="CTY89" s="6"/>
      <c r="CTZ89" s="6"/>
      <c r="CUA89" s="6"/>
      <c r="CUB89" s="6"/>
      <c r="CUC89" s="6"/>
      <c r="CUD89" s="6"/>
      <c r="CUE89" s="6"/>
      <c r="CUF89" s="6"/>
      <c r="CUG89" s="6"/>
      <c r="CUH89" s="6"/>
      <c r="CUI89" s="6"/>
      <c r="CUJ89" s="6"/>
      <c r="CUK89" s="6"/>
      <c r="CUL89" s="6"/>
      <c r="CUM89" s="6"/>
      <c r="CUN89" s="6"/>
      <c r="CUO89" s="6"/>
      <c r="CUP89" s="6"/>
      <c r="CUQ89" s="6"/>
      <c r="CUR89" s="6"/>
      <c r="CUS89" s="6"/>
      <c r="CUT89" s="6"/>
      <c r="CUU89" s="6"/>
      <c r="CUV89" s="6"/>
      <c r="CUW89" s="6"/>
      <c r="CUX89" s="6"/>
      <c r="CUY89" s="6"/>
      <c r="CUZ89" s="6"/>
      <c r="CVA89" s="6"/>
      <c r="CVB89" s="6"/>
      <c r="CVC89" s="6"/>
      <c r="CVD89" s="6"/>
      <c r="CVE89" s="6"/>
      <c r="CVF89" s="6"/>
      <c r="CVG89" s="6"/>
      <c r="CVH89" s="6"/>
      <c r="CVI89" s="6"/>
      <c r="CVJ89" s="6"/>
      <c r="CVK89" s="6"/>
      <c r="CVL89" s="6"/>
      <c r="CVM89" s="6"/>
      <c r="CVN89" s="6"/>
      <c r="CVO89" s="6"/>
      <c r="CVP89" s="6"/>
      <c r="CVQ89" s="6"/>
      <c r="CVR89" s="6"/>
      <c r="CVS89" s="6"/>
      <c r="CVT89" s="6"/>
      <c r="CVU89" s="6"/>
      <c r="CVV89" s="6"/>
      <c r="CVW89" s="6"/>
      <c r="CVX89" s="6"/>
      <c r="CVY89" s="6"/>
      <c r="CVZ89" s="6"/>
      <c r="CWA89" s="6"/>
      <c r="CWB89" s="6"/>
      <c r="CWC89" s="6"/>
      <c r="CWD89" s="6"/>
      <c r="CWE89" s="6"/>
      <c r="CWF89" s="6"/>
      <c r="CWG89" s="6"/>
      <c r="CWH89" s="6"/>
      <c r="CWI89" s="6"/>
      <c r="CWJ89" s="6"/>
      <c r="CWK89" s="6"/>
      <c r="CWL89" s="6"/>
      <c r="CWM89" s="6"/>
      <c r="CWN89" s="6"/>
      <c r="CWO89" s="6"/>
      <c r="CWP89" s="6"/>
      <c r="CWQ89" s="6"/>
      <c r="CWR89" s="6"/>
      <c r="CWS89" s="6"/>
      <c r="CWT89" s="6"/>
      <c r="CWU89" s="6"/>
      <c r="CWV89" s="6"/>
      <c r="CWW89" s="6"/>
      <c r="CWX89" s="6"/>
      <c r="CWY89" s="6"/>
      <c r="CWZ89" s="6"/>
      <c r="CXA89" s="6"/>
      <c r="CXB89" s="6"/>
      <c r="CXC89" s="6"/>
      <c r="CXD89" s="6"/>
      <c r="CXE89" s="6"/>
      <c r="CXF89" s="6"/>
      <c r="CXG89" s="6"/>
      <c r="CXH89" s="6"/>
      <c r="CXI89" s="6"/>
      <c r="CXJ89" s="6"/>
      <c r="CXK89" s="6"/>
      <c r="CXL89" s="6"/>
      <c r="CXM89" s="6"/>
      <c r="CXN89" s="6"/>
      <c r="CXO89" s="6"/>
      <c r="CXP89" s="6"/>
      <c r="CXQ89" s="6"/>
      <c r="CXR89" s="6"/>
      <c r="CXS89" s="6"/>
      <c r="CXT89" s="6"/>
      <c r="CXU89" s="6"/>
      <c r="CXV89" s="6"/>
      <c r="CXW89" s="6"/>
      <c r="CXX89" s="6"/>
      <c r="CXY89" s="6"/>
      <c r="CXZ89" s="6"/>
      <c r="CYA89" s="6"/>
      <c r="CYB89" s="6"/>
      <c r="CYC89" s="6"/>
      <c r="CYD89" s="6"/>
      <c r="CYE89" s="6"/>
      <c r="CYF89" s="6"/>
      <c r="CYG89" s="6"/>
      <c r="CYH89" s="6"/>
      <c r="CYI89" s="6"/>
      <c r="CYJ89" s="6"/>
      <c r="CYK89" s="6"/>
      <c r="CYL89" s="6"/>
      <c r="CYM89" s="6"/>
      <c r="CYN89" s="6"/>
      <c r="CYO89" s="6"/>
      <c r="CYP89" s="6"/>
      <c r="CYQ89" s="6"/>
      <c r="CYR89" s="6"/>
      <c r="CYS89" s="6"/>
      <c r="CYT89" s="6"/>
      <c r="CYU89" s="6"/>
      <c r="CYV89" s="6"/>
      <c r="CYW89" s="6"/>
      <c r="CYX89" s="6"/>
      <c r="CYY89" s="6"/>
      <c r="CYZ89" s="6"/>
      <c r="CZA89" s="6"/>
      <c r="CZB89" s="6"/>
      <c r="CZC89" s="6"/>
      <c r="CZD89" s="6"/>
      <c r="CZE89" s="6"/>
      <c r="CZF89" s="6"/>
      <c r="CZG89" s="6"/>
      <c r="CZH89" s="6"/>
      <c r="CZI89" s="6"/>
      <c r="CZJ89" s="6"/>
      <c r="CZK89" s="6"/>
      <c r="CZL89" s="6"/>
      <c r="CZM89" s="6"/>
      <c r="CZN89" s="6"/>
      <c r="CZO89" s="6"/>
      <c r="CZP89" s="6"/>
      <c r="CZQ89" s="6"/>
      <c r="CZR89" s="6"/>
      <c r="CZS89" s="6"/>
      <c r="CZT89" s="6"/>
      <c r="CZU89" s="6"/>
      <c r="CZV89" s="6"/>
      <c r="CZW89" s="6"/>
      <c r="CZX89" s="6"/>
      <c r="CZY89" s="6"/>
      <c r="CZZ89" s="6"/>
      <c r="DAA89" s="6"/>
      <c r="DAB89" s="6"/>
      <c r="DAC89" s="6"/>
      <c r="DAD89" s="6"/>
      <c r="DAE89" s="6"/>
      <c r="DAF89" s="6"/>
      <c r="DAG89" s="6"/>
      <c r="DAH89" s="6"/>
      <c r="DAI89" s="6"/>
      <c r="DAJ89" s="6"/>
      <c r="DAK89" s="6"/>
      <c r="DAL89" s="6"/>
      <c r="DAM89" s="6"/>
      <c r="DAN89" s="6"/>
      <c r="DAO89" s="6"/>
      <c r="DAP89" s="6"/>
      <c r="DAQ89" s="6"/>
      <c r="DAR89" s="6"/>
      <c r="DAS89" s="6"/>
      <c r="DAT89" s="6"/>
      <c r="DAU89" s="6"/>
      <c r="DAV89" s="6"/>
      <c r="DAW89" s="6"/>
      <c r="DAX89" s="6"/>
      <c r="DAY89" s="6"/>
      <c r="DAZ89" s="6"/>
      <c r="DBA89" s="6"/>
      <c r="DBB89" s="6"/>
      <c r="DBC89" s="6"/>
      <c r="DBD89" s="6"/>
      <c r="DBE89" s="6"/>
      <c r="DBF89" s="6"/>
      <c r="DBG89" s="6"/>
      <c r="DBH89" s="6"/>
      <c r="DBI89" s="6"/>
      <c r="DBJ89" s="6"/>
      <c r="DBK89" s="6"/>
      <c r="DBL89" s="6"/>
      <c r="DBM89" s="6"/>
      <c r="DBN89" s="6"/>
      <c r="DBO89" s="6"/>
      <c r="DBP89" s="6"/>
      <c r="DBQ89" s="6"/>
      <c r="DBR89" s="6"/>
      <c r="DBS89" s="6"/>
      <c r="DBT89" s="6"/>
      <c r="DBU89" s="6"/>
      <c r="DBV89" s="6"/>
      <c r="DBW89" s="6"/>
      <c r="DBX89" s="6"/>
      <c r="DBY89" s="6"/>
      <c r="DBZ89" s="6"/>
      <c r="DCA89" s="6"/>
      <c r="DCB89" s="6"/>
      <c r="DCC89" s="6"/>
      <c r="DCD89" s="6"/>
      <c r="DCE89" s="6"/>
      <c r="DCF89" s="6"/>
      <c r="DCG89" s="6"/>
      <c r="DCH89" s="6"/>
      <c r="DCI89" s="6"/>
      <c r="DCJ89" s="6"/>
      <c r="DCK89" s="6"/>
      <c r="DCL89" s="6"/>
      <c r="DCM89" s="6"/>
      <c r="DCN89" s="6"/>
      <c r="DCO89" s="6"/>
      <c r="DCP89" s="6"/>
      <c r="DCQ89" s="6"/>
      <c r="DCR89" s="6"/>
      <c r="DCS89" s="6"/>
      <c r="DCT89" s="6"/>
      <c r="DCU89" s="6"/>
      <c r="DCV89" s="6"/>
      <c r="DCW89" s="6"/>
      <c r="DCX89" s="6"/>
      <c r="DCY89" s="6"/>
      <c r="DCZ89" s="6"/>
      <c r="DDA89" s="6"/>
      <c r="DDB89" s="6"/>
      <c r="DDC89" s="6"/>
      <c r="DDD89" s="6"/>
      <c r="DDE89" s="6"/>
      <c r="DDF89" s="6"/>
      <c r="DDG89" s="6"/>
      <c r="DDH89" s="6"/>
      <c r="DDI89" s="6"/>
      <c r="DDJ89" s="6"/>
      <c r="DDK89" s="6"/>
      <c r="DDL89" s="6"/>
      <c r="DDM89" s="6"/>
      <c r="DDN89" s="6"/>
      <c r="DDO89" s="6"/>
      <c r="DDP89" s="6"/>
      <c r="DDQ89" s="6"/>
      <c r="DDR89" s="6"/>
      <c r="DDS89" s="6"/>
      <c r="DDT89" s="6"/>
      <c r="DDU89" s="6"/>
      <c r="DDV89" s="6"/>
      <c r="DDW89" s="6"/>
      <c r="DDX89" s="6"/>
      <c r="DDY89" s="6"/>
      <c r="DDZ89" s="6"/>
      <c r="DEA89" s="6"/>
      <c r="DEB89" s="6"/>
      <c r="DEC89" s="6"/>
      <c r="DED89" s="6"/>
      <c r="DEE89" s="6"/>
      <c r="DEF89" s="6"/>
      <c r="DEG89" s="6"/>
      <c r="DEH89" s="6"/>
      <c r="DEI89" s="6"/>
      <c r="DEJ89" s="6"/>
      <c r="DEK89" s="6"/>
      <c r="DEL89" s="6"/>
      <c r="DEM89" s="6"/>
      <c r="DEN89" s="6"/>
      <c r="DEO89" s="6"/>
      <c r="DEP89" s="6"/>
      <c r="DEQ89" s="6"/>
      <c r="DER89" s="6"/>
      <c r="DES89" s="6"/>
      <c r="DET89" s="6"/>
      <c r="DEU89" s="6"/>
      <c r="DEV89" s="6"/>
      <c r="DEW89" s="6"/>
      <c r="DEX89" s="6"/>
      <c r="DEY89" s="6"/>
      <c r="DEZ89" s="6"/>
      <c r="DFA89" s="6"/>
      <c r="DFB89" s="6"/>
      <c r="DFC89" s="6"/>
      <c r="DFD89" s="6"/>
      <c r="DFE89" s="6"/>
      <c r="DFF89" s="6"/>
      <c r="DFG89" s="6"/>
      <c r="DFH89" s="6"/>
      <c r="DFI89" s="6"/>
      <c r="DFJ89" s="6"/>
      <c r="DFK89" s="6"/>
      <c r="DFL89" s="6"/>
      <c r="DFM89" s="6"/>
      <c r="DFN89" s="6"/>
      <c r="DFO89" s="6"/>
      <c r="DFP89" s="6"/>
      <c r="DFQ89" s="6"/>
      <c r="DFR89" s="6"/>
      <c r="DFS89" s="6"/>
      <c r="DFT89" s="6"/>
      <c r="DFU89" s="6"/>
      <c r="DFV89" s="6"/>
      <c r="DFW89" s="6"/>
      <c r="DFX89" s="6"/>
      <c r="DFY89" s="6"/>
      <c r="DFZ89" s="6"/>
      <c r="DGA89" s="6"/>
      <c r="DGB89" s="6"/>
      <c r="DGC89" s="6"/>
      <c r="DGD89" s="6"/>
      <c r="DGE89" s="6"/>
      <c r="DGF89" s="6"/>
      <c r="DGG89" s="6"/>
      <c r="DGH89" s="6"/>
      <c r="DGI89" s="6"/>
      <c r="DGJ89" s="6"/>
      <c r="DGK89" s="6"/>
      <c r="DGL89" s="6"/>
      <c r="DGM89" s="6"/>
      <c r="DGN89" s="6"/>
      <c r="DGO89" s="6"/>
      <c r="DGP89" s="6"/>
      <c r="DGQ89" s="6"/>
      <c r="DGR89" s="6"/>
      <c r="DGS89" s="6"/>
      <c r="DGT89" s="6"/>
      <c r="DGU89" s="6"/>
      <c r="DGV89" s="6"/>
      <c r="DGW89" s="6"/>
      <c r="DGX89" s="6"/>
      <c r="DGY89" s="6"/>
      <c r="DGZ89" s="6"/>
      <c r="DHA89" s="6"/>
      <c r="DHB89" s="6"/>
      <c r="DHC89" s="6"/>
      <c r="DHD89" s="6"/>
      <c r="DHE89" s="6"/>
      <c r="DHF89" s="6"/>
      <c r="DHG89" s="6"/>
      <c r="DHH89" s="6"/>
      <c r="DHI89" s="6"/>
      <c r="DHJ89" s="6"/>
      <c r="DHK89" s="6"/>
      <c r="DHL89" s="6"/>
      <c r="DHM89" s="6"/>
      <c r="DHN89" s="6"/>
      <c r="DHO89" s="6"/>
      <c r="DHP89" s="6"/>
      <c r="DHQ89" s="6"/>
      <c r="DHR89" s="6"/>
      <c r="DHS89" s="6"/>
      <c r="DHT89" s="6"/>
      <c r="DHU89" s="6"/>
      <c r="DHV89" s="6"/>
      <c r="DHW89" s="6"/>
      <c r="DHX89" s="6"/>
      <c r="DHY89" s="6"/>
      <c r="DHZ89" s="6"/>
      <c r="DIA89" s="6"/>
      <c r="DIB89" s="6"/>
      <c r="DIC89" s="6"/>
      <c r="DID89" s="6"/>
      <c r="DIE89" s="6"/>
      <c r="DIF89" s="6"/>
      <c r="DIG89" s="6"/>
      <c r="DIH89" s="6"/>
      <c r="DII89" s="6"/>
      <c r="DIJ89" s="6"/>
      <c r="DIK89" s="6"/>
      <c r="DIL89" s="6"/>
      <c r="DIM89" s="6"/>
      <c r="DIN89" s="6"/>
      <c r="DIO89" s="6"/>
      <c r="DIP89" s="6"/>
      <c r="DIQ89" s="6"/>
      <c r="DIR89" s="6"/>
      <c r="DIS89" s="6"/>
      <c r="DIT89" s="6"/>
      <c r="DIU89" s="6"/>
      <c r="DIV89" s="6"/>
      <c r="DIW89" s="6"/>
      <c r="DIX89" s="6"/>
      <c r="DIY89" s="6"/>
      <c r="DIZ89" s="6"/>
      <c r="DJA89" s="6"/>
      <c r="DJB89" s="6"/>
      <c r="DJC89" s="6"/>
      <c r="DJD89" s="6"/>
      <c r="DJE89" s="6"/>
      <c r="DJF89" s="6"/>
      <c r="DJG89" s="6"/>
      <c r="DJH89" s="6"/>
      <c r="DJI89" s="6"/>
      <c r="DJJ89" s="6"/>
      <c r="DJK89" s="6"/>
      <c r="DJL89" s="6"/>
      <c r="DJM89" s="6"/>
      <c r="DJN89" s="6"/>
      <c r="DJO89" s="6"/>
      <c r="DJP89" s="6"/>
      <c r="DJQ89" s="6"/>
      <c r="DJR89" s="6"/>
      <c r="DJS89" s="6"/>
      <c r="DJT89" s="6"/>
      <c r="DJU89" s="6"/>
      <c r="DJV89" s="6"/>
      <c r="DJW89" s="6"/>
      <c r="DJX89" s="6"/>
      <c r="DJY89" s="6"/>
      <c r="DJZ89" s="6"/>
      <c r="DKA89" s="6"/>
      <c r="DKB89" s="6"/>
      <c r="DKC89" s="6"/>
      <c r="DKD89" s="6"/>
      <c r="DKE89" s="6"/>
      <c r="DKF89" s="6"/>
      <c r="DKG89" s="6"/>
      <c r="DKH89" s="6"/>
      <c r="DKI89" s="6"/>
      <c r="DKJ89" s="6"/>
      <c r="DKK89" s="6"/>
      <c r="DKL89" s="6"/>
      <c r="DKM89" s="6"/>
      <c r="DKN89" s="6"/>
      <c r="DKO89" s="6"/>
      <c r="DKP89" s="6"/>
      <c r="DKQ89" s="6"/>
      <c r="DKR89" s="6"/>
      <c r="DKS89" s="6"/>
      <c r="DKT89" s="6"/>
      <c r="DKU89" s="6"/>
      <c r="DKV89" s="6"/>
      <c r="DKW89" s="6"/>
      <c r="DKX89" s="6"/>
      <c r="DKY89" s="6"/>
      <c r="DKZ89" s="6"/>
      <c r="DLA89" s="6"/>
      <c r="DLB89" s="6"/>
      <c r="DLC89" s="6"/>
      <c r="DLD89" s="6"/>
      <c r="DLE89" s="6"/>
      <c r="DLF89" s="6"/>
      <c r="DLG89" s="6"/>
      <c r="DLH89" s="6"/>
      <c r="DLI89" s="6"/>
      <c r="DLJ89" s="6"/>
      <c r="DLK89" s="6"/>
      <c r="DLL89" s="6"/>
      <c r="DLM89" s="6"/>
      <c r="DLN89" s="6"/>
      <c r="DLO89" s="6"/>
      <c r="DLP89" s="6"/>
      <c r="DLQ89" s="6"/>
      <c r="DLR89" s="6"/>
      <c r="DLS89" s="6"/>
      <c r="DLT89" s="6"/>
      <c r="DLU89" s="6"/>
      <c r="DLV89" s="6"/>
      <c r="DLW89" s="6"/>
      <c r="DLX89" s="6"/>
      <c r="DLY89" s="6"/>
      <c r="DLZ89" s="6"/>
      <c r="DMA89" s="6"/>
      <c r="DMB89" s="6"/>
      <c r="DMC89" s="6"/>
      <c r="DMD89" s="6"/>
      <c r="DME89" s="6"/>
      <c r="DMF89" s="6"/>
      <c r="DMG89" s="6"/>
      <c r="DMH89" s="6"/>
      <c r="DMI89" s="6"/>
      <c r="DMJ89" s="6"/>
      <c r="DMK89" s="6"/>
      <c r="DML89" s="6"/>
      <c r="DMM89" s="6"/>
      <c r="DMN89" s="6"/>
      <c r="DMO89" s="6"/>
      <c r="DMP89" s="6"/>
      <c r="DMQ89" s="6"/>
      <c r="DMR89" s="6"/>
      <c r="DMS89" s="6"/>
      <c r="DMT89" s="6"/>
      <c r="DMU89" s="6"/>
      <c r="DMV89" s="6"/>
      <c r="DMW89" s="6"/>
      <c r="DMX89" s="6"/>
      <c r="DMY89" s="6"/>
      <c r="DMZ89" s="6"/>
      <c r="DNA89" s="6"/>
      <c r="DNB89" s="6"/>
      <c r="DNC89" s="6"/>
      <c r="DND89" s="6"/>
      <c r="DNE89" s="6"/>
      <c r="DNF89" s="6"/>
      <c r="DNG89" s="6"/>
      <c r="DNH89" s="6"/>
      <c r="DNI89" s="6"/>
      <c r="DNJ89" s="6"/>
      <c r="DNK89" s="6"/>
      <c r="DNL89" s="6"/>
      <c r="DNM89" s="6"/>
      <c r="DNN89" s="6"/>
      <c r="DNO89" s="6"/>
      <c r="DNP89" s="6"/>
      <c r="DNQ89" s="6"/>
      <c r="DNR89" s="6"/>
      <c r="DNS89" s="6"/>
      <c r="DNT89" s="6"/>
      <c r="DNU89" s="6"/>
      <c r="DNV89" s="6"/>
      <c r="DNW89" s="6"/>
      <c r="DNX89" s="6"/>
      <c r="DNY89" s="6"/>
      <c r="DNZ89" s="6"/>
      <c r="DOA89" s="6"/>
      <c r="DOB89" s="6"/>
      <c r="DOC89" s="6"/>
      <c r="DOD89" s="6"/>
      <c r="DOE89" s="6"/>
      <c r="DOF89" s="6"/>
      <c r="DOG89" s="6"/>
      <c r="DOH89" s="6"/>
      <c r="DOI89" s="6"/>
      <c r="DOJ89" s="6"/>
      <c r="DOK89" s="6"/>
      <c r="DOL89" s="6"/>
      <c r="DOM89" s="6"/>
      <c r="DON89" s="6"/>
      <c r="DOO89" s="6"/>
      <c r="DOP89" s="6"/>
      <c r="DOQ89" s="6"/>
      <c r="DOR89" s="6"/>
      <c r="DOS89" s="6"/>
      <c r="DOT89" s="6"/>
      <c r="DOU89" s="6"/>
      <c r="DOV89" s="6"/>
      <c r="DOW89" s="6"/>
      <c r="DOX89" s="6"/>
      <c r="DOY89" s="6"/>
      <c r="DOZ89" s="6"/>
      <c r="DPA89" s="6"/>
      <c r="DPB89" s="6"/>
      <c r="DPC89" s="6"/>
      <c r="DPD89" s="6"/>
      <c r="DPE89" s="6"/>
      <c r="DPF89" s="6"/>
      <c r="DPG89" s="6"/>
      <c r="DPH89" s="6"/>
      <c r="DPI89" s="6"/>
      <c r="DPJ89" s="6"/>
      <c r="DPK89" s="6"/>
      <c r="DPL89" s="6"/>
      <c r="DPM89" s="6"/>
      <c r="DPN89" s="6"/>
      <c r="DPO89" s="6"/>
      <c r="DPP89" s="6"/>
      <c r="DPQ89" s="6"/>
      <c r="DPR89" s="6"/>
      <c r="DPS89" s="6"/>
      <c r="DPT89" s="6"/>
      <c r="DPU89" s="6"/>
      <c r="DPV89" s="6"/>
      <c r="DPW89" s="6"/>
      <c r="DPX89" s="6"/>
      <c r="DPY89" s="6"/>
      <c r="DPZ89" s="6"/>
      <c r="DQA89" s="6"/>
      <c r="DQB89" s="6"/>
      <c r="DQC89" s="6"/>
      <c r="DQD89" s="6"/>
      <c r="DQE89" s="6"/>
      <c r="DQF89" s="6"/>
      <c r="DQG89" s="6"/>
      <c r="DQH89" s="6"/>
      <c r="DQI89" s="6"/>
      <c r="DQJ89" s="6"/>
      <c r="DQK89" s="6"/>
      <c r="DQL89" s="6"/>
      <c r="DQM89" s="6"/>
      <c r="DQN89" s="6"/>
      <c r="DQO89" s="6"/>
      <c r="DQP89" s="6"/>
      <c r="DQQ89" s="6"/>
      <c r="DQR89" s="6"/>
      <c r="DQS89" s="6"/>
      <c r="DQT89" s="6"/>
      <c r="DQU89" s="6"/>
      <c r="DQV89" s="6"/>
      <c r="DQW89" s="6"/>
      <c r="DQX89" s="6"/>
      <c r="DQY89" s="6"/>
      <c r="DQZ89" s="6"/>
      <c r="DRA89" s="6"/>
      <c r="DRB89" s="6"/>
      <c r="DRC89" s="6"/>
      <c r="DRD89" s="6"/>
      <c r="DRE89" s="6"/>
      <c r="DRF89" s="6"/>
      <c r="DRG89" s="6"/>
      <c r="DRH89" s="6"/>
      <c r="DRI89" s="6"/>
      <c r="DRJ89" s="6"/>
      <c r="DRK89" s="6"/>
      <c r="DRL89" s="6"/>
      <c r="DRM89" s="6"/>
      <c r="DRN89" s="6"/>
      <c r="DRO89" s="6"/>
      <c r="DRP89" s="6"/>
      <c r="DRQ89" s="6"/>
      <c r="DRR89" s="6"/>
      <c r="DRS89" s="6"/>
      <c r="DRT89" s="6"/>
      <c r="DRU89" s="6"/>
      <c r="DRV89" s="6"/>
      <c r="DRW89" s="6"/>
      <c r="DRX89" s="6"/>
      <c r="DRY89" s="6"/>
      <c r="DRZ89" s="6"/>
      <c r="DSA89" s="6"/>
      <c r="DSB89" s="6"/>
      <c r="DSC89" s="6"/>
      <c r="DSD89" s="6"/>
      <c r="DSE89" s="6"/>
      <c r="DSF89" s="6"/>
      <c r="DSG89" s="6"/>
      <c r="DSH89" s="6"/>
      <c r="DSI89" s="6"/>
      <c r="DSJ89" s="6"/>
      <c r="DSK89" s="6"/>
      <c r="DSL89" s="6"/>
      <c r="DSM89" s="6"/>
      <c r="DSN89" s="6"/>
      <c r="DSO89" s="6"/>
      <c r="DSP89" s="6"/>
      <c r="DSQ89" s="6"/>
      <c r="DSR89" s="6"/>
      <c r="DSS89" s="6"/>
      <c r="DST89" s="6"/>
      <c r="DSU89" s="6"/>
      <c r="DSV89" s="6"/>
      <c r="DSW89" s="6"/>
      <c r="DSX89" s="6"/>
      <c r="DSY89" s="6"/>
      <c r="DSZ89" s="6"/>
      <c r="DTA89" s="6"/>
      <c r="DTB89" s="6"/>
      <c r="DTC89" s="6"/>
      <c r="DTD89" s="6"/>
      <c r="DTE89" s="6"/>
      <c r="DTF89" s="6"/>
      <c r="DTG89" s="6"/>
      <c r="DTH89" s="6"/>
      <c r="DTI89" s="6"/>
      <c r="DTJ89" s="6"/>
      <c r="DTK89" s="6"/>
      <c r="DTL89" s="6"/>
      <c r="DTM89" s="6"/>
      <c r="DTN89" s="6"/>
      <c r="DTO89" s="6"/>
      <c r="DTP89" s="6"/>
      <c r="DTQ89" s="6"/>
      <c r="DTR89" s="6"/>
      <c r="DTS89" s="6"/>
      <c r="DTT89" s="6"/>
      <c r="DTU89" s="6"/>
      <c r="DTV89" s="6"/>
      <c r="DTW89" s="6"/>
      <c r="DTX89" s="6"/>
      <c r="DTY89" s="6"/>
      <c r="DTZ89" s="6"/>
      <c r="DUA89" s="6"/>
      <c r="DUB89" s="6"/>
      <c r="DUC89" s="6"/>
      <c r="DUD89" s="6"/>
      <c r="DUE89" s="6"/>
      <c r="DUF89" s="6"/>
      <c r="DUG89" s="6"/>
      <c r="DUH89" s="6"/>
      <c r="DUI89" s="6"/>
      <c r="DUJ89" s="6"/>
      <c r="DUK89" s="6"/>
      <c r="DUL89" s="6"/>
      <c r="DUM89" s="6"/>
      <c r="DUN89" s="6"/>
      <c r="DUO89" s="6"/>
      <c r="DUP89" s="6"/>
      <c r="DUQ89" s="6"/>
      <c r="DUR89" s="6"/>
      <c r="DUS89" s="6"/>
      <c r="DUT89" s="6"/>
      <c r="DUU89" s="6"/>
      <c r="DUV89" s="6"/>
      <c r="DUW89" s="6"/>
      <c r="DUX89" s="6"/>
      <c r="DUY89" s="6"/>
      <c r="DUZ89" s="6"/>
      <c r="DVA89" s="6"/>
      <c r="DVB89" s="6"/>
      <c r="DVC89" s="6"/>
      <c r="DVD89" s="6"/>
      <c r="DVE89" s="6"/>
      <c r="DVF89" s="6"/>
      <c r="DVG89" s="6"/>
      <c r="DVH89" s="6"/>
      <c r="DVI89" s="6"/>
      <c r="DVJ89" s="6"/>
      <c r="DVK89" s="6"/>
      <c r="DVL89" s="6"/>
      <c r="DVM89" s="6"/>
      <c r="DVN89" s="6"/>
      <c r="DVO89" s="6"/>
      <c r="DVP89" s="6"/>
      <c r="DVQ89" s="6"/>
      <c r="DVR89" s="6"/>
      <c r="DVS89" s="6"/>
      <c r="DVT89" s="6"/>
      <c r="DVU89" s="6"/>
      <c r="DVV89" s="6"/>
      <c r="DVW89" s="6"/>
      <c r="DVX89" s="6"/>
      <c r="DVY89" s="6"/>
      <c r="DVZ89" s="6"/>
      <c r="DWA89" s="6"/>
      <c r="DWB89" s="6"/>
      <c r="DWC89" s="6"/>
      <c r="DWD89" s="6"/>
      <c r="DWE89" s="6"/>
      <c r="DWF89" s="6"/>
      <c r="DWG89" s="6"/>
      <c r="DWH89" s="6"/>
      <c r="DWI89" s="6"/>
      <c r="DWJ89" s="6"/>
      <c r="DWK89" s="6"/>
      <c r="DWL89" s="6"/>
      <c r="DWM89" s="6"/>
      <c r="DWN89" s="6"/>
      <c r="DWO89" s="6"/>
      <c r="DWP89" s="6"/>
      <c r="DWQ89" s="6"/>
      <c r="DWR89" s="6"/>
      <c r="DWS89" s="6"/>
      <c r="DWT89" s="6"/>
      <c r="DWU89" s="6"/>
      <c r="DWV89" s="6"/>
      <c r="DWW89" s="6"/>
      <c r="DWX89" s="6"/>
      <c r="DWY89" s="6"/>
      <c r="DWZ89" s="6"/>
      <c r="DXA89" s="6"/>
      <c r="DXB89" s="6"/>
      <c r="DXC89" s="6"/>
      <c r="DXD89" s="6"/>
      <c r="DXE89" s="6"/>
      <c r="DXF89" s="6"/>
      <c r="DXG89" s="6"/>
      <c r="DXH89" s="6"/>
      <c r="DXI89" s="6"/>
      <c r="DXJ89" s="6"/>
      <c r="DXK89" s="6"/>
      <c r="DXL89" s="6"/>
      <c r="DXM89" s="6"/>
      <c r="DXN89" s="6"/>
      <c r="DXO89" s="6"/>
      <c r="DXP89" s="6"/>
      <c r="DXQ89" s="6"/>
      <c r="DXR89" s="6"/>
      <c r="DXS89" s="6"/>
      <c r="DXT89" s="6"/>
      <c r="DXU89" s="6"/>
      <c r="DXV89" s="6"/>
      <c r="DXW89" s="6"/>
      <c r="DXX89" s="6"/>
      <c r="DXY89" s="6"/>
      <c r="DXZ89" s="6"/>
      <c r="DYA89" s="6"/>
      <c r="DYB89" s="6"/>
      <c r="DYC89" s="6"/>
      <c r="DYD89" s="6"/>
      <c r="DYE89" s="6"/>
      <c r="DYF89" s="6"/>
      <c r="DYG89" s="6"/>
      <c r="DYH89" s="6"/>
      <c r="DYI89" s="6"/>
      <c r="DYJ89" s="6"/>
      <c r="DYK89" s="6"/>
      <c r="DYL89" s="6"/>
      <c r="DYM89" s="6"/>
      <c r="DYN89" s="6"/>
      <c r="DYO89" s="6"/>
      <c r="DYP89" s="6"/>
      <c r="DYQ89" s="6"/>
      <c r="DYR89" s="6"/>
      <c r="DYS89" s="6"/>
      <c r="DYT89" s="6"/>
      <c r="DYU89" s="6"/>
      <c r="DYV89" s="6"/>
      <c r="DYW89" s="6"/>
      <c r="DYX89" s="6"/>
      <c r="DYY89" s="6"/>
      <c r="DYZ89" s="6"/>
      <c r="DZA89" s="6"/>
      <c r="DZB89" s="6"/>
      <c r="DZC89" s="6"/>
      <c r="DZD89" s="6"/>
      <c r="DZE89" s="6"/>
      <c r="DZF89" s="6"/>
      <c r="DZG89" s="6"/>
      <c r="DZH89" s="6"/>
      <c r="DZI89" s="6"/>
      <c r="DZJ89" s="6"/>
      <c r="DZK89" s="6"/>
      <c r="DZL89" s="6"/>
      <c r="DZM89" s="6"/>
      <c r="DZN89" s="6"/>
      <c r="DZO89" s="6"/>
      <c r="DZP89" s="6"/>
      <c r="DZQ89" s="6"/>
      <c r="DZR89" s="6"/>
      <c r="DZS89" s="6"/>
      <c r="DZT89" s="6"/>
      <c r="DZU89" s="6"/>
      <c r="DZV89" s="6"/>
      <c r="DZW89" s="6"/>
      <c r="DZX89" s="6"/>
      <c r="DZY89" s="6"/>
      <c r="DZZ89" s="6"/>
      <c r="EAA89" s="6"/>
      <c r="EAB89" s="6"/>
      <c r="EAC89" s="6"/>
      <c r="EAD89" s="6"/>
      <c r="EAE89" s="6"/>
      <c r="EAF89" s="6"/>
      <c r="EAG89" s="6"/>
      <c r="EAH89" s="6"/>
      <c r="EAI89" s="6"/>
      <c r="EAJ89" s="6"/>
      <c r="EAK89" s="6"/>
      <c r="EAL89" s="6"/>
      <c r="EAM89" s="6"/>
      <c r="EAN89" s="6"/>
      <c r="EAO89" s="6"/>
      <c r="EAP89" s="6"/>
      <c r="EAQ89" s="6"/>
      <c r="EAR89" s="6"/>
      <c r="EAS89" s="6"/>
      <c r="EAT89" s="6"/>
      <c r="EAU89" s="6"/>
      <c r="EAV89" s="6"/>
      <c r="EAW89" s="6"/>
      <c r="EAX89" s="6"/>
      <c r="EAY89" s="6"/>
      <c r="EAZ89" s="6"/>
      <c r="EBA89" s="6"/>
      <c r="EBB89" s="6"/>
      <c r="EBC89" s="6"/>
      <c r="EBD89" s="6"/>
      <c r="EBE89" s="6"/>
      <c r="EBF89" s="6"/>
      <c r="EBG89" s="6"/>
      <c r="EBH89" s="6"/>
      <c r="EBI89" s="6"/>
      <c r="EBJ89" s="6"/>
      <c r="EBK89" s="6"/>
      <c r="EBL89" s="6"/>
      <c r="EBM89" s="6"/>
      <c r="EBN89" s="6"/>
      <c r="EBO89" s="6"/>
      <c r="EBP89" s="6"/>
      <c r="EBQ89" s="6"/>
      <c r="EBR89" s="6"/>
      <c r="EBS89" s="6"/>
      <c r="EBT89" s="6"/>
      <c r="EBU89" s="6"/>
      <c r="EBV89" s="6"/>
      <c r="EBW89" s="6"/>
      <c r="EBX89" s="6"/>
      <c r="EBY89" s="6"/>
      <c r="EBZ89" s="6"/>
      <c r="ECA89" s="6"/>
      <c r="ECB89" s="6"/>
      <c r="ECC89" s="6"/>
      <c r="ECD89" s="6"/>
      <c r="ECE89" s="6"/>
      <c r="ECF89" s="6"/>
      <c r="ECG89" s="6"/>
      <c r="ECH89" s="6"/>
      <c r="ECI89" s="6"/>
      <c r="ECJ89" s="6"/>
      <c r="ECK89" s="6"/>
      <c r="ECL89" s="6"/>
      <c r="ECM89" s="6"/>
      <c r="ECN89" s="6"/>
      <c r="ECO89" s="6"/>
      <c r="ECP89" s="6"/>
      <c r="ECQ89" s="6"/>
      <c r="ECR89" s="6"/>
      <c r="ECS89" s="6"/>
      <c r="ECT89" s="6"/>
      <c r="ECU89" s="6"/>
      <c r="ECV89" s="6"/>
      <c r="ECW89" s="6"/>
      <c r="ECX89" s="6"/>
      <c r="ECY89" s="6"/>
      <c r="ECZ89" s="6"/>
      <c r="EDA89" s="6"/>
      <c r="EDB89" s="6"/>
      <c r="EDC89" s="6"/>
      <c r="EDD89" s="6"/>
      <c r="EDE89" s="6"/>
      <c r="EDF89" s="6"/>
      <c r="EDG89" s="6"/>
      <c r="EDH89" s="6"/>
      <c r="EDI89" s="6"/>
      <c r="EDJ89" s="6"/>
      <c r="EDK89" s="6"/>
      <c r="EDL89" s="6"/>
      <c r="EDM89" s="6"/>
      <c r="EDN89" s="6"/>
      <c r="EDO89" s="6"/>
      <c r="EDP89" s="6"/>
      <c r="EDQ89" s="6"/>
      <c r="EDR89" s="6"/>
      <c r="EDS89" s="6"/>
      <c r="EDT89" s="6"/>
      <c r="EDU89" s="6"/>
      <c r="EDV89" s="6"/>
      <c r="EDW89" s="6"/>
      <c r="EDX89" s="6"/>
      <c r="EDY89" s="6"/>
      <c r="EDZ89" s="6"/>
      <c r="EEA89" s="6"/>
      <c r="EEB89" s="6"/>
      <c r="EEC89" s="6"/>
      <c r="EED89" s="6"/>
      <c r="EEE89" s="6"/>
      <c r="EEF89" s="6"/>
      <c r="EEG89" s="6"/>
      <c r="EEH89" s="6"/>
      <c r="EEI89" s="6"/>
      <c r="EEJ89" s="6"/>
      <c r="EEK89" s="6"/>
      <c r="EEL89" s="6"/>
      <c r="EEM89" s="6"/>
      <c r="EEN89" s="6"/>
      <c r="EEO89" s="6"/>
      <c r="EEP89" s="6"/>
      <c r="EEQ89" s="6"/>
      <c r="EER89" s="6"/>
      <c r="EES89" s="6"/>
      <c r="EET89" s="6"/>
      <c r="EEU89" s="6"/>
      <c r="EEV89" s="6"/>
      <c r="EEW89" s="6"/>
      <c r="EEX89" s="6"/>
      <c r="EEY89" s="6"/>
      <c r="EEZ89" s="6"/>
      <c r="EFA89" s="6"/>
      <c r="EFB89" s="6"/>
      <c r="EFC89" s="6"/>
      <c r="EFD89" s="6"/>
      <c r="EFE89" s="6"/>
      <c r="EFF89" s="6"/>
      <c r="EFG89" s="6"/>
      <c r="EFH89" s="6"/>
      <c r="EFI89" s="6"/>
      <c r="EFJ89" s="6"/>
      <c r="EFK89" s="6"/>
      <c r="EFL89" s="6"/>
      <c r="EFM89" s="6"/>
      <c r="EFN89" s="6"/>
      <c r="EFO89" s="6"/>
      <c r="EFP89" s="6"/>
      <c r="EFQ89" s="6"/>
      <c r="EFR89" s="6"/>
      <c r="EFS89" s="6"/>
      <c r="EFT89" s="6"/>
      <c r="EFU89" s="6"/>
      <c r="EFV89" s="6"/>
      <c r="EFW89" s="6"/>
      <c r="EFX89" s="6"/>
      <c r="EFY89" s="6"/>
      <c r="EFZ89" s="6"/>
      <c r="EGA89" s="6"/>
      <c r="EGB89" s="6"/>
      <c r="EGC89" s="6"/>
      <c r="EGD89" s="6"/>
      <c r="EGE89" s="6"/>
      <c r="EGF89" s="6"/>
      <c r="EGG89" s="6"/>
      <c r="EGH89" s="6"/>
      <c r="EGI89" s="6"/>
      <c r="EGJ89" s="6"/>
      <c r="EGK89" s="6"/>
      <c r="EGL89" s="6"/>
      <c r="EGM89" s="6"/>
      <c r="EGN89" s="6"/>
      <c r="EGO89" s="6"/>
      <c r="EGP89" s="6"/>
      <c r="EGQ89" s="6"/>
      <c r="EGR89" s="6"/>
      <c r="EGS89" s="6"/>
      <c r="EGT89" s="6"/>
      <c r="EGU89" s="6"/>
      <c r="EGV89" s="6"/>
      <c r="EGW89" s="6"/>
      <c r="EGX89" s="6"/>
      <c r="EGY89" s="6"/>
      <c r="EGZ89" s="6"/>
      <c r="EHA89" s="6"/>
      <c r="EHB89" s="6"/>
      <c r="EHC89" s="6"/>
      <c r="EHD89" s="6"/>
      <c r="EHE89" s="6"/>
      <c r="EHF89" s="6"/>
      <c r="EHG89" s="6"/>
      <c r="EHH89" s="6"/>
      <c r="EHI89" s="6"/>
      <c r="EHJ89" s="6"/>
      <c r="EHK89" s="6"/>
      <c r="EHL89" s="6"/>
      <c r="EHM89" s="6"/>
      <c r="EHN89" s="6"/>
      <c r="EHO89" s="6"/>
      <c r="EHP89" s="6"/>
      <c r="EHQ89" s="6"/>
      <c r="EHR89" s="6"/>
      <c r="EHS89" s="6"/>
      <c r="EHT89" s="6"/>
      <c r="EHU89" s="6"/>
      <c r="EHV89" s="6"/>
      <c r="EHW89" s="6"/>
      <c r="EHX89" s="6"/>
      <c r="EHY89" s="6"/>
      <c r="EHZ89" s="6"/>
      <c r="EIA89" s="6"/>
      <c r="EIB89" s="6"/>
      <c r="EIC89" s="6"/>
      <c r="EID89" s="6"/>
      <c r="EIE89" s="6"/>
      <c r="EIF89" s="6"/>
      <c r="EIG89" s="6"/>
      <c r="EIH89" s="6"/>
      <c r="EII89" s="6"/>
      <c r="EIJ89" s="6"/>
      <c r="EIK89" s="6"/>
      <c r="EIL89" s="6"/>
      <c r="EIM89" s="6"/>
      <c r="EIN89" s="6"/>
      <c r="EIO89" s="6"/>
      <c r="EIP89" s="6"/>
      <c r="EIQ89" s="6"/>
      <c r="EIR89" s="6"/>
      <c r="EIS89" s="6"/>
      <c r="EIT89" s="6"/>
      <c r="EIU89" s="6"/>
      <c r="EIV89" s="6"/>
      <c r="EIW89" s="6"/>
      <c r="EIX89" s="6"/>
      <c r="EIY89" s="6"/>
      <c r="EIZ89" s="6"/>
      <c r="EJA89" s="6"/>
      <c r="EJB89" s="6"/>
      <c r="EJC89" s="6"/>
      <c r="EJD89" s="6"/>
      <c r="EJE89" s="6"/>
      <c r="EJF89" s="6"/>
      <c r="EJG89" s="6"/>
      <c r="EJH89" s="6"/>
      <c r="EJI89" s="6"/>
      <c r="EJJ89" s="6"/>
      <c r="EJK89" s="6"/>
      <c r="EJL89" s="6"/>
      <c r="EJM89" s="6"/>
      <c r="EJN89" s="6"/>
      <c r="EJO89" s="6"/>
      <c r="EJP89" s="6"/>
      <c r="EJQ89" s="6"/>
      <c r="EJR89" s="6"/>
      <c r="EJS89" s="6"/>
      <c r="EJT89" s="6"/>
      <c r="EJU89" s="6"/>
      <c r="EJV89" s="6"/>
      <c r="EJW89" s="6"/>
      <c r="EJX89" s="6"/>
      <c r="EJY89" s="6"/>
      <c r="EJZ89" s="6"/>
      <c r="EKA89" s="6"/>
      <c r="EKB89" s="6"/>
      <c r="EKC89" s="6"/>
      <c r="EKD89" s="6"/>
      <c r="EKE89" s="6"/>
      <c r="EKF89" s="6"/>
      <c r="EKG89" s="6"/>
      <c r="EKH89" s="6"/>
      <c r="EKI89" s="6"/>
      <c r="EKJ89" s="6"/>
      <c r="EKK89" s="6"/>
      <c r="EKL89" s="6"/>
      <c r="EKM89" s="6"/>
      <c r="EKN89" s="6"/>
      <c r="EKO89" s="6"/>
      <c r="EKP89" s="6"/>
      <c r="EKQ89" s="6"/>
      <c r="EKR89" s="6"/>
      <c r="EKS89" s="6"/>
      <c r="EKT89" s="6"/>
      <c r="EKU89" s="6"/>
      <c r="EKV89" s="6"/>
      <c r="EKW89" s="6"/>
      <c r="EKX89" s="6"/>
      <c r="EKY89" s="6"/>
      <c r="EKZ89" s="6"/>
      <c r="ELA89" s="6"/>
      <c r="ELB89" s="6"/>
      <c r="ELC89" s="6"/>
      <c r="ELD89" s="6"/>
      <c r="ELE89" s="6"/>
      <c r="ELF89" s="6"/>
      <c r="ELG89" s="6"/>
      <c r="ELH89" s="6"/>
      <c r="ELI89" s="6"/>
      <c r="ELJ89" s="6"/>
      <c r="ELK89" s="6"/>
      <c r="ELL89" s="6"/>
      <c r="ELM89" s="6"/>
      <c r="ELN89" s="6"/>
      <c r="ELO89" s="6"/>
      <c r="ELP89" s="6"/>
      <c r="ELQ89" s="6"/>
      <c r="ELR89" s="6"/>
      <c r="ELS89" s="6"/>
      <c r="ELT89" s="6"/>
      <c r="ELU89" s="6"/>
      <c r="ELV89" s="6"/>
      <c r="ELW89" s="6"/>
      <c r="ELX89" s="6"/>
      <c r="ELY89" s="6"/>
      <c r="ELZ89" s="6"/>
      <c r="EMA89" s="6"/>
      <c r="EMB89" s="6"/>
      <c r="EMC89" s="6"/>
      <c r="EMD89" s="6"/>
      <c r="EME89" s="6"/>
      <c r="EMF89" s="6"/>
      <c r="EMG89" s="6"/>
      <c r="EMH89" s="6"/>
      <c r="EMI89" s="6"/>
      <c r="EMJ89" s="6"/>
      <c r="EMK89" s="6"/>
      <c r="EML89" s="6"/>
      <c r="EMM89" s="6"/>
      <c r="EMN89" s="6"/>
      <c r="EMO89" s="6"/>
      <c r="EMP89" s="6"/>
      <c r="EMQ89" s="6"/>
      <c r="EMR89" s="6"/>
      <c r="EMS89" s="6"/>
      <c r="EMT89" s="6"/>
      <c r="EMU89" s="6"/>
      <c r="EMV89" s="6"/>
      <c r="EMW89" s="6"/>
      <c r="EMX89" s="6"/>
      <c r="EMY89" s="6"/>
      <c r="EMZ89" s="6"/>
      <c r="ENA89" s="6"/>
      <c r="ENB89" s="6"/>
      <c r="ENC89" s="6"/>
      <c r="END89" s="6"/>
      <c r="ENE89" s="6"/>
      <c r="ENF89" s="6"/>
      <c r="ENG89" s="6"/>
      <c r="ENH89" s="6"/>
      <c r="ENI89" s="6"/>
      <c r="ENJ89" s="6"/>
      <c r="ENK89" s="6"/>
      <c r="ENL89" s="6"/>
      <c r="ENM89" s="6"/>
      <c r="ENN89" s="6"/>
      <c r="ENO89" s="6"/>
      <c r="ENP89" s="6"/>
      <c r="ENQ89" s="6"/>
      <c r="ENR89" s="6"/>
      <c r="ENS89" s="6"/>
      <c r="ENT89" s="6"/>
      <c r="ENU89" s="6"/>
      <c r="ENV89" s="6"/>
      <c r="ENW89" s="6"/>
      <c r="ENX89" s="6"/>
      <c r="ENY89" s="6"/>
      <c r="ENZ89" s="6"/>
      <c r="EOA89" s="6"/>
      <c r="EOB89" s="6"/>
      <c r="EOC89" s="6"/>
      <c r="EOD89" s="6"/>
      <c r="EOE89" s="6"/>
      <c r="EOF89" s="6"/>
      <c r="EOG89" s="6"/>
      <c r="EOH89" s="6"/>
      <c r="EOI89" s="6"/>
      <c r="EOJ89" s="6"/>
      <c r="EOK89" s="6"/>
      <c r="EOL89" s="6"/>
      <c r="EOM89" s="6"/>
      <c r="EON89" s="6"/>
      <c r="EOO89" s="6"/>
      <c r="EOP89" s="6"/>
      <c r="EOQ89" s="6"/>
      <c r="EOR89" s="6"/>
      <c r="EOS89" s="6"/>
      <c r="EOT89" s="6"/>
      <c r="EOU89" s="6"/>
      <c r="EOV89" s="6"/>
      <c r="EOW89" s="6"/>
      <c r="EOX89" s="6"/>
      <c r="EOY89" s="6"/>
      <c r="EOZ89" s="6"/>
      <c r="EPA89" s="6"/>
      <c r="EPB89" s="6"/>
      <c r="EPC89" s="6"/>
      <c r="EPD89" s="6"/>
      <c r="EPE89" s="6"/>
      <c r="EPF89" s="6"/>
      <c r="EPG89" s="6"/>
      <c r="EPH89" s="6"/>
      <c r="EPI89" s="6"/>
      <c r="EPJ89" s="6"/>
      <c r="EPK89" s="6"/>
      <c r="EPL89" s="6"/>
      <c r="EPM89" s="6"/>
      <c r="EPN89" s="6"/>
      <c r="EPO89" s="6"/>
      <c r="EPP89" s="6"/>
      <c r="EPQ89" s="6"/>
      <c r="EPR89" s="6"/>
      <c r="EPS89" s="6"/>
      <c r="EPT89" s="6"/>
      <c r="EPU89" s="6"/>
      <c r="EPV89" s="6"/>
      <c r="EPW89" s="6"/>
      <c r="EPX89" s="6"/>
      <c r="EPY89" s="6"/>
      <c r="EPZ89" s="6"/>
      <c r="EQA89" s="6"/>
      <c r="EQB89" s="6"/>
      <c r="EQC89" s="6"/>
      <c r="EQD89" s="6"/>
      <c r="EQE89" s="6"/>
      <c r="EQF89" s="6"/>
      <c r="EQG89" s="6"/>
      <c r="EQH89" s="6"/>
      <c r="EQI89" s="6"/>
      <c r="EQJ89" s="6"/>
      <c r="EQK89" s="6"/>
      <c r="EQL89" s="6"/>
      <c r="EQM89" s="6"/>
      <c r="EQN89" s="6"/>
      <c r="EQO89" s="6"/>
      <c r="EQP89" s="6"/>
      <c r="EQQ89" s="6"/>
      <c r="EQR89" s="6"/>
      <c r="EQS89" s="6"/>
      <c r="EQT89" s="6"/>
      <c r="EQU89" s="6"/>
      <c r="EQV89" s="6"/>
      <c r="EQW89" s="6"/>
      <c r="EQX89" s="6"/>
      <c r="EQY89" s="6"/>
      <c r="EQZ89" s="6"/>
      <c r="ERA89" s="6"/>
      <c r="ERB89" s="6"/>
      <c r="ERC89" s="6"/>
      <c r="ERD89" s="6"/>
      <c r="ERE89" s="6"/>
      <c r="ERF89" s="6"/>
      <c r="ERG89" s="6"/>
      <c r="ERH89" s="6"/>
      <c r="ERI89" s="6"/>
      <c r="ERJ89" s="6"/>
      <c r="ERK89" s="6"/>
      <c r="ERL89" s="6"/>
      <c r="ERM89" s="6"/>
      <c r="ERN89" s="6"/>
      <c r="ERO89" s="6"/>
      <c r="ERP89" s="6"/>
      <c r="ERQ89" s="6"/>
      <c r="ERR89" s="6"/>
      <c r="ERS89" s="6"/>
      <c r="ERT89" s="6"/>
      <c r="ERU89" s="6"/>
      <c r="ERV89" s="6"/>
      <c r="ERW89" s="6"/>
      <c r="ERX89" s="6"/>
      <c r="ERY89" s="6"/>
      <c r="ERZ89" s="6"/>
      <c r="ESA89" s="6"/>
      <c r="ESB89" s="6"/>
      <c r="ESC89" s="6"/>
      <c r="ESD89" s="6"/>
      <c r="ESE89" s="6"/>
      <c r="ESF89" s="6"/>
      <c r="ESG89" s="6"/>
      <c r="ESH89" s="6"/>
      <c r="ESI89" s="6"/>
      <c r="ESJ89" s="6"/>
      <c r="ESK89" s="6"/>
      <c r="ESL89" s="6"/>
      <c r="ESM89" s="6"/>
      <c r="ESN89" s="6"/>
      <c r="ESO89" s="6"/>
      <c r="ESP89" s="6"/>
      <c r="ESQ89" s="6"/>
      <c r="ESR89" s="6"/>
      <c r="ESS89" s="6"/>
      <c r="EST89" s="6"/>
      <c r="ESU89" s="6"/>
      <c r="ESV89" s="6"/>
      <c r="ESW89" s="6"/>
      <c r="ESX89" s="6"/>
      <c r="ESY89" s="6"/>
      <c r="ESZ89" s="6"/>
      <c r="ETA89" s="6"/>
      <c r="ETB89" s="6"/>
      <c r="ETC89" s="6"/>
      <c r="ETD89" s="6"/>
      <c r="ETE89" s="6"/>
      <c r="ETF89" s="6"/>
      <c r="ETG89" s="6"/>
      <c r="ETH89" s="6"/>
      <c r="ETI89" s="6"/>
      <c r="ETJ89" s="6"/>
      <c r="ETK89" s="6"/>
      <c r="ETL89" s="6"/>
      <c r="ETM89" s="6"/>
      <c r="ETN89" s="6"/>
      <c r="ETO89" s="6"/>
      <c r="ETP89" s="6"/>
      <c r="ETQ89" s="6"/>
      <c r="ETR89" s="6"/>
      <c r="ETS89" s="6"/>
      <c r="ETT89" s="6"/>
      <c r="ETU89" s="6"/>
      <c r="ETV89" s="6"/>
      <c r="ETW89" s="6"/>
      <c r="ETX89" s="6"/>
      <c r="ETY89" s="6"/>
      <c r="ETZ89" s="6"/>
      <c r="EUA89" s="6"/>
      <c r="EUB89" s="6"/>
      <c r="EUC89" s="6"/>
      <c r="EUD89" s="6"/>
      <c r="EUE89" s="6"/>
      <c r="EUF89" s="6"/>
      <c r="EUG89" s="6"/>
      <c r="EUH89" s="6"/>
      <c r="EUI89" s="6"/>
      <c r="EUJ89" s="6"/>
      <c r="EUK89" s="6"/>
      <c r="EUL89" s="6"/>
      <c r="EUM89" s="6"/>
      <c r="EUN89" s="6"/>
      <c r="EUO89" s="6"/>
      <c r="EUP89" s="6"/>
      <c r="EUQ89" s="6"/>
      <c r="EUR89" s="6"/>
      <c r="EUS89" s="6"/>
      <c r="EUT89" s="6"/>
      <c r="EUU89" s="6"/>
      <c r="EUV89" s="6"/>
      <c r="EUW89" s="6"/>
      <c r="EUX89" s="6"/>
      <c r="EUY89" s="6"/>
      <c r="EUZ89" s="6"/>
      <c r="EVA89" s="6"/>
      <c r="EVB89" s="6"/>
      <c r="EVC89" s="6"/>
      <c r="EVD89" s="6"/>
      <c r="EVE89" s="6"/>
      <c r="EVF89" s="6"/>
      <c r="EVG89" s="6"/>
      <c r="EVH89" s="6"/>
      <c r="EVI89" s="6"/>
      <c r="EVJ89" s="6"/>
      <c r="EVK89" s="6"/>
      <c r="EVL89" s="6"/>
      <c r="EVM89" s="6"/>
      <c r="EVN89" s="6"/>
      <c r="EVO89" s="6"/>
      <c r="EVP89" s="6"/>
      <c r="EVQ89" s="6"/>
      <c r="EVR89" s="6"/>
      <c r="EVS89" s="6"/>
      <c r="EVT89" s="6"/>
      <c r="EVU89" s="6"/>
      <c r="EVV89" s="6"/>
      <c r="EVW89" s="6"/>
      <c r="EVX89" s="6"/>
      <c r="EVY89" s="6"/>
      <c r="EVZ89" s="6"/>
      <c r="EWA89" s="6"/>
      <c r="EWB89" s="6"/>
      <c r="EWC89" s="6"/>
      <c r="EWD89" s="6"/>
      <c r="EWE89" s="6"/>
      <c r="EWF89" s="6"/>
      <c r="EWG89" s="6"/>
      <c r="EWH89" s="6"/>
      <c r="EWI89" s="6"/>
      <c r="EWJ89" s="6"/>
      <c r="EWK89" s="6"/>
      <c r="EWL89" s="6"/>
      <c r="EWM89" s="6"/>
      <c r="EWN89" s="6"/>
      <c r="EWO89" s="6"/>
      <c r="EWP89" s="6"/>
      <c r="EWQ89" s="6"/>
      <c r="EWR89" s="6"/>
      <c r="EWS89" s="6"/>
      <c r="EWT89" s="6"/>
      <c r="EWU89" s="6"/>
      <c r="EWV89" s="6"/>
      <c r="EWW89" s="6"/>
      <c r="EWX89" s="6"/>
      <c r="EWY89" s="6"/>
      <c r="EWZ89" s="6"/>
      <c r="EXA89" s="6"/>
      <c r="EXB89" s="6"/>
      <c r="EXC89" s="6"/>
      <c r="EXD89" s="6"/>
      <c r="EXE89" s="6"/>
      <c r="EXF89" s="6"/>
      <c r="EXG89" s="6"/>
      <c r="EXH89" s="6"/>
      <c r="EXI89" s="6"/>
      <c r="EXJ89" s="6"/>
      <c r="EXK89" s="6"/>
      <c r="EXL89" s="6"/>
      <c r="EXM89" s="6"/>
      <c r="EXN89" s="6"/>
      <c r="EXO89" s="6"/>
      <c r="EXP89" s="6"/>
      <c r="EXQ89" s="6"/>
      <c r="EXR89" s="6"/>
      <c r="EXS89" s="6"/>
      <c r="EXT89" s="6"/>
      <c r="EXU89" s="6"/>
      <c r="EXV89" s="6"/>
      <c r="EXW89" s="6"/>
      <c r="EXX89" s="6"/>
      <c r="EXY89" s="6"/>
      <c r="EXZ89" s="6"/>
      <c r="EYA89" s="6"/>
      <c r="EYB89" s="6"/>
      <c r="EYC89" s="6"/>
      <c r="EYD89" s="6"/>
      <c r="EYE89" s="6"/>
      <c r="EYF89" s="6"/>
      <c r="EYG89" s="6"/>
      <c r="EYH89" s="6"/>
      <c r="EYI89" s="6"/>
      <c r="EYJ89" s="6"/>
      <c r="EYK89" s="6"/>
      <c r="EYL89" s="6"/>
      <c r="EYM89" s="6"/>
      <c r="EYN89" s="6"/>
      <c r="EYO89" s="6"/>
      <c r="EYP89" s="6"/>
      <c r="EYQ89" s="6"/>
      <c r="EYR89" s="6"/>
      <c r="EYS89" s="6"/>
      <c r="EYT89" s="6"/>
      <c r="EYU89" s="6"/>
      <c r="EYV89" s="6"/>
      <c r="EYW89" s="6"/>
      <c r="EYX89" s="6"/>
      <c r="EYY89" s="6"/>
      <c r="EYZ89" s="6"/>
      <c r="EZA89" s="6"/>
      <c r="EZB89" s="6"/>
      <c r="EZC89" s="6"/>
      <c r="EZD89" s="6"/>
      <c r="EZE89" s="6"/>
      <c r="EZF89" s="6"/>
      <c r="EZG89" s="6"/>
      <c r="EZH89" s="6"/>
      <c r="EZI89" s="6"/>
      <c r="EZJ89" s="6"/>
      <c r="EZK89" s="6"/>
      <c r="EZL89" s="6"/>
      <c r="EZM89" s="6"/>
      <c r="EZN89" s="6"/>
      <c r="EZO89" s="6"/>
      <c r="EZP89" s="6"/>
      <c r="EZQ89" s="6"/>
      <c r="EZR89" s="6"/>
      <c r="EZS89" s="6"/>
      <c r="EZT89" s="6"/>
      <c r="EZU89" s="6"/>
      <c r="EZV89" s="6"/>
      <c r="EZW89" s="6"/>
      <c r="EZX89" s="6"/>
      <c r="EZY89" s="6"/>
      <c r="EZZ89" s="6"/>
      <c r="FAA89" s="6"/>
      <c r="FAB89" s="6"/>
      <c r="FAC89" s="6"/>
      <c r="FAD89" s="6"/>
      <c r="FAE89" s="6"/>
      <c r="FAF89" s="6"/>
      <c r="FAG89" s="6"/>
      <c r="FAH89" s="6"/>
      <c r="FAI89" s="6"/>
      <c r="FAJ89" s="6"/>
      <c r="FAK89" s="6"/>
      <c r="FAL89" s="6"/>
      <c r="FAM89" s="6"/>
      <c r="FAN89" s="6"/>
      <c r="FAO89" s="6"/>
      <c r="FAP89" s="6"/>
      <c r="FAQ89" s="6"/>
      <c r="FAR89" s="6"/>
      <c r="FAS89" s="6"/>
      <c r="FAT89" s="6"/>
      <c r="FAU89" s="6"/>
      <c r="FAV89" s="6"/>
      <c r="FAW89" s="6"/>
      <c r="FAX89" s="6"/>
      <c r="FAY89" s="6"/>
      <c r="FAZ89" s="6"/>
      <c r="FBA89" s="6"/>
      <c r="FBB89" s="6"/>
      <c r="FBC89" s="6"/>
      <c r="FBD89" s="6"/>
      <c r="FBE89" s="6"/>
      <c r="FBF89" s="6"/>
      <c r="FBG89" s="6"/>
      <c r="FBH89" s="6"/>
      <c r="FBI89" s="6"/>
      <c r="FBJ89" s="6"/>
      <c r="FBK89" s="6"/>
      <c r="FBL89" s="6"/>
      <c r="FBM89" s="6"/>
      <c r="FBN89" s="6"/>
      <c r="FBO89" s="6"/>
      <c r="FBP89" s="6"/>
      <c r="FBQ89" s="6"/>
      <c r="FBR89" s="6"/>
      <c r="FBS89" s="6"/>
      <c r="FBT89" s="6"/>
      <c r="FBU89" s="6"/>
      <c r="FBV89" s="6"/>
      <c r="FBW89" s="6"/>
      <c r="FBX89" s="6"/>
      <c r="FBY89" s="6"/>
      <c r="FBZ89" s="6"/>
      <c r="FCA89" s="6"/>
      <c r="FCB89" s="6"/>
      <c r="FCC89" s="6"/>
      <c r="FCD89" s="6"/>
      <c r="FCE89" s="6"/>
      <c r="FCF89" s="6"/>
      <c r="FCG89" s="6"/>
      <c r="FCH89" s="6"/>
      <c r="FCI89" s="6"/>
      <c r="FCJ89" s="6"/>
      <c r="FCK89" s="6"/>
      <c r="FCL89" s="6"/>
      <c r="FCM89" s="6"/>
      <c r="FCN89" s="6"/>
      <c r="FCO89" s="6"/>
      <c r="FCP89" s="6"/>
      <c r="FCQ89" s="6"/>
      <c r="FCR89" s="6"/>
      <c r="FCS89" s="6"/>
      <c r="FCT89" s="6"/>
      <c r="FCU89" s="6"/>
      <c r="FCV89" s="6"/>
      <c r="FCW89" s="6"/>
      <c r="FCX89" s="6"/>
      <c r="FCY89" s="6"/>
      <c r="FCZ89" s="6"/>
      <c r="FDA89" s="6"/>
      <c r="FDB89" s="6"/>
      <c r="FDC89" s="6"/>
      <c r="FDD89" s="6"/>
      <c r="FDE89" s="6"/>
      <c r="FDF89" s="6"/>
      <c r="FDG89" s="6"/>
      <c r="FDH89" s="6"/>
      <c r="FDI89" s="6"/>
      <c r="FDJ89" s="6"/>
      <c r="FDK89" s="6"/>
      <c r="FDL89" s="6"/>
      <c r="FDM89" s="6"/>
      <c r="FDN89" s="6"/>
      <c r="FDO89" s="6"/>
      <c r="FDP89" s="6"/>
      <c r="FDQ89" s="6"/>
      <c r="FDR89" s="6"/>
      <c r="FDS89" s="6"/>
      <c r="FDT89" s="6"/>
      <c r="FDU89" s="6"/>
      <c r="FDV89" s="6"/>
      <c r="FDW89" s="6"/>
      <c r="FDX89" s="6"/>
      <c r="FDY89" s="6"/>
      <c r="FDZ89" s="6"/>
      <c r="FEA89" s="6"/>
      <c r="FEB89" s="6"/>
      <c r="FEC89" s="6"/>
      <c r="FED89" s="6"/>
      <c r="FEE89" s="6"/>
      <c r="FEF89" s="6"/>
      <c r="FEG89" s="6"/>
      <c r="FEH89" s="6"/>
      <c r="FEI89" s="6"/>
      <c r="FEJ89" s="6"/>
      <c r="FEK89" s="6"/>
      <c r="FEL89" s="6"/>
      <c r="FEM89" s="6"/>
      <c r="FEN89" s="6"/>
      <c r="FEO89" s="6"/>
      <c r="FEP89" s="6"/>
      <c r="FEQ89" s="6"/>
      <c r="FER89" s="6"/>
      <c r="FES89" s="6"/>
      <c r="FET89" s="6"/>
      <c r="FEU89" s="6"/>
      <c r="FEV89" s="6"/>
      <c r="FEW89" s="6"/>
      <c r="FEX89" s="6"/>
      <c r="FEY89" s="6"/>
      <c r="FEZ89" s="6"/>
      <c r="FFA89" s="6"/>
      <c r="FFB89" s="6"/>
      <c r="FFC89" s="6"/>
      <c r="FFD89" s="6"/>
      <c r="FFE89" s="6"/>
      <c r="FFF89" s="6"/>
      <c r="FFG89" s="6"/>
      <c r="FFH89" s="6"/>
      <c r="FFI89" s="6"/>
      <c r="FFJ89" s="6"/>
      <c r="FFK89" s="6"/>
      <c r="FFL89" s="6"/>
      <c r="FFM89" s="6"/>
      <c r="FFN89" s="6"/>
      <c r="FFO89" s="6"/>
      <c r="FFP89" s="6"/>
      <c r="FFQ89" s="6"/>
      <c r="FFR89" s="6"/>
      <c r="FFS89" s="6"/>
      <c r="FFT89" s="6"/>
      <c r="FFU89" s="6"/>
      <c r="FFV89" s="6"/>
      <c r="FFW89" s="6"/>
      <c r="FFX89" s="6"/>
      <c r="FFY89" s="6"/>
      <c r="FFZ89" s="6"/>
      <c r="FGA89" s="6"/>
      <c r="FGB89" s="6"/>
      <c r="FGC89" s="6"/>
      <c r="FGD89" s="6"/>
      <c r="FGE89" s="6"/>
      <c r="FGF89" s="6"/>
      <c r="FGG89" s="6"/>
      <c r="FGH89" s="6"/>
      <c r="FGI89" s="6"/>
      <c r="FGJ89" s="6"/>
      <c r="FGK89" s="6"/>
      <c r="FGL89" s="6"/>
      <c r="FGM89" s="6"/>
      <c r="FGN89" s="6"/>
      <c r="FGO89" s="6"/>
      <c r="FGP89" s="6"/>
      <c r="FGQ89" s="6"/>
      <c r="FGR89" s="6"/>
      <c r="FGS89" s="6"/>
      <c r="FGT89" s="6"/>
      <c r="FGU89" s="6"/>
      <c r="FGV89" s="6"/>
      <c r="FGW89" s="6"/>
      <c r="FGX89" s="6"/>
      <c r="FGY89" s="6"/>
      <c r="FGZ89" s="6"/>
      <c r="FHA89" s="6"/>
      <c r="FHB89" s="6"/>
      <c r="FHC89" s="6"/>
      <c r="FHD89" s="6"/>
      <c r="FHE89" s="6"/>
      <c r="FHF89" s="6"/>
      <c r="FHG89" s="6"/>
      <c r="FHH89" s="6"/>
      <c r="FHI89" s="6"/>
      <c r="FHJ89" s="6"/>
      <c r="FHK89" s="6"/>
      <c r="FHL89" s="6"/>
      <c r="FHM89" s="6"/>
      <c r="FHN89" s="6"/>
      <c r="FHO89" s="6"/>
      <c r="FHP89" s="6"/>
      <c r="FHQ89" s="6"/>
      <c r="FHR89" s="6"/>
      <c r="FHS89" s="6"/>
      <c r="FHT89" s="6"/>
      <c r="FHU89" s="6"/>
      <c r="FHV89" s="6"/>
      <c r="FHW89" s="6"/>
      <c r="FHX89" s="6"/>
      <c r="FHY89" s="6"/>
      <c r="FHZ89" s="6"/>
      <c r="FIA89" s="6"/>
      <c r="FIB89" s="6"/>
      <c r="FIC89" s="6"/>
      <c r="FID89" s="6"/>
      <c r="FIE89" s="6"/>
      <c r="FIF89" s="6"/>
      <c r="FIG89" s="6"/>
      <c r="FIH89" s="6"/>
      <c r="FII89" s="6"/>
      <c r="FIJ89" s="6"/>
      <c r="FIK89" s="6"/>
      <c r="FIL89" s="6"/>
      <c r="FIM89" s="6"/>
      <c r="FIN89" s="6"/>
      <c r="FIO89" s="6"/>
      <c r="FIP89" s="6"/>
      <c r="FIQ89" s="6"/>
      <c r="FIR89" s="6"/>
      <c r="FIS89" s="6"/>
      <c r="FIT89" s="6"/>
      <c r="FIU89" s="6"/>
      <c r="FIV89" s="6"/>
      <c r="FIW89" s="6"/>
      <c r="FIX89" s="6"/>
      <c r="FIY89" s="6"/>
      <c r="FIZ89" s="6"/>
      <c r="FJA89" s="6"/>
      <c r="FJB89" s="6"/>
      <c r="FJC89" s="6"/>
      <c r="FJD89" s="6"/>
      <c r="FJE89" s="6"/>
      <c r="FJF89" s="6"/>
      <c r="FJG89" s="6"/>
      <c r="FJH89" s="6"/>
      <c r="FJI89" s="6"/>
      <c r="FJJ89" s="6"/>
      <c r="FJK89" s="6"/>
      <c r="FJL89" s="6"/>
      <c r="FJM89" s="6"/>
      <c r="FJN89" s="6"/>
      <c r="FJO89" s="6"/>
      <c r="FJP89" s="6"/>
      <c r="FJQ89" s="6"/>
      <c r="FJR89" s="6"/>
      <c r="FJS89" s="6"/>
      <c r="FJT89" s="6"/>
      <c r="FJU89" s="6"/>
      <c r="FJV89" s="6"/>
      <c r="FJW89" s="6"/>
      <c r="FJX89" s="6"/>
      <c r="FJY89" s="6"/>
      <c r="FJZ89" s="6"/>
      <c r="FKA89" s="6"/>
      <c r="FKB89" s="6"/>
      <c r="FKC89" s="6"/>
      <c r="FKD89" s="6"/>
      <c r="FKE89" s="6"/>
      <c r="FKF89" s="6"/>
      <c r="FKG89" s="6"/>
      <c r="FKH89" s="6"/>
      <c r="FKI89" s="6"/>
      <c r="FKJ89" s="6"/>
      <c r="FKK89" s="6"/>
      <c r="FKL89" s="6"/>
      <c r="FKM89" s="6"/>
      <c r="FKN89" s="6"/>
      <c r="FKO89" s="6"/>
      <c r="FKP89" s="6"/>
      <c r="FKQ89" s="6"/>
      <c r="FKR89" s="6"/>
      <c r="FKS89" s="6"/>
      <c r="FKT89" s="6"/>
      <c r="FKU89" s="6"/>
      <c r="FKV89" s="6"/>
      <c r="FKW89" s="6"/>
      <c r="FKX89" s="6"/>
      <c r="FKY89" s="6"/>
      <c r="FKZ89" s="6"/>
      <c r="FLA89" s="6"/>
      <c r="FLB89" s="6"/>
      <c r="FLC89" s="6"/>
      <c r="FLD89" s="6"/>
      <c r="FLE89" s="6"/>
      <c r="FLF89" s="6"/>
      <c r="FLG89" s="6"/>
      <c r="FLH89" s="6"/>
      <c r="FLI89" s="6"/>
      <c r="FLJ89" s="6"/>
      <c r="FLK89" s="6"/>
      <c r="FLL89" s="6"/>
      <c r="FLM89" s="6"/>
      <c r="FLN89" s="6"/>
      <c r="FLO89" s="6"/>
      <c r="FLP89" s="6"/>
      <c r="FLQ89" s="6"/>
      <c r="FLR89" s="6"/>
      <c r="FLS89" s="6"/>
      <c r="FLT89" s="6"/>
      <c r="FLU89" s="6"/>
      <c r="FLV89" s="6"/>
      <c r="FLW89" s="6"/>
      <c r="FLX89" s="6"/>
      <c r="FLY89" s="6"/>
      <c r="FLZ89" s="6"/>
      <c r="FMA89" s="6"/>
      <c r="FMB89" s="6"/>
      <c r="FMC89" s="6"/>
      <c r="FMD89" s="6"/>
      <c r="FME89" s="6"/>
      <c r="FMF89" s="6"/>
      <c r="FMG89" s="6"/>
      <c r="FMH89" s="6"/>
      <c r="FMI89" s="6"/>
      <c r="FMJ89" s="6"/>
      <c r="FMK89" s="6"/>
      <c r="FML89" s="6"/>
      <c r="FMM89" s="6"/>
      <c r="FMN89" s="6"/>
      <c r="FMO89" s="6"/>
      <c r="FMP89" s="6"/>
      <c r="FMQ89" s="6"/>
      <c r="FMR89" s="6"/>
      <c r="FMS89" s="6"/>
      <c r="FMT89" s="6"/>
      <c r="FMU89" s="6"/>
      <c r="FMV89" s="6"/>
      <c r="FMW89" s="6"/>
      <c r="FMX89" s="6"/>
      <c r="FMY89" s="6"/>
      <c r="FMZ89" s="6"/>
      <c r="FNA89" s="6"/>
      <c r="FNB89" s="6"/>
      <c r="FNC89" s="6"/>
      <c r="FND89" s="6"/>
      <c r="FNE89" s="6"/>
      <c r="FNF89" s="6"/>
      <c r="FNG89" s="6"/>
      <c r="FNH89" s="6"/>
      <c r="FNI89" s="6"/>
      <c r="FNJ89" s="6"/>
      <c r="FNK89" s="6"/>
      <c r="FNL89" s="6"/>
      <c r="FNM89" s="6"/>
      <c r="FNN89" s="6"/>
      <c r="FNO89" s="6"/>
      <c r="FNP89" s="6"/>
      <c r="FNQ89" s="6"/>
      <c r="FNR89" s="6"/>
      <c r="FNS89" s="6"/>
      <c r="FNT89" s="6"/>
      <c r="FNU89" s="6"/>
      <c r="FNV89" s="6"/>
      <c r="FNW89" s="6"/>
      <c r="FNX89" s="6"/>
      <c r="FNY89" s="6"/>
      <c r="FNZ89" s="6"/>
      <c r="FOA89" s="6"/>
      <c r="FOB89" s="6"/>
      <c r="FOC89" s="6"/>
      <c r="FOD89" s="6"/>
      <c r="FOE89" s="6"/>
      <c r="FOF89" s="6"/>
      <c r="FOG89" s="6"/>
      <c r="FOH89" s="6"/>
      <c r="FOI89" s="6"/>
      <c r="FOJ89" s="6"/>
      <c r="FOK89" s="6"/>
      <c r="FOL89" s="6"/>
      <c r="FOM89" s="6"/>
      <c r="FON89" s="6"/>
      <c r="FOO89" s="6"/>
      <c r="FOP89" s="6"/>
      <c r="FOQ89" s="6"/>
      <c r="FOR89" s="6"/>
      <c r="FOS89" s="6"/>
      <c r="FOT89" s="6"/>
      <c r="FOU89" s="6"/>
      <c r="FOV89" s="6"/>
      <c r="FOW89" s="6"/>
      <c r="FOX89" s="6"/>
      <c r="FOY89" s="6"/>
      <c r="FOZ89" s="6"/>
      <c r="FPA89" s="6"/>
      <c r="FPB89" s="6"/>
      <c r="FPC89" s="6"/>
      <c r="FPD89" s="6"/>
      <c r="FPE89" s="6"/>
      <c r="FPF89" s="6"/>
      <c r="FPG89" s="6"/>
      <c r="FPH89" s="6"/>
      <c r="FPI89" s="6"/>
      <c r="FPJ89" s="6"/>
      <c r="FPK89" s="6"/>
      <c r="FPL89" s="6"/>
      <c r="FPM89" s="6"/>
      <c r="FPN89" s="6"/>
      <c r="FPO89" s="6"/>
      <c r="FPP89" s="6"/>
      <c r="FPQ89" s="6"/>
      <c r="FPR89" s="6"/>
      <c r="FPS89" s="6"/>
      <c r="FPT89" s="6"/>
      <c r="FPU89" s="6"/>
      <c r="FPV89" s="6"/>
      <c r="FPW89" s="6"/>
      <c r="FPX89" s="6"/>
      <c r="FPY89" s="6"/>
      <c r="FPZ89" s="6"/>
      <c r="FQA89" s="6"/>
      <c r="FQB89" s="6"/>
      <c r="FQC89" s="6"/>
      <c r="FQD89" s="6"/>
      <c r="FQE89" s="6"/>
      <c r="FQF89" s="6"/>
      <c r="FQG89" s="6"/>
      <c r="FQH89" s="6"/>
      <c r="FQI89" s="6"/>
      <c r="FQJ89" s="6"/>
      <c r="FQK89" s="6"/>
      <c r="FQL89" s="6"/>
      <c r="FQM89" s="6"/>
      <c r="FQN89" s="6"/>
      <c r="FQO89" s="6"/>
      <c r="FQP89" s="6"/>
      <c r="FQQ89" s="6"/>
      <c r="FQR89" s="6"/>
      <c r="FQS89" s="6"/>
      <c r="FQT89" s="6"/>
      <c r="FQU89" s="6"/>
      <c r="FQV89" s="6"/>
      <c r="FQW89" s="6"/>
      <c r="FQX89" s="6"/>
      <c r="FQY89" s="6"/>
      <c r="FQZ89" s="6"/>
      <c r="FRA89" s="6"/>
      <c r="FRB89" s="6"/>
      <c r="FRC89" s="6"/>
      <c r="FRD89" s="6"/>
      <c r="FRE89" s="6"/>
      <c r="FRF89" s="6"/>
      <c r="FRG89" s="6"/>
      <c r="FRH89" s="6"/>
      <c r="FRI89" s="6"/>
      <c r="FRJ89" s="6"/>
      <c r="FRK89" s="6"/>
      <c r="FRL89" s="6"/>
      <c r="FRM89" s="6"/>
      <c r="FRN89" s="6"/>
      <c r="FRO89" s="6"/>
      <c r="FRP89" s="6"/>
      <c r="FRQ89" s="6"/>
      <c r="FRR89" s="6"/>
      <c r="FRS89" s="6"/>
      <c r="FRT89" s="6"/>
      <c r="FRU89" s="6"/>
      <c r="FRV89" s="6"/>
      <c r="FRW89" s="6"/>
      <c r="FRX89" s="6"/>
      <c r="FRY89" s="6"/>
      <c r="FRZ89" s="6"/>
      <c r="FSA89" s="6"/>
      <c r="FSB89" s="6"/>
      <c r="FSC89" s="6"/>
      <c r="FSD89" s="6"/>
      <c r="FSE89" s="6"/>
      <c r="FSF89" s="6"/>
      <c r="FSG89" s="6"/>
      <c r="FSH89" s="6"/>
      <c r="FSI89" s="6"/>
      <c r="FSJ89" s="6"/>
      <c r="FSK89" s="6"/>
      <c r="FSL89" s="6"/>
      <c r="FSM89" s="6"/>
      <c r="FSN89" s="6"/>
      <c r="FSO89" s="6"/>
      <c r="FSP89" s="6"/>
      <c r="FSQ89" s="6"/>
      <c r="FSR89" s="6"/>
      <c r="FSS89" s="6"/>
      <c r="FST89" s="6"/>
      <c r="FSU89" s="6"/>
      <c r="FSV89" s="6"/>
      <c r="FSW89" s="6"/>
      <c r="FSX89" s="6"/>
      <c r="FSY89" s="6"/>
      <c r="FSZ89" s="6"/>
      <c r="FTA89" s="6"/>
      <c r="FTB89" s="6"/>
      <c r="FTC89" s="6"/>
      <c r="FTD89" s="6"/>
      <c r="FTE89" s="6"/>
      <c r="FTF89" s="6"/>
      <c r="FTG89" s="6"/>
      <c r="FTH89" s="6"/>
      <c r="FTI89" s="6"/>
      <c r="FTJ89" s="6"/>
      <c r="FTK89" s="6"/>
      <c r="FTL89" s="6"/>
      <c r="FTM89" s="6"/>
      <c r="FTN89" s="6"/>
      <c r="FTO89" s="6"/>
      <c r="FTP89" s="6"/>
      <c r="FTQ89" s="6"/>
      <c r="FTR89" s="6"/>
      <c r="FTS89" s="6"/>
      <c r="FTT89" s="6"/>
      <c r="FTU89" s="6"/>
      <c r="FTV89" s="6"/>
      <c r="FTW89" s="6"/>
      <c r="FTX89" s="6"/>
      <c r="FTY89" s="6"/>
      <c r="FTZ89" s="6"/>
      <c r="FUA89" s="6"/>
      <c r="FUB89" s="6"/>
      <c r="FUC89" s="6"/>
      <c r="FUD89" s="6"/>
      <c r="FUE89" s="6"/>
      <c r="FUF89" s="6"/>
      <c r="FUG89" s="6"/>
      <c r="FUH89" s="6"/>
      <c r="FUI89" s="6"/>
      <c r="FUJ89" s="6"/>
      <c r="FUK89" s="6"/>
      <c r="FUL89" s="6"/>
      <c r="FUM89" s="6"/>
      <c r="FUN89" s="6"/>
      <c r="FUO89" s="6"/>
      <c r="FUP89" s="6"/>
      <c r="FUQ89" s="6"/>
      <c r="FUR89" s="6"/>
      <c r="FUS89" s="6"/>
      <c r="FUT89" s="6"/>
      <c r="FUU89" s="6"/>
      <c r="FUV89" s="6"/>
      <c r="FUW89" s="6"/>
      <c r="FUX89" s="6"/>
      <c r="FUY89" s="6"/>
      <c r="FUZ89" s="6"/>
      <c r="FVA89" s="6"/>
      <c r="FVB89" s="6"/>
      <c r="FVC89" s="6"/>
      <c r="FVD89" s="6"/>
      <c r="FVE89" s="6"/>
      <c r="FVF89" s="6"/>
      <c r="FVG89" s="6"/>
      <c r="FVH89" s="6"/>
      <c r="FVI89" s="6"/>
      <c r="FVJ89" s="6"/>
      <c r="FVK89" s="6"/>
      <c r="FVL89" s="6"/>
      <c r="FVM89" s="6"/>
      <c r="FVN89" s="6"/>
      <c r="FVO89" s="6"/>
      <c r="FVP89" s="6"/>
      <c r="FVQ89" s="6"/>
      <c r="FVR89" s="6"/>
      <c r="FVS89" s="6"/>
      <c r="FVT89" s="6"/>
      <c r="FVU89" s="6"/>
      <c r="FVV89" s="6"/>
      <c r="FVW89" s="6"/>
      <c r="FVX89" s="6"/>
      <c r="FVY89" s="6"/>
      <c r="FVZ89" s="6"/>
      <c r="FWA89" s="6"/>
      <c r="FWB89" s="6"/>
      <c r="FWC89" s="6"/>
      <c r="FWD89" s="6"/>
      <c r="FWE89" s="6"/>
      <c r="FWF89" s="6"/>
      <c r="FWG89" s="6"/>
      <c r="FWH89" s="6"/>
      <c r="FWI89" s="6"/>
      <c r="FWJ89" s="6"/>
      <c r="FWK89" s="6"/>
      <c r="FWL89" s="6"/>
      <c r="FWM89" s="6"/>
      <c r="FWN89" s="6"/>
      <c r="FWO89" s="6"/>
      <c r="FWP89" s="6"/>
      <c r="FWQ89" s="6"/>
      <c r="FWR89" s="6"/>
      <c r="FWS89" s="6"/>
      <c r="FWT89" s="6"/>
      <c r="FWU89" s="6"/>
      <c r="FWV89" s="6"/>
      <c r="FWW89" s="6"/>
      <c r="FWX89" s="6"/>
      <c r="FWY89" s="6"/>
      <c r="FWZ89" s="6"/>
      <c r="FXA89" s="6"/>
      <c r="FXB89" s="6"/>
      <c r="FXC89" s="6"/>
      <c r="FXD89" s="6"/>
      <c r="FXE89" s="6"/>
      <c r="FXF89" s="6"/>
      <c r="FXG89" s="6"/>
      <c r="FXH89" s="6"/>
      <c r="FXI89" s="6"/>
      <c r="FXJ89" s="6"/>
      <c r="FXK89" s="6"/>
      <c r="FXL89" s="6"/>
      <c r="FXM89" s="6"/>
      <c r="FXN89" s="6"/>
      <c r="FXO89" s="6"/>
      <c r="FXP89" s="6"/>
      <c r="FXQ89" s="6"/>
      <c r="FXR89" s="6"/>
      <c r="FXS89" s="6"/>
      <c r="FXT89" s="6"/>
      <c r="FXU89" s="6"/>
      <c r="FXV89" s="6"/>
      <c r="FXW89" s="6"/>
      <c r="FXX89" s="6"/>
      <c r="FXY89" s="6"/>
      <c r="FXZ89" s="6"/>
      <c r="FYA89" s="6"/>
      <c r="FYB89" s="6"/>
      <c r="FYC89" s="6"/>
      <c r="FYD89" s="6"/>
      <c r="FYE89" s="6"/>
      <c r="FYF89" s="6"/>
      <c r="FYG89" s="6"/>
      <c r="FYH89" s="6"/>
      <c r="FYI89" s="6"/>
      <c r="FYJ89" s="6"/>
      <c r="FYK89" s="6"/>
      <c r="FYL89" s="6"/>
      <c r="FYM89" s="6"/>
      <c r="FYN89" s="6"/>
      <c r="FYO89" s="6"/>
      <c r="FYP89" s="6"/>
      <c r="FYQ89" s="6"/>
      <c r="FYR89" s="6"/>
      <c r="FYS89" s="6"/>
      <c r="FYT89" s="6"/>
      <c r="FYU89" s="6"/>
      <c r="FYV89" s="6"/>
      <c r="FYW89" s="6"/>
      <c r="FYX89" s="6"/>
      <c r="FYY89" s="6"/>
      <c r="FYZ89" s="6"/>
      <c r="FZA89" s="6"/>
      <c r="FZB89" s="6"/>
      <c r="FZC89" s="6"/>
      <c r="FZD89" s="6"/>
      <c r="FZE89" s="6"/>
      <c r="FZF89" s="6"/>
      <c r="FZG89" s="6"/>
      <c r="FZH89" s="6"/>
      <c r="FZI89" s="6"/>
      <c r="FZJ89" s="6"/>
      <c r="FZK89" s="6"/>
      <c r="FZL89" s="6"/>
      <c r="FZM89" s="6"/>
      <c r="FZN89" s="6"/>
      <c r="FZO89" s="6"/>
      <c r="FZP89" s="6"/>
      <c r="FZQ89" s="6"/>
      <c r="FZR89" s="6"/>
      <c r="FZS89" s="6"/>
      <c r="FZT89" s="6"/>
      <c r="FZU89" s="6"/>
      <c r="FZV89" s="6"/>
      <c r="FZW89" s="6"/>
      <c r="FZX89" s="6"/>
      <c r="FZY89" s="6"/>
      <c r="FZZ89" s="6"/>
      <c r="GAA89" s="6"/>
      <c r="GAB89" s="6"/>
      <c r="GAC89" s="6"/>
      <c r="GAD89" s="6"/>
      <c r="GAE89" s="6"/>
      <c r="GAF89" s="6"/>
      <c r="GAG89" s="6"/>
      <c r="GAH89" s="6"/>
      <c r="GAI89" s="6"/>
      <c r="GAJ89" s="6"/>
      <c r="GAK89" s="6"/>
      <c r="GAL89" s="6"/>
      <c r="GAM89" s="6"/>
      <c r="GAN89" s="6"/>
      <c r="GAO89" s="6"/>
      <c r="GAP89" s="6"/>
      <c r="GAQ89" s="6"/>
      <c r="GAR89" s="6"/>
      <c r="GAS89" s="6"/>
      <c r="GAT89" s="6"/>
      <c r="GAU89" s="6"/>
      <c r="GAV89" s="6"/>
      <c r="GAW89" s="6"/>
      <c r="GAX89" s="6"/>
      <c r="GAY89" s="6"/>
      <c r="GAZ89" s="6"/>
      <c r="GBA89" s="6"/>
      <c r="GBB89" s="6"/>
      <c r="GBC89" s="6"/>
      <c r="GBD89" s="6"/>
      <c r="GBE89" s="6"/>
      <c r="GBF89" s="6"/>
      <c r="GBG89" s="6"/>
      <c r="GBH89" s="6"/>
      <c r="GBI89" s="6"/>
      <c r="GBJ89" s="6"/>
      <c r="GBK89" s="6"/>
      <c r="GBL89" s="6"/>
      <c r="GBM89" s="6"/>
      <c r="GBN89" s="6"/>
      <c r="GBO89" s="6"/>
      <c r="GBP89" s="6"/>
      <c r="GBQ89" s="6"/>
      <c r="GBR89" s="6"/>
      <c r="GBS89" s="6"/>
      <c r="GBT89" s="6"/>
      <c r="GBU89" s="6"/>
      <c r="GBV89" s="6"/>
      <c r="GBW89" s="6"/>
      <c r="GBX89" s="6"/>
      <c r="GBY89" s="6"/>
      <c r="GBZ89" s="6"/>
      <c r="GCA89" s="6"/>
      <c r="GCB89" s="6"/>
      <c r="GCC89" s="6"/>
      <c r="GCD89" s="6"/>
      <c r="GCE89" s="6"/>
      <c r="GCF89" s="6"/>
      <c r="GCG89" s="6"/>
      <c r="GCH89" s="6"/>
      <c r="GCI89" s="6"/>
      <c r="GCJ89" s="6"/>
      <c r="GCK89" s="6"/>
      <c r="GCL89" s="6"/>
      <c r="GCM89" s="6"/>
      <c r="GCN89" s="6"/>
      <c r="GCO89" s="6"/>
      <c r="GCP89" s="6"/>
      <c r="GCQ89" s="6"/>
      <c r="GCR89" s="6"/>
      <c r="GCS89" s="6"/>
      <c r="GCT89" s="6"/>
      <c r="GCU89" s="6"/>
      <c r="GCV89" s="6"/>
      <c r="GCW89" s="6"/>
      <c r="GCX89" s="6"/>
      <c r="GCY89" s="6"/>
      <c r="GCZ89" s="6"/>
      <c r="GDA89" s="6"/>
      <c r="GDB89" s="6"/>
      <c r="GDC89" s="6"/>
      <c r="GDD89" s="6"/>
      <c r="GDE89" s="6"/>
      <c r="GDF89" s="6"/>
      <c r="GDG89" s="6"/>
      <c r="GDH89" s="6"/>
      <c r="GDI89" s="6"/>
      <c r="GDJ89" s="6"/>
      <c r="GDK89" s="6"/>
      <c r="GDL89" s="6"/>
      <c r="GDM89" s="6"/>
      <c r="GDN89" s="6"/>
      <c r="GDO89" s="6"/>
      <c r="GDP89" s="6"/>
      <c r="GDQ89" s="6"/>
      <c r="GDR89" s="6"/>
      <c r="GDS89" s="6"/>
      <c r="GDT89" s="6"/>
      <c r="GDU89" s="6"/>
      <c r="GDV89" s="6"/>
      <c r="GDW89" s="6"/>
      <c r="GDX89" s="6"/>
      <c r="GDY89" s="6"/>
      <c r="GDZ89" s="6"/>
      <c r="GEA89" s="6"/>
      <c r="GEB89" s="6"/>
      <c r="GEC89" s="6"/>
      <c r="GED89" s="6"/>
      <c r="GEE89" s="6"/>
      <c r="GEF89" s="6"/>
      <c r="GEG89" s="6"/>
      <c r="GEH89" s="6"/>
      <c r="GEI89" s="6"/>
      <c r="GEJ89" s="6"/>
      <c r="GEK89" s="6"/>
      <c r="GEL89" s="6"/>
      <c r="GEM89" s="6"/>
      <c r="GEN89" s="6"/>
      <c r="GEO89" s="6"/>
      <c r="GEP89" s="6"/>
      <c r="GEQ89" s="6"/>
      <c r="GER89" s="6"/>
      <c r="GES89" s="6"/>
      <c r="GET89" s="6"/>
      <c r="GEU89" s="6"/>
      <c r="GEV89" s="6"/>
      <c r="GEW89" s="6"/>
      <c r="GEX89" s="6"/>
      <c r="GEY89" s="6"/>
      <c r="GEZ89" s="6"/>
      <c r="GFA89" s="6"/>
      <c r="GFB89" s="6"/>
      <c r="GFC89" s="6"/>
      <c r="GFD89" s="6"/>
      <c r="GFE89" s="6"/>
      <c r="GFF89" s="6"/>
      <c r="GFG89" s="6"/>
      <c r="GFH89" s="6"/>
      <c r="GFI89" s="6"/>
      <c r="GFJ89" s="6"/>
      <c r="GFK89" s="6"/>
      <c r="GFL89" s="6"/>
      <c r="GFM89" s="6"/>
      <c r="GFN89" s="6"/>
      <c r="GFO89" s="6"/>
      <c r="GFP89" s="6"/>
      <c r="GFQ89" s="6"/>
      <c r="GFR89" s="6"/>
      <c r="GFS89" s="6"/>
      <c r="GFT89" s="6"/>
      <c r="GFU89" s="6"/>
      <c r="GFV89" s="6"/>
      <c r="GFW89" s="6"/>
      <c r="GFX89" s="6"/>
      <c r="GFY89" s="6"/>
      <c r="GFZ89" s="6"/>
      <c r="GGA89" s="6"/>
      <c r="GGB89" s="6"/>
      <c r="GGC89" s="6"/>
      <c r="GGD89" s="6"/>
      <c r="GGE89" s="6"/>
      <c r="GGF89" s="6"/>
      <c r="GGG89" s="6"/>
      <c r="GGH89" s="6"/>
      <c r="GGI89" s="6"/>
      <c r="GGJ89" s="6"/>
      <c r="GGK89" s="6"/>
      <c r="GGL89" s="6"/>
      <c r="GGM89" s="6"/>
      <c r="GGN89" s="6"/>
      <c r="GGO89" s="6"/>
      <c r="GGP89" s="6"/>
      <c r="GGQ89" s="6"/>
      <c r="GGR89" s="6"/>
      <c r="GGS89" s="6"/>
      <c r="GGT89" s="6"/>
      <c r="GGU89" s="6"/>
      <c r="GGV89" s="6"/>
      <c r="GGW89" s="6"/>
      <c r="GGX89" s="6"/>
      <c r="GGY89" s="6"/>
      <c r="GGZ89" s="6"/>
      <c r="GHA89" s="6"/>
      <c r="GHB89" s="6"/>
      <c r="GHC89" s="6"/>
      <c r="GHD89" s="6"/>
      <c r="GHE89" s="6"/>
      <c r="GHF89" s="6"/>
      <c r="GHG89" s="6"/>
      <c r="GHH89" s="6"/>
      <c r="GHI89" s="6"/>
      <c r="GHJ89" s="6"/>
      <c r="GHK89" s="6"/>
      <c r="GHL89" s="6"/>
      <c r="GHM89" s="6"/>
      <c r="GHN89" s="6"/>
      <c r="GHO89" s="6"/>
      <c r="GHP89" s="6"/>
      <c r="GHQ89" s="6"/>
      <c r="GHR89" s="6"/>
      <c r="GHS89" s="6"/>
      <c r="GHT89" s="6"/>
      <c r="GHU89" s="6"/>
      <c r="GHV89" s="6"/>
      <c r="GHW89" s="6"/>
      <c r="GHX89" s="6"/>
      <c r="GHY89" s="6"/>
      <c r="GHZ89" s="6"/>
      <c r="GIA89" s="6"/>
      <c r="GIB89" s="6"/>
      <c r="GIC89" s="6"/>
      <c r="GID89" s="6"/>
      <c r="GIE89" s="6"/>
      <c r="GIF89" s="6"/>
      <c r="GIG89" s="6"/>
      <c r="GIH89" s="6"/>
      <c r="GII89" s="6"/>
      <c r="GIJ89" s="6"/>
      <c r="GIK89" s="6"/>
      <c r="GIL89" s="6"/>
      <c r="GIM89" s="6"/>
      <c r="GIN89" s="6"/>
      <c r="GIO89" s="6"/>
      <c r="GIP89" s="6"/>
      <c r="GIQ89" s="6"/>
      <c r="GIR89" s="6"/>
      <c r="GIS89" s="6"/>
      <c r="GIT89" s="6"/>
      <c r="GIU89" s="6"/>
      <c r="GIV89" s="6"/>
      <c r="GIW89" s="6"/>
      <c r="GIX89" s="6"/>
      <c r="GIY89" s="6"/>
      <c r="GIZ89" s="6"/>
      <c r="GJA89" s="6"/>
      <c r="GJB89" s="6"/>
      <c r="GJC89" s="6"/>
      <c r="GJD89" s="6"/>
      <c r="GJE89" s="6"/>
      <c r="GJF89" s="6"/>
      <c r="GJG89" s="6"/>
      <c r="GJH89" s="6"/>
      <c r="GJI89" s="6"/>
      <c r="GJJ89" s="6"/>
      <c r="GJK89" s="6"/>
      <c r="GJL89" s="6"/>
      <c r="GJM89" s="6"/>
      <c r="GJN89" s="6"/>
      <c r="GJO89" s="6"/>
      <c r="GJP89" s="6"/>
      <c r="GJQ89" s="6"/>
      <c r="GJR89" s="6"/>
      <c r="GJS89" s="6"/>
      <c r="GJT89" s="6"/>
      <c r="GJU89" s="6"/>
      <c r="GJV89" s="6"/>
      <c r="GJW89" s="6"/>
      <c r="GJX89" s="6"/>
      <c r="GJY89" s="6"/>
      <c r="GJZ89" s="6"/>
      <c r="GKA89" s="6"/>
      <c r="GKB89" s="6"/>
      <c r="GKC89" s="6"/>
      <c r="GKD89" s="6"/>
      <c r="GKE89" s="6"/>
      <c r="GKF89" s="6"/>
      <c r="GKG89" s="6"/>
      <c r="GKH89" s="6"/>
      <c r="GKI89" s="6"/>
      <c r="GKJ89" s="6"/>
      <c r="GKK89" s="6"/>
      <c r="GKL89" s="6"/>
      <c r="GKM89" s="6"/>
      <c r="GKN89" s="6"/>
      <c r="GKO89" s="6"/>
      <c r="GKP89" s="6"/>
      <c r="GKQ89" s="6"/>
      <c r="GKR89" s="6"/>
      <c r="GKS89" s="6"/>
      <c r="GKT89" s="6"/>
      <c r="GKU89" s="6"/>
      <c r="GKV89" s="6"/>
      <c r="GKW89" s="6"/>
      <c r="GKX89" s="6"/>
      <c r="GKY89" s="6"/>
      <c r="GKZ89" s="6"/>
      <c r="GLA89" s="6"/>
      <c r="GLB89" s="6"/>
      <c r="GLC89" s="6"/>
      <c r="GLD89" s="6"/>
      <c r="GLE89" s="6"/>
      <c r="GLF89" s="6"/>
      <c r="GLG89" s="6"/>
      <c r="GLH89" s="6"/>
      <c r="GLI89" s="6"/>
      <c r="GLJ89" s="6"/>
      <c r="GLK89" s="6"/>
      <c r="GLL89" s="6"/>
      <c r="GLM89" s="6"/>
      <c r="GLN89" s="6"/>
      <c r="GLO89" s="6"/>
      <c r="GLP89" s="6"/>
      <c r="GLQ89" s="6"/>
      <c r="GLR89" s="6"/>
      <c r="GLS89" s="6"/>
      <c r="GLT89" s="6"/>
      <c r="GLU89" s="6"/>
      <c r="GLV89" s="6"/>
      <c r="GLW89" s="6"/>
      <c r="GLX89" s="6"/>
      <c r="GLY89" s="6"/>
      <c r="GLZ89" s="6"/>
      <c r="GMA89" s="6"/>
      <c r="GMB89" s="6"/>
      <c r="GMC89" s="6"/>
      <c r="GMD89" s="6"/>
      <c r="GME89" s="6"/>
      <c r="GMF89" s="6"/>
      <c r="GMG89" s="6"/>
      <c r="GMH89" s="6"/>
      <c r="GMI89" s="6"/>
      <c r="GMJ89" s="6"/>
      <c r="GMK89" s="6"/>
      <c r="GML89" s="6"/>
      <c r="GMM89" s="6"/>
      <c r="GMN89" s="6"/>
      <c r="GMO89" s="6"/>
      <c r="GMP89" s="6"/>
      <c r="GMQ89" s="6"/>
      <c r="GMR89" s="6"/>
      <c r="GMS89" s="6"/>
      <c r="GMT89" s="6"/>
      <c r="GMU89" s="6"/>
      <c r="GMV89" s="6"/>
      <c r="GMW89" s="6"/>
      <c r="GMX89" s="6"/>
      <c r="GMY89" s="6"/>
      <c r="GMZ89" s="6"/>
      <c r="GNA89" s="6"/>
      <c r="GNB89" s="6"/>
      <c r="GNC89" s="6"/>
      <c r="GND89" s="6"/>
      <c r="GNE89" s="6"/>
      <c r="GNF89" s="6"/>
      <c r="GNG89" s="6"/>
      <c r="GNH89" s="6"/>
      <c r="GNI89" s="6"/>
      <c r="GNJ89" s="6"/>
      <c r="GNK89" s="6"/>
      <c r="GNL89" s="6"/>
      <c r="GNM89" s="6"/>
      <c r="GNN89" s="6"/>
      <c r="GNO89" s="6"/>
      <c r="GNP89" s="6"/>
      <c r="GNQ89" s="6"/>
      <c r="GNR89" s="6"/>
      <c r="GNS89" s="6"/>
      <c r="GNT89" s="6"/>
      <c r="GNU89" s="6"/>
      <c r="GNV89" s="6"/>
      <c r="GNW89" s="6"/>
      <c r="GNX89" s="6"/>
      <c r="GNY89" s="6"/>
      <c r="GNZ89" s="6"/>
      <c r="GOA89" s="6"/>
      <c r="GOB89" s="6"/>
      <c r="GOC89" s="6"/>
      <c r="GOD89" s="6"/>
      <c r="GOE89" s="6"/>
      <c r="GOF89" s="6"/>
      <c r="GOG89" s="6"/>
      <c r="GOH89" s="6"/>
      <c r="GOI89" s="6"/>
      <c r="GOJ89" s="6"/>
      <c r="GOK89" s="6"/>
      <c r="GOL89" s="6"/>
      <c r="GOM89" s="6"/>
      <c r="GON89" s="6"/>
      <c r="GOO89" s="6"/>
      <c r="GOP89" s="6"/>
      <c r="GOQ89" s="6"/>
      <c r="GOR89" s="6"/>
      <c r="GOS89" s="6"/>
      <c r="GOT89" s="6"/>
      <c r="GOU89" s="6"/>
      <c r="GOV89" s="6"/>
      <c r="GOW89" s="6"/>
      <c r="GOX89" s="6"/>
      <c r="GOY89" s="6"/>
      <c r="GOZ89" s="6"/>
      <c r="GPA89" s="6"/>
      <c r="GPB89" s="6"/>
      <c r="GPC89" s="6"/>
      <c r="GPD89" s="6"/>
      <c r="GPE89" s="6"/>
      <c r="GPF89" s="6"/>
      <c r="GPG89" s="6"/>
      <c r="GPH89" s="6"/>
      <c r="GPI89" s="6"/>
      <c r="GPJ89" s="6"/>
      <c r="GPK89" s="6"/>
      <c r="GPL89" s="6"/>
      <c r="GPM89" s="6"/>
      <c r="GPN89" s="6"/>
      <c r="GPO89" s="6"/>
      <c r="GPP89" s="6"/>
      <c r="GPQ89" s="6"/>
      <c r="GPR89" s="6"/>
      <c r="GPS89" s="6"/>
      <c r="GPT89" s="6"/>
      <c r="GPU89" s="6"/>
      <c r="GPV89" s="6"/>
      <c r="GPW89" s="6"/>
      <c r="GPX89" s="6"/>
      <c r="GPY89" s="6"/>
      <c r="GPZ89" s="6"/>
      <c r="GQA89" s="6"/>
      <c r="GQB89" s="6"/>
      <c r="GQC89" s="6"/>
      <c r="GQD89" s="6"/>
      <c r="GQE89" s="6"/>
      <c r="GQF89" s="6"/>
      <c r="GQG89" s="6"/>
      <c r="GQH89" s="6"/>
      <c r="GQI89" s="6"/>
      <c r="GQJ89" s="6"/>
      <c r="GQK89" s="6"/>
      <c r="GQL89" s="6"/>
      <c r="GQM89" s="6"/>
      <c r="GQN89" s="6"/>
      <c r="GQO89" s="6"/>
      <c r="GQP89" s="6"/>
      <c r="GQQ89" s="6"/>
      <c r="GQR89" s="6"/>
      <c r="GQS89" s="6"/>
      <c r="GQT89" s="6"/>
      <c r="GQU89" s="6"/>
      <c r="GQV89" s="6"/>
      <c r="GQW89" s="6"/>
      <c r="GQX89" s="6"/>
      <c r="GQY89" s="6"/>
      <c r="GQZ89" s="6"/>
      <c r="GRA89" s="6"/>
      <c r="GRB89" s="6"/>
      <c r="GRC89" s="6"/>
      <c r="GRD89" s="6"/>
      <c r="GRE89" s="6"/>
      <c r="GRF89" s="6"/>
      <c r="GRG89" s="6"/>
      <c r="GRH89" s="6"/>
      <c r="GRI89" s="6"/>
      <c r="GRJ89" s="6"/>
      <c r="GRK89" s="6"/>
      <c r="GRL89" s="6"/>
      <c r="GRM89" s="6"/>
      <c r="GRN89" s="6"/>
      <c r="GRO89" s="6"/>
      <c r="GRP89" s="6"/>
      <c r="GRQ89" s="6"/>
      <c r="GRR89" s="6"/>
      <c r="GRS89" s="6"/>
      <c r="GRT89" s="6"/>
      <c r="GRU89" s="6"/>
      <c r="GRV89" s="6"/>
      <c r="GRW89" s="6"/>
      <c r="GRX89" s="6"/>
      <c r="GRY89" s="6"/>
      <c r="GRZ89" s="6"/>
      <c r="GSA89" s="6"/>
      <c r="GSB89" s="6"/>
      <c r="GSC89" s="6"/>
      <c r="GSD89" s="6"/>
      <c r="GSE89" s="6"/>
      <c r="GSF89" s="6"/>
      <c r="GSG89" s="6"/>
      <c r="GSH89" s="6"/>
      <c r="GSI89" s="6"/>
      <c r="GSJ89" s="6"/>
      <c r="GSK89" s="6"/>
      <c r="GSL89" s="6"/>
      <c r="GSM89" s="6"/>
      <c r="GSN89" s="6"/>
      <c r="GSO89" s="6"/>
      <c r="GSP89" s="6"/>
      <c r="GSQ89" s="6"/>
      <c r="GSR89" s="6"/>
      <c r="GSS89" s="6"/>
      <c r="GST89" s="6"/>
      <c r="GSU89" s="6"/>
      <c r="GSV89" s="6"/>
      <c r="GSW89" s="6"/>
      <c r="GSX89" s="6"/>
      <c r="GSY89" s="6"/>
      <c r="GSZ89" s="6"/>
      <c r="GTA89" s="6"/>
      <c r="GTB89" s="6"/>
      <c r="GTC89" s="6"/>
      <c r="GTD89" s="6"/>
      <c r="GTE89" s="6"/>
      <c r="GTF89" s="6"/>
      <c r="GTG89" s="6"/>
      <c r="GTH89" s="6"/>
      <c r="GTI89" s="6"/>
      <c r="GTJ89" s="6"/>
      <c r="GTK89" s="6"/>
      <c r="GTL89" s="6"/>
      <c r="GTM89" s="6"/>
      <c r="GTN89" s="6"/>
      <c r="GTO89" s="6"/>
      <c r="GTP89" s="6"/>
      <c r="GTQ89" s="6"/>
      <c r="GTR89" s="6"/>
      <c r="GTS89" s="6"/>
      <c r="GTT89" s="6"/>
      <c r="GTU89" s="6"/>
      <c r="GTV89" s="6"/>
      <c r="GTW89" s="6"/>
      <c r="GTX89" s="6"/>
      <c r="GTY89" s="6"/>
      <c r="GTZ89" s="6"/>
      <c r="GUA89" s="6"/>
      <c r="GUB89" s="6"/>
      <c r="GUC89" s="6"/>
      <c r="GUD89" s="6"/>
      <c r="GUE89" s="6"/>
      <c r="GUF89" s="6"/>
      <c r="GUG89" s="6"/>
      <c r="GUH89" s="6"/>
      <c r="GUI89" s="6"/>
      <c r="GUJ89" s="6"/>
      <c r="GUK89" s="6"/>
      <c r="GUL89" s="6"/>
      <c r="GUM89" s="6"/>
      <c r="GUN89" s="6"/>
      <c r="GUO89" s="6"/>
      <c r="GUP89" s="6"/>
      <c r="GUQ89" s="6"/>
      <c r="GUR89" s="6"/>
      <c r="GUS89" s="6"/>
      <c r="GUT89" s="6"/>
      <c r="GUU89" s="6"/>
      <c r="GUV89" s="6"/>
      <c r="GUW89" s="6"/>
      <c r="GUX89" s="6"/>
      <c r="GUY89" s="6"/>
      <c r="GUZ89" s="6"/>
      <c r="GVA89" s="6"/>
      <c r="GVB89" s="6"/>
      <c r="GVC89" s="6"/>
      <c r="GVD89" s="6"/>
      <c r="GVE89" s="6"/>
      <c r="GVF89" s="6"/>
      <c r="GVG89" s="6"/>
      <c r="GVH89" s="6"/>
      <c r="GVI89" s="6"/>
      <c r="GVJ89" s="6"/>
      <c r="GVK89" s="6"/>
      <c r="GVL89" s="6"/>
      <c r="GVM89" s="6"/>
      <c r="GVN89" s="6"/>
      <c r="GVO89" s="6"/>
      <c r="GVP89" s="6"/>
      <c r="GVQ89" s="6"/>
      <c r="GVR89" s="6"/>
      <c r="GVS89" s="6"/>
      <c r="GVT89" s="6"/>
      <c r="GVU89" s="6"/>
      <c r="GVV89" s="6"/>
      <c r="GVW89" s="6"/>
      <c r="GVX89" s="6"/>
      <c r="GVY89" s="6"/>
      <c r="GVZ89" s="6"/>
      <c r="GWA89" s="6"/>
      <c r="GWB89" s="6"/>
      <c r="GWC89" s="6"/>
      <c r="GWD89" s="6"/>
      <c r="GWE89" s="6"/>
      <c r="GWF89" s="6"/>
      <c r="GWG89" s="6"/>
      <c r="GWH89" s="6"/>
      <c r="GWI89" s="6"/>
      <c r="GWJ89" s="6"/>
      <c r="GWK89" s="6"/>
      <c r="GWL89" s="6"/>
      <c r="GWM89" s="6"/>
      <c r="GWN89" s="6"/>
      <c r="GWO89" s="6"/>
      <c r="GWP89" s="6"/>
      <c r="GWQ89" s="6"/>
      <c r="GWR89" s="6"/>
      <c r="GWS89" s="6"/>
      <c r="GWT89" s="6"/>
      <c r="GWU89" s="6"/>
      <c r="GWV89" s="6"/>
      <c r="GWW89" s="6"/>
      <c r="GWX89" s="6"/>
      <c r="GWY89" s="6"/>
      <c r="GWZ89" s="6"/>
      <c r="GXA89" s="6"/>
      <c r="GXB89" s="6"/>
      <c r="GXC89" s="6"/>
      <c r="GXD89" s="6"/>
      <c r="GXE89" s="6"/>
      <c r="GXF89" s="6"/>
      <c r="GXG89" s="6"/>
      <c r="GXH89" s="6"/>
      <c r="GXI89" s="6"/>
      <c r="GXJ89" s="6"/>
      <c r="GXK89" s="6"/>
      <c r="GXL89" s="6"/>
      <c r="GXM89" s="6"/>
      <c r="GXN89" s="6"/>
      <c r="GXO89" s="6"/>
      <c r="GXP89" s="6"/>
      <c r="GXQ89" s="6"/>
      <c r="GXR89" s="6"/>
      <c r="GXS89" s="6"/>
      <c r="GXT89" s="6"/>
      <c r="GXU89" s="6"/>
      <c r="GXV89" s="6"/>
      <c r="GXW89" s="6"/>
      <c r="GXX89" s="6"/>
      <c r="GXY89" s="6"/>
      <c r="GXZ89" s="6"/>
      <c r="GYA89" s="6"/>
      <c r="GYB89" s="6"/>
      <c r="GYC89" s="6"/>
      <c r="GYD89" s="6"/>
      <c r="GYE89" s="6"/>
      <c r="GYF89" s="6"/>
      <c r="GYG89" s="6"/>
      <c r="GYH89" s="6"/>
      <c r="GYI89" s="6"/>
      <c r="GYJ89" s="6"/>
      <c r="GYK89" s="6"/>
      <c r="GYL89" s="6"/>
      <c r="GYM89" s="6"/>
      <c r="GYN89" s="6"/>
      <c r="GYO89" s="6"/>
      <c r="GYP89" s="6"/>
      <c r="GYQ89" s="6"/>
      <c r="GYR89" s="6"/>
      <c r="GYS89" s="6"/>
      <c r="GYT89" s="6"/>
      <c r="GYU89" s="6"/>
      <c r="GYV89" s="6"/>
      <c r="GYW89" s="6"/>
      <c r="GYX89" s="6"/>
      <c r="GYY89" s="6"/>
      <c r="GYZ89" s="6"/>
      <c r="GZA89" s="6"/>
      <c r="GZB89" s="6"/>
      <c r="GZC89" s="6"/>
      <c r="GZD89" s="6"/>
      <c r="GZE89" s="6"/>
      <c r="GZF89" s="6"/>
      <c r="GZG89" s="6"/>
      <c r="GZH89" s="6"/>
      <c r="GZI89" s="6"/>
      <c r="GZJ89" s="6"/>
      <c r="GZK89" s="6"/>
      <c r="GZL89" s="6"/>
      <c r="GZM89" s="6"/>
      <c r="GZN89" s="6"/>
      <c r="GZO89" s="6"/>
      <c r="GZP89" s="6"/>
      <c r="GZQ89" s="6"/>
      <c r="GZR89" s="6"/>
      <c r="GZS89" s="6"/>
      <c r="GZT89" s="6"/>
      <c r="GZU89" s="6"/>
      <c r="GZV89" s="6"/>
      <c r="GZW89" s="6"/>
      <c r="GZX89" s="6"/>
      <c r="GZY89" s="6"/>
      <c r="GZZ89" s="6"/>
      <c r="HAA89" s="6"/>
      <c r="HAB89" s="6"/>
      <c r="HAC89" s="6"/>
      <c r="HAD89" s="6"/>
      <c r="HAE89" s="6"/>
      <c r="HAF89" s="6"/>
      <c r="HAG89" s="6"/>
      <c r="HAH89" s="6"/>
      <c r="HAI89" s="6"/>
      <c r="HAJ89" s="6"/>
      <c r="HAK89" s="6"/>
      <c r="HAL89" s="6"/>
      <c r="HAM89" s="6"/>
      <c r="HAN89" s="6"/>
      <c r="HAO89" s="6"/>
      <c r="HAP89" s="6"/>
      <c r="HAQ89" s="6"/>
      <c r="HAR89" s="6"/>
      <c r="HAS89" s="6"/>
      <c r="HAT89" s="6"/>
      <c r="HAU89" s="6"/>
      <c r="HAV89" s="6"/>
      <c r="HAW89" s="6"/>
      <c r="HAX89" s="6"/>
      <c r="HAY89" s="6"/>
      <c r="HAZ89" s="6"/>
      <c r="HBA89" s="6"/>
      <c r="HBB89" s="6"/>
      <c r="HBC89" s="6"/>
      <c r="HBD89" s="6"/>
      <c r="HBE89" s="6"/>
      <c r="HBF89" s="6"/>
      <c r="HBG89" s="6"/>
      <c r="HBH89" s="6"/>
      <c r="HBI89" s="6"/>
      <c r="HBJ89" s="6"/>
      <c r="HBK89" s="6"/>
      <c r="HBL89" s="6"/>
      <c r="HBM89" s="6"/>
      <c r="HBN89" s="6"/>
      <c r="HBO89" s="6"/>
      <c r="HBP89" s="6"/>
      <c r="HBQ89" s="6"/>
      <c r="HBR89" s="6"/>
      <c r="HBS89" s="6"/>
      <c r="HBT89" s="6"/>
      <c r="HBU89" s="6"/>
      <c r="HBV89" s="6"/>
      <c r="HBW89" s="6"/>
      <c r="HBX89" s="6"/>
      <c r="HBY89" s="6"/>
      <c r="HBZ89" s="6"/>
      <c r="HCA89" s="6"/>
      <c r="HCB89" s="6"/>
      <c r="HCC89" s="6"/>
      <c r="HCD89" s="6"/>
      <c r="HCE89" s="6"/>
      <c r="HCF89" s="6"/>
      <c r="HCG89" s="6"/>
      <c r="HCH89" s="6"/>
      <c r="HCI89" s="6"/>
      <c r="HCJ89" s="6"/>
      <c r="HCK89" s="6"/>
      <c r="HCL89" s="6"/>
      <c r="HCM89" s="6"/>
      <c r="HCN89" s="6"/>
      <c r="HCO89" s="6"/>
      <c r="HCP89" s="6"/>
      <c r="HCQ89" s="6"/>
      <c r="HCR89" s="6"/>
      <c r="HCS89" s="6"/>
      <c r="HCT89" s="6"/>
      <c r="HCU89" s="6"/>
      <c r="HCV89" s="6"/>
      <c r="HCW89" s="6"/>
      <c r="HCX89" s="6"/>
      <c r="HCY89" s="6"/>
      <c r="HCZ89" s="6"/>
      <c r="HDA89" s="6"/>
      <c r="HDB89" s="6"/>
      <c r="HDC89" s="6"/>
      <c r="HDD89" s="6"/>
      <c r="HDE89" s="6"/>
      <c r="HDF89" s="6"/>
      <c r="HDG89" s="6"/>
      <c r="HDH89" s="6"/>
      <c r="HDI89" s="6"/>
      <c r="HDJ89" s="6"/>
      <c r="HDK89" s="6"/>
      <c r="HDL89" s="6"/>
      <c r="HDM89" s="6"/>
      <c r="HDN89" s="6"/>
      <c r="HDO89" s="6"/>
      <c r="HDP89" s="6"/>
      <c r="HDQ89" s="6"/>
      <c r="HDR89" s="6"/>
      <c r="HDS89" s="6"/>
      <c r="HDT89" s="6"/>
      <c r="HDU89" s="6"/>
      <c r="HDV89" s="6"/>
      <c r="HDW89" s="6"/>
      <c r="HDX89" s="6"/>
      <c r="HDY89" s="6"/>
      <c r="HDZ89" s="6"/>
      <c r="HEA89" s="6"/>
      <c r="HEB89" s="6"/>
      <c r="HEC89" s="6"/>
      <c r="HED89" s="6"/>
      <c r="HEE89" s="6"/>
      <c r="HEF89" s="6"/>
      <c r="HEG89" s="6"/>
      <c r="HEH89" s="6"/>
      <c r="HEI89" s="6"/>
      <c r="HEJ89" s="6"/>
      <c r="HEK89" s="6"/>
      <c r="HEL89" s="6"/>
      <c r="HEM89" s="6"/>
      <c r="HEN89" s="6"/>
      <c r="HEO89" s="6"/>
      <c r="HEP89" s="6"/>
      <c r="HEQ89" s="6"/>
      <c r="HER89" s="6"/>
      <c r="HES89" s="6"/>
      <c r="HET89" s="6"/>
      <c r="HEU89" s="6"/>
      <c r="HEV89" s="6"/>
      <c r="HEW89" s="6"/>
      <c r="HEX89" s="6"/>
      <c r="HEY89" s="6"/>
      <c r="HEZ89" s="6"/>
      <c r="HFA89" s="6"/>
      <c r="HFB89" s="6"/>
      <c r="HFC89" s="6"/>
      <c r="HFD89" s="6"/>
      <c r="HFE89" s="6"/>
      <c r="HFF89" s="6"/>
      <c r="HFG89" s="6"/>
      <c r="HFH89" s="6"/>
      <c r="HFI89" s="6"/>
      <c r="HFJ89" s="6"/>
      <c r="HFK89" s="6"/>
      <c r="HFL89" s="6"/>
      <c r="HFM89" s="6"/>
      <c r="HFN89" s="6"/>
      <c r="HFO89" s="6"/>
      <c r="HFP89" s="6"/>
      <c r="HFQ89" s="6"/>
      <c r="HFR89" s="6"/>
      <c r="HFS89" s="6"/>
      <c r="HFT89" s="6"/>
      <c r="HFU89" s="6"/>
      <c r="HFV89" s="6"/>
      <c r="HFW89" s="6"/>
      <c r="HFX89" s="6"/>
      <c r="HFY89" s="6"/>
      <c r="HFZ89" s="6"/>
      <c r="HGA89" s="6"/>
      <c r="HGB89" s="6"/>
      <c r="HGC89" s="6"/>
      <c r="HGD89" s="6"/>
      <c r="HGE89" s="6"/>
      <c r="HGF89" s="6"/>
      <c r="HGG89" s="6"/>
      <c r="HGH89" s="6"/>
      <c r="HGI89" s="6"/>
      <c r="HGJ89" s="6"/>
      <c r="HGK89" s="6"/>
      <c r="HGL89" s="6"/>
      <c r="HGM89" s="6"/>
      <c r="HGN89" s="6"/>
      <c r="HGO89" s="6"/>
      <c r="HGP89" s="6"/>
      <c r="HGQ89" s="6"/>
      <c r="HGR89" s="6"/>
      <c r="HGS89" s="6"/>
      <c r="HGT89" s="6"/>
      <c r="HGU89" s="6"/>
      <c r="HGV89" s="6"/>
      <c r="HGW89" s="6"/>
      <c r="HGX89" s="6"/>
      <c r="HGY89" s="6"/>
      <c r="HGZ89" s="6"/>
      <c r="HHA89" s="6"/>
      <c r="HHB89" s="6"/>
      <c r="HHC89" s="6"/>
      <c r="HHD89" s="6"/>
      <c r="HHE89" s="6"/>
      <c r="HHF89" s="6"/>
      <c r="HHG89" s="6"/>
      <c r="HHH89" s="6"/>
      <c r="HHI89" s="6"/>
      <c r="HHJ89" s="6"/>
      <c r="HHK89" s="6"/>
      <c r="HHL89" s="6"/>
      <c r="HHM89" s="6"/>
      <c r="HHN89" s="6"/>
      <c r="HHO89" s="6"/>
      <c r="HHP89" s="6"/>
      <c r="HHQ89" s="6"/>
      <c r="HHR89" s="6"/>
      <c r="HHS89" s="6"/>
      <c r="HHT89" s="6"/>
      <c r="HHU89" s="6"/>
      <c r="HHV89" s="6"/>
      <c r="HHW89" s="6"/>
      <c r="HHX89" s="6"/>
      <c r="HHY89" s="6"/>
      <c r="HHZ89" s="6"/>
      <c r="HIA89" s="6"/>
      <c r="HIB89" s="6"/>
      <c r="HIC89" s="6"/>
      <c r="HID89" s="6"/>
      <c r="HIE89" s="6"/>
      <c r="HIF89" s="6"/>
      <c r="HIG89" s="6"/>
      <c r="HIH89" s="6"/>
      <c r="HII89" s="6"/>
      <c r="HIJ89" s="6"/>
      <c r="HIK89" s="6"/>
      <c r="HIL89" s="6"/>
      <c r="HIM89" s="6"/>
      <c r="HIN89" s="6"/>
      <c r="HIO89" s="6"/>
      <c r="HIP89" s="6"/>
      <c r="HIQ89" s="6"/>
      <c r="HIR89" s="6"/>
      <c r="HIS89" s="6"/>
      <c r="HIT89" s="6"/>
      <c r="HIU89" s="6"/>
      <c r="HIV89" s="6"/>
      <c r="HIW89" s="6"/>
      <c r="HIX89" s="6"/>
      <c r="HIY89" s="6"/>
      <c r="HIZ89" s="6"/>
      <c r="HJA89" s="6"/>
      <c r="HJB89" s="6"/>
      <c r="HJC89" s="6"/>
      <c r="HJD89" s="6"/>
      <c r="HJE89" s="6"/>
      <c r="HJF89" s="6"/>
      <c r="HJG89" s="6"/>
      <c r="HJH89" s="6"/>
      <c r="HJI89" s="6"/>
      <c r="HJJ89" s="6"/>
      <c r="HJK89" s="6"/>
      <c r="HJL89" s="6"/>
      <c r="HJM89" s="6"/>
      <c r="HJN89" s="6"/>
      <c r="HJO89" s="6"/>
      <c r="HJP89" s="6"/>
      <c r="HJQ89" s="6"/>
      <c r="HJR89" s="6"/>
      <c r="HJS89" s="6"/>
      <c r="HJT89" s="6"/>
      <c r="HJU89" s="6"/>
      <c r="HJV89" s="6"/>
      <c r="HJW89" s="6"/>
      <c r="HJX89" s="6"/>
      <c r="HJY89" s="6"/>
      <c r="HJZ89" s="6"/>
      <c r="HKA89" s="6"/>
      <c r="HKB89" s="6"/>
      <c r="HKC89" s="6"/>
      <c r="HKD89" s="6"/>
      <c r="HKE89" s="6"/>
      <c r="HKF89" s="6"/>
      <c r="HKG89" s="6"/>
      <c r="HKH89" s="6"/>
      <c r="HKI89" s="6"/>
      <c r="HKJ89" s="6"/>
      <c r="HKK89" s="6"/>
      <c r="HKL89" s="6"/>
      <c r="HKM89" s="6"/>
      <c r="HKN89" s="6"/>
      <c r="HKO89" s="6"/>
      <c r="HKP89" s="6"/>
      <c r="HKQ89" s="6"/>
      <c r="HKR89" s="6"/>
      <c r="HKS89" s="6"/>
      <c r="HKT89" s="6"/>
      <c r="HKU89" s="6"/>
      <c r="HKV89" s="6"/>
      <c r="HKW89" s="6"/>
      <c r="HKX89" s="6"/>
      <c r="HKY89" s="6"/>
      <c r="HKZ89" s="6"/>
      <c r="HLA89" s="6"/>
      <c r="HLB89" s="6"/>
      <c r="HLC89" s="6"/>
      <c r="HLD89" s="6"/>
      <c r="HLE89" s="6"/>
      <c r="HLF89" s="6"/>
      <c r="HLG89" s="6"/>
      <c r="HLH89" s="6"/>
      <c r="HLI89" s="6"/>
      <c r="HLJ89" s="6"/>
      <c r="HLK89" s="6"/>
      <c r="HLL89" s="6"/>
      <c r="HLM89" s="6"/>
      <c r="HLN89" s="6"/>
      <c r="HLO89" s="6"/>
      <c r="HLP89" s="6"/>
      <c r="HLQ89" s="6"/>
      <c r="HLR89" s="6"/>
      <c r="HLS89" s="6"/>
      <c r="HLT89" s="6"/>
      <c r="HLU89" s="6"/>
      <c r="HLV89" s="6"/>
      <c r="HLW89" s="6"/>
      <c r="HLX89" s="6"/>
      <c r="HLY89" s="6"/>
      <c r="HLZ89" s="6"/>
      <c r="HMA89" s="6"/>
      <c r="HMB89" s="6"/>
      <c r="HMC89" s="6"/>
      <c r="HMD89" s="6"/>
      <c r="HME89" s="6"/>
      <c r="HMF89" s="6"/>
      <c r="HMG89" s="6"/>
      <c r="HMH89" s="6"/>
      <c r="HMI89" s="6"/>
      <c r="HMJ89" s="6"/>
      <c r="HMK89" s="6"/>
      <c r="HML89" s="6"/>
      <c r="HMM89" s="6"/>
      <c r="HMN89" s="6"/>
      <c r="HMO89" s="6"/>
      <c r="HMP89" s="6"/>
      <c r="HMQ89" s="6"/>
      <c r="HMR89" s="6"/>
      <c r="HMS89" s="6"/>
      <c r="HMT89" s="6"/>
      <c r="HMU89" s="6"/>
      <c r="HMV89" s="6"/>
      <c r="HMW89" s="6"/>
      <c r="HMX89" s="6"/>
      <c r="HMY89" s="6"/>
      <c r="HMZ89" s="6"/>
      <c r="HNA89" s="6"/>
      <c r="HNB89" s="6"/>
      <c r="HNC89" s="6"/>
      <c r="HND89" s="6"/>
      <c r="HNE89" s="6"/>
      <c r="HNF89" s="6"/>
      <c r="HNG89" s="6"/>
      <c r="HNH89" s="6"/>
      <c r="HNI89" s="6"/>
      <c r="HNJ89" s="6"/>
      <c r="HNK89" s="6"/>
      <c r="HNL89" s="6"/>
      <c r="HNM89" s="6"/>
      <c r="HNN89" s="6"/>
      <c r="HNO89" s="6"/>
      <c r="HNP89" s="6"/>
      <c r="HNQ89" s="6"/>
      <c r="HNR89" s="6"/>
      <c r="HNS89" s="6"/>
      <c r="HNT89" s="6"/>
      <c r="HNU89" s="6"/>
      <c r="HNV89" s="6"/>
      <c r="HNW89" s="6"/>
      <c r="HNX89" s="6"/>
      <c r="HNY89" s="6"/>
      <c r="HNZ89" s="6"/>
      <c r="HOA89" s="6"/>
      <c r="HOB89" s="6"/>
      <c r="HOC89" s="6"/>
      <c r="HOD89" s="6"/>
      <c r="HOE89" s="6"/>
      <c r="HOF89" s="6"/>
      <c r="HOG89" s="6"/>
      <c r="HOH89" s="6"/>
      <c r="HOI89" s="6"/>
      <c r="HOJ89" s="6"/>
      <c r="HOK89" s="6"/>
      <c r="HOL89" s="6"/>
      <c r="HOM89" s="6"/>
      <c r="HON89" s="6"/>
      <c r="HOO89" s="6"/>
      <c r="HOP89" s="6"/>
      <c r="HOQ89" s="6"/>
      <c r="HOR89" s="6"/>
      <c r="HOS89" s="6"/>
      <c r="HOT89" s="6"/>
      <c r="HOU89" s="6"/>
      <c r="HOV89" s="6"/>
      <c r="HOW89" s="6"/>
      <c r="HOX89" s="6"/>
      <c r="HOY89" s="6"/>
      <c r="HOZ89" s="6"/>
      <c r="HPA89" s="6"/>
      <c r="HPB89" s="6"/>
      <c r="HPC89" s="6"/>
      <c r="HPD89" s="6"/>
      <c r="HPE89" s="6"/>
      <c r="HPF89" s="6"/>
      <c r="HPG89" s="6"/>
      <c r="HPH89" s="6"/>
      <c r="HPI89" s="6"/>
      <c r="HPJ89" s="6"/>
      <c r="HPK89" s="6"/>
      <c r="HPL89" s="6"/>
      <c r="HPM89" s="6"/>
      <c r="HPN89" s="6"/>
      <c r="HPO89" s="6"/>
      <c r="HPP89" s="6"/>
      <c r="HPQ89" s="6"/>
      <c r="HPR89" s="6"/>
      <c r="HPS89" s="6"/>
      <c r="HPT89" s="6"/>
      <c r="HPU89" s="6"/>
      <c r="HPV89" s="6"/>
      <c r="HPW89" s="6"/>
      <c r="HPX89" s="6"/>
      <c r="HPY89" s="6"/>
      <c r="HPZ89" s="6"/>
      <c r="HQA89" s="6"/>
      <c r="HQB89" s="6"/>
      <c r="HQC89" s="6"/>
      <c r="HQD89" s="6"/>
      <c r="HQE89" s="6"/>
      <c r="HQF89" s="6"/>
      <c r="HQG89" s="6"/>
      <c r="HQH89" s="6"/>
      <c r="HQI89" s="6"/>
      <c r="HQJ89" s="6"/>
      <c r="HQK89" s="6"/>
      <c r="HQL89" s="6"/>
      <c r="HQM89" s="6"/>
      <c r="HQN89" s="6"/>
      <c r="HQO89" s="6"/>
      <c r="HQP89" s="6"/>
      <c r="HQQ89" s="6"/>
      <c r="HQR89" s="6"/>
      <c r="HQS89" s="6"/>
      <c r="HQT89" s="6"/>
      <c r="HQU89" s="6"/>
      <c r="HQV89" s="6"/>
      <c r="HQW89" s="6"/>
      <c r="HQX89" s="6"/>
      <c r="HQY89" s="6"/>
      <c r="HQZ89" s="6"/>
      <c r="HRA89" s="6"/>
      <c r="HRB89" s="6"/>
      <c r="HRC89" s="6"/>
      <c r="HRD89" s="6"/>
      <c r="HRE89" s="6"/>
      <c r="HRF89" s="6"/>
      <c r="HRG89" s="6"/>
      <c r="HRH89" s="6"/>
      <c r="HRI89" s="6"/>
      <c r="HRJ89" s="6"/>
      <c r="HRK89" s="6"/>
      <c r="HRL89" s="6"/>
      <c r="HRM89" s="6"/>
      <c r="HRN89" s="6"/>
      <c r="HRO89" s="6"/>
      <c r="HRP89" s="6"/>
      <c r="HRQ89" s="6"/>
      <c r="HRR89" s="6"/>
      <c r="HRS89" s="6"/>
      <c r="HRT89" s="6"/>
      <c r="HRU89" s="6"/>
      <c r="HRV89" s="6"/>
      <c r="HRW89" s="6"/>
      <c r="HRX89" s="6"/>
      <c r="HRY89" s="6"/>
      <c r="HRZ89" s="6"/>
      <c r="HSA89" s="6"/>
      <c r="HSB89" s="6"/>
      <c r="HSC89" s="6"/>
      <c r="HSD89" s="6"/>
      <c r="HSE89" s="6"/>
      <c r="HSF89" s="6"/>
      <c r="HSG89" s="6"/>
      <c r="HSH89" s="6"/>
      <c r="HSI89" s="6"/>
      <c r="HSJ89" s="6"/>
      <c r="HSK89" s="6"/>
      <c r="HSL89" s="6"/>
      <c r="HSM89" s="6"/>
      <c r="HSN89" s="6"/>
      <c r="HSO89" s="6"/>
      <c r="HSP89" s="6"/>
      <c r="HSQ89" s="6"/>
      <c r="HSR89" s="6"/>
      <c r="HSS89" s="6"/>
      <c r="HST89" s="6"/>
      <c r="HSU89" s="6"/>
      <c r="HSV89" s="6"/>
      <c r="HSW89" s="6"/>
      <c r="HSX89" s="6"/>
      <c r="HSY89" s="6"/>
      <c r="HSZ89" s="6"/>
      <c r="HTA89" s="6"/>
      <c r="HTB89" s="6"/>
      <c r="HTC89" s="6"/>
      <c r="HTD89" s="6"/>
      <c r="HTE89" s="6"/>
      <c r="HTF89" s="6"/>
      <c r="HTG89" s="6"/>
      <c r="HTH89" s="6"/>
      <c r="HTI89" s="6"/>
      <c r="HTJ89" s="6"/>
      <c r="HTK89" s="6"/>
      <c r="HTL89" s="6"/>
      <c r="HTM89" s="6"/>
      <c r="HTN89" s="6"/>
      <c r="HTO89" s="6"/>
      <c r="HTP89" s="6"/>
      <c r="HTQ89" s="6"/>
      <c r="HTR89" s="6"/>
      <c r="HTS89" s="6"/>
      <c r="HTT89" s="6"/>
      <c r="HTU89" s="6"/>
      <c r="HTV89" s="6"/>
      <c r="HTW89" s="6"/>
      <c r="HTX89" s="6"/>
      <c r="HTY89" s="6"/>
      <c r="HTZ89" s="6"/>
      <c r="HUA89" s="6"/>
      <c r="HUB89" s="6"/>
      <c r="HUC89" s="6"/>
      <c r="HUD89" s="6"/>
      <c r="HUE89" s="6"/>
      <c r="HUF89" s="6"/>
      <c r="HUG89" s="6"/>
      <c r="HUH89" s="6"/>
      <c r="HUI89" s="6"/>
      <c r="HUJ89" s="6"/>
      <c r="HUK89" s="6"/>
      <c r="HUL89" s="6"/>
      <c r="HUM89" s="6"/>
      <c r="HUN89" s="6"/>
      <c r="HUO89" s="6"/>
      <c r="HUP89" s="6"/>
      <c r="HUQ89" s="6"/>
      <c r="HUR89" s="6"/>
      <c r="HUS89" s="6"/>
      <c r="HUT89" s="6"/>
      <c r="HUU89" s="6"/>
      <c r="HUV89" s="6"/>
      <c r="HUW89" s="6"/>
      <c r="HUX89" s="6"/>
      <c r="HUY89" s="6"/>
      <c r="HUZ89" s="6"/>
      <c r="HVA89" s="6"/>
      <c r="HVB89" s="6"/>
      <c r="HVC89" s="6"/>
      <c r="HVD89" s="6"/>
      <c r="HVE89" s="6"/>
      <c r="HVF89" s="6"/>
      <c r="HVG89" s="6"/>
      <c r="HVH89" s="6"/>
      <c r="HVI89" s="6"/>
      <c r="HVJ89" s="6"/>
      <c r="HVK89" s="6"/>
      <c r="HVL89" s="6"/>
      <c r="HVM89" s="6"/>
      <c r="HVN89" s="6"/>
      <c r="HVO89" s="6"/>
      <c r="HVP89" s="6"/>
      <c r="HVQ89" s="6"/>
      <c r="HVR89" s="6"/>
      <c r="HVS89" s="6"/>
      <c r="HVT89" s="6"/>
      <c r="HVU89" s="6"/>
      <c r="HVV89" s="6"/>
      <c r="HVW89" s="6"/>
      <c r="HVX89" s="6"/>
      <c r="HVY89" s="6"/>
      <c r="HVZ89" s="6"/>
      <c r="HWA89" s="6"/>
      <c r="HWB89" s="6"/>
      <c r="HWC89" s="6"/>
      <c r="HWD89" s="6"/>
      <c r="HWE89" s="6"/>
      <c r="HWF89" s="6"/>
      <c r="HWG89" s="6"/>
      <c r="HWH89" s="6"/>
      <c r="HWI89" s="6"/>
      <c r="HWJ89" s="6"/>
      <c r="HWK89" s="6"/>
      <c r="HWL89" s="6"/>
      <c r="HWM89" s="6"/>
      <c r="HWN89" s="6"/>
      <c r="HWO89" s="6"/>
      <c r="HWP89" s="6"/>
      <c r="HWQ89" s="6"/>
      <c r="HWR89" s="6"/>
      <c r="HWS89" s="6"/>
      <c r="HWT89" s="6"/>
      <c r="HWU89" s="6"/>
      <c r="HWV89" s="6"/>
      <c r="HWW89" s="6"/>
      <c r="HWX89" s="6"/>
      <c r="HWY89" s="6"/>
      <c r="HWZ89" s="6"/>
      <c r="HXA89" s="6"/>
      <c r="HXB89" s="6"/>
      <c r="HXC89" s="6"/>
      <c r="HXD89" s="6"/>
      <c r="HXE89" s="6"/>
      <c r="HXF89" s="6"/>
      <c r="HXG89" s="6"/>
      <c r="HXH89" s="6"/>
      <c r="HXI89" s="6"/>
      <c r="HXJ89" s="6"/>
      <c r="HXK89" s="6"/>
      <c r="HXL89" s="6"/>
      <c r="HXM89" s="6"/>
      <c r="HXN89" s="6"/>
      <c r="HXO89" s="6"/>
      <c r="HXP89" s="6"/>
      <c r="HXQ89" s="6"/>
      <c r="HXR89" s="6"/>
      <c r="HXS89" s="6"/>
      <c r="HXT89" s="6"/>
      <c r="HXU89" s="6"/>
      <c r="HXV89" s="6"/>
      <c r="HXW89" s="6"/>
      <c r="HXX89" s="6"/>
      <c r="HXY89" s="6"/>
      <c r="HXZ89" s="6"/>
      <c r="HYA89" s="6"/>
      <c r="HYB89" s="6"/>
      <c r="HYC89" s="6"/>
      <c r="HYD89" s="6"/>
      <c r="HYE89" s="6"/>
      <c r="HYF89" s="6"/>
      <c r="HYG89" s="6"/>
      <c r="HYH89" s="6"/>
      <c r="HYI89" s="6"/>
      <c r="HYJ89" s="6"/>
      <c r="HYK89" s="6"/>
      <c r="HYL89" s="6"/>
      <c r="HYM89" s="6"/>
      <c r="HYN89" s="6"/>
      <c r="HYO89" s="6"/>
      <c r="HYP89" s="6"/>
      <c r="HYQ89" s="6"/>
      <c r="HYR89" s="6"/>
      <c r="HYS89" s="6"/>
      <c r="HYT89" s="6"/>
      <c r="HYU89" s="6"/>
      <c r="HYV89" s="6"/>
      <c r="HYW89" s="6"/>
      <c r="HYX89" s="6"/>
      <c r="HYY89" s="6"/>
      <c r="HYZ89" s="6"/>
      <c r="HZA89" s="6"/>
      <c r="HZB89" s="6"/>
      <c r="HZC89" s="6"/>
      <c r="HZD89" s="6"/>
      <c r="HZE89" s="6"/>
      <c r="HZF89" s="6"/>
      <c r="HZG89" s="6"/>
      <c r="HZH89" s="6"/>
      <c r="HZI89" s="6"/>
      <c r="HZJ89" s="6"/>
      <c r="HZK89" s="6"/>
      <c r="HZL89" s="6"/>
      <c r="HZM89" s="6"/>
      <c r="HZN89" s="6"/>
      <c r="HZO89" s="6"/>
      <c r="HZP89" s="6"/>
      <c r="HZQ89" s="6"/>
      <c r="HZR89" s="6"/>
      <c r="HZS89" s="6"/>
      <c r="HZT89" s="6"/>
      <c r="HZU89" s="6"/>
      <c r="HZV89" s="6"/>
      <c r="HZW89" s="6"/>
      <c r="HZX89" s="6"/>
      <c r="HZY89" s="6"/>
      <c r="HZZ89" s="6"/>
      <c r="IAA89" s="6"/>
      <c r="IAB89" s="6"/>
      <c r="IAC89" s="6"/>
      <c r="IAD89" s="6"/>
      <c r="IAE89" s="6"/>
      <c r="IAF89" s="6"/>
      <c r="IAG89" s="6"/>
      <c r="IAH89" s="6"/>
      <c r="IAI89" s="6"/>
      <c r="IAJ89" s="6"/>
      <c r="IAK89" s="6"/>
      <c r="IAL89" s="6"/>
      <c r="IAM89" s="6"/>
      <c r="IAN89" s="6"/>
      <c r="IAO89" s="6"/>
      <c r="IAP89" s="6"/>
      <c r="IAQ89" s="6"/>
      <c r="IAR89" s="6"/>
      <c r="IAS89" s="6"/>
      <c r="IAT89" s="6"/>
      <c r="IAU89" s="6"/>
      <c r="IAV89" s="6"/>
      <c r="IAW89" s="6"/>
      <c r="IAX89" s="6"/>
      <c r="IAY89" s="6"/>
      <c r="IAZ89" s="6"/>
      <c r="IBA89" s="6"/>
      <c r="IBB89" s="6"/>
      <c r="IBC89" s="6"/>
      <c r="IBD89" s="6"/>
      <c r="IBE89" s="6"/>
      <c r="IBF89" s="6"/>
      <c r="IBG89" s="6"/>
      <c r="IBH89" s="6"/>
      <c r="IBI89" s="6"/>
      <c r="IBJ89" s="6"/>
      <c r="IBK89" s="6"/>
      <c r="IBL89" s="6"/>
      <c r="IBM89" s="6"/>
      <c r="IBN89" s="6"/>
      <c r="IBO89" s="6"/>
      <c r="IBP89" s="6"/>
      <c r="IBQ89" s="6"/>
      <c r="IBR89" s="6"/>
      <c r="IBS89" s="6"/>
      <c r="IBT89" s="6"/>
      <c r="IBU89" s="6"/>
      <c r="IBV89" s="6"/>
      <c r="IBW89" s="6"/>
      <c r="IBX89" s="6"/>
      <c r="IBY89" s="6"/>
      <c r="IBZ89" s="6"/>
      <c r="ICA89" s="6"/>
      <c r="ICB89" s="6"/>
      <c r="ICC89" s="6"/>
      <c r="ICD89" s="6"/>
      <c r="ICE89" s="6"/>
      <c r="ICF89" s="6"/>
      <c r="ICG89" s="6"/>
      <c r="ICH89" s="6"/>
      <c r="ICI89" s="6"/>
      <c r="ICJ89" s="6"/>
      <c r="ICK89" s="6"/>
      <c r="ICL89" s="6"/>
      <c r="ICM89" s="6"/>
      <c r="ICN89" s="6"/>
      <c r="ICO89" s="6"/>
      <c r="ICP89" s="6"/>
      <c r="ICQ89" s="6"/>
      <c r="ICR89" s="6"/>
      <c r="ICS89" s="6"/>
      <c r="ICT89" s="6"/>
      <c r="ICU89" s="6"/>
      <c r="ICV89" s="6"/>
      <c r="ICW89" s="6"/>
      <c r="ICX89" s="6"/>
      <c r="ICY89" s="6"/>
      <c r="ICZ89" s="6"/>
      <c r="IDA89" s="6"/>
      <c r="IDB89" s="6"/>
      <c r="IDC89" s="6"/>
      <c r="IDD89" s="6"/>
      <c r="IDE89" s="6"/>
      <c r="IDF89" s="6"/>
      <c r="IDG89" s="6"/>
      <c r="IDH89" s="6"/>
      <c r="IDI89" s="6"/>
      <c r="IDJ89" s="6"/>
      <c r="IDK89" s="6"/>
      <c r="IDL89" s="6"/>
      <c r="IDM89" s="6"/>
      <c r="IDN89" s="6"/>
      <c r="IDO89" s="6"/>
      <c r="IDP89" s="6"/>
      <c r="IDQ89" s="6"/>
      <c r="IDR89" s="6"/>
      <c r="IDS89" s="6"/>
      <c r="IDT89" s="6"/>
      <c r="IDU89" s="6"/>
      <c r="IDV89" s="6"/>
      <c r="IDW89" s="6"/>
      <c r="IDX89" s="6"/>
      <c r="IDY89" s="6"/>
      <c r="IDZ89" s="6"/>
      <c r="IEA89" s="6"/>
      <c r="IEB89" s="6"/>
      <c r="IEC89" s="6"/>
      <c r="IED89" s="6"/>
      <c r="IEE89" s="6"/>
      <c r="IEF89" s="6"/>
      <c r="IEG89" s="6"/>
      <c r="IEH89" s="6"/>
      <c r="IEI89" s="6"/>
      <c r="IEJ89" s="6"/>
      <c r="IEK89" s="6"/>
      <c r="IEL89" s="6"/>
      <c r="IEM89" s="6"/>
      <c r="IEN89" s="6"/>
      <c r="IEO89" s="6"/>
      <c r="IEP89" s="6"/>
      <c r="IEQ89" s="6"/>
      <c r="IER89" s="6"/>
      <c r="IES89" s="6"/>
      <c r="IET89" s="6"/>
      <c r="IEU89" s="6"/>
      <c r="IEV89" s="6"/>
      <c r="IEW89" s="6"/>
      <c r="IEX89" s="6"/>
      <c r="IEY89" s="6"/>
      <c r="IEZ89" s="6"/>
      <c r="IFA89" s="6"/>
      <c r="IFB89" s="6"/>
      <c r="IFC89" s="6"/>
      <c r="IFD89" s="6"/>
      <c r="IFE89" s="6"/>
      <c r="IFF89" s="6"/>
      <c r="IFG89" s="6"/>
      <c r="IFH89" s="6"/>
      <c r="IFI89" s="6"/>
      <c r="IFJ89" s="6"/>
      <c r="IFK89" s="6"/>
      <c r="IFL89" s="6"/>
      <c r="IFM89" s="6"/>
      <c r="IFN89" s="6"/>
      <c r="IFO89" s="6"/>
      <c r="IFP89" s="6"/>
      <c r="IFQ89" s="6"/>
      <c r="IFR89" s="6"/>
      <c r="IFS89" s="6"/>
      <c r="IFT89" s="6"/>
      <c r="IFU89" s="6"/>
      <c r="IFV89" s="6"/>
      <c r="IFW89" s="6"/>
      <c r="IFX89" s="6"/>
      <c r="IFY89" s="6"/>
      <c r="IFZ89" s="6"/>
      <c r="IGA89" s="6"/>
      <c r="IGB89" s="6"/>
      <c r="IGC89" s="6"/>
      <c r="IGD89" s="6"/>
      <c r="IGE89" s="6"/>
      <c r="IGF89" s="6"/>
      <c r="IGG89" s="6"/>
      <c r="IGH89" s="6"/>
      <c r="IGI89" s="6"/>
      <c r="IGJ89" s="6"/>
      <c r="IGK89" s="6"/>
      <c r="IGL89" s="6"/>
      <c r="IGM89" s="6"/>
      <c r="IGN89" s="6"/>
      <c r="IGO89" s="6"/>
      <c r="IGP89" s="6"/>
      <c r="IGQ89" s="6"/>
      <c r="IGR89" s="6"/>
      <c r="IGS89" s="6"/>
      <c r="IGT89" s="6"/>
      <c r="IGU89" s="6"/>
      <c r="IGV89" s="6"/>
      <c r="IGW89" s="6"/>
      <c r="IGX89" s="6"/>
      <c r="IGY89" s="6"/>
      <c r="IGZ89" s="6"/>
      <c r="IHA89" s="6"/>
      <c r="IHB89" s="6"/>
      <c r="IHC89" s="6"/>
      <c r="IHD89" s="6"/>
      <c r="IHE89" s="6"/>
      <c r="IHF89" s="6"/>
      <c r="IHG89" s="6"/>
      <c r="IHH89" s="6"/>
      <c r="IHI89" s="6"/>
      <c r="IHJ89" s="6"/>
      <c r="IHK89" s="6"/>
      <c r="IHL89" s="6"/>
      <c r="IHM89" s="6"/>
      <c r="IHN89" s="6"/>
      <c r="IHO89" s="6"/>
      <c r="IHP89" s="6"/>
      <c r="IHQ89" s="6"/>
      <c r="IHR89" s="6"/>
      <c r="IHS89" s="6"/>
      <c r="IHT89" s="6"/>
      <c r="IHU89" s="6"/>
      <c r="IHV89" s="6"/>
      <c r="IHW89" s="6"/>
      <c r="IHX89" s="6"/>
      <c r="IHY89" s="6"/>
      <c r="IHZ89" s="6"/>
      <c r="IIA89" s="6"/>
      <c r="IIB89" s="6"/>
      <c r="IIC89" s="6"/>
      <c r="IID89" s="6"/>
      <c r="IIE89" s="6"/>
      <c r="IIF89" s="6"/>
      <c r="IIG89" s="6"/>
      <c r="IIH89" s="6"/>
      <c r="III89" s="6"/>
      <c r="IIJ89" s="6"/>
      <c r="IIK89" s="6"/>
      <c r="IIL89" s="6"/>
      <c r="IIM89" s="6"/>
      <c r="IIN89" s="6"/>
      <c r="IIO89" s="6"/>
      <c r="IIP89" s="6"/>
      <c r="IIQ89" s="6"/>
      <c r="IIR89" s="6"/>
      <c r="IIS89" s="6"/>
      <c r="IIT89" s="6"/>
      <c r="IIU89" s="6"/>
      <c r="IIV89" s="6"/>
      <c r="IIW89" s="6"/>
      <c r="IIX89" s="6"/>
      <c r="IIY89" s="6"/>
      <c r="IIZ89" s="6"/>
      <c r="IJA89" s="6"/>
      <c r="IJB89" s="6"/>
      <c r="IJC89" s="6"/>
      <c r="IJD89" s="6"/>
      <c r="IJE89" s="6"/>
      <c r="IJF89" s="6"/>
      <c r="IJG89" s="6"/>
      <c r="IJH89" s="6"/>
      <c r="IJI89" s="6"/>
      <c r="IJJ89" s="6"/>
      <c r="IJK89" s="6"/>
      <c r="IJL89" s="6"/>
      <c r="IJM89" s="6"/>
      <c r="IJN89" s="6"/>
      <c r="IJO89" s="6"/>
      <c r="IJP89" s="6"/>
      <c r="IJQ89" s="6"/>
      <c r="IJR89" s="6"/>
      <c r="IJS89" s="6"/>
      <c r="IJT89" s="6"/>
      <c r="IJU89" s="6"/>
      <c r="IJV89" s="6"/>
      <c r="IJW89" s="6"/>
      <c r="IJX89" s="6"/>
      <c r="IJY89" s="6"/>
      <c r="IJZ89" s="6"/>
      <c r="IKA89" s="6"/>
      <c r="IKB89" s="6"/>
      <c r="IKC89" s="6"/>
      <c r="IKD89" s="6"/>
      <c r="IKE89" s="6"/>
      <c r="IKF89" s="6"/>
      <c r="IKG89" s="6"/>
      <c r="IKH89" s="6"/>
      <c r="IKI89" s="6"/>
      <c r="IKJ89" s="6"/>
      <c r="IKK89" s="6"/>
      <c r="IKL89" s="6"/>
      <c r="IKM89" s="6"/>
      <c r="IKN89" s="6"/>
      <c r="IKO89" s="6"/>
      <c r="IKP89" s="6"/>
      <c r="IKQ89" s="6"/>
      <c r="IKR89" s="6"/>
      <c r="IKS89" s="6"/>
      <c r="IKT89" s="6"/>
      <c r="IKU89" s="6"/>
      <c r="IKV89" s="6"/>
      <c r="IKW89" s="6"/>
      <c r="IKX89" s="6"/>
      <c r="IKY89" s="6"/>
      <c r="IKZ89" s="6"/>
      <c r="ILA89" s="6"/>
      <c r="ILB89" s="6"/>
      <c r="ILC89" s="6"/>
      <c r="ILD89" s="6"/>
      <c r="ILE89" s="6"/>
      <c r="ILF89" s="6"/>
      <c r="ILG89" s="6"/>
      <c r="ILH89" s="6"/>
      <c r="ILI89" s="6"/>
      <c r="ILJ89" s="6"/>
      <c r="ILK89" s="6"/>
      <c r="ILL89" s="6"/>
      <c r="ILM89" s="6"/>
      <c r="ILN89" s="6"/>
      <c r="ILO89" s="6"/>
      <c r="ILP89" s="6"/>
      <c r="ILQ89" s="6"/>
      <c r="ILR89" s="6"/>
      <c r="ILS89" s="6"/>
      <c r="ILT89" s="6"/>
      <c r="ILU89" s="6"/>
      <c r="ILV89" s="6"/>
      <c r="ILW89" s="6"/>
      <c r="ILX89" s="6"/>
      <c r="ILY89" s="6"/>
      <c r="ILZ89" s="6"/>
      <c r="IMA89" s="6"/>
      <c r="IMB89" s="6"/>
      <c r="IMC89" s="6"/>
      <c r="IMD89" s="6"/>
      <c r="IME89" s="6"/>
      <c r="IMF89" s="6"/>
      <c r="IMG89" s="6"/>
      <c r="IMH89" s="6"/>
      <c r="IMI89" s="6"/>
      <c r="IMJ89" s="6"/>
      <c r="IMK89" s="6"/>
      <c r="IML89" s="6"/>
      <c r="IMM89" s="6"/>
      <c r="IMN89" s="6"/>
      <c r="IMO89" s="6"/>
      <c r="IMP89" s="6"/>
      <c r="IMQ89" s="6"/>
      <c r="IMR89" s="6"/>
      <c r="IMS89" s="6"/>
      <c r="IMT89" s="6"/>
      <c r="IMU89" s="6"/>
      <c r="IMV89" s="6"/>
      <c r="IMW89" s="6"/>
      <c r="IMX89" s="6"/>
      <c r="IMY89" s="6"/>
      <c r="IMZ89" s="6"/>
      <c r="INA89" s="6"/>
      <c r="INB89" s="6"/>
      <c r="INC89" s="6"/>
      <c r="IND89" s="6"/>
      <c r="INE89" s="6"/>
      <c r="INF89" s="6"/>
      <c r="ING89" s="6"/>
      <c r="INH89" s="6"/>
      <c r="INI89" s="6"/>
      <c r="INJ89" s="6"/>
      <c r="INK89" s="6"/>
      <c r="INL89" s="6"/>
      <c r="INM89" s="6"/>
      <c r="INN89" s="6"/>
      <c r="INO89" s="6"/>
      <c r="INP89" s="6"/>
      <c r="INQ89" s="6"/>
      <c r="INR89" s="6"/>
      <c r="INS89" s="6"/>
      <c r="INT89" s="6"/>
      <c r="INU89" s="6"/>
      <c r="INV89" s="6"/>
      <c r="INW89" s="6"/>
      <c r="INX89" s="6"/>
      <c r="INY89" s="6"/>
      <c r="INZ89" s="6"/>
      <c r="IOA89" s="6"/>
      <c r="IOB89" s="6"/>
      <c r="IOC89" s="6"/>
      <c r="IOD89" s="6"/>
      <c r="IOE89" s="6"/>
      <c r="IOF89" s="6"/>
      <c r="IOG89" s="6"/>
      <c r="IOH89" s="6"/>
      <c r="IOI89" s="6"/>
      <c r="IOJ89" s="6"/>
      <c r="IOK89" s="6"/>
      <c r="IOL89" s="6"/>
      <c r="IOM89" s="6"/>
      <c r="ION89" s="6"/>
      <c r="IOO89" s="6"/>
      <c r="IOP89" s="6"/>
      <c r="IOQ89" s="6"/>
      <c r="IOR89" s="6"/>
      <c r="IOS89" s="6"/>
      <c r="IOT89" s="6"/>
      <c r="IOU89" s="6"/>
      <c r="IOV89" s="6"/>
      <c r="IOW89" s="6"/>
      <c r="IOX89" s="6"/>
      <c r="IOY89" s="6"/>
      <c r="IOZ89" s="6"/>
      <c r="IPA89" s="6"/>
      <c r="IPB89" s="6"/>
      <c r="IPC89" s="6"/>
      <c r="IPD89" s="6"/>
      <c r="IPE89" s="6"/>
      <c r="IPF89" s="6"/>
      <c r="IPG89" s="6"/>
      <c r="IPH89" s="6"/>
      <c r="IPI89" s="6"/>
      <c r="IPJ89" s="6"/>
      <c r="IPK89" s="6"/>
      <c r="IPL89" s="6"/>
      <c r="IPM89" s="6"/>
      <c r="IPN89" s="6"/>
      <c r="IPO89" s="6"/>
      <c r="IPP89" s="6"/>
      <c r="IPQ89" s="6"/>
      <c r="IPR89" s="6"/>
      <c r="IPS89" s="6"/>
      <c r="IPT89" s="6"/>
      <c r="IPU89" s="6"/>
      <c r="IPV89" s="6"/>
      <c r="IPW89" s="6"/>
      <c r="IPX89" s="6"/>
      <c r="IPY89" s="6"/>
      <c r="IPZ89" s="6"/>
      <c r="IQA89" s="6"/>
      <c r="IQB89" s="6"/>
      <c r="IQC89" s="6"/>
      <c r="IQD89" s="6"/>
      <c r="IQE89" s="6"/>
      <c r="IQF89" s="6"/>
      <c r="IQG89" s="6"/>
      <c r="IQH89" s="6"/>
      <c r="IQI89" s="6"/>
      <c r="IQJ89" s="6"/>
      <c r="IQK89" s="6"/>
      <c r="IQL89" s="6"/>
      <c r="IQM89" s="6"/>
      <c r="IQN89" s="6"/>
      <c r="IQO89" s="6"/>
      <c r="IQP89" s="6"/>
      <c r="IQQ89" s="6"/>
      <c r="IQR89" s="6"/>
      <c r="IQS89" s="6"/>
      <c r="IQT89" s="6"/>
      <c r="IQU89" s="6"/>
      <c r="IQV89" s="6"/>
      <c r="IQW89" s="6"/>
      <c r="IQX89" s="6"/>
      <c r="IQY89" s="6"/>
      <c r="IQZ89" s="6"/>
      <c r="IRA89" s="6"/>
      <c r="IRB89" s="6"/>
      <c r="IRC89" s="6"/>
      <c r="IRD89" s="6"/>
      <c r="IRE89" s="6"/>
      <c r="IRF89" s="6"/>
      <c r="IRG89" s="6"/>
      <c r="IRH89" s="6"/>
      <c r="IRI89" s="6"/>
      <c r="IRJ89" s="6"/>
      <c r="IRK89" s="6"/>
      <c r="IRL89" s="6"/>
      <c r="IRM89" s="6"/>
      <c r="IRN89" s="6"/>
      <c r="IRO89" s="6"/>
      <c r="IRP89" s="6"/>
      <c r="IRQ89" s="6"/>
      <c r="IRR89" s="6"/>
      <c r="IRS89" s="6"/>
      <c r="IRT89" s="6"/>
      <c r="IRU89" s="6"/>
      <c r="IRV89" s="6"/>
      <c r="IRW89" s="6"/>
      <c r="IRX89" s="6"/>
      <c r="IRY89" s="6"/>
      <c r="IRZ89" s="6"/>
      <c r="ISA89" s="6"/>
      <c r="ISB89" s="6"/>
      <c r="ISC89" s="6"/>
      <c r="ISD89" s="6"/>
      <c r="ISE89" s="6"/>
      <c r="ISF89" s="6"/>
      <c r="ISG89" s="6"/>
      <c r="ISH89" s="6"/>
      <c r="ISI89" s="6"/>
      <c r="ISJ89" s="6"/>
      <c r="ISK89" s="6"/>
      <c r="ISL89" s="6"/>
      <c r="ISM89" s="6"/>
      <c r="ISN89" s="6"/>
      <c r="ISO89" s="6"/>
      <c r="ISP89" s="6"/>
      <c r="ISQ89" s="6"/>
      <c r="ISR89" s="6"/>
      <c r="ISS89" s="6"/>
      <c r="IST89" s="6"/>
      <c r="ISU89" s="6"/>
      <c r="ISV89" s="6"/>
      <c r="ISW89" s="6"/>
      <c r="ISX89" s="6"/>
      <c r="ISY89" s="6"/>
      <c r="ISZ89" s="6"/>
      <c r="ITA89" s="6"/>
      <c r="ITB89" s="6"/>
      <c r="ITC89" s="6"/>
      <c r="ITD89" s="6"/>
      <c r="ITE89" s="6"/>
      <c r="ITF89" s="6"/>
      <c r="ITG89" s="6"/>
      <c r="ITH89" s="6"/>
      <c r="ITI89" s="6"/>
      <c r="ITJ89" s="6"/>
      <c r="ITK89" s="6"/>
      <c r="ITL89" s="6"/>
      <c r="ITM89" s="6"/>
      <c r="ITN89" s="6"/>
      <c r="ITO89" s="6"/>
      <c r="ITP89" s="6"/>
      <c r="ITQ89" s="6"/>
      <c r="ITR89" s="6"/>
      <c r="ITS89" s="6"/>
      <c r="ITT89" s="6"/>
      <c r="ITU89" s="6"/>
      <c r="ITV89" s="6"/>
      <c r="ITW89" s="6"/>
      <c r="ITX89" s="6"/>
      <c r="ITY89" s="6"/>
      <c r="ITZ89" s="6"/>
      <c r="IUA89" s="6"/>
      <c r="IUB89" s="6"/>
      <c r="IUC89" s="6"/>
      <c r="IUD89" s="6"/>
      <c r="IUE89" s="6"/>
      <c r="IUF89" s="6"/>
      <c r="IUG89" s="6"/>
      <c r="IUH89" s="6"/>
      <c r="IUI89" s="6"/>
      <c r="IUJ89" s="6"/>
      <c r="IUK89" s="6"/>
      <c r="IUL89" s="6"/>
      <c r="IUM89" s="6"/>
      <c r="IUN89" s="6"/>
      <c r="IUO89" s="6"/>
      <c r="IUP89" s="6"/>
      <c r="IUQ89" s="6"/>
      <c r="IUR89" s="6"/>
      <c r="IUS89" s="6"/>
      <c r="IUT89" s="6"/>
      <c r="IUU89" s="6"/>
      <c r="IUV89" s="6"/>
      <c r="IUW89" s="6"/>
      <c r="IUX89" s="6"/>
      <c r="IUY89" s="6"/>
      <c r="IUZ89" s="6"/>
      <c r="IVA89" s="6"/>
      <c r="IVB89" s="6"/>
      <c r="IVC89" s="6"/>
      <c r="IVD89" s="6"/>
      <c r="IVE89" s="6"/>
      <c r="IVF89" s="6"/>
      <c r="IVG89" s="6"/>
      <c r="IVH89" s="6"/>
      <c r="IVI89" s="6"/>
      <c r="IVJ89" s="6"/>
      <c r="IVK89" s="6"/>
      <c r="IVL89" s="6"/>
      <c r="IVM89" s="6"/>
      <c r="IVN89" s="6"/>
      <c r="IVO89" s="6"/>
      <c r="IVP89" s="6"/>
      <c r="IVQ89" s="6"/>
      <c r="IVR89" s="6"/>
      <c r="IVS89" s="6"/>
      <c r="IVT89" s="6"/>
      <c r="IVU89" s="6"/>
      <c r="IVV89" s="6"/>
      <c r="IVW89" s="6"/>
      <c r="IVX89" s="6"/>
      <c r="IVY89" s="6"/>
      <c r="IVZ89" s="6"/>
      <c r="IWA89" s="6"/>
      <c r="IWB89" s="6"/>
      <c r="IWC89" s="6"/>
      <c r="IWD89" s="6"/>
      <c r="IWE89" s="6"/>
      <c r="IWF89" s="6"/>
      <c r="IWG89" s="6"/>
      <c r="IWH89" s="6"/>
      <c r="IWI89" s="6"/>
      <c r="IWJ89" s="6"/>
      <c r="IWK89" s="6"/>
      <c r="IWL89" s="6"/>
      <c r="IWM89" s="6"/>
      <c r="IWN89" s="6"/>
      <c r="IWO89" s="6"/>
      <c r="IWP89" s="6"/>
      <c r="IWQ89" s="6"/>
      <c r="IWR89" s="6"/>
      <c r="IWS89" s="6"/>
      <c r="IWT89" s="6"/>
      <c r="IWU89" s="6"/>
      <c r="IWV89" s="6"/>
      <c r="IWW89" s="6"/>
      <c r="IWX89" s="6"/>
      <c r="IWY89" s="6"/>
      <c r="IWZ89" s="6"/>
      <c r="IXA89" s="6"/>
      <c r="IXB89" s="6"/>
      <c r="IXC89" s="6"/>
      <c r="IXD89" s="6"/>
      <c r="IXE89" s="6"/>
      <c r="IXF89" s="6"/>
      <c r="IXG89" s="6"/>
      <c r="IXH89" s="6"/>
      <c r="IXI89" s="6"/>
      <c r="IXJ89" s="6"/>
      <c r="IXK89" s="6"/>
      <c r="IXL89" s="6"/>
      <c r="IXM89" s="6"/>
      <c r="IXN89" s="6"/>
      <c r="IXO89" s="6"/>
      <c r="IXP89" s="6"/>
      <c r="IXQ89" s="6"/>
      <c r="IXR89" s="6"/>
      <c r="IXS89" s="6"/>
      <c r="IXT89" s="6"/>
      <c r="IXU89" s="6"/>
      <c r="IXV89" s="6"/>
      <c r="IXW89" s="6"/>
      <c r="IXX89" s="6"/>
      <c r="IXY89" s="6"/>
      <c r="IXZ89" s="6"/>
      <c r="IYA89" s="6"/>
      <c r="IYB89" s="6"/>
      <c r="IYC89" s="6"/>
      <c r="IYD89" s="6"/>
      <c r="IYE89" s="6"/>
      <c r="IYF89" s="6"/>
      <c r="IYG89" s="6"/>
      <c r="IYH89" s="6"/>
      <c r="IYI89" s="6"/>
      <c r="IYJ89" s="6"/>
      <c r="IYK89" s="6"/>
      <c r="IYL89" s="6"/>
      <c r="IYM89" s="6"/>
      <c r="IYN89" s="6"/>
      <c r="IYO89" s="6"/>
      <c r="IYP89" s="6"/>
      <c r="IYQ89" s="6"/>
      <c r="IYR89" s="6"/>
      <c r="IYS89" s="6"/>
      <c r="IYT89" s="6"/>
      <c r="IYU89" s="6"/>
      <c r="IYV89" s="6"/>
      <c r="IYW89" s="6"/>
      <c r="IYX89" s="6"/>
      <c r="IYY89" s="6"/>
      <c r="IYZ89" s="6"/>
      <c r="IZA89" s="6"/>
      <c r="IZB89" s="6"/>
      <c r="IZC89" s="6"/>
      <c r="IZD89" s="6"/>
      <c r="IZE89" s="6"/>
      <c r="IZF89" s="6"/>
      <c r="IZG89" s="6"/>
      <c r="IZH89" s="6"/>
      <c r="IZI89" s="6"/>
      <c r="IZJ89" s="6"/>
      <c r="IZK89" s="6"/>
      <c r="IZL89" s="6"/>
      <c r="IZM89" s="6"/>
      <c r="IZN89" s="6"/>
      <c r="IZO89" s="6"/>
      <c r="IZP89" s="6"/>
      <c r="IZQ89" s="6"/>
      <c r="IZR89" s="6"/>
      <c r="IZS89" s="6"/>
      <c r="IZT89" s="6"/>
      <c r="IZU89" s="6"/>
      <c r="IZV89" s="6"/>
      <c r="IZW89" s="6"/>
      <c r="IZX89" s="6"/>
      <c r="IZY89" s="6"/>
      <c r="IZZ89" s="6"/>
      <c r="JAA89" s="6"/>
      <c r="JAB89" s="6"/>
      <c r="JAC89" s="6"/>
      <c r="JAD89" s="6"/>
      <c r="JAE89" s="6"/>
      <c r="JAF89" s="6"/>
      <c r="JAG89" s="6"/>
      <c r="JAH89" s="6"/>
      <c r="JAI89" s="6"/>
      <c r="JAJ89" s="6"/>
      <c r="JAK89" s="6"/>
      <c r="JAL89" s="6"/>
      <c r="JAM89" s="6"/>
      <c r="JAN89" s="6"/>
      <c r="JAO89" s="6"/>
      <c r="JAP89" s="6"/>
      <c r="JAQ89" s="6"/>
      <c r="JAR89" s="6"/>
      <c r="JAS89" s="6"/>
      <c r="JAT89" s="6"/>
      <c r="JAU89" s="6"/>
      <c r="JAV89" s="6"/>
      <c r="JAW89" s="6"/>
      <c r="JAX89" s="6"/>
      <c r="JAY89" s="6"/>
      <c r="JAZ89" s="6"/>
      <c r="JBA89" s="6"/>
      <c r="JBB89" s="6"/>
      <c r="JBC89" s="6"/>
      <c r="JBD89" s="6"/>
      <c r="JBE89" s="6"/>
      <c r="JBF89" s="6"/>
      <c r="JBG89" s="6"/>
      <c r="JBH89" s="6"/>
      <c r="JBI89" s="6"/>
      <c r="JBJ89" s="6"/>
      <c r="JBK89" s="6"/>
      <c r="JBL89" s="6"/>
      <c r="JBM89" s="6"/>
      <c r="JBN89" s="6"/>
      <c r="JBO89" s="6"/>
      <c r="JBP89" s="6"/>
      <c r="JBQ89" s="6"/>
      <c r="JBR89" s="6"/>
      <c r="JBS89" s="6"/>
      <c r="JBT89" s="6"/>
      <c r="JBU89" s="6"/>
      <c r="JBV89" s="6"/>
      <c r="JBW89" s="6"/>
      <c r="JBX89" s="6"/>
      <c r="JBY89" s="6"/>
      <c r="JBZ89" s="6"/>
      <c r="JCA89" s="6"/>
      <c r="JCB89" s="6"/>
      <c r="JCC89" s="6"/>
      <c r="JCD89" s="6"/>
      <c r="JCE89" s="6"/>
      <c r="JCF89" s="6"/>
      <c r="JCG89" s="6"/>
      <c r="JCH89" s="6"/>
      <c r="JCI89" s="6"/>
      <c r="JCJ89" s="6"/>
      <c r="JCK89" s="6"/>
      <c r="JCL89" s="6"/>
      <c r="JCM89" s="6"/>
      <c r="JCN89" s="6"/>
      <c r="JCO89" s="6"/>
      <c r="JCP89" s="6"/>
      <c r="JCQ89" s="6"/>
      <c r="JCR89" s="6"/>
      <c r="JCS89" s="6"/>
      <c r="JCT89" s="6"/>
      <c r="JCU89" s="6"/>
      <c r="JCV89" s="6"/>
      <c r="JCW89" s="6"/>
      <c r="JCX89" s="6"/>
      <c r="JCY89" s="6"/>
      <c r="JCZ89" s="6"/>
      <c r="JDA89" s="6"/>
      <c r="JDB89" s="6"/>
      <c r="JDC89" s="6"/>
      <c r="JDD89" s="6"/>
      <c r="JDE89" s="6"/>
      <c r="JDF89" s="6"/>
      <c r="JDG89" s="6"/>
      <c r="JDH89" s="6"/>
      <c r="JDI89" s="6"/>
      <c r="JDJ89" s="6"/>
      <c r="JDK89" s="6"/>
      <c r="JDL89" s="6"/>
      <c r="JDM89" s="6"/>
      <c r="JDN89" s="6"/>
      <c r="JDO89" s="6"/>
      <c r="JDP89" s="6"/>
      <c r="JDQ89" s="6"/>
      <c r="JDR89" s="6"/>
      <c r="JDS89" s="6"/>
      <c r="JDT89" s="6"/>
      <c r="JDU89" s="6"/>
      <c r="JDV89" s="6"/>
      <c r="JDW89" s="6"/>
      <c r="JDX89" s="6"/>
      <c r="JDY89" s="6"/>
      <c r="JDZ89" s="6"/>
      <c r="JEA89" s="6"/>
      <c r="JEB89" s="6"/>
      <c r="JEC89" s="6"/>
      <c r="JED89" s="6"/>
      <c r="JEE89" s="6"/>
      <c r="JEF89" s="6"/>
      <c r="JEG89" s="6"/>
      <c r="JEH89" s="6"/>
      <c r="JEI89" s="6"/>
      <c r="JEJ89" s="6"/>
      <c r="JEK89" s="6"/>
      <c r="JEL89" s="6"/>
      <c r="JEM89" s="6"/>
      <c r="JEN89" s="6"/>
      <c r="JEO89" s="6"/>
      <c r="JEP89" s="6"/>
      <c r="JEQ89" s="6"/>
      <c r="JER89" s="6"/>
      <c r="JES89" s="6"/>
      <c r="JET89" s="6"/>
      <c r="JEU89" s="6"/>
      <c r="JEV89" s="6"/>
      <c r="JEW89" s="6"/>
      <c r="JEX89" s="6"/>
      <c r="JEY89" s="6"/>
      <c r="JEZ89" s="6"/>
      <c r="JFA89" s="6"/>
      <c r="JFB89" s="6"/>
      <c r="JFC89" s="6"/>
      <c r="JFD89" s="6"/>
      <c r="JFE89" s="6"/>
      <c r="JFF89" s="6"/>
      <c r="JFG89" s="6"/>
      <c r="JFH89" s="6"/>
      <c r="JFI89" s="6"/>
      <c r="JFJ89" s="6"/>
      <c r="JFK89" s="6"/>
      <c r="JFL89" s="6"/>
      <c r="JFM89" s="6"/>
      <c r="JFN89" s="6"/>
      <c r="JFO89" s="6"/>
      <c r="JFP89" s="6"/>
      <c r="JFQ89" s="6"/>
      <c r="JFR89" s="6"/>
      <c r="JFS89" s="6"/>
      <c r="JFT89" s="6"/>
      <c r="JFU89" s="6"/>
      <c r="JFV89" s="6"/>
      <c r="JFW89" s="6"/>
      <c r="JFX89" s="6"/>
      <c r="JFY89" s="6"/>
      <c r="JFZ89" s="6"/>
      <c r="JGA89" s="6"/>
      <c r="JGB89" s="6"/>
      <c r="JGC89" s="6"/>
      <c r="JGD89" s="6"/>
      <c r="JGE89" s="6"/>
      <c r="JGF89" s="6"/>
      <c r="JGG89" s="6"/>
      <c r="JGH89" s="6"/>
      <c r="JGI89" s="6"/>
      <c r="JGJ89" s="6"/>
      <c r="JGK89" s="6"/>
      <c r="JGL89" s="6"/>
      <c r="JGM89" s="6"/>
      <c r="JGN89" s="6"/>
      <c r="JGO89" s="6"/>
      <c r="JGP89" s="6"/>
      <c r="JGQ89" s="6"/>
      <c r="JGR89" s="6"/>
      <c r="JGS89" s="6"/>
      <c r="JGT89" s="6"/>
      <c r="JGU89" s="6"/>
      <c r="JGV89" s="6"/>
      <c r="JGW89" s="6"/>
      <c r="JGX89" s="6"/>
      <c r="JGY89" s="6"/>
      <c r="JGZ89" s="6"/>
      <c r="JHA89" s="6"/>
      <c r="JHB89" s="6"/>
      <c r="JHC89" s="6"/>
      <c r="JHD89" s="6"/>
      <c r="JHE89" s="6"/>
      <c r="JHF89" s="6"/>
      <c r="JHG89" s="6"/>
      <c r="JHH89" s="6"/>
      <c r="JHI89" s="6"/>
      <c r="JHJ89" s="6"/>
      <c r="JHK89" s="6"/>
      <c r="JHL89" s="6"/>
      <c r="JHM89" s="6"/>
      <c r="JHN89" s="6"/>
      <c r="JHO89" s="6"/>
      <c r="JHP89" s="6"/>
      <c r="JHQ89" s="6"/>
      <c r="JHR89" s="6"/>
      <c r="JHS89" s="6"/>
      <c r="JHT89" s="6"/>
      <c r="JHU89" s="6"/>
      <c r="JHV89" s="6"/>
      <c r="JHW89" s="6"/>
      <c r="JHX89" s="6"/>
      <c r="JHY89" s="6"/>
      <c r="JHZ89" s="6"/>
      <c r="JIA89" s="6"/>
      <c r="JIB89" s="6"/>
      <c r="JIC89" s="6"/>
      <c r="JID89" s="6"/>
      <c r="JIE89" s="6"/>
      <c r="JIF89" s="6"/>
      <c r="JIG89" s="6"/>
      <c r="JIH89" s="6"/>
      <c r="JII89" s="6"/>
      <c r="JIJ89" s="6"/>
      <c r="JIK89" s="6"/>
      <c r="JIL89" s="6"/>
      <c r="JIM89" s="6"/>
      <c r="JIN89" s="6"/>
      <c r="JIO89" s="6"/>
      <c r="JIP89" s="6"/>
      <c r="JIQ89" s="6"/>
      <c r="JIR89" s="6"/>
      <c r="JIS89" s="6"/>
      <c r="JIT89" s="6"/>
      <c r="JIU89" s="6"/>
      <c r="JIV89" s="6"/>
      <c r="JIW89" s="6"/>
      <c r="JIX89" s="6"/>
      <c r="JIY89" s="6"/>
      <c r="JIZ89" s="6"/>
      <c r="JJA89" s="6"/>
      <c r="JJB89" s="6"/>
      <c r="JJC89" s="6"/>
      <c r="JJD89" s="6"/>
      <c r="JJE89" s="6"/>
      <c r="JJF89" s="6"/>
      <c r="JJG89" s="6"/>
      <c r="JJH89" s="6"/>
      <c r="JJI89" s="6"/>
      <c r="JJJ89" s="6"/>
      <c r="JJK89" s="6"/>
      <c r="JJL89" s="6"/>
      <c r="JJM89" s="6"/>
      <c r="JJN89" s="6"/>
      <c r="JJO89" s="6"/>
      <c r="JJP89" s="6"/>
      <c r="JJQ89" s="6"/>
      <c r="JJR89" s="6"/>
      <c r="JJS89" s="6"/>
      <c r="JJT89" s="6"/>
      <c r="JJU89" s="6"/>
      <c r="JJV89" s="6"/>
      <c r="JJW89" s="6"/>
      <c r="JJX89" s="6"/>
      <c r="JJY89" s="6"/>
      <c r="JJZ89" s="6"/>
      <c r="JKA89" s="6"/>
      <c r="JKB89" s="6"/>
      <c r="JKC89" s="6"/>
      <c r="JKD89" s="6"/>
      <c r="JKE89" s="6"/>
      <c r="JKF89" s="6"/>
      <c r="JKG89" s="6"/>
      <c r="JKH89" s="6"/>
      <c r="JKI89" s="6"/>
      <c r="JKJ89" s="6"/>
      <c r="JKK89" s="6"/>
      <c r="JKL89" s="6"/>
      <c r="JKM89" s="6"/>
      <c r="JKN89" s="6"/>
      <c r="JKO89" s="6"/>
      <c r="JKP89" s="6"/>
      <c r="JKQ89" s="6"/>
      <c r="JKR89" s="6"/>
      <c r="JKS89" s="6"/>
      <c r="JKT89" s="6"/>
      <c r="JKU89" s="6"/>
      <c r="JKV89" s="6"/>
      <c r="JKW89" s="6"/>
      <c r="JKX89" s="6"/>
      <c r="JKY89" s="6"/>
      <c r="JKZ89" s="6"/>
      <c r="JLA89" s="6"/>
      <c r="JLB89" s="6"/>
      <c r="JLC89" s="6"/>
      <c r="JLD89" s="6"/>
      <c r="JLE89" s="6"/>
      <c r="JLF89" s="6"/>
      <c r="JLG89" s="6"/>
      <c r="JLH89" s="6"/>
      <c r="JLI89" s="6"/>
      <c r="JLJ89" s="6"/>
      <c r="JLK89" s="6"/>
      <c r="JLL89" s="6"/>
      <c r="JLM89" s="6"/>
      <c r="JLN89" s="6"/>
      <c r="JLO89" s="6"/>
      <c r="JLP89" s="6"/>
      <c r="JLQ89" s="6"/>
      <c r="JLR89" s="6"/>
      <c r="JLS89" s="6"/>
      <c r="JLT89" s="6"/>
      <c r="JLU89" s="6"/>
      <c r="JLV89" s="6"/>
      <c r="JLW89" s="6"/>
      <c r="JLX89" s="6"/>
      <c r="JLY89" s="6"/>
      <c r="JLZ89" s="6"/>
      <c r="JMA89" s="6"/>
      <c r="JMB89" s="6"/>
      <c r="JMC89" s="6"/>
      <c r="JMD89" s="6"/>
      <c r="JME89" s="6"/>
      <c r="JMF89" s="6"/>
      <c r="JMG89" s="6"/>
      <c r="JMH89" s="6"/>
      <c r="JMI89" s="6"/>
      <c r="JMJ89" s="6"/>
      <c r="JMK89" s="6"/>
      <c r="JML89" s="6"/>
      <c r="JMM89" s="6"/>
      <c r="JMN89" s="6"/>
      <c r="JMO89" s="6"/>
      <c r="JMP89" s="6"/>
      <c r="JMQ89" s="6"/>
      <c r="JMR89" s="6"/>
      <c r="JMS89" s="6"/>
      <c r="JMT89" s="6"/>
      <c r="JMU89" s="6"/>
      <c r="JMV89" s="6"/>
      <c r="JMW89" s="6"/>
      <c r="JMX89" s="6"/>
      <c r="JMY89" s="6"/>
      <c r="JMZ89" s="6"/>
      <c r="JNA89" s="6"/>
      <c r="JNB89" s="6"/>
      <c r="JNC89" s="6"/>
      <c r="JND89" s="6"/>
      <c r="JNE89" s="6"/>
      <c r="JNF89" s="6"/>
      <c r="JNG89" s="6"/>
      <c r="JNH89" s="6"/>
      <c r="JNI89" s="6"/>
      <c r="JNJ89" s="6"/>
      <c r="JNK89" s="6"/>
      <c r="JNL89" s="6"/>
      <c r="JNM89" s="6"/>
      <c r="JNN89" s="6"/>
      <c r="JNO89" s="6"/>
      <c r="JNP89" s="6"/>
      <c r="JNQ89" s="6"/>
      <c r="JNR89" s="6"/>
      <c r="JNS89" s="6"/>
      <c r="JNT89" s="6"/>
      <c r="JNU89" s="6"/>
      <c r="JNV89" s="6"/>
      <c r="JNW89" s="6"/>
      <c r="JNX89" s="6"/>
      <c r="JNY89" s="6"/>
      <c r="JNZ89" s="6"/>
      <c r="JOA89" s="6"/>
      <c r="JOB89" s="6"/>
      <c r="JOC89" s="6"/>
      <c r="JOD89" s="6"/>
      <c r="JOE89" s="6"/>
      <c r="JOF89" s="6"/>
      <c r="JOG89" s="6"/>
      <c r="JOH89" s="6"/>
      <c r="JOI89" s="6"/>
      <c r="JOJ89" s="6"/>
      <c r="JOK89" s="6"/>
      <c r="JOL89" s="6"/>
      <c r="JOM89" s="6"/>
      <c r="JON89" s="6"/>
      <c r="JOO89" s="6"/>
      <c r="JOP89" s="6"/>
      <c r="JOQ89" s="6"/>
      <c r="JOR89" s="6"/>
      <c r="JOS89" s="6"/>
      <c r="JOT89" s="6"/>
      <c r="JOU89" s="6"/>
      <c r="JOV89" s="6"/>
      <c r="JOW89" s="6"/>
      <c r="JOX89" s="6"/>
      <c r="JOY89" s="6"/>
      <c r="JOZ89" s="6"/>
      <c r="JPA89" s="6"/>
      <c r="JPB89" s="6"/>
      <c r="JPC89" s="6"/>
      <c r="JPD89" s="6"/>
      <c r="JPE89" s="6"/>
      <c r="JPF89" s="6"/>
      <c r="JPG89" s="6"/>
      <c r="JPH89" s="6"/>
      <c r="JPI89" s="6"/>
      <c r="JPJ89" s="6"/>
      <c r="JPK89" s="6"/>
      <c r="JPL89" s="6"/>
      <c r="JPM89" s="6"/>
      <c r="JPN89" s="6"/>
      <c r="JPO89" s="6"/>
      <c r="JPP89" s="6"/>
      <c r="JPQ89" s="6"/>
      <c r="JPR89" s="6"/>
      <c r="JPS89" s="6"/>
      <c r="JPT89" s="6"/>
      <c r="JPU89" s="6"/>
      <c r="JPV89" s="6"/>
      <c r="JPW89" s="6"/>
      <c r="JPX89" s="6"/>
      <c r="JPY89" s="6"/>
      <c r="JPZ89" s="6"/>
      <c r="JQA89" s="6"/>
      <c r="JQB89" s="6"/>
      <c r="JQC89" s="6"/>
      <c r="JQD89" s="6"/>
      <c r="JQE89" s="6"/>
      <c r="JQF89" s="6"/>
      <c r="JQG89" s="6"/>
      <c r="JQH89" s="6"/>
      <c r="JQI89" s="6"/>
      <c r="JQJ89" s="6"/>
      <c r="JQK89" s="6"/>
      <c r="JQL89" s="6"/>
      <c r="JQM89" s="6"/>
      <c r="JQN89" s="6"/>
      <c r="JQO89" s="6"/>
      <c r="JQP89" s="6"/>
      <c r="JQQ89" s="6"/>
      <c r="JQR89" s="6"/>
      <c r="JQS89" s="6"/>
      <c r="JQT89" s="6"/>
      <c r="JQU89" s="6"/>
      <c r="JQV89" s="6"/>
      <c r="JQW89" s="6"/>
      <c r="JQX89" s="6"/>
      <c r="JQY89" s="6"/>
      <c r="JQZ89" s="6"/>
      <c r="JRA89" s="6"/>
      <c r="JRB89" s="6"/>
      <c r="JRC89" s="6"/>
      <c r="JRD89" s="6"/>
      <c r="JRE89" s="6"/>
      <c r="JRF89" s="6"/>
      <c r="JRG89" s="6"/>
      <c r="JRH89" s="6"/>
      <c r="JRI89" s="6"/>
      <c r="JRJ89" s="6"/>
      <c r="JRK89" s="6"/>
      <c r="JRL89" s="6"/>
      <c r="JRM89" s="6"/>
      <c r="JRN89" s="6"/>
      <c r="JRO89" s="6"/>
      <c r="JRP89" s="6"/>
      <c r="JRQ89" s="6"/>
      <c r="JRR89" s="6"/>
      <c r="JRS89" s="6"/>
      <c r="JRT89" s="6"/>
      <c r="JRU89" s="6"/>
      <c r="JRV89" s="6"/>
      <c r="JRW89" s="6"/>
      <c r="JRX89" s="6"/>
      <c r="JRY89" s="6"/>
      <c r="JRZ89" s="6"/>
      <c r="JSA89" s="6"/>
      <c r="JSB89" s="6"/>
      <c r="JSC89" s="6"/>
      <c r="JSD89" s="6"/>
      <c r="JSE89" s="6"/>
      <c r="JSF89" s="6"/>
      <c r="JSG89" s="6"/>
      <c r="JSH89" s="6"/>
      <c r="JSI89" s="6"/>
      <c r="JSJ89" s="6"/>
      <c r="JSK89" s="6"/>
      <c r="JSL89" s="6"/>
      <c r="JSM89" s="6"/>
      <c r="JSN89" s="6"/>
      <c r="JSO89" s="6"/>
      <c r="JSP89" s="6"/>
      <c r="JSQ89" s="6"/>
      <c r="JSR89" s="6"/>
      <c r="JSS89" s="6"/>
      <c r="JST89" s="6"/>
      <c r="JSU89" s="6"/>
      <c r="JSV89" s="6"/>
      <c r="JSW89" s="6"/>
      <c r="JSX89" s="6"/>
      <c r="JSY89" s="6"/>
      <c r="JSZ89" s="6"/>
      <c r="JTA89" s="6"/>
      <c r="JTB89" s="6"/>
      <c r="JTC89" s="6"/>
      <c r="JTD89" s="6"/>
      <c r="JTE89" s="6"/>
      <c r="JTF89" s="6"/>
      <c r="JTG89" s="6"/>
      <c r="JTH89" s="6"/>
      <c r="JTI89" s="6"/>
      <c r="JTJ89" s="6"/>
      <c r="JTK89" s="6"/>
      <c r="JTL89" s="6"/>
      <c r="JTM89" s="6"/>
      <c r="JTN89" s="6"/>
      <c r="JTO89" s="6"/>
      <c r="JTP89" s="6"/>
      <c r="JTQ89" s="6"/>
      <c r="JTR89" s="6"/>
      <c r="JTS89" s="6"/>
      <c r="JTT89" s="6"/>
      <c r="JTU89" s="6"/>
      <c r="JTV89" s="6"/>
      <c r="JTW89" s="6"/>
      <c r="JTX89" s="6"/>
      <c r="JTY89" s="6"/>
      <c r="JTZ89" s="6"/>
      <c r="JUA89" s="6"/>
      <c r="JUB89" s="6"/>
      <c r="JUC89" s="6"/>
      <c r="JUD89" s="6"/>
      <c r="JUE89" s="6"/>
      <c r="JUF89" s="6"/>
      <c r="JUG89" s="6"/>
      <c r="JUH89" s="6"/>
      <c r="JUI89" s="6"/>
      <c r="JUJ89" s="6"/>
      <c r="JUK89" s="6"/>
      <c r="JUL89" s="6"/>
      <c r="JUM89" s="6"/>
      <c r="JUN89" s="6"/>
      <c r="JUO89" s="6"/>
      <c r="JUP89" s="6"/>
      <c r="JUQ89" s="6"/>
      <c r="JUR89" s="6"/>
      <c r="JUS89" s="6"/>
      <c r="JUT89" s="6"/>
      <c r="JUU89" s="6"/>
      <c r="JUV89" s="6"/>
      <c r="JUW89" s="6"/>
      <c r="JUX89" s="6"/>
      <c r="JUY89" s="6"/>
      <c r="JUZ89" s="6"/>
      <c r="JVA89" s="6"/>
      <c r="JVB89" s="6"/>
      <c r="JVC89" s="6"/>
      <c r="JVD89" s="6"/>
      <c r="JVE89" s="6"/>
      <c r="JVF89" s="6"/>
      <c r="JVG89" s="6"/>
      <c r="JVH89" s="6"/>
      <c r="JVI89" s="6"/>
      <c r="JVJ89" s="6"/>
      <c r="JVK89" s="6"/>
      <c r="JVL89" s="6"/>
      <c r="JVM89" s="6"/>
      <c r="JVN89" s="6"/>
      <c r="JVO89" s="6"/>
      <c r="JVP89" s="6"/>
      <c r="JVQ89" s="6"/>
      <c r="JVR89" s="6"/>
      <c r="JVS89" s="6"/>
      <c r="JVT89" s="6"/>
      <c r="JVU89" s="6"/>
      <c r="JVV89" s="6"/>
      <c r="JVW89" s="6"/>
      <c r="JVX89" s="6"/>
      <c r="JVY89" s="6"/>
      <c r="JVZ89" s="6"/>
      <c r="JWA89" s="6"/>
      <c r="JWB89" s="6"/>
      <c r="JWC89" s="6"/>
      <c r="JWD89" s="6"/>
      <c r="JWE89" s="6"/>
      <c r="JWF89" s="6"/>
      <c r="JWG89" s="6"/>
      <c r="JWH89" s="6"/>
      <c r="JWI89" s="6"/>
      <c r="JWJ89" s="6"/>
      <c r="JWK89" s="6"/>
      <c r="JWL89" s="6"/>
      <c r="JWM89" s="6"/>
      <c r="JWN89" s="6"/>
      <c r="JWO89" s="6"/>
      <c r="JWP89" s="6"/>
      <c r="JWQ89" s="6"/>
      <c r="JWR89" s="6"/>
      <c r="JWS89" s="6"/>
      <c r="JWT89" s="6"/>
      <c r="JWU89" s="6"/>
      <c r="JWV89" s="6"/>
      <c r="JWW89" s="6"/>
      <c r="JWX89" s="6"/>
      <c r="JWY89" s="6"/>
      <c r="JWZ89" s="6"/>
      <c r="JXA89" s="6"/>
      <c r="JXB89" s="6"/>
      <c r="JXC89" s="6"/>
      <c r="JXD89" s="6"/>
      <c r="JXE89" s="6"/>
      <c r="JXF89" s="6"/>
      <c r="JXG89" s="6"/>
      <c r="JXH89" s="6"/>
      <c r="JXI89" s="6"/>
      <c r="JXJ89" s="6"/>
      <c r="JXK89" s="6"/>
      <c r="JXL89" s="6"/>
      <c r="JXM89" s="6"/>
      <c r="JXN89" s="6"/>
      <c r="JXO89" s="6"/>
      <c r="JXP89" s="6"/>
      <c r="JXQ89" s="6"/>
      <c r="JXR89" s="6"/>
      <c r="JXS89" s="6"/>
      <c r="JXT89" s="6"/>
      <c r="JXU89" s="6"/>
      <c r="JXV89" s="6"/>
      <c r="JXW89" s="6"/>
      <c r="JXX89" s="6"/>
      <c r="JXY89" s="6"/>
      <c r="JXZ89" s="6"/>
      <c r="JYA89" s="6"/>
      <c r="JYB89" s="6"/>
      <c r="JYC89" s="6"/>
      <c r="JYD89" s="6"/>
      <c r="JYE89" s="6"/>
      <c r="JYF89" s="6"/>
      <c r="JYG89" s="6"/>
      <c r="JYH89" s="6"/>
      <c r="JYI89" s="6"/>
      <c r="JYJ89" s="6"/>
      <c r="JYK89" s="6"/>
      <c r="JYL89" s="6"/>
      <c r="JYM89" s="6"/>
      <c r="JYN89" s="6"/>
      <c r="JYO89" s="6"/>
      <c r="JYP89" s="6"/>
      <c r="JYQ89" s="6"/>
      <c r="JYR89" s="6"/>
      <c r="JYS89" s="6"/>
      <c r="JYT89" s="6"/>
      <c r="JYU89" s="6"/>
      <c r="JYV89" s="6"/>
      <c r="JYW89" s="6"/>
      <c r="JYX89" s="6"/>
      <c r="JYY89" s="6"/>
      <c r="JYZ89" s="6"/>
      <c r="JZA89" s="6"/>
      <c r="JZB89" s="6"/>
      <c r="JZC89" s="6"/>
      <c r="JZD89" s="6"/>
      <c r="JZE89" s="6"/>
      <c r="JZF89" s="6"/>
      <c r="JZG89" s="6"/>
      <c r="JZH89" s="6"/>
      <c r="JZI89" s="6"/>
      <c r="JZJ89" s="6"/>
      <c r="JZK89" s="6"/>
      <c r="JZL89" s="6"/>
      <c r="JZM89" s="6"/>
      <c r="JZN89" s="6"/>
      <c r="JZO89" s="6"/>
      <c r="JZP89" s="6"/>
      <c r="JZQ89" s="6"/>
      <c r="JZR89" s="6"/>
      <c r="JZS89" s="6"/>
      <c r="JZT89" s="6"/>
      <c r="JZU89" s="6"/>
      <c r="JZV89" s="6"/>
      <c r="JZW89" s="6"/>
      <c r="JZX89" s="6"/>
      <c r="JZY89" s="6"/>
      <c r="JZZ89" s="6"/>
      <c r="KAA89" s="6"/>
      <c r="KAB89" s="6"/>
      <c r="KAC89" s="6"/>
      <c r="KAD89" s="6"/>
      <c r="KAE89" s="6"/>
      <c r="KAF89" s="6"/>
      <c r="KAG89" s="6"/>
      <c r="KAH89" s="6"/>
      <c r="KAI89" s="6"/>
      <c r="KAJ89" s="6"/>
      <c r="KAK89" s="6"/>
      <c r="KAL89" s="6"/>
      <c r="KAM89" s="6"/>
      <c r="KAN89" s="6"/>
      <c r="KAO89" s="6"/>
      <c r="KAP89" s="6"/>
      <c r="KAQ89" s="6"/>
      <c r="KAR89" s="6"/>
      <c r="KAS89" s="6"/>
      <c r="KAT89" s="6"/>
      <c r="KAU89" s="6"/>
      <c r="KAV89" s="6"/>
      <c r="KAW89" s="6"/>
      <c r="KAX89" s="6"/>
      <c r="KAY89" s="6"/>
      <c r="KAZ89" s="6"/>
      <c r="KBA89" s="6"/>
      <c r="KBB89" s="6"/>
      <c r="KBC89" s="6"/>
      <c r="KBD89" s="6"/>
      <c r="KBE89" s="6"/>
      <c r="KBF89" s="6"/>
      <c r="KBG89" s="6"/>
      <c r="KBH89" s="6"/>
      <c r="KBI89" s="6"/>
      <c r="KBJ89" s="6"/>
      <c r="KBK89" s="6"/>
      <c r="KBL89" s="6"/>
      <c r="KBM89" s="6"/>
      <c r="KBN89" s="6"/>
      <c r="KBO89" s="6"/>
      <c r="KBP89" s="6"/>
      <c r="KBQ89" s="6"/>
      <c r="KBR89" s="6"/>
      <c r="KBS89" s="6"/>
      <c r="KBT89" s="6"/>
      <c r="KBU89" s="6"/>
      <c r="KBV89" s="6"/>
      <c r="KBW89" s="6"/>
      <c r="KBX89" s="6"/>
      <c r="KBY89" s="6"/>
      <c r="KBZ89" s="6"/>
      <c r="KCA89" s="6"/>
      <c r="KCB89" s="6"/>
      <c r="KCC89" s="6"/>
      <c r="KCD89" s="6"/>
      <c r="KCE89" s="6"/>
      <c r="KCF89" s="6"/>
      <c r="KCG89" s="6"/>
      <c r="KCH89" s="6"/>
      <c r="KCI89" s="6"/>
      <c r="KCJ89" s="6"/>
      <c r="KCK89" s="6"/>
      <c r="KCL89" s="6"/>
      <c r="KCM89" s="6"/>
      <c r="KCN89" s="6"/>
      <c r="KCO89" s="6"/>
      <c r="KCP89" s="6"/>
      <c r="KCQ89" s="6"/>
      <c r="KCR89" s="6"/>
      <c r="KCS89" s="6"/>
      <c r="KCT89" s="6"/>
      <c r="KCU89" s="6"/>
      <c r="KCV89" s="6"/>
      <c r="KCW89" s="6"/>
      <c r="KCX89" s="6"/>
      <c r="KCY89" s="6"/>
      <c r="KCZ89" s="6"/>
      <c r="KDA89" s="6"/>
      <c r="KDB89" s="6"/>
      <c r="KDC89" s="6"/>
      <c r="KDD89" s="6"/>
      <c r="KDE89" s="6"/>
      <c r="KDF89" s="6"/>
      <c r="KDG89" s="6"/>
      <c r="KDH89" s="6"/>
      <c r="KDI89" s="6"/>
      <c r="KDJ89" s="6"/>
      <c r="KDK89" s="6"/>
      <c r="KDL89" s="6"/>
      <c r="KDM89" s="6"/>
      <c r="KDN89" s="6"/>
      <c r="KDO89" s="6"/>
      <c r="KDP89" s="6"/>
      <c r="KDQ89" s="6"/>
      <c r="KDR89" s="6"/>
      <c r="KDS89" s="6"/>
      <c r="KDT89" s="6"/>
      <c r="KDU89" s="6"/>
      <c r="KDV89" s="6"/>
      <c r="KDW89" s="6"/>
      <c r="KDX89" s="6"/>
      <c r="KDY89" s="6"/>
      <c r="KDZ89" s="6"/>
      <c r="KEA89" s="6"/>
      <c r="KEB89" s="6"/>
      <c r="KEC89" s="6"/>
      <c r="KED89" s="6"/>
      <c r="KEE89" s="6"/>
      <c r="KEF89" s="6"/>
      <c r="KEG89" s="6"/>
      <c r="KEH89" s="6"/>
      <c r="KEI89" s="6"/>
      <c r="KEJ89" s="6"/>
      <c r="KEK89" s="6"/>
      <c r="KEL89" s="6"/>
      <c r="KEM89" s="6"/>
      <c r="KEN89" s="6"/>
      <c r="KEO89" s="6"/>
      <c r="KEP89" s="6"/>
      <c r="KEQ89" s="6"/>
      <c r="KER89" s="6"/>
      <c r="KES89" s="6"/>
      <c r="KET89" s="6"/>
      <c r="KEU89" s="6"/>
      <c r="KEV89" s="6"/>
      <c r="KEW89" s="6"/>
      <c r="KEX89" s="6"/>
      <c r="KEY89" s="6"/>
      <c r="KEZ89" s="6"/>
      <c r="KFA89" s="6"/>
      <c r="KFB89" s="6"/>
      <c r="KFC89" s="6"/>
      <c r="KFD89" s="6"/>
      <c r="KFE89" s="6"/>
      <c r="KFF89" s="6"/>
      <c r="KFG89" s="6"/>
      <c r="KFH89" s="6"/>
      <c r="KFI89" s="6"/>
      <c r="KFJ89" s="6"/>
      <c r="KFK89" s="6"/>
      <c r="KFL89" s="6"/>
      <c r="KFM89" s="6"/>
      <c r="KFN89" s="6"/>
      <c r="KFO89" s="6"/>
      <c r="KFP89" s="6"/>
      <c r="KFQ89" s="6"/>
      <c r="KFR89" s="6"/>
      <c r="KFS89" s="6"/>
      <c r="KFT89" s="6"/>
      <c r="KFU89" s="6"/>
      <c r="KFV89" s="6"/>
      <c r="KFW89" s="6"/>
      <c r="KFX89" s="6"/>
      <c r="KFY89" s="6"/>
      <c r="KFZ89" s="6"/>
      <c r="KGA89" s="6"/>
      <c r="KGB89" s="6"/>
      <c r="KGC89" s="6"/>
      <c r="KGD89" s="6"/>
      <c r="KGE89" s="6"/>
      <c r="KGF89" s="6"/>
      <c r="KGG89" s="6"/>
      <c r="KGH89" s="6"/>
      <c r="KGI89" s="6"/>
      <c r="KGJ89" s="6"/>
      <c r="KGK89" s="6"/>
      <c r="KGL89" s="6"/>
      <c r="KGM89" s="6"/>
      <c r="KGN89" s="6"/>
      <c r="KGO89" s="6"/>
      <c r="KGP89" s="6"/>
      <c r="KGQ89" s="6"/>
      <c r="KGR89" s="6"/>
      <c r="KGS89" s="6"/>
      <c r="KGT89" s="6"/>
      <c r="KGU89" s="6"/>
      <c r="KGV89" s="6"/>
      <c r="KGW89" s="6"/>
      <c r="KGX89" s="6"/>
      <c r="KGY89" s="6"/>
      <c r="KGZ89" s="6"/>
      <c r="KHA89" s="6"/>
      <c r="KHB89" s="6"/>
      <c r="KHC89" s="6"/>
      <c r="KHD89" s="6"/>
      <c r="KHE89" s="6"/>
      <c r="KHF89" s="6"/>
      <c r="KHG89" s="6"/>
      <c r="KHH89" s="6"/>
      <c r="KHI89" s="6"/>
      <c r="KHJ89" s="6"/>
      <c r="KHK89" s="6"/>
      <c r="KHL89" s="6"/>
      <c r="KHM89" s="6"/>
      <c r="KHN89" s="6"/>
      <c r="KHO89" s="6"/>
      <c r="KHP89" s="6"/>
      <c r="KHQ89" s="6"/>
      <c r="KHR89" s="6"/>
      <c r="KHS89" s="6"/>
      <c r="KHT89" s="6"/>
      <c r="KHU89" s="6"/>
      <c r="KHV89" s="6"/>
      <c r="KHW89" s="6"/>
      <c r="KHX89" s="6"/>
      <c r="KHY89" s="6"/>
      <c r="KHZ89" s="6"/>
      <c r="KIA89" s="6"/>
      <c r="KIB89" s="6"/>
      <c r="KIC89" s="6"/>
      <c r="KID89" s="6"/>
      <c r="KIE89" s="6"/>
      <c r="KIF89" s="6"/>
      <c r="KIG89" s="6"/>
      <c r="KIH89" s="6"/>
      <c r="KII89" s="6"/>
      <c r="KIJ89" s="6"/>
      <c r="KIK89" s="6"/>
      <c r="KIL89" s="6"/>
      <c r="KIM89" s="6"/>
      <c r="KIN89" s="6"/>
      <c r="KIO89" s="6"/>
      <c r="KIP89" s="6"/>
      <c r="KIQ89" s="6"/>
      <c r="KIR89" s="6"/>
      <c r="KIS89" s="6"/>
      <c r="KIT89" s="6"/>
      <c r="KIU89" s="6"/>
      <c r="KIV89" s="6"/>
      <c r="KIW89" s="6"/>
      <c r="KIX89" s="6"/>
      <c r="KIY89" s="6"/>
      <c r="KIZ89" s="6"/>
      <c r="KJA89" s="6"/>
      <c r="KJB89" s="6"/>
      <c r="KJC89" s="6"/>
      <c r="KJD89" s="6"/>
      <c r="KJE89" s="6"/>
      <c r="KJF89" s="6"/>
      <c r="KJG89" s="6"/>
      <c r="KJH89" s="6"/>
      <c r="KJI89" s="6"/>
      <c r="KJJ89" s="6"/>
      <c r="KJK89" s="6"/>
      <c r="KJL89" s="6"/>
      <c r="KJM89" s="6"/>
      <c r="KJN89" s="6"/>
      <c r="KJO89" s="6"/>
      <c r="KJP89" s="6"/>
      <c r="KJQ89" s="6"/>
      <c r="KJR89" s="6"/>
      <c r="KJS89" s="6"/>
      <c r="KJT89" s="6"/>
      <c r="KJU89" s="6"/>
      <c r="KJV89" s="6"/>
      <c r="KJW89" s="6"/>
      <c r="KJX89" s="6"/>
      <c r="KJY89" s="6"/>
      <c r="KJZ89" s="6"/>
      <c r="KKA89" s="6"/>
      <c r="KKB89" s="6"/>
      <c r="KKC89" s="6"/>
      <c r="KKD89" s="6"/>
      <c r="KKE89" s="6"/>
      <c r="KKF89" s="6"/>
      <c r="KKG89" s="6"/>
      <c r="KKH89" s="6"/>
      <c r="KKI89" s="6"/>
      <c r="KKJ89" s="6"/>
      <c r="KKK89" s="6"/>
      <c r="KKL89" s="6"/>
      <c r="KKM89" s="6"/>
      <c r="KKN89" s="6"/>
      <c r="KKO89" s="6"/>
      <c r="KKP89" s="6"/>
      <c r="KKQ89" s="6"/>
      <c r="KKR89" s="6"/>
      <c r="KKS89" s="6"/>
      <c r="KKT89" s="6"/>
      <c r="KKU89" s="6"/>
      <c r="KKV89" s="6"/>
      <c r="KKW89" s="6"/>
      <c r="KKX89" s="6"/>
      <c r="KKY89" s="6"/>
      <c r="KKZ89" s="6"/>
      <c r="KLA89" s="6"/>
      <c r="KLB89" s="6"/>
      <c r="KLC89" s="6"/>
      <c r="KLD89" s="6"/>
      <c r="KLE89" s="6"/>
      <c r="KLF89" s="6"/>
      <c r="KLG89" s="6"/>
      <c r="KLH89" s="6"/>
      <c r="KLI89" s="6"/>
      <c r="KLJ89" s="6"/>
      <c r="KLK89" s="6"/>
      <c r="KLL89" s="6"/>
      <c r="KLM89" s="6"/>
      <c r="KLN89" s="6"/>
      <c r="KLO89" s="6"/>
      <c r="KLP89" s="6"/>
      <c r="KLQ89" s="6"/>
      <c r="KLR89" s="6"/>
      <c r="KLS89" s="6"/>
      <c r="KLT89" s="6"/>
      <c r="KLU89" s="6"/>
      <c r="KLV89" s="6"/>
      <c r="KLW89" s="6"/>
      <c r="KLX89" s="6"/>
      <c r="KLY89" s="6"/>
      <c r="KLZ89" s="6"/>
      <c r="KMA89" s="6"/>
      <c r="KMB89" s="6"/>
      <c r="KMC89" s="6"/>
      <c r="KMD89" s="6"/>
      <c r="KME89" s="6"/>
      <c r="KMF89" s="6"/>
      <c r="KMG89" s="6"/>
      <c r="KMH89" s="6"/>
      <c r="KMI89" s="6"/>
      <c r="KMJ89" s="6"/>
      <c r="KMK89" s="6"/>
      <c r="KML89" s="6"/>
      <c r="KMM89" s="6"/>
      <c r="KMN89" s="6"/>
      <c r="KMO89" s="6"/>
      <c r="KMP89" s="6"/>
      <c r="KMQ89" s="6"/>
      <c r="KMR89" s="6"/>
      <c r="KMS89" s="6"/>
      <c r="KMT89" s="6"/>
      <c r="KMU89" s="6"/>
      <c r="KMV89" s="6"/>
      <c r="KMW89" s="6"/>
      <c r="KMX89" s="6"/>
      <c r="KMY89" s="6"/>
      <c r="KMZ89" s="6"/>
      <c r="KNA89" s="6"/>
      <c r="KNB89" s="6"/>
      <c r="KNC89" s="6"/>
      <c r="KND89" s="6"/>
      <c r="KNE89" s="6"/>
      <c r="KNF89" s="6"/>
      <c r="KNG89" s="6"/>
      <c r="KNH89" s="6"/>
      <c r="KNI89" s="6"/>
      <c r="KNJ89" s="6"/>
      <c r="KNK89" s="6"/>
      <c r="KNL89" s="6"/>
      <c r="KNM89" s="6"/>
      <c r="KNN89" s="6"/>
      <c r="KNO89" s="6"/>
      <c r="KNP89" s="6"/>
      <c r="KNQ89" s="6"/>
      <c r="KNR89" s="6"/>
      <c r="KNS89" s="6"/>
      <c r="KNT89" s="6"/>
      <c r="KNU89" s="6"/>
      <c r="KNV89" s="6"/>
      <c r="KNW89" s="6"/>
      <c r="KNX89" s="6"/>
      <c r="KNY89" s="6"/>
      <c r="KNZ89" s="6"/>
      <c r="KOA89" s="6"/>
      <c r="KOB89" s="6"/>
      <c r="KOC89" s="6"/>
      <c r="KOD89" s="6"/>
      <c r="KOE89" s="6"/>
      <c r="KOF89" s="6"/>
      <c r="KOG89" s="6"/>
      <c r="KOH89" s="6"/>
      <c r="KOI89" s="6"/>
      <c r="KOJ89" s="6"/>
      <c r="KOK89" s="6"/>
      <c r="KOL89" s="6"/>
      <c r="KOM89" s="6"/>
      <c r="KON89" s="6"/>
      <c r="KOO89" s="6"/>
      <c r="KOP89" s="6"/>
      <c r="KOQ89" s="6"/>
      <c r="KOR89" s="6"/>
      <c r="KOS89" s="6"/>
      <c r="KOT89" s="6"/>
      <c r="KOU89" s="6"/>
      <c r="KOV89" s="6"/>
      <c r="KOW89" s="6"/>
      <c r="KOX89" s="6"/>
      <c r="KOY89" s="6"/>
      <c r="KOZ89" s="6"/>
      <c r="KPA89" s="6"/>
      <c r="KPB89" s="6"/>
      <c r="KPC89" s="6"/>
      <c r="KPD89" s="6"/>
      <c r="KPE89" s="6"/>
      <c r="KPF89" s="6"/>
      <c r="KPG89" s="6"/>
      <c r="KPH89" s="6"/>
      <c r="KPI89" s="6"/>
      <c r="KPJ89" s="6"/>
      <c r="KPK89" s="6"/>
      <c r="KPL89" s="6"/>
      <c r="KPM89" s="6"/>
      <c r="KPN89" s="6"/>
      <c r="KPO89" s="6"/>
      <c r="KPP89" s="6"/>
      <c r="KPQ89" s="6"/>
      <c r="KPR89" s="6"/>
      <c r="KPS89" s="6"/>
      <c r="KPT89" s="6"/>
      <c r="KPU89" s="6"/>
      <c r="KPV89" s="6"/>
      <c r="KPW89" s="6"/>
      <c r="KPX89" s="6"/>
      <c r="KPY89" s="6"/>
      <c r="KPZ89" s="6"/>
      <c r="KQA89" s="6"/>
      <c r="KQB89" s="6"/>
      <c r="KQC89" s="6"/>
      <c r="KQD89" s="6"/>
      <c r="KQE89" s="6"/>
      <c r="KQF89" s="6"/>
      <c r="KQG89" s="6"/>
      <c r="KQH89" s="6"/>
      <c r="KQI89" s="6"/>
      <c r="KQJ89" s="6"/>
      <c r="KQK89" s="6"/>
      <c r="KQL89" s="6"/>
      <c r="KQM89" s="6"/>
      <c r="KQN89" s="6"/>
      <c r="KQO89" s="6"/>
      <c r="KQP89" s="6"/>
      <c r="KQQ89" s="6"/>
      <c r="KQR89" s="6"/>
      <c r="KQS89" s="6"/>
      <c r="KQT89" s="6"/>
      <c r="KQU89" s="6"/>
      <c r="KQV89" s="6"/>
      <c r="KQW89" s="6"/>
      <c r="KQX89" s="6"/>
      <c r="KQY89" s="6"/>
      <c r="KQZ89" s="6"/>
      <c r="KRA89" s="6"/>
      <c r="KRB89" s="6"/>
      <c r="KRC89" s="6"/>
      <c r="KRD89" s="6"/>
      <c r="KRE89" s="6"/>
      <c r="KRF89" s="6"/>
      <c r="KRG89" s="6"/>
      <c r="KRH89" s="6"/>
      <c r="KRI89" s="6"/>
      <c r="KRJ89" s="6"/>
      <c r="KRK89" s="6"/>
      <c r="KRL89" s="6"/>
      <c r="KRM89" s="6"/>
      <c r="KRN89" s="6"/>
      <c r="KRO89" s="6"/>
      <c r="KRP89" s="6"/>
      <c r="KRQ89" s="6"/>
      <c r="KRR89" s="6"/>
      <c r="KRS89" s="6"/>
      <c r="KRT89" s="6"/>
      <c r="KRU89" s="6"/>
      <c r="KRV89" s="6"/>
      <c r="KRW89" s="6"/>
      <c r="KRX89" s="6"/>
      <c r="KRY89" s="6"/>
      <c r="KRZ89" s="6"/>
      <c r="KSA89" s="6"/>
      <c r="KSB89" s="6"/>
      <c r="KSC89" s="6"/>
      <c r="KSD89" s="6"/>
      <c r="KSE89" s="6"/>
      <c r="KSF89" s="6"/>
      <c r="KSG89" s="6"/>
      <c r="KSH89" s="6"/>
      <c r="KSI89" s="6"/>
      <c r="KSJ89" s="6"/>
      <c r="KSK89" s="6"/>
      <c r="KSL89" s="6"/>
      <c r="KSM89" s="6"/>
      <c r="KSN89" s="6"/>
      <c r="KSO89" s="6"/>
      <c r="KSP89" s="6"/>
      <c r="KSQ89" s="6"/>
      <c r="KSR89" s="6"/>
      <c r="KSS89" s="6"/>
      <c r="KST89" s="6"/>
      <c r="KSU89" s="6"/>
      <c r="KSV89" s="6"/>
      <c r="KSW89" s="6"/>
      <c r="KSX89" s="6"/>
      <c r="KSY89" s="6"/>
      <c r="KSZ89" s="6"/>
      <c r="KTA89" s="6"/>
      <c r="KTB89" s="6"/>
      <c r="KTC89" s="6"/>
      <c r="KTD89" s="6"/>
      <c r="KTE89" s="6"/>
      <c r="KTF89" s="6"/>
      <c r="KTG89" s="6"/>
      <c r="KTH89" s="6"/>
      <c r="KTI89" s="6"/>
      <c r="KTJ89" s="6"/>
      <c r="KTK89" s="6"/>
      <c r="KTL89" s="6"/>
      <c r="KTM89" s="6"/>
      <c r="KTN89" s="6"/>
      <c r="KTO89" s="6"/>
      <c r="KTP89" s="6"/>
      <c r="KTQ89" s="6"/>
      <c r="KTR89" s="6"/>
      <c r="KTS89" s="6"/>
      <c r="KTT89" s="6"/>
      <c r="KTU89" s="6"/>
      <c r="KTV89" s="6"/>
      <c r="KTW89" s="6"/>
      <c r="KTX89" s="6"/>
      <c r="KTY89" s="6"/>
      <c r="KTZ89" s="6"/>
      <c r="KUA89" s="6"/>
      <c r="KUB89" s="6"/>
      <c r="KUC89" s="6"/>
      <c r="KUD89" s="6"/>
      <c r="KUE89" s="6"/>
      <c r="KUF89" s="6"/>
      <c r="KUG89" s="6"/>
      <c r="KUH89" s="6"/>
      <c r="KUI89" s="6"/>
      <c r="KUJ89" s="6"/>
      <c r="KUK89" s="6"/>
      <c r="KUL89" s="6"/>
      <c r="KUM89" s="6"/>
      <c r="KUN89" s="6"/>
      <c r="KUO89" s="6"/>
      <c r="KUP89" s="6"/>
      <c r="KUQ89" s="6"/>
      <c r="KUR89" s="6"/>
      <c r="KUS89" s="6"/>
      <c r="KUT89" s="6"/>
      <c r="KUU89" s="6"/>
      <c r="KUV89" s="6"/>
      <c r="KUW89" s="6"/>
      <c r="KUX89" s="6"/>
      <c r="KUY89" s="6"/>
      <c r="KUZ89" s="6"/>
      <c r="KVA89" s="6"/>
      <c r="KVB89" s="6"/>
      <c r="KVC89" s="6"/>
      <c r="KVD89" s="6"/>
      <c r="KVE89" s="6"/>
      <c r="KVF89" s="6"/>
      <c r="KVG89" s="6"/>
      <c r="KVH89" s="6"/>
      <c r="KVI89" s="6"/>
      <c r="KVJ89" s="6"/>
      <c r="KVK89" s="6"/>
      <c r="KVL89" s="6"/>
      <c r="KVM89" s="6"/>
      <c r="KVN89" s="6"/>
      <c r="KVO89" s="6"/>
      <c r="KVP89" s="6"/>
      <c r="KVQ89" s="6"/>
      <c r="KVR89" s="6"/>
      <c r="KVS89" s="6"/>
      <c r="KVT89" s="6"/>
      <c r="KVU89" s="6"/>
      <c r="KVV89" s="6"/>
      <c r="KVW89" s="6"/>
      <c r="KVX89" s="6"/>
      <c r="KVY89" s="6"/>
      <c r="KVZ89" s="6"/>
      <c r="KWA89" s="6"/>
      <c r="KWB89" s="6"/>
      <c r="KWC89" s="6"/>
      <c r="KWD89" s="6"/>
      <c r="KWE89" s="6"/>
      <c r="KWF89" s="6"/>
      <c r="KWG89" s="6"/>
      <c r="KWH89" s="6"/>
      <c r="KWI89" s="6"/>
      <c r="KWJ89" s="6"/>
      <c r="KWK89" s="6"/>
      <c r="KWL89" s="6"/>
      <c r="KWM89" s="6"/>
      <c r="KWN89" s="6"/>
      <c r="KWO89" s="6"/>
      <c r="KWP89" s="6"/>
      <c r="KWQ89" s="6"/>
      <c r="KWR89" s="6"/>
      <c r="KWS89" s="6"/>
      <c r="KWT89" s="6"/>
      <c r="KWU89" s="6"/>
      <c r="KWV89" s="6"/>
      <c r="KWW89" s="6"/>
      <c r="KWX89" s="6"/>
      <c r="KWY89" s="6"/>
      <c r="KWZ89" s="6"/>
      <c r="KXA89" s="6"/>
      <c r="KXB89" s="6"/>
      <c r="KXC89" s="6"/>
      <c r="KXD89" s="6"/>
      <c r="KXE89" s="6"/>
      <c r="KXF89" s="6"/>
      <c r="KXG89" s="6"/>
      <c r="KXH89" s="6"/>
      <c r="KXI89" s="6"/>
      <c r="KXJ89" s="6"/>
      <c r="KXK89" s="6"/>
      <c r="KXL89" s="6"/>
      <c r="KXM89" s="6"/>
      <c r="KXN89" s="6"/>
      <c r="KXO89" s="6"/>
      <c r="KXP89" s="6"/>
      <c r="KXQ89" s="6"/>
      <c r="KXR89" s="6"/>
      <c r="KXS89" s="6"/>
      <c r="KXT89" s="6"/>
      <c r="KXU89" s="6"/>
      <c r="KXV89" s="6"/>
      <c r="KXW89" s="6"/>
      <c r="KXX89" s="6"/>
      <c r="KXY89" s="6"/>
      <c r="KXZ89" s="6"/>
      <c r="KYA89" s="6"/>
      <c r="KYB89" s="6"/>
      <c r="KYC89" s="6"/>
      <c r="KYD89" s="6"/>
      <c r="KYE89" s="6"/>
      <c r="KYF89" s="6"/>
      <c r="KYG89" s="6"/>
      <c r="KYH89" s="6"/>
      <c r="KYI89" s="6"/>
      <c r="KYJ89" s="6"/>
      <c r="KYK89" s="6"/>
      <c r="KYL89" s="6"/>
      <c r="KYM89" s="6"/>
      <c r="KYN89" s="6"/>
      <c r="KYO89" s="6"/>
      <c r="KYP89" s="6"/>
      <c r="KYQ89" s="6"/>
      <c r="KYR89" s="6"/>
      <c r="KYS89" s="6"/>
      <c r="KYT89" s="6"/>
      <c r="KYU89" s="6"/>
      <c r="KYV89" s="6"/>
      <c r="KYW89" s="6"/>
      <c r="KYX89" s="6"/>
      <c r="KYY89" s="6"/>
      <c r="KYZ89" s="6"/>
      <c r="KZA89" s="6"/>
      <c r="KZB89" s="6"/>
      <c r="KZC89" s="6"/>
      <c r="KZD89" s="6"/>
      <c r="KZE89" s="6"/>
      <c r="KZF89" s="6"/>
      <c r="KZG89" s="6"/>
      <c r="KZH89" s="6"/>
      <c r="KZI89" s="6"/>
      <c r="KZJ89" s="6"/>
      <c r="KZK89" s="6"/>
      <c r="KZL89" s="6"/>
      <c r="KZM89" s="6"/>
      <c r="KZN89" s="6"/>
      <c r="KZO89" s="6"/>
      <c r="KZP89" s="6"/>
      <c r="KZQ89" s="6"/>
      <c r="KZR89" s="6"/>
      <c r="KZS89" s="6"/>
      <c r="KZT89" s="6"/>
      <c r="KZU89" s="6"/>
      <c r="KZV89" s="6"/>
      <c r="KZW89" s="6"/>
      <c r="KZX89" s="6"/>
      <c r="KZY89" s="6"/>
      <c r="KZZ89" s="6"/>
      <c r="LAA89" s="6"/>
      <c r="LAB89" s="6"/>
      <c r="LAC89" s="6"/>
      <c r="LAD89" s="6"/>
      <c r="LAE89" s="6"/>
      <c r="LAF89" s="6"/>
      <c r="LAG89" s="6"/>
      <c r="LAH89" s="6"/>
      <c r="LAI89" s="6"/>
      <c r="LAJ89" s="6"/>
      <c r="LAK89" s="6"/>
      <c r="LAL89" s="6"/>
      <c r="LAM89" s="6"/>
      <c r="LAN89" s="6"/>
      <c r="LAO89" s="6"/>
      <c r="LAP89" s="6"/>
      <c r="LAQ89" s="6"/>
      <c r="LAR89" s="6"/>
      <c r="LAS89" s="6"/>
      <c r="LAT89" s="6"/>
      <c r="LAU89" s="6"/>
      <c r="LAV89" s="6"/>
      <c r="LAW89" s="6"/>
      <c r="LAX89" s="6"/>
      <c r="LAY89" s="6"/>
      <c r="LAZ89" s="6"/>
      <c r="LBA89" s="6"/>
      <c r="LBB89" s="6"/>
      <c r="LBC89" s="6"/>
      <c r="LBD89" s="6"/>
      <c r="LBE89" s="6"/>
      <c r="LBF89" s="6"/>
      <c r="LBG89" s="6"/>
      <c r="LBH89" s="6"/>
      <c r="LBI89" s="6"/>
      <c r="LBJ89" s="6"/>
      <c r="LBK89" s="6"/>
      <c r="LBL89" s="6"/>
      <c r="LBM89" s="6"/>
      <c r="LBN89" s="6"/>
      <c r="LBO89" s="6"/>
      <c r="LBP89" s="6"/>
      <c r="LBQ89" s="6"/>
      <c r="LBR89" s="6"/>
      <c r="LBS89" s="6"/>
      <c r="LBT89" s="6"/>
      <c r="LBU89" s="6"/>
      <c r="LBV89" s="6"/>
      <c r="LBW89" s="6"/>
      <c r="LBX89" s="6"/>
      <c r="LBY89" s="6"/>
      <c r="LBZ89" s="6"/>
      <c r="LCA89" s="6"/>
      <c r="LCB89" s="6"/>
      <c r="LCC89" s="6"/>
      <c r="LCD89" s="6"/>
      <c r="LCE89" s="6"/>
      <c r="LCF89" s="6"/>
      <c r="LCG89" s="6"/>
      <c r="LCH89" s="6"/>
      <c r="LCI89" s="6"/>
      <c r="LCJ89" s="6"/>
      <c r="LCK89" s="6"/>
      <c r="LCL89" s="6"/>
      <c r="LCM89" s="6"/>
      <c r="LCN89" s="6"/>
      <c r="LCO89" s="6"/>
      <c r="LCP89" s="6"/>
      <c r="LCQ89" s="6"/>
      <c r="LCR89" s="6"/>
      <c r="LCS89" s="6"/>
      <c r="LCT89" s="6"/>
      <c r="LCU89" s="6"/>
      <c r="LCV89" s="6"/>
      <c r="LCW89" s="6"/>
      <c r="LCX89" s="6"/>
      <c r="LCY89" s="6"/>
      <c r="LCZ89" s="6"/>
      <c r="LDA89" s="6"/>
      <c r="LDB89" s="6"/>
      <c r="LDC89" s="6"/>
      <c r="LDD89" s="6"/>
      <c r="LDE89" s="6"/>
      <c r="LDF89" s="6"/>
      <c r="LDG89" s="6"/>
      <c r="LDH89" s="6"/>
      <c r="LDI89" s="6"/>
      <c r="LDJ89" s="6"/>
      <c r="LDK89" s="6"/>
      <c r="LDL89" s="6"/>
      <c r="LDM89" s="6"/>
      <c r="LDN89" s="6"/>
      <c r="LDO89" s="6"/>
      <c r="LDP89" s="6"/>
      <c r="LDQ89" s="6"/>
      <c r="LDR89" s="6"/>
      <c r="LDS89" s="6"/>
      <c r="LDT89" s="6"/>
      <c r="LDU89" s="6"/>
      <c r="LDV89" s="6"/>
      <c r="LDW89" s="6"/>
      <c r="LDX89" s="6"/>
      <c r="LDY89" s="6"/>
      <c r="LDZ89" s="6"/>
      <c r="LEA89" s="6"/>
      <c r="LEB89" s="6"/>
      <c r="LEC89" s="6"/>
      <c r="LED89" s="6"/>
      <c r="LEE89" s="6"/>
      <c r="LEF89" s="6"/>
      <c r="LEG89" s="6"/>
      <c r="LEH89" s="6"/>
      <c r="LEI89" s="6"/>
      <c r="LEJ89" s="6"/>
      <c r="LEK89" s="6"/>
      <c r="LEL89" s="6"/>
      <c r="LEM89" s="6"/>
      <c r="LEN89" s="6"/>
      <c r="LEO89" s="6"/>
      <c r="LEP89" s="6"/>
      <c r="LEQ89" s="6"/>
      <c r="LER89" s="6"/>
      <c r="LES89" s="6"/>
      <c r="LET89" s="6"/>
      <c r="LEU89" s="6"/>
      <c r="LEV89" s="6"/>
      <c r="LEW89" s="6"/>
      <c r="LEX89" s="6"/>
      <c r="LEY89" s="6"/>
      <c r="LEZ89" s="6"/>
      <c r="LFA89" s="6"/>
      <c r="LFB89" s="6"/>
      <c r="LFC89" s="6"/>
      <c r="LFD89" s="6"/>
      <c r="LFE89" s="6"/>
      <c r="LFF89" s="6"/>
      <c r="LFG89" s="6"/>
      <c r="LFH89" s="6"/>
      <c r="LFI89" s="6"/>
      <c r="LFJ89" s="6"/>
      <c r="LFK89" s="6"/>
      <c r="LFL89" s="6"/>
      <c r="LFM89" s="6"/>
      <c r="LFN89" s="6"/>
      <c r="LFO89" s="6"/>
      <c r="LFP89" s="6"/>
      <c r="LFQ89" s="6"/>
      <c r="LFR89" s="6"/>
      <c r="LFS89" s="6"/>
      <c r="LFT89" s="6"/>
      <c r="LFU89" s="6"/>
      <c r="LFV89" s="6"/>
      <c r="LFW89" s="6"/>
      <c r="LFX89" s="6"/>
      <c r="LFY89" s="6"/>
      <c r="LFZ89" s="6"/>
      <c r="LGA89" s="6"/>
      <c r="LGB89" s="6"/>
      <c r="LGC89" s="6"/>
      <c r="LGD89" s="6"/>
      <c r="LGE89" s="6"/>
      <c r="LGF89" s="6"/>
      <c r="LGG89" s="6"/>
      <c r="LGH89" s="6"/>
      <c r="LGI89" s="6"/>
      <c r="LGJ89" s="6"/>
      <c r="LGK89" s="6"/>
      <c r="LGL89" s="6"/>
      <c r="LGM89" s="6"/>
      <c r="LGN89" s="6"/>
      <c r="LGO89" s="6"/>
      <c r="LGP89" s="6"/>
      <c r="LGQ89" s="6"/>
      <c r="LGR89" s="6"/>
      <c r="LGS89" s="6"/>
      <c r="LGT89" s="6"/>
      <c r="LGU89" s="6"/>
      <c r="LGV89" s="6"/>
      <c r="LGW89" s="6"/>
      <c r="LGX89" s="6"/>
      <c r="LGY89" s="6"/>
      <c r="LGZ89" s="6"/>
      <c r="LHA89" s="6"/>
      <c r="LHB89" s="6"/>
      <c r="LHC89" s="6"/>
      <c r="LHD89" s="6"/>
      <c r="LHE89" s="6"/>
      <c r="LHF89" s="6"/>
      <c r="LHG89" s="6"/>
      <c r="LHH89" s="6"/>
      <c r="LHI89" s="6"/>
      <c r="LHJ89" s="6"/>
      <c r="LHK89" s="6"/>
      <c r="LHL89" s="6"/>
      <c r="LHM89" s="6"/>
      <c r="LHN89" s="6"/>
      <c r="LHO89" s="6"/>
      <c r="LHP89" s="6"/>
      <c r="LHQ89" s="6"/>
      <c r="LHR89" s="6"/>
      <c r="LHS89" s="6"/>
      <c r="LHT89" s="6"/>
      <c r="LHU89" s="6"/>
      <c r="LHV89" s="6"/>
      <c r="LHW89" s="6"/>
      <c r="LHX89" s="6"/>
      <c r="LHY89" s="6"/>
      <c r="LHZ89" s="6"/>
      <c r="LIA89" s="6"/>
      <c r="LIB89" s="6"/>
      <c r="LIC89" s="6"/>
      <c r="LID89" s="6"/>
      <c r="LIE89" s="6"/>
      <c r="LIF89" s="6"/>
      <c r="LIG89" s="6"/>
      <c r="LIH89" s="6"/>
      <c r="LII89" s="6"/>
      <c r="LIJ89" s="6"/>
      <c r="LIK89" s="6"/>
      <c r="LIL89" s="6"/>
      <c r="LIM89" s="6"/>
      <c r="LIN89" s="6"/>
      <c r="LIO89" s="6"/>
      <c r="LIP89" s="6"/>
      <c r="LIQ89" s="6"/>
      <c r="LIR89" s="6"/>
      <c r="LIS89" s="6"/>
      <c r="LIT89" s="6"/>
      <c r="LIU89" s="6"/>
      <c r="LIV89" s="6"/>
      <c r="LIW89" s="6"/>
      <c r="LIX89" s="6"/>
      <c r="LIY89" s="6"/>
      <c r="LIZ89" s="6"/>
      <c r="LJA89" s="6"/>
      <c r="LJB89" s="6"/>
      <c r="LJC89" s="6"/>
      <c r="LJD89" s="6"/>
      <c r="LJE89" s="6"/>
      <c r="LJF89" s="6"/>
      <c r="LJG89" s="6"/>
      <c r="LJH89" s="6"/>
      <c r="LJI89" s="6"/>
      <c r="LJJ89" s="6"/>
      <c r="LJK89" s="6"/>
      <c r="LJL89" s="6"/>
      <c r="LJM89" s="6"/>
      <c r="LJN89" s="6"/>
      <c r="LJO89" s="6"/>
      <c r="LJP89" s="6"/>
      <c r="LJQ89" s="6"/>
      <c r="LJR89" s="6"/>
      <c r="LJS89" s="6"/>
      <c r="LJT89" s="6"/>
      <c r="LJU89" s="6"/>
      <c r="LJV89" s="6"/>
      <c r="LJW89" s="6"/>
      <c r="LJX89" s="6"/>
      <c r="LJY89" s="6"/>
      <c r="LJZ89" s="6"/>
      <c r="LKA89" s="6"/>
      <c r="LKB89" s="6"/>
      <c r="LKC89" s="6"/>
      <c r="LKD89" s="6"/>
      <c r="LKE89" s="6"/>
      <c r="LKF89" s="6"/>
      <c r="LKG89" s="6"/>
      <c r="LKH89" s="6"/>
      <c r="LKI89" s="6"/>
      <c r="LKJ89" s="6"/>
      <c r="LKK89" s="6"/>
      <c r="LKL89" s="6"/>
      <c r="LKM89" s="6"/>
      <c r="LKN89" s="6"/>
      <c r="LKO89" s="6"/>
      <c r="LKP89" s="6"/>
      <c r="LKQ89" s="6"/>
      <c r="LKR89" s="6"/>
      <c r="LKS89" s="6"/>
      <c r="LKT89" s="6"/>
      <c r="LKU89" s="6"/>
      <c r="LKV89" s="6"/>
      <c r="LKW89" s="6"/>
      <c r="LKX89" s="6"/>
      <c r="LKY89" s="6"/>
      <c r="LKZ89" s="6"/>
      <c r="LLA89" s="6"/>
      <c r="LLB89" s="6"/>
      <c r="LLC89" s="6"/>
      <c r="LLD89" s="6"/>
      <c r="LLE89" s="6"/>
      <c r="LLF89" s="6"/>
      <c r="LLG89" s="6"/>
      <c r="LLH89" s="6"/>
      <c r="LLI89" s="6"/>
      <c r="LLJ89" s="6"/>
      <c r="LLK89" s="6"/>
      <c r="LLL89" s="6"/>
      <c r="LLM89" s="6"/>
      <c r="LLN89" s="6"/>
      <c r="LLO89" s="6"/>
      <c r="LLP89" s="6"/>
      <c r="LLQ89" s="6"/>
      <c r="LLR89" s="6"/>
      <c r="LLS89" s="6"/>
      <c r="LLT89" s="6"/>
      <c r="LLU89" s="6"/>
      <c r="LLV89" s="6"/>
      <c r="LLW89" s="6"/>
      <c r="LLX89" s="6"/>
      <c r="LLY89" s="6"/>
      <c r="LLZ89" s="6"/>
      <c r="LMA89" s="6"/>
      <c r="LMB89" s="6"/>
      <c r="LMC89" s="6"/>
      <c r="LMD89" s="6"/>
      <c r="LME89" s="6"/>
      <c r="LMF89" s="6"/>
      <c r="LMG89" s="6"/>
      <c r="LMH89" s="6"/>
      <c r="LMI89" s="6"/>
      <c r="LMJ89" s="6"/>
      <c r="LMK89" s="6"/>
      <c r="LML89" s="6"/>
      <c r="LMM89" s="6"/>
      <c r="LMN89" s="6"/>
      <c r="LMO89" s="6"/>
      <c r="LMP89" s="6"/>
      <c r="LMQ89" s="6"/>
      <c r="LMR89" s="6"/>
      <c r="LMS89" s="6"/>
      <c r="LMT89" s="6"/>
      <c r="LMU89" s="6"/>
      <c r="LMV89" s="6"/>
      <c r="LMW89" s="6"/>
      <c r="LMX89" s="6"/>
      <c r="LMY89" s="6"/>
      <c r="LMZ89" s="6"/>
      <c r="LNA89" s="6"/>
      <c r="LNB89" s="6"/>
      <c r="LNC89" s="6"/>
      <c r="LND89" s="6"/>
      <c r="LNE89" s="6"/>
      <c r="LNF89" s="6"/>
      <c r="LNG89" s="6"/>
      <c r="LNH89" s="6"/>
      <c r="LNI89" s="6"/>
      <c r="LNJ89" s="6"/>
      <c r="LNK89" s="6"/>
      <c r="LNL89" s="6"/>
      <c r="LNM89" s="6"/>
      <c r="LNN89" s="6"/>
      <c r="LNO89" s="6"/>
      <c r="LNP89" s="6"/>
      <c r="LNQ89" s="6"/>
      <c r="LNR89" s="6"/>
      <c r="LNS89" s="6"/>
      <c r="LNT89" s="6"/>
      <c r="LNU89" s="6"/>
      <c r="LNV89" s="6"/>
      <c r="LNW89" s="6"/>
      <c r="LNX89" s="6"/>
      <c r="LNY89" s="6"/>
      <c r="LNZ89" s="6"/>
      <c r="LOA89" s="6"/>
      <c r="LOB89" s="6"/>
      <c r="LOC89" s="6"/>
      <c r="LOD89" s="6"/>
      <c r="LOE89" s="6"/>
      <c r="LOF89" s="6"/>
      <c r="LOG89" s="6"/>
      <c r="LOH89" s="6"/>
      <c r="LOI89" s="6"/>
      <c r="LOJ89" s="6"/>
      <c r="LOK89" s="6"/>
      <c r="LOL89" s="6"/>
      <c r="LOM89" s="6"/>
      <c r="LON89" s="6"/>
      <c r="LOO89" s="6"/>
      <c r="LOP89" s="6"/>
      <c r="LOQ89" s="6"/>
      <c r="LOR89" s="6"/>
      <c r="LOS89" s="6"/>
      <c r="LOT89" s="6"/>
      <c r="LOU89" s="6"/>
      <c r="LOV89" s="6"/>
      <c r="LOW89" s="6"/>
      <c r="LOX89" s="6"/>
      <c r="LOY89" s="6"/>
      <c r="LOZ89" s="6"/>
      <c r="LPA89" s="6"/>
      <c r="LPB89" s="6"/>
      <c r="LPC89" s="6"/>
      <c r="LPD89" s="6"/>
      <c r="LPE89" s="6"/>
      <c r="LPF89" s="6"/>
      <c r="LPG89" s="6"/>
      <c r="LPH89" s="6"/>
      <c r="LPI89" s="6"/>
      <c r="LPJ89" s="6"/>
      <c r="LPK89" s="6"/>
      <c r="LPL89" s="6"/>
      <c r="LPM89" s="6"/>
      <c r="LPN89" s="6"/>
      <c r="LPO89" s="6"/>
      <c r="LPP89" s="6"/>
      <c r="LPQ89" s="6"/>
      <c r="LPR89" s="6"/>
      <c r="LPS89" s="6"/>
      <c r="LPT89" s="6"/>
      <c r="LPU89" s="6"/>
      <c r="LPV89" s="6"/>
      <c r="LPW89" s="6"/>
      <c r="LPX89" s="6"/>
      <c r="LPY89" s="6"/>
      <c r="LPZ89" s="6"/>
      <c r="LQA89" s="6"/>
      <c r="LQB89" s="6"/>
      <c r="LQC89" s="6"/>
      <c r="LQD89" s="6"/>
      <c r="LQE89" s="6"/>
      <c r="LQF89" s="6"/>
      <c r="LQG89" s="6"/>
      <c r="LQH89" s="6"/>
      <c r="LQI89" s="6"/>
      <c r="LQJ89" s="6"/>
      <c r="LQK89" s="6"/>
      <c r="LQL89" s="6"/>
      <c r="LQM89" s="6"/>
      <c r="LQN89" s="6"/>
      <c r="LQO89" s="6"/>
      <c r="LQP89" s="6"/>
      <c r="LQQ89" s="6"/>
      <c r="LQR89" s="6"/>
      <c r="LQS89" s="6"/>
      <c r="LQT89" s="6"/>
      <c r="LQU89" s="6"/>
      <c r="LQV89" s="6"/>
      <c r="LQW89" s="6"/>
      <c r="LQX89" s="6"/>
      <c r="LQY89" s="6"/>
      <c r="LQZ89" s="6"/>
      <c r="LRA89" s="6"/>
      <c r="LRB89" s="6"/>
      <c r="LRC89" s="6"/>
      <c r="LRD89" s="6"/>
      <c r="LRE89" s="6"/>
      <c r="LRF89" s="6"/>
      <c r="LRG89" s="6"/>
      <c r="LRH89" s="6"/>
      <c r="LRI89" s="6"/>
      <c r="LRJ89" s="6"/>
      <c r="LRK89" s="6"/>
      <c r="LRL89" s="6"/>
      <c r="LRM89" s="6"/>
      <c r="LRN89" s="6"/>
      <c r="LRO89" s="6"/>
      <c r="LRP89" s="6"/>
      <c r="LRQ89" s="6"/>
      <c r="LRR89" s="6"/>
      <c r="LRS89" s="6"/>
      <c r="LRT89" s="6"/>
      <c r="LRU89" s="6"/>
      <c r="LRV89" s="6"/>
      <c r="LRW89" s="6"/>
      <c r="LRX89" s="6"/>
      <c r="LRY89" s="6"/>
      <c r="LRZ89" s="6"/>
      <c r="LSA89" s="6"/>
      <c r="LSB89" s="6"/>
      <c r="LSC89" s="6"/>
      <c r="LSD89" s="6"/>
      <c r="LSE89" s="6"/>
      <c r="LSF89" s="6"/>
      <c r="LSG89" s="6"/>
      <c r="LSH89" s="6"/>
      <c r="LSI89" s="6"/>
      <c r="LSJ89" s="6"/>
      <c r="LSK89" s="6"/>
      <c r="LSL89" s="6"/>
      <c r="LSM89" s="6"/>
      <c r="LSN89" s="6"/>
      <c r="LSO89" s="6"/>
      <c r="LSP89" s="6"/>
      <c r="LSQ89" s="6"/>
      <c r="LSR89" s="6"/>
      <c r="LSS89" s="6"/>
      <c r="LST89" s="6"/>
      <c r="LSU89" s="6"/>
      <c r="LSV89" s="6"/>
      <c r="LSW89" s="6"/>
      <c r="LSX89" s="6"/>
      <c r="LSY89" s="6"/>
      <c r="LSZ89" s="6"/>
      <c r="LTA89" s="6"/>
      <c r="LTB89" s="6"/>
      <c r="LTC89" s="6"/>
      <c r="LTD89" s="6"/>
      <c r="LTE89" s="6"/>
      <c r="LTF89" s="6"/>
      <c r="LTG89" s="6"/>
      <c r="LTH89" s="6"/>
      <c r="LTI89" s="6"/>
      <c r="LTJ89" s="6"/>
      <c r="LTK89" s="6"/>
      <c r="LTL89" s="6"/>
      <c r="LTM89" s="6"/>
      <c r="LTN89" s="6"/>
      <c r="LTO89" s="6"/>
      <c r="LTP89" s="6"/>
      <c r="LTQ89" s="6"/>
      <c r="LTR89" s="6"/>
      <c r="LTS89" s="6"/>
      <c r="LTT89" s="6"/>
      <c r="LTU89" s="6"/>
      <c r="LTV89" s="6"/>
      <c r="LTW89" s="6"/>
      <c r="LTX89" s="6"/>
      <c r="LTY89" s="6"/>
      <c r="LTZ89" s="6"/>
      <c r="LUA89" s="6"/>
      <c r="LUB89" s="6"/>
      <c r="LUC89" s="6"/>
      <c r="LUD89" s="6"/>
      <c r="LUE89" s="6"/>
      <c r="LUF89" s="6"/>
      <c r="LUG89" s="6"/>
      <c r="LUH89" s="6"/>
      <c r="LUI89" s="6"/>
      <c r="LUJ89" s="6"/>
      <c r="LUK89" s="6"/>
      <c r="LUL89" s="6"/>
      <c r="LUM89" s="6"/>
      <c r="LUN89" s="6"/>
      <c r="LUO89" s="6"/>
      <c r="LUP89" s="6"/>
      <c r="LUQ89" s="6"/>
      <c r="LUR89" s="6"/>
      <c r="LUS89" s="6"/>
      <c r="LUT89" s="6"/>
      <c r="LUU89" s="6"/>
      <c r="LUV89" s="6"/>
      <c r="LUW89" s="6"/>
      <c r="LUX89" s="6"/>
      <c r="LUY89" s="6"/>
      <c r="LUZ89" s="6"/>
      <c r="LVA89" s="6"/>
      <c r="LVB89" s="6"/>
      <c r="LVC89" s="6"/>
      <c r="LVD89" s="6"/>
      <c r="LVE89" s="6"/>
      <c r="LVF89" s="6"/>
      <c r="LVG89" s="6"/>
      <c r="LVH89" s="6"/>
      <c r="LVI89" s="6"/>
      <c r="LVJ89" s="6"/>
      <c r="LVK89" s="6"/>
      <c r="LVL89" s="6"/>
      <c r="LVM89" s="6"/>
      <c r="LVN89" s="6"/>
      <c r="LVO89" s="6"/>
      <c r="LVP89" s="6"/>
      <c r="LVQ89" s="6"/>
      <c r="LVR89" s="6"/>
      <c r="LVS89" s="6"/>
      <c r="LVT89" s="6"/>
      <c r="LVU89" s="6"/>
      <c r="LVV89" s="6"/>
      <c r="LVW89" s="6"/>
      <c r="LVX89" s="6"/>
      <c r="LVY89" s="6"/>
      <c r="LVZ89" s="6"/>
      <c r="LWA89" s="6"/>
      <c r="LWB89" s="6"/>
      <c r="LWC89" s="6"/>
      <c r="LWD89" s="6"/>
      <c r="LWE89" s="6"/>
      <c r="LWF89" s="6"/>
      <c r="LWG89" s="6"/>
      <c r="LWH89" s="6"/>
      <c r="LWI89" s="6"/>
      <c r="LWJ89" s="6"/>
      <c r="LWK89" s="6"/>
      <c r="LWL89" s="6"/>
      <c r="LWM89" s="6"/>
      <c r="LWN89" s="6"/>
      <c r="LWO89" s="6"/>
      <c r="LWP89" s="6"/>
      <c r="LWQ89" s="6"/>
      <c r="LWR89" s="6"/>
      <c r="LWS89" s="6"/>
      <c r="LWT89" s="6"/>
      <c r="LWU89" s="6"/>
      <c r="LWV89" s="6"/>
      <c r="LWW89" s="6"/>
      <c r="LWX89" s="6"/>
      <c r="LWY89" s="6"/>
      <c r="LWZ89" s="6"/>
      <c r="LXA89" s="6"/>
      <c r="LXB89" s="6"/>
      <c r="LXC89" s="6"/>
      <c r="LXD89" s="6"/>
      <c r="LXE89" s="6"/>
      <c r="LXF89" s="6"/>
      <c r="LXG89" s="6"/>
      <c r="LXH89" s="6"/>
      <c r="LXI89" s="6"/>
      <c r="LXJ89" s="6"/>
      <c r="LXK89" s="6"/>
      <c r="LXL89" s="6"/>
      <c r="LXM89" s="6"/>
      <c r="LXN89" s="6"/>
      <c r="LXO89" s="6"/>
      <c r="LXP89" s="6"/>
      <c r="LXQ89" s="6"/>
      <c r="LXR89" s="6"/>
      <c r="LXS89" s="6"/>
      <c r="LXT89" s="6"/>
      <c r="LXU89" s="6"/>
      <c r="LXV89" s="6"/>
      <c r="LXW89" s="6"/>
      <c r="LXX89" s="6"/>
      <c r="LXY89" s="6"/>
      <c r="LXZ89" s="6"/>
      <c r="LYA89" s="6"/>
      <c r="LYB89" s="6"/>
      <c r="LYC89" s="6"/>
      <c r="LYD89" s="6"/>
      <c r="LYE89" s="6"/>
      <c r="LYF89" s="6"/>
      <c r="LYG89" s="6"/>
      <c r="LYH89" s="6"/>
      <c r="LYI89" s="6"/>
      <c r="LYJ89" s="6"/>
      <c r="LYK89" s="6"/>
      <c r="LYL89" s="6"/>
      <c r="LYM89" s="6"/>
      <c r="LYN89" s="6"/>
      <c r="LYO89" s="6"/>
      <c r="LYP89" s="6"/>
      <c r="LYQ89" s="6"/>
      <c r="LYR89" s="6"/>
      <c r="LYS89" s="6"/>
      <c r="LYT89" s="6"/>
      <c r="LYU89" s="6"/>
      <c r="LYV89" s="6"/>
      <c r="LYW89" s="6"/>
      <c r="LYX89" s="6"/>
      <c r="LYY89" s="6"/>
      <c r="LYZ89" s="6"/>
      <c r="LZA89" s="6"/>
      <c r="LZB89" s="6"/>
      <c r="LZC89" s="6"/>
      <c r="LZD89" s="6"/>
      <c r="LZE89" s="6"/>
      <c r="LZF89" s="6"/>
      <c r="LZG89" s="6"/>
      <c r="LZH89" s="6"/>
      <c r="LZI89" s="6"/>
      <c r="LZJ89" s="6"/>
      <c r="LZK89" s="6"/>
      <c r="LZL89" s="6"/>
      <c r="LZM89" s="6"/>
      <c r="LZN89" s="6"/>
      <c r="LZO89" s="6"/>
      <c r="LZP89" s="6"/>
      <c r="LZQ89" s="6"/>
      <c r="LZR89" s="6"/>
      <c r="LZS89" s="6"/>
      <c r="LZT89" s="6"/>
      <c r="LZU89" s="6"/>
      <c r="LZV89" s="6"/>
      <c r="LZW89" s="6"/>
      <c r="LZX89" s="6"/>
      <c r="LZY89" s="6"/>
      <c r="LZZ89" s="6"/>
      <c r="MAA89" s="6"/>
      <c r="MAB89" s="6"/>
      <c r="MAC89" s="6"/>
      <c r="MAD89" s="6"/>
      <c r="MAE89" s="6"/>
      <c r="MAF89" s="6"/>
      <c r="MAG89" s="6"/>
      <c r="MAH89" s="6"/>
      <c r="MAI89" s="6"/>
      <c r="MAJ89" s="6"/>
      <c r="MAK89" s="6"/>
      <c r="MAL89" s="6"/>
      <c r="MAM89" s="6"/>
      <c r="MAN89" s="6"/>
      <c r="MAO89" s="6"/>
      <c r="MAP89" s="6"/>
      <c r="MAQ89" s="6"/>
      <c r="MAR89" s="6"/>
      <c r="MAS89" s="6"/>
      <c r="MAT89" s="6"/>
      <c r="MAU89" s="6"/>
      <c r="MAV89" s="6"/>
      <c r="MAW89" s="6"/>
      <c r="MAX89" s="6"/>
      <c r="MAY89" s="6"/>
      <c r="MAZ89" s="6"/>
      <c r="MBA89" s="6"/>
      <c r="MBB89" s="6"/>
      <c r="MBC89" s="6"/>
      <c r="MBD89" s="6"/>
      <c r="MBE89" s="6"/>
      <c r="MBF89" s="6"/>
      <c r="MBG89" s="6"/>
      <c r="MBH89" s="6"/>
      <c r="MBI89" s="6"/>
      <c r="MBJ89" s="6"/>
      <c r="MBK89" s="6"/>
      <c r="MBL89" s="6"/>
      <c r="MBM89" s="6"/>
      <c r="MBN89" s="6"/>
      <c r="MBO89" s="6"/>
      <c r="MBP89" s="6"/>
      <c r="MBQ89" s="6"/>
      <c r="MBR89" s="6"/>
      <c r="MBS89" s="6"/>
      <c r="MBT89" s="6"/>
      <c r="MBU89" s="6"/>
      <c r="MBV89" s="6"/>
      <c r="MBW89" s="6"/>
      <c r="MBX89" s="6"/>
      <c r="MBY89" s="6"/>
      <c r="MBZ89" s="6"/>
      <c r="MCA89" s="6"/>
      <c r="MCB89" s="6"/>
      <c r="MCC89" s="6"/>
      <c r="MCD89" s="6"/>
      <c r="MCE89" s="6"/>
      <c r="MCF89" s="6"/>
      <c r="MCG89" s="6"/>
      <c r="MCH89" s="6"/>
      <c r="MCI89" s="6"/>
      <c r="MCJ89" s="6"/>
      <c r="MCK89" s="6"/>
      <c r="MCL89" s="6"/>
      <c r="MCM89" s="6"/>
      <c r="MCN89" s="6"/>
      <c r="MCO89" s="6"/>
      <c r="MCP89" s="6"/>
      <c r="MCQ89" s="6"/>
      <c r="MCR89" s="6"/>
      <c r="MCS89" s="6"/>
      <c r="MCT89" s="6"/>
      <c r="MCU89" s="6"/>
      <c r="MCV89" s="6"/>
      <c r="MCW89" s="6"/>
      <c r="MCX89" s="6"/>
      <c r="MCY89" s="6"/>
      <c r="MCZ89" s="6"/>
      <c r="MDA89" s="6"/>
      <c r="MDB89" s="6"/>
      <c r="MDC89" s="6"/>
      <c r="MDD89" s="6"/>
      <c r="MDE89" s="6"/>
      <c r="MDF89" s="6"/>
      <c r="MDG89" s="6"/>
      <c r="MDH89" s="6"/>
      <c r="MDI89" s="6"/>
      <c r="MDJ89" s="6"/>
      <c r="MDK89" s="6"/>
      <c r="MDL89" s="6"/>
      <c r="MDM89" s="6"/>
      <c r="MDN89" s="6"/>
      <c r="MDO89" s="6"/>
      <c r="MDP89" s="6"/>
      <c r="MDQ89" s="6"/>
      <c r="MDR89" s="6"/>
      <c r="MDS89" s="6"/>
      <c r="MDT89" s="6"/>
      <c r="MDU89" s="6"/>
      <c r="MDV89" s="6"/>
      <c r="MDW89" s="6"/>
      <c r="MDX89" s="6"/>
      <c r="MDY89" s="6"/>
      <c r="MDZ89" s="6"/>
      <c r="MEA89" s="6"/>
      <c r="MEB89" s="6"/>
      <c r="MEC89" s="6"/>
      <c r="MED89" s="6"/>
      <c r="MEE89" s="6"/>
      <c r="MEF89" s="6"/>
      <c r="MEG89" s="6"/>
      <c r="MEH89" s="6"/>
      <c r="MEI89" s="6"/>
      <c r="MEJ89" s="6"/>
      <c r="MEK89" s="6"/>
      <c r="MEL89" s="6"/>
      <c r="MEM89" s="6"/>
      <c r="MEN89" s="6"/>
      <c r="MEO89" s="6"/>
      <c r="MEP89" s="6"/>
      <c r="MEQ89" s="6"/>
      <c r="MER89" s="6"/>
      <c r="MES89" s="6"/>
      <c r="MET89" s="6"/>
      <c r="MEU89" s="6"/>
      <c r="MEV89" s="6"/>
      <c r="MEW89" s="6"/>
      <c r="MEX89" s="6"/>
      <c r="MEY89" s="6"/>
      <c r="MEZ89" s="6"/>
      <c r="MFA89" s="6"/>
      <c r="MFB89" s="6"/>
      <c r="MFC89" s="6"/>
      <c r="MFD89" s="6"/>
      <c r="MFE89" s="6"/>
      <c r="MFF89" s="6"/>
      <c r="MFG89" s="6"/>
      <c r="MFH89" s="6"/>
      <c r="MFI89" s="6"/>
      <c r="MFJ89" s="6"/>
      <c r="MFK89" s="6"/>
      <c r="MFL89" s="6"/>
      <c r="MFM89" s="6"/>
      <c r="MFN89" s="6"/>
      <c r="MFO89" s="6"/>
      <c r="MFP89" s="6"/>
      <c r="MFQ89" s="6"/>
      <c r="MFR89" s="6"/>
      <c r="MFS89" s="6"/>
      <c r="MFT89" s="6"/>
      <c r="MFU89" s="6"/>
      <c r="MFV89" s="6"/>
      <c r="MFW89" s="6"/>
      <c r="MFX89" s="6"/>
      <c r="MFY89" s="6"/>
      <c r="MFZ89" s="6"/>
      <c r="MGA89" s="6"/>
      <c r="MGB89" s="6"/>
      <c r="MGC89" s="6"/>
      <c r="MGD89" s="6"/>
      <c r="MGE89" s="6"/>
      <c r="MGF89" s="6"/>
      <c r="MGG89" s="6"/>
      <c r="MGH89" s="6"/>
      <c r="MGI89" s="6"/>
      <c r="MGJ89" s="6"/>
      <c r="MGK89" s="6"/>
      <c r="MGL89" s="6"/>
      <c r="MGM89" s="6"/>
      <c r="MGN89" s="6"/>
      <c r="MGO89" s="6"/>
      <c r="MGP89" s="6"/>
      <c r="MGQ89" s="6"/>
      <c r="MGR89" s="6"/>
      <c r="MGS89" s="6"/>
      <c r="MGT89" s="6"/>
      <c r="MGU89" s="6"/>
      <c r="MGV89" s="6"/>
      <c r="MGW89" s="6"/>
      <c r="MGX89" s="6"/>
      <c r="MGY89" s="6"/>
      <c r="MGZ89" s="6"/>
      <c r="MHA89" s="6"/>
      <c r="MHB89" s="6"/>
      <c r="MHC89" s="6"/>
      <c r="MHD89" s="6"/>
      <c r="MHE89" s="6"/>
      <c r="MHF89" s="6"/>
      <c r="MHG89" s="6"/>
      <c r="MHH89" s="6"/>
      <c r="MHI89" s="6"/>
      <c r="MHJ89" s="6"/>
      <c r="MHK89" s="6"/>
      <c r="MHL89" s="6"/>
      <c r="MHM89" s="6"/>
      <c r="MHN89" s="6"/>
      <c r="MHO89" s="6"/>
      <c r="MHP89" s="6"/>
      <c r="MHQ89" s="6"/>
      <c r="MHR89" s="6"/>
      <c r="MHS89" s="6"/>
      <c r="MHT89" s="6"/>
      <c r="MHU89" s="6"/>
      <c r="MHV89" s="6"/>
      <c r="MHW89" s="6"/>
      <c r="MHX89" s="6"/>
      <c r="MHY89" s="6"/>
      <c r="MHZ89" s="6"/>
      <c r="MIA89" s="6"/>
      <c r="MIB89" s="6"/>
      <c r="MIC89" s="6"/>
      <c r="MID89" s="6"/>
      <c r="MIE89" s="6"/>
      <c r="MIF89" s="6"/>
      <c r="MIG89" s="6"/>
      <c r="MIH89" s="6"/>
      <c r="MII89" s="6"/>
      <c r="MIJ89" s="6"/>
      <c r="MIK89" s="6"/>
      <c r="MIL89" s="6"/>
      <c r="MIM89" s="6"/>
      <c r="MIN89" s="6"/>
      <c r="MIO89" s="6"/>
      <c r="MIP89" s="6"/>
      <c r="MIQ89" s="6"/>
      <c r="MIR89" s="6"/>
      <c r="MIS89" s="6"/>
      <c r="MIT89" s="6"/>
      <c r="MIU89" s="6"/>
      <c r="MIV89" s="6"/>
      <c r="MIW89" s="6"/>
      <c r="MIX89" s="6"/>
      <c r="MIY89" s="6"/>
      <c r="MIZ89" s="6"/>
      <c r="MJA89" s="6"/>
      <c r="MJB89" s="6"/>
      <c r="MJC89" s="6"/>
      <c r="MJD89" s="6"/>
      <c r="MJE89" s="6"/>
      <c r="MJF89" s="6"/>
      <c r="MJG89" s="6"/>
      <c r="MJH89" s="6"/>
      <c r="MJI89" s="6"/>
      <c r="MJJ89" s="6"/>
      <c r="MJK89" s="6"/>
      <c r="MJL89" s="6"/>
      <c r="MJM89" s="6"/>
      <c r="MJN89" s="6"/>
      <c r="MJO89" s="6"/>
      <c r="MJP89" s="6"/>
      <c r="MJQ89" s="6"/>
      <c r="MJR89" s="6"/>
      <c r="MJS89" s="6"/>
      <c r="MJT89" s="6"/>
      <c r="MJU89" s="6"/>
      <c r="MJV89" s="6"/>
      <c r="MJW89" s="6"/>
      <c r="MJX89" s="6"/>
      <c r="MJY89" s="6"/>
      <c r="MJZ89" s="6"/>
      <c r="MKA89" s="6"/>
      <c r="MKB89" s="6"/>
      <c r="MKC89" s="6"/>
      <c r="MKD89" s="6"/>
      <c r="MKE89" s="6"/>
      <c r="MKF89" s="6"/>
      <c r="MKG89" s="6"/>
      <c r="MKH89" s="6"/>
      <c r="MKI89" s="6"/>
      <c r="MKJ89" s="6"/>
      <c r="MKK89" s="6"/>
      <c r="MKL89" s="6"/>
      <c r="MKM89" s="6"/>
      <c r="MKN89" s="6"/>
      <c r="MKO89" s="6"/>
      <c r="MKP89" s="6"/>
      <c r="MKQ89" s="6"/>
      <c r="MKR89" s="6"/>
      <c r="MKS89" s="6"/>
      <c r="MKT89" s="6"/>
      <c r="MKU89" s="6"/>
      <c r="MKV89" s="6"/>
      <c r="MKW89" s="6"/>
      <c r="MKX89" s="6"/>
      <c r="MKY89" s="6"/>
      <c r="MKZ89" s="6"/>
      <c r="MLA89" s="6"/>
      <c r="MLB89" s="6"/>
      <c r="MLC89" s="6"/>
      <c r="MLD89" s="6"/>
      <c r="MLE89" s="6"/>
      <c r="MLF89" s="6"/>
      <c r="MLG89" s="6"/>
      <c r="MLH89" s="6"/>
      <c r="MLI89" s="6"/>
      <c r="MLJ89" s="6"/>
      <c r="MLK89" s="6"/>
      <c r="MLL89" s="6"/>
      <c r="MLM89" s="6"/>
      <c r="MLN89" s="6"/>
      <c r="MLO89" s="6"/>
      <c r="MLP89" s="6"/>
      <c r="MLQ89" s="6"/>
      <c r="MLR89" s="6"/>
      <c r="MLS89" s="6"/>
      <c r="MLT89" s="6"/>
      <c r="MLU89" s="6"/>
      <c r="MLV89" s="6"/>
      <c r="MLW89" s="6"/>
      <c r="MLX89" s="6"/>
      <c r="MLY89" s="6"/>
      <c r="MLZ89" s="6"/>
      <c r="MMA89" s="6"/>
      <c r="MMB89" s="6"/>
      <c r="MMC89" s="6"/>
      <c r="MMD89" s="6"/>
      <c r="MME89" s="6"/>
      <c r="MMF89" s="6"/>
      <c r="MMG89" s="6"/>
      <c r="MMH89" s="6"/>
      <c r="MMI89" s="6"/>
      <c r="MMJ89" s="6"/>
      <c r="MMK89" s="6"/>
      <c r="MML89" s="6"/>
      <c r="MMM89" s="6"/>
      <c r="MMN89" s="6"/>
      <c r="MMO89" s="6"/>
      <c r="MMP89" s="6"/>
      <c r="MMQ89" s="6"/>
      <c r="MMR89" s="6"/>
      <c r="MMS89" s="6"/>
      <c r="MMT89" s="6"/>
      <c r="MMU89" s="6"/>
      <c r="MMV89" s="6"/>
      <c r="MMW89" s="6"/>
      <c r="MMX89" s="6"/>
      <c r="MMY89" s="6"/>
      <c r="MMZ89" s="6"/>
      <c r="MNA89" s="6"/>
      <c r="MNB89" s="6"/>
      <c r="MNC89" s="6"/>
      <c r="MND89" s="6"/>
      <c r="MNE89" s="6"/>
      <c r="MNF89" s="6"/>
      <c r="MNG89" s="6"/>
      <c r="MNH89" s="6"/>
      <c r="MNI89" s="6"/>
      <c r="MNJ89" s="6"/>
      <c r="MNK89" s="6"/>
      <c r="MNL89" s="6"/>
      <c r="MNM89" s="6"/>
      <c r="MNN89" s="6"/>
      <c r="MNO89" s="6"/>
      <c r="MNP89" s="6"/>
      <c r="MNQ89" s="6"/>
      <c r="MNR89" s="6"/>
      <c r="MNS89" s="6"/>
      <c r="MNT89" s="6"/>
      <c r="MNU89" s="6"/>
      <c r="MNV89" s="6"/>
      <c r="MNW89" s="6"/>
      <c r="MNX89" s="6"/>
      <c r="MNY89" s="6"/>
      <c r="MNZ89" s="6"/>
      <c r="MOA89" s="6"/>
      <c r="MOB89" s="6"/>
      <c r="MOC89" s="6"/>
      <c r="MOD89" s="6"/>
      <c r="MOE89" s="6"/>
      <c r="MOF89" s="6"/>
      <c r="MOG89" s="6"/>
      <c r="MOH89" s="6"/>
      <c r="MOI89" s="6"/>
      <c r="MOJ89" s="6"/>
      <c r="MOK89" s="6"/>
      <c r="MOL89" s="6"/>
      <c r="MOM89" s="6"/>
      <c r="MON89" s="6"/>
      <c r="MOO89" s="6"/>
      <c r="MOP89" s="6"/>
      <c r="MOQ89" s="6"/>
      <c r="MOR89" s="6"/>
      <c r="MOS89" s="6"/>
      <c r="MOT89" s="6"/>
      <c r="MOU89" s="6"/>
      <c r="MOV89" s="6"/>
      <c r="MOW89" s="6"/>
      <c r="MOX89" s="6"/>
      <c r="MOY89" s="6"/>
      <c r="MOZ89" s="6"/>
      <c r="MPA89" s="6"/>
      <c r="MPB89" s="6"/>
      <c r="MPC89" s="6"/>
      <c r="MPD89" s="6"/>
      <c r="MPE89" s="6"/>
      <c r="MPF89" s="6"/>
      <c r="MPG89" s="6"/>
      <c r="MPH89" s="6"/>
      <c r="MPI89" s="6"/>
      <c r="MPJ89" s="6"/>
      <c r="MPK89" s="6"/>
      <c r="MPL89" s="6"/>
      <c r="MPM89" s="6"/>
      <c r="MPN89" s="6"/>
      <c r="MPO89" s="6"/>
      <c r="MPP89" s="6"/>
      <c r="MPQ89" s="6"/>
      <c r="MPR89" s="6"/>
      <c r="MPS89" s="6"/>
      <c r="MPT89" s="6"/>
      <c r="MPU89" s="6"/>
      <c r="MPV89" s="6"/>
      <c r="MPW89" s="6"/>
      <c r="MPX89" s="6"/>
      <c r="MPY89" s="6"/>
      <c r="MPZ89" s="6"/>
      <c r="MQA89" s="6"/>
      <c r="MQB89" s="6"/>
      <c r="MQC89" s="6"/>
      <c r="MQD89" s="6"/>
      <c r="MQE89" s="6"/>
      <c r="MQF89" s="6"/>
      <c r="MQG89" s="6"/>
      <c r="MQH89" s="6"/>
      <c r="MQI89" s="6"/>
      <c r="MQJ89" s="6"/>
      <c r="MQK89" s="6"/>
      <c r="MQL89" s="6"/>
      <c r="MQM89" s="6"/>
      <c r="MQN89" s="6"/>
      <c r="MQO89" s="6"/>
      <c r="MQP89" s="6"/>
      <c r="MQQ89" s="6"/>
      <c r="MQR89" s="6"/>
      <c r="MQS89" s="6"/>
      <c r="MQT89" s="6"/>
      <c r="MQU89" s="6"/>
      <c r="MQV89" s="6"/>
      <c r="MQW89" s="6"/>
      <c r="MQX89" s="6"/>
      <c r="MQY89" s="6"/>
      <c r="MQZ89" s="6"/>
      <c r="MRA89" s="6"/>
      <c r="MRB89" s="6"/>
      <c r="MRC89" s="6"/>
      <c r="MRD89" s="6"/>
      <c r="MRE89" s="6"/>
      <c r="MRF89" s="6"/>
      <c r="MRG89" s="6"/>
      <c r="MRH89" s="6"/>
      <c r="MRI89" s="6"/>
      <c r="MRJ89" s="6"/>
      <c r="MRK89" s="6"/>
      <c r="MRL89" s="6"/>
      <c r="MRM89" s="6"/>
      <c r="MRN89" s="6"/>
      <c r="MRO89" s="6"/>
      <c r="MRP89" s="6"/>
      <c r="MRQ89" s="6"/>
      <c r="MRR89" s="6"/>
      <c r="MRS89" s="6"/>
      <c r="MRT89" s="6"/>
      <c r="MRU89" s="6"/>
      <c r="MRV89" s="6"/>
      <c r="MRW89" s="6"/>
      <c r="MRX89" s="6"/>
      <c r="MRY89" s="6"/>
      <c r="MRZ89" s="6"/>
      <c r="MSA89" s="6"/>
      <c r="MSB89" s="6"/>
      <c r="MSC89" s="6"/>
      <c r="MSD89" s="6"/>
      <c r="MSE89" s="6"/>
      <c r="MSF89" s="6"/>
      <c r="MSG89" s="6"/>
      <c r="MSH89" s="6"/>
      <c r="MSI89" s="6"/>
      <c r="MSJ89" s="6"/>
      <c r="MSK89" s="6"/>
      <c r="MSL89" s="6"/>
      <c r="MSM89" s="6"/>
      <c r="MSN89" s="6"/>
      <c r="MSO89" s="6"/>
      <c r="MSP89" s="6"/>
      <c r="MSQ89" s="6"/>
      <c r="MSR89" s="6"/>
      <c r="MSS89" s="6"/>
      <c r="MST89" s="6"/>
      <c r="MSU89" s="6"/>
      <c r="MSV89" s="6"/>
      <c r="MSW89" s="6"/>
      <c r="MSX89" s="6"/>
      <c r="MSY89" s="6"/>
      <c r="MSZ89" s="6"/>
      <c r="MTA89" s="6"/>
      <c r="MTB89" s="6"/>
      <c r="MTC89" s="6"/>
      <c r="MTD89" s="6"/>
      <c r="MTE89" s="6"/>
      <c r="MTF89" s="6"/>
      <c r="MTG89" s="6"/>
      <c r="MTH89" s="6"/>
      <c r="MTI89" s="6"/>
      <c r="MTJ89" s="6"/>
      <c r="MTK89" s="6"/>
      <c r="MTL89" s="6"/>
      <c r="MTM89" s="6"/>
      <c r="MTN89" s="6"/>
      <c r="MTO89" s="6"/>
      <c r="MTP89" s="6"/>
      <c r="MTQ89" s="6"/>
      <c r="MTR89" s="6"/>
      <c r="MTS89" s="6"/>
      <c r="MTT89" s="6"/>
      <c r="MTU89" s="6"/>
      <c r="MTV89" s="6"/>
      <c r="MTW89" s="6"/>
      <c r="MTX89" s="6"/>
      <c r="MTY89" s="6"/>
      <c r="MTZ89" s="6"/>
      <c r="MUA89" s="6"/>
      <c r="MUB89" s="6"/>
      <c r="MUC89" s="6"/>
      <c r="MUD89" s="6"/>
      <c r="MUE89" s="6"/>
      <c r="MUF89" s="6"/>
      <c r="MUG89" s="6"/>
      <c r="MUH89" s="6"/>
      <c r="MUI89" s="6"/>
      <c r="MUJ89" s="6"/>
      <c r="MUK89" s="6"/>
      <c r="MUL89" s="6"/>
      <c r="MUM89" s="6"/>
      <c r="MUN89" s="6"/>
      <c r="MUO89" s="6"/>
      <c r="MUP89" s="6"/>
      <c r="MUQ89" s="6"/>
      <c r="MUR89" s="6"/>
      <c r="MUS89" s="6"/>
      <c r="MUT89" s="6"/>
      <c r="MUU89" s="6"/>
      <c r="MUV89" s="6"/>
      <c r="MUW89" s="6"/>
      <c r="MUX89" s="6"/>
      <c r="MUY89" s="6"/>
      <c r="MUZ89" s="6"/>
      <c r="MVA89" s="6"/>
      <c r="MVB89" s="6"/>
      <c r="MVC89" s="6"/>
      <c r="MVD89" s="6"/>
      <c r="MVE89" s="6"/>
      <c r="MVF89" s="6"/>
      <c r="MVG89" s="6"/>
      <c r="MVH89" s="6"/>
      <c r="MVI89" s="6"/>
      <c r="MVJ89" s="6"/>
      <c r="MVK89" s="6"/>
      <c r="MVL89" s="6"/>
      <c r="MVM89" s="6"/>
      <c r="MVN89" s="6"/>
      <c r="MVO89" s="6"/>
      <c r="MVP89" s="6"/>
      <c r="MVQ89" s="6"/>
      <c r="MVR89" s="6"/>
      <c r="MVS89" s="6"/>
      <c r="MVT89" s="6"/>
      <c r="MVU89" s="6"/>
      <c r="MVV89" s="6"/>
      <c r="MVW89" s="6"/>
      <c r="MVX89" s="6"/>
      <c r="MVY89" s="6"/>
      <c r="MVZ89" s="6"/>
      <c r="MWA89" s="6"/>
      <c r="MWB89" s="6"/>
      <c r="MWC89" s="6"/>
      <c r="MWD89" s="6"/>
      <c r="MWE89" s="6"/>
      <c r="MWF89" s="6"/>
      <c r="MWG89" s="6"/>
      <c r="MWH89" s="6"/>
      <c r="MWI89" s="6"/>
      <c r="MWJ89" s="6"/>
      <c r="MWK89" s="6"/>
      <c r="MWL89" s="6"/>
      <c r="MWM89" s="6"/>
      <c r="MWN89" s="6"/>
      <c r="MWO89" s="6"/>
      <c r="MWP89" s="6"/>
      <c r="MWQ89" s="6"/>
      <c r="MWR89" s="6"/>
      <c r="MWS89" s="6"/>
      <c r="MWT89" s="6"/>
      <c r="MWU89" s="6"/>
      <c r="MWV89" s="6"/>
      <c r="MWW89" s="6"/>
      <c r="MWX89" s="6"/>
      <c r="MWY89" s="6"/>
      <c r="MWZ89" s="6"/>
      <c r="MXA89" s="6"/>
      <c r="MXB89" s="6"/>
      <c r="MXC89" s="6"/>
      <c r="MXD89" s="6"/>
      <c r="MXE89" s="6"/>
      <c r="MXF89" s="6"/>
      <c r="MXG89" s="6"/>
      <c r="MXH89" s="6"/>
      <c r="MXI89" s="6"/>
      <c r="MXJ89" s="6"/>
      <c r="MXK89" s="6"/>
      <c r="MXL89" s="6"/>
      <c r="MXM89" s="6"/>
      <c r="MXN89" s="6"/>
      <c r="MXO89" s="6"/>
      <c r="MXP89" s="6"/>
      <c r="MXQ89" s="6"/>
      <c r="MXR89" s="6"/>
      <c r="MXS89" s="6"/>
      <c r="MXT89" s="6"/>
      <c r="MXU89" s="6"/>
      <c r="MXV89" s="6"/>
      <c r="MXW89" s="6"/>
      <c r="MXX89" s="6"/>
      <c r="MXY89" s="6"/>
      <c r="MXZ89" s="6"/>
      <c r="MYA89" s="6"/>
      <c r="MYB89" s="6"/>
      <c r="MYC89" s="6"/>
      <c r="MYD89" s="6"/>
      <c r="MYE89" s="6"/>
      <c r="MYF89" s="6"/>
      <c r="MYG89" s="6"/>
      <c r="MYH89" s="6"/>
      <c r="MYI89" s="6"/>
      <c r="MYJ89" s="6"/>
      <c r="MYK89" s="6"/>
      <c r="MYL89" s="6"/>
      <c r="MYM89" s="6"/>
      <c r="MYN89" s="6"/>
      <c r="MYO89" s="6"/>
      <c r="MYP89" s="6"/>
      <c r="MYQ89" s="6"/>
      <c r="MYR89" s="6"/>
      <c r="MYS89" s="6"/>
      <c r="MYT89" s="6"/>
      <c r="MYU89" s="6"/>
      <c r="MYV89" s="6"/>
      <c r="MYW89" s="6"/>
      <c r="MYX89" s="6"/>
      <c r="MYY89" s="6"/>
      <c r="MYZ89" s="6"/>
      <c r="MZA89" s="6"/>
      <c r="MZB89" s="6"/>
      <c r="MZC89" s="6"/>
      <c r="MZD89" s="6"/>
      <c r="MZE89" s="6"/>
      <c r="MZF89" s="6"/>
      <c r="MZG89" s="6"/>
      <c r="MZH89" s="6"/>
      <c r="MZI89" s="6"/>
      <c r="MZJ89" s="6"/>
      <c r="MZK89" s="6"/>
      <c r="MZL89" s="6"/>
      <c r="MZM89" s="6"/>
      <c r="MZN89" s="6"/>
      <c r="MZO89" s="6"/>
      <c r="MZP89" s="6"/>
      <c r="MZQ89" s="6"/>
      <c r="MZR89" s="6"/>
      <c r="MZS89" s="6"/>
      <c r="MZT89" s="6"/>
      <c r="MZU89" s="6"/>
      <c r="MZV89" s="6"/>
      <c r="MZW89" s="6"/>
      <c r="MZX89" s="6"/>
      <c r="MZY89" s="6"/>
      <c r="MZZ89" s="6"/>
      <c r="NAA89" s="6"/>
      <c r="NAB89" s="6"/>
      <c r="NAC89" s="6"/>
      <c r="NAD89" s="6"/>
      <c r="NAE89" s="6"/>
      <c r="NAF89" s="6"/>
      <c r="NAG89" s="6"/>
      <c r="NAH89" s="6"/>
      <c r="NAI89" s="6"/>
      <c r="NAJ89" s="6"/>
      <c r="NAK89" s="6"/>
      <c r="NAL89" s="6"/>
      <c r="NAM89" s="6"/>
      <c r="NAN89" s="6"/>
      <c r="NAO89" s="6"/>
      <c r="NAP89" s="6"/>
      <c r="NAQ89" s="6"/>
      <c r="NAR89" s="6"/>
      <c r="NAS89" s="6"/>
      <c r="NAT89" s="6"/>
      <c r="NAU89" s="6"/>
      <c r="NAV89" s="6"/>
      <c r="NAW89" s="6"/>
      <c r="NAX89" s="6"/>
      <c r="NAY89" s="6"/>
      <c r="NAZ89" s="6"/>
      <c r="NBA89" s="6"/>
      <c r="NBB89" s="6"/>
      <c r="NBC89" s="6"/>
      <c r="NBD89" s="6"/>
      <c r="NBE89" s="6"/>
      <c r="NBF89" s="6"/>
      <c r="NBG89" s="6"/>
      <c r="NBH89" s="6"/>
      <c r="NBI89" s="6"/>
      <c r="NBJ89" s="6"/>
      <c r="NBK89" s="6"/>
      <c r="NBL89" s="6"/>
      <c r="NBM89" s="6"/>
      <c r="NBN89" s="6"/>
      <c r="NBO89" s="6"/>
      <c r="NBP89" s="6"/>
      <c r="NBQ89" s="6"/>
      <c r="NBR89" s="6"/>
      <c r="NBS89" s="6"/>
      <c r="NBT89" s="6"/>
      <c r="NBU89" s="6"/>
      <c r="NBV89" s="6"/>
      <c r="NBW89" s="6"/>
      <c r="NBX89" s="6"/>
      <c r="NBY89" s="6"/>
      <c r="NBZ89" s="6"/>
      <c r="NCA89" s="6"/>
      <c r="NCB89" s="6"/>
      <c r="NCC89" s="6"/>
      <c r="NCD89" s="6"/>
      <c r="NCE89" s="6"/>
      <c r="NCF89" s="6"/>
      <c r="NCG89" s="6"/>
      <c r="NCH89" s="6"/>
      <c r="NCI89" s="6"/>
      <c r="NCJ89" s="6"/>
      <c r="NCK89" s="6"/>
      <c r="NCL89" s="6"/>
      <c r="NCM89" s="6"/>
      <c r="NCN89" s="6"/>
      <c r="NCO89" s="6"/>
      <c r="NCP89" s="6"/>
      <c r="NCQ89" s="6"/>
      <c r="NCR89" s="6"/>
      <c r="NCS89" s="6"/>
      <c r="NCT89" s="6"/>
      <c r="NCU89" s="6"/>
      <c r="NCV89" s="6"/>
      <c r="NCW89" s="6"/>
      <c r="NCX89" s="6"/>
      <c r="NCY89" s="6"/>
      <c r="NCZ89" s="6"/>
      <c r="NDA89" s="6"/>
      <c r="NDB89" s="6"/>
      <c r="NDC89" s="6"/>
      <c r="NDD89" s="6"/>
      <c r="NDE89" s="6"/>
      <c r="NDF89" s="6"/>
      <c r="NDG89" s="6"/>
      <c r="NDH89" s="6"/>
      <c r="NDI89" s="6"/>
      <c r="NDJ89" s="6"/>
      <c r="NDK89" s="6"/>
      <c r="NDL89" s="6"/>
      <c r="NDM89" s="6"/>
      <c r="NDN89" s="6"/>
      <c r="NDO89" s="6"/>
      <c r="NDP89" s="6"/>
      <c r="NDQ89" s="6"/>
      <c r="NDR89" s="6"/>
      <c r="NDS89" s="6"/>
      <c r="NDT89" s="6"/>
      <c r="NDU89" s="6"/>
      <c r="NDV89" s="6"/>
      <c r="NDW89" s="6"/>
      <c r="NDX89" s="6"/>
      <c r="NDY89" s="6"/>
      <c r="NDZ89" s="6"/>
      <c r="NEA89" s="6"/>
      <c r="NEB89" s="6"/>
      <c r="NEC89" s="6"/>
      <c r="NED89" s="6"/>
      <c r="NEE89" s="6"/>
      <c r="NEF89" s="6"/>
      <c r="NEG89" s="6"/>
      <c r="NEH89" s="6"/>
      <c r="NEI89" s="6"/>
      <c r="NEJ89" s="6"/>
      <c r="NEK89" s="6"/>
      <c r="NEL89" s="6"/>
      <c r="NEM89" s="6"/>
      <c r="NEN89" s="6"/>
      <c r="NEO89" s="6"/>
      <c r="NEP89" s="6"/>
      <c r="NEQ89" s="6"/>
      <c r="NER89" s="6"/>
      <c r="NES89" s="6"/>
      <c r="NET89" s="6"/>
      <c r="NEU89" s="6"/>
      <c r="NEV89" s="6"/>
      <c r="NEW89" s="6"/>
      <c r="NEX89" s="6"/>
      <c r="NEY89" s="6"/>
      <c r="NEZ89" s="6"/>
      <c r="NFA89" s="6"/>
      <c r="NFB89" s="6"/>
      <c r="NFC89" s="6"/>
      <c r="NFD89" s="6"/>
      <c r="NFE89" s="6"/>
      <c r="NFF89" s="6"/>
      <c r="NFG89" s="6"/>
      <c r="NFH89" s="6"/>
      <c r="NFI89" s="6"/>
      <c r="NFJ89" s="6"/>
      <c r="NFK89" s="6"/>
      <c r="NFL89" s="6"/>
      <c r="NFM89" s="6"/>
      <c r="NFN89" s="6"/>
      <c r="NFO89" s="6"/>
      <c r="NFP89" s="6"/>
      <c r="NFQ89" s="6"/>
      <c r="NFR89" s="6"/>
      <c r="NFS89" s="6"/>
      <c r="NFT89" s="6"/>
      <c r="NFU89" s="6"/>
      <c r="NFV89" s="6"/>
      <c r="NFW89" s="6"/>
      <c r="NFX89" s="6"/>
      <c r="NFY89" s="6"/>
      <c r="NFZ89" s="6"/>
      <c r="NGA89" s="6"/>
      <c r="NGB89" s="6"/>
      <c r="NGC89" s="6"/>
      <c r="NGD89" s="6"/>
      <c r="NGE89" s="6"/>
      <c r="NGF89" s="6"/>
      <c r="NGG89" s="6"/>
      <c r="NGH89" s="6"/>
      <c r="NGI89" s="6"/>
      <c r="NGJ89" s="6"/>
      <c r="NGK89" s="6"/>
      <c r="NGL89" s="6"/>
      <c r="NGM89" s="6"/>
      <c r="NGN89" s="6"/>
      <c r="NGO89" s="6"/>
      <c r="NGP89" s="6"/>
      <c r="NGQ89" s="6"/>
      <c r="NGR89" s="6"/>
      <c r="NGS89" s="6"/>
      <c r="NGT89" s="6"/>
      <c r="NGU89" s="6"/>
      <c r="NGV89" s="6"/>
      <c r="NGW89" s="6"/>
      <c r="NGX89" s="6"/>
      <c r="NGY89" s="6"/>
      <c r="NGZ89" s="6"/>
      <c r="NHA89" s="6"/>
      <c r="NHB89" s="6"/>
      <c r="NHC89" s="6"/>
      <c r="NHD89" s="6"/>
      <c r="NHE89" s="6"/>
      <c r="NHF89" s="6"/>
      <c r="NHG89" s="6"/>
      <c r="NHH89" s="6"/>
      <c r="NHI89" s="6"/>
      <c r="NHJ89" s="6"/>
      <c r="NHK89" s="6"/>
      <c r="NHL89" s="6"/>
      <c r="NHM89" s="6"/>
      <c r="NHN89" s="6"/>
      <c r="NHO89" s="6"/>
      <c r="NHP89" s="6"/>
      <c r="NHQ89" s="6"/>
      <c r="NHR89" s="6"/>
      <c r="NHS89" s="6"/>
      <c r="NHT89" s="6"/>
      <c r="NHU89" s="6"/>
      <c r="NHV89" s="6"/>
      <c r="NHW89" s="6"/>
      <c r="NHX89" s="6"/>
      <c r="NHY89" s="6"/>
      <c r="NHZ89" s="6"/>
      <c r="NIA89" s="6"/>
      <c r="NIB89" s="6"/>
      <c r="NIC89" s="6"/>
      <c r="NID89" s="6"/>
      <c r="NIE89" s="6"/>
      <c r="NIF89" s="6"/>
      <c r="NIG89" s="6"/>
      <c r="NIH89" s="6"/>
      <c r="NII89" s="6"/>
      <c r="NIJ89" s="6"/>
      <c r="NIK89" s="6"/>
      <c r="NIL89" s="6"/>
      <c r="NIM89" s="6"/>
      <c r="NIN89" s="6"/>
      <c r="NIO89" s="6"/>
      <c r="NIP89" s="6"/>
      <c r="NIQ89" s="6"/>
      <c r="NIR89" s="6"/>
      <c r="NIS89" s="6"/>
      <c r="NIT89" s="6"/>
      <c r="NIU89" s="6"/>
      <c r="NIV89" s="6"/>
      <c r="NIW89" s="6"/>
      <c r="NIX89" s="6"/>
      <c r="NIY89" s="6"/>
      <c r="NIZ89" s="6"/>
      <c r="NJA89" s="6"/>
      <c r="NJB89" s="6"/>
      <c r="NJC89" s="6"/>
      <c r="NJD89" s="6"/>
      <c r="NJE89" s="6"/>
      <c r="NJF89" s="6"/>
      <c r="NJG89" s="6"/>
      <c r="NJH89" s="6"/>
      <c r="NJI89" s="6"/>
      <c r="NJJ89" s="6"/>
      <c r="NJK89" s="6"/>
      <c r="NJL89" s="6"/>
      <c r="NJM89" s="6"/>
      <c r="NJN89" s="6"/>
      <c r="NJO89" s="6"/>
      <c r="NJP89" s="6"/>
      <c r="NJQ89" s="6"/>
      <c r="NJR89" s="6"/>
      <c r="NJS89" s="6"/>
      <c r="NJT89" s="6"/>
      <c r="NJU89" s="6"/>
      <c r="NJV89" s="6"/>
      <c r="NJW89" s="6"/>
      <c r="NJX89" s="6"/>
      <c r="NJY89" s="6"/>
      <c r="NJZ89" s="6"/>
      <c r="NKA89" s="6"/>
      <c r="NKB89" s="6"/>
      <c r="NKC89" s="6"/>
      <c r="NKD89" s="6"/>
      <c r="NKE89" s="6"/>
      <c r="NKF89" s="6"/>
      <c r="NKG89" s="6"/>
      <c r="NKH89" s="6"/>
      <c r="NKI89" s="6"/>
      <c r="NKJ89" s="6"/>
      <c r="NKK89" s="6"/>
      <c r="NKL89" s="6"/>
      <c r="NKM89" s="6"/>
      <c r="NKN89" s="6"/>
      <c r="NKO89" s="6"/>
      <c r="NKP89" s="6"/>
      <c r="NKQ89" s="6"/>
      <c r="NKR89" s="6"/>
      <c r="NKS89" s="6"/>
      <c r="NKT89" s="6"/>
      <c r="NKU89" s="6"/>
      <c r="NKV89" s="6"/>
      <c r="NKW89" s="6"/>
      <c r="NKX89" s="6"/>
      <c r="NKY89" s="6"/>
      <c r="NKZ89" s="6"/>
      <c r="NLA89" s="6"/>
      <c r="NLB89" s="6"/>
      <c r="NLC89" s="6"/>
      <c r="NLD89" s="6"/>
      <c r="NLE89" s="6"/>
      <c r="NLF89" s="6"/>
      <c r="NLG89" s="6"/>
      <c r="NLH89" s="6"/>
      <c r="NLI89" s="6"/>
      <c r="NLJ89" s="6"/>
      <c r="NLK89" s="6"/>
      <c r="NLL89" s="6"/>
      <c r="NLM89" s="6"/>
      <c r="NLN89" s="6"/>
      <c r="NLO89" s="6"/>
      <c r="NLP89" s="6"/>
      <c r="NLQ89" s="6"/>
      <c r="NLR89" s="6"/>
      <c r="NLS89" s="6"/>
      <c r="NLT89" s="6"/>
      <c r="NLU89" s="6"/>
      <c r="NLV89" s="6"/>
      <c r="NLW89" s="6"/>
      <c r="NLX89" s="6"/>
      <c r="NLY89" s="6"/>
      <c r="NLZ89" s="6"/>
      <c r="NMA89" s="6"/>
      <c r="NMB89" s="6"/>
      <c r="NMC89" s="6"/>
      <c r="NMD89" s="6"/>
      <c r="NME89" s="6"/>
      <c r="NMF89" s="6"/>
      <c r="NMG89" s="6"/>
      <c r="NMH89" s="6"/>
      <c r="NMI89" s="6"/>
      <c r="NMJ89" s="6"/>
      <c r="NMK89" s="6"/>
      <c r="NML89" s="6"/>
      <c r="NMM89" s="6"/>
      <c r="NMN89" s="6"/>
      <c r="NMO89" s="6"/>
      <c r="NMP89" s="6"/>
      <c r="NMQ89" s="6"/>
      <c r="NMR89" s="6"/>
      <c r="NMS89" s="6"/>
      <c r="NMT89" s="6"/>
      <c r="NMU89" s="6"/>
      <c r="NMV89" s="6"/>
      <c r="NMW89" s="6"/>
      <c r="NMX89" s="6"/>
      <c r="NMY89" s="6"/>
      <c r="NMZ89" s="6"/>
      <c r="NNA89" s="6"/>
      <c r="NNB89" s="6"/>
      <c r="NNC89" s="6"/>
      <c r="NND89" s="6"/>
      <c r="NNE89" s="6"/>
      <c r="NNF89" s="6"/>
      <c r="NNG89" s="6"/>
      <c r="NNH89" s="6"/>
      <c r="NNI89" s="6"/>
      <c r="NNJ89" s="6"/>
      <c r="NNK89" s="6"/>
      <c r="NNL89" s="6"/>
      <c r="NNM89" s="6"/>
      <c r="NNN89" s="6"/>
      <c r="NNO89" s="6"/>
      <c r="NNP89" s="6"/>
      <c r="NNQ89" s="6"/>
      <c r="NNR89" s="6"/>
      <c r="NNS89" s="6"/>
      <c r="NNT89" s="6"/>
      <c r="NNU89" s="6"/>
      <c r="NNV89" s="6"/>
      <c r="NNW89" s="6"/>
      <c r="NNX89" s="6"/>
      <c r="NNY89" s="6"/>
      <c r="NNZ89" s="6"/>
      <c r="NOA89" s="6"/>
      <c r="NOB89" s="6"/>
      <c r="NOC89" s="6"/>
      <c r="NOD89" s="6"/>
      <c r="NOE89" s="6"/>
      <c r="NOF89" s="6"/>
      <c r="NOG89" s="6"/>
      <c r="NOH89" s="6"/>
      <c r="NOI89" s="6"/>
      <c r="NOJ89" s="6"/>
      <c r="NOK89" s="6"/>
      <c r="NOL89" s="6"/>
      <c r="NOM89" s="6"/>
      <c r="NON89" s="6"/>
      <c r="NOO89" s="6"/>
      <c r="NOP89" s="6"/>
      <c r="NOQ89" s="6"/>
      <c r="NOR89" s="6"/>
      <c r="NOS89" s="6"/>
      <c r="NOT89" s="6"/>
      <c r="NOU89" s="6"/>
      <c r="NOV89" s="6"/>
      <c r="NOW89" s="6"/>
      <c r="NOX89" s="6"/>
      <c r="NOY89" s="6"/>
      <c r="NOZ89" s="6"/>
      <c r="NPA89" s="6"/>
      <c r="NPB89" s="6"/>
      <c r="NPC89" s="6"/>
      <c r="NPD89" s="6"/>
      <c r="NPE89" s="6"/>
      <c r="NPF89" s="6"/>
      <c r="NPG89" s="6"/>
      <c r="NPH89" s="6"/>
      <c r="NPI89" s="6"/>
      <c r="NPJ89" s="6"/>
      <c r="NPK89" s="6"/>
      <c r="NPL89" s="6"/>
      <c r="NPM89" s="6"/>
      <c r="NPN89" s="6"/>
      <c r="NPO89" s="6"/>
      <c r="NPP89" s="6"/>
      <c r="NPQ89" s="6"/>
      <c r="NPR89" s="6"/>
      <c r="NPS89" s="6"/>
      <c r="NPT89" s="6"/>
      <c r="NPU89" s="6"/>
      <c r="NPV89" s="6"/>
      <c r="NPW89" s="6"/>
      <c r="NPX89" s="6"/>
      <c r="NPY89" s="6"/>
      <c r="NPZ89" s="6"/>
      <c r="NQA89" s="6"/>
      <c r="NQB89" s="6"/>
      <c r="NQC89" s="6"/>
      <c r="NQD89" s="6"/>
      <c r="NQE89" s="6"/>
      <c r="NQF89" s="6"/>
      <c r="NQG89" s="6"/>
      <c r="NQH89" s="6"/>
      <c r="NQI89" s="6"/>
      <c r="NQJ89" s="6"/>
      <c r="NQK89" s="6"/>
      <c r="NQL89" s="6"/>
      <c r="NQM89" s="6"/>
      <c r="NQN89" s="6"/>
      <c r="NQO89" s="6"/>
      <c r="NQP89" s="6"/>
      <c r="NQQ89" s="6"/>
      <c r="NQR89" s="6"/>
      <c r="NQS89" s="6"/>
      <c r="NQT89" s="6"/>
      <c r="NQU89" s="6"/>
      <c r="NQV89" s="6"/>
      <c r="NQW89" s="6"/>
      <c r="NQX89" s="6"/>
      <c r="NQY89" s="6"/>
      <c r="NQZ89" s="6"/>
      <c r="NRA89" s="6"/>
      <c r="NRB89" s="6"/>
      <c r="NRC89" s="6"/>
      <c r="NRD89" s="6"/>
      <c r="NRE89" s="6"/>
      <c r="NRF89" s="6"/>
      <c r="NRG89" s="6"/>
      <c r="NRH89" s="6"/>
      <c r="NRI89" s="6"/>
      <c r="NRJ89" s="6"/>
      <c r="NRK89" s="6"/>
      <c r="NRL89" s="6"/>
      <c r="NRM89" s="6"/>
      <c r="NRN89" s="6"/>
      <c r="NRO89" s="6"/>
      <c r="NRP89" s="6"/>
      <c r="NRQ89" s="6"/>
      <c r="NRR89" s="6"/>
      <c r="NRS89" s="6"/>
      <c r="NRT89" s="6"/>
      <c r="NRU89" s="6"/>
      <c r="NRV89" s="6"/>
      <c r="NRW89" s="6"/>
      <c r="NRX89" s="6"/>
      <c r="NRY89" s="6"/>
      <c r="NRZ89" s="6"/>
      <c r="NSA89" s="6"/>
      <c r="NSB89" s="6"/>
      <c r="NSC89" s="6"/>
      <c r="NSD89" s="6"/>
      <c r="NSE89" s="6"/>
      <c r="NSF89" s="6"/>
      <c r="NSG89" s="6"/>
      <c r="NSH89" s="6"/>
      <c r="NSI89" s="6"/>
      <c r="NSJ89" s="6"/>
      <c r="NSK89" s="6"/>
      <c r="NSL89" s="6"/>
      <c r="NSM89" s="6"/>
      <c r="NSN89" s="6"/>
      <c r="NSO89" s="6"/>
      <c r="NSP89" s="6"/>
      <c r="NSQ89" s="6"/>
      <c r="NSR89" s="6"/>
      <c r="NSS89" s="6"/>
      <c r="NST89" s="6"/>
      <c r="NSU89" s="6"/>
      <c r="NSV89" s="6"/>
      <c r="NSW89" s="6"/>
      <c r="NSX89" s="6"/>
      <c r="NSY89" s="6"/>
      <c r="NSZ89" s="6"/>
      <c r="NTA89" s="6"/>
      <c r="NTB89" s="6"/>
      <c r="NTC89" s="6"/>
      <c r="NTD89" s="6"/>
      <c r="NTE89" s="6"/>
      <c r="NTF89" s="6"/>
      <c r="NTG89" s="6"/>
      <c r="NTH89" s="6"/>
      <c r="NTI89" s="6"/>
      <c r="NTJ89" s="6"/>
      <c r="NTK89" s="6"/>
      <c r="NTL89" s="6"/>
      <c r="NTM89" s="6"/>
      <c r="NTN89" s="6"/>
      <c r="NTO89" s="6"/>
      <c r="NTP89" s="6"/>
      <c r="NTQ89" s="6"/>
      <c r="NTR89" s="6"/>
      <c r="NTS89" s="6"/>
      <c r="NTT89" s="6"/>
      <c r="NTU89" s="6"/>
      <c r="NTV89" s="6"/>
      <c r="NTW89" s="6"/>
      <c r="NTX89" s="6"/>
      <c r="NTY89" s="6"/>
      <c r="NTZ89" s="6"/>
      <c r="NUA89" s="6"/>
      <c r="NUB89" s="6"/>
      <c r="NUC89" s="6"/>
      <c r="NUD89" s="6"/>
      <c r="NUE89" s="6"/>
      <c r="NUF89" s="6"/>
      <c r="NUG89" s="6"/>
      <c r="NUH89" s="6"/>
      <c r="NUI89" s="6"/>
      <c r="NUJ89" s="6"/>
      <c r="NUK89" s="6"/>
      <c r="NUL89" s="6"/>
      <c r="NUM89" s="6"/>
      <c r="NUN89" s="6"/>
      <c r="NUO89" s="6"/>
      <c r="NUP89" s="6"/>
      <c r="NUQ89" s="6"/>
      <c r="NUR89" s="6"/>
      <c r="NUS89" s="6"/>
      <c r="NUT89" s="6"/>
      <c r="NUU89" s="6"/>
      <c r="NUV89" s="6"/>
      <c r="NUW89" s="6"/>
      <c r="NUX89" s="6"/>
      <c r="NUY89" s="6"/>
      <c r="NUZ89" s="6"/>
      <c r="NVA89" s="6"/>
      <c r="NVB89" s="6"/>
      <c r="NVC89" s="6"/>
      <c r="NVD89" s="6"/>
      <c r="NVE89" s="6"/>
      <c r="NVF89" s="6"/>
      <c r="NVG89" s="6"/>
      <c r="NVH89" s="6"/>
      <c r="NVI89" s="6"/>
      <c r="NVJ89" s="6"/>
      <c r="NVK89" s="6"/>
      <c r="NVL89" s="6"/>
      <c r="NVM89" s="6"/>
      <c r="NVN89" s="6"/>
      <c r="NVO89" s="6"/>
      <c r="NVP89" s="6"/>
      <c r="NVQ89" s="6"/>
      <c r="NVR89" s="6"/>
      <c r="NVS89" s="6"/>
      <c r="NVT89" s="6"/>
      <c r="NVU89" s="6"/>
      <c r="NVV89" s="6"/>
      <c r="NVW89" s="6"/>
      <c r="NVX89" s="6"/>
      <c r="NVY89" s="6"/>
      <c r="NVZ89" s="6"/>
      <c r="NWA89" s="6"/>
      <c r="NWB89" s="6"/>
      <c r="NWC89" s="6"/>
      <c r="NWD89" s="6"/>
      <c r="NWE89" s="6"/>
      <c r="NWF89" s="6"/>
      <c r="NWG89" s="6"/>
      <c r="NWH89" s="6"/>
      <c r="NWI89" s="6"/>
      <c r="NWJ89" s="6"/>
      <c r="NWK89" s="6"/>
      <c r="NWL89" s="6"/>
      <c r="NWM89" s="6"/>
      <c r="NWN89" s="6"/>
      <c r="NWO89" s="6"/>
      <c r="NWP89" s="6"/>
      <c r="NWQ89" s="6"/>
      <c r="NWR89" s="6"/>
      <c r="NWS89" s="6"/>
      <c r="NWT89" s="6"/>
      <c r="NWU89" s="6"/>
      <c r="NWV89" s="6"/>
      <c r="NWW89" s="6"/>
      <c r="NWX89" s="6"/>
      <c r="NWY89" s="6"/>
      <c r="NWZ89" s="6"/>
      <c r="NXA89" s="6"/>
      <c r="NXB89" s="6"/>
      <c r="NXC89" s="6"/>
      <c r="NXD89" s="6"/>
      <c r="NXE89" s="6"/>
      <c r="NXF89" s="6"/>
      <c r="NXG89" s="6"/>
      <c r="NXH89" s="6"/>
      <c r="NXI89" s="6"/>
      <c r="NXJ89" s="6"/>
      <c r="NXK89" s="6"/>
      <c r="NXL89" s="6"/>
      <c r="NXM89" s="6"/>
      <c r="NXN89" s="6"/>
      <c r="NXO89" s="6"/>
      <c r="NXP89" s="6"/>
      <c r="NXQ89" s="6"/>
      <c r="NXR89" s="6"/>
      <c r="NXS89" s="6"/>
      <c r="NXT89" s="6"/>
      <c r="NXU89" s="6"/>
      <c r="NXV89" s="6"/>
      <c r="NXW89" s="6"/>
      <c r="NXX89" s="6"/>
      <c r="NXY89" s="6"/>
      <c r="NXZ89" s="6"/>
      <c r="NYA89" s="6"/>
      <c r="NYB89" s="6"/>
      <c r="NYC89" s="6"/>
      <c r="NYD89" s="6"/>
      <c r="NYE89" s="6"/>
      <c r="NYF89" s="6"/>
      <c r="NYG89" s="6"/>
      <c r="NYH89" s="6"/>
      <c r="NYI89" s="6"/>
      <c r="NYJ89" s="6"/>
      <c r="NYK89" s="6"/>
      <c r="NYL89" s="6"/>
      <c r="NYM89" s="6"/>
      <c r="NYN89" s="6"/>
      <c r="NYO89" s="6"/>
      <c r="NYP89" s="6"/>
      <c r="NYQ89" s="6"/>
      <c r="NYR89" s="6"/>
      <c r="NYS89" s="6"/>
      <c r="NYT89" s="6"/>
      <c r="NYU89" s="6"/>
      <c r="NYV89" s="6"/>
      <c r="NYW89" s="6"/>
      <c r="NYX89" s="6"/>
      <c r="NYY89" s="6"/>
      <c r="NYZ89" s="6"/>
      <c r="NZA89" s="6"/>
      <c r="NZB89" s="6"/>
      <c r="NZC89" s="6"/>
      <c r="NZD89" s="6"/>
      <c r="NZE89" s="6"/>
      <c r="NZF89" s="6"/>
      <c r="NZG89" s="6"/>
      <c r="NZH89" s="6"/>
      <c r="NZI89" s="6"/>
      <c r="NZJ89" s="6"/>
      <c r="NZK89" s="6"/>
      <c r="NZL89" s="6"/>
      <c r="NZM89" s="6"/>
      <c r="NZN89" s="6"/>
      <c r="NZO89" s="6"/>
      <c r="NZP89" s="6"/>
      <c r="NZQ89" s="6"/>
      <c r="NZR89" s="6"/>
      <c r="NZS89" s="6"/>
      <c r="NZT89" s="6"/>
      <c r="NZU89" s="6"/>
      <c r="NZV89" s="6"/>
      <c r="NZW89" s="6"/>
      <c r="NZX89" s="6"/>
      <c r="NZY89" s="6"/>
      <c r="NZZ89" s="6"/>
      <c r="OAA89" s="6"/>
      <c r="OAB89" s="6"/>
      <c r="OAC89" s="6"/>
      <c r="OAD89" s="6"/>
      <c r="OAE89" s="6"/>
      <c r="OAF89" s="6"/>
      <c r="OAG89" s="6"/>
      <c r="OAH89" s="6"/>
      <c r="OAI89" s="6"/>
      <c r="OAJ89" s="6"/>
      <c r="OAK89" s="6"/>
      <c r="OAL89" s="6"/>
      <c r="OAM89" s="6"/>
      <c r="OAN89" s="6"/>
      <c r="OAO89" s="6"/>
      <c r="OAP89" s="6"/>
      <c r="OAQ89" s="6"/>
      <c r="OAR89" s="6"/>
      <c r="OAS89" s="6"/>
      <c r="OAT89" s="6"/>
      <c r="OAU89" s="6"/>
      <c r="OAV89" s="6"/>
      <c r="OAW89" s="6"/>
      <c r="OAX89" s="6"/>
      <c r="OAY89" s="6"/>
      <c r="OAZ89" s="6"/>
      <c r="OBA89" s="6"/>
      <c r="OBB89" s="6"/>
      <c r="OBC89" s="6"/>
      <c r="OBD89" s="6"/>
      <c r="OBE89" s="6"/>
      <c r="OBF89" s="6"/>
      <c r="OBG89" s="6"/>
      <c r="OBH89" s="6"/>
      <c r="OBI89" s="6"/>
      <c r="OBJ89" s="6"/>
      <c r="OBK89" s="6"/>
      <c r="OBL89" s="6"/>
      <c r="OBM89" s="6"/>
      <c r="OBN89" s="6"/>
      <c r="OBO89" s="6"/>
      <c r="OBP89" s="6"/>
      <c r="OBQ89" s="6"/>
      <c r="OBR89" s="6"/>
      <c r="OBS89" s="6"/>
      <c r="OBT89" s="6"/>
      <c r="OBU89" s="6"/>
      <c r="OBV89" s="6"/>
      <c r="OBW89" s="6"/>
      <c r="OBX89" s="6"/>
      <c r="OBY89" s="6"/>
      <c r="OBZ89" s="6"/>
      <c r="OCA89" s="6"/>
      <c r="OCB89" s="6"/>
      <c r="OCC89" s="6"/>
      <c r="OCD89" s="6"/>
      <c r="OCE89" s="6"/>
      <c r="OCF89" s="6"/>
      <c r="OCG89" s="6"/>
      <c r="OCH89" s="6"/>
      <c r="OCI89" s="6"/>
      <c r="OCJ89" s="6"/>
      <c r="OCK89" s="6"/>
      <c r="OCL89" s="6"/>
      <c r="OCM89" s="6"/>
      <c r="OCN89" s="6"/>
      <c r="OCO89" s="6"/>
      <c r="OCP89" s="6"/>
      <c r="OCQ89" s="6"/>
      <c r="OCR89" s="6"/>
      <c r="OCS89" s="6"/>
      <c r="OCT89" s="6"/>
      <c r="OCU89" s="6"/>
      <c r="OCV89" s="6"/>
      <c r="OCW89" s="6"/>
      <c r="OCX89" s="6"/>
      <c r="OCY89" s="6"/>
      <c r="OCZ89" s="6"/>
      <c r="ODA89" s="6"/>
      <c r="ODB89" s="6"/>
      <c r="ODC89" s="6"/>
      <c r="ODD89" s="6"/>
      <c r="ODE89" s="6"/>
      <c r="ODF89" s="6"/>
      <c r="ODG89" s="6"/>
      <c r="ODH89" s="6"/>
      <c r="ODI89" s="6"/>
      <c r="ODJ89" s="6"/>
      <c r="ODK89" s="6"/>
      <c r="ODL89" s="6"/>
      <c r="ODM89" s="6"/>
      <c r="ODN89" s="6"/>
      <c r="ODO89" s="6"/>
      <c r="ODP89" s="6"/>
      <c r="ODQ89" s="6"/>
      <c r="ODR89" s="6"/>
      <c r="ODS89" s="6"/>
      <c r="ODT89" s="6"/>
      <c r="ODU89" s="6"/>
      <c r="ODV89" s="6"/>
      <c r="ODW89" s="6"/>
      <c r="ODX89" s="6"/>
      <c r="ODY89" s="6"/>
      <c r="ODZ89" s="6"/>
      <c r="OEA89" s="6"/>
      <c r="OEB89" s="6"/>
      <c r="OEC89" s="6"/>
      <c r="OED89" s="6"/>
      <c r="OEE89" s="6"/>
      <c r="OEF89" s="6"/>
      <c r="OEG89" s="6"/>
      <c r="OEH89" s="6"/>
      <c r="OEI89" s="6"/>
      <c r="OEJ89" s="6"/>
      <c r="OEK89" s="6"/>
      <c r="OEL89" s="6"/>
      <c r="OEM89" s="6"/>
      <c r="OEN89" s="6"/>
      <c r="OEO89" s="6"/>
      <c r="OEP89" s="6"/>
      <c r="OEQ89" s="6"/>
      <c r="OER89" s="6"/>
      <c r="OES89" s="6"/>
      <c r="OET89" s="6"/>
      <c r="OEU89" s="6"/>
      <c r="OEV89" s="6"/>
      <c r="OEW89" s="6"/>
      <c r="OEX89" s="6"/>
      <c r="OEY89" s="6"/>
      <c r="OEZ89" s="6"/>
      <c r="OFA89" s="6"/>
      <c r="OFB89" s="6"/>
      <c r="OFC89" s="6"/>
      <c r="OFD89" s="6"/>
      <c r="OFE89" s="6"/>
      <c r="OFF89" s="6"/>
      <c r="OFG89" s="6"/>
      <c r="OFH89" s="6"/>
      <c r="OFI89" s="6"/>
      <c r="OFJ89" s="6"/>
      <c r="OFK89" s="6"/>
      <c r="OFL89" s="6"/>
      <c r="OFM89" s="6"/>
      <c r="OFN89" s="6"/>
      <c r="OFO89" s="6"/>
      <c r="OFP89" s="6"/>
      <c r="OFQ89" s="6"/>
      <c r="OFR89" s="6"/>
      <c r="OFS89" s="6"/>
      <c r="OFT89" s="6"/>
      <c r="OFU89" s="6"/>
      <c r="OFV89" s="6"/>
      <c r="OFW89" s="6"/>
      <c r="OFX89" s="6"/>
      <c r="OFY89" s="6"/>
      <c r="OFZ89" s="6"/>
      <c r="OGA89" s="6"/>
      <c r="OGB89" s="6"/>
      <c r="OGC89" s="6"/>
      <c r="OGD89" s="6"/>
      <c r="OGE89" s="6"/>
      <c r="OGF89" s="6"/>
      <c r="OGG89" s="6"/>
      <c r="OGH89" s="6"/>
      <c r="OGI89" s="6"/>
      <c r="OGJ89" s="6"/>
      <c r="OGK89" s="6"/>
      <c r="OGL89" s="6"/>
      <c r="OGM89" s="6"/>
      <c r="OGN89" s="6"/>
      <c r="OGO89" s="6"/>
      <c r="OGP89" s="6"/>
      <c r="OGQ89" s="6"/>
      <c r="OGR89" s="6"/>
      <c r="OGS89" s="6"/>
      <c r="OGT89" s="6"/>
      <c r="OGU89" s="6"/>
      <c r="OGV89" s="6"/>
      <c r="OGW89" s="6"/>
      <c r="OGX89" s="6"/>
      <c r="OGY89" s="6"/>
      <c r="OGZ89" s="6"/>
      <c r="OHA89" s="6"/>
      <c r="OHB89" s="6"/>
      <c r="OHC89" s="6"/>
      <c r="OHD89" s="6"/>
      <c r="OHE89" s="6"/>
      <c r="OHF89" s="6"/>
      <c r="OHG89" s="6"/>
      <c r="OHH89" s="6"/>
      <c r="OHI89" s="6"/>
      <c r="OHJ89" s="6"/>
      <c r="OHK89" s="6"/>
      <c r="OHL89" s="6"/>
      <c r="OHM89" s="6"/>
      <c r="OHN89" s="6"/>
      <c r="OHO89" s="6"/>
      <c r="OHP89" s="6"/>
      <c r="OHQ89" s="6"/>
      <c r="OHR89" s="6"/>
      <c r="OHS89" s="6"/>
      <c r="OHT89" s="6"/>
      <c r="OHU89" s="6"/>
      <c r="OHV89" s="6"/>
      <c r="OHW89" s="6"/>
      <c r="OHX89" s="6"/>
      <c r="OHY89" s="6"/>
      <c r="OHZ89" s="6"/>
      <c r="OIA89" s="6"/>
      <c r="OIB89" s="6"/>
      <c r="OIC89" s="6"/>
      <c r="OID89" s="6"/>
      <c r="OIE89" s="6"/>
      <c r="OIF89" s="6"/>
      <c r="OIG89" s="6"/>
      <c r="OIH89" s="6"/>
      <c r="OII89" s="6"/>
      <c r="OIJ89" s="6"/>
      <c r="OIK89" s="6"/>
      <c r="OIL89" s="6"/>
      <c r="OIM89" s="6"/>
      <c r="OIN89" s="6"/>
      <c r="OIO89" s="6"/>
      <c r="OIP89" s="6"/>
      <c r="OIQ89" s="6"/>
      <c r="OIR89" s="6"/>
      <c r="OIS89" s="6"/>
      <c r="OIT89" s="6"/>
      <c r="OIU89" s="6"/>
      <c r="OIV89" s="6"/>
      <c r="OIW89" s="6"/>
      <c r="OIX89" s="6"/>
      <c r="OIY89" s="6"/>
      <c r="OIZ89" s="6"/>
      <c r="OJA89" s="6"/>
      <c r="OJB89" s="6"/>
      <c r="OJC89" s="6"/>
      <c r="OJD89" s="6"/>
      <c r="OJE89" s="6"/>
      <c r="OJF89" s="6"/>
      <c r="OJG89" s="6"/>
      <c r="OJH89" s="6"/>
      <c r="OJI89" s="6"/>
      <c r="OJJ89" s="6"/>
      <c r="OJK89" s="6"/>
      <c r="OJL89" s="6"/>
      <c r="OJM89" s="6"/>
      <c r="OJN89" s="6"/>
      <c r="OJO89" s="6"/>
      <c r="OJP89" s="6"/>
      <c r="OJQ89" s="6"/>
      <c r="OJR89" s="6"/>
      <c r="OJS89" s="6"/>
      <c r="OJT89" s="6"/>
      <c r="OJU89" s="6"/>
      <c r="OJV89" s="6"/>
      <c r="OJW89" s="6"/>
      <c r="OJX89" s="6"/>
      <c r="OJY89" s="6"/>
      <c r="OJZ89" s="6"/>
      <c r="OKA89" s="6"/>
      <c r="OKB89" s="6"/>
      <c r="OKC89" s="6"/>
      <c r="OKD89" s="6"/>
      <c r="OKE89" s="6"/>
      <c r="OKF89" s="6"/>
      <c r="OKG89" s="6"/>
      <c r="OKH89" s="6"/>
      <c r="OKI89" s="6"/>
      <c r="OKJ89" s="6"/>
      <c r="OKK89" s="6"/>
      <c r="OKL89" s="6"/>
      <c r="OKM89" s="6"/>
      <c r="OKN89" s="6"/>
      <c r="OKO89" s="6"/>
      <c r="OKP89" s="6"/>
      <c r="OKQ89" s="6"/>
      <c r="OKR89" s="6"/>
      <c r="OKS89" s="6"/>
      <c r="OKT89" s="6"/>
      <c r="OKU89" s="6"/>
      <c r="OKV89" s="6"/>
      <c r="OKW89" s="6"/>
      <c r="OKX89" s="6"/>
      <c r="OKY89" s="6"/>
      <c r="OKZ89" s="6"/>
      <c r="OLA89" s="6"/>
      <c r="OLB89" s="6"/>
      <c r="OLC89" s="6"/>
      <c r="OLD89" s="6"/>
      <c r="OLE89" s="6"/>
      <c r="OLF89" s="6"/>
      <c r="OLG89" s="6"/>
      <c r="OLH89" s="6"/>
      <c r="OLI89" s="6"/>
      <c r="OLJ89" s="6"/>
      <c r="OLK89" s="6"/>
      <c r="OLL89" s="6"/>
      <c r="OLM89" s="6"/>
      <c r="OLN89" s="6"/>
      <c r="OLO89" s="6"/>
      <c r="OLP89" s="6"/>
      <c r="OLQ89" s="6"/>
      <c r="OLR89" s="6"/>
      <c r="OLS89" s="6"/>
      <c r="OLT89" s="6"/>
      <c r="OLU89" s="6"/>
      <c r="OLV89" s="6"/>
      <c r="OLW89" s="6"/>
      <c r="OLX89" s="6"/>
      <c r="OLY89" s="6"/>
      <c r="OLZ89" s="6"/>
      <c r="OMA89" s="6"/>
      <c r="OMB89" s="6"/>
      <c r="OMC89" s="6"/>
      <c r="OMD89" s="6"/>
      <c r="OME89" s="6"/>
      <c r="OMF89" s="6"/>
      <c r="OMG89" s="6"/>
      <c r="OMH89" s="6"/>
      <c r="OMI89" s="6"/>
      <c r="OMJ89" s="6"/>
      <c r="OMK89" s="6"/>
      <c r="OML89" s="6"/>
      <c r="OMM89" s="6"/>
      <c r="OMN89" s="6"/>
      <c r="OMO89" s="6"/>
      <c r="OMP89" s="6"/>
      <c r="OMQ89" s="6"/>
      <c r="OMR89" s="6"/>
      <c r="OMS89" s="6"/>
      <c r="OMT89" s="6"/>
      <c r="OMU89" s="6"/>
      <c r="OMV89" s="6"/>
      <c r="OMW89" s="6"/>
      <c r="OMX89" s="6"/>
      <c r="OMY89" s="6"/>
      <c r="OMZ89" s="6"/>
      <c r="ONA89" s="6"/>
      <c r="ONB89" s="6"/>
      <c r="ONC89" s="6"/>
      <c r="OND89" s="6"/>
      <c r="ONE89" s="6"/>
      <c r="ONF89" s="6"/>
      <c r="ONG89" s="6"/>
      <c r="ONH89" s="6"/>
      <c r="ONI89" s="6"/>
      <c r="ONJ89" s="6"/>
      <c r="ONK89" s="6"/>
      <c r="ONL89" s="6"/>
      <c r="ONM89" s="6"/>
      <c r="ONN89" s="6"/>
      <c r="ONO89" s="6"/>
      <c r="ONP89" s="6"/>
      <c r="ONQ89" s="6"/>
      <c r="ONR89" s="6"/>
      <c r="ONS89" s="6"/>
      <c r="ONT89" s="6"/>
      <c r="ONU89" s="6"/>
      <c r="ONV89" s="6"/>
      <c r="ONW89" s="6"/>
      <c r="ONX89" s="6"/>
      <c r="ONY89" s="6"/>
      <c r="ONZ89" s="6"/>
      <c r="OOA89" s="6"/>
      <c r="OOB89" s="6"/>
      <c r="OOC89" s="6"/>
      <c r="OOD89" s="6"/>
      <c r="OOE89" s="6"/>
      <c r="OOF89" s="6"/>
      <c r="OOG89" s="6"/>
      <c r="OOH89" s="6"/>
      <c r="OOI89" s="6"/>
      <c r="OOJ89" s="6"/>
      <c r="OOK89" s="6"/>
      <c r="OOL89" s="6"/>
      <c r="OOM89" s="6"/>
      <c r="OON89" s="6"/>
      <c r="OOO89" s="6"/>
      <c r="OOP89" s="6"/>
      <c r="OOQ89" s="6"/>
      <c r="OOR89" s="6"/>
      <c r="OOS89" s="6"/>
      <c r="OOT89" s="6"/>
      <c r="OOU89" s="6"/>
      <c r="OOV89" s="6"/>
      <c r="OOW89" s="6"/>
      <c r="OOX89" s="6"/>
      <c r="OOY89" s="6"/>
      <c r="OOZ89" s="6"/>
      <c r="OPA89" s="6"/>
      <c r="OPB89" s="6"/>
      <c r="OPC89" s="6"/>
      <c r="OPD89" s="6"/>
      <c r="OPE89" s="6"/>
      <c r="OPF89" s="6"/>
      <c r="OPG89" s="6"/>
      <c r="OPH89" s="6"/>
      <c r="OPI89" s="6"/>
      <c r="OPJ89" s="6"/>
      <c r="OPK89" s="6"/>
      <c r="OPL89" s="6"/>
      <c r="OPM89" s="6"/>
      <c r="OPN89" s="6"/>
      <c r="OPO89" s="6"/>
      <c r="OPP89" s="6"/>
      <c r="OPQ89" s="6"/>
      <c r="OPR89" s="6"/>
      <c r="OPS89" s="6"/>
      <c r="OPT89" s="6"/>
      <c r="OPU89" s="6"/>
      <c r="OPV89" s="6"/>
      <c r="OPW89" s="6"/>
      <c r="OPX89" s="6"/>
      <c r="OPY89" s="6"/>
      <c r="OPZ89" s="6"/>
      <c r="OQA89" s="6"/>
      <c r="OQB89" s="6"/>
      <c r="OQC89" s="6"/>
      <c r="OQD89" s="6"/>
      <c r="OQE89" s="6"/>
      <c r="OQF89" s="6"/>
      <c r="OQG89" s="6"/>
      <c r="OQH89" s="6"/>
      <c r="OQI89" s="6"/>
      <c r="OQJ89" s="6"/>
      <c r="OQK89" s="6"/>
      <c r="OQL89" s="6"/>
      <c r="OQM89" s="6"/>
      <c r="OQN89" s="6"/>
      <c r="OQO89" s="6"/>
      <c r="OQP89" s="6"/>
      <c r="OQQ89" s="6"/>
      <c r="OQR89" s="6"/>
      <c r="OQS89" s="6"/>
      <c r="OQT89" s="6"/>
      <c r="OQU89" s="6"/>
      <c r="OQV89" s="6"/>
      <c r="OQW89" s="6"/>
      <c r="OQX89" s="6"/>
      <c r="OQY89" s="6"/>
      <c r="OQZ89" s="6"/>
      <c r="ORA89" s="6"/>
      <c r="ORB89" s="6"/>
      <c r="ORC89" s="6"/>
      <c r="ORD89" s="6"/>
      <c r="ORE89" s="6"/>
      <c r="ORF89" s="6"/>
      <c r="ORG89" s="6"/>
      <c r="ORH89" s="6"/>
      <c r="ORI89" s="6"/>
      <c r="ORJ89" s="6"/>
      <c r="ORK89" s="6"/>
      <c r="ORL89" s="6"/>
      <c r="ORM89" s="6"/>
      <c r="ORN89" s="6"/>
      <c r="ORO89" s="6"/>
      <c r="ORP89" s="6"/>
      <c r="ORQ89" s="6"/>
      <c r="ORR89" s="6"/>
      <c r="ORS89" s="6"/>
      <c r="ORT89" s="6"/>
      <c r="ORU89" s="6"/>
      <c r="ORV89" s="6"/>
      <c r="ORW89" s="6"/>
      <c r="ORX89" s="6"/>
      <c r="ORY89" s="6"/>
      <c r="ORZ89" s="6"/>
      <c r="OSA89" s="6"/>
      <c r="OSB89" s="6"/>
      <c r="OSC89" s="6"/>
      <c r="OSD89" s="6"/>
      <c r="OSE89" s="6"/>
      <c r="OSF89" s="6"/>
      <c r="OSG89" s="6"/>
      <c r="OSH89" s="6"/>
      <c r="OSI89" s="6"/>
      <c r="OSJ89" s="6"/>
      <c r="OSK89" s="6"/>
      <c r="OSL89" s="6"/>
      <c r="OSM89" s="6"/>
      <c r="OSN89" s="6"/>
      <c r="OSO89" s="6"/>
      <c r="OSP89" s="6"/>
      <c r="OSQ89" s="6"/>
      <c r="OSR89" s="6"/>
      <c r="OSS89" s="6"/>
      <c r="OST89" s="6"/>
      <c r="OSU89" s="6"/>
      <c r="OSV89" s="6"/>
      <c r="OSW89" s="6"/>
      <c r="OSX89" s="6"/>
      <c r="OSY89" s="6"/>
      <c r="OSZ89" s="6"/>
      <c r="OTA89" s="6"/>
      <c r="OTB89" s="6"/>
      <c r="OTC89" s="6"/>
      <c r="OTD89" s="6"/>
      <c r="OTE89" s="6"/>
      <c r="OTF89" s="6"/>
      <c r="OTG89" s="6"/>
      <c r="OTH89" s="6"/>
      <c r="OTI89" s="6"/>
      <c r="OTJ89" s="6"/>
      <c r="OTK89" s="6"/>
      <c r="OTL89" s="6"/>
      <c r="OTM89" s="6"/>
      <c r="OTN89" s="6"/>
      <c r="OTO89" s="6"/>
      <c r="OTP89" s="6"/>
      <c r="OTQ89" s="6"/>
      <c r="OTR89" s="6"/>
      <c r="OTS89" s="6"/>
      <c r="OTT89" s="6"/>
      <c r="OTU89" s="6"/>
      <c r="OTV89" s="6"/>
      <c r="OTW89" s="6"/>
      <c r="OTX89" s="6"/>
      <c r="OTY89" s="6"/>
      <c r="OTZ89" s="6"/>
      <c r="OUA89" s="6"/>
      <c r="OUB89" s="6"/>
      <c r="OUC89" s="6"/>
      <c r="OUD89" s="6"/>
      <c r="OUE89" s="6"/>
      <c r="OUF89" s="6"/>
      <c r="OUG89" s="6"/>
      <c r="OUH89" s="6"/>
      <c r="OUI89" s="6"/>
      <c r="OUJ89" s="6"/>
      <c r="OUK89" s="6"/>
      <c r="OUL89" s="6"/>
      <c r="OUM89" s="6"/>
      <c r="OUN89" s="6"/>
      <c r="OUO89" s="6"/>
      <c r="OUP89" s="6"/>
      <c r="OUQ89" s="6"/>
      <c r="OUR89" s="6"/>
      <c r="OUS89" s="6"/>
      <c r="OUT89" s="6"/>
      <c r="OUU89" s="6"/>
      <c r="OUV89" s="6"/>
      <c r="OUW89" s="6"/>
      <c r="OUX89" s="6"/>
      <c r="OUY89" s="6"/>
      <c r="OUZ89" s="6"/>
      <c r="OVA89" s="6"/>
      <c r="OVB89" s="6"/>
      <c r="OVC89" s="6"/>
      <c r="OVD89" s="6"/>
      <c r="OVE89" s="6"/>
      <c r="OVF89" s="6"/>
      <c r="OVG89" s="6"/>
      <c r="OVH89" s="6"/>
      <c r="OVI89" s="6"/>
      <c r="OVJ89" s="6"/>
      <c r="OVK89" s="6"/>
      <c r="OVL89" s="6"/>
      <c r="OVM89" s="6"/>
      <c r="OVN89" s="6"/>
      <c r="OVO89" s="6"/>
      <c r="OVP89" s="6"/>
      <c r="OVQ89" s="6"/>
      <c r="OVR89" s="6"/>
      <c r="OVS89" s="6"/>
      <c r="OVT89" s="6"/>
      <c r="OVU89" s="6"/>
      <c r="OVV89" s="6"/>
      <c r="OVW89" s="6"/>
      <c r="OVX89" s="6"/>
      <c r="OVY89" s="6"/>
      <c r="OVZ89" s="6"/>
      <c r="OWA89" s="6"/>
      <c r="OWB89" s="6"/>
      <c r="OWC89" s="6"/>
      <c r="OWD89" s="6"/>
      <c r="OWE89" s="6"/>
      <c r="OWF89" s="6"/>
      <c r="OWG89" s="6"/>
      <c r="OWH89" s="6"/>
      <c r="OWI89" s="6"/>
      <c r="OWJ89" s="6"/>
      <c r="OWK89" s="6"/>
      <c r="OWL89" s="6"/>
      <c r="OWM89" s="6"/>
      <c r="OWN89" s="6"/>
      <c r="OWO89" s="6"/>
      <c r="OWP89" s="6"/>
      <c r="OWQ89" s="6"/>
      <c r="OWR89" s="6"/>
      <c r="OWS89" s="6"/>
      <c r="OWT89" s="6"/>
      <c r="OWU89" s="6"/>
      <c r="OWV89" s="6"/>
      <c r="OWW89" s="6"/>
      <c r="OWX89" s="6"/>
      <c r="OWY89" s="6"/>
      <c r="OWZ89" s="6"/>
      <c r="OXA89" s="6"/>
      <c r="OXB89" s="6"/>
      <c r="OXC89" s="6"/>
      <c r="OXD89" s="6"/>
      <c r="OXE89" s="6"/>
      <c r="OXF89" s="6"/>
      <c r="OXG89" s="6"/>
      <c r="OXH89" s="6"/>
      <c r="OXI89" s="6"/>
      <c r="OXJ89" s="6"/>
      <c r="OXK89" s="6"/>
      <c r="OXL89" s="6"/>
      <c r="OXM89" s="6"/>
      <c r="OXN89" s="6"/>
      <c r="OXO89" s="6"/>
      <c r="OXP89" s="6"/>
      <c r="OXQ89" s="6"/>
      <c r="OXR89" s="6"/>
      <c r="OXS89" s="6"/>
      <c r="OXT89" s="6"/>
      <c r="OXU89" s="6"/>
      <c r="OXV89" s="6"/>
      <c r="OXW89" s="6"/>
      <c r="OXX89" s="6"/>
      <c r="OXY89" s="6"/>
      <c r="OXZ89" s="6"/>
      <c r="OYA89" s="6"/>
      <c r="OYB89" s="6"/>
      <c r="OYC89" s="6"/>
      <c r="OYD89" s="6"/>
      <c r="OYE89" s="6"/>
      <c r="OYF89" s="6"/>
      <c r="OYG89" s="6"/>
      <c r="OYH89" s="6"/>
      <c r="OYI89" s="6"/>
      <c r="OYJ89" s="6"/>
      <c r="OYK89" s="6"/>
      <c r="OYL89" s="6"/>
      <c r="OYM89" s="6"/>
      <c r="OYN89" s="6"/>
      <c r="OYO89" s="6"/>
      <c r="OYP89" s="6"/>
      <c r="OYQ89" s="6"/>
      <c r="OYR89" s="6"/>
      <c r="OYS89" s="6"/>
      <c r="OYT89" s="6"/>
      <c r="OYU89" s="6"/>
      <c r="OYV89" s="6"/>
      <c r="OYW89" s="6"/>
      <c r="OYX89" s="6"/>
      <c r="OYY89" s="6"/>
      <c r="OYZ89" s="6"/>
      <c r="OZA89" s="6"/>
      <c r="OZB89" s="6"/>
      <c r="OZC89" s="6"/>
      <c r="OZD89" s="6"/>
      <c r="OZE89" s="6"/>
      <c r="OZF89" s="6"/>
      <c r="OZG89" s="6"/>
      <c r="OZH89" s="6"/>
      <c r="OZI89" s="6"/>
      <c r="OZJ89" s="6"/>
      <c r="OZK89" s="6"/>
      <c r="OZL89" s="6"/>
      <c r="OZM89" s="6"/>
      <c r="OZN89" s="6"/>
      <c r="OZO89" s="6"/>
      <c r="OZP89" s="6"/>
      <c r="OZQ89" s="6"/>
      <c r="OZR89" s="6"/>
      <c r="OZS89" s="6"/>
      <c r="OZT89" s="6"/>
      <c r="OZU89" s="6"/>
      <c r="OZV89" s="6"/>
      <c r="OZW89" s="6"/>
      <c r="OZX89" s="6"/>
      <c r="OZY89" s="6"/>
      <c r="OZZ89" s="6"/>
      <c r="PAA89" s="6"/>
      <c r="PAB89" s="6"/>
      <c r="PAC89" s="6"/>
      <c r="PAD89" s="6"/>
      <c r="PAE89" s="6"/>
      <c r="PAF89" s="6"/>
      <c r="PAG89" s="6"/>
      <c r="PAH89" s="6"/>
      <c r="PAI89" s="6"/>
      <c r="PAJ89" s="6"/>
      <c r="PAK89" s="6"/>
      <c r="PAL89" s="6"/>
      <c r="PAM89" s="6"/>
      <c r="PAN89" s="6"/>
      <c r="PAO89" s="6"/>
      <c r="PAP89" s="6"/>
      <c r="PAQ89" s="6"/>
      <c r="PAR89" s="6"/>
      <c r="PAS89" s="6"/>
      <c r="PAT89" s="6"/>
      <c r="PAU89" s="6"/>
      <c r="PAV89" s="6"/>
      <c r="PAW89" s="6"/>
      <c r="PAX89" s="6"/>
      <c r="PAY89" s="6"/>
      <c r="PAZ89" s="6"/>
      <c r="PBA89" s="6"/>
      <c r="PBB89" s="6"/>
      <c r="PBC89" s="6"/>
      <c r="PBD89" s="6"/>
      <c r="PBE89" s="6"/>
      <c r="PBF89" s="6"/>
      <c r="PBG89" s="6"/>
      <c r="PBH89" s="6"/>
      <c r="PBI89" s="6"/>
      <c r="PBJ89" s="6"/>
      <c r="PBK89" s="6"/>
      <c r="PBL89" s="6"/>
      <c r="PBM89" s="6"/>
      <c r="PBN89" s="6"/>
      <c r="PBO89" s="6"/>
      <c r="PBP89" s="6"/>
      <c r="PBQ89" s="6"/>
      <c r="PBR89" s="6"/>
      <c r="PBS89" s="6"/>
      <c r="PBT89" s="6"/>
      <c r="PBU89" s="6"/>
      <c r="PBV89" s="6"/>
      <c r="PBW89" s="6"/>
      <c r="PBX89" s="6"/>
      <c r="PBY89" s="6"/>
      <c r="PBZ89" s="6"/>
      <c r="PCA89" s="6"/>
      <c r="PCB89" s="6"/>
      <c r="PCC89" s="6"/>
      <c r="PCD89" s="6"/>
      <c r="PCE89" s="6"/>
      <c r="PCF89" s="6"/>
      <c r="PCG89" s="6"/>
      <c r="PCH89" s="6"/>
      <c r="PCI89" s="6"/>
      <c r="PCJ89" s="6"/>
      <c r="PCK89" s="6"/>
      <c r="PCL89" s="6"/>
      <c r="PCM89" s="6"/>
      <c r="PCN89" s="6"/>
      <c r="PCO89" s="6"/>
      <c r="PCP89" s="6"/>
      <c r="PCQ89" s="6"/>
      <c r="PCR89" s="6"/>
      <c r="PCS89" s="6"/>
      <c r="PCT89" s="6"/>
      <c r="PCU89" s="6"/>
      <c r="PCV89" s="6"/>
      <c r="PCW89" s="6"/>
      <c r="PCX89" s="6"/>
      <c r="PCY89" s="6"/>
      <c r="PCZ89" s="6"/>
      <c r="PDA89" s="6"/>
      <c r="PDB89" s="6"/>
      <c r="PDC89" s="6"/>
      <c r="PDD89" s="6"/>
      <c r="PDE89" s="6"/>
      <c r="PDF89" s="6"/>
      <c r="PDG89" s="6"/>
      <c r="PDH89" s="6"/>
      <c r="PDI89" s="6"/>
      <c r="PDJ89" s="6"/>
      <c r="PDK89" s="6"/>
      <c r="PDL89" s="6"/>
      <c r="PDM89" s="6"/>
      <c r="PDN89" s="6"/>
      <c r="PDO89" s="6"/>
      <c r="PDP89" s="6"/>
      <c r="PDQ89" s="6"/>
      <c r="PDR89" s="6"/>
      <c r="PDS89" s="6"/>
      <c r="PDT89" s="6"/>
      <c r="PDU89" s="6"/>
      <c r="PDV89" s="6"/>
      <c r="PDW89" s="6"/>
      <c r="PDX89" s="6"/>
      <c r="PDY89" s="6"/>
      <c r="PDZ89" s="6"/>
      <c r="PEA89" s="6"/>
      <c r="PEB89" s="6"/>
      <c r="PEC89" s="6"/>
      <c r="PED89" s="6"/>
      <c r="PEE89" s="6"/>
      <c r="PEF89" s="6"/>
      <c r="PEG89" s="6"/>
      <c r="PEH89" s="6"/>
      <c r="PEI89" s="6"/>
      <c r="PEJ89" s="6"/>
      <c r="PEK89" s="6"/>
      <c r="PEL89" s="6"/>
      <c r="PEM89" s="6"/>
      <c r="PEN89" s="6"/>
      <c r="PEO89" s="6"/>
      <c r="PEP89" s="6"/>
      <c r="PEQ89" s="6"/>
      <c r="PER89" s="6"/>
      <c r="PES89" s="6"/>
      <c r="PET89" s="6"/>
      <c r="PEU89" s="6"/>
      <c r="PEV89" s="6"/>
      <c r="PEW89" s="6"/>
      <c r="PEX89" s="6"/>
      <c r="PEY89" s="6"/>
      <c r="PEZ89" s="6"/>
      <c r="PFA89" s="6"/>
      <c r="PFB89" s="6"/>
      <c r="PFC89" s="6"/>
      <c r="PFD89" s="6"/>
      <c r="PFE89" s="6"/>
      <c r="PFF89" s="6"/>
      <c r="PFG89" s="6"/>
      <c r="PFH89" s="6"/>
      <c r="PFI89" s="6"/>
      <c r="PFJ89" s="6"/>
      <c r="PFK89" s="6"/>
      <c r="PFL89" s="6"/>
      <c r="PFM89" s="6"/>
      <c r="PFN89" s="6"/>
      <c r="PFO89" s="6"/>
      <c r="PFP89" s="6"/>
      <c r="PFQ89" s="6"/>
      <c r="PFR89" s="6"/>
      <c r="PFS89" s="6"/>
      <c r="PFT89" s="6"/>
      <c r="PFU89" s="6"/>
      <c r="PFV89" s="6"/>
      <c r="PFW89" s="6"/>
      <c r="PFX89" s="6"/>
      <c r="PFY89" s="6"/>
      <c r="PFZ89" s="6"/>
      <c r="PGA89" s="6"/>
      <c r="PGB89" s="6"/>
      <c r="PGC89" s="6"/>
      <c r="PGD89" s="6"/>
      <c r="PGE89" s="6"/>
      <c r="PGF89" s="6"/>
      <c r="PGG89" s="6"/>
      <c r="PGH89" s="6"/>
      <c r="PGI89" s="6"/>
      <c r="PGJ89" s="6"/>
      <c r="PGK89" s="6"/>
      <c r="PGL89" s="6"/>
      <c r="PGM89" s="6"/>
      <c r="PGN89" s="6"/>
      <c r="PGO89" s="6"/>
      <c r="PGP89" s="6"/>
      <c r="PGQ89" s="6"/>
      <c r="PGR89" s="6"/>
      <c r="PGS89" s="6"/>
      <c r="PGT89" s="6"/>
      <c r="PGU89" s="6"/>
      <c r="PGV89" s="6"/>
      <c r="PGW89" s="6"/>
      <c r="PGX89" s="6"/>
      <c r="PGY89" s="6"/>
      <c r="PGZ89" s="6"/>
      <c r="PHA89" s="6"/>
      <c r="PHB89" s="6"/>
      <c r="PHC89" s="6"/>
      <c r="PHD89" s="6"/>
      <c r="PHE89" s="6"/>
      <c r="PHF89" s="6"/>
      <c r="PHG89" s="6"/>
      <c r="PHH89" s="6"/>
      <c r="PHI89" s="6"/>
      <c r="PHJ89" s="6"/>
      <c r="PHK89" s="6"/>
      <c r="PHL89" s="6"/>
      <c r="PHM89" s="6"/>
      <c r="PHN89" s="6"/>
      <c r="PHO89" s="6"/>
      <c r="PHP89" s="6"/>
      <c r="PHQ89" s="6"/>
      <c r="PHR89" s="6"/>
      <c r="PHS89" s="6"/>
      <c r="PHT89" s="6"/>
      <c r="PHU89" s="6"/>
      <c r="PHV89" s="6"/>
      <c r="PHW89" s="6"/>
      <c r="PHX89" s="6"/>
      <c r="PHY89" s="6"/>
      <c r="PHZ89" s="6"/>
      <c r="PIA89" s="6"/>
      <c r="PIB89" s="6"/>
      <c r="PIC89" s="6"/>
      <c r="PID89" s="6"/>
      <c r="PIE89" s="6"/>
      <c r="PIF89" s="6"/>
      <c r="PIG89" s="6"/>
      <c r="PIH89" s="6"/>
      <c r="PII89" s="6"/>
      <c r="PIJ89" s="6"/>
      <c r="PIK89" s="6"/>
      <c r="PIL89" s="6"/>
      <c r="PIM89" s="6"/>
      <c r="PIN89" s="6"/>
      <c r="PIO89" s="6"/>
      <c r="PIP89" s="6"/>
      <c r="PIQ89" s="6"/>
      <c r="PIR89" s="6"/>
      <c r="PIS89" s="6"/>
      <c r="PIT89" s="6"/>
      <c r="PIU89" s="6"/>
      <c r="PIV89" s="6"/>
      <c r="PIW89" s="6"/>
      <c r="PIX89" s="6"/>
      <c r="PIY89" s="6"/>
      <c r="PIZ89" s="6"/>
      <c r="PJA89" s="6"/>
      <c r="PJB89" s="6"/>
      <c r="PJC89" s="6"/>
      <c r="PJD89" s="6"/>
      <c r="PJE89" s="6"/>
      <c r="PJF89" s="6"/>
      <c r="PJG89" s="6"/>
      <c r="PJH89" s="6"/>
      <c r="PJI89" s="6"/>
      <c r="PJJ89" s="6"/>
      <c r="PJK89" s="6"/>
      <c r="PJL89" s="6"/>
      <c r="PJM89" s="6"/>
      <c r="PJN89" s="6"/>
      <c r="PJO89" s="6"/>
      <c r="PJP89" s="6"/>
      <c r="PJQ89" s="6"/>
      <c r="PJR89" s="6"/>
      <c r="PJS89" s="6"/>
      <c r="PJT89" s="6"/>
      <c r="PJU89" s="6"/>
      <c r="PJV89" s="6"/>
      <c r="PJW89" s="6"/>
      <c r="PJX89" s="6"/>
      <c r="PJY89" s="6"/>
      <c r="PJZ89" s="6"/>
      <c r="PKA89" s="6"/>
      <c r="PKB89" s="6"/>
      <c r="PKC89" s="6"/>
      <c r="PKD89" s="6"/>
      <c r="PKE89" s="6"/>
      <c r="PKF89" s="6"/>
      <c r="PKG89" s="6"/>
      <c r="PKH89" s="6"/>
      <c r="PKI89" s="6"/>
      <c r="PKJ89" s="6"/>
      <c r="PKK89" s="6"/>
      <c r="PKL89" s="6"/>
      <c r="PKM89" s="6"/>
      <c r="PKN89" s="6"/>
      <c r="PKO89" s="6"/>
      <c r="PKP89" s="6"/>
      <c r="PKQ89" s="6"/>
      <c r="PKR89" s="6"/>
      <c r="PKS89" s="6"/>
      <c r="PKT89" s="6"/>
      <c r="PKU89" s="6"/>
      <c r="PKV89" s="6"/>
      <c r="PKW89" s="6"/>
      <c r="PKX89" s="6"/>
      <c r="PKY89" s="6"/>
      <c r="PKZ89" s="6"/>
      <c r="PLA89" s="6"/>
      <c r="PLB89" s="6"/>
      <c r="PLC89" s="6"/>
      <c r="PLD89" s="6"/>
      <c r="PLE89" s="6"/>
      <c r="PLF89" s="6"/>
      <c r="PLG89" s="6"/>
      <c r="PLH89" s="6"/>
      <c r="PLI89" s="6"/>
      <c r="PLJ89" s="6"/>
      <c r="PLK89" s="6"/>
      <c r="PLL89" s="6"/>
      <c r="PLM89" s="6"/>
      <c r="PLN89" s="6"/>
      <c r="PLO89" s="6"/>
      <c r="PLP89" s="6"/>
      <c r="PLQ89" s="6"/>
      <c r="PLR89" s="6"/>
      <c r="PLS89" s="6"/>
      <c r="PLT89" s="6"/>
      <c r="PLU89" s="6"/>
      <c r="PLV89" s="6"/>
      <c r="PLW89" s="6"/>
      <c r="PLX89" s="6"/>
      <c r="PLY89" s="6"/>
      <c r="PLZ89" s="6"/>
      <c r="PMA89" s="6"/>
      <c r="PMB89" s="6"/>
      <c r="PMC89" s="6"/>
      <c r="PMD89" s="6"/>
      <c r="PME89" s="6"/>
      <c r="PMF89" s="6"/>
      <c r="PMG89" s="6"/>
      <c r="PMH89" s="6"/>
      <c r="PMI89" s="6"/>
      <c r="PMJ89" s="6"/>
      <c r="PMK89" s="6"/>
      <c r="PML89" s="6"/>
      <c r="PMM89" s="6"/>
      <c r="PMN89" s="6"/>
      <c r="PMO89" s="6"/>
      <c r="PMP89" s="6"/>
      <c r="PMQ89" s="6"/>
      <c r="PMR89" s="6"/>
      <c r="PMS89" s="6"/>
      <c r="PMT89" s="6"/>
      <c r="PMU89" s="6"/>
      <c r="PMV89" s="6"/>
      <c r="PMW89" s="6"/>
      <c r="PMX89" s="6"/>
      <c r="PMY89" s="6"/>
      <c r="PMZ89" s="6"/>
      <c r="PNA89" s="6"/>
      <c r="PNB89" s="6"/>
      <c r="PNC89" s="6"/>
      <c r="PND89" s="6"/>
      <c r="PNE89" s="6"/>
      <c r="PNF89" s="6"/>
      <c r="PNG89" s="6"/>
      <c r="PNH89" s="6"/>
      <c r="PNI89" s="6"/>
      <c r="PNJ89" s="6"/>
      <c r="PNK89" s="6"/>
      <c r="PNL89" s="6"/>
      <c r="PNM89" s="6"/>
      <c r="PNN89" s="6"/>
      <c r="PNO89" s="6"/>
      <c r="PNP89" s="6"/>
      <c r="PNQ89" s="6"/>
      <c r="PNR89" s="6"/>
      <c r="PNS89" s="6"/>
      <c r="PNT89" s="6"/>
      <c r="PNU89" s="6"/>
      <c r="PNV89" s="6"/>
      <c r="PNW89" s="6"/>
      <c r="PNX89" s="6"/>
      <c r="PNY89" s="6"/>
      <c r="PNZ89" s="6"/>
      <c r="POA89" s="6"/>
      <c r="POB89" s="6"/>
      <c r="POC89" s="6"/>
      <c r="POD89" s="6"/>
      <c r="POE89" s="6"/>
      <c r="POF89" s="6"/>
      <c r="POG89" s="6"/>
      <c r="POH89" s="6"/>
      <c r="POI89" s="6"/>
      <c r="POJ89" s="6"/>
      <c r="POK89" s="6"/>
      <c r="POL89" s="6"/>
      <c r="POM89" s="6"/>
      <c r="PON89" s="6"/>
      <c r="POO89" s="6"/>
      <c r="POP89" s="6"/>
      <c r="POQ89" s="6"/>
      <c r="POR89" s="6"/>
      <c r="POS89" s="6"/>
      <c r="POT89" s="6"/>
      <c r="POU89" s="6"/>
      <c r="POV89" s="6"/>
      <c r="POW89" s="6"/>
      <c r="POX89" s="6"/>
      <c r="POY89" s="6"/>
      <c r="POZ89" s="6"/>
      <c r="PPA89" s="6"/>
      <c r="PPB89" s="6"/>
      <c r="PPC89" s="6"/>
      <c r="PPD89" s="6"/>
      <c r="PPE89" s="6"/>
      <c r="PPF89" s="6"/>
      <c r="PPG89" s="6"/>
      <c r="PPH89" s="6"/>
      <c r="PPI89" s="6"/>
      <c r="PPJ89" s="6"/>
      <c r="PPK89" s="6"/>
      <c r="PPL89" s="6"/>
      <c r="PPM89" s="6"/>
      <c r="PPN89" s="6"/>
      <c r="PPO89" s="6"/>
      <c r="PPP89" s="6"/>
      <c r="PPQ89" s="6"/>
      <c r="PPR89" s="6"/>
      <c r="PPS89" s="6"/>
      <c r="PPT89" s="6"/>
      <c r="PPU89" s="6"/>
      <c r="PPV89" s="6"/>
      <c r="PPW89" s="6"/>
      <c r="PPX89" s="6"/>
      <c r="PPY89" s="6"/>
      <c r="PPZ89" s="6"/>
      <c r="PQA89" s="6"/>
      <c r="PQB89" s="6"/>
      <c r="PQC89" s="6"/>
      <c r="PQD89" s="6"/>
      <c r="PQE89" s="6"/>
      <c r="PQF89" s="6"/>
      <c r="PQG89" s="6"/>
      <c r="PQH89" s="6"/>
      <c r="PQI89" s="6"/>
      <c r="PQJ89" s="6"/>
      <c r="PQK89" s="6"/>
      <c r="PQL89" s="6"/>
      <c r="PQM89" s="6"/>
      <c r="PQN89" s="6"/>
      <c r="PQO89" s="6"/>
      <c r="PQP89" s="6"/>
      <c r="PQQ89" s="6"/>
      <c r="PQR89" s="6"/>
      <c r="PQS89" s="6"/>
      <c r="PQT89" s="6"/>
      <c r="PQU89" s="6"/>
      <c r="PQV89" s="6"/>
      <c r="PQW89" s="6"/>
      <c r="PQX89" s="6"/>
      <c r="PQY89" s="6"/>
      <c r="PQZ89" s="6"/>
      <c r="PRA89" s="6"/>
      <c r="PRB89" s="6"/>
      <c r="PRC89" s="6"/>
      <c r="PRD89" s="6"/>
      <c r="PRE89" s="6"/>
      <c r="PRF89" s="6"/>
      <c r="PRG89" s="6"/>
      <c r="PRH89" s="6"/>
      <c r="PRI89" s="6"/>
      <c r="PRJ89" s="6"/>
      <c r="PRK89" s="6"/>
      <c r="PRL89" s="6"/>
      <c r="PRM89" s="6"/>
      <c r="PRN89" s="6"/>
      <c r="PRO89" s="6"/>
      <c r="PRP89" s="6"/>
      <c r="PRQ89" s="6"/>
      <c r="PRR89" s="6"/>
      <c r="PRS89" s="6"/>
      <c r="PRT89" s="6"/>
      <c r="PRU89" s="6"/>
      <c r="PRV89" s="6"/>
      <c r="PRW89" s="6"/>
      <c r="PRX89" s="6"/>
      <c r="PRY89" s="6"/>
      <c r="PRZ89" s="6"/>
      <c r="PSA89" s="6"/>
      <c r="PSB89" s="6"/>
      <c r="PSC89" s="6"/>
      <c r="PSD89" s="6"/>
      <c r="PSE89" s="6"/>
      <c r="PSF89" s="6"/>
      <c r="PSG89" s="6"/>
      <c r="PSH89" s="6"/>
      <c r="PSI89" s="6"/>
      <c r="PSJ89" s="6"/>
      <c r="PSK89" s="6"/>
      <c r="PSL89" s="6"/>
      <c r="PSM89" s="6"/>
      <c r="PSN89" s="6"/>
      <c r="PSO89" s="6"/>
      <c r="PSP89" s="6"/>
      <c r="PSQ89" s="6"/>
      <c r="PSR89" s="6"/>
      <c r="PSS89" s="6"/>
      <c r="PST89" s="6"/>
      <c r="PSU89" s="6"/>
      <c r="PSV89" s="6"/>
      <c r="PSW89" s="6"/>
      <c r="PSX89" s="6"/>
      <c r="PSY89" s="6"/>
      <c r="PSZ89" s="6"/>
      <c r="PTA89" s="6"/>
      <c r="PTB89" s="6"/>
      <c r="PTC89" s="6"/>
      <c r="PTD89" s="6"/>
      <c r="PTE89" s="6"/>
      <c r="PTF89" s="6"/>
      <c r="PTG89" s="6"/>
      <c r="PTH89" s="6"/>
      <c r="PTI89" s="6"/>
      <c r="PTJ89" s="6"/>
      <c r="PTK89" s="6"/>
      <c r="PTL89" s="6"/>
      <c r="PTM89" s="6"/>
      <c r="PTN89" s="6"/>
      <c r="PTO89" s="6"/>
      <c r="PTP89" s="6"/>
      <c r="PTQ89" s="6"/>
      <c r="PTR89" s="6"/>
      <c r="PTS89" s="6"/>
      <c r="PTT89" s="6"/>
      <c r="PTU89" s="6"/>
      <c r="PTV89" s="6"/>
      <c r="PTW89" s="6"/>
      <c r="PTX89" s="6"/>
      <c r="PTY89" s="6"/>
      <c r="PTZ89" s="6"/>
      <c r="PUA89" s="6"/>
      <c r="PUB89" s="6"/>
      <c r="PUC89" s="6"/>
      <c r="PUD89" s="6"/>
      <c r="PUE89" s="6"/>
      <c r="PUF89" s="6"/>
      <c r="PUG89" s="6"/>
      <c r="PUH89" s="6"/>
      <c r="PUI89" s="6"/>
      <c r="PUJ89" s="6"/>
      <c r="PUK89" s="6"/>
      <c r="PUL89" s="6"/>
      <c r="PUM89" s="6"/>
      <c r="PUN89" s="6"/>
      <c r="PUO89" s="6"/>
      <c r="PUP89" s="6"/>
      <c r="PUQ89" s="6"/>
      <c r="PUR89" s="6"/>
      <c r="PUS89" s="6"/>
      <c r="PUT89" s="6"/>
      <c r="PUU89" s="6"/>
      <c r="PUV89" s="6"/>
      <c r="PUW89" s="6"/>
      <c r="PUX89" s="6"/>
      <c r="PUY89" s="6"/>
      <c r="PUZ89" s="6"/>
      <c r="PVA89" s="6"/>
      <c r="PVB89" s="6"/>
      <c r="PVC89" s="6"/>
      <c r="PVD89" s="6"/>
      <c r="PVE89" s="6"/>
      <c r="PVF89" s="6"/>
      <c r="PVG89" s="6"/>
      <c r="PVH89" s="6"/>
      <c r="PVI89" s="6"/>
      <c r="PVJ89" s="6"/>
      <c r="PVK89" s="6"/>
      <c r="PVL89" s="6"/>
      <c r="PVM89" s="6"/>
      <c r="PVN89" s="6"/>
      <c r="PVO89" s="6"/>
      <c r="PVP89" s="6"/>
      <c r="PVQ89" s="6"/>
      <c r="PVR89" s="6"/>
      <c r="PVS89" s="6"/>
      <c r="PVT89" s="6"/>
      <c r="PVU89" s="6"/>
      <c r="PVV89" s="6"/>
      <c r="PVW89" s="6"/>
      <c r="PVX89" s="6"/>
      <c r="PVY89" s="6"/>
      <c r="PVZ89" s="6"/>
      <c r="PWA89" s="6"/>
      <c r="PWB89" s="6"/>
      <c r="PWC89" s="6"/>
      <c r="PWD89" s="6"/>
      <c r="PWE89" s="6"/>
      <c r="PWF89" s="6"/>
      <c r="PWG89" s="6"/>
      <c r="PWH89" s="6"/>
      <c r="PWI89" s="6"/>
      <c r="PWJ89" s="6"/>
      <c r="PWK89" s="6"/>
      <c r="PWL89" s="6"/>
      <c r="PWM89" s="6"/>
      <c r="PWN89" s="6"/>
      <c r="PWO89" s="6"/>
      <c r="PWP89" s="6"/>
      <c r="PWQ89" s="6"/>
      <c r="PWR89" s="6"/>
      <c r="PWS89" s="6"/>
      <c r="PWT89" s="6"/>
      <c r="PWU89" s="6"/>
      <c r="PWV89" s="6"/>
      <c r="PWW89" s="6"/>
      <c r="PWX89" s="6"/>
      <c r="PWY89" s="6"/>
      <c r="PWZ89" s="6"/>
      <c r="PXA89" s="6"/>
      <c r="PXB89" s="6"/>
      <c r="PXC89" s="6"/>
      <c r="PXD89" s="6"/>
      <c r="PXE89" s="6"/>
      <c r="PXF89" s="6"/>
      <c r="PXG89" s="6"/>
      <c r="PXH89" s="6"/>
      <c r="PXI89" s="6"/>
      <c r="PXJ89" s="6"/>
      <c r="PXK89" s="6"/>
      <c r="PXL89" s="6"/>
      <c r="PXM89" s="6"/>
      <c r="PXN89" s="6"/>
      <c r="PXO89" s="6"/>
      <c r="PXP89" s="6"/>
      <c r="PXQ89" s="6"/>
      <c r="PXR89" s="6"/>
      <c r="PXS89" s="6"/>
      <c r="PXT89" s="6"/>
      <c r="PXU89" s="6"/>
      <c r="PXV89" s="6"/>
      <c r="PXW89" s="6"/>
      <c r="PXX89" s="6"/>
      <c r="PXY89" s="6"/>
      <c r="PXZ89" s="6"/>
      <c r="PYA89" s="6"/>
      <c r="PYB89" s="6"/>
      <c r="PYC89" s="6"/>
      <c r="PYD89" s="6"/>
      <c r="PYE89" s="6"/>
      <c r="PYF89" s="6"/>
      <c r="PYG89" s="6"/>
      <c r="PYH89" s="6"/>
      <c r="PYI89" s="6"/>
      <c r="PYJ89" s="6"/>
      <c r="PYK89" s="6"/>
      <c r="PYL89" s="6"/>
      <c r="PYM89" s="6"/>
      <c r="PYN89" s="6"/>
      <c r="PYO89" s="6"/>
      <c r="PYP89" s="6"/>
      <c r="PYQ89" s="6"/>
      <c r="PYR89" s="6"/>
      <c r="PYS89" s="6"/>
      <c r="PYT89" s="6"/>
      <c r="PYU89" s="6"/>
      <c r="PYV89" s="6"/>
      <c r="PYW89" s="6"/>
      <c r="PYX89" s="6"/>
      <c r="PYY89" s="6"/>
      <c r="PYZ89" s="6"/>
      <c r="PZA89" s="6"/>
      <c r="PZB89" s="6"/>
      <c r="PZC89" s="6"/>
      <c r="PZD89" s="6"/>
      <c r="PZE89" s="6"/>
      <c r="PZF89" s="6"/>
      <c r="PZG89" s="6"/>
      <c r="PZH89" s="6"/>
      <c r="PZI89" s="6"/>
      <c r="PZJ89" s="6"/>
      <c r="PZK89" s="6"/>
      <c r="PZL89" s="6"/>
      <c r="PZM89" s="6"/>
      <c r="PZN89" s="6"/>
      <c r="PZO89" s="6"/>
      <c r="PZP89" s="6"/>
      <c r="PZQ89" s="6"/>
      <c r="PZR89" s="6"/>
      <c r="PZS89" s="6"/>
      <c r="PZT89" s="6"/>
      <c r="PZU89" s="6"/>
      <c r="PZV89" s="6"/>
      <c r="PZW89" s="6"/>
      <c r="PZX89" s="6"/>
      <c r="PZY89" s="6"/>
      <c r="PZZ89" s="6"/>
      <c r="QAA89" s="6"/>
      <c r="QAB89" s="6"/>
      <c r="QAC89" s="6"/>
      <c r="QAD89" s="6"/>
      <c r="QAE89" s="6"/>
      <c r="QAF89" s="6"/>
      <c r="QAG89" s="6"/>
      <c r="QAH89" s="6"/>
      <c r="QAI89" s="6"/>
      <c r="QAJ89" s="6"/>
      <c r="QAK89" s="6"/>
      <c r="QAL89" s="6"/>
      <c r="QAM89" s="6"/>
      <c r="QAN89" s="6"/>
      <c r="QAO89" s="6"/>
      <c r="QAP89" s="6"/>
      <c r="QAQ89" s="6"/>
      <c r="QAR89" s="6"/>
      <c r="QAS89" s="6"/>
      <c r="QAT89" s="6"/>
      <c r="QAU89" s="6"/>
      <c r="QAV89" s="6"/>
      <c r="QAW89" s="6"/>
      <c r="QAX89" s="6"/>
      <c r="QAY89" s="6"/>
      <c r="QAZ89" s="6"/>
      <c r="QBA89" s="6"/>
      <c r="QBB89" s="6"/>
      <c r="QBC89" s="6"/>
      <c r="QBD89" s="6"/>
      <c r="QBE89" s="6"/>
      <c r="QBF89" s="6"/>
      <c r="QBG89" s="6"/>
      <c r="QBH89" s="6"/>
      <c r="QBI89" s="6"/>
      <c r="QBJ89" s="6"/>
      <c r="QBK89" s="6"/>
      <c r="QBL89" s="6"/>
      <c r="QBM89" s="6"/>
      <c r="QBN89" s="6"/>
      <c r="QBO89" s="6"/>
      <c r="QBP89" s="6"/>
      <c r="QBQ89" s="6"/>
      <c r="QBR89" s="6"/>
      <c r="QBS89" s="6"/>
      <c r="QBT89" s="6"/>
      <c r="QBU89" s="6"/>
      <c r="QBV89" s="6"/>
      <c r="QBW89" s="6"/>
      <c r="QBX89" s="6"/>
      <c r="QBY89" s="6"/>
      <c r="QBZ89" s="6"/>
      <c r="QCA89" s="6"/>
      <c r="QCB89" s="6"/>
      <c r="QCC89" s="6"/>
      <c r="QCD89" s="6"/>
      <c r="QCE89" s="6"/>
      <c r="QCF89" s="6"/>
      <c r="QCG89" s="6"/>
      <c r="QCH89" s="6"/>
      <c r="QCI89" s="6"/>
      <c r="QCJ89" s="6"/>
      <c r="QCK89" s="6"/>
      <c r="QCL89" s="6"/>
      <c r="QCM89" s="6"/>
      <c r="QCN89" s="6"/>
      <c r="QCO89" s="6"/>
      <c r="QCP89" s="6"/>
      <c r="QCQ89" s="6"/>
      <c r="QCR89" s="6"/>
      <c r="QCS89" s="6"/>
      <c r="QCT89" s="6"/>
      <c r="QCU89" s="6"/>
      <c r="QCV89" s="6"/>
      <c r="QCW89" s="6"/>
      <c r="QCX89" s="6"/>
      <c r="QCY89" s="6"/>
      <c r="QCZ89" s="6"/>
      <c r="QDA89" s="6"/>
      <c r="QDB89" s="6"/>
      <c r="QDC89" s="6"/>
      <c r="QDD89" s="6"/>
      <c r="QDE89" s="6"/>
      <c r="QDF89" s="6"/>
      <c r="QDG89" s="6"/>
      <c r="QDH89" s="6"/>
      <c r="QDI89" s="6"/>
      <c r="QDJ89" s="6"/>
      <c r="QDK89" s="6"/>
      <c r="QDL89" s="6"/>
      <c r="QDM89" s="6"/>
      <c r="QDN89" s="6"/>
      <c r="QDO89" s="6"/>
      <c r="QDP89" s="6"/>
      <c r="QDQ89" s="6"/>
      <c r="QDR89" s="6"/>
      <c r="QDS89" s="6"/>
      <c r="QDT89" s="6"/>
      <c r="QDU89" s="6"/>
      <c r="QDV89" s="6"/>
      <c r="QDW89" s="6"/>
      <c r="QDX89" s="6"/>
      <c r="QDY89" s="6"/>
      <c r="QDZ89" s="6"/>
      <c r="QEA89" s="6"/>
      <c r="QEB89" s="6"/>
      <c r="QEC89" s="6"/>
      <c r="QED89" s="6"/>
      <c r="QEE89" s="6"/>
      <c r="QEF89" s="6"/>
      <c r="QEG89" s="6"/>
      <c r="QEH89" s="6"/>
      <c r="QEI89" s="6"/>
      <c r="QEJ89" s="6"/>
      <c r="QEK89" s="6"/>
      <c r="QEL89" s="6"/>
      <c r="QEM89" s="6"/>
      <c r="QEN89" s="6"/>
      <c r="QEO89" s="6"/>
      <c r="QEP89" s="6"/>
      <c r="QEQ89" s="6"/>
      <c r="QER89" s="6"/>
      <c r="QES89" s="6"/>
      <c r="QET89" s="6"/>
      <c r="QEU89" s="6"/>
      <c r="QEV89" s="6"/>
      <c r="QEW89" s="6"/>
      <c r="QEX89" s="6"/>
      <c r="QEY89" s="6"/>
      <c r="QEZ89" s="6"/>
      <c r="QFA89" s="6"/>
      <c r="QFB89" s="6"/>
      <c r="QFC89" s="6"/>
      <c r="QFD89" s="6"/>
      <c r="QFE89" s="6"/>
      <c r="QFF89" s="6"/>
      <c r="QFG89" s="6"/>
      <c r="QFH89" s="6"/>
      <c r="QFI89" s="6"/>
      <c r="QFJ89" s="6"/>
      <c r="QFK89" s="6"/>
      <c r="QFL89" s="6"/>
      <c r="QFM89" s="6"/>
      <c r="QFN89" s="6"/>
      <c r="QFO89" s="6"/>
      <c r="QFP89" s="6"/>
      <c r="QFQ89" s="6"/>
      <c r="QFR89" s="6"/>
      <c r="QFS89" s="6"/>
      <c r="QFT89" s="6"/>
      <c r="QFU89" s="6"/>
      <c r="QFV89" s="6"/>
      <c r="QFW89" s="6"/>
      <c r="QFX89" s="6"/>
      <c r="QFY89" s="6"/>
      <c r="QFZ89" s="6"/>
      <c r="QGA89" s="6"/>
      <c r="QGB89" s="6"/>
      <c r="QGC89" s="6"/>
      <c r="QGD89" s="6"/>
      <c r="QGE89" s="6"/>
      <c r="QGF89" s="6"/>
      <c r="QGG89" s="6"/>
      <c r="QGH89" s="6"/>
      <c r="QGI89" s="6"/>
      <c r="QGJ89" s="6"/>
      <c r="QGK89" s="6"/>
      <c r="QGL89" s="6"/>
      <c r="QGM89" s="6"/>
      <c r="QGN89" s="6"/>
      <c r="QGO89" s="6"/>
      <c r="QGP89" s="6"/>
      <c r="QGQ89" s="6"/>
      <c r="QGR89" s="6"/>
      <c r="QGS89" s="6"/>
      <c r="QGT89" s="6"/>
      <c r="QGU89" s="6"/>
      <c r="QGV89" s="6"/>
      <c r="QGW89" s="6"/>
      <c r="QGX89" s="6"/>
      <c r="QGY89" s="6"/>
      <c r="QGZ89" s="6"/>
      <c r="QHA89" s="6"/>
      <c r="QHB89" s="6"/>
      <c r="QHC89" s="6"/>
      <c r="QHD89" s="6"/>
      <c r="QHE89" s="6"/>
      <c r="QHF89" s="6"/>
      <c r="QHG89" s="6"/>
      <c r="QHH89" s="6"/>
      <c r="QHI89" s="6"/>
      <c r="QHJ89" s="6"/>
      <c r="QHK89" s="6"/>
      <c r="QHL89" s="6"/>
      <c r="QHM89" s="6"/>
      <c r="QHN89" s="6"/>
      <c r="QHO89" s="6"/>
      <c r="QHP89" s="6"/>
      <c r="QHQ89" s="6"/>
      <c r="QHR89" s="6"/>
      <c r="QHS89" s="6"/>
      <c r="QHT89" s="6"/>
      <c r="QHU89" s="6"/>
      <c r="QHV89" s="6"/>
      <c r="QHW89" s="6"/>
      <c r="QHX89" s="6"/>
      <c r="QHY89" s="6"/>
      <c r="QHZ89" s="6"/>
      <c r="QIA89" s="6"/>
      <c r="QIB89" s="6"/>
      <c r="QIC89" s="6"/>
      <c r="QID89" s="6"/>
      <c r="QIE89" s="6"/>
      <c r="QIF89" s="6"/>
      <c r="QIG89" s="6"/>
      <c r="QIH89" s="6"/>
      <c r="QII89" s="6"/>
      <c r="QIJ89" s="6"/>
      <c r="QIK89" s="6"/>
      <c r="QIL89" s="6"/>
      <c r="QIM89" s="6"/>
      <c r="QIN89" s="6"/>
      <c r="QIO89" s="6"/>
      <c r="QIP89" s="6"/>
      <c r="QIQ89" s="6"/>
      <c r="QIR89" s="6"/>
      <c r="QIS89" s="6"/>
      <c r="QIT89" s="6"/>
      <c r="QIU89" s="6"/>
      <c r="QIV89" s="6"/>
      <c r="QIW89" s="6"/>
      <c r="QIX89" s="6"/>
      <c r="QIY89" s="6"/>
      <c r="QIZ89" s="6"/>
      <c r="QJA89" s="6"/>
      <c r="QJB89" s="6"/>
      <c r="QJC89" s="6"/>
      <c r="QJD89" s="6"/>
      <c r="QJE89" s="6"/>
      <c r="QJF89" s="6"/>
      <c r="QJG89" s="6"/>
      <c r="QJH89" s="6"/>
      <c r="QJI89" s="6"/>
      <c r="QJJ89" s="6"/>
      <c r="QJK89" s="6"/>
      <c r="QJL89" s="6"/>
      <c r="QJM89" s="6"/>
      <c r="QJN89" s="6"/>
      <c r="QJO89" s="6"/>
      <c r="QJP89" s="6"/>
      <c r="QJQ89" s="6"/>
      <c r="QJR89" s="6"/>
      <c r="QJS89" s="6"/>
      <c r="QJT89" s="6"/>
      <c r="QJU89" s="6"/>
      <c r="QJV89" s="6"/>
      <c r="QJW89" s="6"/>
      <c r="QJX89" s="6"/>
      <c r="QJY89" s="6"/>
      <c r="QJZ89" s="6"/>
      <c r="QKA89" s="6"/>
      <c r="QKB89" s="6"/>
      <c r="QKC89" s="6"/>
      <c r="QKD89" s="6"/>
      <c r="QKE89" s="6"/>
      <c r="QKF89" s="6"/>
      <c r="QKG89" s="6"/>
      <c r="QKH89" s="6"/>
      <c r="QKI89" s="6"/>
      <c r="QKJ89" s="6"/>
      <c r="QKK89" s="6"/>
      <c r="QKL89" s="6"/>
      <c r="QKM89" s="6"/>
      <c r="QKN89" s="6"/>
      <c r="QKO89" s="6"/>
      <c r="QKP89" s="6"/>
      <c r="QKQ89" s="6"/>
      <c r="QKR89" s="6"/>
      <c r="QKS89" s="6"/>
      <c r="QKT89" s="6"/>
      <c r="QKU89" s="6"/>
      <c r="QKV89" s="6"/>
      <c r="QKW89" s="6"/>
      <c r="QKX89" s="6"/>
      <c r="QKY89" s="6"/>
      <c r="QKZ89" s="6"/>
      <c r="QLA89" s="6"/>
      <c r="QLB89" s="6"/>
      <c r="QLC89" s="6"/>
      <c r="QLD89" s="6"/>
      <c r="QLE89" s="6"/>
      <c r="QLF89" s="6"/>
      <c r="QLG89" s="6"/>
      <c r="QLH89" s="6"/>
      <c r="QLI89" s="6"/>
      <c r="QLJ89" s="6"/>
      <c r="QLK89" s="6"/>
      <c r="QLL89" s="6"/>
      <c r="QLM89" s="6"/>
      <c r="QLN89" s="6"/>
      <c r="QLO89" s="6"/>
      <c r="QLP89" s="6"/>
      <c r="QLQ89" s="6"/>
      <c r="QLR89" s="6"/>
      <c r="QLS89" s="6"/>
      <c r="QLT89" s="6"/>
      <c r="QLU89" s="6"/>
      <c r="QLV89" s="6"/>
      <c r="QLW89" s="6"/>
      <c r="QLX89" s="6"/>
      <c r="QLY89" s="6"/>
      <c r="QLZ89" s="6"/>
      <c r="QMA89" s="6"/>
      <c r="QMB89" s="6"/>
      <c r="QMC89" s="6"/>
      <c r="QMD89" s="6"/>
      <c r="QME89" s="6"/>
      <c r="QMF89" s="6"/>
      <c r="QMG89" s="6"/>
      <c r="QMH89" s="6"/>
      <c r="QMI89" s="6"/>
      <c r="QMJ89" s="6"/>
      <c r="QMK89" s="6"/>
      <c r="QML89" s="6"/>
      <c r="QMM89" s="6"/>
      <c r="QMN89" s="6"/>
      <c r="QMO89" s="6"/>
      <c r="QMP89" s="6"/>
      <c r="QMQ89" s="6"/>
      <c r="QMR89" s="6"/>
      <c r="QMS89" s="6"/>
      <c r="QMT89" s="6"/>
      <c r="QMU89" s="6"/>
      <c r="QMV89" s="6"/>
      <c r="QMW89" s="6"/>
      <c r="QMX89" s="6"/>
      <c r="QMY89" s="6"/>
      <c r="QMZ89" s="6"/>
      <c r="QNA89" s="6"/>
      <c r="QNB89" s="6"/>
      <c r="QNC89" s="6"/>
      <c r="QND89" s="6"/>
      <c r="QNE89" s="6"/>
      <c r="QNF89" s="6"/>
      <c r="QNG89" s="6"/>
      <c r="QNH89" s="6"/>
      <c r="QNI89" s="6"/>
      <c r="QNJ89" s="6"/>
      <c r="QNK89" s="6"/>
      <c r="QNL89" s="6"/>
      <c r="QNM89" s="6"/>
      <c r="QNN89" s="6"/>
      <c r="QNO89" s="6"/>
      <c r="QNP89" s="6"/>
      <c r="QNQ89" s="6"/>
      <c r="QNR89" s="6"/>
      <c r="QNS89" s="6"/>
      <c r="QNT89" s="6"/>
      <c r="QNU89" s="6"/>
      <c r="QNV89" s="6"/>
      <c r="QNW89" s="6"/>
      <c r="QNX89" s="6"/>
      <c r="QNY89" s="6"/>
      <c r="QNZ89" s="6"/>
      <c r="QOA89" s="6"/>
      <c r="QOB89" s="6"/>
      <c r="QOC89" s="6"/>
      <c r="QOD89" s="6"/>
      <c r="QOE89" s="6"/>
      <c r="QOF89" s="6"/>
      <c r="QOG89" s="6"/>
      <c r="QOH89" s="6"/>
      <c r="QOI89" s="6"/>
      <c r="QOJ89" s="6"/>
      <c r="QOK89" s="6"/>
      <c r="QOL89" s="6"/>
      <c r="QOM89" s="6"/>
      <c r="QON89" s="6"/>
      <c r="QOO89" s="6"/>
      <c r="QOP89" s="6"/>
      <c r="QOQ89" s="6"/>
      <c r="QOR89" s="6"/>
      <c r="QOS89" s="6"/>
      <c r="QOT89" s="6"/>
      <c r="QOU89" s="6"/>
      <c r="QOV89" s="6"/>
      <c r="QOW89" s="6"/>
      <c r="QOX89" s="6"/>
      <c r="QOY89" s="6"/>
      <c r="QOZ89" s="6"/>
      <c r="QPA89" s="6"/>
      <c r="QPB89" s="6"/>
      <c r="QPC89" s="6"/>
      <c r="QPD89" s="6"/>
      <c r="QPE89" s="6"/>
      <c r="QPF89" s="6"/>
      <c r="QPG89" s="6"/>
      <c r="QPH89" s="6"/>
      <c r="QPI89" s="6"/>
      <c r="QPJ89" s="6"/>
      <c r="QPK89" s="6"/>
      <c r="QPL89" s="6"/>
      <c r="QPM89" s="6"/>
      <c r="QPN89" s="6"/>
      <c r="QPO89" s="6"/>
      <c r="QPP89" s="6"/>
      <c r="QPQ89" s="6"/>
      <c r="QPR89" s="6"/>
      <c r="QPS89" s="6"/>
      <c r="QPT89" s="6"/>
      <c r="QPU89" s="6"/>
      <c r="QPV89" s="6"/>
      <c r="QPW89" s="6"/>
      <c r="QPX89" s="6"/>
      <c r="QPY89" s="6"/>
      <c r="QPZ89" s="6"/>
      <c r="QQA89" s="6"/>
      <c r="QQB89" s="6"/>
      <c r="QQC89" s="6"/>
      <c r="QQD89" s="6"/>
      <c r="QQE89" s="6"/>
      <c r="QQF89" s="6"/>
      <c r="QQG89" s="6"/>
      <c r="QQH89" s="6"/>
      <c r="QQI89" s="6"/>
      <c r="QQJ89" s="6"/>
      <c r="QQK89" s="6"/>
      <c r="QQL89" s="6"/>
      <c r="QQM89" s="6"/>
      <c r="QQN89" s="6"/>
      <c r="QQO89" s="6"/>
      <c r="QQP89" s="6"/>
      <c r="QQQ89" s="6"/>
      <c r="QQR89" s="6"/>
      <c r="QQS89" s="6"/>
      <c r="QQT89" s="6"/>
      <c r="QQU89" s="6"/>
      <c r="QQV89" s="6"/>
      <c r="QQW89" s="6"/>
      <c r="QQX89" s="6"/>
      <c r="QQY89" s="6"/>
      <c r="QQZ89" s="6"/>
      <c r="QRA89" s="6"/>
      <c r="QRB89" s="6"/>
      <c r="QRC89" s="6"/>
      <c r="QRD89" s="6"/>
      <c r="QRE89" s="6"/>
      <c r="QRF89" s="6"/>
      <c r="QRG89" s="6"/>
      <c r="QRH89" s="6"/>
      <c r="QRI89" s="6"/>
      <c r="QRJ89" s="6"/>
      <c r="QRK89" s="6"/>
      <c r="QRL89" s="6"/>
      <c r="QRM89" s="6"/>
      <c r="QRN89" s="6"/>
      <c r="QRO89" s="6"/>
      <c r="QRP89" s="6"/>
      <c r="QRQ89" s="6"/>
      <c r="QRR89" s="6"/>
      <c r="QRS89" s="6"/>
      <c r="QRT89" s="6"/>
      <c r="QRU89" s="6"/>
      <c r="QRV89" s="6"/>
      <c r="QRW89" s="6"/>
      <c r="QRX89" s="6"/>
      <c r="QRY89" s="6"/>
      <c r="QRZ89" s="6"/>
      <c r="QSA89" s="6"/>
      <c r="QSB89" s="6"/>
      <c r="QSC89" s="6"/>
      <c r="QSD89" s="6"/>
      <c r="QSE89" s="6"/>
      <c r="QSF89" s="6"/>
      <c r="QSG89" s="6"/>
      <c r="QSH89" s="6"/>
      <c r="QSI89" s="6"/>
      <c r="QSJ89" s="6"/>
      <c r="QSK89" s="6"/>
      <c r="QSL89" s="6"/>
      <c r="QSM89" s="6"/>
      <c r="QSN89" s="6"/>
      <c r="QSO89" s="6"/>
      <c r="QSP89" s="6"/>
      <c r="QSQ89" s="6"/>
      <c r="QSR89" s="6"/>
      <c r="QSS89" s="6"/>
      <c r="QST89" s="6"/>
      <c r="QSU89" s="6"/>
      <c r="QSV89" s="6"/>
      <c r="QSW89" s="6"/>
      <c r="QSX89" s="6"/>
      <c r="QSY89" s="6"/>
      <c r="QSZ89" s="6"/>
      <c r="QTA89" s="6"/>
      <c r="QTB89" s="6"/>
      <c r="QTC89" s="6"/>
      <c r="QTD89" s="6"/>
      <c r="QTE89" s="6"/>
      <c r="QTF89" s="6"/>
      <c r="QTG89" s="6"/>
      <c r="QTH89" s="6"/>
      <c r="QTI89" s="6"/>
      <c r="QTJ89" s="6"/>
      <c r="QTK89" s="6"/>
      <c r="QTL89" s="6"/>
      <c r="QTM89" s="6"/>
      <c r="QTN89" s="6"/>
      <c r="QTO89" s="6"/>
      <c r="QTP89" s="6"/>
      <c r="QTQ89" s="6"/>
      <c r="QTR89" s="6"/>
      <c r="QTS89" s="6"/>
      <c r="QTT89" s="6"/>
      <c r="QTU89" s="6"/>
      <c r="QTV89" s="6"/>
      <c r="QTW89" s="6"/>
      <c r="QTX89" s="6"/>
      <c r="QTY89" s="6"/>
      <c r="QTZ89" s="6"/>
      <c r="QUA89" s="6"/>
      <c r="QUB89" s="6"/>
      <c r="QUC89" s="6"/>
      <c r="QUD89" s="6"/>
      <c r="QUE89" s="6"/>
      <c r="QUF89" s="6"/>
      <c r="QUG89" s="6"/>
      <c r="QUH89" s="6"/>
      <c r="QUI89" s="6"/>
      <c r="QUJ89" s="6"/>
      <c r="QUK89" s="6"/>
      <c r="QUL89" s="6"/>
      <c r="QUM89" s="6"/>
      <c r="QUN89" s="6"/>
      <c r="QUO89" s="6"/>
      <c r="QUP89" s="6"/>
      <c r="QUQ89" s="6"/>
      <c r="QUR89" s="6"/>
      <c r="QUS89" s="6"/>
      <c r="QUT89" s="6"/>
      <c r="QUU89" s="6"/>
      <c r="QUV89" s="6"/>
      <c r="QUW89" s="6"/>
      <c r="QUX89" s="6"/>
      <c r="QUY89" s="6"/>
      <c r="QUZ89" s="6"/>
      <c r="QVA89" s="6"/>
      <c r="QVB89" s="6"/>
      <c r="QVC89" s="6"/>
      <c r="QVD89" s="6"/>
      <c r="QVE89" s="6"/>
      <c r="QVF89" s="6"/>
      <c r="QVG89" s="6"/>
      <c r="QVH89" s="6"/>
      <c r="QVI89" s="6"/>
      <c r="QVJ89" s="6"/>
      <c r="QVK89" s="6"/>
      <c r="QVL89" s="6"/>
      <c r="QVM89" s="6"/>
      <c r="QVN89" s="6"/>
      <c r="QVO89" s="6"/>
      <c r="QVP89" s="6"/>
      <c r="QVQ89" s="6"/>
      <c r="QVR89" s="6"/>
      <c r="QVS89" s="6"/>
      <c r="QVT89" s="6"/>
      <c r="QVU89" s="6"/>
      <c r="QVV89" s="6"/>
      <c r="QVW89" s="6"/>
      <c r="QVX89" s="6"/>
      <c r="QVY89" s="6"/>
      <c r="QVZ89" s="6"/>
      <c r="QWA89" s="6"/>
      <c r="QWB89" s="6"/>
      <c r="QWC89" s="6"/>
      <c r="QWD89" s="6"/>
      <c r="QWE89" s="6"/>
      <c r="QWF89" s="6"/>
      <c r="QWG89" s="6"/>
      <c r="QWH89" s="6"/>
      <c r="QWI89" s="6"/>
      <c r="QWJ89" s="6"/>
      <c r="QWK89" s="6"/>
      <c r="QWL89" s="6"/>
      <c r="QWM89" s="6"/>
      <c r="QWN89" s="6"/>
      <c r="QWO89" s="6"/>
      <c r="QWP89" s="6"/>
      <c r="QWQ89" s="6"/>
      <c r="QWR89" s="6"/>
      <c r="QWS89" s="6"/>
      <c r="QWT89" s="6"/>
      <c r="QWU89" s="6"/>
      <c r="QWV89" s="6"/>
      <c r="QWW89" s="6"/>
      <c r="QWX89" s="6"/>
      <c r="QWY89" s="6"/>
      <c r="QWZ89" s="6"/>
      <c r="QXA89" s="6"/>
      <c r="QXB89" s="6"/>
      <c r="QXC89" s="6"/>
      <c r="QXD89" s="6"/>
      <c r="QXE89" s="6"/>
      <c r="QXF89" s="6"/>
      <c r="QXG89" s="6"/>
      <c r="QXH89" s="6"/>
      <c r="QXI89" s="6"/>
      <c r="QXJ89" s="6"/>
      <c r="QXK89" s="6"/>
      <c r="QXL89" s="6"/>
      <c r="QXM89" s="6"/>
      <c r="QXN89" s="6"/>
      <c r="QXO89" s="6"/>
      <c r="QXP89" s="6"/>
      <c r="QXQ89" s="6"/>
      <c r="QXR89" s="6"/>
      <c r="QXS89" s="6"/>
      <c r="QXT89" s="6"/>
      <c r="QXU89" s="6"/>
      <c r="QXV89" s="6"/>
      <c r="QXW89" s="6"/>
      <c r="QXX89" s="6"/>
      <c r="QXY89" s="6"/>
      <c r="QXZ89" s="6"/>
      <c r="QYA89" s="6"/>
      <c r="QYB89" s="6"/>
      <c r="QYC89" s="6"/>
      <c r="QYD89" s="6"/>
      <c r="QYE89" s="6"/>
      <c r="QYF89" s="6"/>
      <c r="QYG89" s="6"/>
      <c r="QYH89" s="6"/>
      <c r="QYI89" s="6"/>
      <c r="QYJ89" s="6"/>
      <c r="QYK89" s="6"/>
      <c r="QYL89" s="6"/>
      <c r="QYM89" s="6"/>
      <c r="QYN89" s="6"/>
      <c r="QYO89" s="6"/>
      <c r="QYP89" s="6"/>
      <c r="QYQ89" s="6"/>
      <c r="QYR89" s="6"/>
      <c r="QYS89" s="6"/>
      <c r="QYT89" s="6"/>
      <c r="QYU89" s="6"/>
      <c r="QYV89" s="6"/>
      <c r="QYW89" s="6"/>
      <c r="QYX89" s="6"/>
      <c r="QYY89" s="6"/>
      <c r="QYZ89" s="6"/>
      <c r="QZA89" s="6"/>
      <c r="QZB89" s="6"/>
      <c r="QZC89" s="6"/>
      <c r="QZD89" s="6"/>
      <c r="QZE89" s="6"/>
      <c r="QZF89" s="6"/>
      <c r="QZG89" s="6"/>
      <c r="QZH89" s="6"/>
      <c r="QZI89" s="6"/>
      <c r="QZJ89" s="6"/>
      <c r="QZK89" s="6"/>
      <c r="QZL89" s="6"/>
      <c r="QZM89" s="6"/>
      <c r="QZN89" s="6"/>
      <c r="QZO89" s="6"/>
      <c r="QZP89" s="6"/>
      <c r="QZQ89" s="6"/>
      <c r="QZR89" s="6"/>
      <c r="QZS89" s="6"/>
      <c r="QZT89" s="6"/>
      <c r="QZU89" s="6"/>
      <c r="QZV89" s="6"/>
      <c r="QZW89" s="6"/>
      <c r="QZX89" s="6"/>
      <c r="QZY89" s="6"/>
      <c r="QZZ89" s="6"/>
      <c r="RAA89" s="6"/>
      <c r="RAB89" s="6"/>
      <c r="RAC89" s="6"/>
      <c r="RAD89" s="6"/>
      <c r="RAE89" s="6"/>
      <c r="RAF89" s="6"/>
      <c r="RAG89" s="6"/>
      <c r="RAH89" s="6"/>
      <c r="RAI89" s="6"/>
      <c r="RAJ89" s="6"/>
      <c r="RAK89" s="6"/>
      <c r="RAL89" s="6"/>
      <c r="RAM89" s="6"/>
      <c r="RAN89" s="6"/>
      <c r="RAO89" s="6"/>
      <c r="RAP89" s="6"/>
      <c r="RAQ89" s="6"/>
      <c r="RAR89" s="6"/>
      <c r="RAS89" s="6"/>
      <c r="RAT89" s="6"/>
      <c r="RAU89" s="6"/>
      <c r="RAV89" s="6"/>
      <c r="RAW89" s="6"/>
      <c r="RAX89" s="6"/>
      <c r="RAY89" s="6"/>
      <c r="RAZ89" s="6"/>
      <c r="RBA89" s="6"/>
      <c r="RBB89" s="6"/>
      <c r="RBC89" s="6"/>
      <c r="RBD89" s="6"/>
      <c r="RBE89" s="6"/>
      <c r="RBF89" s="6"/>
      <c r="RBG89" s="6"/>
      <c r="RBH89" s="6"/>
      <c r="RBI89" s="6"/>
      <c r="RBJ89" s="6"/>
      <c r="RBK89" s="6"/>
      <c r="RBL89" s="6"/>
      <c r="RBM89" s="6"/>
      <c r="RBN89" s="6"/>
      <c r="RBO89" s="6"/>
      <c r="RBP89" s="6"/>
      <c r="RBQ89" s="6"/>
      <c r="RBR89" s="6"/>
      <c r="RBS89" s="6"/>
      <c r="RBT89" s="6"/>
      <c r="RBU89" s="6"/>
      <c r="RBV89" s="6"/>
      <c r="RBW89" s="6"/>
      <c r="RBX89" s="6"/>
      <c r="RBY89" s="6"/>
      <c r="RBZ89" s="6"/>
      <c r="RCA89" s="6"/>
      <c r="RCB89" s="6"/>
      <c r="RCC89" s="6"/>
      <c r="RCD89" s="6"/>
      <c r="RCE89" s="6"/>
      <c r="RCF89" s="6"/>
      <c r="RCG89" s="6"/>
      <c r="RCH89" s="6"/>
      <c r="RCI89" s="6"/>
      <c r="RCJ89" s="6"/>
      <c r="RCK89" s="6"/>
      <c r="RCL89" s="6"/>
      <c r="RCM89" s="6"/>
      <c r="RCN89" s="6"/>
      <c r="RCO89" s="6"/>
      <c r="RCP89" s="6"/>
      <c r="RCQ89" s="6"/>
      <c r="RCR89" s="6"/>
      <c r="RCS89" s="6"/>
      <c r="RCT89" s="6"/>
      <c r="RCU89" s="6"/>
      <c r="RCV89" s="6"/>
      <c r="RCW89" s="6"/>
      <c r="RCX89" s="6"/>
      <c r="RCY89" s="6"/>
      <c r="RCZ89" s="6"/>
      <c r="RDA89" s="6"/>
      <c r="RDB89" s="6"/>
      <c r="RDC89" s="6"/>
      <c r="RDD89" s="6"/>
      <c r="RDE89" s="6"/>
      <c r="RDF89" s="6"/>
      <c r="RDG89" s="6"/>
      <c r="RDH89" s="6"/>
      <c r="RDI89" s="6"/>
      <c r="RDJ89" s="6"/>
      <c r="RDK89" s="6"/>
      <c r="RDL89" s="6"/>
      <c r="RDM89" s="6"/>
      <c r="RDN89" s="6"/>
      <c r="RDO89" s="6"/>
      <c r="RDP89" s="6"/>
      <c r="RDQ89" s="6"/>
      <c r="RDR89" s="6"/>
      <c r="RDS89" s="6"/>
      <c r="RDT89" s="6"/>
      <c r="RDU89" s="6"/>
      <c r="RDV89" s="6"/>
      <c r="RDW89" s="6"/>
      <c r="RDX89" s="6"/>
      <c r="RDY89" s="6"/>
      <c r="RDZ89" s="6"/>
      <c r="REA89" s="6"/>
      <c r="REB89" s="6"/>
      <c r="REC89" s="6"/>
      <c r="RED89" s="6"/>
      <c r="REE89" s="6"/>
      <c r="REF89" s="6"/>
      <c r="REG89" s="6"/>
      <c r="REH89" s="6"/>
      <c r="REI89" s="6"/>
      <c r="REJ89" s="6"/>
      <c r="REK89" s="6"/>
      <c r="REL89" s="6"/>
      <c r="REM89" s="6"/>
      <c r="REN89" s="6"/>
      <c r="REO89" s="6"/>
      <c r="REP89" s="6"/>
      <c r="REQ89" s="6"/>
      <c r="RER89" s="6"/>
      <c r="RES89" s="6"/>
      <c r="RET89" s="6"/>
      <c r="REU89" s="6"/>
      <c r="REV89" s="6"/>
      <c r="REW89" s="6"/>
      <c r="REX89" s="6"/>
      <c r="REY89" s="6"/>
      <c r="REZ89" s="6"/>
      <c r="RFA89" s="6"/>
      <c r="RFB89" s="6"/>
      <c r="RFC89" s="6"/>
      <c r="RFD89" s="6"/>
      <c r="RFE89" s="6"/>
      <c r="RFF89" s="6"/>
      <c r="RFG89" s="6"/>
      <c r="RFH89" s="6"/>
      <c r="RFI89" s="6"/>
      <c r="RFJ89" s="6"/>
      <c r="RFK89" s="6"/>
      <c r="RFL89" s="6"/>
      <c r="RFM89" s="6"/>
      <c r="RFN89" s="6"/>
      <c r="RFO89" s="6"/>
      <c r="RFP89" s="6"/>
      <c r="RFQ89" s="6"/>
      <c r="RFR89" s="6"/>
      <c r="RFS89" s="6"/>
      <c r="RFT89" s="6"/>
      <c r="RFU89" s="6"/>
      <c r="RFV89" s="6"/>
      <c r="RFW89" s="6"/>
      <c r="RFX89" s="6"/>
      <c r="RFY89" s="6"/>
      <c r="RFZ89" s="6"/>
      <c r="RGA89" s="6"/>
      <c r="RGB89" s="6"/>
      <c r="RGC89" s="6"/>
      <c r="RGD89" s="6"/>
      <c r="RGE89" s="6"/>
      <c r="RGF89" s="6"/>
      <c r="RGG89" s="6"/>
      <c r="RGH89" s="6"/>
      <c r="RGI89" s="6"/>
      <c r="RGJ89" s="6"/>
      <c r="RGK89" s="6"/>
      <c r="RGL89" s="6"/>
      <c r="RGM89" s="6"/>
      <c r="RGN89" s="6"/>
      <c r="RGO89" s="6"/>
      <c r="RGP89" s="6"/>
      <c r="RGQ89" s="6"/>
      <c r="RGR89" s="6"/>
      <c r="RGS89" s="6"/>
      <c r="RGT89" s="6"/>
      <c r="RGU89" s="6"/>
      <c r="RGV89" s="6"/>
      <c r="RGW89" s="6"/>
      <c r="RGX89" s="6"/>
      <c r="RGY89" s="6"/>
      <c r="RGZ89" s="6"/>
      <c r="RHA89" s="6"/>
      <c r="RHB89" s="6"/>
      <c r="RHC89" s="6"/>
      <c r="RHD89" s="6"/>
      <c r="RHE89" s="6"/>
      <c r="RHF89" s="6"/>
      <c r="RHG89" s="6"/>
      <c r="RHH89" s="6"/>
      <c r="RHI89" s="6"/>
      <c r="RHJ89" s="6"/>
      <c r="RHK89" s="6"/>
      <c r="RHL89" s="6"/>
      <c r="RHM89" s="6"/>
      <c r="RHN89" s="6"/>
      <c r="RHO89" s="6"/>
      <c r="RHP89" s="6"/>
      <c r="RHQ89" s="6"/>
      <c r="RHR89" s="6"/>
      <c r="RHS89" s="6"/>
      <c r="RHT89" s="6"/>
      <c r="RHU89" s="6"/>
      <c r="RHV89" s="6"/>
      <c r="RHW89" s="6"/>
      <c r="RHX89" s="6"/>
      <c r="RHY89" s="6"/>
      <c r="RHZ89" s="6"/>
      <c r="RIA89" s="6"/>
      <c r="RIB89" s="6"/>
      <c r="RIC89" s="6"/>
      <c r="RID89" s="6"/>
      <c r="RIE89" s="6"/>
      <c r="RIF89" s="6"/>
      <c r="RIG89" s="6"/>
      <c r="RIH89" s="6"/>
      <c r="RII89" s="6"/>
      <c r="RIJ89" s="6"/>
      <c r="RIK89" s="6"/>
      <c r="RIL89" s="6"/>
      <c r="RIM89" s="6"/>
      <c r="RIN89" s="6"/>
      <c r="RIO89" s="6"/>
      <c r="RIP89" s="6"/>
      <c r="RIQ89" s="6"/>
      <c r="RIR89" s="6"/>
      <c r="RIS89" s="6"/>
      <c r="RIT89" s="6"/>
      <c r="RIU89" s="6"/>
      <c r="RIV89" s="6"/>
      <c r="RIW89" s="6"/>
      <c r="RIX89" s="6"/>
      <c r="RIY89" s="6"/>
      <c r="RIZ89" s="6"/>
      <c r="RJA89" s="6"/>
      <c r="RJB89" s="6"/>
      <c r="RJC89" s="6"/>
      <c r="RJD89" s="6"/>
      <c r="RJE89" s="6"/>
      <c r="RJF89" s="6"/>
      <c r="RJG89" s="6"/>
      <c r="RJH89" s="6"/>
      <c r="RJI89" s="6"/>
      <c r="RJJ89" s="6"/>
      <c r="RJK89" s="6"/>
      <c r="RJL89" s="6"/>
      <c r="RJM89" s="6"/>
      <c r="RJN89" s="6"/>
      <c r="RJO89" s="6"/>
      <c r="RJP89" s="6"/>
      <c r="RJQ89" s="6"/>
      <c r="RJR89" s="6"/>
      <c r="RJS89" s="6"/>
      <c r="RJT89" s="6"/>
      <c r="RJU89" s="6"/>
      <c r="RJV89" s="6"/>
      <c r="RJW89" s="6"/>
      <c r="RJX89" s="6"/>
      <c r="RJY89" s="6"/>
      <c r="RJZ89" s="6"/>
      <c r="RKA89" s="6"/>
      <c r="RKB89" s="6"/>
      <c r="RKC89" s="6"/>
      <c r="RKD89" s="6"/>
      <c r="RKE89" s="6"/>
      <c r="RKF89" s="6"/>
      <c r="RKG89" s="6"/>
      <c r="RKH89" s="6"/>
      <c r="RKI89" s="6"/>
      <c r="RKJ89" s="6"/>
      <c r="RKK89" s="6"/>
      <c r="RKL89" s="6"/>
      <c r="RKM89" s="6"/>
      <c r="RKN89" s="6"/>
      <c r="RKO89" s="6"/>
      <c r="RKP89" s="6"/>
      <c r="RKQ89" s="6"/>
      <c r="RKR89" s="6"/>
      <c r="RKS89" s="6"/>
      <c r="RKT89" s="6"/>
      <c r="RKU89" s="6"/>
      <c r="RKV89" s="6"/>
      <c r="RKW89" s="6"/>
      <c r="RKX89" s="6"/>
      <c r="RKY89" s="6"/>
      <c r="RKZ89" s="6"/>
      <c r="RLA89" s="6"/>
      <c r="RLB89" s="6"/>
      <c r="RLC89" s="6"/>
      <c r="RLD89" s="6"/>
      <c r="RLE89" s="6"/>
      <c r="RLF89" s="6"/>
      <c r="RLG89" s="6"/>
      <c r="RLH89" s="6"/>
      <c r="RLI89" s="6"/>
      <c r="RLJ89" s="6"/>
      <c r="RLK89" s="6"/>
      <c r="RLL89" s="6"/>
      <c r="RLM89" s="6"/>
      <c r="RLN89" s="6"/>
      <c r="RLO89" s="6"/>
      <c r="RLP89" s="6"/>
      <c r="RLQ89" s="6"/>
      <c r="RLR89" s="6"/>
      <c r="RLS89" s="6"/>
      <c r="RLT89" s="6"/>
      <c r="RLU89" s="6"/>
      <c r="RLV89" s="6"/>
      <c r="RLW89" s="6"/>
      <c r="RLX89" s="6"/>
      <c r="RLY89" s="6"/>
      <c r="RLZ89" s="6"/>
      <c r="RMA89" s="6"/>
      <c r="RMB89" s="6"/>
      <c r="RMC89" s="6"/>
      <c r="RMD89" s="6"/>
      <c r="RME89" s="6"/>
      <c r="RMF89" s="6"/>
      <c r="RMG89" s="6"/>
      <c r="RMH89" s="6"/>
      <c r="RMI89" s="6"/>
      <c r="RMJ89" s="6"/>
      <c r="RMK89" s="6"/>
      <c r="RML89" s="6"/>
      <c r="RMM89" s="6"/>
      <c r="RMN89" s="6"/>
      <c r="RMO89" s="6"/>
      <c r="RMP89" s="6"/>
      <c r="RMQ89" s="6"/>
      <c r="RMR89" s="6"/>
      <c r="RMS89" s="6"/>
      <c r="RMT89" s="6"/>
      <c r="RMU89" s="6"/>
      <c r="RMV89" s="6"/>
      <c r="RMW89" s="6"/>
      <c r="RMX89" s="6"/>
      <c r="RMY89" s="6"/>
      <c r="RMZ89" s="6"/>
      <c r="RNA89" s="6"/>
      <c r="RNB89" s="6"/>
      <c r="RNC89" s="6"/>
      <c r="RND89" s="6"/>
      <c r="RNE89" s="6"/>
      <c r="RNF89" s="6"/>
      <c r="RNG89" s="6"/>
      <c r="RNH89" s="6"/>
      <c r="RNI89" s="6"/>
      <c r="RNJ89" s="6"/>
      <c r="RNK89" s="6"/>
      <c r="RNL89" s="6"/>
      <c r="RNM89" s="6"/>
      <c r="RNN89" s="6"/>
      <c r="RNO89" s="6"/>
      <c r="RNP89" s="6"/>
      <c r="RNQ89" s="6"/>
      <c r="RNR89" s="6"/>
      <c r="RNS89" s="6"/>
      <c r="RNT89" s="6"/>
      <c r="RNU89" s="6"/>
      <c r="RNV89" s="6"/>
      <c r="RNW89" s="6"/>
      <c r="RNX89" s="6"/>
      <c r="RNY89" s="6"/>
      <c r="RNZ89" s="6"/>
      <c r="ROA89" s="6"/>
      <c r="ROB89" s="6"/>
      <c r="ROC89" s="6"/>
      <c r="ROD89" s="6"/>
      <c r="ROE89" s="6"/>
      <c r="ROF89" s="6"/>
      <c r="ROG89" s="6"/>
      <c r="ROH89" s="6"/>
      <c r="ROI89" s="6"/>
      <c r="ROJ89" s="6"/>
      <c r="ROK89" s="6"/>
      <c r="ROL89" s="6"/>
      <c r="ROM89" s="6"/>
      <c r="RON89" s="6"/>
      <c r="ROO89" s="6"/>
      <c r="ROP89" s="6"/>
      <c r="ROQ89" s="6"/>
      <c r="ROR89" s="6"/>
      <c r="ROS89" s="6"/>
      <c r="ROT89" s="6"/>
      <c r="ROU89" s="6"/>
      <c r="ROV89" s="6"/>
      <c r="ROW89" s="6"/>
      <c r="ROX89" s="6"/>
      <c r="ROY89" s="6"/>
      <c r="ROZ89" s="6"/>
      <c r="RPA89" s="6"/>
      <c r="RPB89" s="6"/>
      <c r="RPC89" s="6"/>
      <c r="RPD89" s="6"/>
      <c r="RPE89" s="6"/>
      <c r="RPF89" s="6"/>
      <c r="RPG89" s="6"/>
      <c r="RPH89" s="6"/>
      <c r="RPI89" s="6"/>
      <c r="RPJ89" s="6"/>
      <c r="RPK89" s="6"/>
      <c r="RPL89" s="6"/>
      <c r="RPM89" s="6"/>
      <c r="RPN89" s="6"/>
      <c r="RPO89" s="6"/>
      <c r="RPP89" s="6"/>
      <c r="RPQ89" s="6"/>
      <c r="RPR89" s="6"/>
      <c r="RPS89" s="6"/>
      <c r="RPT89" s="6"/>
      <c r="RPU89" s="6"/>
      <c r="RPV89" s="6"/>
      <c r="RPW89" s="6"/>
      <c r="RPX89" s="6"/>
      <c r="RPY89" s="6"/>
      <c r="RPZ89" s="6"/>
      <c r="RQA89" s="6"/>
      <c r="RQB89" s="6"/>
      <c r="RQC89" s="6"/>
      <c r="RQD89" s="6"/>
      <c r="RQE89" s="6"/>
      <c r="RQF89" s="6"/>
      <c r="RQG89" s="6"/>
      <c r="RQH89" s="6"/>
      <c r="RQI89" s="6"/>
      <c r="RQJ89" s="6"/>
      <c r="RQK89" s="6"/>
      <c r="RQL89" s="6"/>
      <c r="RQM89" s="6"/>
      <c r="RQN89" s="6"/>
      <c r="RQO89" s="6"/>
      <c r="RQP89" s="6"/>
      <c r="RQQ89" s="6"/>
      <c r="RQR89" s="6"/>
      <c r="RQS89" s="6"/>
      <c r="RQT89" s="6"/>
      <c r="RQU89" s="6"/>
      <c r="RQV89" s="6"/>
      <c r="RQW89" s="6"/>
      <c r="RQX89" s="6"/>
      <c r="RQY89" s="6"/>
      <c r="RQZ89" s="6"/>
      <c r="RRA89" s="6"/>
      <c r="RRB89" s="6"/>
      <c r="RRC89" s="6"/>
      <c r="RRD89" s="6"/>
      <c r="RRE89" s="6"/>
      <c r="RRF89" s="6"/>
      <c r="RRG89" s="6"/>
      <c r="RRH89" s="6"/>
      <c r="RRI89" s="6"/>
      <c r="RRJ89" s="6"/>
      <c r="RRK89" s="6"/>
      <c r="RRL89" s="6"/>
      <c r="RRM89" s="6"/>
      <c r="RRN89" s="6"/>
      <c r="RRO89" s="6"/>
      <c r="RRP89" s="6"/>
      <c r="RRQ89" s="6"/>
      <c r="RRR89" s="6"/>
      <c r="RRS89" s="6"/>
      <c r="RRT89" s="6"/>
      <c r="RRU89" s="6"/>
      <c r="RRV89" s="6"/>
      <c r="RRW89" s="6"/>
      <c r="RRX89" s="6"/>
      <c r="RRY89" s="6"/>
      <c r="RRZ89" s="6"/>
      <c r="RSA89" s="6"/>
      <c r="RSB89" s="6"/>
      <c r="RSC89" s="6"/>
      <c r="RSD89" s="6"/>
      <c r="RSE89" s="6"/>
      <c r="RSF89" s="6"/>
      <c r="RSG89" s="6"/>
      <c r="RSH89" s="6"/>
      <c r="RSI89" s="6"/>
      <c r="RSJ89" s="6"/>
      <c r="RSK89" s="6"/>
      <c r="RSL89" s="6"/>
      <c r="RSM89" s="6"/>
      <c r="RSN89" s="6"/>
      <c r="RSO89" s="6"/>
      <c r="RSP89" s="6"/>
      <c r="RSQ89" s="6"/>
      <c r="RSR89" s="6"/>
      <c r="RSS89" s="6"/>
      <c r="RST89" s="6"/>
      <c r="RSU89" s="6"/>
      <c r="RSV89" s="6"/>
      <c r="RSW89" s="6"/>
      <c r="RSX89" s="6"/>
      <c r="RSY89" s="6"/>
      <c r="RSZ89" s="6"/>
      <c r="RTA89" s="6"/>
      <c r="RTB89" s="6"/>
      <c r="RTC89" s="6"/>
      <c r="RTD89" s="6"/>
      <c r="RTE89" s="6"/>
      <c r="RTF89" s="6"/>
      <c r="RTG89" s="6"/>
      <c r="RTH89" s="6"/>
      <c r="RTI89" s="6"/>
      <c r="RTJ89" s="6"/>
      <c r="RTK89" s="6"/>
      <c r="RTL89" s="6"/>
      <c r="RTM89" s="6"/>
      <c r="RTN89" s="6"/>
      <c r="RTO89" s="6"/>
      <c r="RTP89" s="6"/>
      <c r="RTQ89" s="6"/>
      <c r="RTR89" s="6"/>
      <c r="RTS89" s="6"/>
      <c r="RTT89" s="6"/>
      <c r="RTU89" s="6"/>
      <c r="RTV89" s="6"/>
      <c r="RTW89" s="6"/>
      <c r="RTX89" s="6"/>
      <c r="RTY89" s="6"/>
      <c r="RTZ89" s="6"/>
      <c r="RUA89" s="6"/>
      <c r="RUB89" s="6"/>
      <c r="RUC89" s="6"/>
      <c r="RUD89" s="6"/>
      <c r="RUE89" s="6"/>
      <c r="RUF89" s="6"/>
      <c r="RUG89" s="6"/>
      <c r="RUH89" s="6"/>
      <c r="RUI89" s="6"/>
      <c r="RUJ89" s="6"/>
      <c r="RUK89" s="6"/>
      <c r="RUL89" s="6"/>
      <c r="RUM89" s="6"/>
      <c r="RUN89" s="6"/>
      <c r="RUO89" s="6"/>
      <c r="RUP89" s="6"/>
      <c r="RUQ89" s="6"/>
      <c r="RUR89" s="6"/>
      <c r="RUS89" s="6"/>
      <c r="RUT89" s="6"/>
      <c r="RUU89" s="6"/>
      <c r="RUV89" s="6"/>
      <c r="RUW89" s="6"/>
      <c r="RUX89" s="6"/>
      <c r="RUY89" s="6"/>
      <c r="RUZ89" s="6"/>
      <c r="RVA89" s="6"/>
      <c r="RVB89" s="6"/>
      <c r="RVC89" s="6"/>
      <c r="RVD89" s="6"/>
      <c r="RVE89" s="6"/>
      <c r="RVF89" s="6"/>
      <c r="RVG89" s="6"/>
      <c r="RVH89" s="6"/>
      <c r="RVI89" s="6"/>
      <c r="RVJ89" s="6"/>
      <c r="RVK89" s="6"/>
      <c r="RVL89" s="6"/>
      <c r="RVM89" s="6"/>
      <c r="RVN89" s="6"/>
      <c r="RVO89" s="6"/>
      <c r="RVP89" s="6"/>
      <c r="RVQ89" s="6"/>
      <c r="RVR89" s="6"/>
      <c r="RVS89" s="6"/>
      <c r="RVT89" s="6"/>
      <c r="RVU89" s="6"/>
      <c r="RVV89" s="6"/>
      <c r="RVW89" s="6"/>
      <c r="RVX89" s="6"/>
      <c r="RVY89" s="6"/>
      <c r="RVZ89" s="6"/>
      <c r="RWA89" s="6"/>
      <c r="RWB89" s="6"/>
      <c r="RWC89" s="6"/>
      <c r="RWD89" s="6"/>
      <c r="RWE89" s="6"/>
      <c r="RWF89" s="6"/>
      <c r="RWG89" s="6"/>
      <c r="RWH89" s="6"/>
      <c r="RWI89" s="6"/>
      <c r="RWJ89" s="6"/>
      <c r="RWK89" s="6"/>
      <c r="RWL89" s="6"/>
      <c r="RWM89" s="6"/>
      <c r="RWN89" s="6"/>
      <c r="RWO89" s="6"/>
      <c r="RWP89" s="6"/>
      <c r="RWQ89" s="6"/>
      <c r="RWR89" s="6"/>
      <c r="RWS89" s="6"/>
      <c r="RWT89" s="6"/>
      <c r="RWU89" s="6"/>
      <c r="RWV89" s="6"/>
      <c r="RWW89" s="6"/>
      <c r="RWX89" s="6"/>
      <c r="RWY89" s="6"/>
      <c r="RWZ89" s="6"/>
      <c r="RXA89" s="6"/>
      <c r="RXB89" s="6"/>
      <c r="RXC89" s="6"/>
      <c r="RXD89" s="6"/>
      <c r="RXE89" s="6"/>
      <c r="RXF89" s="6"/>
      <c r="RXG89" s="6"/>
      <c r="RXH89" s="6"/>
      <c r="RXI89" s="6"/>
      <c r="RXJ89" s="6"/>
      <c r="RXK89" s="6"/>
      <c r="RXL89" s="6"/>
      <c r="RXM89" s="6"/>
      <c r="RXN89" s="6"/>
      <c r="RXO89" s="6"/>
      <c r="RXP89" s="6"/>
      <c r="RXQ89" s="6"/>
      <c r="RXR89" s="6"/>
      <c r="RXS89" s="6"/>
      <c r="RXT89" s="6"/>
      <c r="RXU89" s="6"/>
      <c r="RXV89" s="6"/>
      <c r="RXW89" s="6"/>
      <c r="RXX89" s="6"/>
      <c r="RXY89" s="6"/>
      <c r="RXZ89" s="6"/>
      <c r="RYA89" s="6"/>
      <c r="RYB89" s="6"/>
      <c r="RYC89" s="6"/>
      <c r="RYD89" s="6"/>
      <c r="RYE89" s="6"/>
      <c r="RYF89" s="6"/>
      <c r="RYG89" s="6"/>
      <c r="RYH89" s="6"/>
      <c r="RYI89" s="6"/>
      <c r="RYJ89" s="6"/>
      <c r="RYK89" s="6"/>
      <c r="RYL89" s="6"/>
      <c r="RYM89" s="6"/>
      <c r="RYN89" s="6"/>
      <c r="RYO89" s="6"/>
      <c r="RYP89" s="6"/>
      <c r="RYQ89" s="6"/>
      <c r="RYR89" s="6"/>
      <c r="RYS89" s="6"/>
      <c r="RYT89" s="6"/>
      <c r="RYU89" s="6"/>
      <c r="RYV89" s="6"/>
      <c r="RYW89" s="6"/>
      <c r="RYX89" s="6"/>
      <c r="RYY89" s="6"/>
      <c r="RYZ89" s="6"/>
      <c r="RZA89" s="6"/>
      <c r="RZB89" s="6"/>
      <c r="RZC89" s="6"/>
      <c r="RZD89" s="6"/>
      <c r="RZE89" s="6"/>
      <c r="RZF89" s="6"/>
      <c r="RZG89" s="6"/>
      <c r="RZH89" s="6"/>
      <c r="RZI89" s="6"/>
      <c r="RZJ89" s="6"/>
      <c r="RZK89" s="6"/>
      <c r="RZL89" s="6"/>
      <c r="RZM89" s="6"/>
      <c r="RZN89" s="6"/>
      <c r="RZO89" s="6"/>
      <c r="RZP89" s="6"/>
      <c r="RZQ89" s="6"/>
      <c r="RZR89" s="6"/>
      <c r="RZS89" s="6"/>
      <c r="RZT89" s="6"/>
      <c r="RZU89" s="6"/>
      <c r="RZV89" s="6"/>
      <c r="RZW89" s="6"/>
      <c r="RZX89" s="6"/>
      <c r="RZY89" s="6"/>
      <c r="RZZ89" s="6"/>
      <c r="SAA89" s="6"/>
      <c r="SAB89" s="6"/>
      <c r="SAC89" s="6"/>
      <c r="SAD89" s="6"/>
      <c r="SAE89" s="6"/>
      <c r="SAF89" s="6"/>
      <c r="SAG89" s="6"/>
      <c r="SAH89" s="6"/>
      <c r="SAI89" s="6"/>
      <c r="SAJ89" s="6"/>
      <c r="SAK89" s="6"/>
      <c r="SAL89" s="6"/>
      <c r="SAM89" s="6"/>
      <c r="SAN89" s="6"/>
      <c r="SAO89" s="6"/>
      <c r="SAP89" s="6"/>
      <c r="SAQ89" s="6"/>
      <c r="SAR89" s="6"/>
      <c r="SAS89" s="6"/>
      <c r="SAT89" s="6"/>
      <c r="SAU89" s="6"/>
      <c r="SAV89" s="6"/>
      <c r="SAW89" s="6"/>
      <c r="SAX89" s="6"/>
      <c r="SAY89" s="6"/>
      <c r="SAZ89" s="6"/>
      <c r="SBA89" s="6"/>
      <c r="SBB89" s="6"/>
      <c r="SBC89" s="6"/>
      <c r="SBD89" s="6"/>
      <c r="SBE89" s="6"/>
      <c r="SBF89" s="6"/>
      <c r="SBG89" s="6"/>
      <c r="SBH89" s="6"/>
      <c r="SBI89" s="6"/>
      <c r="SBJ89" s="6"/>
      <c r="SBK89" s="6"/>
      <c r="SBL89" s="6"/>
      <c r="SBM89" s="6"/>
      <c r="SBN89" s="6"/>
      <c r="SBO89" s="6"/>
      <c r="SBP89" s="6"/>
      <c r="SBQ89" s="6"/>
      <c r="SBR89" s="6"/>
      <c r="SBS89" s="6"/>
      <c r="SBT89" s="6"/>
      <c r="SBU89" s="6"/>
      <c r="SBV89" s="6"/>
      <c r="SBW89" s="6"/>
      <c r="SBX89" s="6"/>
      <c r="SBY89" s="6"/>
      <c r="SBZ89" s="6"/>
      <c r="SCA89" s="6"/>
      <c r="SCB89" s="6"/>
      <c r="SCC89" s="6"/>
      <c r="SCD89" s="6"/>
      <c r="SCE89" s="6"/>
      <c r="SCF89" s="6"/>
      <c r="SCG89" s="6"/>
      <c r="SCH89" s="6"/>
      <c r="SCI89" s="6"/>
      <c r="SCJ89" s="6"/>
      <c r="SCK89" s="6"/>
      <c r="SCL89" s="6"/>
      <c r="SCM89" s="6"/>
      <c r="SCN89" s="6"/>
      <c r="SCO89" s="6"/>
      <c r="SCP89" s="6"/>
      <c r="SCQ89" s="6"/>
      <c r="SCR89" s="6"/>
      <c r="SCS89" s="6"/>
      <c r="SCT89" s="6"/>
      <c r="SCU89" s="6"/>
      <c r="SCV89" s="6"/>
      <c r="SCW89" s="6"/>
      <c r="SCX89" s="6"/>
      <c r="SCY89" s="6"/>
      <c r="SCZ89" s="6"/>
      <c r="SDA89" s="6"/>
      <c r="SDB89" s="6"/>
      <c r="SDC89" s="6"/>
      <c r="SDD89" s="6"/>
      <c r="SDE89" s="6"/>
      <c r="SDF89" s="6"/>
      <c r="SDG89" s="6"/>
      <c r="SDH89" s="6"/>
      <c r="SDI89" s="6"/>
      <c r="SDJ89" s="6"/>
      <c r="SDK89" s="6"/>
      <c r="SDL89" s="6"/>
      <c r="SDM89" s="6"/>
      <c r="SDN89" s="6"/>
      <c r="SDO89" s="6"/>
      <c r="SDP89" s="6"/>
      <c r="SDQ89" s="6"/>
      <c r="SDR89" s="6"/>
      <c r="SDS89" s="6"/>
      <c r="SDT89" s="6"/>
      <c r="SDU89" s="6"/>
      <c r="SDV89" s="6"/>
      <c r="SDW89" s="6"/>
      <c r="SDX89" s="6"/>
      <c r="SDY89" s="6"/>
      <c r="SDZ89" s="6"/>
      <c r="SEA89" s="6"/>
      <c r="SEB89" s="6"/>
      <c r="SEC89" s="6"/>
      <c r="SED89" s="6"/>
      <c r="SEE89" s="6"/>
      <c r="SEF89" s="6"/>
      <c r="SEG89" s="6"/>
      <c r="SEH89" s="6"/>
      <c r="SEI89" s="6"/>
      <c r="SEJ89" s="6"/>
      <c r="SEK89" s="6"/>
      <c r="SEL89" s="6"/>
      <c r="SEM89" s="6"/>
      <c r="SEN89" s="6"/>
      <c r="SEO89" s="6"/>
      <c r="SEP89" s="6"/>
      <c r="SEQ89" s="6"/>
      <c r="SER89" s="6"/>
      <c r="SES89" s="6"/>
      <c r="SET89" s="6"/>
      <c r="SEU89" s="6"/>
      <c r="SEV89" s="6"/>
      <c r="SEW89" s="6"/>
      <c r="SEX89" s="6"/>
      <c r="SEY89" s="6"/>
      <c r="SEZ89" s="6"/>
      <c r="SFA89" s="6"/>
      <c r="SFB89" s="6"/>
      <c r="SFC89" s="6"/>
      <c r="SFD89" s="6"/>
      <c r="SFE89" s="6"/>
      <c r="SFF89" s="6"/>
      <c r="SFG89" s="6"/>
      <c r="SFH89" s="6"/>
      <c r="SFI89" s="6"/>
      <c r="SFJ89" s="6"/>
      <c r="SFK89" s="6"/>
      <c r="SFL89" s="6"/>
      <c r="SFM89" s="6"/>
      <c r="SFN89" s="6"/>
      <c r="SFO89" s="6"/>
      <c r="SFP89" s="6"/>
      <c r="SFQ89" s="6"/>
      <c r="SFR89" s="6"/>
      <c r="SFS89" s="6"/>
      <c r="SFT89" s="6"/>
      <c r="SFU89" s="6"/>
      <c r="SFV89" s="6"/>
      <c r="SFW89" s="6"/>
      <c r="SFX89" s="6"/>
      <c r="SFY89" s="6"/>
      <c r="SFZ89" s="6"/>
      <c r="SGA89" s="6"/>
      <c r="SGB89" s="6"/>
      <c r="SGC89" s="6"/>
      <c r="SGD89" s="6"/>
      <c r="SGE89" s="6"/>
      <c r="SGF89" s="6"/>
      <c r="SGG89" s="6"/>
      <c r="SGH89" s="6"/>
      <c r="SGI89" s="6"/>
      <c r="SGJ89" s="6"/>
      <c r="SGK89" s="6"/>
      <c r="SGL89" s="6"/>
      <c r="SGM89" s="6"/>
      <c r="SGN89" s="6"/>
      <c r="SGO89" s="6"/>
      <c r="SGP89" s="6"/>
      <c r="SGQ89" s="6"/>
      <c r="SGR89" s="6"/>
      <c r="SGS89" s="6"/>
      <c r="SGT89" s="6"/>
      <c r="SGU89" s="6"/>
      <c r="SGV89" s="6"/>
      <c r="SGW89" s="6"/>
      <c r="SGX89" s="6"/>
      <c r="SGY89" s="6"/>
      <c r="SGZ89" s="6"/>
      <c r="SHA89" s="6"/>
      <c r="SHB89" s="6"/>
      <c r="SHC89" s="6"/>
      <c r="SHD89" s="6"/>
      <c r="SHE89" s="6"/>
      <c r="SHF89" s="6"/>
      <c r="SHG89" s="6"/>
      <c r="SHH89" s="6"/>
      <c r="SHI89" s="6"/>
      <c r="SHJ89" s="6"/>
      <c r="SHK89" s="6"/>
      <c r="SHL89" s="6"/>
      <c r="SHM89" s="6"/>
      <c r="SHN89" s="6"/>
      <c r="SHO89" s="6"/>
      <c r="SHP89" s="6"/>
      <c r="SHQ89" s="6"/>
      <c r="SHR89" s="6"/>
      <c r="SHS89" s="6"/>
      <c r="SHT89" s="6"/>
      <c r="SHU89" s="6"/>
      <c r="SHV89" s="6"/>
      <c r="SHW89" s="6"/>
      <c r="SHX89" s="6"/>
      <c r="SHY89" s="6"/>
      <c r="SHZ89" s="6"/>
      <c r="SIA89" s="6"/>
      <c r="SIB89" s="6"/>
      <c r="SIC89" s="6"/>
      <c r="SID89" s="6"/>
      <c r="SIE89" s="6"/>
      <c r="SIF89" s="6"/>
      <c r="SIG89" s="6"/>
      <c r="SIH89" s="6"/>
      <c r="SII89" s="6"/>
      <c r="SIJ89" s="6"/>
      <c r="SIK89" s="6"/>
      <c r="SIL89" s="6"/>
      <c r="SIM89" s="6"/>
      <c r="SIN89" s="6"/>
      <c r="SIO89" s="6"/>
      <c r="SIP89" s="6"/>
      <c r="SIQ89" s="6"/>
      <c r="SIR89" s="6"/>
      <c r="SIS89" s="6"/>
      <c r="SIT89" s="6"/>
      <c r="SIU89" s="6"/>
      <c r="SIV89" s="6"/>
      <c r="SIW89" s="6"/>
      <c r="SIX89" s="6"/>
      <c r="SIY89" s="6"/>
      <c r="SIZ89" s="6"/>
      <c r="SJA89" s="6"/>
      <c r="SJB89" s="6"/>
      <c r="SJC89" s="6"/>
      <c r="SJD89" s="6"/>
      <c r="SJE89" s="6"/>
      <c r="SJF89" s="6"/>
      <c r="SJG89" s="6"/>
      <c r="SJH89" s="6"/>
      <c r="SJI89" s="6"/>
      <c r="SJJ89" s="6"/>
      <c r="SJK89" s="6"/>
      <c r="SJL89" s="6"/>
      <c r="SJM89" s="6"/>
      <c r="SJN89" s="6"/>
      <c r="SJO89" s="6"/>
      <c r="SJP89" s="6"/>
      <c r="SJQ89" s="6"/>
      <c r="SJR89" s="6"/>
      <c r="SJS89" s="6"/>
      <c r="SJT89" s="6"/>
      <c r="SJU89" s="6"/>
      <c r="SJV89" s="6"/>
      <c r="SJW89" s="6"/>
      <c r="SJX89" s="6"/>
      <c r="SJY89" s="6"/>
      <c r="SJZ89" s="6"/>
      <c r="SKA89" s="6"/>
      <c r="SKB89" s="6"/>
      <c r="SKC89" s="6"/>
      <c r="SKD89" s="6"/>
      <c r="SKE89" s="6"/>
      <c r="SKF89" s="6"/>
      <c r="SKG89" s="6"/>
      <c r="SKH89" s="6"/>
      <c r="SKI89" s="6"/>
      <c r="SKJ89" s="6"/>
      <c r="SKK89" s="6"/>
      <c r="SKL89" s="6"/>
      <c r="SKM89" s="6"/>
      <c r="SKN89" s="6"/>
      <c r="SKO89" s="6"/>
      <c r="SKP89" s="6"/>
      <c r="SKQ89" s="6"/>
      <c r="SKR89" s="6"/>
      <c r="SKS89" s="6"/>
      <c r="SKT89" s="6"/>
      <c r="SKU89" s="6"/>
      <c r="SKV89" s="6"/>
      <c r="SKW89" s="6"/>
      <c r="SKX89" s="6"/>
      <c r="SKY89" s="6"/>
      <c r="SKZ89" s="6"/>
      <c r="SLA89" s="6"/>
      <c r="SLB89" s="6"/>
      <c r="SLC89" s="6"/>
      <c r="SLD89" s="6"/>
      <c r="SLE89" s="6"/>
      <c r="SLF89" s="6"/>
      <c r="SLG89" s="6"/>
      <c r="SLH89" s="6"/>
      <c r="SLI89" s="6"/>
      <c r="SLJ89" s="6"/>
      <c r="SLK89" s="6"/>
      <c r="SLL89" s="6"/>
      <c r="SLM89" s="6"/>
      <c r="SLN89" s="6"/>
      <c r="SLO89" s="6"/>
      <c r="SLP89" s="6"/>
      <c r="SLQ89" s="6"/>
      <c r="SLR89" s="6"/>
      <c r="SLS89" s="6"/>
      <c r="SLT89" s="6"/>
      <c r="SLU89" s="6"/>
      <c r="SLV89" s="6"/>
      <c r="SLW89" s="6"/>
      <c r="SLX89" s="6"/>
      <c r="SLY89" s="6"/>
      <c r="SLZ89" s="6"/>
      <c r="SMA89" s="6"/>
      <c r="SMB89" s="6"/>
      <c r="SMC89" s="6"/>
      <c r="SMD89" s="6"/>
      <c r="SME89" s="6"/>
      <c r="SMF89" s="6"/>
      <c r="SMG89" s="6"/>
      <c r="SMH89" s="6"/>
      <c r="SMI89" s="6"/>
      <c r="SMJ89" s="6"/>
      <c r="SMK89" s="6"/>
      <c r="SML89" s="6"/>
      <c r="SMM89" s="6"/>
      <c r="SMN89" s="6"/>
      <c r="SMO89" s="6"/>
      <c r="SMP89" s="6"/>
      <c r="SMQ89" s="6"/>
      <c r="SMR89" s="6"/>
      <c r="SMS89" s="6"/>
      <c r="SMT89" s="6"/>
      <c r="SMU89" s="6"/>
      <c r="SMV89" s="6"/>
      <c r="SMW89" s="6"/>
      <c r="SMX89" s="6"/>
      <c r="SMY89" s="6"/>
      <c r="SMZ89" s="6"/>
      <c r="SNA89" s="6"/>
      <c r="SNB89" s="6"/>
      <c r="SNC89" s="6"/>
      <c r="SND89" s="6"/>
      <c r="SNE89" s="6"/>
      <c r="SNF89" s="6"/>
      <c r="SNG89" s="6"/>
      <c r="SNH89" s="6"/>
      <c r="SNI89" s="6"/>
      <c r="SNJ89" s="6"/>
      <c r="SNK89" s="6"/>
      <c r="SNL89" s="6"/>
      <c r="SNM89" s="6"/>
      <c r="SNN89" s="6"/>
      <c r="SNO89" s="6"/>
      <c r="SNP89" s="6"/>
      <c r="SNQ89" s="6"/>
      <c r="SNR89" s="6"/>
      <c r="SNS89" s="6"/>
      <c r="SNT89" s="6"/>
      <c r="SNU89" s="6"/>
      <c r="SNV89" s="6"/>
      <c r="SNW89" s="6"/>
      <c r="SNX89" s="6"/>
      <c r="SNY89" s="6"/>
      <c r="SNZ89" s="6"/>
      <c r="SOA89" s="6"/>
      <c r="SOB89" s="6"/>
      <c r="SOC89" s="6"/>
      <c r="SOD89" s="6"/>
      <c r="SOE89" s="6"/>
      <c r="SOF89" s="6"/>
      <c r="SOG89" s="6"/>
      <c r="SOH89" s="6"/>
      <c r="SOI89" s="6"/>
      <c r="SOJ89" s="6"/>
      <c r="SOK89" s="6"/>
      <c r="SOL89" s="6"/>
      <c r="SOM89" s="6"/>
      <c r="SON89" s="6"/>
      <c r="SOO89" s="6"/>
      <c r="SOP89" s="6"/>
      <c r="SOQ89" s="6"/>
      <c r="SOR89" s="6"/>
      <c r="SOS89" s="6"/>
      <c r="SOT89" s="6"/>
      <c r="SOU89" s="6"/>
      <c r="SOV89" s="6"/>
      <c r="SOW89" s="6"/>
      <c r="SOX89" s="6"/>
      <c r="SOY89" s="6"/>
      <c r="SOZ89" s="6"/>
      <c r="SPA89" s="6"/>
      <c r="SPB89" s="6"/>
      <c r="SPC89" s="6"/>
      <c r="SPD89" s="6"/>
      <c r="SPE89" s="6"/>
      <c r="SPF89" s="6"/>
      <c r="SPG89" s="6"/>
      <c r="SPH89" s="6"/>
      <c r="SPI89" s="6"/>
      <c r="SPJ89" s="6"/>
      <c r="SPK89" s="6"/>
      <c r="SPL89" s="6"/>
      <c r="SPM89" s="6"/>
      <c r="SPN89" s="6"/>
      <c r="SPO89" s="6"/>
      <c r="SPP89" s="6"/>
      <c r="SPQ89" s="6"/>
      <c r="SPR89" s="6"/>
      <c r="SPS89" s="6"/>
      <c r="SPT89" s="6"/>
      <c r="SPU89" s="6"/>
      <c r="SPV89" s="6"/>
      <c r="SPW89" s="6"/>
      <c r="SPX89" s="6"/>
      <c r="SPY89" s="6"/>
      <c r="SPZ89" s="6"/>
      <c r="SQA89" s="6"/>
      <c r="SQB89" s="6"/>
      <c r="SQC89" s="6"/>
      <c r="SQD89" s="6"/>
      <c r="SQE89" s="6"/>
      <c r="SQF89" s="6"/>
      <c r="SQG89" s="6"/>
      <c r="SQH89" s="6"/>
      <c r="SQI89" s="6"/>
      <c r="SQJ89" s="6"/>
      <c r="SQK89" s="6"/>
      <c r="SQL89" s="6"/>
      <c r="SQM89" s="6"/>
      <c r="SQN89" s="6"/>
      <c r="SQO89" s="6"/>
      <c r="SQP89" s="6"/>
      <c r="SQQ89" s="6"/>
      <c r="SQR89" s="6"/>
      <c r="SQS89" s="6"/>
      <c r="SQT89" s="6"/>
      <c r="SQU89" s="6"/>
      <c r="SQV89" s="6"/>
      <c r="SQW89" s="6"/>
      <c r="SQX89" s="6"/>
      <c r="SQY89" s="6"/>
      <c r="SQZ89" s="6"/>
      <c r="SRA89" s="6"/>
      <c r="SRB89" s="6"/>
      <c r="SRC89" s="6"/>
      <c r="SRD89" s="6"/>
      <c r="SRE89" s="6"/>
      <c r="SRF89" s="6"/>
      <c r="SRG89" s="6"/>
      <c r="SRH89" s="6"/>
      <c r="SRI89" s="6"/>
      <c r="SRJ89" s="6"/>
      <c r="SRK89" s="6"/>
      <c r="SRL89" s="6"/>
      <c r="SRM89" s="6"/>
      <c r="SRN89" s="6"/>
      <c r="SRO89" s="6"/>
      <c r="SRP89" s="6"/>
      <c r="SRQ89" s="6"/>
      <c r="SRR89" s="6"/>
      <c r="SRS89" s="6"/>
      <c r="SRT89" s="6"/>
      <c r="SRU89" s="6"/>
      <c r="SRV89" s="6"/>
      <c r="SRW89" s="6"/>
      <c r="SRX89" s="6"/>
      <c r="SRY89" s="6"/>
      <c r="SRZ89" s="6"/>
      <c r="SSA89" s="6"/>
      <c r="SSB89" s="6"/>
      <c r="SSC89" s="6"/>
      <c r="SSD89" s="6"/>
      <c r="SSE89" s="6"/>
      <c r="SSF89" s="6"/>
      <c r="SSG89" s="6"/>
      <c r="SSH89" s="6"/>
      <c r="SSI89" s="6"/>
      <c r="SSJ89" s="6"/>
      <c r="SSK89" s="6"/>
      <c r="SSL89" s="6"/>
      <c r="SSM89" s="6"/>
      <c r="SSN89" s="6"/>
      <c r="SSO89" s="6"/>
      <c r="SSP89" s="6"/>
      <c r="SSQ89" s="6"/>
      <c r="SSR89" s="6"/>
      <c r="SSS89" s="6"/>
      <c r="SST89" s="6"/>
      <c r="SSU89" s="6"/>
      <c r="SSV89" s="6"/>
      <c r="SSW89" s="6"/>
      <c r="SSX89" s="6"/>
      <c r="SSY89" s="6"/>
      <c r="SSZ89" s="6"/>
      <c r="STA89" s="6"/>
      <c r="STB89" s="6"/>
      <c r="STC89" s="6"/>
      <c r="STD89" s="6"/>
      <c r="STE89" s="6"/>
      <c r="STF89" s="6"/>
      <c r="STG89" s="6"/>
      <c r="STH89" s="6"/>
      <c r="STI89" s="6"/>
      <c r="STJ89" s="6"/>
      <c r="STK89" s="6"/>
      <c r="STL89" s="6"/>
      <c r="STM89" s="6"/>
      <c r="STN89" s="6"/>
      <c r="STO89" s="6"/>
      <c r="STP89" s="6"/>
      <c r="STQ89" s="6"/>
      <c r="STR89" s="6"/>
      <c r="STS89" s="6"/>
      <c r="STT89" s="6"/>
      <c r="STU89" s="6"/>
      <c r="STV89" s="6"/>
      <c r="STW89" s="6"/>
      <c r="STX89" s="6"/>
      <c r="STY89" s="6"/>
      <c r="STZ89" s="6"/>
      <c r="SUA89" s="6"/>
      <c r="SUB89" s="6"/>
      <c r="SUC89" s="6"/>
      <c r="SUD89" s="6"/>
      <c r="SUE89" s="6"/>
      <c r="SUF89" s="6"/>
      <c r="SUG89" s="6"/>
      <c r="SUH89" s="6"/>
      <c r="SUI89" s="6"/>
      <c r="SUJ89" s="6"/>
      <c r="SUK89" s="6"/>
      <c r="SUL89" s="6"/>
      <c r="SUM89" s="6"/>
      <c r="SUN89" s="6"/>
      <c r="SUO89" s="6"/>
      <c r="SUP89" s="6"/>
      <c r="SUQ89" s="6"/>
      <c r="SUR89" s="6"/>
      <c r="SUS89" s="6"/>
      <c r="SUT89" s="6"/>
      <c r="SUU89" s="6"/>
      <c r="SUV89" s="6"/>
      <c r="SUW89" s="6"/>
      <c r="SUX89" s="6"/>
      <c r="SUY89" s="6"/>
      <c r="SUZ89" s="6"/>
      <c r="SVA89" s="6"/>
      <c r="SVB89" s="6"/>
      <c r="SVC89" s="6"/>
      <c r="SVD89" s="6"/>
      <c r="SVE89" s="6"/>
      <c r="SVF89" s="6"/>
      <c r="SVG89" s="6"/>
      <c r="SVH89" s="6"/>
      <c r="SVI89" s="6"/>
      <c r="SVJ89" s="6"/>
      <c r="SVK89" s="6"/>
      <c r="SVL89" s="6"/>
      <c r="SVM89" s="6"/>
      <c r="SVN89" s="6"/>
      <c r="SVO89" s="6"/>
      <c r="SVP89" s="6"/>
      <c r="SVQ89" s="6"/>
      <c r="SVR89" s="6"/>
      <c r="SVS89" s="6"/>
      <c r="SVT89" s="6"/>
      <c r="SVU89" s="6"/>
      <c r="SVV89" s="6"/>
      <c r="SVW89" s="6"/>
      <c r="SVX89" s="6"/>
      <c r="SVY89" s="6"/>
      <c r="SVZ89" s="6"/>
      <c r="SWA89" s="6"/>
      <c r="SWB89" s="6"/>
      <c r="SWC89" s="6"/>
      <c r="SWD89" s="6"/>
      <c r="SWE89" s="6"/>
      <c r="SWF89" s="6"/>
      <c r="SWG89" s="6"/>
      <c r="SWH89" s="6"/>
      <c r="SWI89" s="6"/>
      <c r="SWJ89" s="6"/>
      <c r="SWK89" s="6"/>
      <c r="SWL89" s="6"/>
      <c r="SWM89" s="6"/>
      <c r="SWN89" s="6"/>
      <c r="SWO89" s="6"/>
      <c r="SWP89" s="6"/>
      <c r="SWQ89" s="6"/>
      <c r="SWR89" s="6"/>
      <c r="SWS89" s="6"/>
      <c r="SWT89" s="6"/>
      <c r="SWU89" s="6"/>
      <c r="SWV89" s="6"/>
      <c r="SWW89" s="6"/>
      <c r="SWX89" s="6"/>
      <c r="SWY89" s="6"/>
      <c r="SWZ89" s="6"/>
      <c r="SXA89" s="6"/>
      <c r="SXB89" s="6"/>
      <c r="SXC89" s="6"/>
      <c r="SXD89" s="6"/>
      <c r="SXE89" s="6"/>
      <c r="SXF89" s="6"/>
      <c r="SXG89" s="6"/>
      <c r="SXH89" s="6"/>
      <c r="SXI89" s="6"/>
      <c r="SXJ89" s="6"/>
      <c r="SXK89" s="6"/>
      <c r="SXL89" s="6"/>
      <c r="SXM89" s="6"/>
      <c r="SXN89" s="6"/>
      <c r="SXO89" s="6"/>
      <c r="SXP89" s="6"/>
      <c r="SXQ89" s="6"/>
      <c r="SXR89" s="6"/>
      <c r="SXS89" s="6"/>
      <c r="SXT89" s="6"/>
      <c r="SXU89" s="6"/>
      <c r="SXV89" s="6"/>
      <c r="SXW89" s="6"/>
      <c r="SXX89" s="6"/>
      <c r="SXY89" s="6"/>
      <c r="SXZ89" s="6"/>
      <c r="SYA89" s="6"/>
      <c r="SYB89" s="6"/>
      <c r="SYC89" s="6"/>
      <c r="SYD89" s="6"/>
      <c r="SYE89" s="6"/>
      <c r="SYF89" s="6"/>
      <c r="SYG89" s="6"/>
      <c r="SYH89" s="6"/>
      <c r="SYI89" s="6"/>
      <c r="SYJ89" s="6"/>
      <c r="SYK89" s="6"/>
      <c r="SYL89" s="6"/>
      <c r="SYM89" s="6"/>
      <c r="SYN89" s="6"/>
      <c r="SYO89" s="6"/>
      <c r="SYP89" s="6"/>
      <c r="SYQ89" s="6"/>
      <c r="SYR89" s="6"/>
      <c r="SYS89" s="6"/>
      <c r="SYT89" s="6"/>
      <c r="SYU89" s="6"/>
      <c r="SYV89" s="6"/>
      <c r="SYW89" s="6"/>
      <c r="SYX89" s="6"/>
      <c r="SYY89" s="6"/>
      <c r="SYZ89" s="6"/>
      <c r="SZA89" s="6"/>
      <c r="SZB89" s="6"/>
      <c r="SZC89" s="6"/>
      <c r="SZD89" s="6"/>
      <c r="SZE89" s="6"/>
      <c r="SZF89" s="6"/>
      <c r="SZG89" s="6"/>
      <c r="SZH89" s="6"/>
      <c r="SZI89" s="6"/>
      <c r="SZJ89" s="6"/>
      <c r="SZK89" s="6"/>
      <c r="SZL89" s="6"/>
      <c r="SZM89" s="6"/>
      <c r="SZN89" s="6"/>
      <c r="SZO89" s="6"/>
      <c r="SZP89" s="6"/>
      <c r="SZQ89" s="6"/>
      <c r="SZR89" s="6"/>
      <c r="SZS89" s="6"/>
      <c r="SZT89" s="6"/>
      <c r="SZU89" s="6"/>
      <c r="SZV89" s="6"/>
      <c r="SZW89" s="6"/>
      <c r="SZX89" s="6"/>
      <c r="SZY89" s="6"/>
      <c r="SZZ89" s="6"/>
      <c r="TAA89" s="6"/>
      <c r="TAB89" s="6"/>
      <c r="TAC89" s="6"/>
      <c r="TAD89" s="6"/>
      <c r="TAE89" s="6"/>
      <c r="TAF89" s="6"/>
      <c r="TAG89" s="6"/>
      <c r="TAH89" s="6"/>
      <c r="TAI89" s="6"/>
      <c r="TAJ89" s="6"/>
      <c r="TAK89" s="6"/>
      <c r="TAL89" s="6"/>
      <c r="TAM89" s="6"/>
      <c r="TAN89" s="6"/>
      <c r="TAO89" s="6"/>
      <c r="TAP89" s="6"/>
      <c r="TAQ89" s="6"/>
      <c r="TAR89" s="6"/>
      <c r="TAS89" s="6"/>
      <c r="TAT89" s="6"/>
      <c r="TAU89" s="6"/>
      <c r="TAV89" s="6"/>
      <c r="TAW89" s="6"/>
      <c r="TAX89" s="6"/>
      <c r="TAY89" s="6"/>
      <c r="TAZ89" s="6"/>
      <c r="TBA89" s="6"/>
      <c r="TBB89" s="6"/>
      <c r="TBC89" s="6"/>
      <c r="TBD89" s="6"/>
      <c r="TBE89" s="6"/>
      <c r="TBF89" s="6"/>
      <c r="TBG89" s="6"/>
      <c r="TBH89" s="6"/>
      <c r="TBI89" s="6"/>
      <c r="TBJ89" s="6"/>
      <c r="TBK89" s="6"/>
      <c r="TBL89" s="6"/>
      <c r="TBM89" s="6"/>
      <c r="TBN89" s="6"/>
      <c r="TBO89" s="6"/>
      <c r="TBP89" s="6"/>
      <c r="TBQ89" s="6"/>
      <c r="TBR89" s="6"/>
      <c r="TBS89" s="6"/>
      <c r="TBT89" s="6"/>
      <c r="TBU89" s="6"/>
      <c r="TBV89" s="6"/>
      <c r="TBW89" s="6"/>
      <c r="TBX89" s="6"/>
      <c r="TBY89" s="6"/>
      <c r="TBZ89" s="6"/>
      <c r="TCA89" s="6"/>
      <c r="TCB89" s="6"/>
      <c r="TCC89" s="6"/>
      <c r="TCD89" s="6"/>
      <c r="TCE89" s="6"/>
      <c r="TCF89" s="6"/>
      <c r="TCG89" s="6"/>
      <c r="TCH89" s="6"/>
      <c r="TCI89" s="6"/>
      <c r="TCJ89" s="6"/>
      <c r="TCK89" s="6"/>
      <c r="TCL89" s="6"/>
      <c r="TCM89" s="6"/>
      <c r="TCN89" s="6"/>
      <c r="TCO89" s="6"/>
      <c r="TCP89" s="6"/>
      <c r="TCQ89" s="6"/>
      <c r="TCR89" s="6"/>
      <c r="TCS89" s="6"/>
      <c r="TCT89" s="6"/>
      <c r="TCU89" s="6"/>
      <c r="TCV89" s="6"/>
      <c r="TCW89" s="6"/>
      <c r="TCX89" s="6"/>
      <c r="TCY89" s="6"/>
      <c r="TCZ89" s="6"/>
      <c r="TDA89" s="6"/>
      <c r="TDB89" s="6"/>
      <c r="TDC89" s="6"/>
      <c r="TDD89" s="6"/>
      <c r="TDE89" s="6"/>
      <c r="TDF89" s="6"/>
      <c r="TDG89" s="6"/>
      <c r="TDH89" s="6"/>
      <c r="TDI89" s="6"/>
      <c r="TDJ89" s="6"/>
      <c r="TDK89" s="6"/>
      <c r="TDL89" s="6"/>
      <c r="TDM89" s="6"/>
      <c r="TDN89" s="6"/>
      <c r="TDO89" s="6"/>
      <c r="TDP89" s="6"/>
      <c r="TDQ89" s="6"/>
      <c r="TDR89" s="6"/>
      <c r="TDS89" s="6"/>
      <c r="TDT89" s="6"/>
      <c r="TDU89" s="6"/>
      <c r="TDV89" s="6"/>
      <c r="TDW89" s="6"/>
      <c r="TDX89" s="6"/>
      <c r="TDY89" s="6"/>
      <c r="TDZ89" s="6"/>
      <c r="TEA89" s="6"/>
      <c r="TEB89" s="6"/>
      <c r="TEC89" s="6"/>
      <c r="TED89" s="6"/>
      <c r="TEE89" s="6"/>
      <c r="TEF89" s="6"/>
      <c r="TEG89" s="6"/>
      <c r="TEH89" s="6"/>
      <c r="TEI89" s="6"/>
      <c r="TEJ89" s="6"/>
      <c r="TEK89" s="6"/>
      <c r="TEL89" s="6"/>
      <c r="TEM89" s="6"/>
      <c r="TEN89" s="6"/>
      <c r="TEO89" s="6"/>
      <c r="TEP89" s="6"/>
      <c r="TEQ89" s="6"/>
      <c r="TER89" s="6"/>
      <c r="TES89" s="6"/>
      <c r="TET89" s="6"/>
      <c r="TEU89" s="6"/>
      <c r="TEV89" s="6"/>
      <c r="TEW89" s="6"/>
      <c r="TEX89" s="6"/>
      <c r="TEY89" s="6"/>
      <c r="TEZ89" s="6"/>
      <c r="TFA89" s="6"/>
      <c r="TFB89" s="6"/>
      <c r="TFC89" s="6"/>
      <c r="TFD89" s="6"/>
      <c r="TFE89" s="6"/>
      <c r="TFF89" s="6"/>
      <c r="TFG89" s="6"/>
      <c r="TFH89" s="6"/>
      <c r="TFI89" s="6"/>
      <c r="TFJ89" s="6"/>
      <c r="TFK89" s="6"/>
      <c r="TFL89" s="6"/>
      <c r="TFM89" s="6"/>
      <c r="TFN89" s="6"/>
      <c r="TFO89" s="6"/>
      <c r="TFP89" s="6"/>
      <c r="TFQ89" s="6"/>
      <c r="TFR89" s="6"/>
      <c r="TFS89" s="6"/>
      <c r="TFT89" s="6"/>
      <c r="TFU89" s="6"/>
      <c r="TFV89" s="6"/>
      <c r="TFW89" s="6"/>
      <c r="TFX89" s="6"/>
      <c r="TFY89" s="6"/>
      <c r="TFZ89" s="6"/>
      <c r="TGA89" s="6"/>
      <c r="TGB89" s="6"/>
      <c r="TGC89" s="6"/>
      <c r="TGD89" s="6"/>
      <c r="TGE89" s="6"/>
      <c r="TGF89" s="6"/>
      <c r="TGG89" s="6"/>
      <c r="TGH89" s="6"/>
      <c r="TGI89" s="6"/>
      <c r="TGJ89" s="6"/>
      <c r="TGK89" s="6"/>
      <c r="TGL89" s="6"/>
      <c r="TGM89" s="6"/>
      <c r="TGN89" s="6"/>
      <c r="TGO89" s="6"/>
      <c r="TGP89" s="6"/>
      <c r="TGQ89" s="6"/>
      <c r="TGR89" s="6"/>
      <c r="TGS89" s="6"/>
      <c r="TGT89" s="6"/>
      <c r="TGU89" s="6"/>
      <c r="TGV89" s="6"/>
      <c r="TGW89" s="6"/>
      <c r="TGX89" s="6"/>
      <c r="TGY89" s="6"/>
      <c r="TGZ89" s="6"/>
      <c r="THA89" s="6"/>
      <c r="THB89" s="6"/>
      <c r="THC89" s="6"/>
      <c r="THD89" s="6"/>
      <c r="THE89" s="6"/>
      <c r="THF89" s="6"/>
      <c r="THG89" s="6"/>
      <c r="THH89" s="6"/>
      <c r="THI89" s="6"/>
      <c r="THJ89" s="6"/>
      <c r="THK89" s="6"/>
      <c r="THL89" s="6"/>
      <c r="THM89" s="6"/>
      <c r="THN89" s="6"/>
      <c r="THO89" s="6"/>
      <c r="THP89" s="6"/>
      <c r="THQ89" s="6"/>
      <c r="THR89" s="6"/>
      <c r="THS89" s="6"/>
      <c r="THT89" s="6"/>
      <c r="THU89" s="6"/>
      <c r="THV89" s="6"/>
      <c r="THW89" s="6"/>
      <c r="THX89" s="6"/>
      <c r="THY89" s="6"/>
      <c r="THZ89" s="6"/>
      <c r="TIA89" s="6"/>
      <c r="TIB89" s="6"/>
      <c r="TIC89" s="6"/>
      <c r="TID89" s="6"/>
      <c r="TIE89" s="6"/>
      <c r="TIF89" s="6"/>
      <c r="TIG89" s="6"/>
      <c r="TIH89" s="6"/>
      <c r="TII89" s="6"/>
      <c r="TIJ89" s="6"/>
      <c r="TIK89" s="6"/>
      <c r="TIL89" s="6"/>
      <c r="TIM89" s="6"/>
      <c r="TIN89" s="6"/>
      <c r="TIO89" s="6"/>
      <c r="TIP89" s="6"/>
      <c r="TIQ89" s="6"/>
      <c r="TIR89" s="6"/>
      <c r="TIS89" s="6"/>
      <c r="TIT89" s="6"/>
      <c r="TIU89" s="6"/>
      <c r="TIV89" s="6"/>
      <c r="TIW89" s="6"/>
      <c r="TIX89" s="6"/>
      <c r="TIY89" s="6"/>
      <c r="TIZ89" s="6"/>
      <c r="TJA89" s="6"/>
      <c r="TJB89" s="6"/>
      <c r="TJC89" s="6"/>
      <c r="TJD89" s="6"/>
      <c r="TJE89" s="6"/>
      <c r="TJF89" s="6"/>
      <c r="TJG89" s="6"/>
      <c r="TJH89" s="6"/>
      <c r="TJI89" s="6"/>
      <c r="TJJ89" s="6"/>
      <c r="TJK89" s="6"/>
      <c r="TJL89" s="6"/>
      <c r="TJM89" s="6"/>
      <c r="TJN89" s="6"/>
      <c r="TJO89" s="6"/>
      <c r="TJP89" s="6"/>
      <c r="TJQ89" s="6"/>
      <c r="TJR89" s="6"/>
      <c r="TJS89" s="6"/>
      <c r="TJT89" s="6"/>
      <c r="TJU89" s="6"/>
      <c r="TJV89" s="6"/>
      <c r="TJW89" s="6"/>
      <c r="TJX89" s="6"/>
      <c r="TJY89" s="6"/>
      <c r="TJZ89" s="6"/>
      <c r="TKA89" s="6"/>
      <c r="TKB89" s="6"/>
      <c r="TKC89" s="6"/>
      <c r="TKD89" s="6"/>
      <c r="TKE89" s="6"/>
      <c r="TKF89" s="6"/>
      <c r="TKG89" s="6"/>
      <c r="TKH89" s="6"/>
      <c r="TKI89" s="6"/>
      <c r="TKJ89" s="6"/>
      <c r="TKK89" s="6"/>
      <c r="TKL89" s="6"/>
      <c r="TKM89" s="6"/>
      <c r="TKN89" s="6"/>
      <c r="TKO89" s="6"/>
      <c r="TKP89" s="6"/>
      <c r="TKQ89" s="6"/>
      <c r="TKR89" s="6"/>
      <c r="TKS89" s="6"/>
      <c r="TKT89" s="6"/>
      <c r="TKU89" s="6"/>
      <c r="TKV89" s="6"/>
      <c r="TKW89" s="6"/>
      <c r="TKX89" s="6"/>
      <c r="TKY89" s="6"/>
      <c r="TKZ89" s="6"/>
      <c r="TLA89" s="6"/>
      <c r="TLB89" s="6"/>
      <c r="TLC89" s="6"/>
      <c r="TLD89" s="6"/>
      <c r="TLE89" s="6"/>
      <c r="TLF89" s="6"/>
      <c r="TLG89" s="6"/>
      <c r="TLH89" s="6"/>
      <c r="TLI89" s="6"/>
      <c r="TLJ89" s="6"/>
      <c r="TLK89" s="6"/>
      <c r="TLL89" s="6"/>
      <c r="TLM89" s="6"/>
      <c r="TLN89" s="6"/>
      <c r="TLO89" s="6"/>
      <c r="TLP89" s="6"/>
      <c r="TLQ89" s="6"/>
      <c r="TLR89" s="6"/>
      <c r="TLS89" s="6"/>
      <c r="TLT89" s="6"/>
      <c r="TLU89" s="6"/>
      <c r="TLV89" s="6"/>
      <c r="TLW89" s="6"/>
      <c r="TLX89" s="6"/>
      <c r="TLY89" s="6"/>
      <c r="TLZ89" s="6"/>
      <c r="TMA89" s="6"/>
      <c r="TMB89" s="6"/>
      <c r="TMC89" s="6"/>
      <c r="TMD89" s="6"/>
      <c r="TME89" s="6"/>
      <c r="TMF89" s="6"/>
      <c r="TMG89" s="6"/>
      <c r="TMH89" s="6"/>
      <c r="TMI89" s="6"/>
      <c r="TMJ89" s="6"/>
      <c r="TMK89" s="6"/>
      <c r="TML89" s="6"/>
      <c r="TMM89" s="6"/>
      <c r="TMN89" s="6"/>
      <c r="TMO89" s="6"/>
      <c r="TMP89" s="6"/>
      <c r="TMQ89" s="6"/>
      <c r="TMR89" s="6"/>
      <c r="TMS89" s="6"/>
      <c r="TMT89" s="6"/>
      <c r="TMU89" s="6"/>
      <c r="TMV89" s="6"/>
      <c r="TMW89" s="6"/>
      <c r="TMX89" s="6"/>
      <c r="TMY89" s="6"/>
      <c r="TMZ89" s="6"/>
      <c r="TNA89" s="6"/>
      <c r="TNB89" s="6"/>
      <c r="TNC89" s="6"/>
      <c r="TND89" s="6"/>
      <c r="TNE89" s="6"/>
      <c r="TNF89" s="6"/>
      <c r="TNG89" s="6"/>
      <c r="TNH89" s="6"/>
      <c r="TNI89" s="6"/>
      <c r="TNJ89" s="6"/>
      <c r="TNK89" s="6"/>
      <c r="TNL89" s="6"/>
      <c r="TNM89" s="6"/>
      <c r="TNN89" s="6"/>
      <c r="TNO89" s="6"/>
      <c r="TNP89" s="6"/>
      <c r="TNQ89" s="6"/>
      <c r="TNR89" s="6"/>
      <c r="TNS89" s="6"/>
      <c r="TNT89" s="6"/>
      <c r="TNU89" s="6"/>
      <c r="TNV89" s="6"/>
      <c r="TNW89" s="6"/>
      <c r="TNX89" s="6"/>
      <c r="TNY89" s="6"/>
      <c r="TNZ89" s="6"/>
      <c r="TOA89" s="6"/>
      <c r="TOB89" s="6"/>
      <c r="TOC89" s="6"/>
      <c r="TOD89" s="6"/>
      <c r="TOE89" s="6"/>
      <c r="TOF89" s="6"/>
      <c r="TOG89" s="6"/>
      <c r="TOH89" s="6"/>
      <c r="TOI89" s="6"/>
      <c r="TOJ89" s="6"/>
      <c r="TOK89" s="6"/>
      <c r="TOL89" s="6"/>
      <c r="TOM89" s="6"/>
      <c r="TON89" s="6"/>
      <c r="TOO89" s="6"/>
      <c r="TOP89" s="6"/>
      <c r="TOQ89" s="6"/>
      <c r="TOR89" s="6"/>
      <c r="TOS89" s="6"/>
      <c r="TOT89" s="6"/>
      <c r="TOU89" s="6"/>
      <c r="TOV89" s="6"/>
      <c r="TOW89" s="6"/>
      <c r="TOX89" s="6"/>
      <c r="TOY89" s="6"/>
      <c r="TOZ89" s="6"/>
      <c r="TPA89" s="6"/>
      <c r="TPB89" s="6"/>
      <c r="TPC89" s="6"/>
      <c r="TPD89" s="6"/>
      <c r="TPE89" s="6"/>
      <c r="TPF89" s="6"/>
      <c r="TPG89" s="6"/>
      <c r="TPH89" s="6"/>
      <c r="TPI89" s="6"/>
      <c r="TPJ89" s="6"/>
      <c r="TPK89" s="6"/>
      <c r="TPL89" s="6"/>
      <c r="TPM89" s="6"/>
      <c r="TPN89" s="6"/>
      <c r="TPO89" s="6"/>
      <c r="TPP89" s="6"/>
      <c r="TPQ89" s="6"/>
      <c r="TPR89" s="6"/>
      <c r="TPS89" s="6"/>
      <c r="TPT89" s="6"/>
      <c r="TPU89" s="6"/>
      <c r="TPV89" s="6"/>
      <c r="TPW89" s="6"/>
      <c r="TPX89" s="6"/>
      <c r="TPY89" s="6"/>
      <c r="TPZ89" s="6"/>
      <c r="TQA89" s="6"/>
      <c r="TQB89" s="6"/>
      <c r="TQC89" s="6"/>
      <c r="TQD89" s="6"/>
      <c r="TQE89" s="6"/>
      <c r="TQF89" s="6"/>
      <c r="TQG89" s="6"/>
      <c r="TQH89" s="6"/>
      <c r="TQI89" s="6"/>
      <c r="TQJ89" s="6"/>
      <c r="TQK89" s="6"/>
      <c r="TQL89" s="6"/>
      <c r="TQM89" s="6"/>
      <c r="TQN89" s="6"/>
      <c r="TQO89" s="6"/>
      <c r="TQP89" s="6"/>
      <c r="TQQ89" s="6"/>
      <c r="TQR89" s="6"/>
      <c r="TQS89" s="6"/>
      <c r="TQT89" s="6"/>
      <c r="TQU89" s="6"/>
      <c r="TQV89" s="6"/>
      <c r="TQW89" s="6"/>
      <c r="TQX89" s="6"/>
      <c r="TQY89" s="6"/>
      <c r="TQZ89" s="6"/>
      <c r="TRA89" s="6"/>
      <c r="TRB89" s="6"/>
      <c r="TRC89" s="6"/>
      <c r="TRD89" s="6"/>
      <c r="TRE89" s="6"/>
      <c r="TRF89" s="6"/>
      <c r="TRG89" s="6"/>
      <c r="TRH89" s="6"/>
      <c r="TRI89" s="6"/>
      <c r="TRJ89" s="6"/>
      <c r="TRK89" s="6"/>
      <c r="TRL89" s="6"/>
      <c r="TRM89" s="6"/>
      <c r="TRN89" s="6"/>
      <c r="TRO89" s="6"/>
      <c r="TRP89" s="6"/>
      <c r="TRQ89" s="6"/>
      <c r="TRR89" s="6"/>
      <c r="TRS89" s="6"/>
      <c r="TRT89" s="6"/>
      <c r="TRU89" s="6"/>
      <c r="TRV89" s="6"/>
      <c r="TRW89" s="6"/>
      <c r="TRX89" s="6"/>
      <c r="TRY89" s="6"/>
      <c r="TRZ89" s="6"/>
      <c r="TSA89" s="6"/>
      <c r="TSB89" s="6"/>
      <c r="TSC89" s="6"/>
      <c r="TSD89" s="6"/>
      <c r="TSE89" s="6"/>
      <c r="TSF89" s="6"/>
      <c r="TSG89" s="6"/>
      <c r="TSH89" s="6"/>
      <c r="TSI89" s="6"/>
      <c r="TSJ89" s="6"/>
      <c r="TSK89" s="6"/>
      <c r="TSL89" s="6"/>
      <c r="TSM89" s="6"/>
      <c r="TSN89" s="6"/>
      <c r="TSO89" s="6"/>
      <c r="TSP89" s="6"/>
      <c r="TSQ89" s="6"/>
      <c r="TSR89" s="6"/>
      <c r="TSS89" s="6"/>
      <c r="TST89" s="6"/>
      <c r="TSU89" s="6"/>
      <c r="TSV89" s="6"/>
      <c r="TSW89" s="6"/>
      <c r="TSX89" s="6"/>
      <c r="TSY89" s="6"/>
      <c r="TSZ89" s="6"/>
      <c r="TTA89" s="6"/>
      <c r="TTB89" s="6"/>
      <c r="TTC89" s="6"/>
      <c r="TTD89" s="6"/>
      <c r="TTE89" s="6"/>
      <c r="TTF89" s="6"/>
      <c r="TTG89" s="6"/>
      <c r="TTH89" s="6"/>
      <c r="TTI89" s="6"/>
      <c r="TTJ89" s="6"/>
      <c r="TTK89" s="6"/>
      <c r="TTL89" s="6"/>
      <c r="TTM89" s="6"/>
      <c r="TTN89" s="6"/>
      <c r="TTO89" s="6"/>
      <c r="TTP89" s="6"/>
      <c r="TTQ89" s="6"/>
      <c r="TTR89" s="6"/>
      <c r="TTS89" s="6"/>
      <c r="TTT89" s="6"/>
      <c r="TTU89" s="6"/>
      <c r="TTV89" s="6"/>
      <c r="TTW89" s="6"/>
      <c r="TTX89" s="6"/>
      <c r="TTY89" s="6"/>
      <c r="TTZ89" s="6"/>
      <c r="TUA89" s="6"/>
      <c r="TUB89" s="6"/>
      <c r="TUC89" s="6"/>
      <c r="TUD89" s="6"/>
      <c r="TUE89" s="6"/>
      <c r="TUF89" s="6"/>
      <c r="TUG89" s="6"/>
      <c r="TUH89" s="6"/>
      <c r="TUI89" s="6"/>
      <c r="TUJ89" s="6"/>
      <c r="TUK89" s="6"/>
      <c r="TUL89" s="6"/>
      <c r="TUM89" s="6"/>
      <c r="TUN89" s="6"/>
      <c r="TUO89" s="6"/>
      <c r="TUP89" s="6"/>
      <c r="TUQ89" s="6"/>
      <c r="TUR89" s="6"/>
      <c r="TUS89" s="6"/>
      <c r="TUT89" s="6"/>
      <c r="TUU89" s="6"/>
      <c r="TUV89" s="6"/>
      <c r="TUW89" s="6"/>
      <c r="TUX89" s="6"/>
      <c r="TUY89" s="6"/>
      <c r="TUZ89" s="6"/>
      <c r="TVA89" s="6"/>
      <c r="TVB89" s="6"/>
      <c r="TVC89" s="6"/>
      <c r="TVD89" s="6"/>
      <c r="TVE89" s="6"/>
      <c r="TVF89" s="6"/>
      <c r="TVG89" s="6"/>
      <c r="TVH89" s="6"/>
      <c r="TVI89" s="6"/>
      <c r="TVJ89" s="6"/>
      <c r="TVK89" s="6"/>
      <c r="TVL89" s="6"/>
      <c r="TVM89" s="6"/>
      <c r="TVN89" s="6"/>
      <c r="TVO89" s="6"/>
      <c r="TVP89" s="6"/>
      <c r="TVQ89" s="6"/>
      <c r="TVR89" s="6"/>
      <c r="TVS89" s="6"/>
      <c r="TVT89" s="6"/>
      <c r="TVU89" s="6"/>
      <c r="TVV89" s="6"/>
      <c r="TVW89" s="6"/>
      <c r="TVX89" s="6"/>
      <c r="TVY89" s="6"/>
      <c r="TVZ89" s="6"/>
      <c r="TWA89" s="6"/>
      <c r="TWB89" s="6"/>
      <c r="TWC89" s="6"/>
      <c r="TWD89" s="6"/>
      <c r="TWE89" s="6"/>
      <c r="TWF89" s="6"/>
      <c r="TWG89" s="6"/>
      <c r="TWH89" s="6"/>
      <c r="TWI89" s="6"/>
      <c r="TWJ89" s="6"/>
      <c r="TWK89" s="6"/>
      <c r="TWL89" s="6"/>
      <c r="TWM89" s="6"/>
      <c r="TWN89" s="6"/>
      <c r="TWO89" s="6"/>
      <c r="TWP89" s="6"/>
      <c r="TWQ89" s="6"/>
      <c r="TWR89" s="6"/>
      <c r="TWS89" s="6"/>
      <c r="TWT89" s="6"/>
      <c r="TWU89" s="6"/>
      <c r="TWV89" s="6"/>
      <c r="TWW89" s="6"/>
      <c r="TWX89" s="6"/>
      <c r="TWY89" s="6"/>
      <c r="TWZ89" s="6"/>
      <c r="TXA89" s="6"/>
      <c r="TXB89" s="6"/>
      <c r="TXC89" s="6"/>
      <c r="TXD89" s="6"/>
      <c r="TXE89" s="6"/>
      <c r="TXF89" s="6"/>
      <c r="TXG89" s="6"/>
      <c r="TXH89" s="6"/>
      <c r="TXI89" s="6"/>
      <c r="TXJ89" s="6"/>
      <c r="TXK89" s="6"/>
      <c r="TXL89" s="6"/>
      <c r="TXM89" s="6"/>
      <c r="TXN89" s="6"/>
      <c r="TXO89" s="6"/>
      <c r="TXP89" s="6"/>
      <c r="TXQ89" s="6"/>
      <c r="TXR89" s="6"/>
      <c r="TXS89" s="6"/>
      <c r="TXT89" s="6"/>
      <c r="TXU89" s="6"/>
      <c r="TXV89" s="6"/>
      <c r="TXW89" s="6"/>
      <c r="TXX89" s="6"/>
      <c r="TXY89" s="6"/>
      <c r="TXZ89" s="6"/>
      <c r="TYA89" s="6"/>
      <c r="TYB89" s="6"/>
      <c r="TYC89" s="6"/>
      <c r="TYD89" s="6"/>
      <c r="TYE89" s="6"/>
      <c r="TYF89" s="6"/>
      <c r="TYG89" s="6"/>
      <c r="TYH89" s="6"/>
      <c r="TYI89" s="6"/>
      <c r="TYJ89" s="6"/>
      <c r="TYK89" s="6"/>
      <c r="TYL89" s="6"/>
      <c r="TYM89" s="6"/>
      <c r="TYN89" s="6"/>
      <c r="TYO89" s="6"/>
      <c r="TYP89" s="6"/>
      <c r="TYQ89" s="6"/>
      <c r="TYR89" s="6"/>
      <c r="TYS89" s="6"/>
      <c r="TYT89" s="6"/>
      <c r="TYU89" s="6"/>
      <c r="TYV89" s="6"/>
      <c r="TYW89" s="6"/>
      <c r="TYX89" s="6"/>
      <c r="TYY89" s="6"/>
      <c r="TYZ89" s="6"/>
      <c r="TZA89" s="6"/>
      <c r="TZB89" s="6"/>
      <c r="TZC89" s="6"/>
      <c r="TZD89" s="6"/>
      <c r="TZE89" s="6"/>
      <c r="TZF89" s="6"/>
      <c r="TZG89" s="6"/>
      <c r="TZH89" s="6"/>
      <c r="TZI89" s="6"/>
      <c r="TZJ89" s="6"/>
      <c r="TZK89" s="6"/>
      <c r="TZL89" s="6"/>
      <c r="TZM89" s="6"/>
      <c r="TZN89" s="6"/>
      <c r="TZO89" s="6"/>
      <c r="TZP89" s="6"/>
      <c r="TZQ89" s="6"/>
      <c r="TZR89" s="6"/>
      <c r="TZS89" s="6"/>
      <c r="TZT89" s="6"/>
      <c r="TZU89" s="6"/>
      <c r="TZV89" s="6"/>
      <c r="TZW89" s="6"/>
      <c r="TZX89" s="6"/>
      <c r="TZY89" s="6"/>
      <c r="TZZ89" s="6"/>
      <c r="UAA89" s="6"/>
      <c r="UAB89" s="6"/>
      <c r="UAC89" s="6"/>
      <c r="UAD89" s="6"/>
      <c r="UAE89" s="6"/>
      <c r="UAF89" s="6"/>
      <c r="UAG89" s="6"/>
      <c r="UAH89" s="6"/>
      <c r="UAI89" s="6"/>
      <c r="UAJ89" s="6"/>
      <c r="UAK89" s="6"/>
      <c r="UAL89" s="6"/>
      <c r="UAM89" s="6"/>
      <c r="UAN89" s="6"/>
      <c r="UAO89" s="6"/>
      <c r="UAP89" s="6"/>
      <c r="UAQ89" s="6"/>
      <c r="UAR89" s="6"/>
      <c r="UAS89" s="6"/>
      <c r="UAT89" s="6"/>
      <c r="UAU89" s="6"/>
      <c r="UAV89" s="6"/>
      <c r="UAW89" s="6"/>
      <c r="UAX89" s="6"/>
      <c r="UAY89" s="6"/>
      <c r="UAZ89" s="6"/>
      <c r="UBA89" s="6"/>
      <c r="UBB89" s="6"/>
      <c r="UBC89" s="6"/>
      <c r="UBD89" s="6"/>
      <c r="UBE89" s="6"/>
      <c r="UBF89" s="6"/>
      <c r="UBG89" s="6"/>
      <c r="UBH89" s="6"/>
      <c r="UBI89" s="6"/>
      <c r="UBJ89" s="6"/>
      <c r="UBK89" s="6"/>
      <c r="UBL89" s="6"/>
      <c r="UBM89" s="6"/>
      <c r="UBN89" s="6"/>
      <c r="UBO89" s="6"/>
      <c r="UBP89" s="6"/>
      <c r="UBQ89" s="6"/>
      <c r="UBR89" s="6"/>
      <c r="UBS89" s="6"/>
      <c r="UBT89" s="6"/>
      <c r="UBU89" s="6"/>
      <c r="UBV89" s="6"/>
      <c r="UBW89" s="6"/>
      <c r="UBX89" s="6"/>
      <c r="UBY89" s="6"/>
      <c r="UBZ89" s="6"/>
      <c r="UCA89" s="6"/>
      <c r="UCB89" s="6"/>
      <c r="UCC89" s="6"/>
      <c r="UCD89" s="6"/>
      <c r="UCE89" s="6"/>
      <c r="UCF89" s="6"/>
      <c r="UCG89" s="6"/>
      <c r="UCH89" s="6"/>
      <c r="UCI89" s="6"/>
      <c r="UCJ89" s="6"/>
      <c r="UCK89" s="6"/>
      <c r="UCL89" s="6"/>
      <c r="UCM89" s="6"/>
      <c r="UCN89" s="6"/>
      <c r="UCO89" s="6"/>
      <c r="UCP89" s="6"/>
      <c r="UCQ89" s="6"/>
      <c r="UCR89" s="6"/>
      <c r="UCS89" s="6"/>
      <c r="UCT89" s="6"/>
      <c r="UCU89" s="6"/>
      <c r="UCV89" s="6"/>
      <c r="UCW89" s="6"/>
      <c r="UCX89" s="6"/>
      <c r="UCY89" s="6"/>
      <c r="UCZ89" s="6"/>
      <c r="UDA89" s="6"/>
      <c r="UDB89" s="6"/>
      <c r="UDC89" s="6"/>
      <c r="UDD89" s="6"/>
      <c r="UDE89" s="6"/>
      <c r="UDF89" s="6"/>
      <c r="UDG89" s="6"/>
      <c r="UDH89" s="6"/>
      <c r="UDI89" s="6"/>
      <c r="UDJ89" s="6"/>
      <c r="UDK89" s="6"/>
      <c r="UDL89" s="6"/>
      <c r="UDM89" s="6"/>
      <c r="UDN89" s="6"/>
      <c r="UDO89" s="6"/>
      <c r="UDP89" s="6"/>
      <c r="UDQ89" s="6"/>
      <c r="UDR89" s="6"/>
      <c r="UDS89" s="6"/>
      <c r="UDT89" s="6"/>
      <c r="UDU89" s="6"/>
      <c r="UDV89" s="6"/>
      <c r="UDW89" s="6"/>
      <c r="UDX89" s="6"/>
      <c r="UDY89" s="6"/>
      <c r="UDZ89" s="6"/>
      <c r="UEA89" s="6"/>
      <c r="UEB89" s="6"/>
      <c r="UEC89" s="6"/>
      <c r="UED89" s="6"/>
      <c r="UEE89" s="6"/>
      <c r="UEF89" s="6"/>
      <c r="UEG89" s="6"/>
      <c r="UEH89" s="6"/>
      <c r="UEI89" s="6"/>
      <c r="UEJ89" s="6"/>
      <c r="UEK89" s="6"/>
      <c r="UEL89" s="6"/>
      <c r="UEM89" s="6"/>
      <c r="UEN89" s="6"/>
      <c r="UEO89" s="6"/>
      <c r="UEP89" s="6"/>
      <c r="UEQ89" s="6"/>
      <c r="UER89" s="6"/>
      <c r="UES89" s="6"/>
      <c r="UET89" s="6"/>
      <c r="UEU89" s="6"/>
      <c r="UEV89" s="6"/>
      <c r="UEW89" s="6"/>
      <c r="UEX89" s="6"/>
      <c r="UEY89" s="6"/>
      <c r="UEZ89" s="6"/>
      <c r="UFA89" s="6"/>
      <c r="UFB89" s="6"/>
      <c r="UFC89" s="6"/>
      <c r="UFD89" s="6"/>
      <c r="UFE89" s="6"/>
      <c r="UFF89" s="6"/>
      <c r="UFG89" s="6"/>
      <c r="UFH89" s="6"/>
      <c r="UFI89" s="6"/>
      <c r="UFJ89" s="6"/>
      <c r="UFK89" s="6"/>
      <c r="UFL89" s="6"/>
      <c r="UFM89" s="6"/>
      <c r="UFN89" s="6"/>
      <c r="UFO89" s="6"/>
      <c r="UFP89" s="6"/>
      <c r="UFQ89" s="6"/>
      <c r="UFR89" s="6"/>
      <c r="UFS89" s="6"/>
      <c r="UFT89" s="6"/>
      <c r="UFU89" s="6"/>
      <c r="UFV89" s="6"/>
      <c r="UFW89" s="6"/>
      <c r="UFX89" s="6"/>
      <c r="UFY89" s="6"/>
      <c r="UFZ89" s="6"/>
      <c r="UGA89" s="6"/>
      <c r="UGB89" s="6"/>
      <c r="UGC89" s="6"/>
      <c r="UGD89" s="6"/>
      <c r="UGE89" s="6"/>
      <c r="UGF89" s="6"/>
      <c r="UGG89" s="6"/>
      <c r="UGH89" s="6"/>
      <c r="UGI89" s="6"/>
      <c r="UGJ89" s="6"/>
      <c r="UGK89" s="6"/>
      <c r="UGL89" s="6"/>
      <c r="UGM89" s="6"/>
      <c r="UGN89" s="6"/>
      <c r="UGO89" s="6"/>
      <c r="UGP89" s="6"/>
      <c r="UGQ89" s="6"/>
      <c r="UGR89" s="6"/>
      <c r="UGS89" s="6"/>
      <c r="UGT89" s="6"/>
      <c r="UGU89" s="6"/>
      <c r="UGV89" s="6"/>
      <c r="UGW89" s="6"/>
      <c r="UGX89" s="6"/>
      <c r="UGY89" s="6"/>
      <c r="UGZ89" s="6"/>
      <c r="UHA89" s="6"/>
      <c r="UHB89" s="6"/>
      <c r="UHC89" s="6"/>
      <c r="UHD89" s="6"/>
      <c r="UHE89" s="6"/>
      <c r="UHF89" s="6"/>
      <c r="UHG89" s="6"/>
      <c r="UHH89" s="6"/>
      <c r="UHI89" s="6"/>
      <c r="UHJ89" s="6"/>
      <c r="UHK89" s="6"/>
      <c r="UHL89" s="6"/>
      <c r="UHM89" s="6"/>
      <c r="UHN89" s="6"/>
      <c r="UHO89" s="6"/>
      <c r="UHP89" s="6"/>
      <c r="UHQ89" s="6"/>
      <c r="UHR89" s="6"/>
      <c r="UHS89" s="6"/>
      <c r="UHT89" s="6"/>
      <c r="UHU89" s="6"/>
      <c r="UHV89" s="6"/>
      <c r="UHW89" s="6"/>
      <c r="UHX89" s="6"/>
      <c r="UHY89" s="6"/>
      <c r="UHZ89" s="6"/>
      <c r="UIA89" s="6"/>
      <c r="UIB89" s="6"/>
      <c r="UIC89" s="6"/>
      <c r="UID89" s="6"/>
      <c r="UIE89" s="6"/>
      <c r="UIF89" s="6"/>
      <c r="UIG89" s="6"/>
      <c r="UIH89" s="6"/>
      <c r="UII89" s="6"/>
      <c r="UIJ89" s="6"/>
      <c r="UIK89" s="6"/>
      <c r="UIL89" s="6"/>
      <c r="UIM89" s="6"/>
      <c r="UIN89" s="6"/>
      <c r="UIO89" s="6"/>
      <c r="UIP89" s="6"/>
      <c r="UIQ89" s="6"/>
      <c r="UIR89" s="6"/>
      <c r="UIS89" s="6"/>
      <c r="UIT89" s="6"/>
      <c r="UIU89" s="6"/>
      <c r="UIV89" s="6"/>
      <c r="UIW89" s="6"/>
      <c r="UIX89" s="6"/>
      <c r="UIY89" s="6"/>
      <c r="UIZ89" s="6"/>
      <c r="UJA89" s="6"/>
      <c r="UJB89" s="6"/>
      <c r="UJC89" s="6"/>
      <c r="UJD89" s="6"/>
      <c r="UJE89" s="6"/>
      <c r="UJF89" s="6"/>
      <c r="UJG89" s="6"/>
      <c r="UJH89" s="6"/>
      <c r="UJI89" s="6"/>
      <c r="UJJ89" s="6"/>
      <c r="UJK89" s="6"/>
      <c r="UJL89" s="6"/>
      <c r="UJM89" s="6"/>
      <c r="UJN89" s="6"/>
      <c r="UJO89" s="6"/>
      <c r="UJP89" s="6"/>
      <c r="UJQ89" s="6"/>
      <c r="UJR89" s="6"/>
      <c r="UJS89" s="6"/>
      <c r="UJT89" s="6"/>
      <c r="UJU89" s="6"/>
      <c r="UJV89" s="6"/>
      <c r="UJW89" s="6"/>
      <c r="UJX89" s="6"/>
      <c r="UJY89" s="6"/>
      <c r="UJZ89" s="6"/>
      <c r="UKA89" s="6"/>
      <c r="UKB89" s="6"/>
      <c r="UKC89" s="6"/>
      <c r="UKD89" s="6"/>
      <c r="UKE89" s="6"/>
      <c r="UKF89" s="6"/>
      <c r="UKG89" s="6"/>
      <c r="UKH89" s="6"/>
      <c r="UKI89" s="6"/>
      <c r="UKJ89" s="6"/>
      <c r="UKK89" s="6"/>
      <c r="UKL89" s="6"/>
      <c r="UKM89" s="6"/>
      <c r="UKN89" s="6"/>
      <c r="UKO89" s="6"/>
      <c r="UKP89" s="6"/>
      <c r="UKQ89" s="6"/>
      <c r="UKR89" s="6"/>
      <c r="UKS89" s="6"/>
      <c r="UKT89" s="6"/>
      <c r="UKU89" s="6"/>
      <c r="UKV89" s="6"/>
      <c r="UKW89" s="6"/>
      <c r="UKX89" s="6"/>
      <c r="UKY89" s="6"/>
      <c r="UKZ89" s="6"/>
      <c r="ULA89" s="6"/>
      <c r="ULB89" s="6"/>
      <c r="ULC89" s="6"/>
      <c r="ULD89" s="6"/>
      <c r="ULE89" s="6"/>
      <c r="ULF89" s="6"/>
      <c r="ULG89" s="6"/>
      <c r="ULH89" s="6"/>
      <c r="ULI89" s="6"/>
      <c r="ULJ89" s="6"/>
      <c r="ULK89" s="6"/>
      <c r="ULL89" s="6"/>
      <c r="ULM89" s="6"/>
      <c r="ULN89" s="6"/>
      <c r="ULO89" s="6"/>
      <c r="ULP89" s="6"/>
      <c r="ULQ89" s="6"/>
      <c r="ULR89" s="6"/>
      <c r="ULS89" s="6"/>
      <c r="ULT89" s="6"/>
      <c r="ULU89" s="6"/>
      <c r="ULV89" s="6"/>
      <c r="ULW89" s="6"/>
      <c r="ULX89" s="6"/>
      <c r="ULY89" s="6"/>
      <c r="ULZ89" s="6"/>
      <c r="UMA89" s="6"/>
      <c r="UMB89" s="6"/>
      <c r="UMC89" s="6"/>
      <c r="UMD89" s="6"/>
      <c r="UME89" s="6"/>
      <c r="UMF89" s="6"/>
      <c r="UMG89" s="6"/>
      <c r="UMH89" s="6"/>
      <c r="UMI89" s="6"/>
      <c r="UMJ89" s="6"/>
      <c r="UMK89" s="6"/>
      <c r="UML89" s="6"/>
      <c r="UMM89" s="6"/>
      <c r="UMN89" s="6"/>
      <c r="UMO89" s="6"/>
      <c r="UMP89" s="6"/>
      <c r="UMQ89" s="6"/>
      <c r="UMR89" s="6"/>
      <c r="UMS89" s="6"/>
      <c r="UMT89" s="6"/>
      <c r="UMU89" s="6"/>
      <c r="UMV89" s="6"/>
      <c r="UMW89" s="6"/>
      <c r="UMX89" s="6"/>
      <c r="UMY89" s="6"/>
      <c r="UMZ89" s="6"/>
      <c r="UNA89" s="6"/>
      <c r="UNB89" s="6"/>
      <c r="UNC89" s="6"/>
      <c r="UND89" s="6"/>
      <c r="UNE89" s="6"/>
      <c r="UNF89" s="6"/>
      <c r="UNG89" s="6"/>
      <c r="UNH89" s="6"/>
      <c r="UNI89" s="6"/>
      <c r="UNJ89" s="6"/>
      <c r="UNK89" s="6"/>
      <c r="UNL89" s="6"/>
      <c r="UNM89" s="6"/>
      <c r="UNN89" s="6"/>
      <c r="UNO89" s="6"/>
      <c r="UNP89" s="6"/>
      <c r="UNQ89" s="6"/>
      <c r="UNR89" s="6"/>
      <c r="UNS89" s="6"/>
      <c r="UNT89" s="6"/>
      <c r="UNU89" s="6"/>
      <c r="UNV89" s="6"/>
      <c r="UNW89" s="6"/>
      <c r="UNX89" s="6"/>
      <c r="UNY89" s="6"/>
      <c r="UNZ89" s="6"/>
      <c r="UOA89" s="6"/>
      <c r="UOB89" s="6"/>
      <c r="UOC89" s="6"/>
      <c r="UOD89" s="6"/>
      <c r="UOE89" s="6"/>
      <c r="UOF89" s="6"/>
      <c r="UOG89" s="6"/>
      <c r="UOH89" s="6"/>
      <c r="UOI89" s="6"/>
      <c r="UOJ89" s="6"/>
      <c r="UOK89" s="6"/>
      <c r="UOL89" s="6"/>
      <c r="UOM89" s="6"/>
      <c r="UON89" s="6"/>
      <c r="UOO89" s="6"/>
      <c r="UOP89" s="6"/>
      <c r="UOQ89" s="6"/>
      <c r="UOR89" s="6"/>
      <c r="UOS89" s="6"/>
      <c r="UOT89" s="6"/>
      <c r="UOU89" s="6"/>
      <c r="UOV89" s="6"/>
      <c r="UOW89" s="6"/>
      <c r="UOX89" s="6"/>
      <c r="UOY89" s="6"/>
      <c r="UOZ89" s="6"/>
      <c r="UPA89" s="6"/>
      <c r="UPB89" s="6"/>
      <c r="UPC89" s="6"/>
      <c r="UPD89" s="6"/>
      <c r="UPE89" s="6"/>
      <c r="UPF89" s="6"/>
      <c r="UPG89" s="6"/>
      <c r="UPH89" s="6"/>
      <c r="UPI89" s="6"/>
      <c r="UPJ89" s="6"/>
      <c r="UPK89" s="6"/>
      <c r="UPL89" s="6"/>
      <c r="UPM89" s="6"/>
      <c r="UPN89" s="6"/>
      <c r="UPO89" s="6"/>
      <c r="UPP89" s="6"/>
      <c r="UPQ89" s="6"/>
      <c r="UPR89" s="6"/>
      <c r="UPS89" s="6"/>
      <c r="UPT89" s="6"/>
      <c r="UPU89" s="6"/>
      <c r="UPV89" s="6"/>
      <c r="UPW89" s="6"/>
      <c r="UPX89" s="6"/>
      <c r="UPY89" s="6"/>
      <c r="UPZ89" s="6"/>
      <c r="UQA89" s="6"/>
      <c r="UQB89" s="6"/>
      <c r="UQC89" s="6"/>
      <c r="UQD89" s="6"/>
      <c r="UQE89" s="6"/>
      <c r="UQF89" s="6"/>
      <c r="UQG89" s="6"/>
      <c r="UQH89" s="6"/>
      <c r="UQI89" s="6"/>
      <c r="UQJ89" s="6"/>
      <c r="UQK89" s="6"/>
      <c r="UQL89" s="6"/>
      <c r="UQM89" s="6"/>
      <c r="UQN89" s="6"/>
      <c r="UQO89" s="6"/>
      <c r="UQP89" s="6"/>
      <c r="UQQ89" s="6"/>
      <c r="UQR89" s="6"/>
      <c r="UQS89" s="6"/>
      <c r="UQT89" s="6"/>
      <c r="UQU89" s="6"/>
      <c r="UQV89" s="6"/>
      <c r="UQW89" s="6"/>
      <c r="UQX89" s="6"/>
      <c r="UQY89" s="6"/>
      <c r="UQZ89" s="6"/>
      <c r="URA89" s="6"/>
      <c r="URB89" s="6"/>
      <c r="URC89" s="6"/>
      <c r="URD89" s="6"/>
      <c r="URE89" s="6"/>
      <c r="URF89" s="6"/>
      <c r="URG89" s="6"/>
      <c r="URH89" s="6"/>
      <c r="URI89" s="6"/>
      <c r="URJ89" s="6"/>
      <c r="URK89" s="6"/>
      <c r="URL89" s="6"/>
      <c r="URM89" s="6"/>
      <c r="URN89" s="6"/>
      <c r="URO89" s="6"/>
      <c r="URP89" s="6"/>
      <c r="URQ89" s="6"/>
      <c r="URR89" s="6"/>
      <c r="URS89" s="6"/>
      <c r="URT89" s="6"/>
      <c r="URU89" s="6"/>
      <c r="URV89" s="6"/>
      <c r="URW89" s="6"/>
      <c r="URX89" s="6"/>
      <c r="URY89" s="6"/>
      <c r="URZ89" s="6"/>
      <c r="USA89" s="6"/>
      <c r="USB89" s="6"/>
      <c r="USC89" s="6"/>
      <c r="USD89" s="6"/>
      <c r="USE89" s="6"/>
      <c r="USF89" s="6"/>
      <c r="USG89" s="6"/>
      <c r="USH89" s="6"/>
      <c r="USI89" s="6"/>
      <c r="USJ89" s="6"/>
      <c r="USK89" s="6"/>
      <c r="USL89" s="6"/>
      <c r="USM89" s="6"/>
      <c r="USN89" s="6"/>
      <c r="USO89" s="6"/>
      <c r="USP89" s="6"/>
      <c r="USQ89" s="6"/>
      <c r="USR89" s="6"/>
      <c r="USS89" s="6"/>
      <c r="UST89" s="6"/>
      <c r="USU89" s="6"/>
      <c r="USV89" s="6"/>
      <c r="USW89" s="6"/>
      <c r="USX89" s="6"/>
      <c r="USY89" s="6"/>
      <c r="USZ89" s="6"/>
      <c r="UTA89" s="6"/>
      <c r="UTB89" s="6"/>
      <c r="UTC89" s="6"/>
      <c r="UTD89" s="6"/>
      <c r="UTE89" s="6"/>
      <c r="UTF89" s="6"/>
      <c r="UTG89" s="6"/>
      <c r="UTH89" s="6"/>
      <c r="UTI89" s="6"/>
      <c r="UTJ89" s="6"/>
      <c r="UTK89" s="6"/>
      <c r="UTL89" s="6"/>
      <c r="UTM89" s="6"/>
      <c r="UTN89" s="6"/>
      <c r="UTO89" s="6"/>
      <c r="UTP89" s="6"/>
      <c r="UTQ89" s="6"/>
      <c r="UTR89" s="6"/>
      <c r="UTS89" s="6"/>
      <c r="UTT89" s="6"/>
      <c r="UTU89" s="6"/>
      <c r="UTV89" s="6"/>
      <c r="UTW89" s="6"/>
      <c r="UTX89" s="6"/>
      <c r="UTY89" s="6"/>
      <c r="UTZ89" s="6"/>
      <c r="UUA89" s="6"/>
      <c r="UUB89" s="6"/>
      <c r="UUC89" s="6"/>
      <c r="UUD89" s="6"/>
      <c r="UUE89" s="6"/>
      <c r="UUF89" s="6"/>
      <c r="UUG89" s="6"/>
      <c r="UUH89" s="6"/>
      <c r="UUI89" s="6"/>
      <c r="UUJ89" s="6"/>
      <c r="UUK89" s="6"/>
      <c r="UUL89" s="6"/>
      <c r="UUM89" s="6"/>
      <c r="UUN89" s="6"/>
      <c r="UUO89" s="6"/>
      <c r="UUP89" s="6"/>
      <c r="UUQ89" s="6"/>
      <c r="UUR89" s="6"/>
      <c r="UUS89" s="6"/>
      <c r="UUT89" s="6"/>
      <c r="UUU89" s="6"/>
      <c r="UUV89" s="6"/>
      <c r="UUW89" s="6"/>
      <c r="UUX89" s="6"/>
      <c r="UUY89" s="6"/>
      <c r="UUZ89" s="6"/>
      <c r="UVA89" s="6"/>
      <c r="UVB89" s="6"/>
      <c r="UVC89" s="6"/>
      <c r="UVD89" s="6"/>
      <c r="UVE89" s="6"/>
      <c r="UVF89" s="6"/>
      <c r="UVG89" s="6"/>
      <c r="UVH89" s="6"/>
      <c r="UVI89" s="6"/>
      <c r="UVJ89" s="6"/>
      <c r="UVK89" s="6"/>
      <c r="UVL89" s="6"/>
      <c r="UVM89" s="6"/>
      <c r="UVN89" s="6"/>
      <c r="UVO89" s="6"/>
      <c r="UVP89" s="6"/>
      <c r="UVQ89" s="6"/>
      <c r="UVR89" s="6"/>
      <c r="UVS89" s="6"/>
      <c r="UVT89" s="6"/>
      <c r="UVU89" s="6"/>
      <c r="UVV89" s="6"/>
      <c r="UVW89" s="6"/>
      <c r="UVX89" s="6"/>
      <c r="UVY89" s="6"/>
      <c r="UVZ89" s="6"/>
      <c r="UWA89" s="6"/>
      <c r="UWB89" s="6"/>
      <c r="UWC89" s="6"/>
      <c r="UWD89" s="6"/>
      <c r="UWE89" s="6"/>
      <c r="UWF89" s="6"/>
      <c r="UWG89" s="6"/>
      <c r="UWH89" s="6"/>
      <c r="UWI89" s="6"/>
      <c r="UWJ89" s="6"/>
      <c r="UWK89" s="6"/>
      <c r="UWL89" s="6"/>
      <c r="UWM89" s="6"/>
      <c r="UWN89" s="6"/>
      <c r="UWO89" s="6"/>
      <c r="UWP89" s="6"/>
      <c r="UWQ89" s="6"/>
      <c r="UWR89" s="6"/>
      <c r="UWS89" s="6"/>
      <c r="UWT89" s="6"/>
      <c r="UWU89" s="6"/>
      <c r="UWV89" s="6"/>
      <c r="UWW89" s="6"/>
      <c r="UWX89" s="6"/>
      <c r="UWY89" s="6"/>
      <c r="UWZ89" s="6"/>
      <c r="UXA89" s="6"/>
      <c r="UXB89" s="6"/>
      <c r="UXC89" s="6"/>
      <c r="UXD89" s="6"/>
      <c r="UXE89" s="6"/>
      <c r="UXF89" s="6"/>
      <c r="UXG89" s="6"/>
      <c r="UXH89" s="6"/>
      <c r="UXI89" s="6"/>
      <c r="UXJ89" s="6"/>
      <c r="UXK89" s="6"/>
      <c r="UXL89" s="6"/>
      <c r="UXM89" s="6"/>
      <c r="UXN89" s="6"/>
      <c r="UXO89" s="6"/>
      <c r="UXP89" s="6"/>
      <c r="UXQ89" s="6"/>
      <c r="UXR89" s="6"/>
      <c r="UXS89" s="6"/>
      <c r="UXT89" s="6"/>
      <c r="UXU89" s="6"/>
      <c r="UXV89" s="6"/>
      <c r="UXW89" s="6"/>
      <c r="UXX89" s="6"/>
      <c r="UXY89" s="6"/>
      <c r="UXZ89" s="6"/>
      <c r="UYA89" s="6"/>
      <c r="UYB89" s="6"/>
      <c r="UYC89" s="6"/>
      <c r="UYD89" s="6"/>
      <c r="UYE89" s="6"/>
      <c r="UYF89" s="6"/>
      <c r="UYG89" s="6"/>
      <c r="UYH89" s="6"/>
      <c r="UYI89" s="6"/>
      <c r="UYJ89" s="6"/>
      <c r="UYK89" s="6"/>
      <c r="UYL89" s="6"/>
      <c r="UYM89" s="6"/>
      <c r="UYN89" s="6"/>
      <c r="UYO89" s="6"/>
      <c r="UYP89" s="6"/>
      <c r="UYQ89" s="6"/>
      <c r="UYR89" s="6"/>
      <c r="UYS89" s="6"/>
      <c r="UYT89" s="6"/>
      <c r="UYU89" s="6"/>
      <c r="UYV89" s="6"/>
      <c r="UYW89" s="6"/>
      <c r="UYX89" s="6"/>
      <c r="UYY89" s="6"/>
      <c r="UYZ89" s="6"/>
      <c r="UZA89" s="6"/>
      <c r="UZB89" s="6"/>
      <c r="UZC89" s="6"/>
      <c r="UZD89" s="6"/>
      <c r="UZE89" s="6"/>
      <c r="UZF89" s="6"/>
      <c r="UZG89" s="6"/>
      <c r="UZH89" s="6"/>
      <c r="UZI89" s="6"/>
      <c r="UZJ89" s="6"/>
      <c r="UZK89" s="6"/>
      <c r="UZL89" s="6"/>
      <c r="UZM89" s="6"/>
      <c r="UZN89" s="6"/>
      <c r="UZO89" s="6"/>
      <c r="UZP89" s="6"/>
      <c r="UZQ89" s="6"/>
      <c r="UZR89" s="6"/>
      <c r="UZS89" s="6"/>
      <c r="UZT89" s="6"/>
      <c r="UZU89" s="6"/>
      <c r="UZV89" s="6"/>
      <c r="UZW89" s="6"/>
      <c r="UZX89" s="6"/>
      <c r="UZY89" s="6"/>
      <c r="UZZ89" s="6"/>
      <c r="VAA89" s="6"/>
      <c r="VAB89" s="6"/>
      <c r="VAC89" s="6"/>
      <c r="VAD89" s="6"/>
      <c r="VAE89" s="6"/>
      <c r="VAF89" s="6"/>
      <c r="VAG89" s="6"/>
      <c r="VAH89" s="6"/>
      <c r="VAI89" s="6"/>
      <c r="VAJ89" s="6"/>
      <c r="VAK89" s="6"/>
      <c r="VAL89" s="6"/>
      <c r="VAM89" s="6"/>
      <c r="VAN89" s="6"/>
      <c r="VAO89" s="6"/>
      <c r="VAP89" s="6"/>
      <c r="VAQ89" s="6"/>
      <c r="VAR89" s="6"/>
      <c r="VAS89" s="6"/>
      <c r="VAT89" s="6"/>
      <c r="VAU89" s="6"/>
      <c r="VAV89" s="6"/>
      <c r="VAW89" s="6"/>
      <c r="VAX89" s="6"/>
      <c r="VAY89" s="6"/>
      <c r="VAZ89" s="6"/>
      <c r="VBA89" s="6"/>
      <c r="VBB89" s="6"/>
      <c r="VBC89" s="6"/>
      <c r="VBD89" s="6"/>
      <c r="VBE89" s="6"/>
      <c r="VBF89" s="6"/>
      <c r="VBG89" s="6"/>
      <c r="VBH89" s="6"/>
      <c r="VBI89" s="6"/>
      <c r="VBJ89" s="6"/>
      <c r="VBK89" s="6"/>
      <c r="VBL89" s="6"/>
      <c r="VBM89" s="6"/>
      <c r="VBN89" s="6"/>
      <c r="VBO89" s="6"/>
      <c r="VBP89" s="6"/>
      <c r="VBQ89" s="6"/>
      <c r="VBR89" s="6"/>
      <c r="VBS89" s="6"/>
      <c r="VBT89" s="6"/>
      <c r="VBU89" s="6"/>
      <c r="VBV89" s="6"/>
      <c r="VBW89" s="6"/>
      <c r="VBX89" s="6"/>
      <c r="VBY89" s="6"/>
      <c r="VBZ89" s="6"/>
      <c r="VCA89" s="6"/>
      <c r="VCB89" s="6"/>
      <c r="VCC89" s="6"/>
      <c r="VCD89" s="6"/>
      <c r="VCE89" s="6"/>
      <c r="VCF89" s="6"/>
      <c r="VCG89" s="6"/>
      <c r="VCH89" s="6"/>
      <c r="VCI89" s="6"/>
      <c r="VCJ89" s="6"/>
      <c r="VCK89" s="6"/>
      <c r="VCL89" s="6"/>
      <c r="VCM89" s="6"/>
      <c r="VCN89" s="6"/>
      <c r="VCO89" s="6"/>
      <c r="VCP89" s="6"/>
      <c r="VCQ89" s="6"/>
      <c r="VCR89" s="6"/>
      <c r="VCS89" s="6"/>
      <c r="VCT89" s="6"/>
      <c r="VCU89" s="6"/>
      <c r="VCV89" s="6"/>
      <c r="VCW89" s="6"/>
      <c r="VCX89" s="6"/>
      <c r="VCY89" s="6"/>
      <c r="VCZ89" s="6"/>
      <c r="VDA89" s="6"/>
      <c r="VDB89" s="6"/>
      <c r="VDC89" s="6"/>
      <c r="VDD89" s="6"/>
      <c r="VDE89" s="6"/>
      <c r="VDF89" s="6"/>
      <c r="VDG89" s="6"/>
      <c r="VDH89" s="6"/>
      <c r="VDI89" s="6"/>
      <c r="VDJ89" s="6"/>
      <c r="VDK89" s="6"/>
      <c r="VDL89" s="6"/>
      <c r="VDM89" s="6"/>
      <c r="VDN89" s="6"/>
      <c r="VDO89" s="6"/>
      <c r="VDP89" s="6"/>
      <c r="VDQ89" s="6"/>
      <c r="VDR89" s="6"/>
      <c r="VDS89" s="6"/>
      <c r="VDT89" s="6"/>
      <c r="VDU89" s="6"/>
      <c r="VDV89" s="6"/>
      <c r="VDW89" s="6"/>
      <c r="VDX89" s="6"/>
      <c r="VDY89" s="6"/>
      <c r="VDZ89" s="6"/>
      <c r="VEA89" s="6"/>
      <c r="VEB89" s="6"/>
      <c r="VEC89" s="6"/>
      <c r="VED89" s="6"/>
      <c r="VEE89" s="6"/>
      <c r="VEF89" s="6"/>
      <c r="VEG89" s="6"/>
      <c r="VEH89" s="6"/>
      <c r="VEI89" s="6"/>
      <c r="VEJ89" s="6"/>
      <c r="VEK89" s="6"/>
      <c r="VEL89" s="6"/>
      <c r="VEM89" s="6"/>
      <c r="VEN89" s="6"/>
      <c r="VEO89" s="6"/>
      <c r="VEP89" s="6"/>
      <c r="VEQ89" s="6"/>
      <c r="VER89" s="6"/>
      <c r="VES89" s="6"/>
      <c r="VET89" s="6"/>
      <c r="VEU89" s="6"/>
      <c r="VEV89" s="6"/>
      <c r="VEW89" s="6"/>
      <c r="VEX89" s="6"/>
      <c r="VEY89" s="6"/>
      <c r="VEZ89" s="6"/>
      <c r="VFA89" s="6"/>
      <c r="VFB89" s="6"/>
      <c r="VFC89" s="6"/>
      <c r="VFD89" s="6"/>
      <c r="VFE89" s="6"/>
      <c r="VFF89" s="6"/>
      <c r="VFG89" s="6"/>
      <c r="VFH89" s="6"/>
      <c r="VFI89" s="6"/>
      <c r="VFJ89" s="6"/>
      <c r="VFK89" s="6"/>
      <c r="VFL89" s="6"/>
      <c r="VFM89" s="6"/>
      <c r="VFN89" s="6"/>
      <c r="VFO89" s="6"/>
      <c r="VFP89" s="6"/>
      <c r="VFQ89" s="6"/>
      <c r="VFR89" s="6"/>
      <c r="VFS89" s="6"/>
      <c r="VFT89" s="6"/>
      <c r="VFU89" s="6"/>
      <c r="VFV89" s="6"/>
      <c r="VFW89" s="6"/>
      <c r="VFX89" s="6"/>
      <c r="VFY89" s="6"/>
      <c r="VFZ89" s="6"/>
      <c r="VGA89" s="6"/>
      <c r="VGB89" s="6"/>
      <c r="VGC89" s="6"/>
      <c r="VGD89" s="6"/>
      <c r="VGE89" s="6"/>
      <c r="VGF89" s="6"/>
      <c r="VGG89" s="6"/>
      <c r="VGH89" s="6"/>
      <c r="VGI89" s="6"/>
      <c r="VGJ89" s="6"/>
      <c r="VGK89" s="6"/>
      <c r="VGL89" s="6"/>
      <c r="VGM89" s="6"/>
      <c r="VGN89" s="6"/>
      <c r="VGO89" s="6"/>
      <c r="VGP89" s="6"/>
      <c r="VGQ89" s="6"/>
      <c r="VGR89" s="6"/>
      <c r="VGS89" s="6"/>
      <c r="VGT89" s="6"/>
      <c r="VGU89" s="6"/>
      <c r="VGV89" s="6"/>
      <c r="VGW89" s="6"/>
      <c r="VGX89" s="6"/>
      <c r="VGY89" s="6"/>
      <c r="VGZ89" s="6"/>
      <c r="VHA89" s="6"/>
      <c r="VHB89" s="6"/>
      <c r="VHC89" s="6"/>
      <c r="VHD89" s="6"/>
      <c r="VHE89" s="6"/>
      <c r="VHF89" s="6"/>
      <c r="VHG89" s="6"/>
      <c r="VHH89" s="6"/>
      <c r="VHI89" s="6"/>
      <c r="VHJ89" s="6"/>
      <c r="VHK89" s="6"/>
      <c r="VHL89" s="6"/>
      <c r="VHM89" s="6"/>
      <c r="VHN89" s="6"/>
      <c r="VHO89" s="6"/>
      <c r="VHP89" s="6"/>
      <c r="VHQ89" s="6"/>
      <c r="VHR89" s="6"/>
      <c r="VHS89" s="6"/>
      <c r="VHT89" s="6"/>
      <c r="VHU89" s="6"/>
      <c r="VHV89" s="6"/>
      <c r="VHW89" s="6"/>
      <c r="VHX89" s="6"/>
      <c r="VHY89" s="6"/>
      <c r="VHZ89" s="6"/>
      <c r="VIA89" s="6"/>
      <c r="VIB89" s="6"/>
      <c r="VIC89" s="6"/>
      <c r="VID89" s="6"/>
      <c r="VIE89" s="6"/>
      <c r="VIF89" s="6"/>
      <c r="VIG89" s="6"/>
      <c r="VIH89" s="6"/>
      <c r="VII89" s="6"/>
      <c r="VIJ89" s="6"/>
      <c r="VIK89" s="6"/>
      <c r="VIL89" s="6"/>
      <c r="VIM89" s="6"/>
      <c r="VIN89" s="6"/>
      <c r="VIO89" s="6"/>
      <c r="VIP89" s="6"/>
      <c r="VIQ89" s="6"/>
      <c r="VIR89" s="6"/>
      <c r="VIS89" s="6"/>
      <c r="VIT89" s="6"/>
      <c r="VIU89" s="6"/>
      <c r="VIV89" s="6"/>
      <c r="VIW89" s="6"/>
      <c r="VIX89" s="6"/>
      <c r="VIY89" s="6"/>
      <c r="VIZ89" s="6"/>
      <c r="VJA89" s="6"/>
      <c r="VJB89" s="6"/>
      <c r="VJC89" s="6"/>
      <c r="VJD89" s="6"/>
      <c r="VJE89" s="6"/>
      <c r="VJF89" s="6"/>
      <c r="VJG89" s="6"/>
      <c r="VJH89" s="6"/>
      <c r="VJI89" s="6"/>
      <c r="VJJ89" s="6"/>
      <c r="VJK89" s="6"/>
      <c r="VJL89" s="6"/>
      <c r="VJM89" s="6"/>
      <c r="VJN89" s="6"/>
      <c r="VJO89" s="6"/>
      <c r="VJP89" s="6"/>
      <c r="VJQ89" s="6"/>
      <c r="VJR89" s="6"/>
      <c r="VJS89" s="6"/>
      <c r="VJT89" s="6"/>
      <c r="VJU89" s="6"/>
      <c r="VJV89" s="6"/>
      <c r="VJW89" s="6"/>
      <c r="VJX89" s="6"/>
      <c r="VJY89" s="6"/>
      <c r="VJZ89" s="6"/>
      <c r="VKA89" s="6"/>
      <c r="VKB89" s="6"/>
      <c r="VKC89" s="6"/>
      <c r="VKD89" s="6"/>
      <c r="VKE89" s="6"/>
      <c r="VKF89" s="6"/>
      <c r="VKG89" s="6"/>
      <c r="VKH89" s="6"/>
      <c r="VKI89" s="6"/>
      <c r="VKJ89" s="6"/>
      <c r="VKK89" s="6"/>
      <c r="VKL89" s="6"/>
      <c r="VKM89" s="6"/>
      <c r="VKN89" s="6"/>
      <c r="VKO89" s="6"/>
      <c r="VKP89" s="6"/>
      <c r="VKQ89" s="6"/>
      <c r="VKR89" s="6"/>
      <c r="VKS89" s="6"/>
      <c r="VKT89" s="6"/>
      <c r="VKU89" s="6"/>
      <c r="VKV89" s="6"/>
      <c r="VKW89" s="6"/>
      <c r="VKX89" s="6"/>
      <c r="VKY89" s="6"/>
      <c r="VKZ89" s="6"/>
      <c r="VLA89" s="6"/>
      <c r="VLB89" s="6"/>
      <c r="VLC89" s="6"/>
      <c r="VLD89" s="6"/>
      <c r="VLE89" s="6"/>
      <c r="VLF89" s="6"/>
      <c r="VLG89" s="6"/>
      <c r="VLH89" s="6"/>
      <c r="VLI89" s="6"/>
      <c r="VLJ89" s="6"/>
      <c r="VLK89" s="6"/>
      <c r="VLL89" s="6"/>
      <c r="VLM89" s="6"/>
      <c r="VLN89" s="6"/>
      <c r="VLO89" s="6"/>
      <c r="VLP89" s="6"/>
      <c r="VLQ89" s="6"/>
      <c r="VLR89" s="6"/>
      <c r="VLS89" s="6"/>
      <c r="VLT89" s="6"/>
      <c r="VLU89" s="6"/>
      <c r="VLV89" s="6"/>
      <c r="VLW89" s="6"/>
      <c r="VLX89" s="6"/>
      <c r="VLY89" s="6"/>
      <c r="VLZ89" s="6"/>
      <c r="VMA89" s="6"/>
      <c r="VMB89" s="6"/>
      <c r="VMC89" s="6"/>
      <c r="VMD89" s="6"/>
      <c r="VME89" s="6"/>
      <c r="VMF89" s="6"/>
      <c r="VMG89" s="6"/>
      <c r="VMH89" s="6"/>
      <c r="VMI89" s="6"/>
      <c r="VMJ89" s="6"/>
      <c r="VMK89" s="6"/>
      <c r="VML89" s="6"/>
      <c r="VMM89" s="6"/>
      <c r="VMN89" s="6"/>
      <c r="VMO89" s="6"/>
      <c r="VMP89" s="6"/>
      <c r="VMQ89" s="6"/>
      <c r="VMR89" s="6"/>
      <c r="VMS89" s="6"/>
      <c r="VMT89" s="6"/>
      <c r="VMU89" s="6"/>
      <c r="VMV89" s="6"/>
      <c r="VMW89" s="6"/>
      <c r="VMX89" s="6"/>
      <c r="VMY89" s="6"/>
      <c r="VMZ89" s="6"/>
      <c r="VNA89" s="6"/>
      <c r="VNB89" s="6"/>
      <c r="VNC89" s="6"/>
      <c r="VND89" s="6"/>
      <c r="VNE89" s="6"/>
      <c r="VNF89" s="6"/>
      <c r="VNG89" s="6"/>
      <c r="VNH89" s="6"/>
      <c r="VNI89" s="6"/>
      <c r="VNJ89" s="6"/>
      <c r="VNK89" s="6"/>
      <c r="VNL89" s="6"/>
      <c r="VNM89" s="6"/>
      <c r="VNN89" s="6"/>
      <c r="VNO89" s="6"/>
      <c r="VNP89" s="6"/>
      <c r="VNQ89" s="6"/>
      <c r="VNR89" s="6"/>
      <c r="VNS89" s="6"/>
      <c r="VNT89" s="6"/>
      <c r="VNU89" s="6"/>
      <c r="VNV89" s="6"/>
      <c r="VNW89" s="6"/>
      <c r="VNX89" s="6"/>
      <c r="VNY89" s="6"/>
      <c r="VNZ89" s="6"/>
      <c r="VOA89" s="6"/>
      <c r="VOB89" s="6"/>
      <c r="VOC89" s="6"/>
      <c r="VOD89" s="6"/>
      <c r="VOE89" s="6"/>
      <c r="VOF89" s="6"/>
      <c r="VOG89" s="6"/>
      <c r="VOH89" s="6"/>
      <c r="VOI89" s="6"/>
      <c r="VOJ89" s="6"/>
      <c r="VOK89" s="6"/>
      <c r="VOL89" s="6"/>
      <c r="VOM89" s="6"/>
      <c r="VON89" s="6"/>
      <c r="VOO89" s="6"/>
      <c r="VOP89" s="6"/>
      <c r="VOQ89" s="6"/>
      <c r="VOR89" s="6"/>
      <c r="VOS89" s="6"/>
      <c r="VOT89" s="6"/>
      <c r="VOU89" s="6"/>
      <c r="VOV89" s="6"/>
      <c r="VOW89" s="6"/>
      <c r="VOX89" s="6"/>
      <c r="VOY89" s="6"/>
      <c r="VOZ89" s="6"/>
      <c r="VPA89" s="6"/>
      <c r="VPB89" s="6"/>
      <c r="VPC89" s="6"/>
      <c r="VPD89" s="6"/>
      <c r="VPE89" s="6"/>
      <c r="VPF89" s="6"/>
      <c r="VPG89" s="6"/>
      <c r="VPH89" s="6"/>
      <c r="VPI89" s="6"/>
      <c r="VPJ89" s="6"/>
      <c r="VPK89" s="6"/>
      <c r="VPL89" s="6"/>
      <c r="VPM89" s="6"/>
      <c r="VPN89" s="6"/>
      <c r="VPO89" s="6"/>
      <c r="VPP89" s="6"/>
      <c r="VPQ89" s="6"/>
      <c r="VPR89" s="6"/>
      <c r="VPS89" s="6"/>
      <c r="VPT89" s="6"/>
      <c r="VPU89" s="6"/>
      <c r="VPV89" s="6"/>
      <c r="VPW89" s="6"/>
      <c r="VPX89" s="6"/>
      <c r="VPY89" s="6"/>
      <c r="VPZ89" s="6"/>
      <c r="VQA89" s="6"/>
      <c r="VQB89" s="6"/>
      <c r="VQC89" s="6"/>
      <c r="VQD89" s="6"/>
      <c r="VQE89" s="6"/>
      <c r="VQF89" s="6"/>
      <c r="VQG89" s="6"/>
      <c r="VQH89" s="6"/>
      <c r="VQI89" s="6"/>
      <c r="VQJ89" s="6"/>
      <c r="VQK89" s="6"/>
      <c r="VQL89" s="6"/>
      <c r="VQM89" s="6"/>
      <c r="VQN89" s="6"/>
      <c r="VQO89" s="6"/>
      <c r="VQP89" s="6"/>
      <c r="VQQ89" s="6"/>
      <c r="VQR89" s="6"/>
      <c r="VQS89" s="6"/>
      <c r="VQT89" s="6"/>
      <c r="VQU89" s="6"/>
      <c r="VQV89" s="6"/>
      <c r="VQW89" s="6"/>
      <c r="VQX89" s="6"/>
      <c r="VQY89" s="6"/>
      <c r="VQZ89" s="6"/>
      <c r="VRA89" s="6"/>
      <c r="VRB89" s="6"/>
      <c r="VRC89" s="6"/>
      <c r="VRD89" s="6"/>
      <c r="VRE89" s="6"/>
      <c r="VRF89" s="6"/>
      <c r="VRG89" s="6"/>
      <c r="VRH89" s="6"/>
      <c r="VRI89" s="6"/>
      <c r="VRJ89" s="6"/>
      <c r="VRK89" s="6"/>
      <c r="VRL89" s="6"/>
      <c r="VRM89" s="6"/>
      <c r="VRN89" s="6"/>
      <c r="VRO89" s="6"/>
      <c r="VRP89" s="6"/>
      <c r="VRQ89" s="6"/>
      <c r="VRR89" s="6"/>
      <c r="VRS89" s="6"/>
      <c r="VRT89" s="6"/>
      <c r="VRU89" s="6"/>
      <c r="VRV89" s="6"/>
      <c r="VRW89" s="6"/>
      <c r="VRX89" s="6"/>
      <c r="VRY89" s="6"/>
      <c r="VRZ89" s="6"/>
      <c r="VSA89" s="6"/>
      <c r="VSB89" s="6"/>
      <c r="VSC89" s="6"/>
      <c r="VSD89" s="6"/>
      <c r="VSE89" s="6"/>
      <c r="VSF89" s="6"/>
      <c r="VSG89" s="6"/>
      <c r="VSH89" s="6"/>
      <c r="VSI89" s="6"/>
      <c r="VSJ89" s="6"/>
      <c r="VSK89" s="6"/>
      <c r="VSL89" s="6"/>
      <c r="VSM89" s="6"/>
      <c r="VSN89" s="6"/>
      <c r="VSO89" s="6"/>
      <c r="VSP89" s="6"/>
      <c r="VSQ89" s="6"/>
      <c r="VSR89" s="6"/>
      <c r="VSS89" s="6"/>
      <c r="VST89" s="6"/>
      <c r="VSU89" s="6"/>
      <c r="VSV89" s="6"/>
      <c r="VSW89" s="6"/>
      <c r="VSX89" s="6"/>
      <c r="VSY89" s="6"/>
      <c r="VSZ89" s="6"/>
      <c r="VTA89" s="6"/>
      <c r="VTB89" s="6"/>
      <c r="VTC89" s="6"/>
      <c r="VTD89" s="6"/>
      <c r="VTE89" s="6"/>
      <c r="VTF89" s="6"/>
      <c r="VTG89" s="6"/>
      <c r="VTH89" s="6"/>
      <c r="VTI89" s="6"/>
      <c r="VTJ89" s="6"/>
      <c r="VTK89" s="6"/>
      <c r="VTL89" s="6"/>
      <c r="VTM89" s="6"/>
      <c r="VTN89" s="6"/>
      <c r="VTO89" s="6"/>
      <c r="VTP89" s="6"/>
      <c r="VTQ89" s="6"/>
      <c r="VTR89" s="6"/>
      <c r="VTS89" s="6"/>
      <c r="VTT89" s="6"/>
      <c r="VTU89" s="6"/>
      <c r="VTV89" s="6"/>
      <c r="VTW89" s="6"/>
      <c r="VTX89" s="6"/>
      <c r="VTY89" s="6"/>
      <c r="VTZ89" s="6"/>
      <c r="VUA89" s="6"/>
      <c r="VUB89" s="6"/>
      <c r="VUC89" s="6"/>
      <c r="VUD89" s="6"/>
      <c r="VUE89" s="6"/>
      <c r="VUF89" s="6"/>
      <c r="VUG89" s="6"/>
      <c r="VUH89" s="6"/>
      <c r="VUI89" s="6"/>
      <c r="VUJ89" s="6"/>
      <c r="VUK89" s="6"/>
      <c r="VUL89" s="6"/>
      <c r="VUM89" s="6"/>
      <c r="VUN89" s="6"/>
      <c r="VUO89" s="6"/>
      <c r="VUP89" s="6"/>
      <c r="VUQ89" s="6"/>
      <c r="VUR89" s="6"/>
      <c r="VUS89" s="6"/>
      <c r="VUT89" s="6"/>
      <c r="VUU89" s="6"/>
      <c r="VUV89" s="6"/>
      <c r="VUW89" s="6"/>
      <c r="VUX89" s="6"/>
      <c r="VUY89" s="6"/>
      <c r="VUZ89" s="6"/>
      <c r="VVA89" s="6"/>
      <c r="VVB89" s="6"/>
      <c r="VVC89" s="6"/>
      <c r="VVD89" s="6"/>
      <c r="VVE89" s="6"/>
      <c r="VVF89" s="6"/>
      <c r="VVG89" s="6"/>
      <c r="VVH89" s="6"/>
      <c r="VVI89" s="6"/>
      <c r="VVJ89" s="6"/>
      <c r="VVK89" s="6"/>
      <c r="VVL89" s="6"/>
      <c r="VVM89" s="6"/>
      <c r="VVN89" s="6"/>
      <c r="VVO89" s="6"/>
      <c r="VVP89" s="6"/>
      <c r="VVQ89" s="6"/>
      <c r="VVR89" s="6"/>
      <c r="VVS89" s="6"/>
      <c r="VVT89" s="6"/>
      <c r="VVU89" s="6"/>
      <c r="VVV89" s="6"/>
      <c r="VVW89" s="6"/>
      <c r="VVX89" s="6"/>
      <c r="VVY89" s="6"/>
      <c r="VVZ89" s="6"/>
      <c r="VWA89" s="6"/>
      <c r="VWB89" s="6"/>
      <c r="VWC89" s="6"/>
      <c r="VWD89" s="6"/>
      <c r="VWE89" s="6"/>
      <c r="VWF89" s="6"/>
      <c r="VWG89" s="6"/>
      <c r="VWH89" s="6"/>
      <c r="VWI89" s="6"/>
      <c r="VWJ89" s="6"/>
      <c r="VWK89" s="6"/>
      <c r="VWL89" s="6"/>
      <c r="VWM89" s="6"/>
      <c r="VWN89" s="6"/>
      <c r="VWO89" s="6"/>
      <c r="VWP89" s="6"/>
      <c r="VWQ89" s="6"/>
      <c r="VWR89" s="6"/>
      <c r="VWS89" s="6"/>
      <c r="VWT89" s="6"/>
      <c r="VWU89" s="6"/>
      <c r="VWV89" s="6"/>
      <c r="VWW89" s="6"/>
      <c r="VWX89" s="6"/>
      <c r="VWY89" s="6"/>
      <c r="VWZ89" s="6"/>
      <c r="VXA89" s="6"/>
      <c r="VXB89" s="6"/>
      <c r="VXC89" s="6"/>
      <c r="VXD89" s="6"/>
      <c r="VXE89" s="6"/>
      <c r="VXF89" s="6"/>
      <c r="VXG89" s="6"/>
      <c r="VXH89" s="6"/>
      <c r="VXI89" s="6"/>
      <c r="VXJ89" s="6"/>
      <c r="VXK89" s="6"/>
      <c r="VXL89" s="6"/>
      <c r="VXM89" s="6"/>
      <c r="VXN89" s="6"/>
      <c r="VXO89" s="6"/>
      <c r="VXP89" s="6"/>
      <c r="VXQ89" s="6"/>
      <c r="VXR89" s="6"/>
      <c r="VXS89" s="6"/>
      <c r="VXT89" s="6"/>
      <c r="VXU89" s="6"/>
      <c r="VXV89" s="6"/>
      <c r="VXW89" s="6"/>
      <c r="VXX89" s="6"/>
      <c r="VXY89" s="6"/>
      <c r="VXZ89" s="6"/>
      <c r="VYA89" s="6"/>
      <c r="VYB89" s="6"/>
      <c r="VYC89" s="6"/>
      <c r="VYD89" s="6"/>
      <c r="VYE89" s="6"/>
      <c r="VYF89" s="6"/>
      <c r="VYG89" s="6"/>
      <c r="VYH89" s="6"/>
      <c r="VYI89" s="6"/>
      <c r="VYJ89" s="6"/>
      <c r="VYK89" s="6"/>
      <c r="VYL89" s="6"/>
      <c r="VYM89" s="6"/>
      <c r="VYN89" s="6"/>
      <c r="VYO89" s="6"/>
      <c r="VYP89" s="6"/>
      <c r="VYQ89" s="6"/>
      <c r="VYR89" s="6"/>
      <c r="VYS89" s="6"/>
      <c r="VYT89" s="6"/>
      <c r="VYU89" s="6"/>
      <c r="VYV89" s="6"/>
      <c r="VYW89" s="6"/>
      <c r="VYX89" s="6"/>
      <c r="VYY89" s="6"/>
      <c r="VYZ89" s="6"/>
      <c r="VZA89" s="6"/>
      <c r="VZB89" s="6"/>
      <c r="VZC89" s="6"/>
      <c r="VZD89" s="6"/>
      <c r="VZE89" s="6"/>
      <c r="VZF89" s="6"/>
      <c r="VZG89" s="6"/>
      <c r="VZH89" s="6"/>
      <c r="VZI89" s="6"/>
      <c r="VZJ89" s="6"/>
      <c r="VZK89" s="6"/>
      <c r="VZL89" s="6"/>
      <c r="VZM89" s="6"/>
      <c r="VZN89" s="6"/>
      <c r="VZO89" s="6"/>
      <c r="VZP89" s="6"/>
      <c r="VZQ89" s="6"/>
      <c r="VZR89" s="6"/>
      <c r="VZS89" s="6"/>
      <c r="VZT89" s="6"/>
      <c r="VZU89" s="6"/>
      <c r="VZV89" s="6"/>
      <c r="VZW89" s="6"/>
      <c r="VZX89" s="6"/>
      <c r="VZY89" s="6"/>
      <c r="VZZ89" s="6"/>
      <c r="WAA89" s="6"/>
      <c r="WAB89" s="6"/>
      <c r="WAC89" s="6"/>
      <c r="WAD89" s="6"/>
      <c r="WAE89" s="6"/>
      <c r="WAF89" s="6"/>
      <c r="WAG89" s="6"/>
      <c r="WAH89" s="6"/>
      <c r="WAI89" s="6"/>
      <c r="WAJ89" s="6"/>
      <c r="WAK89" s="6"/>
      <c r="WAL89" s="6"/>
      <c r="WAM89" s="6"/>
      <c r="WAN89" s="6"/>
      <c r="WAO89" s="6"/>
      <c r="WAP89" s="6"/>
      <c r="WAQ89" s="6"/>
      <c r="WAR89" s="6"/>
      <c r="WAS89" s="6"/>
      <c r="WAT89" s="6"/>
      <c r="WAU89" s="6"/>
      <c r="WAV89" s="6"/>
      <c r="WAW89" s="6"/>
      <c r="WAX89" s="6"/>
      <c r="WAY89" s="6"/>
      <c r="WAZ89" s="6"/>
      <c r="WBA89" s="6"/>
      <c r="WBB89" s="6"/>
      <c r="WBC89" s="6"/>
      <c r="WBD89" s="6"/>
      <c r="WBE89" s="6"/>
      <c r="WBF89" s="6"/>
      <c r="WBG89" s="6"/>
      <c r="WBH89" s="6"/>
      <c r="WBI89" s="6"/>
      <c r="WBJ89" s="6"/>
      <c r="WBK89" s="6"/>
      <c r="WBL89" s="6"/>
      <c r="WBM89" s="6"/>
      <c r="WBN89" s="6"/>
      <c r="WBO89" s="6"/>
      <c r="WBP89" s="6"/>
      <c r="WBQ89" s="6"/>
      <c r="WBR89" s="6"/>
      <c r="WBS89" s="6"/>
      <c r="WBT89" s="6"/>
      <c r="WBU89" s="6"/>
      <c r="WBV89" s="6"/>
      <c r="WBW89" s="6"/>
      <c r="WBX89" s="6"/>
      <c r="WBY89" s="6"/>
      <c r="WBZ89" s="6"/>
      <c r="WCA89" s="6"/>
      <c r="WCB89" s="6"/>
      <c r="WCC89" s="6"/>
      <c r="WCD89" s="6"/>
      <c r="WCE89" s="6"/>
      <c r="WCF89" s="6"/>
      <c r="WCG89" s="6"/>
      <c r="WCH89" s="6"/>
      <c r="WCI89" s="6"/>
      <c r="WCJ89" s="6"/>
      <c r="WCK89" s="6"/>
      <c r="WCL89" s="6"/>
      <c r="WCM89" s="6"/>
      <c r="WCN89" s="6"/>
      <c r="WCO89" s="6"/>
      <c r="WCP89" s="6"/>
      <c r="WCQ89" s="6"/>
      <c r="WCR89" s="6"/>
      <c r="WCS89" s="6"/>
      <c r="WCT89" s="6"/>
      <c r="WCU89" s="6"/>
      <c r="WCV89" s="6"/>
      <c r="WCW89" s="6"/>
      <c r="WCX89" s="6"/>
      <c r="WCY89" s="6"/>
      <c r="WCZ89" s="6"/>
      <c r="WDA89" s="6"/>
      <c r="WDB89" s="6"/>
      <c r="WDC89" s="6"/>
      <c r="WDD89" s="6"/>
      <c r="WDE89" s="6"/>
      <c r="WDF89" s="6"/>
      <c r="WDG89" s="6"/>
      <c r="WDH89" s="6"/>
      <c r="WDI89" s="6"/>
      <c r="WDJ89" s="6"/>
      <c r="WDK89" s="6"/>
      <c r="WDL89" s="6"/>
      <c r="WDM89" s="6"/>
      <c r="WDN89" s="6"/>
      <c r="WDO89" s="6"/>
      <c r="WDP89" s="6"/>
      <c r="WDQ89" s="6"/>
      <c r="WDR89" s="6"/>
      <c r="WDS89" s="6"/>
      <c r="WDT89" s="6"/>
      <c r="WDU89" s="6"/>
      <c r="WDV89" s="6"/>
      <c r="WDW89" s="6"/>
      <c r="WDX89" s="6"/>
      <c r="WDY89" s="6"/>
      <c r="WDZ89" s="6"/>
      <c r="WEA89" s="6"/>
      <c r="WEB89" s="6"/>
      <c r="WEC89" s="6"/>
      <c r="WED89" s="6"/>
      <c r="WEE89" s="6"/>
      <c r="WEF89" s="6"/>
      <c r="WEG89" s="6"/>
      <c r="WEH89" s="6"/>
      <c r="WEI89" s="6"/>
      <c r="WEJ89" s="6"/>
      <c r="WEK89" s="6"/>
      <c r="WEL89" s="6"/>
      <c r="WEM89" s="6"/>
      <c r="WEN89" s="6"/>
      <c r="WEO89" s="6"/>
      <c r="WEP89" s="6"/>
      <c r="WEQ89" s="6"/>
      <c r="WER89" s="6"/>
      <c r="WES89" s="6"/>
      <c r="WET89" s="6"/>
      <c r="WEU89" s="6"/>
      <c r="WEV89" s="6"/>
      <c r="WEW89" s="6"/>
      <c r="WEX89" s="6"/>
      <c r="WEY89" s="6"/>
      <c r="WEZ89" s="6"/>
      <c r="WFA89" s="6"/>
      <c r="WFB89" s="6"/>
      <c r="WFC89" s="6"/>
      <c r="WFD89" s="6"/>
      <c r="WFE89" s="6"/>
      <c r="WFF89" s="6"/>
      <c r="WFG89" s="6"/>
      <c r="WFH89" s="6"/>
      <c r="WFI89" s="6"/>
      <c r="WFJ89" s="6"/>
      <c r="WFK89" s="6"/>
      <c r="WFL89" s="6"/>
      <c r="WFM89" s="6"/>
      <c r="WFN89" s="6"/>
      <c r="WFO89" s="6"/>
      <c r="WFP89" s="6"/>
      <c r="WFQ89" s="6"/>
      <c r="WFR89" s="6"/>
      <c r="WFS89" s="6"/>
      <c r="WFT89" s="6"/>
      <c r="WFU89" s="6"/>
      <c r="WFV89" s="6"/>
      <c r="WFW89" s="6"/>
      <c r="WFX89" s="6"/>
      <c r="WFY89" s="6"/>
      <c r="WFZ89" s="6"/>
      <c r="WGA89" s="6"/>
      <c r="WGB89" s="6"/>
      <c r="WGC89" s="6"/>
      <c r="WGD89" s="6"/>
      <c r="WGE89" s="6"/>
      <c r="WGF89" s="6"/>
      <c r="WGG89" s="6"/>
      <c r="WGH89" s="6"/>
      <c r="WGI89" s="6"/>
      <c r="WGJ89" s="6"/>
      <c r="WGK89" s="6"/>
      <c r="WGL89" s="6"/>
      <c r="WGM89" s="6"/>
      <c r="WGN89" s="6"/>
      <c r="WGO89" s="6"/>
      <c r="WGP89" s="6"/>
      <c r="WGQ89" s="6"/>
      <c r="WGR89" s="6"/>
      <c r="WGS89" s="6"/>
      <c r="WGT89" s="6"/>
      <c r="WGU89" s="6"/>
      <c r="WGV89" s="6"/>
      <c r="WGW89" s="6"/>
      <c r="WGX89" s="6"/>
      <c r="WGY89" s="6"/>
      <c r="WGZ89" s="6"/>
      <c r="WHA89" s="6"/>
      <c r="WHB89" s="6"/>
      <c r="WHC89" s="6"/>
      <c r="WHD89" s="6"/>
      <c r="WHE89" s="6"/>
      <c r="WHF89" s="6"/>
      <c r="WHG89" s="6"/>
      <c r="WHH89" s="6"/>
      <c r="WHI89" s="6"/>
      <c r="WHJ89" s="6"/>
      <c r="WHK89" s="6"/>
      <c r="WHL89" s="6"/>
      <c r="WHM89" s="6"/>
      <c r="WHN89" s="6"/>
      <c r="WHO89" s="6"/>
      <c r="WHP89" s="6"/>
      <c r="WHQ89" s="6"/>
      <c r="WHR89" s="6"/>
      <c r="WHS89" s="6"/>
      <c r="WHT89" s="6"/>
      <c r="WHU89" s="6"/>
      <c r="WHV89" s="6"/>
      <c r="WHW89" s="6"/>
      <c r="WHX89" s="6"/>
      <c r="WHY89" s="6"/>
      <c r="WHZ89" s="6"/>
      <c r="WIA89" s="6"/>
      <c r="WIB89" s="6"/>
      <c r="WIC89" s="6"/>
      <c r="WID89" s="6"/>
      <c r="WIE89" s="6"/>
      <c r="WIF89" s="6"/>
      <c r="WIG89" s="6"/>
      <c r="WIH89" s="6"/>
      <c r="WII89" s="6"/>
      <c r="WIJ89" s="6"/>
      <c r="WIK89" s="6"/>
      <c r="WIL89" s="6"/>
      <c r="WIM89" s="6"/>
      <c r="WIN89" s="6"/>
      <c r="WIO89" s="6"/>
      <c r="WIP89" s="6"/>
      <c r="WIQ89" s="6"/>
      <c r="WIR89" s="6"/>
      <c r="WIS89" s="6"/>
      <c r="WIT89" s="6"/>
      <c r="WIU89" s="6"/>
      <c r="WIV89" s="6"/>
      <c r="WIW89" s="6"/>
      <c r="WIX89" s="6"/>
      <c r="WIY89" s="6"/>
      <c r="WIZ89" s="6"/>
      <c r="WJA89" s="6"/>
      <c r="WJB89" s="6"/>
      <c r="WJC89" s="6"/>
      <c r="WJD89" s="6"/>
      <c r="WJE89" s="6"/>
      <c r="WJF89" s="6"/>
      <c r="WJG89" s="6"/>
      <c r="WJH89" s="6"/>
      <c r="WJI89" s="6"/>
      <c r="WJJ89" s="6"/>
      <c r="WJK89" s="6"/>
      <c r="WJL89" s="6"/>
      <c r="WJM89" s="6"/>
      <c r="WJN89" s="6"/>
      <c r="WJO89" s="6"/>
      <c r="WJP89" s="6"/>
      <c r="WJQ89" s="6"/>
      <c r="WJR89" s="6"/>
      <c r="WJS89" s="6"/>
      <c r="WJT89" s="6"/>
      <c r="WJU89" s="6"/>
      <c r="WJV89" s="6"/>
      <c r="WJW89" s="6"/>
      <c r="WJX89" s="6"/>
      <c r="WJY89" s="6"/>
      <c r="WJZ89" s="6"/>
      <c r="WKA89" s="6"/>
      <c r="WKB89" s="6"/>
      <c r="WKC89" s="6"/>
      <c r="WKD89" s="6"/>
      <c r="WKE89" s="6"/>
      <c r="WKF89" s="6"/>
      <c r="WKG89" s="6"/>
      <c r="WKH89" s="6"/>
      <c r="WKI89" s="6"/>
      <c r="WKJ89" s="6"/>
      <c r="WKK89" s="6"/>
      <c r="WKL89" s="6"/>
      <c r="WKM89" s="6"/>
      <c r="WKN89" s="6"/>
      <c r="WKO89" s="6"/>
      <c r="WKP89" s="6"/>
      <c r="WKQ89" s="6"/>
      <c r="WKR89" s="6"/>
      <c r="WKS89" s="6"/>
      <c r="WKT89" s="6"/>
      <c r="WKU89" s="6"/>
      <c r="WKV89" s="6"/>
      <c r="WKW89" s="6"/>
      <c r="WKX89" s="6"/>
      <c r="WKY89" s="6"/>
      <c r="WKZ89" s="6"/>
      <c r="WLA89" s="6"/>
      <c r="WLB89" s="6"/>
      <c r="WLC89" s="6"/>
      <c r="WLD89" s="6"/>
      <c r="WLE89" s="6"/>
      <c r="WLF89" s="6"/>
      <c r="WLG89" s="6"/>
      <c r="WLH89" s="6"/>
      <c r="WLI89" s="6"/>
      <c r="WLJ89" s="6"/>
      <c r="WLK89" s="6"/>
      <c r="WLL89" s="6"/>
      <c r="WLM89" s="6"/>
      <c r="WLN89" s="6"/>
      <c r="WLO89" s="6"/>
      <c r="WLP89" s="6"/>
      <c r="WLQ89" s="6"/>
      <c r="WLR89" s="6"/>
      <c r="WLS89" s="6"/>
      <c r="WLT89" s="6"/>
      <c r="WLU89" s="6"/>
      <c r="WLV89" s="6"/>
      <c r="WLW89" s="6"/>
      <c r="WLX89" s="6"/>
      <c r="WLY89" s="6"/>
      <c r="WLZ89" s="6"/>
      <c r="WMA89" s="6"/>
      <c r="WMB89" s="6"/>
      <c r="WMC89" s="6"/>
      <c r="WMD89" s="6"/>
      <c r="WME89" s="6"/>
      <c r="WMF89" s="6"/>
      <c r="WMG89" s="6"/>
      <c r="WMH89" s="6"/>
      <c r="WMI89" s="6"/>
      <c r="WMJ89" s="6"/>
      <c r="WMK89" s="6"/>
      <c r="WML89" s="6"/>
      <c r="WMM89" s="6"/>
      <c r="WMN89" s="6"/>
      <c r="WMO89" s="6"/>
      <c r="WMP89" s="6"/>
      <c r="WMQ89" s="6"/>
      <c r="WMR89" s="6"/>
      <c r="WMS89" s="6"/>
      <c r="WMT89" s="6"/>
      <c r="WMU89" s="6"/>
      <c r="WMV89" s="6"/>
      <c r="WMW89" s="6"/>
      <c r="WMX89" s="6"/>
      <c r="WMY89" s="6"/>
      <c r="WMZ89" s="6"/>
      <c r="WNA89" s="6"/>
      <c r="WNB89" s="6"/>
      <c r="WNC89" s="6"/>
      <c r="WND89" s="6"/>
      <c r="WNE89" s="6"/>
      <c r="WNF89" s="6"/>
      <c r="WNG89" s="6"/>
      <c r="WNH89" s="6"/>
      <c r="WNI89" s="6"/>
      <c r="WNJ89" s="6"/>
      <c r="WNK89" s="6"/>
      <c r="WNL89" s="6"/>
      <c r="WNM89" s="6"/>
      <c r="WNN89" s="6"/>
      <c r="WNO89" s="6"/>
      <c r="WNP89" s="6"/>
      <c r="WNQ89" s="6"/>
      <c r="WNR89" s="6"/>
      <c r="WNS89" s="6"/>
      <c r="WNT89" s="6"/>
      <c r="WNU89" s="6"/>
      <c r="WNV89" s="6"/>
      <c r="WNW89" s="6"/>
      <c r="WNX89" s="6"/>
      <c r="WNY89" s="6"/>
      <c r="WNZ89" s="6"/>
      <c r="WOA89" s="6"/>
      <c r="WOB89" s="6"/>
      <c r="WOC89" s="6"/>
      <c r="WOD89" s="6"/>
      <c r="WOE89" s="6"/>
      <c r="WOF89" s="6"/>
      <c r="WOG89" s="6"/>
      <c r="WOH89" s="6"/>
      <c r="WOI89" s="6"/>
      <c r="WOJ89" s="6"/>
      <c r="WOK89" s="6"/>
      <c r="WOL89" s="6"/>
      <c r="WOM89" s="6"/>
      <c r="WON89" s="6"/>
      <c r="WOO89" s="6"/>
      <c r="WOP89" s="6"/>
      <c r="WOQ89" s="6"/>
      <c r="WOR89" s="6"/>
      <c r="WOS89" s="6"/>
      <c r="WOT89" s="6"/>
      <c r="WOU89" s="6"/>
      <c r="WOV89" s="6"/>
      <c r="WOW89" s="6"/>
      <c r="WOX89" s="6"/>
      <c r="WOY89" s="6"/>
      <c r="WOZ89" s="6"/>
      <c r="WPA89" s="6"/>
      <c r="WPB89" s="6"/>
      <c r="WPC89" s="6"/>
      <c r="WPD89" s="6"/>
      <c r="WPE89" s="6"/>
      <c r="WPF89" s="6"/>
      <c r="WPG89" s="6"/>
      <c r="WPH89" s="6"/>
      <c r="WPI89" s="6"/>
      <c r="WPJ89" s="6"/>
      <c r="WPK89" s="6"/>
      <c r="WPL89" s="6"/>
      <c r="WPM89" s="6"/>
      <c r="WPN89" s="6"/>
      <c r="WPO89" s="6"/>
      <c r="WPP89" s="6"/>
      <c r="WPQ89" s="6"/>
      <c r="WPR89" s="6"/>
      <c r="WPS89" s="6"/>
      <c r="WPT89" s="6"/>
      <c r="WPU89" s="6"/>
      <c r="WPV89" s="6"/>
      <c r="WPW89" s="6"/>
      <c r="WPX89" s="6"/>
      <c r="WPY89" s="6"/>
      <c r="WPZ89" s="6"/>
      <c r="WQA89" s="6"/>
      <c r="WQB89" s="6"/>
      <c r="WQC89" s="6"/>
      <c r="WQD89" s="6"/>
      <c r="WQE89" s="6"/>
      <c r="WQF89" s="6"/>
      <c r="WQG89" s="6"/>
      <c r="WQH89" s="6"/>
      <c r="WQI89" s="6"/>
      <c r="WQJ89" s="6"/>
      <c r="WQK89" s="6"/>
      <c r="WQL89" s="6"/>
      <c r="WQM89" s="6"/>
      <c r="WQN89" s="6"/>
      <c r="WQO89" s="6"/>
      <c r="WQP89" s="6"/>
      <c r="WQQ89" s="6"/>
      <c r="WQR89" s="6"/>
      <c r="WQS89" s="6"/>
      <c r="WQT89" s="6"/>
      <c r="WQU89" s="6"/>
      <c r="WQV89" s="6"/>
      <c r="WQW89" s="6"/>
      <c r="WQX89" s="6"/>
      <c r="WQY89" s="6"/>
      <c r="WQZ89" s="6"/>
      <c r="WRA89" s="6"/>
      <c r="WRB89" s="6"/>
      <c r="WRC89" s="6"/>
      <c r="WRD89" s="6"/>
      <c r="WRE89" s="6"/>
      <c r="WRF89" s="6"/>
      <c r="WRG89" s="6"/>
      <c r="WRH89" s="6"/>
      <c r="WRI89" s="6"/>
      <c r="WRJ89" s="6"/>
      <c r="WRK89" s="6"/>
      <c r="WRL89" s="6"/>
      <c r="WRM89" s="6"/>
      <c r="WRN89" s="6"/>
      <c r="WRO89" s="6"/>
      <c r="WRP89" s="6"/>
      <c r="WRQ89" s="6"/>
      <c r="WRR89" s="6"/>
      <c r="WRS89" s="6"/>
      <c r="WRT89" s="6"/>
      <c r="WRU89" s="6"/>
      <c r="WRV89" s="6"/>
      <c r="WRW89" s="6"/>
      <c r="WRX89" s="6"/>
      <c r="WRY89" s="6"/>
      <c r="WRZ89" s="6"/>
      <c r="WSA89" s="6"/>
      <c r="WSB89" s="6"/>
      <c r="WSC89" s="6"/>
      <c r="WSD89" s="6"/>
      <c r="WSE89" s="6"/>
      <c r="WSF89" s="6"/>
      <c r="WSG89" s="6"/>
      <c r="WSH89" s="6"/>
      <c r="WSI89" s="6"/>
      <c r="WSJ89" s="6"/>
      <c r="WSK89" s="6"/>
      <c r="WSL89" s="6"/>
      <c r="WSM89" s="6"/>
      <c r="WSN89" s="6"/>
      <c r="WSO89" s="6"/>
      <c r="WSP89" s="6"/>
      <c r="WSQ89" s="6"/>
      <c r="WSR89" s="6"/>
      <c r="WSS89" s="6"/>
      <c r="WST89" s="6"/>
      <c r="WSU89" s="6"/>
      <c r="WSV89" s="6"/>
      <c r="WSW89" s="6"/>
      <c r="WSX89" s="6"/>
      <c r="WSY89" s="6"/>
      <c r="WSZ89" s="6"/>
      <c r="WTA89" s="6"/>
      <c r="WTB89" s="6"/>
      <c r="WTC89" s="6"/>
      <c r="WTD89" s="6"/>
      <c r="WTE89" s="6"/>
      <c r="WTF89" s="6"/>
      <c r="WTG89" s="6"/>
      <c r="WTH89" s="6"/>
      <c r="WTI89" s="6"/>
      <c r="WTJ89" s="6"/>
      <c r="WTK89" s="6"/>
      <c r="WTL89" s="6"/>
      <c r="WTM89" s="6"/>
      <c r="WTN89" s="6"/>
      <c r="WTO89" s="6"/>
      <c r="WTP89" s="6"/>
      <c r="WTQ89" s="6"/>
      <c r="WTR89" s="6"/>
      <c r="WTS89" s="6"/>
      <c r="WTT89" s="6"/>
      <c r="WTU89" s="6"/>
      <c r="WTV89" s="6"/>
      <c r="WTW89" s="6"/>
      <c r="WTX89" s="6"/>
      <c r="WTY89" s="6"/>
      <c r="WTZ89" s="6"/>
      <c r="WUA89" s="6"/>
      <c r="WUB89" s="6"/>
      <c r="WUC89" s="6"/>
      <c r="WUD89" s="6"/>
      <c r="WUE89" s="6"/>
      <c r="WUF89" s="6"/>
      <c r="WUG89" s="6"/>
      <c r="WUH89" s="6"/>
      <c r="WUI89" s="6"/>
      <c r="WUJ89" s="6"/>
      <c r="WUK89" s="6"/>
      <c r="WUL89" s="6"/>
      <c r="WUM89" s="6"/>
      <c r="WUN89" s="6"/>
      <c r="WUO89" s="6"/>
      <c r="WUP89" s="6"/>
      <c r="WUQ89" s="6"/>
      <c r="WUR89" s="6"/>
      <c r="WUS89" s="6"/>
      <c r="WUT89" s="6"/>
      <c r="WUU89" s="6"/>
      <c r="WUV89" s="6"/>
      <c r="WUW89" s="6"/>
      <c r="WUX89" s="6"/>
      <c r="WUY89" s="6"/>
      <c r="WUZ89" s="6"/>
      <c r="WVA89" s="6"/>
      <c r="WVB89" s="6"/>
      <c r="WVC89" s="6"/>
      <c r="WVD89" s="6"/>
      <c r="WVE89" s="6"/>
      <c r="WVF89" s="6"/>
      <c r="WVG89" s="6"/>
      <c r="WVH89" s="6"/>
      <c r="WVI89" s="6"/>
      <c r="WVJ89" s="6"/>
      <c r="WVK89" s="6"/>
      <c r="WVL89" s="6"/>
      <c r="WVM89" s="6"/>
      <c r="WVN89" s="6"/>
      <c r="WVO89" s="6"/>
      <c r="WVP89" s="6"/>
      <c r="WVQ89" s="6"/>
      <c r="WVR89" s="6"/>
      <c r="WVS89" s="6"/>
      <c r="WVT89" s="6"/>
      <c r="WVU89" s="6"/>
      <c r="WVV89" s="6"/>
      <c r="WVW89" s="6"/>
      <c r="WVX89" s="6"/>
      <c r="WVY89" s="6"/>
      <c r="WVZ89" s="6"/>
      <c r="WWA89" s="6"/>
      <c r="WWB89" s="6"/>
      <c r="WWC89" s="6"/>
      <c r="WWD89" s="6"/>
      <c r="WWE89" s="6"/>
      <c r="WWF89" s="6"/>
      <c r="WWG89" s="6"/>
      <c r="WWH89" s="6"/>
      <c r="WWI89" s="6"/>
      <c r="WWJ89" s="6"/>
      <c r="WWK89" s="6"/>
      <c r="WWL89" s="6"/>
      <c r="WWM89" s="6"/>
      <c r="WWN89" s="6"/>
      <c r="WWO89" s="6"/>
      <c r="WWP89" s="6"/>
      <c r="WWQ89" s="6"/>
      <c r="WWR89" s="6"/>
      <c r="WWS89" s="6"/>
      <c r="WWT89" s="6"/>
      <c r="WWU89" s="6"/>
      <c r="WWV89" s="6"/>
      <c r="WWW89" s="6"/>
      <c r="WWX89" s="6"/>
      <c r="WWY89" s="6"/>
      <c r="WWZ89" s="6"/>
      <c r="WXA89" s="6"/>
      <c r="WXB89" s="6"/>
      <c r="WXC89" s="6"/>
      <c r="WXD89" s="6"/>
      <c r="WXE89" s="6"/>
      <c r="WXF89" s="6"/>
      <c r="WXG89" s="6"/>
      <c r="WXH89" s="6"/>
      <c r="WXI89" s="6"/>
      <c r="WXJ89" s="6"/>
      <c r="WXK89" s="6"/>
      <c r="WXL89" s="6"/>
      <c r="WXM89" s="6"/>
      <c r="WXN89" s="6"/>
      <c r="WXO89" s="6"/>
      <c r="WXP89" s="6"/>
      <c r="WXQ89" s="6"/>
      <c r="WXR89" s="6"/>
      <c r="WXS89" s="6"/>
      <c r="WXT89" s="6"/>
      <c r="WXU89" s="6"/>
      <c r="WXV89" s="6"/>
      <c r="WXW89" s="6"/>
      <c r="WXX89" s="6"/>
      <c r="WXY89" s="6"/>
      <c r="WXZ89" s="6"/>
      <c r="WYA89" s="6"/>
      <c r="WYB89" s="6"/>
      <c r="WYC89" s="6"/>
      <c r="WYD89" s="6"/>
      <c r="WYE89" s="6"/>
      <c r="WYF89" s="6"/>
      <c r="WYG89" s="6"/>
      <c r="WYH89" s="6"/>
      <c r="WYI89" s="6"/>
      <c r="WYJ89" s="6"/>
      <c r="WYK89" s="6"/>
      <c r="WYL89" s="6"/>
      <c r="WYM89" s="6"/>
      <c r="WYN89" s="6"/>
      <c r="WYO89" s="6"/>
      <c r="WYP89" s="6"/>
      <c r="WYQ89" s="6"/>
      <c r="WYR89" s="6"/>
      <c r="WYS89" s="6"/>
      <c r="WYT89" s="6"/>
      <c r="WYU89" s="6"/>
      <c r="WYV89" s="6"/>
      <c r="WYW89" s="6"/>
      <c r="WYX89" s="6"/>
      <c r="WYY89" s="6"/>
      <c r="WYZ89" s="6"/>
      <c r="WZA89" s="6"/>
      <c r="WZB89" s="6"/>
      <c r="WZC89" s="6"/>
      <c r="WZD89" s="6"/>
      <c r="WZE89" s="6"/>
      <c r="WZF89" s="6"/>
      <c r="WZG89" s="6"/>
      <c r="WZH89" s="6"/>
      <c r="WZI89" s="6"/>
      <c r="WZJ89" s="6"/>
      <c r="WZK89" s="6"/>
      <c r="WZL89" s="6"/>
      <c r="WZM89" s="6"/>
      <c r="WZN89" s="6"/>
      <c r="WZO89" s="6"/>
      <c r="WZP89" s="6"/>
      <c r="WZQ89" s="6"/>
      <c r="WZR89" s="6"/>
      <c r="WZS89" s="6"/>
      <c r="WZT89" s="6"/>
      <c r="WZU89" s="6"/>
      <c r="WZV89" s="6"/>
      <c r="WZW89" s="6"/>
      <c r="WZX89" s="6"/>
      <c r="WZY89" s="6"/>
      <c r="WZZ89" s="6"/>
      <c r="XAA89" s="6"/>
      <c r="XAB89" s="6"/>
      <c r="XAC89" s="6"/>
      <c r="XAD89" s="6"/>
      <c r="XAE89" s="6"/>
      <c r="XAF89" s="6"/>
      <c r="XAG89" s="6"/>
      <c r="XAH89" s="6"/>
      <c r="XAI89" s="6"/>
      <c r="XAJ89" s="6"/>
      <c r="XAK89" s="6"/>
      <c r="XAL89" s="6"/>
      <c r="XAM89" s="6"/>
      <c r="XAN89" s="6"/>
      <c r="XAO89" s="6"/>
      <c r="XAP89" s="6"/>
      <c r="XAQ89" s="6"/>
      <c r="XAR89" s="6"/>
      <c r="XAS89" s="6"/>
      <c r="XAT89" s="6"/>
      <c r="XAU89" s="6"/>
      <c r="XAV89" s="6"/>
      <c r="XAW89" s="6"/>
      <c r="XAX89" s="6"/>
      <c r="XAY89" s="6"/>
      <c r="XAZ89" s="6"/>
      <c r="XBA89" s="6"/>
      <c r="XBB89" s="6"/>
      <c r="XBC89" s="6"/>
      <c r="XBD89" s="6"/>
      <c r="XBE89" s="6"/>
      <c r="XBF89" s="6"/>
      <c r="XBG89" s="6"/>
      <c r="XBH89" s="6"/>
      <c r="XBI89" s="6"/>
      <c r="XBJ89" s="6"/>
      <c r="XBK89" s="6"/>
      <c r="XBL89" s="6"/>
      <c r="XBM89" s="6"/>
      <c r="XBN89" s="6"/>
      <c r="XBO89" s="6"/>
      <c r="XBP89" s="6"/>
      <c r="XBQ89" s="6"/>
      <c r="XBR89" s="6"/>
      <c r="XBS89" s="6"/>
      <c r="XBT89" s="6"/>
      <c r="XBU89" s="6"/>
      <c r="XBV89" s="6"/>
      <c r="XBW89" s="6"/>
      <c r="XBX89" s="6"/>
      <c r="XBY89" s="6"/>
      <c r="XBZ89" s="6"/>
      <c r="XCA89" s="6"/>
      <c r="XCB89" s="6"/>
      <c r="XCC89" s="6"/>
      <c r="XCD89" s="6"/>
      <c r="XCE89" s="6"/>
      <c r="XCF89" s="6"/>
      <c r="XCG89" s="6"/>
      <c r="XCH89" s="6"/>
      <c r="XCI89" s="6"/>
      <c r="XCJ89" s="6"/>
      <c r="XCK89" s="6"/>
      <c r="XCL89" s="6"/>
      <c r="XCM89" s="6"/>
      <c r="XCN89" s="6"/>
      <c r="XCO89" s="6"/>
      <c r="XCP89" s="6"/>
      <c r="XCQ89" s="6"/>
      <c r="XCR89" s="6"/>
      <c r="XCS89" s="6"/>
      <c r="XCT89" s="6"/>
      <c r="XCU89" s="6"/>
      <c r="XCV89" s="6"/>
      <c r="XCW89" s="6"/>
    </row>
    <row r="90" spans="1:16325" s="153" customFormat="1" hidden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  <c r="AA90" s="6"/>
      <c r="AB90" s="6"/>
      <c r="AC90" s="6"/>
      <c r="AD90" s="6"/>
      <c r="AE90" s="6"/>
      <c r="AF90" s="6"/>
      <c r="AG90" s="6"/>
      <c r="AH90" s="6"/>
      <c r="AI90" s="6"/>
      <c r="AJ90" s="6"/>
      <c r="AK90" s="6"/>
      <c r="AL90" s="6"/>
      <c r="AM90" s="6"/>
      <c r="AN90" s="6"/>
      <c r="AO90" s="6"/>
      <c r="AP90" s="6"/>
      <c r="AQ90" s="6"/>
      <c r="AR90" s="6"/>
      <c r="AS90" s="6"/>
      <c r="AT90" s="6"/>
      <c r="AU90" s="6"/>
      <c r="AV90" s="6"/>
      <c r="AW90" s="6"/>
      <c r="AX90" s="6"/>
      <c r="AY90" s="6"/>
      <c r="AZ90" s="6"/>
      <c r="BA90" s="6"/>
      <c r="BB90" s="6"/>
      <c r="BC90" s="6"/>
      <c r="BD90" s="6"/>
      <c r="BE90" s="6"/>
      <c r="BF90" s="6"/>
      <c r="BG90" s="6"/>
      <c r="BH90" s="6"/>
      <c r="BI90" s="6"/>
      <c r="BJ90" s="6"/>
      <c r="BK90" s="6"/>
      <c r="BL90" s="6"/>
      <c r="BM90" s="6"/>
      <c r="BN90" s="6"/>
      <c r="BO90" s="6"/>
      <c r="BP90" s="6"/>
      <c r="BQ90" s="6"/>
      <c r="BR90" s="6"/>
      <c r="BS90" s="6"/>
      <c r="BT90" s="6"/>
      <c r="BU90" s="6"/>
      <c r="BV90" s="6"/>
      <c r="BW90" s="6"/>
      <c r="BX90" s="6"/>
      <c r="BY90" s="6"/>
      <c r="BZ90" s="6"/>
      <c r="CA90" s="6"/>
      <c r="CB90" s="6"/>
      <c r="CC90" s="6"/>
      <c r="CD90" s="6"/>
      <c r="CE90" s="6"/>
      <c r="CF90" s="6"/>
      <c r="CG90" s="6"/>
      <c r="CH90" s="6"/>
      <c r="CI90" s="6"/>
      <c r="CJ90" s="6"/>
      <c r="CK90" s="6"/>
      <c r="CL90" s="6"/>
      <c r="CM90" s="6"/>
      <c r="CN90" s="6"/>
      <c r="CO90" s="6"/>
      <c r="CP90" s="6"/>
      <c r="CQ90" s="6"/>
      <c r="CR90" s="6"/>
      <c r="CS90" s="6"/>
      <c r="CT90" s="6"/>
      <c r="CU90" s="6"/>
      <c r="CV90" s="6"/>
      <c r="CW90" s="6"/>
      <c r="CX90" s="6"/>
      <c r="CY90" s="6"/>
      <c r="CZ90" s="6"/>
      <c r="DA90" s="6"/>
      <c r="DB90" s="6"/>
      <c r="DC90" s="6"/>
      <c r="DD90" s="6"/>
      <c r="DE90" s="6"/>
      <c r="DF90" s="6"/>
      <c r="DG90" s="6"/>
      <c r="DH90" s="6"/>
      <c r="DI90" s="6"/>
      <c r="DJ90" s="6"/>
      <c r="DK90" s="6"/>
      <c r="DL90" s="6"/>
      <c r="DM90" s="6"/>
      <c r="DN90" s="6"/>
      <c r="DO90" s="6"/>
      <c r="DP90" s="6"/>
      <c r="DQ90" s="6"/>
      <c r="DR90" s="6"/>
      <c r="DS90" s="6"/>
      <c r="DT90" s="6"/>
      <c r="DU90" s="6"/>
      <c r="DV90" s="6"/>
      <c r="DW90" s="6"/>
      <c r="DX90" s="6"/>
      <c r="DY90" s="6"/>
      <c r="DZ90" s="6"/>
      <c r="EA90" s="6"/>
      <c r="EB90" s="6"/>
      <c r="EC90" s="6"/>
      <c r="ED90" s="6"/>
      <c r="EE90" s="6"/>
      <c r="EF90" s="6"/>
      <c r="EG90" s="6"/>
      <c r="EH90" s="6"/>
      <c r="EI90" s="6"/>
      <c r="EJ90" s="6"/>
      <c r="EK90" s="6"/>
      <c r="EL90" s="6"/>
      <c r="EM90" s="6"/>
      <c r="EN90" s="6"/>
      <c r="EO90" s="6"/>
      <c r="EP90" s="6"/>
      <c r="EQ90" s="6"/>
      <c r="ER90" s="6"/>
      <c r="ES90" s="6"/>
      <c r="ET90" s="6"/>
      <c r="EU90" s="6"/>
      <c r="EV90" s="6"/>
      <c r="EW90" s="6"/>
      <c r="EX90" s="6"/>
      <c r="EY90" s="6"/>
      <c r="EZ90" s="6"/>
      <c r="FA90" s="6"/>
      <c r="FB90" s="6"/>
      <c r="FC90" s="6"/>
      <c r="FD90" s="6"/>
      <c r="FE90" s="6"/>
      <c r="FF90" s="6"/>
      <c r="FG90" s="6"/>
      <c r="FH90" s="6"/>
      <c r="FI90" s="6"/>
      <c r="FJ90" s="6"/>
      <c r="FK90" s="6"/>
      <c r="FL90" s="6"/>
      <c r="FM90" s="6"/>
      <c r="FN90" s="6"/>
      <c r="FO90" s="6"/>
      <c r="FP90" s="6"/>
      <c r="FQ90" s="6"/>
      <c r="FR90" s="6"/>
      <c r="FS90" s="6"/>
      <c r="FT90" s="6"/>
      <c r="FU90" s="6"/>
      <c r="FV90" s="6"/>
      <c r="FW90" s="6"/>
      <c r="FX90" s="6"/>
      <c r="FY90" s="6"/>
      <c r="FZ90" s="6"/>
      <c r="GA90" s="6"/>
      <c r="GB90" s="6"/>
      <c r="GC90" s="6"/>
      <c r="GD90" s="6"/>
      <c r="GE90" s="6"/>
      <c r="GF90" s="6"/>
      <c r="GG90" s="6"/>
      <c r="GH90" s="6"/>
      <c r="GI90" s="6"/>
      <c r="GJ90" s="6"/>
      <c r="GK90" s="6"/>
      <c r="GL90" s="6"/>
      <c r="GM90" s="6"/>
      <c r="GN90" s="6"/>
      <c r="GO90" s="6"/>
      <c r="GP90" s="6"/>
      <c r="GQ90" s="6"/>
      <c r="GR90" s="6"/>
      <c r="GS90" s="6"/>
      <c r="GT90" s="6"/>
      <c r="GU90" s="6"/>
      <c r="GV90" s="6"/>
      <c r="GW90" s="6"/>
      <c r="GX90" s="6"/>
      <c r="GY90" s="6"/>
      <c r="GZ90" s="6"/>
      <c r="HA90" s="6"/>
      <c r="HB90" s="6"/>
      <c r="HC90" s="6"/>
      <c r="HD90" s="6"/>
      <c r="HE90" s="6"/>
      <c r="HF90" s="6"/>
      <c r="HG90" s="6"/>
      <c r="HH90" s="6"/>
      <c r="HI90" s="6"/>
      <c r="HJ90" s="6"/>
      <c r="HK90" s="6"/>
      <c r="HL90" s="6"/>
      <c r="HM90" s="6"/>
      <c r="HN90" s="6"/>
      <c r="HO90" s="6"/>
      <c r="HP90" s="6"/>
      <c r="HQ90" s="6"/>
      <c r="HR90" s="6"/>
      <c r="HS90" s="6"/>
      <c r="HT90" s="6"/>
      <c r="HU90" s="6"/>
      <c r="HV90" s="6"/>
      <c r="HW90" s="6"/>
      <c r="HX90" s="6"/>
      <c r="HY90" s="6"/>
      <c r="HZ90" s="6"/>
      <c r="IA90" s="6"/>
      <c r="IB90" s="6"/>
      <c r="IC90" s="6"/>
      <c r="ID90" s="6"/>
      <c r="IE90" s="6"/>
      <c r="IF90" s="6"/>
      <c r="IG90" s="6"/>
      <c r="IH90" s="6"/>
      <c r="II90" s="6"/>
      <c r="IJ90" s="6"/>
      <c r="IK90" s="6"/>
      <c r="IL90" s="6"/>
      <c r="IM90" s="6"/>
      <c r="IN90" s="6"/>
      <c r="IO90" s="6"/>
      <c r="IP90" s="6"/>
      <c r="IQ90" s="6"/>
      <c r="IR90" s="6"/>
      <c r="IS90" s="6"/>
      <c r="IT90" s="6"/>
      <c r="IU90" s="6"/>
      <c r="IV90" s="6"/>
      <c r="IW90" s="6"/>
      <c r="IX90" s="6"/>
      <c r="IY90" s="6"/>
      <c r="IZ90" s="6"/>
      <c r="JA90" s="6"/>
      <c r="JB90" s="6"/>
      <c r="JC90" s="6"/>
      <c r="JD90" s="6"/>
      <c r="JE90" s="6"/>
      <c r="JF90" s="6"/>
      <c r="JG90" s="6"/>
      <c r="JH90" s="6"/>
      <c r="JI90" s="6"/>
      <c r="JJ90" s="6"/>
      <c r="JK90" s="6"/>
      <c r="JL90" s="6"/>
      <c r="JM90" s="6"/>
      <c r="JN90" s="6"/>
      <c r="JO90" s="6"/>
      <c r="JP90" s="6"/>
      <c r="JQ90" s="6"/>
      <c r="JR90" s="6"/>
      <c r="JS90" s="6"/>
      <c r="JT90" s="6"/>
      <c r="JU90" s="6"/>
      <c r="JV90" s="6"/>
      <c r="JW90" s="6"/>
      <c r="JX90" s="6"/>
      <c r="JY90" s="6"/>
      <c r="JZ90" s="6"/>
      <c r="KA90" s="6"/>
      <c r="KB90" s="6"/>
      <c r="KC90" s="6"/>
      <c r="KD90" s="6"/>
      <c r="KE90" s="6"/>
      <c r="KF90" s="6"/>
      <c r="KG90" s="6"/>
      <c r="KH90" s="6"/>
      <c r="KI90" s="6"/>
      <c r="KJ90" s="6"/>
      <c r="KK90" s="6"/>
      <c r="KL90" s="6"/>
      <c r="KM90" s="6"/>
      <c r="KN90" s="6"/>
      <c r="KO90" s="6"/>
      <c r="KP90" s="6"/>
      <c r="KQ90" s="6"/>
      <c r="KR90" s="6"/>
      <c r="KS90" s="6"/>
      <c r="KT90" s="6"/>
      <c r="KU90" s="6"/>
      <c r="KV90" s="6"/>
      <c r="KW90" s="6"/>
      <c r="KX90" s="6"/>
      <c r="KY90" s="6"/>
      <c r="KZ90" s="6"/>
      <c r="LA90" s="6"/>
      <c r="LB90" s="6"/>
      <c r="LC90" s="6"/>
      <c r="LD90" s="6"/>
      <c r="LE90" s="6"/>
      <c r="LF90" s="6"/>
      <c r="LG90" s="6"/>
      <c r="LH90" s="6"/>
      <c r="LI90" s="6"/>
      <c r="LJ90" s="6"/>
      <c r="LK90" s="6"/>
      <c r="LL90" s="6"/>
      <c r="LM90" s="6"/>
      <c r="LN90" s="6"/>
      <c r="LO90" s="6"/>
      <c r="LP90" s="6"/>
      <c r="LQ90" s="6"/>
      <c r="LR90" s="6"/>
      <c r="LS90" s="6"/>
      <c r="LT90" s="6"/>
      <c r="LU90" s="6"/>
      <c r="LV90" s="6"/>
      <c r="LW90" s="6"/>
      <c r="LX90" s="6"/>
      <c r="LY90" s="6"/>
      <c r="LZ90" s="6"/>
      <c r="MA90" s="6"/>
      <c r="MB90" s="6"/>
      <c r="MC90" s="6"/>
      <c r="MD90" s="6"/>
      <c r="ME90" s="6"/>
      <c r="MF90" s="6"/>
      <c r="MG90" s="6"/>
      <c r="MH90" s="6"/>
      <c r="MI90" s="6"/>
      <c r="MJ90" s="6"/>
      <c r="MK90" s="6"/>
      <c r="ML90" s="6"/>
      <c r="MM90" s="6"/>
      <c r="MN90" s="6"/>
      <c r="MO90" s="6"/>
      <c r="MP90" s="6"/>
      <c r="MQ90" s="6"/>
      <c r="MR90" s="6"/>
      <c r="MS90" s="6"/>
      <c r="MT90" s="6"/>
      <c r="MU90" s="6"/>
      <c r="MV90" s="6"/>
      <c r="MW90" s="6"/>
      <c r="MX90" s="6"/>
      <c r="MY90" s="6"/>
      <c r="MZ90" s="6"/>
      <c r="NA90" s="6"/>
      <c r="NB90" s="6"/>
      <c r="NC90" s="6"/>
      <c r="ND90" s="6"/>
      <c r="NE90" s="6"/>
      <c r="NF90" s="6"/>
      <c r="NG90" s="6"/>
      <c r="NH90" s="6"/>
      <c r="NI90" s="6"/>
      <c r="NJ90" s="6"/>
      <c r="NK90" s="6"/>
      <c r="NL90" s="6"/>
      <c r="NM90" s="6"/>
      <c r="NN90" s="6"/>
      <c r="NO90" s="6"/>
      <c r="NP90" s="6"/>
      <c r="NQ90" s="6"/>
      <c r="NR90" s="6"/>
      <c r="NS90" s="6"/>
      <c r="NT90" s="6"/>
      <c r="NU90" s="6"/>
      <c r="NV90" s="6"/>
      <c r="NW90" s="6"/>
      <c r="NX90" s="6"/>
      <c r="NY90" s="6"/>
      <c r="NZ90" s="6"/>
      <c r="OA90" s="6"/>
      <c r="OB90" s="6"/>
      <c r="OC90" s="6"/>
      <c r="OD90" s="6"/>
      <c r="OE90" s="6"/>
      <c r="OF90" s="6"/>
      <c r="OG90" s="6"/>
      <c r="OH90" s="6"/>
      <c r="OI90" s="6"/>
      <c r="OJ90" s="6"/>
      <c r="OK90" s="6"/>
      <c r="OL90" s="6"/>
      <c r="OM90" s="6"/>
      <c r="ON90" s="6"/>
      <c r="OO90" s="6"/>
      <c r="OP90" s="6"/>
      <c r="OQ90" s="6"/>
      <c r="OR90" s="6"/>
      <c r="OS90" s="6"/>
      <c r="OT90" s="6"/>
      <c r="OU90" s="6"/>
      <c r="OV90" s="6"/>
      <c r="OW90" s="6"/>
      <c r="OX90" s="6"/>
      <c r="OY90" s="6"/>
      <c r="OZ90" s="6"/>
      <c r="PA90" s="6"/>
      <c r="PB90" s="6"/>
      <c r="PC90" s="6"/>
      <c r="PD90" s="6"/>
      <c r="PE90" s="6"/>
      <c r="PF90" s="6"/>
      <c r="PG90" s="6"/>
      <c r="PH90" s="6"/>
      <c r="PI90" s="6"/>
      <c r="PJ90" s="6"/>
      <c r="PK90" s="6"/>
      <c r="PL90" s="6"/>
      <c r="PM90" s="6"/>
      <c r="PN90" s="6"/>
      <c r="PO90" s="6"/>
      <c r="PP90" s="6"/>
      <c r="PQ90" s="6"/>
      <c r="PR90" s="6"/>
      <c r="PS90" s="6"/>
      <c r="PT90" s="6"/>
      <c r="PU90" s="6"/>
      <c r="PV90" s="6"/>
      <c r="PW90" s="6"/>
      <c r="PX90" s="6"/>
      <c r="PY90" s="6"/>
      <c r="PZ90" s="6"/>
      <c r="QA90" s="6"/>
      <c r="QB90" s="6"/>
      <c r="QC90" s="6"/>
      <c r="QD90" s="6"/>
      <c r="QE90" s="6"/>
      <c r="QF90" s="6"/>
      <c r="QG90" s="6"/>
      <c r="QH90" s="6"/>
      <c r="QI90" s="6"/>
      <c r="QJ90" s="6"/>
      <c r="QK90" s="6"/>
      <c r="QL90" s="6"/>
      <c r="QM90" s="6"/>
      <c r="QN90" s="6"/>
      <c r="QO90" s="6"/>
      <c r="QP90" s="6"/>
      <c r="QQ90" s="6"/>
      <c r="QR90" s="6"/>
      <c r="QS90" s="6"/>
      <c r="QT90" s="6"/>
      <c r="QU90" s="6"/>
      <c r="QV90" s="6"/>
      <c r="QW90" s="6"/>
      <c r="QX90" s="6"/>
      <c r="QY90" s="6"/>
      <c r="QZ90" s="6"/>
      <c r="RA90" s="6"/>
      <c r="RB90" s="6"/>
      <c r="RC90" s="6"/>
      <c r="RD90" s="6"/>
      <c r="RE90" s="6"/>
      <c r="RF90" s="6"/>
      <c r="RG90" s="6"/>
      <c r="RH90" s="6"/>
      <c r="RI90" s="6"/>
      <c r="RJ90" s="6"/>
      <c r="RK90" s="6"/>
      <c r="RL90" s="6"/>
      <c r="RM90" s="6"/>
      <c r="RN90" s="6"/>
      <c r="RO90" s="6"/>
      <c r="RP90" s="6"/>
      <c r="RQ90" s="6"/>
      <c r="RR90" s="6"/>
      <c r="RS90" s="6"/>
      <c r="RT90" s="6"/>
      <c r="RU90" s="6"/>
      <c r="RV90" s="6"/>
      <c r="RW90" s="6"/>
      <c r="RX90" s="6"/>
      <c r="RY90" s="6"/>
      <c r="RZ90" s="6"/>
      <c r="SA90" s="6"/>
      <c r="SB90" s="6"/>
      <c r="SC90" s="6"/>
      <c r="SD90" s="6"/>
      <c r="SE90" s="6"/>
      <c r="SF90" s="6"/>
      <c r="SG90" s="6"/>
      <c r="SH90" s="6"/>
      <c r="SI90" s="6"/>
      <c r="SJ90" s="6"/>
      <c r="SK90" s="6"/>
      <c r="SL90" s="6"/>
      <c r="SM90" s="6"/>
      <c r="SN90" s="6"/>
      <c r="SO90" s="6"/>
      <c r="SP90" s="6"/>
      <c r="SQ90" s="6"/>
      <c r="SR90" s="6"/>
      <c r="SS90" s="6"/>
      <c r="ST90" s="6"/>
      <c r="SU90" s="6"/>
      <c r="SV90" s="6"/>
      <c r="SW90" s="6"/>
      <c r="SX90" s="6"/>
      <c r="SY90" s="6"/>
      <c r="SZ90" s="6"/>
      <c r="TA90" s="6"/>
      <c r="TB90" s="6"/>
      <c r="TC90" s="6"/>
      <c r="TD90" s="6"/>
      <c r="TE90" s="6"/>
      <c r="TF90" s="6"/>
      <c r="TG90" s="6"/>
      <c r="TH90" s="6"/>
      <c r="TI90" s="6"/>
      <c r="TJ90" s="6"/>
      <c r="TK90" s="6"/>
      <c r="TL90" s="6"/>
      <c r="TM90" s="6"/>
      <c r="TN90" s="6"/>
      <c r="TO90" s="6"/>
      <c r="TP90" s="6"/>
      <c r="TQ90" s="6"/>
      <c r="TR90" s="6"/>
      <c r="TS90" s="6"/>
      <c r="TT90" s="6"/>
      <c r="TU90" s="6"/>
      <c r="TV90" s="6"/>
      <c r="TW90" s="6"/>
      <c r="TX90" s="6"/>
      <c r="TY90" s="6"/>
      <c r="TZ90" s="6"/>
      <c r="UA90" s="6"/>
      <c r="UB90" s="6"/>
      <c r="UC90" s="6"/>
      <c r="UD90" s="6"/>
      <c r="UE90" s="6"/>
      <c r="UF90" s="6"/>
      <c r="UG90" s="6"/>
      <c r="UH90" s="6"/>
      <c r="UI90" s="6"/>
      <c r="UJ90" s="6"/>
      <c r="UK90" s="6"/>
      <c r="UL90" s="6"/>
      <c r="UM90" s="6"/>
      <c r="UN90" s="6"/>
      <c r="UO90" s="6"/>
      <c r="UP90" s="6"/>
      <c r="UQ90" s="6"/>
      <c r="UR90" s="6"/>
      <c r="US90" s="6"/>
      <c r="UT90" s="6"/>
      <c r="UU90" s="6"/>
      <c r="UV90" s="6"/>
      <c r="UW90" s="6"/>
      <c r="UX90" s="6"/>
      <c r="UY90" s="6"/>
      <c r="UZ90" s="6"/>
      <c r="VA90" s="6"/>
      <c r="VB90" s="6"/>
      <c r="VC90" s="6"/>
      <c r="VD90" s="6"/>
      <c r="VE90" s="6"/>
      <c r="VF90" s="6"/>
      <c r="VG90" s="6"/>
      <c r="VH90" s="6"/>
      <c r="VI90" s="6"/>
      <c r="VJ90" s="6"/>
      <c r="VK90" s="6"/>
      <c r="VL90" s="6"/>
      <c r="VM90" s="6"/>
      <c r="VN90" s="6"/>
      <c r="VO90" s="6"/>
      <c r="VP90" s="6"/>
      <c r="VQ90" s="6"/>
      <c r="VR90" s="6"/>
      <c r="VS90" s="6"/>
      <c r="VT90" s="6"/>
      <c r="VU90" s="6"/>
      <c r="VV90" s="6"/>
      <c r="VW90" s="6"/>
      <c r="VX90" s="6"/>
      <c r="VY90" s="6"/>
      <c r="VZ90" s="6"/>
      <c r="WA90" s="6"/>
      <c r="WB90" s="6"/>
      <c r="WC90" s="6"/>
      <c r="WD90" s="6"/>
      <c r="WE90" s="6"/>
      <c r="WF90" s="6"/>
      <c r="WG90" s="6"/>
      <c r="WH90" s="6"/>
      <c r="WI90" s="6"/>
      <c r="WJ90" s="6"/>
      <c r="WK90" s="6"/>
      <c r="WL90" s="6"/>
      <c r="WM90" s="6"/>
      <c r="WN90" s="6"/>
      <c r="WO90" s="6"/>
      <c r="WP90" s="6"/>
      <c r="WQ90" s="6"/>
      <c r="WR90" s="6"/>
      <c r="WS90" s="6"/>
      <c r="WT90" s="6"/>
      <c r="WU90" s="6"/>
      <c r="WV90" s="6"/>
      <c r="WW90" s="6"/>
      <c r="WX90" s="6"/>
      <c r="WY90" s="6"/>
      <c r="WZ90" s="6"/>
      <c r="XA90" s="6"/>
      <c r="XB90" s="6"/>
      <c r="XC90" s="6"/>
      <c r="XD90" s="6"/>
      <c r="XE90" s="6"/>
      <c r="XF90" s="6"/>
      <c r="XG90" s="6"/>
      <c r="XH90" s="6"/>
      <c r="XI90" s="6"/>
      <c r="XJ90" s="6"/>
      <c r="XK90" s="6"/>
      <c r="XL90" s="6"/>
      <c r="XM90" s="6"/>
      <c r="XN90" s="6"/>
      <c r="XO90" s="6"/>
      <c r="XP90" s="6"/>
      <c r="XQ90" s="6"/>
      <c r="XR90" s="6"/>
      <c r="XS90" s="6"/>
      <c r="XT90" s="6"/>
      <c r="XU90" s="6"/>
      <c r="XV90" s="6"/>
      <c r="XW90" s="6"/>
      <c r="XX90" s="6"/>
      <c r="XY90" s="6"/>
      <c r="XZ90" s="6"/>
      <c r="YA90" s="6"/>
      <c r="YB90" s="6"/>
      <c r="YC90" s="6"/>
      <c r="YD90" s="6"/>
      <c r="YE90" s="6"/>
      <c r="YF90" s="6"/>
      <c r="YG90" s="6"/>
      <c r="YH90" s="6"/>
      <c r="YI90" s="6"/>
      <c r="YJ90" s="6"/>
      <c r="YK90" s="6"/>
      <c r="YL90" s="6"/>
      <c r="YM90" s="6"/>
      <c r="YN90" s="6"/>
      <c r="YO90" s="6"/>
      <c r="YP90" s="6"/>
      <c r="YQ90" s="6"/>
      <c r="YR90" s="6"/>
      <c r="YS90" s="6"/>
      <c r="YT90" s="6"/>
      <c r="YU90" s="6"/>
      <c r="YV90" s="6"/>
      <c r="YW90" s="6"/>
      <c r="YX90" s="6"/>
      <c r="YY90" s="6"/>
      <c r="YZ90" s="6"/>
      <c r="ZA90" s="6"/>
      <c r="ZB90" s="6"/>
      <c r="ZC90" s="6"/>
      <c r="ZD90" s="6"/>
      <c r="ZE90" s="6"/>
      <c r="ZF90" s="6"/>
      <c r="ZG90" s="6"/>
      <c r="ZH90" s="6"/>
      <c r="ZI90" s="6"/>
      <c r="ZJ90" s="6"/>
      <c r="ZK90" s="6"/>
      <c r="ZL90" s="6"/>
      <c r="ZM90" s="6"/>
      <c r="ZN90" s="6"/>
      <c r="ZO90" s="6"/>
      <c r="ZP90" s="6"/>
      <c r="ZQ90" s="6"/>
      <c r="ZR90" s="6"/>
      <c r="ZS90" s="6"/>
      <c r="ZT90" s="6"/>
      <c r="ZU90" s="6"/>
      <c r="ZV90" s="6"/>
      <c r="ZW90" s="6"/>
      <c r="ZX90" s="6"/>
      <c r="ZY90" s="6"/>
      <c r="ZZ90" s="6"/>
      <c r="AAA90" s="6"/>
      <c r="AAB90" s="6"/>
      <c r="AAC90" s="6"/>
      <c r="AAD90" s="6"/>
      <c r="AAE90" s="6"/>
      <c r="AAF90" s="6"/>
      <c r="AAG90" s="6"/>
      <c r="AAH90" s="6"/>
      <c r="AAI90" s="6"/>
      <c r="AAJ90" s="6"/>
      <c r="AAK90" s="6"/>
      <c r="AAL90" s="6"/>
      <c r="AAM90" s="6"/>
      <c r="AAN90" s="6"/>
      <c r="AAO90" s="6"/>
      <c r="AAP90" s="6"/>
      <c r="AAQ90" s="6"/>
      <c r="AAR90" s="6"/>
      <c r="AAS90" s="6"/>
      <c r="AAT90" s="6"/>
      <c r="AAU90" s="6"/>
      <c r="AAV90" s="6"/>
      <c r="AAW90" s="6"/>
      <c r="AAX90" s="6"/>
      <c r="AAY90" s="6"/>
      <c r="AAZ90" s="6"/>
      <c r="ABA90" s="6"/>
      <c r="ABB90" s="6"/>
      <c r="ABC90" s="6"/>
      <c r="ABD90" s="6"/>
      <c r="ABE90" s="6"/>
      <c r="ABF90" s="6"/>
      <c r="ABG90" s="6"/>
      <c r="ABH90" s="6"/>
      <c r="ABI90" s="6"/>
      <c r="ABJ90" s="6"/>
      <c r="ABK90" s="6"/>
      <c r="ABL90" s="6"/>
      <c r="ABM90" s="6"/>
      <c r="ABN90" s="6"/>
      <c r="ABO90" s="6"/>
      <c r="ABP90" s="6"/>
      <c r="ABQ90" s="6"/>
      <c r="ABR90" s="6"/>
      <c r="ABS90" s="6"/>
      <c r="ABT90" s="6"/>
      <c r="ABU90" s="6"/>
      <c r="ABV90" s="6"/>
      <c r="ABW90" s="6"/>
      <c r="ABX90" s="6"/>
      <c r="ABY90" s="6"/>
      <c r="ABZ90" s="6"/>
      <c r="ACA90" s="6"/>
      <c r="ACB90" s="6"/>
      <c r="ACC90" s="6"/>
      <c r="ACD90" s="6"/>
      <c r="ACE90" s="6"/>
      <c r="ACF90" s="6"/>
      <c r="ACG90" s="6"/>
      <c r="ACH90" s="6"/>
      <c r="ACI90" s="6"/>
      <c r="ACJ90" s="6"/>
      <c r="ACK90" s="6"/>
      <c r="ACL90" s="6"/>
      <c r="ACM90" s="6"/>
      <c r="ACN90" s="6"/>
      <c r="ACO90" s="6"/>
      <c r="ACP90" s="6"/>
      <c r="ACQ90" s="6"/>
      <c r="ACR90" s="6"/>
      <c r="ACS90" s="6"/>
      <c r="ACT90" s="6"/>
      <c r="ACU90" s="6"/>
      <c r="ACV90" s="6"/>
      <c r="ACW90" s="6"/>
      <c r="ACX90" s="6"/>
      <c r="ACY90" s="6"/>
      <c r="ACZ90" s="6"/>
      <c r="ADA90" s="6"/>
      <c r="ADB90" s="6"/>
      <c r="ADC90" s="6"/>
      <c r="ADD90" s="6"/>
      <c r="ADE90" s="6"/>
      <c r="ADF90" s="6"/>
      <c r="ADG90" s="6"/>
      <c r="ADH90" s="6"/>
      <c r="ADI90" s="6"/>
      <c r="ADJ90" s="6"/>
      <c r="ADK90" s="6"/>
      <c r="ADL90" s="6"/>
      <c r="ADM90" s="6"/>
      <c r="ADN90" s="6"/>
      <c r="ADO90" s="6"/>
      <c r="ADP90" s="6"/>
      <c r="ADQ90" s="6"/>
      <c r="ADR90" s="6"/>
      <c r="ADS90" s="6"/>
      <c r="ADT90" s="6"/>
      <c r="ADU90" s="6"/>
      <c r="ADV90" s="6"/>
      <c r="ADW90" s="6"/>
      <c r="ADX90" s="6"/>
      <c r="ADY90" s="6"/>
      <c r="ADZ90" s="6"/>
      <c r="AEA90" s="6"/>
      <c r="AEB90" s="6"/>
      <c r="AEC90" s="6"/>
      <c r="AED90" s="6"/>
      <c r="AEE90" s="6"/>
      <c r="AEF90" s="6"/>
      <c r="AEG90" s="6"/>
      <c r="AEH90" s="6"/>
      <c r="AEI90" s="6"/>
      <c r="AEJ90" s="6"/>
      <c r="AEK90" s="6"/>
      <c r="AEL90" s="6"/>
      <c r="AEM90" s="6"/>
      <c r="AEN90" s="6"/>
      <c r="AEO90" s="6"/>
      <c r="AEP90" s="6"/>
      <c r="AEQ90" s="6"/>
      <c r="AER90" s="6"/>
      <c r="AES90" s="6"/>
      <c r="AET90" s="6"/>
      <c r="AEU90" s="6"/>
      <c r="AEV90" s="6"/>
      <c r="AEW90" s="6"/>
      <c r="AEX90" s="6"/>
      <c r="AEY90" s="6"/>
      <c r="AEZ90" s="6"/>
      <c r="AFA90" s="6"/>
      <c r="AFB90" s="6"/>
      <c r="AFC90" s="6"/>
      <c r="AFD90" s="6"/>
      <c r="AFE90" s="6"/>
      <c r="AFF90" s="6"/>
      <c r="AFG90" s="6"/>
      <c r="AFH90" s="6"/>
      <c r="AFI90" s="6"/>
      <c r="AFJ90" s="6"/>
      <c r="AFK90" s="6"/>
      <c r="AFL90" s="6"/>
      <c r="AFM90" s="6"/>
      <c r="AFN90" s="6"/>
      <c r="AFO90" s="6"/>
      <c r="AFP90" s="6"/>
      <c r="AFQ90" s="6"/>
      <c r="AFR90" s="6"/>
      <c r="AFS90" s="6"/>
      <c r="AFT90" s="6"/>
      <c r="AFU90" s="6"/>
      <c r="AFV90" s="6"/>
      <c r="AFW90" s="6"/>
      <c r="AFX90" s="6"/>
      <c r="AFY90" s="6"/>
      <c r="AFZ90" s="6"/>
      <c r="AGA90" s="6"/>
      <c r="AGB90" s="6"/>
      <c r="AGC90" s="6"/>
      <c r="AGD90" s="6"/>
      <c r="AGE90" s="6"/>
      <c r="AGF90" s="6"/>
      <c r="AGG90" s="6"/>
      <c r="AGH90" s="6"/>
      <c r="AGI90" s="6"/>
      <c r="AGJ90" s="6"/>
      <c r="AGK90" s="6"/>
      <c r="AGL90" s="6"/>
      <c r="AGM90" s="6"/>
      <c r="AGN90" s="6"/>
      <c r="AGO90" s="6"/>
      <c r="AGP90" s="6"/>
      <c r="AGQ90" s="6"/>
      <c r="AGR90" s="6"/>
      <c r="AGS90" s="6"/>
      <c r="AGT90" s="6"/>
      <c r="AGU90" s="6"/>
      <c r="AGV90" s="6"/>
      <c r="AGW90" s="6"/>
      <c r="AGX90" s="6"/>
      <c r="AGY90" s="6"/>
      <c r="AGZ90" s="6"/>
      <c r="AHA90" s="6"/>
      <c r="AHB90" s="6"/>
      <c r="AHC90" s="6"/>
      <c r="AHD90" s="6"/>
      <c r="AHE90" s="6"/>
      <c r="AHF90" s="6"/>
      <c r="AHG90" s="6"/>
      <c r="AHH90" s="6"/>
      <c r="AHI90" s="6"/>
      <c r="AHJ90" s="6"/>
      <c r="AHK90" s="6"/>
      <c r="AHL90" s="6"/>
      <c r="AHM90" s="6"/>
      <c r="AHN90" s="6"/>
      <c r="AHO90" s="6"/>
      <c r="AHP90" s="6"/>
      <c r="AHQ90" s="6"/>
      <c r="AHR90" s="6"/>
      <c r="AHS90" s="6"/>
      <c r="AHT90" s="6"/>
      <c r="AHU90" s="6"/>
      <c r="AHV90" s="6"/>
      <c r="AHW90" s="6"/>
      <c r="AHX90" s="6"/>
      <c r="AHY90" s="6"/>
      <c r="AHZ90" s="6"/>
      <c r="AIA90" s="6"/>
      <c r="AIB90" s="6"/>
      <c r="AIC90" s="6"/>
      <c r="AID90" s="6"/>
      <c r="AIE90" s="6"/>
      <c r="AIF90" s="6"/>
      <c r="AIG90" s="6"/>
      <c r="AIH90" s="6"/>
      <c r="AII90" s="6"/>
      <c r="AIJ90" s="6"/>
      <c r="AIK90" s="6"/>
      <c r="AIL90" s="6"/>
      <c r="AIM90" s="6"/>
      <c r="AIN90" s="6"/>
      <c r="AIO90" s="6"/>
      <c r="AIP90" s="6"/>
      <c r="AIQ90" s="6"/>
      <c r="AIR90" s="6"/>
      <c r="AIS90" s="6"/>
      <c r="AIT90" s="6"/>
      <c r="AIU90" s="6"/>
      <c r="AIV90" s="6"/>
      <c r="AIW90" s="6"/>
      <c r="AIX90" s="6"/>
      <c r="AIY90" s="6"/>
      <c r="AIZ90" s="6"/>
      <c r="AJA90" s="6"/>
      <c r="AJB90" s="6"/>
      <c r="AJC90" s="6"/>
      <c r="AJD90" s="6"/>
      <c r="AJE90" s="6"/>
      <c r="AJF90" s="6"/>
      <c r="AJG90" s="6"/>
      <c r="AJH90" s="6"/>
      <c r="AJI90" s="6"/>
      <c r="AJJ90" s="6"/>
      <c r="AJK90" s="6"/>
      <c r="AJL90" s="6"/>
      <c r="AJM90" s="6"/>
      <c r="AJN90" s="6"/>
      <c r="AJO90" s="6"/>
      <c r="AJP90" s="6"/>
      <c r="AJQ90" s="6"/>
      <c r="AJR90" s="6"/>
      <c r="AJS90" s="6"/>
      <c r="AJT90" s="6"/>
      <c r="AJU90" s="6"/>
      <c r="AJV90" s="6"/>
      <c r="AJW90" s="6"/>
      <c r="AJX90" s="6"/>
      <c r="AJY90" s="6"/>
      <c r="AJZ90" s="6"/>
      <c r="AKA90" s="6"/>
      <c r="AKB90" s="6"/>
      <c r="AKC90" s="6"/>
      <c r="AKD90" s="6"/>
      <c r="AKE90" s="6"/>
      <c r="AKF90" s="6"/>
      <c r="AKG90" s="6"/>
      <c r="AKH90" s="6"/>
      <c r="AKI90" s="6"/>
      <c r="AKJ90" s="6"/>
      <c r="AKK90" s="6"/>
      <c r="AKL90" s="6"/>
      <c r="AKM90" s="6"/>
      <c r="AKN90" s="6"/>
      <c r="AKO90" s="6"/>
      <c r="AKP90" s="6"/>
      <c r="AKQ90" s="6"/>
      <c r="AKR90" s="6"/>
      <c r="AKS90" s="6"/>
      <c r="AKT90" s="6"/>
      <c r="AKU90" s="6"/>
      <c r="AKV90" s="6"/>
      <c r="AKW90" s="6"/>
      <c r="AKX90" s="6"/>
      <c r="AKY90" s="6"/>
      <c r="AKZ90" s="6"/>
      <c r="ALA90" s="6"/>
      <c r="ALB90" s="6"/>
      <c r="ALC90" s="6"/>
      <c r="ALD90" s="6"/>
      <c r="ALE90" s="6"/>
      <c r="ALF90" s="6"/>
      <c r="ALG90" s="6"/>
      <c r="ALH90" s="6"/>
      <c r="ALI90" s="6"/>
      <c r="ALJ90" s="6"/>
      <c r="ALK90" s="6"/>
      <c r="ALL90" s="6"/>
      <c r="ALM90" s="6"/>
      <c r="ALN90" s="6"/>
      <c r="ALO90" s="6"/>
      <c r="ALP90" s="6"/>
      <c r="ALQ90" s="6"/>
      <c r="ALR90" s="6"/>
      <c r="ALS90" s="6"/>
      <c r="ALT90" s="6"/>
      <c r="ALU90" s="6"/>
      <c r="ALV90" s="6"/>
      <c r="ALW90" s="6"/>
      <c r="ALX90" s="6"/>
      <c r="ALY90" s="6"/>
      <c r="ALZ90" s="6"/>
      <c r="AMA90" s="6"/>
      <c r="AMB90" s="6"/>
      <c r="AMC90" s="6"/>
      <c r="AMD90" s="6"/>
      <c r="AME90" s="6"/>
      <c r="AMF90" s="6"/>
      <c r="AMG90" s="6"/>
      <c r="AMH90" s="6"/>
      <c r="AMI90" s="6"/>
      <c r="AMJ90" s="6"/>
      <c r="AMK90" s="6"/>
      <c r="AML90" s="6"/>
      <c r="AMM90" s="6"/>
      <c r="AMN90" s="6"/>
      <c r="AMO90" s="6"/>
      <c r="AMP90" s="6"/>
      <c r="AMQ90" s="6"/>
      <c r="AMR90" s="6"/>
      <c r="AMS90" s="6"/>
      <c r="AMT90" s="6"/>
      <c r="AMU90" s="6"/>
      <c r="AMV90" s="6"/>
      <c r="AMW90" s="6"/>
      <c r="AMX90" s="6"/>
      <c r="AMY90" s="6"/>
      <c r="AMZ90" s="6"/>
      <c r="ANA90" s="6"/>
      <c r="ANB90" s="6"/>
      <c r="ANC90" s="6"/>
      <c r="AND90" s="6"/>
      <c r="ANE90" s="6"/>
      <c r="ANF90" s="6"/>
      <c r="ANG90" s="6"/>
      <c r="ANH90" s="6"/>
      <c r="ANI90" s="6"/>
      <c r="ANJ90" s="6"/>
      <c r="ANK90" s="6"/>
      <c r="ANL90" s="6"/>
      <c r="ANM90" s="6"/>
      <c r="ANN90" s="6"/>
      <c r="ANO90" s="6"/>
      <c r="ANP90" s="6"/>
      <c r="ANQ90" s="6"/>
      <c r="ANR90" s="6"/>
      <c r="ANS90" s="6"/>
      <c r="ANT90" s="6"/>
      <c r="ANU90" s="6"/>
      <c r="ANV90" s="6"/>
      <c r="ANW90" s="6"/>
      <c r="ANX90" s="6"/>
      <c r="ANY90" s="6"/>
      <c r="ANZ90" s="6"/>
      <c r="AOA90" s="6"/>
      <c r="AOB90" s="6"/>
      <c r="AOC90" s="6"/>
      <c r="AOD90" s="6"/>
      <c r="AOE90" s="6"/>
      <c r="AOF90" s="6"/>
      <c r="AOG90" s="6"/>
      <c r="AOH90" s="6"/>
      <c r="AOI90" s="6"/>
      <c r="AOJ90" s="6"/>
      <c r="AOK90" s="6"/>
      <c r="AOL90" s="6"/>
      <c r="AOM90" s="6"/>
      <c r="AON90" s="6"/>
      <c r="AOO90" s="6"/>
      <c r="AOP90" s="6"/>
      <c r="AOQ90" s="6"/>
      <c r="AOR90" s="6"/>
      <c r="AOS90" s="6"/>
      <c r="AOT90" s="6"/>
      <c r="AOU90" s="6"/>
      <c r="AOV90" s="6"/>
      <c r="AOW90" s="6"/>
      <c r="AOX90" s="6"/>
      <c r="AOY90" s="6"/>
      <c r="AOZ90" s="6"/>
      <c r="APA90" s="6"/>
      <c r="APB90" s="6"/>
      <c r="APC90" s="6"/>
      <c r="APD90" s="6"/>
      <c r="APE90" s="6"/>
      <c r="APF90" s="6"/>
      <c r="APG90" s="6"/>
      <c r="APH90" s="6"/>
      <c r="API90" s="6"/>
      <c r="APJ90" s="6"/>
      <c r="APK90" s="6"/>
      <c r="APL90" s="6"/>
      <c r="APM90" s="6"/>
      <c r="APN90" s="6"/>
      <c r="APO90" s="6"/>
      <c r="APP90" s="6"/>
      <c r="APQ90" s="6"/>
      <c r="APR90" s="6"/>
      <c r="APS90" s="6"/>
      <c r="APT90" s="6"/>
      <c r="APU90" s="6"/>
      <c r="APV90" s="6"/>
      <c r="APW90" s="6"/>
      <c r="APX90" s="6"/>
      <c r="APY90" s="6"/>
      <c r="APZ90" s="6"/>
      <c r="AQA90" s="6"/>
      <c r="AQB90" s="6"/>
      <c r="AQC90" s="6"/>
      <c r="AQD90" s="6"/>
      <c r="AQE90" s="6"/>
      <c r="AQF90" s="6"/>
      <c r="AQG90" s="6"/>
      <c r="AQH90" s="6"/>
      <c r="AQI90" s="6"/>
      <c r="AQJ90" s="6"/>
      <c r="AQK90" s="6"/>
      <c r="AQL90" s="6"/>
      <c r="AQM90" s="6"/>
      <c r="AQN90" s="6"/>
      <c r="AQO90" s="6"/>
      <c r="AQP90" s="6"/>
      <c r="AQQ90" s="6"/>
      <c r="AQR90" s="6"/>
      <c r="AQS90" s="6"/>
      <c r="AQT90" s="6"/>
      <c r="AQU90" s="6"/>
      <c r="AQV90" s="6"/>
      <c r="AQW90" s="6"/>
      <c r="AQX90" s="6"/>
      <c r="AQY90" s="6"/>
      <c r="AQZ90" s="6"/>
      <c r="ARA90" s="6"/>
      <c r="ARB90" s="6"/>
      <c r="ARC90" s="6"/>
      <c r="ARD90" s="6"/>
      <c r="ARE90" s="6"/>
      <c r="ARF90" s="6"/>
      <c r="ARG90" s="6"/>
      <c r="ARH90" s="6"/>
      <c r="ARI90" s="6"/>
      <c r="ARJ90" s="6"/>
      <c r="ARK90" s="6"/>
      <c r="ARL90" s="6"/>
      <c r="ARM90" s="6"/>
      <c r="ARN90" s="6"/>
      <c r="ARO90" s="6"/>
      <c r="ARP90" s="6"/>
      <c r="ARQ90" s="6"/>
      <c r="ARR90" s="6"/>
      <c r="ARS90" s="6"/>
      <c r="ART90" s="6"/>
      <c r="ARU90" s="6"/>
      <c r="ARV90" s="6"/>
      <c r="ARW90" s="6"/>
      <c r="ARX90" s="6"/>
      <c r="ARY90" s="6"/>
      <c r="ARZ90" s="6"/>
      <c r="ASA90" s="6"/>
      <c r="ASB90" s="6"/>
      <c r="ASC90" s="6"/>
      <c r="ASD90" s="6"/>
      <c r="ASE90" s="6"/>
      <c r="ASF90" s="6"/>
      <c r="ASG90" s="6"/>
      <c r="ASH90" s="6"/>
      <c r="ASI90" s="6"/>
      <c r="ASJ90" s="6"/>
      <c r="ASK90" s="6"/>
      <c r="ASL90" s="6"/>
      <c r="ASM90" s="6"/>
      <c r="ASN90" s="6"/>
      <c r="ASO90" s="6"/>
      <c r="ASP90" s="6"/>
      <c r="ASQ90" s="6"/>
      <c r="ASR90" s="6"/>
      <c r="ASS90" s="6"/>
      <c r="AST90" s="6"/>
      <c r="ASU90" s="6"/>
      <c r="ASV90" s="6"/>
      <c r="ASW90" s="6"/>
      <c r="ASX90" s="6"/>
      <c r="ASY90" s="6"/>
      <c r="ASZ90" s="6"/>
      <c r="ATA90" s="6"/>
      <c r="ATB90" s="6"/>
      <c r="ATC90" s="6"/>
      <c r="ATD90" s="6"/>
      <c r="ATE90" s="6"/>
      <c r="ATF90" s="6"/>
      <c r="ATG90" s="6"/>
      <c r="ATH90" s="6"/>
      <c r="ATI90" s="6"/>
      <c r="ATJ90" s="6"/>
      <c r="ATK90" s="6"/>
      <c r="ATL90" s="6"/>
      <c r="ATM90" s="6"/>
      <c r="ATN90" s="6"/>
      <c r="ATO90" s="6"/>
      <c r="ATP90" s="6"/>
      <c r="ATQ90" s="6"/>
      <c r="ATR90" s="6"/>
      <c r="ATS90" s="6"/>
      <c r="ATT90" s="6"/>
      <c r="ATU90" s="6"/>
      <c r="ATV90" s="6"/>
      <c r="ATW90" s="6"/>
      <c r="ATX90" s="6"/>
      <c r="ATY90" s="6"/>
      <c r="ATZ90" s="6"/>
      <c r="AUA90" s="6"/>
      <c r="AUB90" s="6"/>
      <c r="AUC90" s="6"/>
      <c r="AUD90" s="6"/>
      <c r="AUE90" s="6"/>
      <c r="AUF90" s="6"/>
      <c r="AUG90" s="6"/>
      <c r="AUH90" s="6"/>
      <c r="AUI90" s="6"/>
      <c r="AUJ90" s="6"/>
      <c r="AUK90" s="6"/>
      <c r="AUL90" s="6"/>
      <c r="AUM90" s="6"/>
      <c r="AUN90" s="6"/>
      <c r="AUO90" s="6"/>
      <c r="AUP90" s="6"/>
      <c r="AUQ90" s="6"/>
      <c r="AUR90" s="6"/>
      <c r="AUS90" s="6"/>
      <c r="AUT90" s="6"/>
      <c r="AUU90" s="6"/>
      <c r="AUV90" s="6"/>
      <c r="AUW90" s="6"/>
      <c r="AUX90" s="6"/>
      <c r="AUY90" s="6"/>
      <c r="AUZ90" s="6"/>
      <c r="AVA90" s="6"/>
      <c r="AVB90" s="6"/>
      <c r="AVC90" s="6"/>
      <c r="AVD90" s="6"/>
      <c r="AVE90" s="6"/>
      <c r="AVF90" s="6"/>
      <c r="AVG90" s="6"/>
      <c r="AVH90" s="6"/>
      <c r="AVI90" s="6"/>
      <c r="AVJ90" s="6"/>
      <c r="AVK90" s="6"/>
      <c r="AVL90" s="6"/>
      <c r="AVM90" s="6"/>
      <c r="AVN90" s="6"/>
      <c r="AVO90" s="6"/>
      <c r="AVP90" s="6"/>
      <c r="AVQ90" s="6"/>
      <c r="AVR90" s="6"/>
      <c r="AVS90" s="6"/>
      <c r="AVT90" s="6"/>
      <c r="AVU90" s="6"/>
      <c r="AVV90" s="6"/>
      <c r="AVW90" s="6"/>
      <c r="AVX90" s="6"/>
      <c r="AVY90" s="6"/>
      <c r="AVZ90" s="6"/>
      <c r="AWA90" s="6"/>
      <c r="AWB90" s="6"/>
      <c r="AWC90" s="6"/>
      <c r="AWD90" s="6"/>
      <c r="AWE90" s="6"/>
      <c r="AWF90" s="6"/>
      <c r="AWG90" s="6"/>
      <c r="AWH90" s="6"/>
      <c r="AWI90" s="6"/>
      <c r="AWJ90" s="6"/>
      <c r="AWK90" s="6"/>
      <c r="AWL90" s="6"/>
      <c r="AWM90" s="6"/>
      <c r="AWN90" s="6"/>
      <c r="AWO90" s="6"/>
      <c r="AWP90" s="6"/>
      <c r="AWQ90" s="6"/>
      <c r="AWR90" s="6"/>
      <c r="AWS90" s="6"/>
      <c r="AWT90" s="6"/>
      <c r="AWU90" s="6"/>
      <c r="AWV90" s="6"/>
      <c r="AWW90" s="6"/>
      <c r="AWX90" s="6"/>
      <c r="AWY90" s="6"/>
      <c r="AWZ90" s="6"/>
      <c r="AXA90" s="6"/>
      <c r="AXB90" s="6"/>
      <c r="AXC90" s="6"/>
      <c r="AXD90" s="6"/>
      <c r="AXE90" s="6"/>
      <c r="AXF90" s="6"/>
      <c r="AXG90" s="6"/>
      <c r="AXH90" s="6"/>
      <c r="AXI90" s="6"/>
      <c r="AXJ90" s="6"/>
      <c r="AXK90" s="6"/>
      <c r="AXL90" s="6"/>
      <c r="AXM90" s="6"/>
      <c r="AXN90" s="6"/>
      <c r="AXO90" s="6"/>
      <c r="AXP90" s="6"/>
      <c r="AXQ90" s="6"/>
      <c r="AXR90" s="6"/>
      <c r="AXS90" s="6"/>
      <c r="AXT90" s="6"/>
      <c r="AXU90" s="6"/>
      <c r="AXV90" s="6"/>
      <c r="AXW90" s="6"/>
      <c r="AXX90" s="6"/>
      <c r="AXY90" s="6"/>
      <c r="AXZ90" s="6"/>
      <c r="AYA90" s="6"/>
      <c r="AYB90" s="6"/>
      <c r="AYC90" s="6"/>
      <c r="AYD90" s="6"/>
      <c r="AYE90" s="6"/>
      <c r="AYF90" s="6"/>
      <c r="AYG90" s="6"/>
      <c r="AYH90" s="6"/>
      <c r="AYI90" s="6"/>
      <c r="AYJ90" s="6"/>
      <c r="AYK90" s="6"/>
      <c r="AYL90" s="6"/>
      <c r="AYM90" s="6"/>
      <c r="AYN90" s="6"/>
      <c r="AYO90" s="6"/>
      <c r="AYP90" s="6"/>
      <c r="AYQ90" s="6"/>
      <c r="AYR90" s="6"/>
      <c r="AYS90" s="6"/>
      <c r="AYT90" s="6"/>
      <c r="AYU90" s="6"/>
      <c r="AYV90" s="6"/>
      <c r="AYW90" s="6"/>
      <c r="AYX90" s="6"/>
      <c r="AYY90" s="6"/>
      <c r="AYZ90" s="6"/>
      <c r="AZA90" s="6"/>
      <c r="AZB90" s="6"/>
      <c r="AZC90" s="6"/>
      <c r="AZD90" s="6"/>
      <c r="AZE90" s="6"/>
      <c r="AZF90" s="6"/>
      <c r="AZG90" s="6"/>
      <c r="AZH90" s="6"/>
      <c r="AZI90" s="6"/>
      <c r="AZJ90" s="6"/>
      <c r="AZK90" s="6"/>
      <c r="AZL90" s="6"/>
      <c r="AZM90" s="6"/>
      <c r="AZN90" s="6"/>
      <c r="AZO90" s="6"/>
      <c r="AZP90" s="6"/>
      <c r="AZQ90" s="6"/>
      <c r="AZR90" s="6"/>
      <c r="AZS90" s="6"/>
      <c r="AZT90" s="6"/>
      <c r="AZU90" s="6"/>
      <c r="AZV90" s="6"/>
      <c r="AZW90" s="6"/>
      <c r="AZX90" s="6"/>
      <c r="AZY90" s="6"/>
      <c r="AZZ90" s="6"/>
      <c r="BAA90" s="6"/>
      <c r="BAB90" s="6"/>
      <c r="BAC90" s="6"/>
      <c r="BAD90" s="6"/>
      <c r="BAE90" s="6"/>
      <c r="BAF90" s="6"/>
      <c r="BAG90" s="6"/>
      <c r="BAH90" s="6"/>
      <c r="BAI90" s="6"/>
      <c r="BAJ90" s="6"/>
      <c r="BAK90" s="6"/>
      <c r="BAL90" s="6"/>
      <c r="BAM90" s="6"/>
      <c r="BAN90" s="6"/>
      <c r="BAO90" s="6"/>
      <c r="BAP90" s="6"/>
      <c r="BAQ90" s="6"/>
      <c r="BAR90" s="6"/>
      <c r="BAS90" s="6"/>
      <c r="BAT90" s="6"/>
      <c r="BAU90" s="6"/>
      <c r="BAV90" s="6"/>
      <c r="BAW90" s="6"/>
      <c r="BAX90" s="6"/>
      <c r="BAY90" s="6"/>
      <c r="BAZ90" s="6"/>
      <c r="BBA90" s="6"/>
      <c r="BBB90" s="6"/>
      <c r="BBC90" s="6"/>
      <c r="BBD90" s="6"/>
      <c r="BBE90" s="6"/>
      <c r="BBF90" s="6"/>
      <c r="BBG90" s="6"/>
      <c r="BBH90" s="6"/>
      <c r="BBI90" s="6"/>
      <c r="BBJ90" s="6"/>
      <c r="BBK90" s="6"/>
      <c r="BBL90" s="6"/>
      <c r="BBM90" s="6"/>
      <c r="BBN90" s="6"/>
      <c r="BBO90" s="6"/>
      <c r="BBP90" s="6"/>
      <c r="BBQ90" s="6"/>
      <c r="BBR90" s="6"/>
      <c r="BBS90" s="6"/>
      <c r="BBT90" s="6"/>
      <c r="BBU90" s="6"/>
      <c r="BBV90" s="6"/>
      <c r="BBW90" s="6"/>
      <c r="BBX90" s="6"/>
      <c r="BBY90" s="6"/>
      <c r="BBZ90" s="6"/>
      <c r="BCA90" s="6"/>
      <c r="BCB90" s="6"/>
      <c r="BCC90" s="6"/>
      <c r="BCD90" s="6"/>
      <c r="BCE90" s="6"/>
      <c r="BCF90" s="6"/>
      <c r="BCG90" s="6"/>
      <c r="BCH90" s="6"/>
      <c r="BCI90" s="6"/>
      <c r="BCJ90" s="6"/>
      <c r="BCK90" s="6"/>
      <c r="BCL90" s="6"/>
      <c r="BCM90" s="6"/>
      <c r="BCN90" s="6"/>
      <c r="BCO90" s="6"/>
      <c r="BCP90" s="6"/>
      <c r="BCQ90" s="6"/>
      <c r="BCR90" s="6"/>
      <c r="BCS90" s="6"/>
      <c r="BCT90" s="6"/>
      <c r="BCU90" s="6"/>
      <c r="BCV90" s="6"/>
      <c r="BCW90" s="6"/>
      <c r="BCX90" s="6"/>
      <c r="BCY90" s="6"/>
      <c r="BCZ90" s="6"/>
      <c r="BDA90" s="6"/>
      <c r="BDB90" s="6"/>
      <c r="BDC90" s="6"/>
      <c r="BDD90" s="6"/>
      <c r="BDE90" s="6"/>
      <c r="BDF90" s="6"/>
      <c r="BDG90" s="6"/>
      <c r="BDH90" s="6"/>
      <c r="BDI90" s="6"/>
      <c r="BDJ90" s="6"/>
      <c r="BDK90" s="6"/>
      <c r="BDL90" s="6"/>
      <c r="BDM90" s="6"/>
      <c r="BDN90" s="6"/>
      <c r="BDO90" s="6"/>
      <c r="BDP90" s="6"/>
      <c r="BDQ90" s="6"/>
      <c r="BDR90" s="6"/>
      <c r="BDS90" s="6"/>
      <c r="BDT90" s="6"/>
      <c r="BDU90" s="6"/>
      <c r="BDV90" s="6"/>
      <c r="BDW90" s="6"/>
      <c r="BDX90" s="6"/>
      <c r="BDY90" s="6"/>
      <c r="BDZ90" s="6"/>
      <c r="BEA90" s="6"/>
      <c r="BEB90" s="6"/>
      <c r="BEC90" s="6"/>
      <c r="BED90" s="6"/>
      <c r="BEE90" s="6"/>
      <c r="BEF90" s="6"/>
      <c r="BEG90" s="6"/>
      <c r="BEH90" s="6"/>
      <c r="BEI90" s="6"/>
      <c r="BEJ90" s="6"/>
      <c r="BEK90" s="6"/>
      <c r="BEL90" s="6"/>
      <c r="BEM90" s="6"/>
      <c r="BEN90" s="6"/>
      <c r="BEO90" s="6"/>
      <c r="BEP90" s="6"/>
      <c r="BEQ90" s="6"/>
      <c r="BER90" s="6"/>
      <c r="BES90" s="6"/>
      <c r="BET90" s="6"/>
      <c r="BEU90" s="6"/>
      <c r="BEV90" s="6"/>
      <c r="BEW90" s="6"/>
      <c r="BEX90" s="6"/>
      <c r="BEY90" s="6"/>
      <c r="BEZ90" s="6"/>
      <c r="BFA90" s="6"/>
      <c r="BFB90" s="6"/>
      <c r="BFC90" s="6"/>
      <c r="BFD90" s="6"/>
      <c r="BFE90" s="6"/>
      <c r="BFF90" s="6"/>
      <c r="BFG90" s="6"/>
      <c r="BFH90" s="6"/>
      <c r="BFI90" s="6"/>
      <c r="BFJ90" s="6"/>
      <c r="BFK90" s="6"/>
      <c r="BFL90" s="6"/>
      <c r="BFM90" s="6"/>
      <c r="BFN90" s="6"/>
      <c r="BFO90" s="6"/>
      <c r="BFP90" s="6"/>
      <c r="BFQ90" s="6"/>
      <c r="BFR90" s="6"/>
      <c r="BFS90" s="6"/>
      <c r="BFT90" s="6"/>
      <c r="BFU90" s="6"/>
      <c r="BFV90" s="6"/>
      <c r="BFW90" s="6"/>
      <c r="BFX90" s="6"/>
      <c r="BFY90" s="6"/>
      <c r="BFZ90" s="6"/>
      <c r="BGA90" s="6"/>
      <c r="BGB90" s="6"/>
      <c r="BGC90" s="6"/>
      <c r="BGD90" s="6"/>
      <c r="BGE90" s="6"/>
      <c r="BGF90" s="6"/>
      <c r="BGG90" s="6"/>
      <c r="BGH90" s="6"/>
      <c r="BGI90" s="6"/>
      <c r="BGJ90" s="6"/>
      <c r="BGK90" s="6"/>
      <c r="BGL90" s="6"/>
      <c r="BGM90" s="6"/>
      <c r="BGN90" s="6"/>
      <c r="BGO90" s="6"/>
      <c r="BGP90" s="6"/>
      <c r="BGQ90" s="6"/>
      <c r="BGR90" s="6"/>
      <c r="BGS90" s="6"/>
      <c r="BGT90" s="6"/>
      <c r="BGU90" s="6"/>
      <c r="BGV90" s="6"/>
      <c r="BGW90" s="6"/>
      <c r="BGX90" s="6"/>
      <c r="BGY90" s="6"/>
      <c r="BGZ90" s="6"/>
      <c r="BHA90" s="6"/>
      <c r="BHB90" s="6"/>
      <c r="BHC90" s="6"/>
      <c r="BHD90" s="6"/>
      <c r="BHE90" s="6"/>
      <c r="BHF90" s="6"/>
      <c r="BHG90" s="6"/>
      <c r="BHH90" s="6"/>
      <c r="BHI90" s="6"/>
      <c r="BHJ90" s="6"/>
      <c r="BHK90" s="6"/>
      <c r="BHL90" s="6"/>
      <c r="BHM90" s="6"/>
      <c r="BHN90" s="6"/>
      <c r="BHO90" s="6"/>
      <c r="BHP90" s="6"/>
      <c r="BHQ90" s="6"/>
      <c r="BHR90" s="6"/>
      <c r="BHS90" s="6"/>
      <c r="BHT90" s="6"/>
      <c r="BHU90" s="6"/>
      <c r="BHV90" s="6"/>
      <c r="BHW90" s="6"/>
      <c r="BHX90" s="6"/>
      <c r="BHY90" s="6"/>
      <c r="BHZ90" s="6"/>
      <c r="BIA90" s="6"/>
      <c r="BIB90" s="6"/>
      <c r="BIC90" s="6"/>
      <c r="BID90" s="6"/>
      <c r="BIE90" s="6"/>
      <c r="BIF90" s="6"/>
      <c r="BIG90" s="6"/>
      <c r="BIH90" s="6"/>
      <c r="BII90" s="6"/>
      <c r="BIJ90" s="6"/>
      <c r="BIK90" s="6"/>
      <c r="BIL90" s="6"/>
      <c r="BIM90" s="6"/>
      <c r="BIN90" s="6"/>
      <c r="BIO90" s="6"/>
      <c r="BIP90" s="6"/>
      <c r="BIQ90" s="6"/>
      <c r="BIR90" s="6"/>
      <c r="BIS90" s="6"/>
      <c r="BIT90" s="6"/>
      <c r="BIU90" s="6"/>
      <c r="BIV90" s="6"/>
      <c r="BIW90" s="6"/>
      <c r="BIX90" s="6"/>
      <c r="BIY90" s="6"/>
      <c r="BIZ90" s="6"/>
      <c r="BJA90" s="6"/>
      <c r="BJB90" s="6"/>
      <c r="BJC90" s="6"/>
      <c r="BJD90" s="6"/>
      <c r="BJE90" s="6"/>
      <c r="BJF90" s="6"/>
      <c r="BJG90" s="6"/>
      <c r="BJH90" s="6"/>
      <c r="BJI90" s="6"/>
      <c r="BJJ90" s="6"/>
      <c r="BJK90" s="6"/>
      <c r="BJL90" s="6"/>
      <c r="BJM90" s="6"/>
      <c r="BJN90" s="6"/>
      <c r="BJO90" s="6"/>
      <c r="BJP90" s="6"/>
      <c r="BJQ90" s="6"/>
      <c r="BJR90" s="6"/>
      <c r="BJS90" s="6"/>
      <c r="BJT90" s="6"/>
      <c r="BJU90" s="6"/>
      <c r="BJV90" s="6"/>
      <c r="BJW90" s="6"/>
      <c r="BJX90" s="6"/>
      <c r="BJY90" s="6"/>
      <c r="BJZ90" s="6"/>
      <c r="BKA90" s="6"/>
      <c r="BKB90" s="6"/>
      <c r="BKC90" s="6"/>
      <c r="BKD90" s="6"/>
      <c r="BKE90" s="6"/>
      <c r="BKF90" s="6"/>
      <c r="BKG90" s="6"/>
      <c r="BKH90" s="6"/>
      <c r="BKI90" s="6"/>
      <c r="BKJ90" s="6"/>
      <c r="BKK90" s="6"/>
      <c r="BKL90" s="6"/>
      <c r="BKM90" s="6"/>
      <c r="BKN90" s="6"/>
      <c r="BKO90" s="6"/>
      <c r="BKP90" s="6"/>
      <c r="BKQ90" s="6"/>
      <c r="BKR90" s="6"/>
      <c r="BKS90" s="6"/>
      <c r="BKT90" s="6"/>
      <c r="BKU90" s="6"/>
      <c r="BKV90" s="6"/>
      <c r="BKW90" s="6"/>
      <c r="BKX90" s="6"/>
      <c r="BKY90" s="6"/>
      <c r="BKZ90" s="6"/>
      <c r="BLA90" s="6"/>
      <c r="BLB90" s="6"/>
      <c r="BLC90" s="6"/>
      <c r="BLD90" s="6"/>
      <c r="BLE90" s="6"/>
      <c r="BLF90" s="6"/>
      <c r="BLG90" s="6"/>
      <c r="BLH90" s="6"/>
      <c r="BLI90" s="6"/>
      <c r="BLJ90" s="6"/>
      <c r="BLK90" s="6"/>
      <c r="BLL90" s="6"/>
      <c r="BLM90" s="6"/>
      <c r="BLN90" s="6"/>
      <c r="BLO90" s="6"/>
      <c r="BLP90" s="6"/>
      <c r="BLQ90" s="6"/>
      <c r="BLR90" s="6"/>
      <c r="BLS90" s="6"/>
      <c r="BLT90" s="6"/>
      <c r="BLU90" s="6"/>
      <c r="BLV90" s="6"/>
      <c r="BLW90" s="6"/>
      <c r="BLX90" s="6"/>
      <c r="BLY90" s="6"/>
      <c r="BLZ90" s="6"/>
      <c r="BMA90" s="6"/>
      <c r="BMB90" s="6"/>
      <c r="BMC90" s="6"/>
      <c r="BMD90" s="6"/>
      <c r="BME90" s="6"/>
      <c r="BMF90" s="6"/>
      <c r="BMG90" s="6"/>
      <c r="BMH90" s="6"/>
      <c r="BMI90" s="6"/>
      <c r="BMJ90" s="6"/>
      <c r="BMK90" s="6"/>
      <c r="BML90" s="6"/>
      <c r="BMM90" s="6"/>
      <c r="BMN90" s="6"/>
      <c r="BMO90" s="6"/>
      <c r="BMP90" s="6"/>
      <c r="BMQ90" s="6"/>
      <c r="BMR90" s="6"/>
      <c r="BMS90" s="6"/>
      <c r="BMT90" s="6"/>
      <c r="BMU90" s="6"/>
      <c r="BMV90" s="6"/>
      <c r="BMW90" s="6"/>
      <c r="BMX90" s="6"/>
      <c r="BMY90" s="6"/>
      <c r="BMZ90" s="6"/>
      <c r="BNA90" s="6"/>
      <c r="BNB90" s="6"/>
      <c r="BNC90" s="6"/>
      <c r="BND90" s="6"/>
      <c r="BNE90" s="6"/>
      <c r="BNF90" s="6"/>
      <c r="BNG90" s="6"/>
      <c r="BNH90" s="6"/>
      <c r="BNI90" s="6"/>
      <c r="BNJ90" s="6"/>
      <c r="BNK90" s="6"/>
      <c r="BNL90" s="6"/>
      <c r="BNM90" s="6"/>
      <c r="BNN90" s="6"/>
      <c r="BNO90" s="6"/>
      <c r="BNP90" s="6"/>
      <c r="BNQ90" s="6"/>
      <c r="BNR90" s="6"/>
      <c r="BNS90" s="6"/>
      <c r="BNT90" s="6"/>
      <c r="BNU90" s="6"/>
      <c r="BNV90" s="6"/>
      <c r="BNW90" s="6"/>
      <c r="BNX90" s="6"/>
      <c r="BNY90" s="6"/>
      <c r="BNZ90" s="6"/>
      <c r="BOA90" s="6"/>
      <c r="BOB90" s="6"/>
      <c r="BOC90" s="6"/>
      <c r="BOD90" s="6"/>
      <c r="BOE90" s="6"/>
      <c r="BOF90" s="6"/>
      <c r="BOG90" s="6"/>
      <c r="BOH90" s="6"/>
      <c r="BOI90" s="6"/>
      <c r="BOJ90" s="6"/>
      <c r="BOK90" s="6"/>
      <c r="BOL90" s="6"/>
      <c r="BOM90" s="6"/>
      <c r="BON90" s="6"/>
      <c r="BOO90" s="6"/>
      <c r="BOP90" s="6"/>
      <c r="BOQ90" s="6"/>
      <c r="BOR90" s="6"/>
      <c r="BOS90" s="6"/>
      <c r="BOT90" s="6"/>
      <c r="BOU90" s="6"/>
      <c r="BOV90" s="6"/>
      <c r="BOW90" s="6"/>
      <c r="BOX90" s="6"/>
      <c r="BOY90" s="6"/>
      <c r="BOZ90" s="6"/>
      <c r="BPA90" s="6"/>
      <c r="BPB90" s="6"/>
      <c r="BPC90" s="6"/>
      <c r="BPD90" s="6"/>
      <c r="BPE90" s="6"/>
      <c r="BPF90" s="6"/>
      <c r="BPG90" s="6"/>
      <c r="BPH90" s="6"/>
      <c r="BPI90" s="6"/>
      <c r="BPJ90" s="6"/>
      <c r="BPK90" s="6"/>
      <c r="BPL90" s="6"/>
      <c r="BPM90" s="6"/>
      <c r="BPN90" s="6"/>
      <c r="BPO90" s="6"/>
      <c r="BPP90" s="6"/>
      <c r="BPQ90" s="6"/>
      <c r="BPR90" s="6"/>
      <c r="BPS90" s="6"/>
      <c r="BPT90" s="6"/>
      <c r="BPU90" s="6"/>
      <c r="BPV90" s="6"/>
      <c r="BPW90" s="6"/>
      <c r="BPX90" s="6"/>
      <c r="BPY90" s="6"/>
      <c r="BPZ90" s="6"/>
      <c r="BQA90" s="6"/>
      <c r="BQB90" s="6"/>
      <c r="BQC90" s="6"/>
      <c r="BQD90" s="6"/>
      <c r="BQE90" s="6"/>
      <c r="BQF90" s="6"/>
      <c r="BQG90" s="6"/>
      <c r="BQH90" s="6"/>
      <c r="BQI90" s="6"/>
      <c r="BQJ90" s="6"/>
      <c r="BQK90" s="6"/>
      <c r="BQL90" s="6"/>
      <c r="BQM90" s="6"/>
      <c r="BQN90" s="6"/>
      <c r="BQO90" s="6"/>
      <c r="BQP90" s="6"/>
      <c r="BQQ90" s="6"/>
      <c r="BQR90" s="6"/>
      <c r="BQS90" s="6"/>
      <c r="BQT90" s="6"/>
      <c r="BQU90" s="6"/>
      <c r="BQV90" s="6"/>
      <c r="BQW90" s="6"/>
      <c r="BQX90" s="6"/>
      <c r="BQY90" s="6"/>
      <c r="BQZ90" s="6"/>
      <c r="BRA90" s="6"/>
      <c r="BRB90" s="6"/>
      <c r="BRC90" s="6"/>
      <c r="BRD90" s="6"/>
      <c r="BRE90" s="6"/>
      <c r="BRF90" s="6"/>
      <c r="BRG90" s="6"/>
      <c r="BRH90" s="6"/>
      <c r="BRI90" s="6"/>
      <c r="BRJ90" s="6"/>
      <c r="BRK90" s="6"/>
      <c r="BRL90" s="6"/>
      <c r="BRM90" s="6"/>
      <c r="BRN90" s="6"/>
      <c r="BRO90" s="6"/>
      <c r="BRP90" s="6"/>
      <c r="BRQ90" s="6"/>
      <c r="BRR90" s="6"/>
      <c r="BRS90" s="6"/>
      <c r="BRT90" s="6"/>
      <c r="BRU90" s="6"/>
      <c r="BRV90" s="6"/>
      <c r="BRW90" s="6"/>
      <c r="BRX90" s="6"/>
      <c r="BRY90" s="6"/>
      <c r="BRZ90" s="6"/>
      <c r="BSA90" s="6"/>
      <c r="BSB90" s="6"/>
      <c r="BSC90" s="6"/>
      <c r="BSD90" s="6"/>
      <c r="BSE90" s="6"/>
      <c r="BSF90" s="6"/>
      <c r="BSG90" s="6"/>
      <c r="BSH90" s="6"/>
      <c r="BSI90" s="6"/>
      <c r="BSJ90" s="6"/>
      <c r="BSK90" s="6"/>
      <c r="BSL90" s="6"/>
      <c r="BSM90" s="6"/>
      <c r="BSN90" s="6"/>
      <c r="BSO90" s="6"/>
      <c r="BSP90" s="6"/>
      <c r="BSQ90" s="6"/>
      <c r="BSR90" s="6"/>
      <c r="BSS90" s="6"/>
      <c r="BST90" s="6"/>
      <c r="BSU90" s="6"/>
      <c r="BSV90" s="6"/>
      <c r="BSW90" s="6"/>
      <c r="BSX90" s="6"/>
      <c r="BSY90" s="6"/>
      <c r="BSZ90" s="6"/>
      <c r="BTA90" s="6"/>
      <c r="BTB90" s="6"/>
      <c r="BTC90" s="6"/>
      <c r="BTD90" s="6"/>
      <c r="BTE90" s="6"/>
      <c r="BTF90" s="6"/>
      <c r="BTG90" s="6"/>
      <c r="BTH90" s="6"/>
      <c r="BTI90" s="6"/>
      <c r="BTJ90" s="6"/>
      <c r="BTK90" s="6"/>
      <c r="BTL90" s="6"/>
      <c r="BTM90" s="6"/>
      <c r="BTN90" s="6"/>
      <c r="BTO90" s="6"/>
      <c r="BTP90" s="6"/>
      <c r="BTQ90" s="6"/>
      <c r="BTR90" s="6"/>
      <c r="BTS90" s="6"/>
      <c r="BTT90" s="6"/>
      <c r="BTU90" s="6"/>
      <c r="BTV90" s="6"/>
      <c r="BTW90" s="6"/>
      <c r="BTX90" s="6"/>
      <c r="BTY90" s="6"/>
      <c r="BTZ90" s="6"/>
      <c r="BUA90" s="6"/>
      <c r="BUB90" s="6"/>
      <c r="BUC90" s="6"/>
      <c r="BUD90" s="6"/>
      <c r="BUE90" s="6"/>
      <c r="BUF90" s="6"/>
      <c r="BUG90" s="6"/>
      <c r="BUH90" s="6"/>
      <c r="BUI90" s="6"/>
      <c r="BUJ90" s="6"/>
      <c r="BUK90" s="6"/>
      <c r="BUL90" s="6"/>
      <c r="BUM90" s="6"/>
      <c r="BUN90" s="6"/>
      <c r="BUO90" s="6"/>
      <c r="BUP90" s="6"/>
      <c r="BUQ90" s="6"/>
      <c r="BUR90" s="6"/>
      <c r="BUS90" s="6"/>
      <c r="BUT90" s="6"/>
      <c r="BUU90" s="6"/>
      <c r="BUV90" s="6"/>
      <c r="BUW90" s="6"/>
      <c r="BUX90" s="6"/>
      <c r="BUY90" s="6"/>
      <c r="BUZ90" s="6"/>
      <c r="BVA90" s="6"/>
      <c r="BVB90" s="6"/>
      <c r="BVC90" s="6"/>
      <c r="BVD90" s="6"/>
      <c r="BVE90" s="6"/>
      <c r="BVF90" s="6"/>
      <c r="BVG90" s="6"/>
      <c r="BVH90" s="6"/>
      <c r="BVI90" s="6"/>
      <c r="BVJ90" s="6"/>
      <c r="BVK90" s="6"/>
      <c r="BVL90" s="6"/>
      <c r="BVM90" s="6"/>
      <c r="BVN90" s="6"/>
      <c r="BVO90" s="6"/>
      <c r="BVP90" s="6"/>
      <c r="BVQ90" s="6"/>
      <c r="BVR90" s="6"/>
      <c r="BVS90" s="6"/>
      <c r="BVT90" s="6"/>
      <c r="BVU90" s="6"/>
      <c r="BVV90" s="6"/>
      <c r="BVW90" s="6"/>
      <c r="BVX90" s="6"/>
      <c r="BVY90" s="6"/>
      <c r="BVZ90" s="6"/>
      <c r="BWA90" s="6"/>
      <c r="BWB90" s="6"/>
      <c r="BWC90" s="6"/>
      <c r="BWD90" s="6"/>
      <c r="BWE90" s="6"/>
      <c r="BWF90" s="6"/>
      <c r="BWG90" s="6"/>
      <c r="BWH90" s="6"/>
      <c r="BWI90" s="6"/>
      <c r="BWJ90" s="6"/>
      <c r="BWK90" s="6"/>
      <c r="BWL90" s="6"/>
      <c r="BWM90" s="6"/>
      <c r="BWN90" s="6"/>
      <c r="BWO90" s="6"/>
      <c r="BWP90" s="6"/>
      <c r="BWQ90" s="6"/>
      <c r="BWR90" s="6"/>
      <c r="BWS90" s="6"/>
      <c r="BWT90" s="6"/>
      <c r="BWU90" s="6"/>
      <c r="BWV90" s="6"/>
      <c r="BWW90" s="6"/>
      <c r="BWX90" s="6"/>
      <c r="BWY90" s="6"/>
      <c r="BWZ90" s="6"/>
      <c r="BXA90" s="6"/>
      <c r="BXB90" s="6"/>
      <c r="BXC90" s="6"/>
      <c r="BXD90" s="6"/>
      <c r="BXE90" s="6"/>
      <c r="BXF90" s="6"/>
      <c r="BXG90" s="6"/>
      <c r="BXH90" s="6"/>
      <c r="BXI90" s="6"/>
      <c r="BXJ90" s="6"/>
      <c r="BXK90" s="6"/>
      <c r="BXL90" s="6"/>
      <c r="BXM90" s="6"/>
      <c r="BXN90" s="6"/>
      <c r="BXO90" s="6"/>
      <c r="BXP90" s="6"/>
      <c r="BXQ90" s="6"/>
      <c r="BXR90" s="6"/>
      <c r="BXS90" s="6"/>
      <c r="BXT90" s="6"/>
      <c r="BXU90" s="6"/>
      <c r="BXV90" s="6"/>
      <c r="BXW90" s="6"/>
      <c r="BXX90" s="6"/>
      <c r="BXY90" s="6"/>
      <c r="BXZ90" s="6"/>
      <c r="BYA90" s="6"/>
      <c r="BYB90" s="6"/>
      <c r="BYC90" s="6"/>
      <c r="BYD90" s="6"/>
      <c r="BYE90" s="6"/>
      <c r="BYF90" s="6"/>
      <c r="BYG90" s="6"/>
      <c r="BYH90" s="6"/>
      <c r="BYI90" s="6"/>
      <c r="BYJ90" s="6"/>
      <c r="BYK90" s="6"/>
      <c r="BYL90" s="6"/>
      <c r="BYM90" s="6"/>
      <c r="BYN90" s="6"/>
      <c r="BYO90" s="6"/>
      <c r="BYP90" s="6"/>
      <c r="BYQ90" s="6"/>
      <c r="BYR90" s="6"/>
      <c r="BYS90" s="6"/>
      <c r="BYT90" s="6"/>
      <c r="BYU90" s="6"/>
      <c r="BYV90" s="6"/>
      <c r="BYW90" s="6"/>
      <c r="BYX90" s="6"/>
      <c r="BYY90" s="6"/>
      <c r="BYZ90" s="6"/>
      <c r="BZA90" s="6"/>
      <c r="BZB90" s="6"/>
      <c r="BZC90" s="6"/>
      <c r="BZD90" s="6"/>
      <c r="BZE90" s="6"/>
      <c r="BZF90" s="6"/>
      <c r="BZG90" s="6"/>
      <c r="BZH90" s="6"/>
      <c r="BZI90" s="6"/>
      <c r="BZJ90" s="6"/>
      <c r="BZK90" s="6"/>
      <c r="BZL90" s="6"/>
      <c r="BZM90" s="6"/>
      <c r="BZN90" s="6"/>
      <c r="BZO90" s="6"/>
      <c r="BZP90" s="6"/>
      <c r="BZQ90" s="6"/>
      <c r="BZR90" s="6"/>
      <c r="BZS90" s="6"/>
      <c r="BZT90" s="6"/>
      <c r="BZU90" s="6"/>
      <c r="BZV90" s="6"/>
      <c r="BZW90" s="6"/>
      <c r="BZX90" s="6"/>
      <c r="BZY90" s="6"/>
      <c r="BZZ90" s="6"/>
      <c r="CAA90" s="6"/>
      <c r="CAB90" s="6"/>
      <c r="CAC90" s="6"/>
      <c r="CAD90" s="6"/>
      <c r="CAE90" s="6"/>
      <c r="CAF90" s="6"/>
      <c r="CAG90" s="6"/>
      <c r="CAH90" s="6"/>
      <c r="CAI90" s="6"/>
      <c r="CAJ90" s="6"/>
      <c r="CAK90" s="6"/>
      <c r="CAL90" s="6"/>
      <c r="CAM90" s="6"/>
      <c r="CAN90" s="6"/>
      <c r="CAO90" s="6"/>
      <c r="CAP90" s="6"/>
      <c r="CAQ90" s="6"/>
      <c r="CAR90" s="6"/>
      <c r="CAS90" s="6"/>
      <c r="CAT90" s="6"/>
      <c r="CAU90" s="6"/>
      <c r="CAV90" s="6"/>
      <c r="CAW90" s="6"/>
      <c r="CAX90" s="6"/>
      <c r="CAY90" s="6"/>
      <c r="CAZ90" s="6"/>
      <c r="CBA90" s="6"/>
      <c r="CBB90" s="6"/>
      <c r="CBC90" s="6"/>
      <c r="CBD90" s="6"/>
      <c r="CBE90" s="6"/>
      <c r="CBF90" s="6"/>
      <c r="CBG90" s="6"/>
      <c r="CBH90" s="6"/>
      <c r="CBI90" s="6"/>
      <c r="CBJ90" s="6"/>
      <c r="CBK90" s="6"/>
      <c r="CBL90" s="6"/>
      <c r="CBM90" s="6"/>
      <c r="CBN90" s="6"/>
      <c r="CBO90" s="6"/>
      <c r="CBP90" s="6"/>
      <c r="CBQ90" s="6"/>
      <c r="CBR90" s="6"/>
      <c r="CBS90" s="6"/>
      <c r="CBT90" s="6"/>
      <c r="CBU90" s="6"/>
      <c r="CBV90" s="6"/>
      <c r="CBW90" s="6"/>
      <c r="CBX90" s="6"/>
      <c r="CBY90" s="6"/>
      <c r="CBZ90" s="6"/>
      <c r="CCA90" s="6"/>
      <c r="CCB90" s="6"/>
      <c r="CCC90" s="6"/>
      <c r="CCD90" s="6"/>
      <c r="CCE90" s="6"/>
      <c r="CCF90" s="6"/>
      <c r="CCG90" s="6"/>
      <c r="CCH90" s="6"/>
      <c r="CCI90" s="6"/>
      <c r="CCJ90" s="6"/>
      <c r="CCK90" s="6"/>
      <c r="CCL90" s="6"/>
      <c r="CCM90" s="6"/>
      <c r="CCN90" s="6"/>
      <c r="CCO90" s="6"/>
      <c r="CCP90" s="6"/>
      <c r="CCQ90" s="6"/>
      <c r="CCR90" s="6"/>
      <c r="CCS90" s="6"/>
      <c r="CCT90" s="6"/>
      <c r="CCU90" s="6"/>
      <c r="CCV90" s="6"/>
      <c r="CCW90" s="6"/>
      <c r="CCX90" s="6"/>
      <c r="CCY90" s="6"/>
      <c r="CCZ90" s="6"/>
      <c r="CDA90" s="6"/>
      <c r="CDB90" s="6"/>
      <c r="CDC90" s="6"/>
      <c r="CDD90" s="6"/>
      <c r="CDE90" s="6"/>
      <c r="CDF90" s="6"/>
      <c r="CDG90" s="6"/>
      <c r="CDH90" s="6"/>
      <c r="CDI90" s="6"/>
      <c r="CDJ90" s="6"/>
      <c r="CDK90" s="6"/>
      <c r="CDL90" s="6"/>
      <c r="CDM90" s="6"/>
      <c r="CDN90" s="6"/>
      <c r="CDO90" s="6"/>
      <c r="CDP90" s="6"/>
      <c r="CDQ90" s="6"/>
      <c r="CDR90" s="6"/>
      <c r="CDS90" s="6"/>
      <c r="CDT90" s="6"/>
      <c r="CDU90" s="6"/>
      <c r="CDV90" s="6"/>
      <c r="CDW90" s="6"/>
      <c r="CDX90" s="6"/>
      <c r="CDY90" s="6"/>
      <c r="CDZ90" s="6"/>
      <c r="CEA90" s="6"/>
      <c r="CEB90" s="6"/>
      <c r="CEC90" s="6"/>
      <c r="CED90" s="6"/>
      <c r="CEE90" s="6"/>
      <c r="CEF90" s="6"/>
      <c r="CEG90" s="6"/>
      <c r="CEH90" s="6"/>
      <c r="CEI90" s="6"/>
      <c r="CEJ90" s="6"/>
      <c r="CEK90" s="6"/>
      <c r="CEL90" s="6"/>
      <c r="CEM90" s="6"/>
      <c r="CEN90" s="6"/>
      <c r="CEO90" s="6"/>
      <c r="CEP90" s="6"/>
      <c r="CEQ90" s="6"/>
      <c r="CER90" s="6"/>
      <c r="CES90" s="6"/>
      <c r="CET90" s="6"/>
      <c r="CEU90" s="6"/>
      <c r="CEV90" s="6"/>
      <c r="CEW90" s="6"/>
      <c r="CEX90" s="6"/>
      <c r="CEY90" s="6"/>
      <c r="CEZ90" s="6"/>
      <c r="CFA90" s="6"/>
      <c r="CFB90" s="6"/>
      <c r="CFC90" s="6"/>
      <c r="CFD90" s="6"/>
      <c r="CFE90" s="6"/>
      <c r="CFF90" s="6"/>
      <c r="CFG90" s="6"/>
      <c r="CFH90" s="6"/>
      <c r="CFI90" s="6"/>
      <c r="CFJ90" s="6"/>
      <c r="CFK90" s="6"/>
      <c r="CFL90" s="6"/>
      <c r="CFM90" s="6"/>
      <c r="CFN90" s="6"/>
      <c r="CFO90" s="6"/>
      <c r="CFP90" s="6"/>
      <c r="CFQ90" s="6"/>
      <c r="CFR90" s="6"/>
      <c r="CFS90" s="6"/>
      <c r="CFT90" s="6"/>
      <c r="CFU90" s="6"/>
      <c r="CFV90" s="6"/>
      <c r="CFW90" s="6"/>
      <c r="CFX90" s="6"/>
      <c r="CFY90" s="6"/>
      <c r="CFZ90" s="6"/>
      <c r="CGA90" s="6"/>
      <c r="CGB90" s="6"/>
      <c r="CGC90" s="6"/>
      <c r="CGD90" s="6"/>
      <c r="CGE90" s="6"/>
      <c r="CGF90" s="6"/>
      <c r="CGG90" s="6"/>
      <c r="CGH90" s="6"/>
      <c r="CGI90" s="6"/>
      <c r="CGJ90" s="6"/>
      <c r="CGK90" s="6"/>
      <c r="CGL90" s="6"/>
      <c r="CGM90" s="6"/>
      <c r="CGN90" s="6"/>
      <c r="CGO90" s="6"/>
      <c r="CGP90" s="6"/>
      <c r="CGQ90" s="6"/>
      <c r="CGR90" s="6"/>
      <c r="CGS90" s="6"/>
      <c r="CGT90" s="6"/>
      <c r="CGU90" s="6"/>
      <c r="CGV90" s="6"/>
      <c r="CGW90" s="6"/>
      <c r="CGX90" s="6"/>
      <c r="CGY90" s="6"/>
      <c r="CGZ90" s="6"/>
      <c r="CHA90" s="6"/>
      <c r="CHB90" s="6"/>
      <c r="CHC90" s="6"/>
      <c r="CHD90" s="6"/>
      <c r="CHE90" s="6"/>
      <c r="CHF90" s="6"/>
      <c r="CHG90" s="6"/>
      <c r="CHH90" s="6"/>
      <c r="CHI90" s="6"/>
      <c r="CHJ90" s="6"/>
      <c r="CHK90" s="6"/>
      <c r="CHL90" s="6"/>
      <c r="CHM90" s="6"/>
      <c r="CHN90" s="6"/>
      <c r="CHO90" s="6"/>
      <c r="CHP90" s="6"/>
      <c r="CHQ90" s="6"/>
      <c r="CHR90" s="6"/>
      <c r="CHS90" s="6"/>
      <c r="CHT90" s="6"/>
      <c r="CHU90" s="6"/>
      <c r="CHV90" s="6"/>
      <c r="CHW90" s="6"/>
      <c r="CHX90" s="6"/>
      <c r="CHY90" s="6"/>
      <c r="CHZ90" s="6"/>
      <c r="CIA90" s="6"/>
      <c r="CIB90" s="6"/>
      <c r="CIC90" s="6"/>
      <c r="CID90" s="6"/>
      <c r="CIE90" s="6"/>
      <c r="CIF90" s="6"/>
      <c r="CIG90" s="6"/>
      <c r="CIH90" s="6"/>
      <c r="CII90" s="6"/>
      <c r="CIJ90" s="6"/>
      <c r="CIK90" s="6"/>
      <c r="CIL90" s="6"/>
      <c r="CIM90" s="6"/>
      <c r="CIN90" s="6"/>
      <c r="CIO90" s="6"/>
      <c r="CIP90" s="6"/>
      <c r="CIQ90" s="6"/>
      <c r="CIR90" s="6"/>
      <c r="CIS90" s="6"/>
      <c r="CIT90" s="6"/>
      <c r="CIU90" s="6"/>
      <c r="CIV90" s="6"/>
      <c r="CIW90" s="6"/>
      <c r="CIX90" s="6"/>
      <c r="CIY90" s="6"/>
      <c r="CIZ90" s="6"/>
      <c r="CJA90" s="6"/>
      <c r="CJB90" s="6"/>
      <c r="CJC90" s="6"/>
      <c r="CJD90" s="6"/>
      <c r="CJE90" s="6"/>
      <c r="CJF90" s="6"/>
      <c r="CJG90" s="6"/>
      <c r="CJH90" s="6"/>
      <c r="CJI90" s="6"/>
      <c r="CJJ90" s="6"/>
      <c r="CJK90" s="6"/>
      <c r="CJL90" s="6"/>
      <c r="CJM90" s="6"/>
      <c r="CJN90" s="6"/>
      <c r="CJO90" s="6"/>
      <c r="CJP90" s="6"/>
      <c r="CJQ90" s="6"/>
      <c r="CJR90" s="6"/>
      <c r="CJS90" s="6"/>
      <c r="CJT90" s="6"/>
      <c r="CJU90" s="6"/>
      <c r="CJV90" s="6"/>
      <c r="CJW90" s="6"/>
      <c r="CJX90" s="6"/>
      <c r="CJY90" s="6"/>
      <c r="CJZ90" s="6"/>
      <c r="CKA90" s="6"/>
      <c r="CKB90" s="6"/>
      <c r="CKC90" s="6"/>
      <c r="CKD90" s="6"/>
      <c r="CKE90" s="6"/>
      <c r="CKF90" s="6"/>
      <c r="CKG90" s="6"/>
      <c r="CKH90" s="6"/>
      <c r="CKI90" s="6"/>
      <c r="CKJ90" s="6"/>
      <c r="CKK90" s="6"/>
      <c r="CKL90" s="6"/>
      <c r="CKM90" s="6"/>
      <c r="CKN90" s="6"/>
      <c r="CKO90" s="6"/>
      <c r="CKP90" s="6"/>
      <c r="CKQ90" s="6"/>
      <c r="CKR90" s="6"/>
      <c r="CKS90" s="6"/>
      <c r="CKT90" s="6"/>
      <c r="CKU90" s="6"/>
      <c r="CKV90" s="6"/>
      <c r="CKW90" s="6"/>
      <c r="CKX90" s="6"/>
      <c r="CKY90" s="6"/>
      <c r="CKZ90" s="6"/>
      <c r="CLA90" s="6"/>
      <c r="CLB90" s="6"/>
      <c r="CLC90" s="6"/>
      <c r="CLD90" s="6"/>
      <c r="CLE90" s="6"/>
      <c r="CLF90" s="6"/>
      <c r="CLG90" s="6"/>
      <c r="CLH90" s="6"/>
      <c r="CLI90" s="6"/>
      <c r="CLJ90" s="6"/>
      <c r="CLK90" s="6"/>
      <c r="CLL90" s="6"/>
      <c r="CLM90" s="6"/>
      <c r="CLN90" s="6"/>
      <c r="CLO90" s="6"/>
      <c r="CLP90" s="6"/>
      <c r="CLQ90" s="6"/>
      <c r="CLR90" s="6"/>
      <c r="CLS90" s="6"/>
      <c r="CLT90" s="6"/>
      <c r="CLU90" s="6"/>
      <c r="CLV90" s="6"/>
      <c r="CLW90" s="6"/>
      <c r="CLX90" s="6"/>
      <c r="CLY90" s="6"/>
      <c r="CLZ90" s="6"/>
      <c r="CMA90" s="6"/>
      <c r="CMB90" s="6"/>
      <c r="CMC90" s="6"/>
      <c r="CMD90" s="6"/>
      <c r="CME90" s="6"/>
      <c r="CMF90" s="6"/>
      <c r="CMG90" s="6"/>
      <c r="CMH90" s="6"/>
      <c r="CMI90" s="6"/>
      <c r="CMJ90" s="6"/>
      <c r="CMK90" s="6"/>
      <c r="CML90" s="6"/>
      <c r="CMM90" s="6"/>
      <c r="CMN90" s="6"/>
      <c r="CMO90" s="6"/>
      <c r="CMP90" s="6"/>
      <c r="CMQ90" s="6"/>
      <c r="CMR90" s="6"/>
      <c r="CMS90" s="6"/>
      <c r="CMT90" s="6"/>
      <c r="CMU90" s="6"/>
      <c r="CMV90" s="6"/>
      <c r="CMW90" s="6"/>
      <c r="CMX90" s="6"/>
      <c r="CMY90" s="6"/>
      <c r="CMZ90" s="6"/>
      <c r="CNA90" s="6"/>
      <c r="CNB90" s="6"/>
      <c r="CNC90" s="6"/>
      <c r="CND90" s="6"/>
      <c r="CNE90" s="6"/>
      <c r="CNF90" s="6"/>
      <c r="CNG90" s="6"/>
      <c r="CNH90" s="6"/>
      <c r="CNI90" s="6"/>
      <c r="CNJ90" s="6"/>
      <c r="CNK90" s="6"/>
      <c r="CNL90" s="6"/>
      <c r="CNM90" s="6"/>
      <c r="CNN90" s="6"/>
      <c r="CNO90" s="6"/>
      <c r="CNP90" s="6"/>
      <c r="CNQ90" s="6"/>
      <c r="CNR90" s="6"/>
      <c r="CNS90" s="6"/>
      <c r="CNT90" s="6"/>
      <c r="CNU90" s="6"/>
      <c r="CNV90" s="6"/>
      <c r="CNW90" s="6"/>
      <c r="CNX90" s="6"/>
      <c r="CNY90" s="6"/>
      <c r="CNZ90" s="6"/>
      <c r="COA90" s="6"/>
      <c r="COB90" s="6"/>
      <c r="COC90" s="6"/>
      <c r="COD90" s="6"/>
      <c r="COE90" s="6"/>
      <c r="COF90" s="6"/>
      <c r="COG90" s="6"/>
      <c r="COH90" s="6"/>
      <c r="COI90" s="6"/>
      <c r="COJ90" s="6"/>
      <c r="COK90" s="6"/>
      <c r="COL90" s="6"/>
      <c r="COM90" s="6"/>
      <c r="CON90" s="6"/>
      <c r="COO90" s="6"/>
      <c r="COP90" s="6"/>
      <c r="COQ90" s="6"/>
      <c r="COR90" s="6"/>
      <c r="COS90" s="6"/>
      <c r="COT90" s="6"/>
      <c r="COU90" s="6"/>
      <c r="COV90" s="6"/>
      <c r="COW90" s="6"/>
      <c r="COX90" s="6"/>
      <c r="COY90" s="6"/>
      <c r="COZ90" s="6"/>
      <c r="CPA90" s="6"/>
      <c r="CPB90" s="6"/>
      <c r="CPC90" s="6"/>
      <c r="CPD90" s="6"/>
      <c r="CPE90" s="6"/>
      <c r="CPF90" s="6"/>
      <c r="CPG90" s="6"/>
      <c r="CPH90" s="6"/>
      <c r="CPI90" s="6"/>
      <c r="CPJ90" s="6"/>
      <c r="CPK90" s="6"/>
      <c r="CPL90" s="6"/>
      <c r="CPM90" s="6"/>
      <c r="CPN90" s="6"/>
      <c r="CPO90" s="6"/>
      <c r="CPP90" s="6"/>
      <c r="CPQ90" s="6"/>
      <c r="CPR90" s="6"/>
      <c r="CPS90" s="6"/>
      <c r="CPT90" s="6"/>
      <c r="CPU90" s="6"/>
      <c r="CPV90" s="6"/>
      <c r="CPW90" s="6"/>
      <c r="CPX90" s="6"/>
      <c r="CPY90" s="6"/>
      <c r="CPZ90" s="6"/>
      <c r="CQA90" s="6"/>
      <c r="CQB90" s="6"/>
      <c r="CQC90" s="6"/>
      <c r="CQD90" s="6"/>
      <c r="CQE90" s="6"/>
      <c r="CQF90" s="6"/>
      <c r="CQG90" s="6"/>
      <c r="CQH90" s="6"/>
      <c r="CQI90" s="6"/>
      <c r="CQJ90" s="6"/>
      <c r="CQK90" s="6"/>
      <c r="CQL90" s="6"/>
      <c r="CQM90" s="6"/>
      <c r="CQN90" s="6"/>
      <c r="CQO90" s="6"/>
      <c r="CQP90" s="6"/>
      <c r="CQQ90" s="6"/>
      <c r="CQR90" s="6"/>
      <c r="CQS90" s="6"/>
      <c r="CQT90" s="6"/>
      <c r="CQU90" s="6"/>
      <c r="CQV90" s="6"/>
      <c r="CQW90" s="6"/>
      <c r="CQX90" s="6"/>
      <c r="CQY90" s="6"/>
      <c r="CQZ90" s="6"/>
      <c r="CRA90" s="6"/>
      <c r="CRB90" s="6"/>
      <c r="CRC90" s="6"/>
      <c r="CRD90" s="6"/>
      <c r="CRE90" s="6"/>
      <c r="CRF90" s="6"/>
      <c r="CRG90" s="6"/>
      <c r="CRH90" s="6"/>
      <c r="CRI90" s="6"/>
      <c r="CRJ90" s="6"/>
      <c r="CRK90" s="6"/>
      <c r="CRL90" s="6"/>
      <c r="CRM90" s="6"/>
      <c r="CRN90" s="6"/>
      <c r="CRO90" s="6"/>
      <c r="CRP90" s="6"/>
      <c r="CRQ90" s="6"/>
      <c r="CRR90" s="6"/>
      <c r="CRS90" s="6"/>
      <c r="CRT90" s="6"/>
      <c r="CRU90" s="6"/>
      <c r="CRV90" s="6"/>
      <c r="CRW90" s="6"/>
      <c r="CRX90" s="6"/>
      <c r="CRY90" s="6"/>
      <c r="CRZ90" s="6"/>
      <c r="CSA90" s="6"/>
      <c r="CSB90" s="6"/>
      <c r="CSC90" s="6"/>
      <c r="CSD90" s="6"/>
      <c r="CSE90" s="6"/>
      <c r="CSF90" s="6"/>
      <c r="CSG90" s="6"/>
      <c r="CSH90" s="6"/>
      <c r="CSI90" s="6"/>
      <c r="CSJ90" s="6"/>
      <c r="CSK90" s="6"/>
      <c r="CSL90" s="6"/>
      <c r="CSM90" s="6"/>
      <c r="CSN90" s="6"/>
      <c r="CSO90" s="6"/>
      <c r="CSP90" s="6"/>
      <c r="CSQ90" s="6"/>
      <c r="CSR90" s="6"/>
      <c r="CSS90" s="6"/>
      <c r="CST90" s="6"/>
      <c r="CSU90" s="6"/>
      <c r="CSV90" s="6"/>
      <c r="CSW90" s="6"/>
      <c r="CSX90" s="6"/>
      <c r="CSY90" s="6"/>
      <c r="CSZ90" s="6"/>
      <c r="CTA90" s="6"/>
      <c r="CTB90" s="6"/>
      <c r="CTC90" s="6"/>
      <c r="CTD90" s="6"/>
      <c r="CTE90" s="6"/>
      <c r="CTF90" s="6"/>
      <c r="CTG90" s="6"/>
      <c r="CTH90" s="6"/>
      <c r="CTI90" s="6"/>
      <c r="CTJ90" s="6"/>
      <c r="CTK90" s="6"/>
      <c r="CTL90" s="6"/>
      <c r="CTM90" s="6"/>
      <c r="CTN90" s="6"/>
      <c r="CTO90" s="6"/>
      <c r="CTP90" s="6"/>
      <c r="CTQ90" s="6"/>
      <c r="CTR90" s="6"/>
      <c r="CTS90" s="6"/>
      <c r="CTT90" s="6"/>
      <c r="CTU90" s="6"/>
      <c r="CTV90" s="6"/>
      <c r="CTW90" s="6"/>
      <c r="CTX90" s="6"/>
      <c r="CTY90" s="6"/>
      <c r="CTZ90" s="6"/>
      <c r="CUA90" s="6"/>
      <c r="CUB90" s="6"/>
      <c r="CUC90" s="6"/>
      <c r="CUD90" s="6"/>
      <c r="CUE90" s="6"/>
      <c r="CUF90" s="6"/>
      <c r="CUG90" s="6"/>
      <c r="CUH90" s="6"/>
      <c r="CUI90" s="6"/>
      <c r="CUJ90" s="6"/>
      <c r="CUK90" s="6"/>
      <c r="CUL90" s="6"/>
      <c r="CUM90" s="6"/>
      <c r="CUN90" s="6"/>
      <c r="CUO90" s="6"/>
      <c r="CUP90" s="6"/>
      <c r="CUQ90" s="6"/>
      <c r="CUR90" s="6"/>
      <c r="CUS90" s="6"/>
      <c r="CUT90" s="6"/>
      <c r="CUU90" s="6"/>
      <c r="CUV90" s="6"/>
      <c r="CUW90" s="6"/>
      <c r="CUX90" s="6"/>
      <c r="CUY90" s="6"/>
      <c r="CUZ90" s="6"/>
      <c r="CVA90" s="6"/>
      <c r="CVB90" s="6"/>
      <c r="CVC90" s="6"/>
      <c r="CVD90" s="6"/>
      <c r="CVE90" s="6"/>
      <c r="CVF90" s="6"/>
      <c r="CVG90" s="6"/>
      <c r="CVH90" s="6"/>
      <c r="CVI90" s="6"/>
      <c r="CVJ90" s="6"/>
      <c r="CVK90" s="6"/>
      <c r="CVL90" s="6"/>
      <c r="CVM90" s="6"/>
      <c r="CVN90" s="6"/>
      <c r="CVO90" s="6"/>
      <c r="CVP90" s="6"/>
      <c r="CVQ90" s="6"/>
      <c r="CVR90" s="6"/>
      <c r="CVS90" s="6"/>
      <c r="CVT90" s="6"/>
      <c r="CVU90" s="6"/>
      <c r="CVV90" s="6"/>
      <c r="CVW90" s="6"/>
      <c r="CVX90" s="6"/>
      <c r="CVY90" s="6"/>
      <c r="CVZ90" s="6"/>
      <c r="CWA90" s="6"/>
      <c r="CWB90" s="6"/>
      <c r="CWC90" s="6"/>
      <c r="CWD90" s="6"/>
      <c r="CWE90" s="6"/>
      <c r="CWF90" s="6"/>
      <c r="CWG90" s="6"/>
      <c r="CWH90" s="6"/>
      <c r="CWI90" s="6"/>
      <c r="CWJ90" s="6"/>
      <c r="CWK90" s="6"/>
      <c r="CWL90" s="6"/>
      <c r="CWM90" s="6"/>
      <c r="CWN90" s="6"/>
      <c r="CWO90" s="6"/>
      <c r="CWP90" s="6"/>
      <c r="CWQ90" s="6"/>
      <c r="CWR90" s="6"/>
      <c r="CWS90" s="6"/>
      <c r="CWT90" s="6"/>
      <c r="CWU90" s="6"/>
      <c r="CWV90" s="6"/>
      <c r="CWW90" s="6"/>
      <c r="CWX90" s="6"/>
      <c r="CWY90" s="6"/>
      <c r="CWZ90" s="6"/>
      <c r="CXA90" s="6"/>
      <c r="CXB90" s="6"/>
      <c r="CXC90" s="6"/>
      <c r="CXD90" s="6"/>
      <c r="CXE90" s="6"/>
      <c r="CXF90" s="6"/>
      <c r="CXG90" s="6"/>
      <c r="CXH90" s="6"/>
      <c r="CXI90" s="6"/>
      <c r="CXJ90" s="6"/>
      <c r="CXK90" s="6"/>
      <c r="CXL90" s="6"/>
      <c r="CXM90" s="6"/>
      <c r="CXN90" s="6"/>
      <c r="CXO90" s="6"/>
      <c r="CXP90" s="6"/>
      <c r="CXQ90" s="6"/>
      <c r="CXR90" s="6"/>
      <c r="CXS90" s="6"/>
      <c r="CXT90" s="6"/>
      <c r="CXU90" s="6"/>
      <c r="CXV90" s="6"/>
      <c r="CXW90" s="6"/>
      <c r="CXX90" s="6"/>
      <c r="CXY90" s="6"/>
      <c r="CXZ90" s="6"/>
      <c r="CYA90" s="6"/>
      <c r="CYB90" s="6"/>
      <c r="CYC90" s="6"/>
      <c r="CYD90" s="6"/>
      <c r="CYE90" s="6"/>
      <c r="CYF90" s="6"/>
      <c r="CYG90" s="6"/>
      <c r="CYH90" s="6"/>
      <c r="CYI90" s="6"/>
      <c r="CYJ90" s="6"/>
      <c r="CYK90" s="6"/>
      <c r="CYL90" s="6"/>
      <c r="CYM90" s="6"/>
      <c r="CYN90" s="6"/>
      <c r="CYO90" s="6"/>
      <c r="CYP90" s="6"/>
      <c r="CYQ90" s="6"/>
      <c r="CYR90" s="6"/>
      <c r="CYS90" s="6"/>
      <c r="CYT90" s="6"/>
      <c r="CYU90" s="6"/>
      <c r="CYV90" s="6"/>
      <c r="CYW90" s="6"/>
      <c r="CYX90" s="6"/>
      <c r="CYY90" s="6"/>
      <c r="CYZ90" s="6"/>
      <c r="CZA90" s="6"/>
      <c r="CZB90" s="6"/>
      <c r="CZC90" s="6"/>
      <c r="CZD90" s="6"/>
      <c r="CZE90" s="6"/>
      <c r="CZF90" s="6"/>
      <c r="CZG90" s="6"/>
      <c r="CZH90" s="6"/>
      <c r="CZI90" s="6"/>
      <c r="CZJ90" s="6"/>
      <c r="CZK90" s="6"/>
      <c r="CZL90" s="6"/>
      <c r="CZM90" s="6"/>
      <c r="CZN90" s="6"/>
      <c r="CZO90" s="6"/>
      <c r="CZP90" s="6"/>
      <c r="CZQ90" s="6"/>
      <c r="CZR90" s="6"/>
      <c r="CZS90" s="6"/>
      <c r="CZT90" s="6"/>
      <c r="CZU90" s="6"/>
      <c r="CZV90" s="6"/>
      <c r="CZW90" s="6"/>
      <c r="CZX90" s="6"/>
      <c r="CZY90" s="6"/>
      <c r="CZZ90" s="6"/>
      <c r="DAA90" s="6"/>
      <c r="DAB90" s="6"/>
      <c r="DAC90" s="6"/>
      <c r="DAD90" s="6"/>
      <c r="DAE90" s="6"/>
      <c r="DAF90" s="6"/>
      <c r="DAG90" s="6"/>
      <c r="DAH90" s="6"/>
      <c r="DAI90" s="6"/>
      <c r="DAJ90" s="6"/>
      <c r="DAK90" s="6"/>
      <c r="DAL90" s="6"/>
      <c r="DAM90" s="6"/>
      <c r="DAN90" s="6"/>
      <c r="DAO90" s="6"/>
      <c r="DAP90" s="6"/>
      <c r="DAQ90" s="6"/>
      <c r="DAR90" s="6"/>
      <c r="DAS90" s="6"/>
      <c r="DAT90" s="6"/>
      <c r="DAU90" s="6"/>
      <c r="DAV90" s="6"/>
      <c r="DAW90" s="6"/>
      <c r="DAX90" s="6"/>
      <c r="DAY90" s="6"/>
      <c r="DAZ90" s="6"/>
      <c r="DBA90" s="6"/>
      <c r="DBB90" s="6"/>
      <c r="DBC90" s="6"/>
      <c r="DBD90" s="6"/>
      <c r="DBE90" s="6"/>
      <c r="DBF90" s="6"/>
      <c r="DBG90" s="6"/>
      <c r="DBH90" s="6"/>
      <c r="DBI90" s="6"/>
      <c r="DBJ90" s="6"/>
      <c r="DBK90" s="6"/>
      <c r="DBL90" s="6"/>
      <c r="DBM90" s="6"/>
      <c r="DBN90" s="6"/>
      <c r="DBO90" s="6"/>
      <c r="DBP90" s="6"/>
      <c r="DBQ90" s="6"/>
      <c r="DBR90" s="6"/>
      <c r="DBS90" s="6"/>
      <c r="DBT90" s="6"/>
      <c r="DBU90" s="6"/>
      <c r="DBV90" s="6"/>
      <c r="DBW90" s="6"/>
      <c r="DBX90" s="6"/>
      <c r="DBY90" s="6"/>
      <c r="DBZ90" s="6"/>
      <c r="DCA90" s="6"/>
      <c r="DCB90" s="6"/>
      <c r="DCC90" s="6"/>
      <c r="DCD90" s="6"/>
      <c r="DCE90" s="6"/>
      <c r="DCF90" s="6"/>
      <c r="DCG90" s="6"/>
      <c r="DCH90" s="6"/>
      <c r="DCI90" s="6"/>
      <c r="DCJ90" s="6"/>
      <c r="DCK90" s="6"/>
      <c r="DCL90" s="6"/>
      <c r="DCM90" s="6"/>
      <c r="DCN90" s="6"/>
      <c r="DCO90" s="6"/>
      <c r="DCP90" s="6"/>
      <c r="DCQ90" s="6"/>
      <c r="DCR90" s="6"/>
      <c r="DCS90" s="6"/>
      <c r="DCT90" s="6"/>
      <c r="DCU90" s="6"/>
      <c r="DCV90" s="6"/>
      <c r="DCW90" s="6"/>
      <c r="DCX90" s="6"/>
      <c r="DCY90" s="6"/>
      <c r="DCZ90" s="6"/>
      <c r="DDA90" s="6"/>
      <c r="DDB90" s="6"/>
      <c r="DDC90" s="6"/>
      <c r="DDD90" s="6"/>
      <c r="DDE90" s="6"/>
      <c r="DDF90" s="6"/>
      <c r="DDG90" s="6"/>
      <c r="DDH90" s="6"/>
      <c r="DDI90" s="6"/>
      <c r="DDJ90" s="6"/>
      <c r="DDK90" s="6"/>
      <c r="DDL90" s="6"/>
      <c r="DDM90" s="6"/>
      <c r="DDN90" s="6"/>
      <c r="DDO90" s="6"/>
      <c r="DDP90" s="6"/>
      <c r="DDQ90" s="6"/>
      <c r="DDR90" s="6"/>
      <c r="DDS90" s="6"/>
      <c r="DDT90" s="6"/>
      <c r="DDU90" s="6"/>
      <c r="DDV90" s="6"/>
      <c r="DDW90" s="6"/>
      <c r="DDX90" s="6"/>
      <c r="DDY90" s="6"/>
      <c r="DDZ90" s="6"/>
      <c r="DEA90" s="6"/>
      <c r="DEB90" s="6"/>
      <c r="DEC90" s="6"/>
      <c r="DED90" s="6"/>
      <c r="DEE90" s="6"/>
      <c r="DEF90" s="6"/>
      <c r="DEG90" s="6"/>
      <c r="DEH90" s="6"/>
      <c r="DEI90" s="6"/>
      <c r="DEJ90" s="6"/>
      <c r="DEK90" s="6"/>
      <c r="DEL90" s="6"/>
      <c r="DEM90" s="6"/>
      <c r="DEN90" s="6"/>
      <c r="DEO90" s="6"/>
      <c r="DEP90" s="6"/>
      <c r="DEQ90" s="6"/>
      <c r="DER90" s="6"/>
      <c r="DES90" s="6"/>
      <c r="DET90" s="6"/>
      <c r="DEU90" s="6"/>
      <c r="DEV90" s="6"/>
      <c r="DEW90" s="6"/>
      <c r="DEX90" s="6"/>
      <c r="DEY90" s="6"/>
      <c r="DEZ90" s="6"/>
      <c r="DFA90" s="6"/>
      <c r="DFB90" s="6"/>
      <c r="DFC90" s="6"/>
      <c r="DFD90" s="6"/>
      <c r="DFE90" s="6"/>
      <c r="DFF90" s="6"/>
      <c r="DFG90" s="6"/>
      <c r="DFH90" s="6"/>
      <c r="DFI90" s="6"/>
      <c r="DFJ90" s="6"/>
      <c r="DFK90" s="6"/>
      <c r="DFL90" s="6"/>
      <c r="DFM90" s="6"/>
      <c r="DFN90" s="6"/>
      <c r="DFO90" s="6"/>
      <c r="DFP90" s="6"/>
      <c r="DFQ90" s="6"/>
      <c r="DFR90" s="6"/>
      <c r="DFS90" s="6"/>
      <c r="DFT90" s="6"/>
      <c r="DFU90" s="6"/>
      <c r="DFV90" s="6"/>
      <c r="DFW90" s="6"/>
      <c r="DFX90" s="6"/>
      <c r="DFY90" s="6"/>
      <c r="DFZ90" s="6"/>
      <c r="DGA90" s="6"/>
      <c r="DGB90" s="6"/>
      <c r="DGC90" s="6"/>
      <c r="DGD90" s="6"/>
      <c r="DGE90" s="6"/>
      <c r="DGF90" s="6"/>
      <c r="DGG90" s="6"/>
      <c r="DGH90" s="6"/>
      <c r="DGI90" s="6"/>
      <c r="DGJ90" s="6"/>
      <c r="DGK90" s="6"/>
      <c r="DGL90" s="6"/>
      <c r="DGM90" s="6"/>
      <c r="DGN90" s="6"/>
      <c r="DGO90" s="6"/>
      <c r="DGP90" s="6"/>
      <c r="DGQ90" s="6"/>
      <c r="DGR90" s="6"/>
      <c r="DGS90" s="6"/>
      <c r="DGT90" s="6"/>
      <c r="DGU90" s="6"/>
      <c r="DGV90" s="6"/>
      <c r="DGW90" s="6"/>
      <c r="DGX90" s="6"/>
      <c r="DGY90" s="6"/>
      <c r="DGZ90" s="6"/>
      <c r="DHA90" s="6"/>
      <c r="DHB90" s="6"/>
      <c r="DHC90" s="6"/>
      <c r="DHD90" s="6"/>
      <c r="DHE90" s="6"/>
      <c r="DHF90" s="6"/>
      <c r="DHG90" s="6"/>
      <c r="DHH90" s="6"/>
      <c r="DHI90" s="6"/>
      <c r="DHJ90" s="6"/>
      <c r="DHK90" s="6"/>
      <c r="DHL90" s="6"/>
      <c r="DHM90" s="6"/>
      <c r="DHN90" s="6"/>
      <c r="DHO90" s="6"/>
      <c r="DHP90" s="6"/>
      <c r="DHQ90" s="6"/>
      <c r="DHR90" s="6"/>
      <c r="DHS90" s="6"/>
      <c r="DHT90" s="6"/>
      <c r="DHU90" s="6"/>
      <c r="DHV90" s="6"/>
      <c r="DHW90" s="6"/>
      <c r="DHX90" s="6"/>
      <c r="DHY90" s="6"/>
      <c r="DHZ90" s="6"/>
      <c r="DIA90" s="6"/>
      <c r="DIB90" s="6"/>
      <c r="DIC90" s="6"/>
      <c r="DID90" s="6"/>
      <c r="DIE90" s="6"/>
      <c r="DIF90" s="6"/>
      <c r="DIG90" s="6"/>
      <c r="DIH90" s="6"/>
      <c r="DII90" s="6"/>
      <c r="DIJ90" s="6"/>
      <c r="DIK90" s="6"/>
      <c r="DIL90" s="6"/>
      <c r="DIM90" s="6"/>
      <c r="DIN90" s="6"/>
      <c r="DIO90" s="6"/>
      <c r="DIP90" s="6"/>
      <c r="DIQ90" s="6"/>
      <c r="DIR90" s="6"/>
      <c r="DIS90" s="6"/>
      <c r="DIT90" s="6"/>
      <c r="DIU90" s="6"/>
      <c r="DIV90" s="6"/>
      <c r="DIW90" s="6"/>
      <c r="DIX90" s="6"/>
      <c r="DIY90" s="6"/>
      <c r="DIZ90" s="6"/>
      <c r="DJA90" s="6"/>
      <c r="DJB90" s="6"/>
      <c r="DJC90" s="6"/>
      <c r="DJD90" s="6"/>
      <c r="DJE90" s="6"/>
      <c r="DJF90" s="6"/>
      <c r="DJG90" s="6"/>
      <c r="DJH90" s="6"/>
      <c r="DJI90" s="6"/>
      <c r="DJJ90" s="6"/>
      <c r="DJK90" s="6"/>
      <c r="DJL90" s="6"/>
      <c r="DJM90" s="6"/>
      <c r="DJN90" s="6"/>
      <c r="DJO90" s="6"/>
      <c r="DJP90" s="6"/>
      <c r="DJQ90" s="6"/>
      <c r="DJR90" s="6"/>
      <c r="DJS90" s="6"/>
      <c r="DJT90" s="6"/>
      <c r="DJU90" s="6"/>
      <c r="DJV90" s="6"/>
      <c r="DJW90" s="6"/>
      <c r="DJX90" s="6"/>
      <c r="DJY90" s="6"/>
      <c r="DJZ90" s="6"/>
      <c r="DKA90" s="6"/>
      <c r="DKB90" s="6"/>
      <c r="DKC90" s="6"/>
      <c r="DKD90" s="6"/>
      <c r="DKE90" s="6"/>
      <c r="DKF90" s="6"/>
      <c r="DKG90" s="6"/>
      <c r="DKH90" s="6"/>
      <c r="DKI90" s="6"/>
      <c r="DKJ90" s="6"/>
      <c r="DKK90" s="6"/>
      <c r="DKL90" s="6"/>
      <c r="DKM90" s="6"/>
      <c r="DKN90" s="6"/>
      <c r="DKO90" s="6"/>
      <c r="DKP90" s="6"/>
      <c r="DKQ90" s="6"/>
      <c r="DKR90" s="6"/>
      <c r="DKS90" s="6"/>
      <c r="DKT90" s="6"/>
      <c r="DKU90" s="6"/>
      <c r="DKV90" s="6"/>
      <c r="DKW90" s="6"/>
      <c r="DKX90" s="6"/>
      <c r="DKY90" s="6"/>
      <c r="DKZ90" s="6"/>
      <c r="DLA90" s="6"/>
      <c r="DLB90" s="6"/>
      <c r="DLC90" s="6"/>
      <c r="DLD90" s="6"/>
      <c r="DLE90" s="6"/>
      <c r="DLF90" s="6"/>
      <c r="DLG90" s="6"/>
      <c r="DLH90" s="6"/>
      <c r="DLI90" s="6"/>
      <c r="DLJ90" s="6"/>
      <c r="DLK90" s="6"/>
      <c r="DLL90" s="6"/>
      <c r="DLM90" s="6"/>
      <c r="DLN90" s="6"/>
      <c r="DLO90" s="6"/>
      <c r="DLP90" s="6"/>
      <c r="DLQ90" s="6"/>
      <c r="DLR90" s="6"/>
      <c r="DLS90" s="6"/>
      <c r="DLT90" s="6"/>
      <c r="DLU90" s="6"/>
      <c r="DLV90" s="6"/>
      <c r="DLW90" s="6"/>
      <c r="DLX90" s="6"/>
      <c r="DLY90" s="6"/>
      <c r="DLZ90" s="6"/>
      <c r="DMA90" s="6"/>
      <c r="DMB90" s="6"/>
      <c r="DMC90" s="6"/>
      <c r="DMD90" s="6"/>
      <c r="DME90" s="6"/>
      <c r="DMF90" s="6"/>
      <c r="DMG90" s="6"/>
      <c r="DMH90" s="6"/>
      <c r="DMI90" s="6"/>
      <c r="DMJ90" s="6"/>
      <c r="DMK90" s="6"/>
      <c r="DML90" s="6"/>
      <c r="DMM90" s="6"/>
      <c r="DMN90" s="6"/>
      <c r="DMO90" s="6"/>
      <c r="DMP90" s="6"/>
      <c r="DMQ90" s="6"/>
      <c r="DMR90" s="6"/>
      <c r="DMS90" s="6"/>
      <c r="DMT90" s="6"/>
      <c r="DMU90" s="6"/>
      <c r="DMV90" s="6"/>
      <c r="DMW90" s="6"/>
      <c r="DMX90" s="6"/>
      <c r="DMY90" s="6"/>
      <c r="DMZ90" s="6"/>
      <c r="DNA90" s="6"/>
      <c r="DNB90" s="6"/>
      <c r="DNC90" s="6"/>
      <c r="DND90" s="6"/>
      <c r="DNE90" s="6"/>
      <c r="DNF90" s="6"/>
      <c r="DNG90" s="6"/>
      <c r="DNH90" s="6"/>
      <c r="DNI90" s="6"/>
      <c r="DNJ90" s="6"/>
      <c r="DNK90" s="6"/>
      <c r="DNL90" s="6"/>
      <c r="DNM90" s="6"/>
      <c r="DNN90" s="6"/>
      <c r="DNO90" s="6"/>
      <c r="DNP90" s="6"/>
      <c r="DNQ90" s="6"/>
      <c r="DNR90" s="6"/>
      <c r="DNS90" s="6"/>
      <c r="DNT90" s="6"/>
      <c r="DNU90" s="6"/>
      <c r="DNV90" s="6"/>
      <c r="DNW90" s="6"/>
      <c r="DNX90" s="6"/>
      <c r="DNY90" s="6"/>
      <c r="DNZ90" s="6"/>
      <c r="DOA90" s="6"/>
      <c r="DOB90" s="6"/>
      <c r="DOC90" s="6"/>
      <c r="DOD90" s="6"/>
      <c r="DOE90" s="6"/>
      <c r="DOF90" s="6"/>
      <c r="DOG90" s="6"/>
      <c r="DOH90" s="6"/>
      <c r="DOI90" s="6"/>
      <c r="DOJ90" s="6"/>
      <c r="DOK90" s="6"/>
      <c r="DOL90" s="6"/>
      <c r="DOM90" s="6"/>
      <c r="DON90" s="6"/>
      <c r="DOO90" s="6"/>
      <c r="DOP90" s="6"/>
      <c r="DOQ90" s="6"/>
      <c r="DOR90" s="6"/>
      <c r="DOS90" s="6"/>
      <c r="DOT90" s="6"/>
      <c r="DOU90" s="6"/>
      <c r="DOV90" s="6"/>
      <c r="DOW90" s="6"/>
      <c r="DOX90" s="6"/>
      <c r="DOY90" s="6"/>
      <c r="DOZ90" s="6"/>
      <c r="DPA90" s="6"/>
      <c r="DPB90" s="6"/>
      <c r="DPC90" s="6"/>
      <c r="DPD90" s="6"/>
      <c r="DPE90" s="6"/>
      <c r="DPF90" s="6"/>
      <c r="DPG90" s="6"/>
      <c r="DPH90" s="6"/>
      <c r="DPI90" s="6"/>
      <c r="DPJ90" s="6"/>
      <c r="DPK90" s="6"/>
      <c r="DPL90" s="6"/>
      <c r="DPM90" s="6"/>
      <c r="DPN90" s="6"/>
      <c r="DPO90" s="6"/>
      <c r="DPP90" s="6"/>
      <c r="DPQ90" s="6"/>
      <c r="DPR90" s="6"/>
      <c r="DPS90" s="6"/>
      <c r="DPT90" s="6"/>
      <c r="DPU90" s="6"/>
      <c r="DPV90" s="6"/>
      <c r="DPW90" s="6"/>
      <c r="DPX90" s="6"/>
      <c r="DPY90" s="6"/>
      <c r="DPZ90" s="6"/>
      <c r="DQA90" s="6"/>
      <c r="DQB90" s="6"/>
      <c r="DQC90" s="6"/>
      <c r="DQD90" s="6"/>
      <c r="DQE90" s="6"/>
      <c r="DQF90" s="6"/>
      <c r="DQG90" s="6"/>
      <c r="DQH90" s="6"/>
      <c r="DQI90" s="6"/>
      <c r="DQJ90" s="6"/>
      <c r="DQK90" s="6"/>
      <c r="DQL90" s="6"/>
      <c r="DQM90" s="6"/>
      <c r="DQN90" s="6"/>
      <c r="DQO90" s="6"/>
      <c r="DQP90" s="6"/>
      <c r="DQQ90" s="6"/>
      <c r="DQR90" s="6"/>
      <c r="DQS90" s="6"/>
      <c r="DQT90" s="6"/>
      <c r="DQU90" s="6"/>
      <c r="DQV90" s="6"/>
      <c r="DQW90" s="6"/>
      <c r="DQX90" s="6"/>
      <c r="DQY90" s="6"/>
      <c r="DQZ90" s="6"/>
      <c r="DRA90" s="6"/>
      <c r="DRB90" s="6"/>
      <c r="DRC90" s="6"/>
      <c r="DRD90" s="6"/>
      <c r="DRE90" s="6"/>
      <c r="DRF90" s="6"/>
      <c r="DRG90" s="6"/>
      <c r="DRH90" s="6"/>
      <c r="DRI90" s="6"/>
      <c r="DRJ90" s="6"/>
      <c r="DRK90" s="6"/>
      <c r="DRL90" s="6"/>
      <c r="DRM90" s="6"/>
      <c r="DRN90" s="6"/>
      <c r="DRO90" s="6"/>
      <c r="DRP90" s="6"/>
      <c r="DRQ90" s="6"/>
      <c r="DRR90" s="6"/>
      <c r="DRS90" s="6"/>
      <c r="DRT90" s="6"/>
      <c r="DRU90" s="6"/>
      <c r="DRV90" s="6"/>
      <c r="DRW90" s="6"/>
      <c r="DRX90" s="6"/>
      <c r="DRY90" s="6"/>
      <c r="DRZ90" s="6"/>
      <c r="DSA90" s="6"/>
      <c r="DSB90" s="6"/>
      <c r="DSC90" s="6"/>
      <c r="DSD90" s="6"/>
      <c r="DSE90" s="6"/>
      <c r="DSF90" s="6"/>
      <c r="DSG90" s="6"/>
      <c r="DSH90" s="6"/>
      <c r="DSI90" s="6"/>
      <c r="DSJ90" s="6"/>
      <c r="DSK90" s="6"/>
      <c r="DSL90" s="6"/>
      <c r="DSM90" s="6"/>
      <c r="DSN90" s="6"/>
      <c r="DSO90" s="6"/>
      <c r="DSP90" s="6"/>
      <c r="DSQ90" s="6"/>
      <c r="DSR90" s="6"/>
      <c r="DSS90" s="6"/>
      <c r="DST90" s="6"/>
      <c r="DSU90" s="6"/>
      <c r="DSV90" s="6"/>
      <c r="DSW90" s="6"/>
      <c r="DSX90" s="6"/>
      <c r="DSY90" s="6"/>
      <c r="DSZ90" s="6"/>
      <c r="DTA90" s="6"/>
      <c r="DTB90" s="6"/>
      <c r="DTC90" s="6"/>
      <c r="DTD90" s="6"/>
      <c r="DTE90" s="6"/>
      <c r="DTF90" s="6"/>
      <c r="DTG90" s="6"/>
      <c r="DTH90" s="6"/>
      <c r="DTI90" s="6"/>
      <c r="DTJ90" s="6"/>
      <c r="DTK90" s="6"/>
      <c r="DTL90" s="6"/>
      <c r="DTM90" s="6"/>
      <c r="DTN90" s="6"/>
      <c r="DTO90" s="6"/>
      <c r="DTP90" s="6"/>
      <c r="DTQ90" s="6"/>
      <c r="DTR90" s="6"/>
      <c r="DTS90" s="6"/>
      <c r="DTT90" s="6"/>
      <c r="DTU90" s="6"/>
      <c r="DTV90" s="6"/>
      <c r="DTW90" s="6"/>
      <c r="DTX90" s="6"/>
      <c r="DTY90" s="6"/>
      <c r="DTZ90" s="6"/>
      <c r="DUA90" s="6"/>
      <c r="DUB90" s="6"/>
      <c r="DUC90" s="6"/>
      <c r="DUD90" s="6"/>
      <c r="DUE90" s="6"/>
      <c r="DUF90" s="6"/>
      <c r="DUG90" s="6"/>
      <c r="DUH90" s="6"/>
      <c r="DUI90" s="6"/>
      <c r="DUJ90" s="6"/>
      <c r="DUK90" s="6"/>
      <c r="DUL90" s="6"/>
      <c r="DUM90" s="6"/>
      <c r="DUN90" s="6"/>
      <c r="DUO90" s="6"/>
      <c r="DUP90" s="6"/>
      <c r="DUQ90" s="6"/>
      <c r="DUR90" s="6"/>
      <c r="DUS90" s="6"/>
      <c r="DUT90" s="6"/>
      <c r="DUU90" s="6"/>
      <c r="DUV90" s="6"/>
      <c r="DUW90" s="6"/>
      <c r="DUX90" s="6"/>
      <c r="DUY90" s="6"/>
      <c r="DUZ90" s="6"/>
      <c r="DVA90" s="6"/>
      <c r="DVB90" s="6"/>
      <c r="DVC90" s="6"/>
      <c r="DVD90" s="6"/>
      <c r="DVE90" s="6"/>
      <c r="DVF90" s="6"/>
      <c r="DVG90" s="6"/>
      <c r="DVH90" s="6"/>
      <c r="DVI90" s="6"/>
      <c r="DVJ90" s="6"/>
      <c r="DVK90" s="6"/>
      <c r="DVL90" s="6"/>
      <c r="DVM90" s="6"/>
      <c r="DVN90" s="6"/>
      <c r="DVO90" s="6"/>
      <c r="DVP90" s="6"/>
      <c r="DVQ90" s="6"/>
      <c r="DVR90" s="6"/>
      <c r="DVS90" s="6"/>
      <c r="DVT90" s="6"/>
      <c r="DVU90" s="6"/>
      <c r="DVV90" s="6"/>
      <c r="DVW90" s="6"/>
      <c r="DVX90" s="6"/>
      <c r="DVY90" s="6"/>
      <c r="DVZ90" s="6"/>
      <c r="DWA90" s="6"/>
      <c r="DWB90" s="6"/>
      <c r="DWC90" s="6"/>
      <c r="DWD90" s="6"/>
      <c r="DWE90" s="6"/>
      <c r="DWF90" s="6"/>
      <c r="DWG90" s="6"/>
      <c r="DWH90" s="6"/>
      <c r="DWI90" s="6"/>
      <c r="DWJ90" s="6"/>
      <c r="DWK90" s="6"/>
      <c r="DWL90" s="6"/>
      <c r="DWM90" s="6"/>
      <c r="DWN90" s="6"/>
      <c r="DWO90" s="6"/>
      <c r="DWP90" s="6"/>
      <c r="DWQ90" s="6"/>
      <c r="DWR90" s="6"/>
      <c r="DWS90" s="6"/>
      <c r="DWT90" s="6"/>
      <c r="DWU90" s="6"/>
      <c r="DWV90" s="6"/>
      <c r="DWW90" s="6"/>
      <c r="DWX90" s="6"/>
      <c r="DWY90" s="6"/>
      <c r="DWZ90" s="6"/>
      <c r="DXA90" s="6"/>
      <c r="DXB90" s="6"/>
      <c r="DXC90" s="6"/>
      <c r="DXD90" s="6"/>
      <c r="DXE90" s="6"/>
      <c r="DXF90" s="6"/>
      <c r="DXG90" s="6"/>
      <c r="DXH90" s="6"/>
      <c r="DXI90" s="6"/>
      <c r="DXJ90" s="6"/>
      <c r="DXK90" s="6"/>
      <c r="DXL90" s="6"/>
      <c r="DXM90" s="6"/>
      <c r="DXN90" s="6"/>
      <c r="DXO90" s="6"/>
      <c r="DXP90" s="6"/>
      <c r="DXQ90" s="6"/>
      <c r="DXR90" s="6"/>
      <c r="DXS90" s="6"/>
      <c r="DXT90" s="6"/>
      <c r="DXU90" s="6"/>
      <c r="DXV90" s="6"/>
      <c r="DXW90" s="6"/>
      <c r="DXX90" s="6"/>
      <c r="DXY90" s="6"/>
      <c r="DXZ90" s="6"/>
      <c r="DYA90" s="6"/>
      <c r="DYB90" s="6"/>
      <c r="DYC90" s="6"/>
      <c r="DYD90" s="6"/>
      <c r="DYE90" s="6"/>
      <c r="DYF90" s="6"/>
      <c r="DYG90" s="6"/>
      <c r="DYH90" s="6"/>
      <c r="DYI90" s="6"/>
      <c r="DYJ90" s="6"/>
      <c r="DYK90" s="6"/>
      <c r="DYL90" s="6"/>
      <c r="DYM90" s="6"/>
      <c r="DYN90" s="6"/>
      <c r="DYO90" s="6"/>
      <c r="DYP90" s="6"/>
      <c r="DYQ90" s="6"/>
      <c r="DYR90" s="6"/>
      <c r="DYS90" s="6"/>
      <c r="DYT90" s="6"/>
      <c r="DYU90" s="6"/>
      <c r="DYV90" s="6"/>
      <c r="DYW90" s="6"/>
      <c r="DYX90" s="6"/>
      <c r="DYY90" s="6"/>
      <c r="DYZ90" s="6"/>
      <c r="DZA90" s="6"/>
      <c r="DZB90" s="6"/>
      <c r="DZC90" s="6"/>
      <c r="DZD90" s="6"/>
      <c r="DZE90" s="6"/>
      <c r="DZF90" s="6"/>
      <c r="DZG90" s="6"/>
      <c r="DZH90" s="6"/>
      <c r="DZI90" s="6"/>
      <c r="DZJ90" s="6"/>
      <c r="DZK90" s="6"/>
      <c r="DZL90" s="6"/>
      <c r="DZM90" s="6"/>
      <c r="DZN90" s="6"/>
      <c r="DZO90" s="6"/>
      <c r="DZP90" s="6"/>
      <c r="DZQ90" s="6"/>
      <c r="DZR90" s="6"/>
      <c r="DZS90" s="6"/>
      <c r="DZT90" s="6"/>
      <c r="DZU90" s="6"/>
      <c r="DZV90" s="6"/>
      <c r="DZW90" s="6"/>
      <c r="DZX90" s="6"/>
      <c r="DZY90" s="6"/>
      <c r="DZZ90" s="6"/>
      <c r="EAA90" s="6"/>
      <c r="EAB90" s="6"/>
      <c r="EAC90" s="6"/>
      <c r="EAD90" s="6"/>
      <c r="EAE90" s="6"/>
      <c r="EAF90" s="6"/>
      <c r="EAG90" s="6"/>
      <c r="EAH90" s="6"/>
      <c r="EAI90" s="6"/>
      <c r="EAJ90" s="6"/>
      <c r="EAK90" s="6"/>
      <c r="EAL90" s="6"/>
      <c r="EAM90" s="6"/>
      <c r="EAN90" s="6"/>
      <c r="EAO90" s="6"/>
      <c r="EAP90" s="6"/>
      <c r="EAQ90" s="6"/>
      <c r="EAR90" s="6"/>
      <c r="EAS90" s="6"/>
      <c r="EAT90" s="6"/>
      <c r="EAU90" s="6"/>
      <c r="EAV90" s="6"/>
      <c r="EAW90" s="6"/>
      <c r="EAX90" s="6"/>
      <c r="EAY90" s="6"/>
      <c r="EAZ90" s="6"/>
      <c r="EBA90" s="6"/>
      <c r="EBB90" s="6"/>
      <c r="EBC90" s="6"/>
      <c r="EBD90" s="6"/>
      <c r="EBE90" s="6"/>
      <c r="EBF90" s="6"/>
      <c r="EBG90" s="6"/>
      <c r="EBH90" s="6"/>
      <c r="EBI90" s="6"/>
      <c r="EBJ90" s="6"/>
      <c r="EBK90" s="6"/>
      <c r="EBL90" s="6"/>
      <c r="EBM90" s="6"/>
      <c r="EBN90" s="6"/>
      <c r="EBO90" s="6"/>
      <c r="EBP90" s="6"/>
      <c r="EBQ90" s="6"/>
      <c r="EBR90" s="6"/>
      <c r="EBS90" s="6"/>
      <c r="EBT90" s="6"/>
      <c r="EBU90" s="6"/>
      <c r="EBV90" s="6"/>
      <c r="EBW90" s="6"/>
      <c r="EBX90" s="6"/>
      <c r="EBY90" s="6"/>
      <c r="EBZ90" s="6"/>
      <c r="ECA90" s="6"/>
      <c r="ECB90" s="6"/>
      <c r="ECC90" s="6"/>
      <c r="ECD90" s="6"/>
      <c r="ECE90" s="6"/>
      <c r="ECF90" s="6"/>
      <c r="ECG90" s="6"/>
      <c r="ECH90" s="6"/>
      <c r="ECI90" s="6"/>
      <c r="ECJ90" s="6"/>
      <c r="ECK90" s="6"/>
      <c r="ECL90" s="6"/>
      <c r="ECM90" s="6"/>
      <c r="ECN90" s="6"/>
      <c r="ECO90" s="6"/>
      <c r="ECP90" s="6"/>
      <c r="ECQ90" s="6"/>
      <c r="ECR90" s="6"/>
      <c r="ECS90" s="6"/>
      <c r="ECT90" s="6"/>
      <c r="ECU90" s="6"/>
      <c r="ECV90" s="6"/>
      <c r="ECW90" s="6"/>
      <c r="ECX90" s="6"/>
      <c r="ECY90" s="6"/>
      <c r="ECZ90" s="6"/>
      <c r="EDA90" s="6"/>
      <c r="EDB90" s="6"/>
      <c r="EDC90" s="6"/>
      <c r="EDD90" s="6"/>
      <c r="EDE90" s="6"/>
      <c r="EDF90" s="6"/>
      <c r="EDG90" s="6"/>
      <c r="EDH90" s="6"/>
      <c r="EDI90" s="6"/>
      <c r="EDJ90" s="6"/>
      <c r="EDK90" s="6"/>
      <c r="EDL90" s="6"/>
      <c r="EDM90" s="6"/>
      <c r="EDN90" s="6"/>
      <c r="EDO90" s="6"/>
      <c r="EDP90" s="6"/>
      <c r="EDQ90" s="6"/>
      <c r="EDR90" s="6"/>
      <c r="EDS90" s="6"/>
      <c r="EDT90" s="6"/>
      <c r="EDU90" s="6"/>
      <c r="EDV90" s="6"/>
      <c r="EDW90" s="6"/>
      <c r="EDX90" s="6"/>
      <c r="EDY90" s="6"/>
      <c r="EDZ90" s="6"/>
      <c r="EEA90" s="6"/>
      <c r="EEB90" s="6"/>
      <c r="EEC90" s="6"/>
      <c r="EED90" s="6"/>
      <c r="EEE90" s="6"/>
      <c r="EEF90" s="6"/>
      <c r="EEG90" s="6"/>
      <c r="EEH90" s="6"/>
      <c r="EEI90" s="6"/>
      <c r="EEJ90" s="6"/>
      <c r="EEK90" s="6"/>
      <c r="EEL90" s="6"/>
      <c r="EEM90" s="6"/>
      <c r="EEN90" s="6"/>
      <c r="EEO90" s="6"/>
      <c r="EEP90" s="6"/>
      <c r="EEQ90" s="6"/>
      <c r="EER90" s="6"/>
      <c r="EES90" s="6"/>
      <c r="EET90" s="6"/>
      <c r="EEU90" s="6"/>
      <c r="EEV90" s="6"/>
      <c r="EEW90" s="6"/>
      <c r="EEX90" s="6"/>
      <c r="EEY90" s="6"/>
      <c r="EEZ90" s="6"/>
      <c r="EFA90" s="6"/>
      <c r="EFB90" s="6"/>
      <c r="EFC90" s="6"/>
      <c r="EFD90" s="6"/>
      <c r="EFE90" s="6"/>
      <c r="EFF90" s="6"/>
      <c r="EFG90" s="6"/>
      <c r="EFH90" s="6"/>
      <c r="EFI90" s="6"/>
      <c r="EFJ90" s="6"/>
      <c r="EFK90" s="6"/>
      <c r="EFL90" s="6"/>
      <c r="EFM90" s="6"/>
      <c r="EFN90" s="6"/>
      <c r="EFO90" s="6"/>
      <c r="EFP90" s="6"/>
      <c r="EFQ90" s="6"/>
      <c r="EFR90" s="6"/>
      <c r="EFS90" s="6"/>
      <c r="EFT90" s="6"/>
      <c r="EFU90" s="6"/>
      <c r="EFV90" s="6"/>
      <c r="EFW90" s="6"/>
      <c r="EFX90" s="6"/>
      <c r="EFY90" s="6"/>
      <c r="EFZ90" s="6"/>
      <c r="EGA90" s="6"/>
      <c r="EGB90" s="6"/>
      <c r="EGC90" s="6"/>
      <c r="EGD90" s="6"/>
      <c r="EGE90" s="6"/>
      <c r="EGF90" s="6"/>
      <c r="EGG90" s="6"/>
      <c r="EGH90" s="6"/>
      <c r="EGI90" s="6"/>
      <c r="EGJ90" s="6"/>
      <c r="EGK90" s="6"/>
      <c r="EGL90" s="6"/>
      <c r="EGM90" s="6"/>
      <c r="EGN90" s="6"/>
      <c r="EGO90" s="6"/>
      <c r="EGP90" s="6"/>
      <c r="EGQ90" s="6"/>
      <c r="EGR90" s="6"/>
      <c r="EGS90" s="6"/>
      <c r="EGT90" s="6"/>
      <c r="EGU90" s="6"/>
      <c r="EGV90" s="6"/>
      <c r="EGW90" s="6"/>
      <c r="EGX90" s="6"/>
      <c r="EGY90" s="6"/>
      <c r="EGZ90" s="6"/>
      <c r="EHA90" s="6"/>
      <c r="EHB90" s="6"/>
      <c r="EHC90" s="6"/>
      <c r="EHD90" s="6"/>
      <c r="EHE90" s="6"/>
      <c r="EHF90" s="6"/>
      <c r="EHG90" s="6"/>
      <c r="EHH90" s="6"/>
      <c r="EHI90" s="6"/>
      <c r="EHJ90" s="6"/>
      <c r="EHK90" s="6"/>
      <c r="EHL90" s="6"/>
      <c r="EHM90" s="6"/>
      <c r="EHN90" s="6"/>
      <c r="EHO90" s="6"/>
      <c r="EHP90" s="6"/>
      <c r="EHQ90" s="6"/>
      <c r="EHR90" s="6"/>
      <c r="EHS90" s="6"/>
      <c r="EHT90" s="6"/>
      <c r="EHU90" s="6"/>
      <c r="EHV90" s="6"/>
      <c r="EHW90" s="6"/>
      <c r="EHX90" s="6"/>
      <c r="EHY90" s="6"/>
      <c r="EHZ90" s="6"/>
      <c r="EIA90" s="6"/>
      <c r="EIB90" s="6"/>
      <c r="EIC90" s="6"/>
      <c r="EID90" s="6"/>
      <c r="EIE90" s="6"/>
      <c r="EIF90" s="6"/>
      <c r="EIG90" s="6"/>
      <c r="EIH90" s="6"/>
      <c r="EII90" s="6"/>
      <c r="EIJ90" s="6"/>
      <c r="EIK90" s="6"/>
      <c r="EIL90" s="6"/>
      <c r="EIM90" s="6"/>
      <c r="EIN90" s="6"/>
      <c r="EIO90" s="6"/>
      <c r="EIP90" s="6"/>
      <c r="EIQ90" s="6"/>
      <c r="EIR90" s="6"/>
      <c r="EIS90" s="6"/>
      <c r="EIT90" s="6"/>
      <c r="EIU90" s="6"/>
      <c r="EIV90" s="6"/>
      <c r="EIW90" s="6"/>
      <c r="EIX90" s="6"/>
      <c r="EIY90" s="6"/>
      <c r="EIZ90" s="6"/>
      <c r="EJA90" s="6"/>
      <c r="EJB90" s="6"/>
      <c r="EJC90" s="6"/>
      <c r="EJD90" s="6"/>
      <c r="EJE90" s="6"/>
      <c r="EJF90" s="6"/>
      <c r="EJG90" s="6"/>
      <c r="EJH90" s="6"/>
      <c r="EJI90" s="6"/>
      <c r="EJJ90" s="6"/>
      <c r="EJK90" s="6"/>
      <c r="EJL90" s="6"/>
      <c r="EJM90" s="6"/>
      <c r="EJN90" s="6"/>
      <c r="EJO90" s="6"/>
      <c r="EJP90" s="6"/>
      <c r="EJQ90" s="6"/>
      <c r="EJR90" s="6"/>
      <c r="EJS90" s="6"/>
      <c r="EJT90" s="6"/>
      <c r="EJU90" s="6"/>
      <c r="EJV90" s="6"/>
      <c r="EJW90" s="6"/>
      <c r="EJX90" s="6"/>
      <c r="EJY90" s="6"/>
      <c r="EJZ90" s="6"/>
      <c r="EKA90" s="6"/>
      <c r="EKB90" s="6"/>
      <c r="EKC90" s="6"/>
      <c r="EKD90" s="6"/>
      <c r="EKE90" s="6"/>
      <c r="EKF90" s="6"/>
      <c r="EKG90" s="6"/>
      <c r="EKH90" s="6"/>
      <c r="EKI90" s="6"/>
      <c r="EKJ90" s="6"/>
      <c r="EKK90" s="6"/>
      <c r="EKL90" s="6"/>
      <c r="EKM90" s="6"/>
      <c r="EKN90" s="6"/>
      <c r="EKO90" s="6"/>
      <c r="EKP90" s="6"/>
      <c r="EKQ90" s="6"/>
      <c r="EKR90" s="6"/>
      <c r="EKS90" s="6"/>
      <c r="EKT90" s="6"/>
      <c r="EKU90" s="6"/>
      <c r="EKV90" s="6"/>
      <c r="EKW90" s="6"/>
      <c r="EKX90" s="6"/>
      <c r="EKY90" s="6"/>
      <c r="EKZ90" s="6"/>
      <c r="ELA90" s="6"/>
      <c r="ELB90" s="6"/>
      <c r="ELC90" s="6"/>
      <c r="ELD90" s="6"/>
      <c r="ELE90" s="6"/>
      <c r="ELF90" s="6"/>
      <c r="ELG90" s="6"/>
      <c r="ELH90" s="6"/>
      <c r="ELI90" s="6"/>
      <c r="ELJ90" s="6"/>
      <c r="ELK90" s="6"/>
      <c r="ELL90" s="6"/>
      <c r="ELM90" s="6"/>
      <c r="ELN90" s="6"/>
      <c r="ELO90" s="6"/>
      <c r="ELP90" s="6"/>
      <c r="ELQ90" s="6"/>
      <c r="ELR90" s="6"/>
      <c r="ELS90" s="6"/>
      <c r="ELT90" s="6"/>
      <c r="ELU90" s="6"/>
      <c r="ELV90" s="6"/>
      <c r="ELW90" s="6"/>
      <c r="ELX90" s="6"/>
      <c r="ELY90" s="6"/>
      <c r="ELZ90" s="6"/>
      <c r="EMA90" s="6"/>
      <c r="EMB90" s="6"/>
      <c r="EMC90" s="6"/>
      <c r="EMD90" s="6"/>
      <c r="EME90" s="6"/>
      <c r="EMF90" s="6"/>
      <c r="EMG90" s="6"/>
      <c r="EMH90" s="6"/>
      <c r="EMI90" s="6"/>
      <c r="EMJ90" s="6"/>
      <c r="EMK90" s="6"/>
      <c r="EML90" s="6"/>
      <c r="EMM90" s="6"/>
      <c r="EMN90" s="6"/>
      <c r="EMO90" s="6"/>
      <c r="EMP90" s="6"/>
      <c r="EMQ90" s="6"/>
      <c r="EMR90" s="6"/>
      <c r="EMS90" s="6"/>
      <c r="EMT90" s="6"/>
      <c r="EMU90" s="6"/>
      <c r="EMV90" s="6"/>
      <c r="EMW90" s="6"/>
      <c r="EMX90" s="6"/>
      <c r="EMY90" s="6"/>
      <c r="EMZ90" s="6"/>
      <c r="ENA90" s="6"/>
      <c r="ENB90" s="6"/>
      <c r="ENC90" s="6"/>
      <c r="END90" s="6"/>
      <c r="ENE90" s="6"/>
      <c r="ENF90" s="6"/>
      <c r="ENG90" s="6"/>
      <c r="ENH90" s="6"/>
      <c r="ENI90" s="6"/>
      <c r="ENJ90" s="6"/>
      <c r="ENK90" s="6"/>
      <c r="ENL90" s="6"/>
      <c r="ENM90" s="6"/>
      <c r="ENN90" s="6"/>
      <c r="ENO90" s="6"/>
      <c r="ENP90" s="6"/>
      <c r="ENQ90" s="6"/>
      <c r="ENR90" s="6"/>
      <c r="ENS90" s="6"/>
      <c r="ENT90" s="6"/>
      <c r="ENU90" s="6"/>
      <c r="ENV90" s="6"/>
      <c r="ENW90" s="6"/>
      <c r="ENX90" s="6"/>
      <c r="ENY90" s="6"/>
      <c r="ENZ90" s="6"/>
      <c r="EOA90" s="6"/>
      <c r="EOB90" s="6"/>
      <c r="EOC90" s="6"/>
      <c r="EOD90" s="6"/>
      <c r="EOE90" s="6"/>
      <c r="EOF90" s="6"/>
      <c r="EOG90" s="6"/>
      <c r="EOH90" s="6"/>
      <c r="EOI90" s="6"/>
      <c r="EOJ90" s="6"/>
      <c r="EOK90" s="6"/>
      <c r="EOL90" s="6"/>
      <c r="EOM90" s="6"/>
      <c r="EON90" s="6"/>
      <c r="EOO90" s="6"/>
      <c r="EOP90" s="6"/>
      <c r="EOQ90" s="6"/>
      <c r="EOR90" s="6"/>
      <c r="EOS90" s="6"/>
      <c r="EOT90" s="6"/>
      <c r="EOU90" s="6"/>
      <c r="EOV90" s="6"/>
      <c r="EOW90" s="6"/>
      <c r="EOX90" s="6"/>
      <c r="EOY90" s="6"/>
      <c r="EOZ90" s="6"/>
      <c r="EPA90" s="6"/>
      <c r="EPB90" s="6"/>
      <c r="EPC90" s="6"/>
      <c r="EPD90" s="6"/>
      <c r="EPE90" s="6"/>
      <c r="EPF90" s="6"/>
      <c r="EPG90" s="6"/>
      <c r="EPH90" s="6"/>
      <c r="EPI90" s="6"/>
      <c r="EPJ90" s="6"/>
      <c r="EPK90" s="6"/>
      <c r="EPL90" s="6"/>
      <c r="EPM90" s="6"/>
      <c r="EPN90" s="6"/>
      <c r="EPO90" s="6"/>
      <c r="EPP90" s="6"/>
      <c r="EPQ90" s="6"/>
      <c r="EPR90" s="6"/>
      <c r="EPS90" s="6"/>
      <c r="EPT90" s="6"/>
      <c r="EPU90" s="6"/>
      <c r="EPV90" s="6"/>
      <c r="EPW90" s="6"/>
      <c r="EPX90" s="6"/>
      <c r="EPY90" s="6"/>
      <c r="EPZ90" s="6"/>
      <c r="EQA90" s="6"/>
      <c r="EQB90" s="6"/>
      <c r="EQC90" s="6"/>
      <c r="EQD90" s="6"/>
      <c r="EQE90" s="6"/>
      <c r="EQF90" s="6"/>
      <c r="EQG90" s="6"/>
      <c r="EQH90" s="6"/>
      <c r="EQI90" s="6"/>
      <c r="EQJ90" s="6"/>
      <c r="EQK90" s="6"/>
      <c r="EQL90" s="6"/>
      <c r="EQM90" s="6"/>
      <c r="EQN90" s="6"/>
      <c r="EQO90" s="6"/>
      <c r="EQP90" s="6"/>
      <c r="EQQ90" s="6"/>
      <c r="EQR90" s="6"/>
      <c r="EQS90" s="6"/>
      <c r="EQT90" s="6"/>
      <c r="EQU90" s="6"/>
      <c r="EQV90" s="6"/>
      <c r="EQW90" s="6"/>
      <c r="EQX90" s="6"/>
      <c r="EQY90" s="6"/>
      <c r="EQZ90" s="6"/>
      <c r="ERA90" s="6"/>
      <c r="ERB90" s="6"/>
      <c r="ERC90" s="6"/>
      <c r="ERD90" s="6"/>
      <c r="ERE90" s="6"/>
      <c r="ERF90" s="6"/>
      <c r="ERG90" s="6"/>
      <c r="ERH90" s="6"/>
      <c r="ERI90" s="6"/>
      <c r="ERJ90" s="6"/>
      <c r="ERK90" s="6"/>
      <c r="ERL90" s="6"/>
      <c r="ERM90" s="6"/>
      <c r="ERN90" s="6"/>
      <c r="ERO90" s="6"/>
      <c r="ERP90" s="6"/>
      <c r="ERQ90" s="6"/>
      <c r="ERR90" s="6"/>
      <c r="ERS90" s="6"/>
      <c r="ERT90" s="6"/>
      <c r="ERU90" s="6"/>
      <c r="ERV90" s="6"/>
      <c r="ERW90" s="6"/>
      <c r="ERX90" s="6"/>
      <c r="ERY90" s="6"/>
      <c r="ERZ90" s="6"/>
      <c r="ESA90" s="6"/>
      <c r="ESB90" s="6"/>
      <c r="ESC90" s="6"/>
      <c r="ESD90" s="6"/>
      <c r="ESE90" s="6"/>
      <c r="ESF90" s="6"/>
      <c r="ESG90" s="6"/>
      <c r="ESH90" s="6"/>
      <c r="ESI90" s="6"/>
      <c r="ESJ90" s="6"/>
      <c r="ESK90" s="6"/>
      <c r="ESL90" s="6"/>
      <c r="ESM90" s="6"/>
      <c r="ESN90" s="6"/>
      <c r="ESO90" s="6"/>
      <c r="ESP90" s="6"/>
      <c r="ESQ90" s="6"/>
      <c r="ESR90" s="6"/>
      <c r="ESS90" s="6"/>
      <c r="EST90" s="6"/>
      <c r="ESU90" s="6"/>
      <c r="ESV90" s="6"/>
      <c r="ESW90" s="6"/>
      <c r="ESX90" s="6"/>
      <c r="ESY90" s="6"/>
      <c r="ESZ90" s="6"/>
      <c r="ETA90" s="6"/>
      <c r="ETB90" s="6"/>
      <c r="ETC90" s="6"/>
      <c r="ETD90" s="6"/>
      <c r="ETE90" s="6"/>
      <c r="ETF90" s="6"/>
      <c r="ETG90" s="6"/>
      <c r="ETH90" s="6"/>
      <c r="ETI90" s="6"/>
      <c r="ETJ90" s="6"/>
      <c r="ETK90" s="6"/>
      <c r="ETL90" s="6"/>
      <c r="ETM90" s="6"/>
      <c r="ETN90" s="6"/>
      <c r="ETO90" s="6"/>
      <c r="ETP90" s="6"/>
      <c r="ETQ90" s="6"/>
      <c r="ETR90" s="6"/>
      <c r="ETS90" s="6"/>
      <c r="ETT90" s="6"/>
      <c r="ETU90" s="6"/>
      <c r="ETV90" s="6"/>
      <c r="ETW90" s="6"/>
      <c r="ETX90" s="6"/>
      <c r="ETY90" s="6"/>
      <c r="ETZ90" s="6"/>
      <c r="EUA90" s="6"/>
      <c r="EUB90" s="6"/>
      <c r="EUC90" s="6"/>
      <c r="EUD90" s="6"/>
      <c r="EUE90" s="6"/>
      <c r="EUF90" s="6"/>
      <c r="EUG90" s="6"/>
      <c r="EUH90" s="6"/>
      <c r="EUI90" s="6"/>
      <c r="EUJ90" s="6"/>
      <c r="EUK90" s="6"/>
      <c r="EUL90" s="6"/>
      <c r="EUM90" s="6"/>
      <c r="EUN90" s="6"/>
      <c r="EUO90" s="6"/>
      <c r="EUP90" s="6"/>
      <c r="EUQ90" s="6"/>
      <c r="EUR90" s="6"/>
      <c r="EUS90" s="6"/>
      <c r="EUT90" s="6"/>
      <c r="EUU90" s="6"/>
      <c r="EUV90" s="6"/>
      <c r="EUW90" s="6"/>
      <c r="EUX90" s="6"/>
      <c r="EUY90" s="6"/>
      <c r="EUZ90" s="6"/>
      <c r="EVA90" s="6"/>
      <c r="EVB90" s="6"/>
      <c r="EVC90" s="6"/>
      <c r="EVD90" s="6"/>
      <c r="EVE90" s="6"/>
      <c r="EVF90" s="6"/>
      <c r="EVG90" s="6"/>
      <c r="EVH90" s="6"/>
      <c r="EVI90" s="6"/>
      <c r="EVJ90" s="6"/>
      <c r="EVK90" s="6"/>
      <c r="EVL90" s="6"/>
      <c r="EVM90" s="6"/>
      <c r="EVN90" s="6"/>
      <c r="EVO90" s="6"/>
      <c r="EVP90" s="6"/>
      <c r="EVQ90" s="6"/>
      <c r="EVR90" s="6"/>
      <c r="EVS90" s="6"/>
      <c r="EVT90" s="6"/>
      <c r="EVU90" s="6"/>
      <c r="EVV90" s="6"/>
      <c r="EVW90" s="6"/>
      <c r="EVX90" s="6"/>
      <c r="EVY90" s="6"/>
      <c r="EVZ90" s="6"/>
      <c r="EWA90" s="6"/>
      <c r="EWB90" s="6"/>
      <c r="EWC90" s="6"/>
      <c r="EWD90" s="6"/>
      <c r="EWE90" s="6"/>
      <c r="EWF90" s="6"/>
      <c r="EWG90" s="6"/>
      <c r="EWH90" s="6"/>
      <c r="EWI90" s="6"/>
      <c r="EWJ90" s="6"/>
      <c r="EWK90" s="6"/>
      <c r="EWL90" s="6"/>
      <c r="EWM90" s="6"/>
      <c r="EWN90" s="6"/>
      <c r="EWO90" s="6"/>
      <c r="EWP90" s="6"/>
      <c r="EWQ90" s="6"/>
      <c r="EWR90" s="6"/>
      <c r="EWS90" s="6"/>
      <c r="EWT90" s="6"/>
      <c r="EWU90" s="6"/>
      <c r="EWV90" s="6"/>
      <c r="EWW90" s="6"/>
      <c r="EWX90" s="6"/>
      <c r="EWY90" s="6"/>
      <c r="EWZ90" s="6"/>
      <c r="EXA90" s="6"/>
      <c r="EXB90" s="6"/>
      <c r="EXC90" s="6"/>
      <c r="EXD90" s="6"/>
      <c r="EXE90" s="6"/>
      <c r="EXF90" s="6"/>
      <c r="EXG90" s="6"/>
      <c r="EXH90" s="6"/>
      <c r="EXI90" s="6"/>
      <c r="EXJ90" s="6"/>
      <c r="EXK90" s="6"/>
      <c r="EXL90" s="6"/>
      <c r="EXM90" s="6"/>
      <c r="EXN90" s="6"/>
      <c r="EXO90" s="6"/>
      <c r="EXP90" s="6"/>
      <c r="EXQ90" s="6"/>
      <c r="EXR90" s="6"/>
      <c r="EXS90" s="6"/>
      <c r="EXT90" s="6"/>
      <c r="EXU90" s="6"/>
      <c r="EXV90" s="6"/>
      <c r="EXW90" s="6"/>
      <c r="EXX90" s="6"/>
      <c r="EXY90" s="6"/>
      <c r="EXZ90" s="6"/>
      <c r="EYA90" s="6"/>
      <c r="EYB90" s="6"/>
      <c r="EYC90" s="6"/>
      <c r="EYD90" s="6"/>
      <c r="EYE90" s="6"/>
      <c r="EYF90" s="6"/>
      <c r="EYG90" s="6"/>
      <c r="EYH90" s="6"/>
      <c r="EYI90" s="6"/>
      <c r="EYJ90" s="6"/>
      <c r="EYK90" s="6"/>
      <c r="EYL90" s="6"/>
      <c r="EYM90" s="6"/>
      <c r="EYN90" s="6"/>
      <c r="EYO90" s="6"/>
      <c r="EYP90" s="6"/>
      <c r="EYQ90" s="6"/>
      <c r="EYR90" s="6"/>
      <c r="EYS90" s="6"/>
      <c r="EYT90" s="6"/>
      <c r="EYU90" s="6"/>
      <c r="EYV90" s="6"/>
      <c r="EYW90" s="6"/>
      <c r="EYX90" s="6"/>
      <c r="EYY90" s="6"/>
      <c r="EYZ90" s="6"/>
      <c r="EZA90" s="6"/>
      <c r="EZB90" s="6"/>
      <c r="EZC90" s="6"/>
      <c r="EZD90" s="6"/>
      <c r="EZE90" s="6"/>
      <c r="EZF90" s="6"/>
      <c r="EZG90" s="6"/>
      <c r="EZH90" s="6"/>
      <c r="EZI90" s="6"/>
      <c r="EZJ90" s="6"/>
      <c r="EZK90" s="6"/>
      <c r="EZL90" s="6"/>
      <c r="EZM90" s="6"/>
      <c r="EZN90" s="6"/>
      <c r="EZO90" s="6"/>
      <c r="EZP90" s="6"/>
      <c r="EZQ90" s="6"/>
      <c r="EZR90" s="6"/>
      <c r="EZS90" s="6"/>
      <c r="EZT90" s="6"/>
      <c r="EZU90" s="6"/>
      <c r="EZV90" s="6"/>
      <c r="EZW90" s="6"/>
      <c r="EZX90" s="6"/>
      <c r="EZY90" s="6"/>
      <c r="EZZ90" s="6"/>
      <c r="FAA90" s="6"/>
      <c r="FAB90" s="6"/>
      <c r="FAC90" s="6"/>
      <c r="FAD90" s="6"/>
      <c r="FAE90" s="6"/>
      <c r="FAF90" s="6"/>
      <c r="FAG90" s="6"/>
      <c r="FAH90" s="6"/>
      <c r="FAI90" s="6"/>
      <c r="FAJ90" s="6"/>
      <c r="FAK90" s="6"/>
      <c r="FAL90" s="6"/>
      <c r="FAM90" s="6"/>
      <c r="FAN90" s="6"/>
      <c r="FAO90" s="6"/>
      <c r="FAP90" s="6"/>
      <c r="FAQ90" s="6"/>
      <c r="FAR90" s="6"/>
      <c r="FAS90" s="6"/>
      <c r="FAT90" s="6"/>
      <c r="FAU90" s="6"/>
      <c r="FAV90" s="6"/>
      <c r="FAW90" s="6"/>
      <c r="FAX90" s="6"/>
      <c r="FAY90" s="6"/>
      <c r="FAZ90" s="6"/>
      <c r="FBA90" s="6"/>
      <c r="FBB90" s="6"/>
      <c r="FBC90" s="6"/>
      <c r="FBD90" s="6"/>
      <c r="FBE90" s="6"/>
      <c r="FBF90" s="6"/>
      <c r="FBG90" s="6"/>
      <c r="FBH90" s="6"/>
      <c r="FBI90" s="6"/>
      <c r="FBJ90" s="6"/>
      <c r="FBK90" s="6"/>
      <c r="FBL90" s="6"/>
      <c r="FBM90" s="6"/>
      <c r="FBN90" s="6"/>
      <c r="FBO90" s="6"/>
      <c r="FBP90" s="6"/>
      <c r="FBQ90" s="6"/>
      <c r="FBR90" s="6"/>
      <c r="FBS90" s="6"/>
      <c r="FBT90" s="6"/>
      <c r="FBU90" s="6"/>
      <c r="FBV90" s="6"/>
      <c r="FBW90" s="6"/>
      <c r="FBX90" s="6"/>
      <c r="FBY90" s="6"/>
      <c r="FBZ90" s="6"/>
      <c r="FCA90" s="6"/>
      <c r="FCB90" s="6"/>
      <c r="FCC90" s="6"/>
      <c r="FCD90" s="6"/>
      <c r="FCE90" s="6"/>
      <c r="FCF90" s="6"/>
      <c r="FCG90" s="6"/>
      <c r="FCH90" s="6"/>
      <c r="FCI90" s="6"/>
      <c r="FCJ90" s="6"/>
      <c r="FCK90" s="6"/>
      <c r="FCL90" s="6"/>
      <c r="FCM90" s="6"/>
      <c r="FCN90" s="6"/>
      <c r="FCO90" s="6"/>
      <c r="FCP90" s="6"/>
      <c r="FCQ90" s="6"/>
      <c r="FCR90" s="6"/>
      <c r="FCS90" s="6"/>
      <c r="FCT90" s="6"/>
      <c r="FCU90" s="6"/>
      <c r="FCV90" s="6"/>
      <c r="FCW90" s="6"/>
      <c r="FCX90" s="6"/>
      <c r="FCY90" s="6"/>
      <c r="FCZ90" s="6"/>
      <c r="FDA90" s="6"/>
      <c r="FDB90" s="6"/>
      <c r="FDC90" s="6"/>
      <c r="FDD90" s="6"/>
      <c r="FDE90" s="6"/>
      <c r="FDF90" s="6"/>
      <c r="FDG90" s="6"/>
      <c r="FDH90" s="6"/>
      <c r="FDI90" s="6"/>
      <c r="FDJ90" s="6"/>
      <c r="FDK90" s="6"/>
      <c r="FDL90" s="6"/>
      <c r="FDM90" s="6"/>
      <c r="FDN90" s="6"/>
      <c r="FDO90" s="6"/>
      <c r="FDP90" s="6"/>
      <c r="FDQ90" s="6"/>
      <c r="FDR90" s="6"/>
      <c r="FDS90" s="6"/>
      <c r="FDT90" s="6"/>
      <c r="FDU90" s="6"/>
      <c r="FDV90" s="6"/>
      <c r="FDW90" s="6"/>
      <c r="FDX90" s="6"/>
      <c r="FDY90" s="6"/>
      <c r="FDZ90" s="6"/>
      <c r="FEA90" s="6"/>
      <c r="FEB90" s="6"/>
      <c r="FEC90" s="6"/>
      <c r="FED90" s="6"/>
      <c r="FEE90" s="6"/>
      <c r="FEF90" s="6"/>
      <c r="FEG90" s="6"/>
      <c r="FEH90" s="6"/>
      <c r="FEI90" s="6"/>
      <c r="FEJ90" s="6"/>
      <c r="FEK90" s="6"/>
      <c r="FEL90" s="6"/>
      <c r="FEM90" s="6"/>
      <c r="FEN90" s="6"/>
      <c r="FEO90" s="6"/>
      <c r="FEP90" s="6"/>
      <c r="FEQ90" s="6"/>
      <c r="FER90" s="6"/>
      <c r="FES90" s="6"/>
      <c r="FET90" s="6"/>
      <c r="FEU90" s="6"/>
      <c r="FEV90" s="6"/>
      <c r="FEW90" s="6"/>
      <c r="FEX90" s="6"/>
      <c r="FEY90" s="6"/>
      <c r="FEZ90" s="6"/>
      <c r="FFA90" s="6"/>
      <c r="FFB90" s="6"/>
      <c r="FFC90" s="6"/>
      <c r="FFD90" s="6"/>
      <c r="FFE90" s="6"/>
      <c r="FFF90" s="6"/>
      <c r="FFG90" s="6"/>
      <c r="FFH90" s="6"/>
      <c r="FFI90" s="6"/>
      <c r="FFJ90" s="6"/>
      <c r="FFK90" s="6"/>
      <c r="FFL90" s="6"/>
      <c r="FFM90" s="6"/>
      <c r="FFN90" s="6"/>
      <c r="FFO90" s="6"/>
      <c r="FFP90" s="6"/>
      <c r="FFQ90" s="6"/>
      <c r="FFR90" s="6"/>
      <c r="FFS90" s="6"/>
      <c r="FFT90" s="6"/>
      <c r="FFU90" s="6"/>
      <c r="FFV90" s="6"/>
      <c r="FFW90" s="6"/>
      <c r="FFX90" s="6"/>
      <c r="FFY90" s="6"/>
      <c r="FFZ90" s="6"/>
      <c r="FGA90" s="6"/>
      <c r="FGB90" s="6"/>
      <c r="FGC90" s="6"/>
      <c r="FGD90" s="6"/>
      <c r="FGE90" s="6"/>
      <c r="FGF90" s="6"/>
      <c r="FGG90" s="6"/>
      <c r="FGH90" s="6"/>
      <c r="FGI90" s="6"/>
      <c r="FGJ90" s="6"/>
      <c r="FGK90" s="6"/>
      <c r="FGL90" s="6"/>
      <c r="FGM90" s="6"/>
      <c r="FGN90" s="6"/>
      <c r="FGO90" s="6"/>
      <c r="FGP90" s="6"/>
      <c r="FGQ90" s="6"/>
      <c r="FGR90" s="6"/>
      <c r="FGS90" s="6"/>
      <c r="FGT90" s="6"/>
      <c r="FGU90" s="6"/>
      <c r="FGV90" s="6"/>
      <c r="FGW90" s="6"/>
      <c r="FGX90" s="6"/>
      <c r="FGY90" s="6"/>
      <c r="FGZ90" s="6"/>
      <c r="FHA90" s="6"/>
      <c r="FHB90" s="6"/>
      <c r="FHC90" s="6"/>
      <c r="FHD90" s="6"/>
      <c r="FHE90" s="6"/>
      <c r="FHF90" s="6"/>
      <c r="FHG90" s="6"/>
      <c r="FHH90" s="6"/>
      <c r="FHI90" s="6"/>
      <c r="FHJ90" s="6"/>
      <c r="FHK90" s="6"/>
      <c r="FHL90" s="6"/>
      <c r="FHM90" s="6"/>
      <c r="FHN90" s="6"/>
      <c r="FHO90" s="6"/>
      <c r="FHP90" s="6"/>
      <c r="FHQ90" s="6"/>
      <c r="FHR90" s="6"/>
      <c r="FHS90" s="6"/>
      <c r="FHT90" s="6"/>
      <c r="FHU90" s="6"/>
      <c r="FHV90" s="6"/>
      <c r="FHW90" s="6"/>
      <c r="FHX90" s="6"/>
      <c r="FHY90" s="6"/>
      <c r="FHZ90" s="6"/>
      <c r="FIA90" s="6"/>
      <c r="FIB90" s="6"/>
      <c r="FIC90" s="6"/>
      <c r="FID90" s="6"/>
      <c r="FIE90" s="6"/>
      <c r="FIF90" s="6"/>
      <c r="FIG90" s="6"/>
      <c r="FIH90" s="6"/>
      <c r="FII90" s="6"/>
      <c r="FIJ90" s="6"/>
      <c r="FIK90" s="6"/>
      <c r="FIL90" s="6"/>
      <c r="FIM90" s="6"/>
      <c r="FIN90" s="6"/>
      <c r="FIO90" s="6"/>
      <c r="FIP90" s="6"/>
      <c r="FIQ90" s="6"/>
      <c r="FIR90" s="6"/>
      <c r="FIS90" s="6"/>
      <c r="FIT90" s="6"/>
      <c r="FIU90" s="6"/>
      <c r="FIV90" s="6"/>
      <c r="FIW90" s="6"/>
      <c r="FIX90" s="6"/>
      <c r="FIY90" s="6"/>
      <c r="FIZ90" s="6"/>
      <c r="FJA90" s="6"/>
      <c r="FJB90" s="6"/>
      <c r="FJC90" s="6"/>
      <c r="FJD90" s="6"/>
      <c r="FJE90" s="6"/>
      <c r="FJF90" s="6"/>
      <c r="FJG90" s="6"/>
      <c r="FJH90" s="6"/>
      <c r="FJI90" s="6"/>
      <c r="FJJ90" s="6"/>
      <c r="FJK90" s="6"/>
      <c r="FJL90" s="6"/>
      <c r="FJM90" s="6"/>
      <c r="FJN90" s="6"/>
      <c r="FJO90" s="6"/>
      <c r="FJP90" s="6"/>
      <c r="FJQ90" s="6"/>
      <c r="FJR90" s="6"/>
      <c r="FJS90" s="6"/>
      <c r="FJT90" s="6"/>
      <c r="FJU90" s="6"/>
      <c r="FJV90" s="6"/>
      <c r="FJW90" s="6"/>
      <c r="FJX90" s="6"/>
      <c r="FJY90" s="6"/>
      <c r="FJZ90" s="6"/>
      <c r="FKA90" s="6"/>
      <c r="FKB90" s="6"/>
      <c r="FKC90" s="6"/>
      <c r="FKD90" s="6"/>
      <c r="FKE90" s="6"/>
      <c r="FKF90" s="6"/>
      <c r="FKG90" s="6"/>
      <c r="FKH90" s="6"/>
      <c r="FKI90" s="6"/>
      <c r="FKJ90" s="6"/>
      <c r="FKK90" s="6"/>
      <c r="FKL90" s="6"/>
      <c r="FKM90" s="6"/>
      <c r="FKN90" s="6"/>
      <c r="FKO90" s="6"/>
      <c r="FKP90" s="6"/>
      <c r="FKQ90" s="6"/>
      <c r="FKR90" s="6"/>
      <c r="FKS90" s="6"/>
      <c r="FKT90" s="6"/>
      <c r="FKU90" s="6"/>
      <c r="FKV90" s="6"/>
      <c r="FKW90" s="6"/>
      <c r="FKX90" s="6"/>
      <c r="FKY90" s="6"/>
      <c r="FKZ90" s="6"/>
      <c r="FLA90" s="6"/>
      <c r="FLB90" s="6"/>
      <c r="FLC90" s="6"/>
      <c r="FLD90" s="6"/>
      <c r="FLE90" s="6"/>
      <c r="FLF90" s="6"/>
      <c r="FLG90" s="6"/>
      <c r="FLH90" s="6"/>
      <c r="FLI90" s="6"/>
      <c r="FLJ90" s="6"/>
      <c r="FLK90" s="6"/>
      <c r="FLL90" s="6"/>
      <c r="FLM90" s="6"/>
      <c r="FLN90" s="6"/>
      <c r="FLO90" s="6"/>
      <c r="FLP90" s="6"/>
      <c r="FLQ90" s="6"/>
      <c r="FLR90" s="6"/>
      <c r="FLS90" s="6"/>
      <c r="FLT90" s="6"/>
      <c r="FLU90" s="6"/>
      <c r="FLV90" s="6"/>
      <c r="FLW90" s="6"/>
      <c r="FLX90" s="6"/>
      <c r="FLY90" s="6"/>
      <c r="FLZ90" s="6"/>
      <c r="FMA90" s="6"/>
      <c r="FMB90" s="6"/>
      <c r="FMC90" s="6"/>
      <c r="FMD90" s="6"/>
      <c r="FME90" s="6"/>
      <c r="FMF90" s="6"/>
      <c r="FMG90" s="6"/>
      <c r="FMH90" s="6"/>
      <c r="FMI90" s="6"/>
      <c r="FMJ90" s="6"/>
      <c r="FMK90" s="6"/>
      <c r="FML90" s="6"/>
      <c r="FMM90" s="6"/>
      <c r="FMN90" s="6"/>
      <c r="FMO90" s="6"/>
      <c r="FMP90" s="6"/>
      <c r="FMQ90" s="6"/>
      <c r="FMR90" s="6"/>
      <c r="FMS90" s="6"/>
      <c r="FMT90" s="6"/>
      <c r="FMU90" s="6"/>
      <c r="FMV90" s="6"/>
      <c r="FMW90" s="6"/>
      <c r="FMX90" s="6"/>
      <c r="FMY90" s="6"/>
      <c r="FMZ90" s="6"/>
      <c r="FNA90" s="6"/>
      <c r="FNB90" s="6"/>
      <c r="FNC90" s="6"/>
      <c r="FND90" s="6"/>
      <c r="FNE90" s="6"/>
      <c r="FNF90" s="6"/>
      <c r="FNG90" s="6"/>
      <c r="FNH90" s="6"/>
      <c r="FNI90" s="6"/>
      <c r="FNJ90" s="6"/>
      <c r="FNK90" s="6"/>
      <c r="FNL90" s="6"/>
      <c r="FNM90" s="6"/>
      <c r="FNN90" s="6"/>
      <c r="FNO90" s="6"/>
      <c r="FNP90" s="6"/>
      <c r="FNQ90" s="6"/>
      <c r="FNR90" s="6"/>
      <c r="FNS90" s="6"/>
      <c r="FNT90" s="6"/>
      <c r="FNU90" s="6"/>
      <c r="FNV90" s="6"/>
      <c r="FNW90" s="6"/>
      <c r="FNX90" s="6"/>
      <c r="FNY90" s="6"/>
      <c r="FNZ90" s="6"/>
      <c r="FOA90" s="6"/>
      <c r="FOB90" s="6"/>
      <c r="FOC90" s="6"/>
      <c r="FOD90" s="6"/>
      <c r="FOE90" s="6"/>
      <c r="FOF90" s="6"/>
      <c r="FOG90" s="6"/>
      <c r="FOH90" s="6"/>
      <c r="FOI90" s="6"/>
      <c r="FOJ90" s="6"/>
      <c r="FOK90" s="6"/>
      <c r="FOL90" s="6"/>
      <c r="FOM90" s="6"/>
      <c r="FON90" s="6"/>
      <c r="FOO90" s="6"/>
      <c r="FOP90" s="6"/>
      <c r="FOQ90" s="6"/>
      <c r="FOR90" s="6"/>
      <c r="FOS90" s="6"/>
      <c r="FOT90" s="6"/>
      <c r="FOU90" s="6"/>
      <c r="FOV90" s="6"/>
      <c r="FOW90" s="6"/>
      <c r="FOX90" s="6"/>
      <c r="FOY90" s="6"/>
      <c r="FOZ90" s="6"/>
      <c r="FPA90" s="6"/>
      <c r="FPB90" s="6"/>
      <c r="FPC90" s="6"/>
      <c r="FPD90" s="6"/>
      <c r="FPE90" s="6"/>
      <c r="FPF90" s="6"/>
      <c r="FPG90" s="6"/>
      <c r="FPH90" s="6"/>
      <c r="FPI90" s="6"/>
      <c r="FPJ90" s="6"/>
      <c r="FPK90" s="6"/>
      <c r="FPL90" s="6"/>
      <c r="FPM90" s="6"/>
      <c r="FPN90" s="6"/>
      <c r="FPO90" s="6"/>
      <c r="FPP90" s="6"/>
      <c r="FPQ90" s="6"/>
      <c r="FPR90" s="6"/>
      <c r="FPS90" s="6"/>
      <c r="FPT90" s="6"/>
      <c r="FPU90" s="6"/>
      <c r="FPV90" s="6"/>
      <c r="FPW90" s="6"/>
      <c r="FPX90" s="6"/>
      <c r="FPY90" s="6"/>
      <c r="FPZ90" s="6"/>
      <c r="FQA90" s="6"/>
      <c r="FQB90" s="6"/>
      <c r="FQC90" s="6"/>
      <c r="FQD90" s="6"/>
      <c r="FQE90" s="6"/>
      <c r="FQF90" s="6"/>
      <c r="FQG90" s="6"/>
      <c r="FQH90" s="6"/>
      <c r="FQI90" s="6"/>
      <c r="FQJ90" s="6"/>
      <c r="FQK90" s="6"/>
      <c r="FQL90" s="6"/>
      <c r="FQM90" s="6"/>
      <c r="FQN90" s="6"/>
      <c r="FQO90" s="6"/>
      <c r="FQP90" s="6"/>
      <c r="FQQ90" s="6"/>
      <c r="FQR90" s="6"/>
      <c r="FQS90" s="6"/>
      <c r="FQT90" s="6"/>
      <c r="FQU90" s="6"/>
      <c r="FQV90" s="6"/>
      <c r="FQW90" s="6"/>
      <c r="FQX90" s="6"/>
      <c r="FQY90" s="6"/>
      <c r="FQZ90" s="6"/>
      <c r="FRA90" s="6"/>
      <c r="FRB90" s="6"/>
      <c r="FRC90" s="6"/>
      <c r="FRD90" s="6"/>
      <c r="FRE90" s="6"/>
      <c r="FRF90" s="6"/>
      <c r="FRG90" s="6"/>
      <c r="FRH90" s="6"/>
      <c r="FRI90" s="6"/>
      <c r="FRJ90" s="6"/>
      <c r="FRK90" s="6"/>
      <c r="FRL90" s="6"/>
      <c r="FRM90" s="6"/>
      <c r="FRN90" s="6"/>
      <c r="FRO90" s="6"/>
      <c r="FRP90" s="6"/>
      <c r="FRQ90" s="6"/>
      <c r="FRR90" s="6"/>
      <c r="FRS90" s="6"/>
      <c r="FRT90" s="6"/>
      <c r="FRU90" s="6"/>
      <c r="FRV90" s="6"/>
      <c r="FRW90" s="6"/>
      <c r="FRX90" s="6"/>
      <c r="FRY90" s="6"/>
      <c r="FRZ90" s="6"/>
      <c r="FSA90" s="6"/>
      <c r="FSB90" s="6"/>
      <c r="FSC90" s="6"/>
      <c r="FSD90" s="6"/>
      <c r="FSE90" s="6"/>
      <c r="FSF90" s="6"/>
      <c r="FSG90" s="6"/>
      <c r="FSH90" s="6"/>
      <c r="FSI90" s="6"/>
      <c r="FSJ90" s="6"/>
      <c r="FSK90" s="6"/>
      <c r="FSL90" s="6"/>
      <c r="FSM90" s="6"/>
      <c r="FSN90" s="6"/>
      <c r="FSO90" s="6"/>
      <c r="FSP90" s="6"/>
      <c r="FSQ90" s="6"/>
      <c r="FSR90" s="6"/>
      <c r="FSS90" s="6"/>
      <c r="FST90" s="6"/>
      <c r="FSU90" s="6"/>
      <c r="FSV90" s="6"/>
      <c r="FSW90" s="6"/>
      <c r="FSX90" s="6"/>
      <c r="FSY90" s="6"/>
      <c r="FSZ90" s="6"/>
      <c r="FTA90" s="6"/>
      <c r="FTB90" s="6"/>
      <c r="FTC90" s="6"/>
      <c r="FTD90" s="6"/>
      <c r="FTE90" s="6"/>
      <c r="FTF90" s="6"/>
      <c r="FTG90" s="6"/>
      <c r="FTH90" s="6"/>
      <c r="FTI90" s="6"/>
      <c r="FTJ90" s="6"/>
      <c r="FTK90" s="6"/>
      <c r="FTL90" s="6"/>
      <c r="FTM90" s="6"/>
      <c r="FTN90" s="6"/>
      <c r="FTO90" s="6"/>
      <c r="FTP90" s="6"/>
      <c r="FTQ90" s="6"/>
      <c r="FTR90" s="6"/>
      <c r="FTS90" s="6"/>
      <c r="FTT90" s="6"/>
      <c r="FTU90" s="6"/>
      <c r="FTV90" s="6"/>
      <c r="FTW90" s="6"/>
      <c r="FTX90" s="6"/>
      <c r="FTY90" s="6"/>
      <c r="FTZ90" s="6"/>
      <c r="FUA90" s="6"/>
      <c r="FUB90" s="6"/>
      <c r="FUC90" s="6"/>
      <c r="FUD90" s="6"/>
      <c r="FUE90" s="6"/>
      <c r="FUF90" s="6"/>
      <c r="FUG90" s="6"/>
      <c r="FUH90" s="6"/>
      <c r="FUI90" s="6"/>
      <c r="FUJ90" s="6"/>
      <c r="FUK90" s="6"/>
      <c r="FUL90" s="6"/>
      <c r="FUM90" s="6"/>
      <c r="FUN90" s="6"/>
      <c r="FUO90" s="6"/>
      <c r="FUP90" s="6"/>
      <c r="FUQ90" s="6"/>
      <c r="FUR90" s="6"/>
      <c r="FUS90" s="6"/>
      <c r="FUT90" s="6"/>
      <c r="FUU90" s="6"/>
      <c r="FUV90" s="6"/>
      <c r="FUW90" s="6"/>
      <c r="FUX90" s="6"/>
      <c r="FUY90" s="6"/>
      <c r="FUZ90" s="6"/>
      <c r="FVA90" s="6"/>
      <c r="FVB90" s="6"/>
      <c r="FVC90" s="6"/>
      <c r="FVD90" s="6"/>
      <c r="FVE90" s="6"/>
      <c r="FVF90" s="6"/>
      <c r="FVG90" s="6"/>
      <c r="FVH90" s="6"/>
      <c r="FVI90" s="6"/>
      <c r="FVJ90" s="6"/>
      <c r="FVK90" s="6"/>
      <c r="FVL90" s="6"/>
      <c r="FVM90" s="6"/>
      <c r="FVN90" s="6"/>
      <c r="FVO90" s="6"/>
      <c r="FVP90" s="6"/>
      <c r="FVQ90" s="6"/>
      <c r="FVR90" s="6"/>
      <c r="FVS90" s="6"/>
      <c r="FVT90" s="6"/>
      <c r="FVU90" s="6"/>
      <c r="FVV90" s="6"/>
      <c r="FVW90" s="6"/>
      <c r="FVX90" s="6"/>
      <c r="FVY90" s="6"/>
      <c r="FVZ90" s="6"/>
      <c r="FWA90" s="6"/>
      <c r="FWB90" s="6"/>
      <c r="FWC90" s="6"/>
      <c r="FWD90" s="6"/>
      <c r="FWE90" s="6"/>
      <c r="FWF90" s="6"/>
      <c r="FWG90" s="6"/>
      <c r="FWH90" s="6"/>
      <c r="FWI90" s="6"/>
      <c r="FWJ90" s="6"/>
      <c r="FWK90" s="6"/>
      <c r="FWL90" s="6"/>
      <c r="FWM90" s="6"/>
      <c r="FWN90" s="6"/>
      <c r="FWO90" s="6"/>
      <c r="FWP90" s="6"/>
      <c r="FWQ90" s="6"/>
      <c r="FWR90" s="6"/>
      <c r="FWS90" s="6"/>
      <c r="FWT90" s="6"/>
      <c r="FWU90" s="6"/>
      <c r="FWV90" s="6"/>
      <c r="FWW90" s="6"/>
      <c r="FWX90" s="6"/>
      <c r="FWY90" s="6"/>
      <c r="FWZ90" s="6"/>
      <c r="FXA90" s="6"/>
      <c r="FXB90" s="6"/>
      <c r="FXC90" s="6"/>
      <c r="FXD90" s="6"/>
      <c r="FXE90" s="6"/>
      <c r="FXF90" s="6"/>
      <c r="FXG90" s="6"/>
      <c r="FXH90" s="6"/>
      <c r="FXI90" s="6"/>
      <c r="FXJ90" s="6"/>
      <c r="FXK90" s="6"/>
      <c r="FXL90" s="6"/>
      <c r="FXM90" s="6"/>
      <c r="FXN90" s="6"/>
      <c r="FXO90" s="6"/>
      <c r="FXP90" s="6"/>
      <c r="FXQ90" s="6"/>
      <c r="FXR90" s="6"/>
      <c r="FXS90" s="6"/>
      <c r="FXT90" s="6"/>
      <c r="FXU90" s="6"/>
      <c r="FXV90" s="6"/>
      <c r="FXW90" s="6"/>
      <c r="FXX90" s="6"/>
      <c r="FXY90" s="6"/>
      <c r="FXZ90" s="6"/>
      <c r="FYA90" s="6"/>
      <c r="FYB90" s="6"/>
      <c r="FYC90" s="6"/>
      <c r="FYD90" s="6"/>
      <c r="FYE90" s="6"/>
      <c r="FYF90" s="6"/>
      <c r="FYG90" s="6"/>
      <c r="FYH90" s="6"/>
      <c r="FYI90" s="6"/>
      <c r="FYJ90" s="6"/>
      <c r="FYK90" s="6"/>
      <c r="FYL90" s="6"/>
      <c r="FYM90" s="6"/>
      <c r="FYN90" s="6"/>
      <c r="FYO90" s="6"/>
      <c r="FYP90" s="6"/>
      <c r="FYQ90" s="6"/>
      <c r="FYR90" s="6"/>
      <c r="FYS90" s="6"/>
      <c r="FYT90" s="6"/>
      <c r="FYU90" s="6"/>
      <c r="FYV90" s="6"/>
      <c r="FYW90" s="6"/>
      <c r="FYX90" s="6"/>
      <c r="FYY90" s="6"/>
      <c r="FYZ90" s="6"/>
      <c r="FZA90" s="6"/>
      <c r="FZB90" s="6"/>
      <c r="FZC90" s="6"/>
      <c r="FZD90" s="6"/>
      <c r="FZE90" s="6"/>
      <c r="FZF90" s="6"/>
      <c r="FZG90" s="6"/>
      <c r="FZH90" s="6"/>
      <c r="FZI90" s="6"/>
      <c r="FZJ90" s="6"/>
      <c r="FZK90" s="6"/>
      <c r="FZL90" s="6"/>
      <c r="FZM90" s="6"/>
      <c r="FZN90" s="6"/>
      <c r="FZO90" s="6"/>
      <c r="FZP90" s="6"/>
      <c r="FZQ90" s="6"/>
      <c r="FZR90" s="6"/>
      <c r="FZS90" s="6"/>
      <c r="FZT90" s="6"/>
      <c r="FZU90" s="6"/>
      <c r="FZV90" s="6"/>
      <c r="FZW90" s="6"/>
      <c r="FZX90" s="6"/>
      <c r="FZY90" s="6"/>
      <c r="FZZ90" s="6"/>
      <c r="GAA90" s="6"/>
      <c r="GAB90" s="6"/>
      <c r="GAC90" s="6"/>
      <c r="GAD90" s="6"/>
      <c r="GAE90" s="6"/>
      <c r="GAF90" s="6"/>
      <c r="GAG90" s="6"/>
      <c r="GAH90" s="6"/>
      <c r="GAI90" s="6"/>
      <c r="GAJ90" s="6"/>
      <c r="GAK90" s="6"/>
      <c r="GAL90" s="6"/>
      <c r="GAM90" s="6"/>
      <c r="GAN90" s="6"/>
      <c r="GAO90" s="6"/>
      <c r="GAP90" s="6"/>
      <c r="GAQ90" s="6"/>
      <c r="GAR90" s="6"/>
      <c r="GAS90" s="6"/>
      <c r="GAT90" s="6"/>
      <c r="GAU90" s="6"/>
      <c r="GAV90" s="6"/>
      <c r="GAW90" s="6"/>
      <c r="GAX90" s="6"/>
      <c r="GAY90" s="6"/>
      <c r="GAZ90" s="6"/>
      <c r="GBA90" s="6"/>
      <c r="GBB90" s="6"/>
      <c r="GBC90" s="6"/>
      <c r="GBD90" s="6"/>
      <c r="GBE90" s="6"/>
      <c r="GBF90" s="6"/>
      <c r="GBG90" s="6"/>
      <c r="GBH90" s="6"/>
      <c r="GBI90" s="6"/>
      <c r="GBJ90" s="6"/>
      <c r="GBK90" s="6"/>
      <c r="GBL90" s="6"/>
      <c r="GBM90" s="6"/>
      <c r="GBN90" s="6"/>
      <c r="GBO90" s="6"/>
      <c r="GBP90" s="6"/>
      <c r="GBQ90" s="6"/>
      <c r="GBR90" s="6"/>
      <c r="GBS90" s="6"/>
      <c r="GBT90" s="6"/>
      <c r="GBU90" s="6"/>
      <c r="GBV90" s="6"/>
      <c r="GBW90" s="6"/>
      <c r="GBX90" s="6"/>
      <c r="GBY90" s="6"/>
      <c r="GBZ90" s="6"/>
      <c r="GCA90" s="6"/>
      <c r="GCB90" s="6"/>
      <c r="GCC90" s="6"/>
      <c r="GCD90" s="6"/>
      <c r="GCE90" s="6"/>
      <c r="GCF90" s="6"/>
      <c r="GCG90" s="6"/>
      <c r="GCH90" s="6"/>
      <c r="GCI90" s="6"/>
      <c r="GCJ90" s="6"/>
      <c r="GCK90" s="6"/>
      <c r="GCL90" s="6"/>
      <c r="GCM90" s="6"/>
      <c r="GCN90" s="6"/>
      <c r="GCO90" s="6"/>
      <c r="GCP90" s="6"/>
      <c r="GCQ90" s="6"/>
      <c r="GCR90" s="6"/>
      <c r="GCS90" s="6"/>
      <c r="GCT90" s="6"/>
      <c r="GCU90" s="6"/>
      <c r="GCV90" s="6"/>
      <c r="GCW90" s="6"/>
      <c r="GCX90" s="6"/>
      <c r="GCY90" s="6"/>
      <c r="GCZ90" s="6"/>
      <c r="GDA90" s="6"/>
      <c r="GDB90" s="6"/>
      <c r="GDC90" s="6"/>
      <c r="GDD90" s="6"/>
      <c r="GDE90" s="6"/>
      <c r="GDF90" s="6"/>
      <c r="GDG90" s="6"/>
      <c r="GDH90" s="6"/>
      <c r="GDI90" s="6"/>
      <c r="GDJ90" s="6"/>
      <c r="GDK90" s="6"/>
      <c r="GDL90" s="6"/>
      <c r="GDM90" s="6"/>
      <c r="GDN90" s="6"/>
      <c r="GDO90" s="6"/>
      <c r="GDP90" s="6"/>
      <c r="GDQ90" s="6"/>
      <c r="GDR90" s="6"/>
      <c r="GDS90" s="6"/>
      <c r="GDT90" s="6"/>
      <c r="GDU90" s="6"/>
      <c r="GDV90" s="6"/>
      <c r="GDW90" s="6"/>
      <c r="GDX90" s="6"/>
      <c r="GDY90" s="6"/>
      <c r="GDZ90" s="6"/>
      <c r="GEA90" s="6"/>
      <c r="GEB90" s="6"/>
      <c r="GEC90" s="6"/>
      <c r="GED90" s="6"/>
      <c r="GEE90" s="6"/>
      <c r="GEF90" s="6"/>
      <c r="GEG90" s="6"/>
      <c r="GEH90" s="6"/>
      <c r="GEI90" s="6"/>
      <c r="GEJ90" s="6"/>
      <c r="GEK90" s="6"/>
      <c r="GEL90" s="6"/>
      <c r="GEM90" s="6"/>
      <c r="GEN90" s="6"/>
      <c r="GEO90" s="6"/>
      <c r="GEP90" s="6"/>
      <c r="GEQ90" s="6"/>
      <c r="GER90" s="6"/>
      <c r="GES90" s="6"/>
      <c r="GET90" s="6"/>
      <c r="GEU90" s="6"/>
      <c r="GEV90" s="6"/>
      <c r="GEW90" s="6"/>
      <c r="GEX90" s="6"/>
      <c r="GEY90" s="6"/>
      <c r="GEZ90" s="6"/>
      <c r="GFA90" s="6"/>
      <c r="GFB90" s="6"/>
      <c r="GFC90" s="6"/>
      <c r="GFD90" s="6"/>
      <c r="GFE90" s="6"/>
      <c r="GFF90" s="6"/>
      <c r="GFG90" s="6"/>
      <c r="GFH90" s="6"/>
      <c r="GFI90" s="6"/>
      <c r="GFJ90" s="6"/>
      <c r="GFK90" s="6"/>
      <c r="GFL90" s="6"/>
      <c r="GFM90" s="6"/>
      <c r="GFN90" s="6"/>
      <c r="GFO90" s="6"/>
      <c r="GFP90" s="6"/>
      <c r="GFQ90" s="6"/>
      <c r="GFR90" s="6"/>
      <c r="GFS90" s="6"/>
      <c r="GFT90" s="6"/>
      <c r="GFU90" s="6"/>
      <c r="GFV90" s="6"/>
      <c r="GFW90" s="6"/>
      <c r="GFX90" s="6"/>
      <c r="GFY90" s="6"/>
      <c r="GFZ90" s="6"/>
      <c r="GGA90" s="6"/>
      <c r="GGB90" s="6"/>
      <c r="GGC90" s="6"/>
      <c r="GGD90" s="6"/>
      <c r="GGE90" s="6"/>
      <c r="GGF90" s="6"/>
      <c r="GGG90" s="6"/>
      <c r="GGH90" s="6"/>
      <c r="GGI90" s="6"/>
      <c r="GGJ90" s="6"/>
      <c r="GGK90" s="6"/>
      <c r="GGL90" s="6"/>
      <c r="GGM90" s="6"/>
      <c r="GGN90" s="6"/>
      <c r="GGO90" s="6"/>
      <c r="GGP90" s="6"/>
      <c r="GGQ90" s="6"/>
      <c r="GGR90" s="6"/>
      <c r="GGS90" s="6"/>
      <c r="GGT90" s="6"/>
      <c r="GGU90" s="6"/>
      <c r="GGV90" s="6"/>
      <c r="GGW90" s="6"/>
      <c r="GGX90" s="6"/>
      <c r="GGY90" s="6"/>
      <c r="GGZ90" s="6"/>
      <c r="GHA90" s="6"/>
      <c r="GHB90" s="6"/>
      <c r="GHC90" s="6"/>
      <c r="GHD90" s="6"/>
      <c r="GHE90" s="6"/>
      <c r="GHF90" s="6"/>
      <c r="GHG90" s="6"/>
      <c r="GHH90" s="6"/>
      <c r="GHI90" s="6"/>
      <c r="GHJ90" s="6"/>
      <c r="GHK90" s="6"/>
      <c r="GHL90" s="6"/>
      <c r="GHM90" s="6"/>
      <c r="GHN90" s="6"/>
      <c r="GHO90" s="6"/>
      <c r="GHP90" s="6"/>
      <c r="GHQ90" s="6"/>
      <c r="GHR90" s="6"/>
      <c r="GHS90" s="6"/>
      <c r="GHT90" s="6"/>
      <c r="GHU90" s="6"/>
      <c r="GHV90" s="6"/>
      <c r="GHW90" s="6"/>
      <c r="GHX90" s="6"/>
      <c r="GHY90" s="6"/>
      <c r="GHZ90" s="6"/>
      <c r="GIA90" s="6"/>
      <c r="GIB90" s="6"/>
      <c r="GIC90" s="6"/>
      <c r="GID90" s="6"/>
      <c r="GIE90" s="6"/>
      <c r="GIF90" s="6"/>
      <c r="GIG90" s="6"/>
      <c r="GIH90" s="6"/>
      <c r="GII90" s="6"/>
      <c r="GIJ90" s="6"/>
      <c r="GIK90" s="6"/>
      <c r="GIL90" s="6"/>
      <c r="GIM90" s="6"/>
      <c r="GIN90" s="6"/>
      <c r="GIO90" s="6"/>
      <c r="GIP90" s="6"/>
      <c r="GIQ90" s="6"/>
      <c r="GIR90" s="6"/>
      <c r="GIS90" s="6"/>
      <c r="GIT90" s="6"/>
      <c r="GIU90" s="6"/>
      <c r="GIV90" s="6"/>
      <c r="GIW90" s="6"/>
      <c r="GIX90" s="6"/>
      <c r="GIY90" s="6"/>
      <c r="GIZ90" s="6"/>
      <c r="GJA90" s="6"/>
      <c r="GJB90" s="6"/>
      <c r="GJC90" s="6"/>
      <c r="GJD90" s="6"/>
      <c r="GJE90" s="6"/>
      <c r="GJF90" s="6"/>
      <c r="GJG90" s="6"/>
      <c r="GJH90" s="6"/>
      <c r="GJI90" s="6"/>
      <c r="GJJ90" s="6"/>
      <c r="GJK90" s="6"/>
      <c r="GJL90" s="6"/>
      <c r="GJM90" s="6"/>
      <c r="GJN90" s="6"/>
      <c r="GJO90" s="6"/>
      <c r="GJP90" s="6"/>
      <c r="GJQ90" s="6"/>
      <c r="GJR90" s="6"/>
      <c r="GJS90" s="6"/>
      <c r="GJT90" s="6"/>
      <c r="GJU90" s="6"/>
      <c r="GJV90" s="6"/>
      <c r="GJW90" s="6"/>
      <c r="GJX90" s="6"/>
      <c r="GJY90" s="6"/>
      <c r="GJZ90" s="6"/>
      <c r="GKA90" s="6"/>
      <c r="GKB90" s="6"/>
      <c r="GKC90" s="6"/>
      <c r="GKD90" s="6"/>
      <c r="GKE90" s="6"/>
      <c r="GKF90" s="6"/>
      <c r="GKG90" s="6"/>
      <c r="GKH90" s="6"/>
      <c r="GKI90" s="6"/>
      <c r="GKJ90" s="6"/>
      <c r="GKK90" s="6"/>
      <c r="GKL90" s="6"/>
      <c r="GKM90" s="6"/>
      <c r="GKN90" s="6"/>
      <c r="GKO90" s="6"/>
      <c r="GKP90" s="6"/>
      <c r="GKQ90" s="6"/>
      <c r="GKR90" s="6"/>
      <c r="GKS90" s="6"/>
      <c r="GKT90" s="6"/>
      <c r="GKU90" s="6"/>
      <c r="GKV90" s="6"/>
      <c r="GKW90" s="6"/>
      <c r="GKX90" s="6"/>
      <c r="GKY90" s="6"/>
      <c r="GKZ90" s="6"/>
      <c r="GLA90" s="6"/>
      <c r="GLB90" s="6"/>
      <c r="GLC90" s="6"/>
      <c r="GLD90" s="6"/>
      <c r="GLE90" s="6"/>
      <c r="GLF90" s="6"/>
      <c r="GLG90" s="6"/>
      <c r="GLH90" s="6"/>
      <c r="GLI90" s="6"/>
      <c r="GLJ90" s="6"/>
      <c r="GLK90" s="6"/>
      <c r="GLL90" s="6"/>
      <c r="GLM90" s="6"/>
      <c r="GLN90" s="6"/>
      <c r="GLO90" s="6"/>
      <c r="GLP90" s="6"/>
      <c r="GLQ90" s="6"/>
      <c r="GLR90" s="6"/>
      <c r="GLS90" s="6"/>
      <c r="GLT90" s="6"/>
      <c r="GLU90" s="6"/>
      <c r="GLV90" s="6"/>
      <c r="GLW90" s="6"/>
      <c r="GLX90" s="6"/>
      <c r="GLY90" s="6"/>
      <c r="GLZ90" s="6"/>
      <c r="GMA90" s="6"/>
      <c r="GMB90" s="6"/>
      <c r="GMC90" s="6"/>
      <c r="GMD90" s="6"/>
      <c r="GME90" s="6"/>
      <c r="GMF90" s="6"/>
      <c r="GMG90" s="6"/>
      <c r="GMH90" s="6"/>
      <c r="GMI90" s="6"/>
      <c r="GMJ90" s="6"/>
      <c r="GMK90" s="6"/>
      <c r="GML90" s="6"/>
      <c r="GMM90" s="6"/>
      <c r="GMN90" s="6"/>
      <c r="GMO90" s="6"/>
      <c r="GMP90" s="6"/>
      <c r="GMQ90" s="6"/>
      <c r="GMR90" s="6"/>
      <c r="GMS90" s="6"/>
      <c r="GMT90" s="6"/>
      <c r="GMU90" s="6"/>
      <c r="GMV90" s="6"/>
      <c r="GMW90" s="6"/>
      <c r="GMX90" s="6"/>
      <c r="GMY90" s="6"/>
      <c r="GMZ90" s="6"/>
      <c r="GNA90" s="6"/>
      <c r="GNB90" s="6"/>
      <c r="GNC90" s="6"/>
      <c r="GND90" s="6"/>
      <c r="GNE90" s="6"/>
      <c r="GNF90" s="6"/>
      <c r="GNG90" s="6"/>
      <c r="GNH90" s="6"/>
      <c r="GNI90" s="6"/>
      <c r="GNJ90" s="6"/>
      <c r="GNK90" s="6"/>
      <c r="GNL90" s="6"/>
      <c r="GNM90" s="6"/>
      <c r="GNN90" s="6"/>
      <c r="GNO90" s="6"/>
      <c r="GNP90" s="6"/>
      <c r="GNQ90" s="6"/>
      <c r="GNR90" s="6"/>
      <c r="GNS90" s="6"/>
      <c r="GNT90" s="6"/>
      <c r="GNU90" s="6"/>
      <c r="GNV90" s="6"/>
      <c r="GNW90" s="6"/>
      <c r="GNX90" s="6"/>
      <c r="GNY90" s="6"/>
      <c r="GNZ90" s="6"/>
      <c r="GOA90" s="6"/>
      <c r="GOB90" s="6"/>
      <c r="GOC90" s="6"/>
      <c r="GOD90" s="6"/>
      <c r="GOE90" s="6"/>
      <c r="GOF90" s="6"/>
      <c r="GOG90" s="6"/>
      <c r="GOH90" s="6"/>
      <c r="GOI90" s="6"/>
      <c r="GOJ90" s="6"/>
      <c r="GOK90" s="6"/>
      <c r="GOL90" s="6"/>
      <c r="GOM90" s="6"/>
      <c r="GON90" s="6"/>
      <c r="GOO90" s="6"/>
      <c r="GOP90" s="6"/>
      <c r="GOQ90" s="6"/>
      <c r="GOR90" s="6"/>
      <c r="GOS90" s="6"/>
      <c r="GOT90" s="6"/>
      <c r="GOU90" s="6"/>
      <c r="GOV90" s="6"/>
      <c r="GOW90" s="6"/>
      <c r="GOX90" s="6"/>
      <c r="GOY90" s="6"/>
      <c r="GOZ90" s="6"/>
      <c r="GPA90" s="6"/>
      <c r="GPB90" s="6"/>
      <c r="GPC90" s="6"/>
      <c r="GPD90" s="6"/>
      <c r="GPE90" s="6"/>
      <c r="GPF90" s="6"/>
      <c r="GPG90" s="6"/>
      <c r="GPH90" s="6"/>
      <c r="GPI90" s="6"/>
      <c r="GPJ90" s="6"/>
      <c r="GPK90" s="6"/>
      <c r="GPL90" s="6"/>
      <c r="GPM90" s="6"/>
      <c r="GPN90" s="6"/>
      <c r="GPO90" s="6"/>
      <c r="GPP90" s="6"/>
      <c r="GPQ90" s="6"/>
      <c r="GPR90" s="6"/>
      <c r="GPS90" s="6"/>
      <c r="GPT90" s="6"/>
      <c r="GPU90" s="6"/>
      <c r="GPV90" s="6"/>
      <c r="GPW90" s="6"/>
      <c r="GPX90" s="6"/>
      <c r="GPY90" s="6"/>
      <c r="GPZ90" s="6"/>
      <c r="GQA90" s="6"/>
      <c r="GQB90" s="6"/>
      <c r="GQC90" s="6"/>
      <c r="GQD90" s="6"/>
      <c r="GQE90" s="6"/>
      <c r="GQF90" s="6"/>
      <c r="GQG90" s="6"/>
      <c r="GQH90" s="6"/>
      <c r="GQI90" s="6"/>
      <c r="GQJ90" s="6"/>
      <c r="GQK90" s="6"/>
      <c r="GQL90" s="6"/>
      <c r="GQM90" s="6"/>
      <c r="GQN90" s="6"/>
      <c r="GQO90" s="6"/>
      <c r="GQP90" s="6"/>
      <c r="GQQ90" s="6"/>
      <c r="GQR90" s="6"/>
      <c r="GQS90" s="6"/>
      <c r="GQT90" s="6"/>
      <c r="GQU90" s="6"/>
      <c r="GQV90" s="6"/>
      <c r="GQW90" s="6"/>
      <c r="GQX90" s="6"/>
      <c r="GQY90" s="6"/>
      <c r="GQZ90" s="6"/>
      <c r="GRA90" s="6"/>
      <c r="GRB90" s="6"/>
      <c r="GRC90" s="6"/>
      <c r="GRD90" s="6"/>
      <c r="GRE90" s="6"/>
      <c r="GRF90" s="6"/>
      <c r="GRG90" s="6"/>
      <c r="GRH90" s="6"/>
      <c r="GRI90" s="6"/>
      <c r="GRJ90" s="6"/>
      <c r="GRK90" s="6"/>
      <c r="GRL90" s="6"/>
      <c r="GRM90" s="6"/>
      <c r="GRN90" s="6"/>
      <c r="GRO90" s="6"/>
      <c r="GRP90" s="6"/>
      <c r="GRQ90" s="6"/>
      <c r="GRR90" s="6"/>
      <c r="GRS90" s="6"/>
      <c r="GRT90" s="6"/>
      <c r="GRU90" s="6"/>
      <c r="GRV90" s="6"/>
      <c r="GRW90" s="6"/>
      <c r="GRX90" s="6"/>
      <c r="GRY90" s="6"/>
      <c r="GRZ90" s="6"/>
      <c r="GSA90" s="6"/>
      <c r="GSB90" s="6"/>
      <c r="GSC90" s="6"/>
      <c r="GSD90" s="6"/>
      <c r="GSE90" s="6"/>
      <c r="GSF90" s="6"/>
      <c r="GSG90" s="6"/>
      <c r="GSH90" s="6"/>
      <c r="GSI90" s="6"/>
      <c r="GSJ90" s="6"/>
      <c r="GSK90" s="6"/>
      <c r="GSL90" s="6"/>
      <c r="GSM90" s="6"/>
      <c r="GSN90" s="6"/>
      <c r="GSO90" s="6"/>
      <c r="GSP90" s="6"/>
      <c r="GSQ90" s="6"/>
      <c r="GSR90" s="6"/>
      <c r="GSS90" s="6"/>
      <c r="GST90" s="6"/>
      <c r="GSU90" s="6"/>
      <c r="GSV90" s="6"/>
      <c r="GSW90" s="6"/>
      <c r="GSX90" s="6"/>
      <c r="GSY90" s="6"/>
      <c r="GSZ90" s="6"/>
      <c r="GTA90" s="6"/>
      <c r="GTB90" s="6"/>
      <c r="GTC90" s="6"/>
      <c r="GTD90" s="6"/>
      <c r="GTE90" s="6"/>
      <c r="GTF90" s="6"/>
      <c r="GTG90" s="6"/>
      <c r="GTH90" s="6"/>
      <c r="GTI90" s="6"/>
      <c r="GTJ90" s="6"/>
      <c r="GTK90" s="6"/>
      <c r="GTL90" s="6"/>
      <c r="GTM90" s="6"/>
      <c r="GTN90" s="6"/>
      <c r="GTO90" s="6"/>
      <c r="GTP90" s="6"/>
      <c r="GTQ90" s="6"/>
      <c r="GTR90" s="6"/>
      <c r="GTS90" s="6"/>
      <c r="GTT90" s="6"/>
      <c r="GTU90" s="6"/>
      <c r="GTV90" s="6"/>
      <c r="GTW90" s="6"/>
      <c r="GTX90" s="6"/>
      <c r="GTY90" s="6"/>
      <c r="GTZ90" s="6"/>
      <c r="GUA90" s="6"/>
      <c r="GUB90" s="6"/>
      <c r="GUC90" s="6"/>
      <c r="GUD90" s="6"/>
      <c r="GUE90" s="6"/>
      <c r="GUF90" s="6"/>
      <c r="GUG90" s="6"/>
      <c r="GUH90" s="6"/>
      <c r="GUI90" s="6"/>
      <c r="GUJ90" s="6"/>
      <c r="GUK90" s="6"/>
      <c r="GUL90" s="6"/>
      <c r="GUM90" s="6"/>
      <c r="GUN90" s="6"/>
      <c r="GUO90" s="6"/>
      <c r="GUP90" s="6"/>
      <c r="GUQ90" s="6"/>
      <c r="GUR90" s="6"/>
      <c r="GUS90" s="6"/>
      <c r="GUT90" s="6"/>
      <c r="GUU90" s="6"/>
      <c r="GUV90" s="6"/>
      <c r="GUW90" s="6"/>
      <c r="GUX90" s="6"/>
      <c r="GUY90" s="6"/>
      <c r="GUZ90" s="6"/>
      <c r="GVA90" s="6"/>
      <c r="GVB90" s="6"/>
      <c r="GVC90" s="6"/>
      <c r="GVD90" s="6"/>
      <c r="GVE90" s="6"/>
      <c r="GVF90" s="6"/>
      <c r="GVG90" s="6"/>
      <c r="GVH90" s="6"/>
      <c r="GVI90" s="6"/>
      <c r="GVJ90" s="6"/>
      <c r="GVK90" s="6"/>
      <c r="GVL90" s="6"/>
      <c r="GVM90" s="6"/>
      <c r="GVN90" s="6"/>
      <c r="GVO90" s="6"/>
      <c r="GVP90" s="6"/>
      <c r="GVQ90" s="6"/>
      <c r="GVR90" s="6"/>
      <c r="GVS90" s="6"/>
      <c r="GVT90" s="6"/>
      <c r="GVU90" s="6"/>
      <c r="GVV90" s="6"/>
      <c r="GVW90" s="6"/>
      <c r="GVX90" s="6"/>
      <c r="GVY90" s="6"/>
      <c r="GVZ90" s="6"/>
      <c r="GWA90" s="6"/>
      <c r="GWB90" s="6"/>
      <c r="GWC90" s="6"/>
      <c r="GWD90" s="6"/>
      <c r="GWE90" s="6"/>
      <c r="GWF90" s="6"/>
      <c r="GWG90" s="6"/>
      <c r="GWH90" s="6"/>
      <c r="GWI90" s="6"/>
      <c r="GWJ90" s="6"/>
      <c r="GWK90" s="6"/>
      <c r="GWL90" s="6"/>
      <c r="GWM90" s="6"/>
      <c r="GWN90" s="6"/>
      <c r="GWO90" s="6"/>
      <c r="GWP90" s="6"/>
      <c r="GWQ90" s="6"/>
      <c r="GWR90" s="6"/>
      <c r="GWS90" s="6"/>
      <c r="GWT90" s="6"/>
      <c r="GWU90" s="6"/>
      <c r="GWV90" s="6"/>
      <c r="GWW90" s="6"/>
      <c r="GWX90" s="6"/>
      <c r="GWY90" s="6"/>
      <c r="GWZ90" s="6"/>
      <c r="GXA90" s="6"/>
      <c r="GXB90" s="6"/>
      <c r="GXC90" s="6"/>
      <c r="GXD90" s="6"/>
      <c r="GXE90" s="6"/>
      <c r="GXF90" s="6"/>
      <c r="GXG90" s="6"/>
      <c r="GXH90" s="6"/>
      <c r="GXI90" s="6"/>
      <c r="GXJ90" s="6"/>
      <c r="GXK90" s="6"/>
      <c r="GXL90" s="6"/>
      <c r="GXM90" s="6"/>
      <c r="GXN90" s="6"/>
      <c r="GXO90" s="6"/>
      <c r="GXP90" s="6"/>
      <c r="GXQ90" s="6"/>
      <c r="GXR90" s="6"/>
      <c r="GXS90" s="6"/>
      <c r="GXT90" s="6"/>
      <c r="GXU90" s="6"/>
      <c r="GXV90" s="6"/>
      <c r="GXW90" s="6"/>
      <c r="GXX90" s="6"/>
      <c r="GXY90" s="6"/>
      <c r="GXZ90" s="6"/>
      <c r="GYA90" s="6"/>
      <c r="GYB90" s="6"/>
      <c r="GYC90" s="6"/>
      <c r="GYD90" s="6"/>
      <c r="GYE90" s="6"/>
      <c r="GYF90" s="6"/>
      <c r="GYG90" s="6"/>
      <c r="GYH90" s="6"/>
      <c r="GYI90" s="6"/>
      <c r="GYJ90" s="6"/>
      <c r="GYK90" s="6"/>
      <c r="GYL90" s="6"/>
      <c r="GYM90" s="6"/>
      <c r="GYN90" s="6"/>
      <c r="GYO90" s="6"/>
      <c r="GYP90" s="6"/>
      <c r="GYQ90" s="6"/>
      <c r="GYR90" s="6"/>
      <c r="GYS90" s="6"/>
      <c r="GYT90" s="6"/>
      <c r="GYU90" s="6"/>
      <c r="GYV90" s="6"/>
      <c r="GYW90" s="6"/>
      <c r="GYX90" s="6"/>
      <c r="GYY90" s="6"/>
      <c r="GYZ90" s="6"/>
      <c r="GZA90" s="6"/>
      <c r="GZB90" s="6"/>
      <c r="GZC90" s="6"/>
      <c r="GZD90" s="6"/>
      <c r="GZE90" s="6"/>
      <c r="GZF90" s="6"/>
      <c r="GZG90" s="6"/>
      <c r="GZH90" s="6"/>
      <c r="GZI90" s="6"/>
      <c r="GZJ90" s="6"/>
      <c r="GZK90" s="6"/>
      <c r="GZL90" s="6"/>
      <c r="GZM90" s="6"/>
      <c r="GZN90" s="6"/>
      <c r="GZO90" s="6"/>
      <c r="GZP90" s="6"/>
      <c r="GZQ90" s="6"/>
      <c r="GZR90" s="6"/>
      <c r="GZS90" s="6"/>
      <c r="GZT90" s="6"/>
      <c r="GZU90" s="6"/>
      <c r="GZV90" s="6"/>
      <c r="GZW90" s="6"/>
      <c r="GZX90" s="6"/>
      <c r="GZY90" s="6"/>
      <c r="GZZ90" s="6"/>
      <c r="HAA90" s="6"/>
      <c r="HAB90" s="6"/>
      <c r="HAC90" s="6"/>
      <c r="HAD90" s="6"/>
      <c r="HAE90" s="6"/>
      <c r="HAF90" s="6"/>
      <c r="HAG90" s="6"/>
      <c r="HAH90" s="6"/>
      <c r="HAI90" s="6"/>
      <c r="HAJ90" s="6"/>
      <c r="HAK90" s="6"/>
      <c r="HAL90" s="6"/>
      <c r="HAM90" s="6"/>
      <c r="HAN90" s="6"/>
      <c r="HAO90" s="6"/>
      <c r="HAP90" s="6"/>
      <c r="HAQ90" s="6"/>
      <c r="HAR90" s="6"/>
      <c r="HAS90" s="6"/>
      <c r="HAT90" s="6"/>
      <c r="HAU90" s="6"/>
      <c r="HAV90" s="6"/>
      <c r="HAW90" s="6"/>
      <c r="HAX90" s="6"/>
      <c r="HAY90" s="6"/>
      <c r="HAZ90" s="6"/>
      <c r="HBA90" s="6"/>
      <c r="HBB90" s="6"/>
      <c r="HBC90" s="6"/>
      <c r="HBD90" s="6"/>
      <c r="HBE90" s="6"/>
      <c r="HBF90" s="6"/>
      <c r="HBG90" s="6"/>
      <c r="HBH90" s="6"/>
      <c r="HBI90" s="6"/>
      <c r="HBJ90" s="6"/>
      <c r="HBK90" s="6"/>
      <c r="HBL90" s="6"/>
      <c r="HBM90" s="6"/>
      <c r="HBN90" s="6"/>
      <c r="HBO90" s="6"/>
      <c r="HBP90" s="6"/>
      <c r="HBQ90" s="6"/>
      <c r="HBR90" s="6"/>
      <c r="HBS90" s="6"/>
      <c r="HBT90" s="6"/>
      <c r="HBU90" s="6"/>
      <c r="HBV90" s="6"/>
      <c r="HBW90" s="6"/>
      <c r="HBX90" s="6"/>
      <c r="HBY90" s="6"/>
      <c r="HBZ90" s="6"/>
      <c r="HCA90" s="6"/>
      <c r="HCB90" s="6"/>
      <c r="HCC90" s="6"/>
      <c r="HCD90" s="6"/>
      <c r="HCE90" s="6"/>
      <c r="HCF90" s="6"/>
      <c r="HCG90" s="6"/>
      <c r="HCH90" s="6"/>
      <c r="HCI90" s="6"/>
      <c r="HCJ90" s="6"/>
      <c r="HCK90" s="6"/>
      <c r="HCL90" s="6"/>
      <c r="HCM90" s="6"/>
      <c r="HCN90" s="6"/>
      <c r="HCO90" s="6"/>
      <c r="HCP90" s="6"/>
      <c r="HCQ90" s="6"/>
      <c r="HCR90" s="6"/>
      <c r="HCS90" s="6"/>
      <c r="HCT90" s="6"/>
      <c r="HCU90" s="6"/>
      <c r="HCV90" s="6"/>
      <c r="HCW90" s="6"/>
      <c r="HCX90" s="6"/>
      <c r="HCY90" s="6"/>
      <c r="HCZ90" s="6"/>
      <c r="HDA90" s="6"/>
      <c r="HDB90" s="6"/>
      <c r="HDC90" s="6"/>
      <c r="HDD90" s="6"/>
      <c r="HDE90" s="6"/>
      <c r="HDF90" s="6"/>
      <c r="HDG90" s="6"/>
      <c r="HDH90" s="6"/>
      <c r="HDI90" s="6"/>
      <c r="HDJ90" s="6"/>
      <c r="HDK90" s="6"/>
      <c r="HDL90" s="6"/>
      <c r="HDM90" s="6"/>
      <c r="HDN90" s="6"/>
      <c r="HDO90" s="6"/>
      <c r="HDP90" s="6"/>
      <c r="HDQ90" s="6"/>
      <c r="HDR90" s="6"/>
      <c r="HDS90" s="6"/>
      <c r="HDT90" s="6"/>
      <c r="HDU90" s="6"/>
      <c r="HDV90" s="6"/>
      <c r="HDW90" s="6"/>
      <c r="HDX90" s="6"/>
      <c r="HDY90" s="6"/>
      <c r="HDZ90" s="6"/>
      <c r="HEA90" s="6"/>
      <c r="HEB90" s="6"/>
      <c r="HEC90" s="6"/>
      <c r="HED90" s="6"/>
      <c r="HEE90" s="6"/>
      <c r="HEF90" s="6"/>
      <c r="HEG90" s="6"/>
      <c r="HEH90" s="6"/>
      <c r="HEI90" s="6"/>
      <c r="HEJ90" s="6"/>
      <c r="HEK90" s="6"/>
      <c r="HEL90" s="6"/>
      <c r="HEM90" s="6"/>
      <c r="HEN90" s="6"/>
      <c r="HEO90" s="6"/>
      <c r="HEP90" s="6"/>
      <c r="HEQ90" s="6"/>
      <c r="HER90" s="6"/>
      <c r="HES90" s="6"/>
      <c r="HET90" s="6"/>
      <c r="HEU90" s="6"/>
      <c r="HEV90" s="6"/>
      <c r="HEW90" s="6"/>
      <c r="HEX90" s="6"/>
      <c r="HEY90" s="6"/>
      <c r="HEZ90" s="6"/>
      <c r="HFA90" s="6"/>
      <c r="HFB90" s="6"/>
      <c r="HFC90" s="6"/>
      <c r="HFD90" s="6"/>
      <c r="HFE90" s="6"/>
      <c r="HFF90" s="6"/>
      <c r="HFG90" s="6"/>
      <c r="HFH90" s="6"/>
      <c r="HFI90" s="6"/>
      <c r="HFJ90" s="6"/>
      <c r="HFK90" s="6"/>
      <c r="HFL90" s="6"/>
      <c r="HFM90" s="6"/>
      <c r="HFN90" s="6"/>
      <c r="HFO90" s="6"/>
      <c r="HFP90" s="6"/>
      <c r="HFQ90" s="6"/>
      <c r="HFR90" s="6"/>
      <c r="HFS90" s="6"/>
      <c r="HFT90" s="6"/>
      <c r="HFU90" s="6"/>
      <c r="HFV90" s="6"/>
      <c r="HFW90" s="6"/>
      <c r="HFX90" s="6"/>
      <c r="HFY90" s="6"/>
      <c r="HFZ90" s="6"/>
      <c r="HGA90" s="6"/>
      <c r="HGB90" s="6"/>
      <c r="HGC90" s="6"/>
      <c r="HGD90" s="6"/>
      <c r="HGE90" s="6"/>
      <c r="HGF90" s="6"/>
      <c r="HGG90" s="6"/>
      <c r="HGH90" s="6"/>
      <c r="HGI90" s="6"/>
      <c r="HGJ90" s="6"/>
      <c r="HGK90" s="6"/>
      <c r="HGL90" s="6"/>
      <c r="HGM90" s="6"/>
      <c r="HGN90" s="6"/>
      <c r="HGO90" s="6"/>
      <c r="HGP90" s="6"/>
      <c r="HGQ90" s="6"/>
      <c r="HGR90" s="6"/>
      <c r="HGS90" s="6"/>
      <c r="HGT90" s="6"/>
      <c r="HGU90" s="6"/>
      <c r="HGV90" s="6"/>
      <c r="HGW90" s="6"/>
      <c r="HGX90" s="6"/>
      <c r="HGY90" s="6"/>
      <c r="HGZ90" s="6"/>
      <c r="HHA90" s="6"/>
      <c r="HHB90" s="6"/>
      <c r="HHC90" s="6"/>
      <c r="HHD90" s="6"/>
      <c r="HHE90" s="6"/>
      <c r="HHF90" s="6"/>
      <c r="HHG90" s="6"/>
      <c r="HHH90" s="6"/>
      <c r="HHI90" s="6"/>
      <c r="HHJ90" s="6"/>
      <c r="HHK90" s="6"/>
      <c r="HHL90" s="6"/>
      <c r="HHM90" s="6"/>
      <c r="HHN90" s="6"/>
      <c r="HHO90" s="6"/>
      <c r="HHP90" s="6"/>
      <c r="HHQ90" s="6"/>
      <c r="HHR90" s="6"/>
      <c r="HHS90" s="6"/>
      <c r="HHT90" s="6"/>
      <c r="HHU90" s="6"/>
      <c r="HHV90" s="6"/>
      <c r="HHW90" s="6"/>
      <c r="HHX90" s="6"/>
      <c r="HHY90" s="6"/>
      <c r="HHZ90" s="6"/>
      <c r="HIA90" s="6"/>
      <c r="HIB90" s="6"/>
      <c r="HIC90" s="6"/>
      <c r="HID90" s="6"/>
      <c r="HIE90" s="6"/>
      <c r="HIF90" s="6"/>
      <c r="HIG90" s="6"/>
      <c r="HIH90" s="6"/>
      <c r="HII90" s="6"/>
      <c r="HIJ90" s="6"/>
      <c r="HIK90" s="6"/>
      <c r="HIL90" s="6"/>
      <c r="HIM90" s="6"/>
      <c r="HIN90" s="6"/>
      <c r="HIO90" s="6"/>
      <c r="HIP90" s="6"/>
      <c r="HIQ90" s="6"/>
      <c r="HIR90" s="6"/>
      <c r="HIS90" s="6"/>
      <c r="HIT90" s="6"/>
      <c r="HIU90" s="6"/>
      <c r="HIV90" s="6"/>
      <c r="HIW90" s="6"/>
      <c r="HIX90" s="6"/>
      <c r="HIY90" s="6"/>
      <c r="HIZ90" s="6"/>
      <c r="HJA90" s="6"/>
      <c r="HJB90" s="6"/>
      <c r="HJC90" s="6"/>
      <c r="HJD90" s="6"/>
      <c r="HJE90" s="6"/>
      <c r="HJF90" s="6"/>
      <c r="HJG90" s="6"/>
      <c r="HJH90" s="6"/>
      <c r="HJI90" s="6"/>
      <c r="HJJ90" s="6"/>
      <c r="HJK90" s="6"/>
      <c r="HJL90" s="6"/>
      <c r="HJM90" s="6"/>
      <c r="HJN90" s="6"/>
      <c r="HJO90" s="6"/>
      <c r="HJP90" s="6"/>
      <c r="HJQ90" s="6"/>
      <c r="HJR90" s="6"/>
      <c r="HJS90" s="6"/>
      <c r="HJT90" s="6"/>
      <c r="HJU90" s="6"/>
      <c r="HJV90" s="6"/>
      <c r="HJW90" s="6"/>
      <c r="HJX90" s="6"/>
      <c r="HJY90" s="6"/>
      <c r="HJZ90" s="6"/>
      <c r="HKA90" s="6"/>
      <c r="HKB90" s="6"/>
      <c r="HKC90" s="6"/>
      <c r="HKD90" s="6"/>
      <c r="HKE90" s="6"/>
      <c r="HKF90" s="6"/>
      <c r="HKG90" s="6"/>
      <c r="HKH90" s="6"/>
      <c r="HKI90" s="6"/>
      <c r="HKJ90" s="6"/>
      <c r="HKK90" s="6"/>
      <c r="HKL90" s="6"/>
      <c r="HKM90" s="6"/>
      <c r="HKN90" s="6"/>
      <c r="HKO90" s="6"/>
      <c r="HKP90" s="6"/>
      <c r="HKQ90" s="6"/>
      <c r="HKR90" s="6"/>
      <c r="HKS90" s="6"/>
      <c r="HKT90" s="6"/>
      <c r="HKU90" s="6"/>
      <c r="HKV90" s="6"/>
      <c r="HKW90" s="6"/>
      <c r="HKX90" s="6"/>
      <c r="HKY90" s="6"/>
      <c r="HKZ90" s="6"/>
      <c r="HLA90" s="6"/>
      <c r="HLB90" s="6"/>
      <c r="HLC90" s="6"/>
      <c r="HLD90" s="6"/>
      <c r="HLE90" s="6"/>
      <c r="HLF90" s="6"/>
      <c r="HLG90" s="6"/>
      <c r="HLH90" s="6"/>
      <c r="HLI90" s="6"/>
      <c r="HLJ90" s="6"/>
      <c r="HLK90" s="6"/>
      <c r="HLL90" s="6"/>
      <c r="HLM90" s="6"/>
      <c r="HLN90" s="6"/>
      <c r="HLO90" s="6"/>
      <c r="HLP90" s="6"/>
      <c r="HLQ90" s="6"/>
      <c r="HLR90" s="6"/>
      <c r="HLS90" s="6"/>
      <c r="HLT90" s="6"/>
      <c r="HLU90" s="6"/>
      <c r="HLV90" s="6"/>
      <c r="HLW90" s="6"/>
      <c r="HLX90" s="6"/>
      <c r="HLY90" s="6"/>
      <c r="HLZ90" s="6"/>
      <c r="HMA90" s="6"/>
      <c r="HMB90" s="6"/>
      <c r="HMC90" s="6"/>
      <c r="HMD90" s="6"/>
      <c r="HME90" s="6"/>
      <c r="HMF90" s="6"/>
      <c r="HMG90" s="6"/>
      <c r="HMH90" s="6"/>
      <c r="HMI90" s="6"/>
      <c r="HMJ90" s="6"/>
      <c r="HMK90" s="6"/>
      <c r="HML90" s="6"/>
      <c r="HMM90" s="6"/>
      <c r="HMN90" s="6"/>
      <c r="HMO90" s="6"/>
      <c r="HMP90" s="6"/>
      <c r="HMQ90" s="6"/>
      <c r="HMR90" s="6"/>
      <c r="HMS90" s="6"/>
      <c r="HMT90" s="6"/>
      <c r="HMU90" s="6"/>
      <c r="HMV90" s="6"/>
      <c r="HMW90" s="6"/>
      <c r="HMX90" s="6"/>
      <c r="HMY90" s="6"/>
      <c r="HMZ90" s="6"/>
      <c r="HNA90" s="6"/>
      <c r="HNB90" s="6"/>
      <c r="HNC90" s="6"/>
      <c r="HND90" s="6"/>
      <c r="HNE90" s="6"/>
      <c r="HNF90" s="6"/>
      <c r="HNG90" s="6"/>
      <c r="HNH90" s="6"/>
      <c r="HNI90" s="6"/>
      <c r="HNJ90" s="6"/>
      <c r="HNK90" s="6"/>
      <c r="HNL90" s="6"/>
      <c r="HNM90" s="6"/>
      <c r="HNN90" s="6"/>
      <c r="HNO90" s="6"/>
      <c r="HNP90" s="6"/>
      <c r="HNQ90" s="6"/>
      <c r="HNR90" s="6"/>
      <c r="HNS90" s="6"/>
      <c r="HNT90" s="6"/>
      <c r="HNU90" s="6"/>
      <c r="HNV90" s="6"/>
      <c r="HNW90" s="6"/>
      <c r="HNX90" s="6"/>
      <c r="HNY90" s="6"/>
      <c r="HNZ90" s="6"/>
      <c r="HOA90" s="6"/>
      <c r="HOB90" s="6"/>
      <c r="HOC90" s="6"/>
      <c r="HOD90" s="6"/>
      <c r="HOE90" s="6"/>
      <c r="HOF90" s="6"/>
      <c r="HOG90" s="6"/>
      <c r="HOH90" s="6"/>
      <c r="HOI90" s="6"/>
      <c r="HOJ90" s="6"/>
      <c r="HOK90" s="6"/>
      <c r="HOL90" s="6"/>
      <c r="HOM90" s="6"/>
      <c r="HON90" s="6"/>
      <c r="HOO90" s="6"/>
      <c r="HOP90" s="6"/>
      <c r="HOQ90" s="6"/>
      <c r="HOR90" s="6"/>
      <c r="HOS90" s="6"/>
      <c r="HOT90" s="6"/>
      <c r="HOU90" s="6"/>
      <c r="HOV90" s="6"/>
      <c r="HOW90" s="6"/>
      <c r="HOX90" s="6"/>
      <c r="HOY90" s="6"/>
      <c r="HOZ90" s="6"/>
      <c r="HPA90" s="6"/>
      <c r="HPB90" s="6"/>
      <c r="HPC90" s="6"/>
      <c r="HPD90" s="6"/>
      <c r="HPE90" s="6"/>
      <c r="HPF90" s="6"/>
      <c r="HPG90" s="6"/>
      <c r="HPH90" s="6"/>
      <c r="HPI90" s="6"/>
      <c r="HPJ90" s="6"/>
      <c r="HPK90" s="6"/>
      <c r="HPL90" s="6"/>
      <c r="HPM90" s="6"/>
      <c r="HPN90" s="6"/>
      <c r="HPO90" s="6"/>
      <c r="HPP90" s="6"/>
      <c r="HPQ90" s="6"/>
      <c r="HPR90" s="6"/>
      <c r="HPS90" s="6"/>
      <c r="HPT90" s="6"/>
      <c r="HPU90" s="6"/>
      <c r="HPV90" s="6"/>
      <c r="HPW90" s="6"/>
      <c r="HPX90" s="6"/>
      <c r="HPY90" s="6"/>
      <c r="HPZ90" s="6"/>
      <c r="HQA90" s="6"/>
      <c r="HQB90" s="6"/>
      <c r="HQC90" s="6"/>
      <c r="HQD90" s="6"/>
      <c r="HQE90" s="6"/>
      <c r="HQF90" s="6"/>
      <c r="HQG90" s="6"/>
      <c r="HQH90" s="6"/>
      <c r="HQI90" s="6"/>
      <c r="HQJ90" s="6"/>
      <c r="HQK90" s="6"/>
      <c r="HQL90" s="6"/>
      <c r="HQM90" s="6"/>
      <c r="HQN90" s="6"/>
      <c r="HQO90" s="6"/>
      <c r="HQP90" s="6"/>
      <c r="HQQ90" s="6"/>
      <c r="HQR90" s="6"/>
      <c r="HQS90" s="6"/>
      <c r="HQT90" s="6"/>
      <c r="HQU90" s="6"/>
      <c r="HQV90" s="6"/>
      <c r="HQW90" s="6"/>
      <c r="HQX90" s="6"/>
      <c r="HQY90" s="6"/>
      <c r="HQZ90" s="6"/>
      <c r="HRA90" s="6"/>
      <c r="HRB90" s="6"/>
      <c r="HRC90" s="6"/>
      <c r="HRD90" s="6"/>
      <c r="HRE90" s="6"/>
      <c r="HRF90" s="6"/>
      <c r="HRG90" s="6"/>
      <c r="HRH90" s="6"/>
      <c r="HRI90" s="6"/>
      <c r="HRJ90" s="6"/>
      <c r="HRK90" s="6"/>
      <c r="HRL90" s="6"/>
      <c r="HRM90" s="6"/>
      <c r="HRN90" s="6"/>
      <c r="HRO90" s="6"/>
      <c r="HRP90" s="6"/>
      <c r="HRQ90" s="6"/>
      <c r="HRR90" s="6"/>
      <c r="HRS90" s="6"/>
      <c r="HRT90" s="6"/>
      <c r="HRU90" s="6"/>
      <c r="HRV90" s="6"/>
      <c r="HRW90" s="6"/>
      <c r="HRX90" s="6"/>
      <c r="HRY90" s="6"/>
      <c r="HRZ90" s="6"/>
      <c r="HSA90" s="6"/>
      <c r="HSB90" s="6"/>
      <c r="HSC90" s="6"/>
      <c r="HSD90" s="6"/>
      <c r="HSE90" s="6"/>
      <c r="HSF90" s="6"/>
      <c r="HSG90" s="6"/>
      <c r="HSH90" s="6"/>
      <c r="HSI90" s="6"/>
      <c r="HSJ90" s="6"/>
      <c r="HSK90" s="6"/>
      <c r="HSL90" s="6"/>
      <c r="HSM90" s="6"/>
      <c r="HSN90" s="6"/>
      <c r="HSO90" s="6"/>
      <c r="HSP90" s="6"/>
      <c r="HSQ90" s="6"/>
      <c r="HSR90" s="6"/>
      <c r="HSS90" s="6"/>
      <c r="HST90" s="6"/>
      <c r="HSU90" s="6"/>
      <c r="HSV90" s="6"/>
      <c r="HSW90" s="6"/>
      <c r="HSX90" s="6"/>
      <c r="HSY90" s="6"/>
      <c r="HSZ90" s="6"/>
      <c r="HTA90" s="6"/>
      <c r="HTB90" s="6"/>
      <c r="HTC90" s="6"/>
      <c r="HTD90" s="6"/>
      <c r="HTE90" s="6"/>
      <c r="HTF90" s="6"/>
      <c r="HTG90" s="6"/>
      <c r="HTH90" s="6"/>
      <c r="HTI90" s="6"/>
      <c r="HTJ90" s="6"/>
      <c r="HTK90" s="6"/>
      <c r="HTL90" s="6"/>
      <c r="HTM90" s="6"/>
      <c r="HTN90" s="6"/>
      <c r="HTO90" s="6"/>
      <c r="HTP90" s="6"/>
      <c r="HTQ90" s="6"/>
      <c r="HTR90" s="6"/>
      <c r="HTS90" s="6"/>
      <c r="HTT90" s="6"/>
      <c r="HTU90" s="6"/>
      <c r="HTV90" s="6"/>
      <c r="HTW90" s="6"/>
      <c r="HTX90" s="6"/>
      <c r="HTY90" s="6"/>
      <c r="HTZ90" s="6"/>
      <c r="HUA90" s="6"/>
      <c r="HUB90" s="6"/>
      <c r="HUC90" s="6"/>
      <c r="HUD90" s="6"/>
      <c r="HUE90" s="6"/>
      <c r="HUF90" s="6"/>
      <c r="HUG90" s="6"/>
      <c r="HUH90" s="6"/>
      <c r="HUI90" s="6"/>
      <c r="HUJ90" s="6"/>
      <c r="HUK90" s="6"/>
      <c r="HUL90" s="6"/>
      <c r="HUM90" s="6"/>
      <c r="HUN90" s="6"/>
      <c r="HUO90" s="6"/>
      <c r="HUP90" s="6"/>
      <c r="HUQ90" s="6"/>
      <c r="HUR90" s="6"/>
      <c r="HUS90" s="6"/>
      <c r="HUT90" s="6"/>
      <c r="HUU90" s="6"/>
      <c r="HUV90" s="6"/>
      <c r="HUW90" s="6"/>
      <c r="HUX90" s="6"/>
      <c r="HUY90" s="6"/>
      <c r="HUZ90" s="6"/>
      <c r="HVA90" s="6"/>
      <c r="HVB90" s="6"/>
      <c r="HVC90" s="6"/>
      <c r="HVD90" s="6"/>
      <c r="HVE90" s="6"/>
      <c r="HVF90" s="6"/>
      <c r="HVG90" s="6"/>
      <c r="HVH90" s="6"/>
      <c r="HVI90" s="6"/>
      <c r="HVJ90" s="6"/>
      <c r="HVK90" s="6"/>
      <c r="HVL90" s="6"/>
      <c r="HVM90" s="6"/>
      <c r="HVN90" s="6"/>
      <c r="HVO90" s="6"/>
      <c r="HVP90" s="6"/>
      <c r="HVQ90" s="6"/>
      <c r="HVR90" s="6"/>
      <c r="HVS90" s="6"/>
      <c r="HVT90" s="6"/>
      <c r="HVU90" s="6"/>
      <c r="HVV90" s="6"/>
      <c r="HVW90" s="6"/>
      <c r="HVX90" s="6"/>
      <c r="HVY90" s="6"/>
      <c r="HVZ90" s="6"/>
      <c r="HWA90" s="6"/>
      <c r="HWB90" s="6"/>
      <c r="HWC90" s="6"/>
      <c r="HWD90" s="6"/>
      <c r="HWE90" s="6"/>
      <c r="HWF90" s="6"/>
      <c r="HWG90" s="6"/>
      <c r="HWH90" s="6"/>
      <c r="HWI90" s="6"/>
      <c r="HWJ90" s="6"/>
      <c r="HWK90" s="6"/>
      <c r="HWL90" s="6"/>
      <c r="HWM90" s="6"/>
      <c r="HWN90" s="6"/>
      <c r="HWO90" s="6"/>
      <c r="HWP90" s="6"/>
      <c r="HWQ90" s="6"/>
      <c r="HWR90" s="6"/>
      <c r="HWS90" s="6"/>
      <c r="HWT90" s="6"/>
      <c r="HWU90" s="6"/>
      <c r="HWV90" s="6"/>
      <c r="HWW90" s="6"/>
      <c r="HWX90" s="6"/>
      <c r="HWY90" s="6"/>
      <c r="HWZ90" s="6"/>
      <c r="HXA90" s="6"/>
      <c r="HXB90" s="6"/>
      <c r="HXC90" s="6"/>
      <c r="HXD90" s="6"/>
      <c r="HXE90" s="6"/>
      <c r="HXF90" s="6"/>
      <c r="HXG90" s="6"/>
      <c r="HXH90" s="6"/>
      <c r="HXI90" s="6"/>
      <c r="HXJ90" s="6"/>
      <c r="HXK90" s="6"/>
      <c r="HXL90" s="6"/>
      <c r="HXM90" s="6"/>
      <c r="HXN90" s="6"/>
      <c r="HXO90" s="6"/>
      <c r="HXP90" s="6"/>
      <c r="HXQ90" s="6"/>
      <c r="HXR90" s="6"/>
      <c r="HXS90" s="6"/>
      <c r="HXT90" s="6"/>
      <c r="HXU90" s="6"/>
      <c r="HXV90" s="6"/>
      <c r="HXW90" s="6"/>
      <c r="HXX90" s="6"/>
      <c r="HXY90" s="6"/>
      <c r="HXZ90" s="6"/>
      <c r="HYA90" s="6"/>
      <c r="HYB90" s="6"/>
      <c r="HYC90" s="6"/>
      <c r="HYD90" s="6"/>
      <c r="HYE90" s="6"/>
      <c r="HYF90" s="6"/>
      <c r="HYG90" s="6"/>
      <c r="HYH90" s="6"/>
      <c r="HYI90" s="6"/>
      <c r="HYJ90" s="6"/>
      <c r="HYK90" s="6"/>
      <c r="HYL90" s="6"/>
      <c r="HYM90" s="6"/>
      <c r="HYN90" s="6"/>
      <c r="HYO90" s="6"/>
      <c r="HYP90" s="6"/>
      <c r="HYQ90" s="6"/>
      <c r="HYR90" s="6"/>
      <c r="HYS90" s="6"/>
      <c r="HYT90" s="6"/>
      <c r="HYU90" s="6"/>
      <c r="HYV90" s="6"/>
      <c r="HYW90" s="6"/>
      <c r="HYX90" s="6"/>
      <c r="HYY90" s="6"/>
      <c r="HYZ90" s="6"/>
      <c r="HZA90" s="6"/>
      <c r="HZB90" s="6"/>
      <c r="HZC90" s="6"/>
      <c r="HZD90" s="6"/>
      <c r="HZE90" s="6"/>
      <c r="HZF90" s="6"/>
      <c r="HZG90" s="6"/>
      <c r="HZH90" s="6"/>
      <c r="HZI90" s="6"/>
      <c r="HZJ90" s="6"/>
      <c r="HZK90" s="6"/>
      <c r="HZL90" s="6"/>
      <c r="HZM90" s="6"/>
      <c r="HZN90" s="6"/>
      <c r="HZO90" s="6"/>
      <c r="HZP90" s="6"/>
      <c r="HZQ90" s="6"/>
      <c r="HZR90" s="6"/>
      <c r="HZS90" s="6"/>
      <c r="HZT90" s="6"/>
      <c r="HZU90" s="6"/>
      <c r="HZV90" s="6"/>
      <c r="HZW90" s="6"/>
      <c r="HZX90" s="6"/>
      <c r="HZY90" s="6"/>
      <c r="HZZ90" s="6"/>
      <c r="IAA90" s="6"/>
      <c r="IAB90" s="6"/>
      <c r="IAC90" s="6"/>
      <c r="IAD90" s="6"/>
      <c r="IAE90" s="6"/>
      <c r="IAF90" s="6"/>
      <c r="IAG90" s="6"/>
      <c r="IAH90" s="6"/>
      <c r="IAI90" s="6"/>
      <c r="IAJ90" s="6"/>
      <c r="IAK90" s="6"/>
      <c r="IAL90" s="6"/>
      <c r="IAM90" s="6"/>
      <c r="IAN90" s="6"/>
      <c r="IAO90" s="6"/>
      <c r="IAP90" s="6"/>
      <c r="IAQ90" s="6"/>
      <c r="IAR90" s="6"/>
      <c r="IAS90" s="6"/>
      <c r="IAT90" s="6"/>
      <c r="IAU90" s="6"/>
      <c r="IAV90" s="6"/>
      <c r="IAW90" s="6"/>
      <c r="IAX90" s="6"/>
      <c r="IAY90" s="6"/>
      <c r="IAZ90" s="6"/>
      <c r="IBA90" s="6"/>
      <c r="IBB90" s="6"/>
      <c r="IBC90" s="6"/>
      <c r="IBD90" s="6"/>
      <c r="IBE90" s="6"/>
      <c r="IBF90" s="6"/>
      <c r="IBG90" s="6"/>
      <c r="IBH90" s="6"/>
      <c r="IBI90" s="6"/>
      <c r="IBJ90" s="6"/>
      <c r="IBK90" s="6"/>
      <c r="IBL90" s="6"/>
      <c r="IBM90" s="6"/>
      <c r="IBN90" s="6"/>
      <c r="IBO90" s="6"/>
      <c r="IBP90" s="6"/>
      <c r="IBQ90" s="6"/>
      <c r="IBR90" s="6"/>
      <c r="IBS90" s="6"/>
      <c r="IBT90" s="6"/>
      <c r="IBU90" s="6"/>
      <c r="IBV90" s="6"/>
      <c r="IBW90" s="6"/>
      <c r="IBX90" s="6"/>
      <c r="IBY90" s="6"/>
      <c r="IBZ90" s="6"/>
      <c r="ICA90" s="6"/>
      <c r="ICB90" s="6"/>
      <c r="ICC90" s="6"/>
      <c r="ICD90" s="6"/>
      <c r="ICE90" s="6"/>
      <c r="ICF90" s="6"/>
      <c r="ICG90" s="6"/>
      <c r="ICH90" s="6"/>
      <c r="ICI90" s="6"/>
      <c r="ICJ90" s="6"/>
      <c r="ICK90" s="6"/>
      <c r="ICL90" s="6"/>
      <c r="ICM90" s="6"/>
      <c r="ICN90" s="6"/>
      <c r="ICO90" s="6"/>
      <c r="ICP90" s="6"/>
      <c r="ICQ90" s="6"/>
      <c r="ICR90" s="6"/>
      <c r="ICS90" s="6"/>
      <c r="ICT90" s="6"/>
      <c r="ICU90" s="6"/>
      <c r="ICV90" s="6"/>
      <c r="ICW90" s="6"/>
      <c r="ICX90" s="6"/>
      <c r="ICY90" s="6"/>
      <c r="ICZ90" s="6"/>
      <c r="IDA90" s="6"/>
      <c r="IDB90" s="6"/>
      <c r="IDC90" s="6"/>
      <c r="IDD90" s="6"/>
      <c r="IDE90" s="6"/>
      <c r="IDF90" s="6"/>
      <c r="IDG90" s="6"/>
      <c r="IDH90" s="6"/>
      <c r="IDI90" s="6"/>
      <c r="IDJ90" s="6"/>
      <c r="IDK90" s="6"/>
      <c r="IDL90" s="6"/>
      <c r="IDM90" s="6"/>
      <c r="IDN90" s="6"/>
      <c r="IDO90" s="6"/>
      <c r="IDP90" s="6"/>
      <c r="IDQ90" s="6"/>
      <c r="IDR90" s="6"/>
      <c r="IDS90" s="6"/>
      <c r="IDT90" s="6"/>
      <c r="IDU90" s="6"/>
      <c r="IDV90" s="6"/>
      <c r="IDW90" s="6"/>
      <c r="IDX90" s="6"/>
      <c r="IDY90" s="6"/>
      <c r="IDZ90" s="6"/>
      <c r="IEA90" s="6"/>
      <c r="IEB90" s="6"/>
      <c r="IEC90" s="6"/>
      <c r="IED90" s="6"/>
      <c r="IEE90" s="6"/>
      <c r="IEF90" s="6"/>
      <c r="IEG90" s="6"/>
      <c r="IEH90" s="6"/>
      <c r="IEI90" s="6"/>
      <c r="IEJ90" s="6"/>
      <c r="IEK90" s="6"/>
      <c r="IEL90" s="6"/>
      <c r="IEM90" s="6"/>
      <c r="IEN90" s="6"/>
      <c r="IEO90" s="6"/>
      <c r="IEP90" s="6"/>
      <c r="IEQ90" s="6"/>
      <c r="IER90" s="6"/>
      <c r="IES90" s="6"/>
      <c r="IET90" s="6"/>
      <c r="IEU90" s="6"/>
      <c r="IEV90" s="6"/>
      <c r="IEW90" s="6"/>
      <c r="IEX90" s="6"/>
      <c r="IEY90" s="6"/>
      <c r="IEZ90" s="6"/>
      <c r="IFA90" s="6"/>
      <c r="IFB90" s="6"/>
      <c r="IFC90" s="6"/>
      <c r="IFD90" s="6"/>
      <c r="IFE90" s="6"/>
      <c r="IFF90" s="6"/>
      <c r="IFG90" s="6"/>
      <c r="IFH90" s="6"/>
      <c r="IFI90" s="6"/>
      <c r="IFJ90" s="6"/>
      <c r="IFK90" s="6"/>
      <c r="IFL90" s="6"/>
      <c r="IFM90" s="6"/>
      <c r="IFN90" s="6"/>
      <c r="IFO90" s="6"/>
      <c r="IFP90" s="6"/>
      <c r="IFQ90" s="6"/>
      <c r="IFR90" s="6"/>
      <c r="IFS90" s="6"/>
      <c r="IFT90" s="6"/>
      <c r="IFU90" s="6"/>
      <c r="IFV90" s="6"/>
      <c r="IFW90" s="6"/>
      <c r="IFX90" s="6"/>
      <c r="IFY90" s="6"/>
      <c r="IFZ90" s="6"/>
      <c r="IGA90" s="6"/>
      <c r="IGB90" s="6"/>
      <c r="IGC90" s="6"/>
      <c r="IGD90" s="6"/>
      <c r="IGE90" s="6"/>
      <c r="IGF90" s="6"/>
      <c r="IGG90" s="6"/>
      <c r="IGH90" s="6"/>
      <c r="IGI90" s="6"/>
      <c r="IGJ90" s="6"/>
      <c r="IGK90" s="6"/>
      <c r="IGL90" s="6"/>
      <c r="IGM90" s="6"/>
      <c r="IGN90" s="6"/>
      <c r="IGO90" s="6"/>
      <c r="IGP90" s="6"/>
      <c r="IGQ90" s="6"/>
      <c r="IGR90" s="6"/>
      <c r="IGS90" s="6"/>
      <c r="IGT90" s="6"/>
      <c r="IGU90" s="6"/>
      <c r="IGV90" s="6"/>
      <c r="IGW90" s="6"/>
      <c r="IGX90" s="6"/>
      <c r="IGY90" s="6"/>
      <c r="IGZ90" s="6"/>
      <c r="IHA90" s="6"/>
      <c r="IHB90" s="6"/>
      <c r="IHC90" s="6"/>
      <c r="IHD90" s="6"/>
      <c r="IHE90" s="6"/>
      <c r="IHF90" s="6"/>
      <c r="IHG90" s="6"/>
      <c r="IHH90" s="6"/>
      <c r="IHI90" s="6"/>
      <c r="IHJ90" s="6"/>
      <c r="IHK90" s="6"/>
      <c r="IHL90" s="6"/>
      <c r="IHM90" s="6"/>
      <c r="IHN90" s="6"/>
      <c r="IHO90" s="6"/>
      <c r="IHP90" s="6"/>
      <c r="IHQ90" s="6"/>
      <c r="IHR90" s="6"/>
      <c r="IHS90" s="6"/>
      <c r="IHT90" s="6"/>
      <c r="IHU90" s="6"/>
      <c r="IHV90" s="6"/>
      <c r="IHW90" s="6"/>
      <c r="IHX90" s="6"/>
      <c r="IHY90" s="6"/>
      <c r="IHZ90" s="6"/>
      <c r="IIA90" s="6"/>
      <c r="IIB90" s="6"/>
      <c r="IIC90" s="6"/>
      <c r="IID90" s="6"/>
      <c r="IIE90" s="6"/>
      <c r="IIF90" s="6"/>
      <c r="IIG90" s="6"/>
      <c r="IIH90" s="6"/>
      <c r="III90" s="6"/>
      <c r="IIJ90" s="6"/>
      <c r="IIK90" s="6"/>
      <c r="IIL90" s="6"/>
      <c r="IIM90" s="6"/>
      <c r="IIN90" s="6"/>
      <c r="IIO90" s="6"/>
      <c r="IIP90" s="6"/>
      <c r="IIQ90" s="6"/>
      <c r="IIR90" s="6"/>
      <c r="IIS90" s="6"/>
      <c r="IIT90" s="6"/>
      <c r="IIU90" s="6"/>
      <c r="IIV90" s="6"/>
      <c r="IIW90" s="6"/>
      <c r="IIX90" s="6"/>
      <c r="IIY90" s="6"/>
      <c r="IIZ90" s="6"/>
      <c r="IJA90" s="6"/>
      <c r="IJB90" s="6"/>
      <c r="IJC90" s="6"/>
      <c r="IJD90" s="6"/>
      <c r="IJE90" s="6"/>
      <c r="IJF90" s="6"/>
      <c r="IJG90" s="6"/>
      <c r="IJH90" s="6"/>
      <c r="IJI90" s="6"/>
      <c r="IJJ90" s="6"/>
      <c r="IJK90" s="6"/>
      <c r="IJL90" s="6"/>
      <c r="IJM90" s="6"/>
      <c r="IJN90" s="6"/>
      <c r="IJO90" s="6"/>
      <c r="IJP90" s="6"/>
      <c r="IJQ90" s="6"/>
      <c r="IJR90" s="6"/>
      <c r="IJS90" s="6"/>
      <c r="IJT90" s="6"/>
      <c r="IJU90" s="6"/>
      <c r="IJV90" s="6"/>
      <c r="IJW90" s="6"/>
      <c r="IJX90" s="6"/>
      <c r="IJY90" s="6"/>
      <c r="IJZ90" s="6"/>
      <c r="IKA90" s="6"/>
      <c r="IKB90" s="6"/>
      <c r="IKC90" s="6"/>
      <c r="IKD90" s="6"/>
      <c r="IKE90" s="6"/>
      <c r="IKF90" s="6"/>
      <c r="IKG90" s="6"/>
      <c r="IKH90" s="6"/>
      <c r="IKI90" s="6"/>
      <c r="IKJ90" s="6"/>
      <c r="IKK90" s="6"/>
      <c r="IKL90" s="6"/>
      <c r="IKM90" s="6"/>
      <c r="IKN90" s="6"/>
      <c r="IKO90" s="6"/>
      <c r="IKP90" s="6"/>
      <c r="IKQ90" s="6"/>
      <c r="IKR90" s="6"/>
      <c r="IKS90" s="6"/>
      <c r="IKT90" s="6"/>
      <c r="IKU90" s="6"/>
      <c r="IKV90" s="6"/>
      <c r="IKW90" s="6"/>
      <c r="IKX90" s="6"/>
      <c r="IKY90" s="6"/>
      <c r="IKZ90" s="6"/>
      <c r="ILA90" s="6"/>
      <c r="ILB90" s="6"/>
      <c r="ILC90" s="6"/>
      <c r="ILD90" s="6"/>
      <c r="ILE90" s="6"/>
      <c r="ILF90" s="6"/>
      <c r="ILG90" s="6"/>
      <c r="ILH90" s="6"/>
      <c r="ILI90" s="6"/>
      <c r="ILJ90" s="6"/>
      <c r="ILK90" s="6"/>
      <c r="ILL90" s="6"/>
      <c r="ILM90" s="6"/>
      <c r="ILN90" s="6"/>
      <c r="ILO90" s="6"/>
      <c r="ILP90" s="6"/>
      <c r="ILQ90" s="6"/>
      <c r="ILR90" s="6"/>
      <c r="ILS90" s="6"/>
      <c r="ILT90" s="6"/>
      <c r="ILU90" s="6"/>
      <c r="ILV90" s="6"/>
      <c r="ILW90" s="6"/>
      <c r="ILX90" s="6"/>
      <c r="ILY90" s="6"/>
      <c r="ILZ90" s="6"/>
      <c r="IMA90" s="6"/>
      <c r="IMB90" s="6"/>
      <c r="IMC90" s="6"/>
      <c r="IMD90" s="6"/>
      <c r="IME90" s="6"/>
      <c r="IMF90" s="6"/>
      <c r="IMG90" s="6"/>
      <c r="IMH90" s="6"/>
      <c r="IMI90" s="6"/>
      <c r="IMJ90" s="6"/>
      <c r="IMK90" s="6"/>
      <c r="IML90" s="6"/>
      <c r="IMM90" s="6"/>
      <c r="IMN90" s="6"/>
      <c r="IMO90" s="6"/>
      <c r="IMP90" s="6"/>
      <c r="IMQ90" s="6"/>
      <c r="IMR90" s="6"/>
      <c r="IMS90" s="6"/>
      <c r="IMT90" s="6"/>
      <c r="IMU90" s="6"/>
      <c r="IMV90" s="6"/>
      <c r="IMW90" s="6"/>
      <c r="IMX90" s="6"/>
      <c r="IMY90" s="6"/>
      <c r="IMZ90" s="6"/>
      <c r="INA90" s="6"/>
      <c r="INB90" s="6"/>
      <c r="INC90" s="6"/>
      <c r="IND90" s="6"/>
      <c r="INE90" s="6"/>
      <c r="INF90" s="6"/>
      <c r="ING90" s="6"/>
      <c r="INH90" s="6"/>
      <c r="INI90" s="6"/>
      <c r="INJ90" s="6"/>
      <c r="INK90" s="6"/>
      <c r="INL90" s="6"/>
      <c r="INM90" s="6"/>
      <c r="INN90" s="6"/>
      <c r="INO90" s="6"/>
      <c r="INP90" s="6"/>
      <c r="INQ90" s="6"/>
      <c r="INR90" s="6"/>
      <c r="INS90" s="6"/>
      <c r="INT90" s="6"/>
      <c r="INU90" s="6"/>
      <c r="INV90" s="6"/>
      <c r="INW90" s="6"/>
      <c r="INX90" s="6"/>
      <c r="INY90" s="6"/>
      <c r="INZ90" s="6"/>
      <c r="IOA90" s="6"/>
      <c r="IOB90" s="6"/>
      <c r="IOC90" s="6"/>
      <c r="IOD90" s="6"/>
      <c r="IOE90" s="6"/>
      <c r="IOF90" s="6"/>
      <c r="IOG90" s="6"/>
      <c r="IOH90" s="6"/>
      <c r="IOI90" s="6"/>
      <c r="IOJ90" s="6"/>
      <c r="IOK90" s="6"/>
      <c r="IOL90" s="6"/>
      <c r="IOM90" s="6"/>
      <c r="ION90" s="6"/>
      <c r="IOO90" s="6"/>
      <c r="IOP90" s="6"/>
      <c r="IOQ90" s="6"/>
      <c r="IOR90" s="6"/>
      <c r="IOS90" s="6"/>
      <c r="IOT90" s="6"/>
      <c r="IOU90" s="6"/>
      <c r="IOV90" s="6"/>
      <c r="IOW90" s="6"/>
      <c r="IOX90" s="6"/>
      <c r="IOY90" s="6"/>
      <c r="IOZ90" s="6"/>
      <c r="IPA90" s="6"/>
      <c r="IPB90" s="6"/>
      <c r="IPC90" s="6"/>
      <c r="IPD90" s="6"/>
      <c r="IPE90" s="6"/>
      <c r="IPF90" s="6"/>
      <c r="IPG90" s="6"/>
      <c r="IPH90" s="6"/>
      <c r="IPI90" s="6"/>
      <c r="IPJ90" s="6"/>
      <c r="IPK90" s="6"/>
      <c r="IPL90" s="6"/>
      <c r="IPM90" s="6"/>
      <c r="IPN90" s="6"/>
      <c r="IPO90" s="6"/>
      <c r="IPP90" s="6"/>
      <c r="IPQ90" s="6"/>
      <c r="IPR90" s="6"/>
      <c r="IPS90" s="6"/>
      <c r="IPT90" s="6"/>
      <c r="IPU90" s="6"/>
      <c r="IPV90" s="6"/>
      <c r="IPW90" s="6"/>
      <c r="IPX90" s="6"/>
      <c r="IPY90" s="6"/>
      <c r="IPZ90" s="6"/>
      <c r="IQA90" s="6"/>
      <c r="IQB90" s="6"/>
      <c r="IQC90" s="6"/>
      <c r="IQD90" s="6"/>
      <c r="IQE90" s="6"/>
      <c r="IQF90" s="6"/>
      <c r="IQG90" s="6"/>
      <c r="IQH90" s="6"/>
      <c r="IQI90" s="6"/>
      <c r="IQJ90" s="6"/>
      <c r="IQK90" s="6"/>
      <c r="IQL90" s="6"/>
      <c r="IQM90" s="6"/>
      <c r="IQN90" s="6"/>
      <c r="IQO90" s="6"/>
      <c r="IQP90" s="6"/>
      <c r="IQQ90" s="6"/>
      <c r="IQR90" s="6"/>
      <c r="IQS90" s="6"/>
      <c r="IQT90" s="6"/>
      <c r="IQU90" s="6"/>
      <c r="IQV90" s="6"/>
      <c r="IQW90" s="6"/>
      <c r="IQX90" s="6"/>
      <c r="IQY90" s="6"/>
      <c r="IQZ90" s="6"/>
      <c r="IRA90" s="6"/>
      <c r="IRB90" s="6"/>
      <c r="IRC90" s="6"/>
      <c r="IRD90" s="6"/>
      <c r="IRE90" s="6"/>
      <c r="IRF90" s="6"/>
      <c r="IRG90" s="6"/>
      <c r="IRH90" s="6"/>
      <c r="IRI90" s="6"/>
      <c r="IRJ90" s="6"/>
      <c r="IRK90" s="6"/>
      <c r="IRL90" s="6"/>
      <c r="IRM90" s="6"/>
      <c r="IRN90" s="6"/>
      <c r="IRO90" s="6"/>
      <c r="IRP90" s="6"/>
      <c r="IRQ90" s="6"/>
      <c r="IRR90" s="6"/>
      <c r="IRS90" s="6"/>
      <c r="IRT90" s="6"/>
      <c r="IRU90" s="6"/>
      <c r="IRV90" s="6"/>
      <c r="IRW90" s="6"/>
      <c r="IRX90" s="6"/>
      <c r="IRY90" s="6"/>
      <c r="IRZ90" s="6"/>
      <c r="ISA90" s="6"/>
      <c r="ISB90" s="6"/>
      <c r="ISC90" s="6"/>
      <c r="ISD90" s="6"/>
      <c r="ISE90" s="6"/>
      <c r="ISF90" s="6"/>
      <c r="ISG90" s="6"/>
      <c r="ISH90" s="6"/>
      <c r="ISI90" s="6"/>
      <c r="ISJ90" s="6"/>
      <c r="ISK90" s="6"/>
      <c r="ISL90" s="6"/>
      <c r="ISM90" s="6"/>
      <c r="ISN90" s="6"/>
      <c r="ISO90" s="6"/>
      <c r="ISP90" s="6"/>
      <c r="ISQ90" s="6"/>
      <c r="ISR90" s="6"/>
      <c r="ISS90" s="6"/>
      <c r="IST90" s="6"/>
      <c r="ISU90" s="6"/>
      <c r="ISV90" s="6"/>
      <c r="ISW90" s="6"/>
      <c r="ISX90" s="6"/>
      <c r="ISY90" s="6"/>
      <c r="ISZ90" s="6"/>
      <c r="ITA90" s="6"/>
      <c r="ITB90" s="6"/>
      <c r="ITC90" s="6"/>
      <c r="ITD90" s="6"/>
      <c r="ITE90" s="6"/>
      <c r="ITF90" s="6"/>
      <c r="ITG90" s="6"/>
      <c r="ITH90" s="6"/>
      <c r="ITI90" s="6"/>
      <c r="ITJ90" s="6"/>
      <c r="ITK90" s="6"/>
      <c r="ITL90" s="6"/>
      <c r="ITM90" s="6"/>
      <c r="ITN90" s="6"/>
      <c r="ITO90" s="6"/>
      <c r="ITP90" s="6"/>
      <c r="ITQ90" s="6"/>
      <c r="ITR90" s="6"/>
      <c r="ITS90" s="6"/>
      <c r="ITT90" s="6"/>
      <c r="ITU90" s="6"/>
      <c r="ITV90" s="6"/>
      <c r="ITW90" s="6"/>
      <c r="ITX90" s="6"/>
      <c r="ITY90" s="6"/>
      <c r="ITZ90" s="6"/>
      <c r="IUA90" s="6"/>
      <c r="IUB90" s="6"/>
      <c r="IUC90" s="6"/>
      <c r="IUD90" s="6"/>
      <c r="IUE90" s="6"/>
      <c r="IUF90" s="6"/>
      <c r="IUG90" s="6"/>
      <c r="IUH90" s="6"/>
      <c r="IUI90" s="6"/>
      <c r="IUJ90" s="6"/>
      <c r="IUK90" s="6"/>
      <c r="IUL90" s="6"/>
      <c r="IUM90" s="6"/>
      <c r="IUN90" s="6"/>
      <c r="IUO90" s="6"/>
      <c r="IUP90" s="6"/>
      <c r="IUQ90" s="6"/>
      <c r="IUR90" s="6"/>
      <c r="IUS90" s="6"/>
      <c r="IUT90" s="6"/>
      <c r="IUU90" s="6"/>
      <c r="IUV90" s="6"/>
      <c r="IUW90" s="6"/>
      <c r="IUX90" s="6"/>
      <c r="IUY90" s="6"/>
      <c r="IUZ90" s="6"/>
      <c r="IVA90" s="6"/>
      <c r="IVB90" s="6"/>
      <c r="IVC90" s="6"/>
      <c r="IVD90" s="6"/>
      <c r="IVE90" s="6"/>
      <c r="IVF90" s="6"/>
      <c r="IVG90" s="6"/>
      <c r="IVH90" s="6"/>
      <c r="IVI90" s="6"/>
      <c r="IVJ90" s="6"/>
      <c r="IVK90" s="6"/>
      <c r="IVL90" s="6"/>
      <c r="IVM90" s="6"/>
      <c r="IVN90" s="6"/>
      <c r="IVO90" s="6"/>
      <c r="IVP90" s="6"/>
      <c r="IVQ90" s="6"/>
      <c r="IVR90" s="6"/>
      <c r="IVS90" s="6"/>
      <c r="IVT90" s="6"/>
      <c r="IVU90" s="6"/>
      <c r="IVV90" s="6"/>
      <c r="IVW90" s="6"/>
      <c r="IVX90" s="6"/>
      <c r="IVY90" s="6"/>
      <c r="IVZ90" s="6"/>
      <c r="IWA90" s="6"/>
      <c r="IWB90" s="6"/>
      <c r="IWC90" s="6"/>
      <c r="IWD90" s="6"/>
      <c r="IWE90" s="6"/>
      <c r="IWF90" s="6"/>
      <c r="IWG90" s="6"/>
      <c r="IWH90" s="6"/>
      <c r="IWI90" s="6"/>
      <c r="IWJ90" s="6"/>
      <c r="IWK90" s="6"/>
      <c r="IWL90" s="6"/>
      <c r="IWM90" s="6"/>
      <c r="IWN90" s="6"/>
      <c r="IWO90" s="6"/>
      <c r="IWP90" s="6"/>
      <c r="IWQ90" s="6"/>
      <c r="IWR90" s="6"/>
      <c r="IWS90" s="6"/>
      <c r="IWT90" s="6"/>
      <c r="IWU90" s="6"/>
      <c r="IWV90" s="6"/>
      <c r="IWW90" s="6"/>
      <c r="IWX90" s="6"/>
      <c r="IWY90" s="6"/>
      <c r="IWZ90" s="6"/>
      <c r="IXA90" s="6"/>
      <c r="IXB90" s="6"/>
      <c r="IXC90" s="6"/>
      <c r="IXD90" s="6"/>
      <c r="IXE90" s="6"/>
      <c r="IXF90" s="6"/>
      <c r="IXG90" s="6"/>
      <c r="IXH90" s="6"/>
      <c r="IXI90" s="6"/>
      <c r="IXJ90" s="6"/>
      <c r="IXK90" s="6"/>
      <c r="IXL90" s="6"/>
      <c r="IXM90" s="6"/>
      <c r="IXN90" s="6"/>
      <c r="IXO90" s="6"/>
      <c r="IXP90" s="6"/>
      <c r="IXQ90" s="6"/>
      <c r="IXR90" s="6"/>
      <c r="IXS90" s="6"/>
      <c r="IXT90" s="6"/>
      <c r="IXU90" s="6"/>
      <c r="IXV90" s="6"/>
      <c r="IXW90" s="6"/>
      <c r="IXX90" s="6"/>
      <c r="IXY90" s="6"/>
      <c r="IXZ90" s="6"/>
      <c r="IYA90" s="6"/>
      <c r="IYB90" s="6"/>
      <c r="IYC90" s="6"/>
      <c r="IYD90" s="6"/>
      <c r="IYE90" s="6"/>
      <c r="IYF90" s="6"/>
      <c r="IYG90" s="6"/>
      <c r="IYH90" s="6"/>
      <c r="IYI90" s="6"/>
      <c r="IYJ90" s="6"/>
      <c r="IYK90" s="6"/>
      <c r="IYL90" s="6"/>
      <c r="IYM90" s="6"/>
      <c r="IYN90" s="6"/>
      <c r="IYO90" s="6"/>
      <c r="IYP90" s="6"/>
      <c r="IYQ90" s="6"/>
      <c r="IYR90" s="6"/>
      <c r="IYS90" s="6"/>
      <c r="IYT90" s="6"/>
      <c r="IYU90" s="6"/>
      <c r="IYV90" s="6"/>
      <c r="IYW90" s="6"/>
      <c r="IYX90" s="6"/>
      <c r="IYY90" s="6"/>
      <c r="IYZ90" s="6"/>
      <c r="IZA90" s="6"/>
      <c r="IZB90" s="6"/>
      <c r="IZC90" s="6"/>
      <c r="IZD90" s="6"/>
      <c r="IZE90" s="6"/>
      <c r="IZF90" s="6"/>
      <c r="IZG90" s="6"/>
      <c r="IZH90" s="6"/>
      <c r="IZI90" s="6"/>
      <c r="IZJ90" s="6"/>
      <c r="IZK90" s="6"/>
      <c r="IZL90" s="6"/>
      <c r="IZM90" s="6"/>
      <c r="IZN90" s="6"/>
      <c r="IZO90" s="6"/>
      <c r="IZP90" s="6"/>
      <c r="IZQ90" s="6"/>
      <c r="IZR90" s="6"/>
      <c r="IZS90" s="6"/>
      <c r="IZT90" s="6"/>
      <c r="IZU90" s="6"/>
      <c r="IZV90" s="6"/>
      <c r="IZW90" s="6"/>
      <c r="IZX90" s="6"/>
      <c r="IZY90" s="6"/>
      <c r="IZZ90" s="6"/>
      <c r="JAA90" s="6"/>
      <c r="JAB90" s="6"/>
      <c r="JAC90" s="6"/>
      <c r="JAD90" s="6"/>
      <c r="JAE90" s="6"/>
      <c r="JAF90" s="6"/>
      <c r="JAG90" s="6"/>
      <c r="JAH90" s="6"/>
      <c r="JAI90" s="6"/>
      <c r="JAJ90" s="6"/>
      <c r="JAK90" s="6"/>
      <c r="JAL90" s="6"/>
      <c r="JAM90" s="6"/>
      <c r="JAN90" s="6"/>
      <c r="JAO90" s="6"/>
      <c r="JAP90" s="6"/>
      <c r="JAQ90" s="6"/>
      <c r="JAR90" s="6"/>
      <c r="JAS90" s="6"/>
      <c r="JAT90" s="6"/>
      <c r="JAU90" s="6"/>
      <c r="JAV90" s="6"/>
      <c r="JAW90" s="6"/>
      <c r="JAX90" s="6"/>
      <c r="JAY90" s="6"/>
      <c r="JAZ90" s="6"/>
      <c r="JBA90" s="6"/>
      <c r="JBB90" s="6"/>
      <c r="JBC90" s="6"/>
      <c r="JBD90" s="6"/>
      <c r="JBE90" s="6"/>
      <c r="JBF90" s="6"/>
      <c r="JBG90" s="6"/>
      <c r="JBH90" s="6"/>
      <c r="JBI90" s="6"/>
      <c r="JBJ90" s="6"/>
      <c r="JBK90" s="6"/>
      <c r="JBL90" s="6"/>
      <c r="JBM90" s="6"/>
      <c r="JBN90" s="6"/>
      <c r="JBO90" s="6"/>
      <c r="JBP90" s="6"/>
      <c r="JBQ90" s="6"/>
      <c r="JBR90" s="6"/>
      <c r="JBS90" s="6"/>
      <c r="JBT90" s="6"/>
      <c r="JBU90" s="6"/>
      <c r="JBV90" s="6"/>
      <c r="JBW90" s="6"/>
      <c r="JBX90" s="6"/>
      <c r="JBY90" s="6"/>
      <c r="JBZ90" s="6"/>
      <c r="JCA90" s="6"/>
      <c r="JCB90" s="6"/>
      <c r="JCC90" s="6"/>
      <c r="JCD90" s="6"/>
      <c r="JCE90" s="6"/>
      <c r="JCF90" s="6"/>
      <c r="JCG90" s="6"/>
      <c r="JCH90" s="6"/>
      <c r="JCI90" s="6"/>
      <c r="JCJ90" s="6"/>
      <c r="JCK90" s="6"/>
      <c r="JCL90" s="6"/>
      <c r="JCM90" s="6"/>
      <c r="JCN90" s="6"/>
      <c r="JCO90" s="6"/>
      <c r="JCP90" s="6"/>
      <c r="JCQ90" s="6"/>
      <c r="JCR90" s="6"/>
      <c r="JCS90" s="6"/>
      <c r="JCT90" s="6"/>
      <c r="JCU90" s="6"/>
      <c r="JCV90" s="6"/>
      <c r="JCW90" s="6"/>
      <c r="JCX90" s="6"/>
      <c r="JCY90" s="6"/>
      <c r="JCZ90" s="6"/>
      <c r="JDA90" s="6"/>
      <c r="JDB90" s="6"/>
      <c r="JDC90" s="6"/>
      <c r="JDD90" s="6"/>
      <c r="JDE90" s="6"/>
      <c r="JDF90" s="6"/>
      <c r="JDG90" s="6"/>
      <c r="JDH90" s="6"/>
      <c r="JDI90" s="6"/>
      <c r="JDJ90" s="6"/>
      <c r="JDK90" s="6"/>
      <c r="JDL90" s="6"/>
      <c r="JDM90" s="6"/>
      <c r="JDN90" s="6"/>
      <c r="JDO90" s="6"/>
      <c r="JDP90" s="6"/>
      <c r="JDQ90" s="6"/>
      <c r="JDR90" s="6"/>
      <c r="JDS90" s="6"/>
      <c r="JDT90" s="6"/>
      <c r="JDU90" s="6"/>
      <c r="JDV90" s="6"/>
      <c r="JDW90" s="6"/>
      <c r="JDX90" s="6"/>
      <c r="JDY90" s="6"/>
      <c r="JDZ90" s="6"/>
      <c r="JEA90" s="6"/>
      <c r="JEB90" s="6"/>
      <c r="JEC90" s="6"/>
      <c r="JED90" s="6"/>
      <c r="JEE90" s="6"/>
      <c r="JEF90" s="6"/>
      <c r="JEG90" s="6"/>
      <c r="JEH90" s="6"/>
      <c r="JEI90" s="6"/>
      <c r="JEJ90" s="6"/>
      <c r="JEK90" s="6"/>
      <c r="JEL90" s="6"/>
      <c r="JEM90" s="6"/>
      <c r="JEN90" s="6"/>
      <c r="JEO90" s="6"/>
      <c r="JEP90" s="6"/>
      <c r="JEQ90" s="6"/>
      <c r="JER90" s="6"/>
      <c r="JES90" s="6"/>
      <c r="JET90" s="6"/>
      <c r="JEU90" s="6"/>
      <c r="JEV90" s="6"/>
      <c r="JEW90" s="6"/>
      <c r="JEX90" s="6"/>
      <c r="JEY90" s="6"/>
      <c r="JEZ90" s="6"/>
      <c r="JFA90" s="6"/>
      <c r="JFB90" s="6"/>
      <c r="JFC90" s="6"/>
      <c r="JFD90" s="6"/>
      <c r="JFE90" s="6"/>
      <c r="JFF90" s="6"/>
      <c r="JFG90" s="6"/>
      <c r="JFH90" s="6"/>
      <c r="JFI90" s="6"/>
      <c r="JFJ90" s="6"/>
      <c r="JFK90" s="6"/>
      <c r="JFL90" s="6"/>
      <c r="JFM90" s="6"/>
      <c r="JFN90" s="6"/>
      <c r="JFO90" s="6"/>
      <c r="JFP90" s="6"/>
      <c r="JFQ90" s="6"/>
      <c r="JFR90" s="6"/>
      <c r="JFS90" s="6"/>
      <c r="JFT90" s="6"/>
      <c r="JFU90" s="6"/>
      <c r="JFV90" s="6"/>
      <c r="JFW90" s="6"/>
      <c r="JFX90" s="6"/>
      <c r="JFY90" s="6"/>
      <c r="JFZ90" s="6"/>
      <c r="JGA90" s="6"/>
      <c r="JGB90" s="6"/>
      <c r="JGC90" s="6"/>
      <c r="JGD90" s="6"/>
      <c r="JGE90" s="6"/>
      <c r="JGF90" s="6"/>
      <c r="JGG90" s="6"/>
      <c r="JGH90" s="6"/>
      <c r="JGI90" s="6"/>
      <c r="JGJ90" s="6"/>
      <c r="JGK90" s="6"/>
      <c r="JGL90" s="6"/>
      <c r="JGM90" s="6"/>
      <c r="JGN90" s="6"/>
      <c r="JGO90" s="6"/>
      <c r="JGP90" s="6"/>
      <c r="JGQ90" s="6"/>
      <c r="JGR90" s="6"/>
      <c r="JGS90" s="6"/>
      <c r="JGT90" s="6"/>
      <c r="JGU90" s="6"/>
      <c r="JGV90" s="6"/>
      <c r="JGW90" s="6"/>
      <c r="JGX90" s="6"/>
      <c r="JGY90" s="6"/>
      <c r="JGZ90" s="6"/>
      <c r="JHA90" s="6"/>
      <c r="JHB90" s="6"/>
      <c r="JHC90" s="6"/>
      <c r="JHD90" s="6"/>
      <c r="JHE90" s="6"/>
      <c r="JHF90" s="6"/>
      <c r="JHG90" s="6"/>
      <c r="JHH90" s="6"/>
      <c r="JHI90" s="6"/>
      <c r="JHJ90" s="6"/>
      <c r="JHK90" s="6"/>
      <c r="JHL90" s="6"/>
      <c r="JHM90" s="6"/>
      <c r="JHN90" s="6"/>
      <c r="JHO90" s="6"/>
      <c r="JHP90" s="6"/>
      <c r="JHQ90" s="6"/>
      <c r="JHR90" s="6"/>
      <c r="JHS90" s="6"/>
      <c r="JHT90" s="6"/>
      <c r="JHU90" s="6"/>
      <c r="JHV90" s="6"/>
      <c r="JHW90" s="6"/>
      <c r="JHX90" s="6"/>
      <c r="JHY90" s="6"/>
      <c r="JHZ90" s="6"/>
      <c r="JIA90" s="6"/>
      <c r="JIB90" s="6"/>
      <c r="JIC90" s="6"/>
      <c r="JID90" s="6"/>
      <c r="JIE90" s="6"/>
      <c r="JIF90" s="6"/>
      <c r="JIG90" s="6"/>
      <c r="JIH90" s="6"/>
      <c r="JII90" s="6"/>
      <c r="JIJ90" s="6"/>
      <c r="JIK90" s="6"/>
      <c r="JIL90" s="6"/>
      <c r="JIM90" s="6"/>
      <c r="JIN90" s="6"/>
      <c r="JIO90" s="6"/>
      <c r="JIP90" s="6"/>
      <c r="JIQ90" s="6"/>
      <c r="JIR90" s="6"/>
      <c r="JIS90" s="6"/>
      <c r="JIT90" s="6"/>
      <c r="JIU90" s="6"/>
      <c r="JIV90" s="6"/>
      <c r="JIW90" s="6"/>
      <c r="JIX90" s="6"/>
      <c r="JIY90" s="6"/>
      <c r="JIZ90" s="6"/>
      <c r="JJA90" s="6"/>
      <c r="JJB90" s="6"/>
      <c r="JJC90" s="6"/>
      <c r="JJD90" s="6"/>
      <c r="JJE90" s="6"/>
      <c r="JJF90" s="6"/>
      <c r="JJG90" s="6"/>
      <c r="JJH90" s="6"/>
      <c r="JJI90" s="6"/>
      <c r="JJJ90" s="6"/>
      <c r="JJK90" s="6"/>
      <c r="JJL90" s="6"/>
      <c r="JJM90" s="6"/>
      <c r="JJN90" s="6"/>
      <c r="JJO90" s="6"/>
      <c r="JJP90" s="6"/>
      <c r="JJQ90" s="6"/>
      <c r="JJR90" s="6"/>
      <c r="JJS90" s="6"/>
      <c r="JJT90" s="6"/>
      <c r="JJU90" s="6"/>
      <c r="JJV90" s="6"/>
      <c r="JJW90" s="6"/>
      <c r="JJX90" s="6"/>
      <c r="JJY90" s="6"/>
      <c r="JJZ90" s="6"/>
      <c r="JKA90" s="6"/>
      <c r="JKB90" s="6"/>
      <c r="JKC90" s="6"/>
      <c r="JKD90" s="6"/>
      <c r="JKE90" s="6"/>
      <c r="JKF90" s="6"/>
      <c r="JKG90" s="6"/>
      <c r="JKH90" s="6"/>
      <c r="JKI90" s="6"/>
      <c r="JKJ90" s="6"/>
      <c r="JKK90" s="6"/>
      <c r="JKL90" s="6"/>
      <c r="JKM90" s="6"/>
      <c r="JKN90" s="6"/>
      <c r="JKO90" s="6"/>
      <c r="JKP90" s="6"/>
      <c r="JKQ90" s="6"/>
      <c r="JKR90" s="6"/>
      <c r="JKS90" s="6"/>
      <c r="JKT90" s="6"/>
      <c r="JKU90" s="6"/>
      <c r="JKV90" s="6"/>
      <c r="JKW90" s="6"/>
      <c r="JKX90" s="6"/>
      <c r="JKY90" s="6"/>
      <c r="JKZ90" s="6"/>
      <c r="JLA90" s="6"/>
      <c r="JLB90" s="6"/>
      <c r="JLC90" s="6"/>
      <c r="JLD90" s="6"/>
      <c r="JLE90" s="6"/>
      <c r="JLF90" s="6"/>
      <c r="JLG90" s="6"/>
      <c r="JLH90" s="6"/>
      <c r="JLI90" s="6"/>
      <c r="JLJ90" s="6"/>
      <c r="JLK90" s="6"/>
      <c r="JLL90" s="6"/>
      <c r="JLM90" s="6"/>
      <c r="JLN90" s="6"/>
      <c r="JLO90" s="6"/>
      <c r="JLP90" s="6"/>
      <c r="JLQ90" s="6"/>
      <c r="JLR90" s="6"/>
      <c r="JLS90" s="6"/>
      <c r="JLT90" s="6"/>
      <c r="JLU90" s="6"/>
      <c r="JLV90" s="6"/>
      <c r="JLW90" s="6"/>
      <c r="JLX90" s="6"/>
      <c r="JLY90" s="6"/>
      <c r="JLZ90" s="6"/>
      <c r="JMA90" s="6"/>
      <c r="JMB90" s="6"/>
      <c r="JMC90" s="6"/>
      <c r="JMD90" s="6"/>
      <c r="JME90" s="6"/>
      <c r="JMF90" s="6"/>
      <c r="JMG90" s="6"/>
      <c r="JMH90" s="6"/>
      <c r="JMI90" s="6"/>
      <c r="JMJ90" s="6"/>
      <c r="JMK90" s="6"/>
      <c r="JML90" s="6"/>
      <c r="JMM90" s="6"/>
      <c r="JMN90" s="6"/>
      <c r="JMO90" s="6"/>
      <c r="JMP90" s="6"/>
      <c r="JMQ90" s="6"/>
      <c r="JMR90" s="6"/>
      <c r="JMS90" s="6"/>
      <c r="JMT90" s="6"/>
      <c r="JMU90" s="6"/>
      <c r="JMV90" s="6"/>
      <c r="JMW90" s="6"/>
      <c r="JMX90" s="6"/>
      <c r="JMY90" s="6"/>
      <c r="JMZ90" s="6"/>
      <c r="JNA90" s="6"/>
      <c r="JNB90" s="6"/>
      <c r="JNC90" s="6"/>
      <c r="JND90" s="6"/>
      <c r="JNE90" s="6"/>
      <c r="JNF90" s="6"/>
      <c r="JNG90" s="6"/>
      <c r="JNH90" s="6"/>
      <c r="JNI90" s="6"/>
      <c r="JNJ90" s="6"/>
      <c r="JNK90" s="6"/>
      <c r="JNL90" s="6"/>
      <c r="JNM90" s="6"/>
      <c r="JNN90" s="6"/>
      <c r="JNO90" s="6"/>
      <c r="JNP90" s="6"/>
      <c r="JNQ90" s="6"/>
      <c r="JNR90" s="6"/>
      <c r="JNS90" s="6"/>
      <c r="JNT90" s="6"/>
      <c r="JNU90" s="6"/>
      <c r="JNV90" s="6"/>
      <c r="JNW90" s="6"/>
      <c r="JNX90" s="6"/>
      <c r="JNY90" s="6"/>
      <c r="JNZ90" s="6"/>
      <c r="JOA90" s="6"/>
      <c r="JOB90" s="6"/>
      <c r="JOC90" s="6"/>
      <c r="JOD90" s="6"/>
      <c r="JOE90" s="6"/>
      <c r="JOF90" s="6"/>
      <c r="JOG90" s="6"/>
      <c r="JOH90" s="6"/>
      <c r="JOI90" s="6"/>
      <c r="JOJ90" s="6"/>
      <c r="JOK90" s="6"/>
      <c r="JOL90" s="6"/>
      <c r="JOM90" s="6"/>
      <c r="JON90" s="6"/>
      <c r="JOO90" s="6"/>
      <c r="JOP90" s="6"/>
      <c r="JOQ90" s="6"/>
      <c r="JOR90" s="6"/>
      <c r="JOS90" s="6"/>
      <c r="JOT90" s="6"/>
      <c r="JOU90" s="6"/>
      <c r="JOV90" s="6"/>
      <c r="JOW90" s="6"/>
      <c r="JOX90" s="6"/>
      <c r="JOY90" s="6"/>
      <c r="JOZ90" s="6"/>
      <c r="JPA90" s="6"/>
      <c r="JPB90" s="6"/>
      <c r="JPC90" s="6"/>
      <c r="JPD90" s="6"/>
      <c r="JPE90" s="6"/>
      <c r="JPF90" s="6"/>
      <c r="JPG90" s="6"/>
      <c r="JPH90" s="6"/>
      <c r="JPI90" s="6"/>
      <c r="JPJ90" s="6"/>
      <c r="JPK90" s="6"/>
      <c r="JPL90" s="6"/>
      <c r="JPM90" s="6"/>
      <c r="JPN90" s="6"/>
      <c r="JPO90" s="6"/>
      <c r="JPP90" s="6"/>
      <c r="JPQ90" s="6"/>
      <c r="JPR90" s="6"/>
      <c r="JPS90" s="6"/>
      <c r="JPT90" s="6"/>
      <c r="JPU90" s="6"/>
      <c r="JPV90" s="6"/>
      <c r="JPW90" s="6"/>
      <c r="JPX90" s="6"/>
      <c r="JPY90" s="6"/>
      <c r="JPZ90" s="6"/>
      <c r="JQA90" s="6"/>
      <c r="JQB90" s="6"/>
      <c r="JQC90" s="6"/>
      <c r="JQD90" s="6"/>
      <c r="JQE90" s="6"/>
      <c r="JQF90" s="6"/>
      <c r="JQG90" s="6"/>
      <c r="JQH90" s="6"/>
      <c r="JQI90" s="6"/>
      <c r="JQJ90" s="6"/>
      <c r="JQK90" s="6"/>
      <c r="JQL90" s="6"/>
      <c r="JQM90" s="6"/>
      <c r="JQN90" s="6"/>
      <c r="JQO90" s="6"/>
      <c r="JQP90" s="6"/>
      <c r="JQQ90" s="6"/>
      <c r="JQR90" s="6"/>
      <c r="JQS90" s="6"/>
      <c r="JQT90" s="6"/>
      <c r="JQU90" s="6"/>
      <c r="JQV90" s="6"/>
      <c r="JQW90" s="6"/>
      <c r="JQX90" s="6"/>
      <c r="JQY90" s="6"/>
      <c r="JQZ90" s="6"/>
      <c r="JRA90" s="6"/>
      <c r="JRB90" s="6"/>
      <c r="JRC90" s="6"/>
      <c r="JRD90" s="6"/>
      <c r="JRE90" s="6"/>
      <c r="JRF90" s="6"/>
      <c r="JRG90" s="6"/>
      <c r="JRH90" s="6"/>
      <c r="JRI90" s="6"/>
      <c r="JRJ90" s="6"/>
      <c r="JRK90" s="6"/>
      <c r="JRL90" s="6"/>
      <c r="JRM90" s="6"/>
      <c r="JRN90" s="6"/>
      <c r="JRO90" s="6"/>
      <c r="JRP90" s="6"/>
      <c r="JRQ90" s="6"/>
      <c r="JRR90" s="6"/>
      <c r="JRS90" s="6"/>
      <c r="JRT90" s="6"/>
      <c r="JRU90" s="6"/>
      <c r="JRV90" s="6"/>
      <c r="JRW90" s="6"/>
      <c r="JRX90" s="6"/>
      <c r="JRY90" s="6"/>
      <c r="JRZ90" s="6"/>
      <c r="JSA90" s="6"/>
      <c r="JSB90" s="6"/>
      <c r="JSC90" s="6"/>
      <c r="JSD90" s="6"/>
      <c r="JSE90" s="6"/>
      <c r="JSF90" s="6"/>
      <c r="JSG90" s="6"/>
      <c r="JSH90" s="6"/>
      <c r="JSI90" s="6"/>
      <c r="JSJ90" s="6"/>
      <c r="JSK90" s="6"/>
      <c r="JSL90" s="6"/>
      <c r="JSM90" s="6"/>
      <c r="JSN90" s="6"/>
      <c r="JSO90" s="6"/>
      <c r="JSP90" s="6"/>
      <c r="JSQ90" s="6"/>
      <c r="JSR90" s="6"/>
      <c r="JSS90" s="6"/>
      <c r="JST90" s="6"/>
      <c r="JSU90" s="6"/>
      <c r="JSV90" s="6"/>
      <c r="JSW90" s="6"/>
      <c r="JSX90" s="6"/>
      <c r="JSY90" s="6"/>
      <c r="JSZ90" s="6"/>
      <c r="JTA90" s="6"/>
      <c r="JTB90" s="6"/>
      <c r="JTC90" s="6"/>
      <c r="JTD90" s="6"/>
      <c r="JTE90" s="6"/>
      <c r="JTF90" s="6"/>
      <c r="JTG90" s="6"/>
      <c r="JTH90" s="6"/>
      <c r="JTI90" s="6"/>
      <c r="JTJ90" s="6"/>
      <c r="JTK90" s="6"/>
      <c r="JTL90" s="6"/>
      <c r="JTM90" s="6"/>
      <c r="JTN90" s="6"/>
      <c r="JTO90" s="6"/>
      <c r="JTP90" s="6"/>
      <c r="JTQ90" s="6"/>
      <c r="JTR90" s="6"/>
      <c r="JTS90" s="6"/>
      <c r="JTT90" s="6"/>
      <c r="JTU90" s="6"/>
      <c r="JTV90" s="6"/>
      <c r="JTW90" s="6"/>
      <c r="JTX90" s="6"/>
      <c r="JTY90" s="6"/>
      <c r="JTZ90" s="6"/>
      <c r="JUA90" s="6"/>
      <c r="JUB90" s="6"/>
      <c r="JUC90" s="6"/>
      <c r="JUD90" s="6"/>
      <c r="JUE90" s="6"/>
      <c r="JUF90" s="6"/>
      <c r="JUG90" s="6"/>
      <c r="JUH90" s="6"/>
      <c r="JUI90" s="6"/>
      <c r="JUJ90" s="6"/>
      <c r="JUK90" s="6"/>
      <c r="JUL90" s="6"/>
      <c r="JUM90" s="6"/>
      <c r="JUN90" s="6"/>
      <c r="JUO90" s="6"/>
      <c r="JUP90" s="6"/>
      <c r="JUQ90" s="6"/>
      <c r="JUR90" s="6"/>
      <c r="JUS90" s="6"/>
      <c r="JUT90" s="6"/>
      <c r="JUU90" s="6"/>
      <c r="JUV90" s="6"/>
      <c r="JUW90" s="6"/>
      <c r="JUX90" s="6"/>
      <c r="JUY90" s="6"/>
      <c r="JUZ90" s="6"/>
      <c r="JVA90" s="6"/>
      <c r="JVB90" s="6"/>
      <c r="JVC90" s="6"/>
      <c r="JVD90" s="6"/>
      <c r="JVE90" s="6"/>
      <c r="JVF90" s="6"/>
      <c r="JVG90" s="6"/>
      <c r="JVH90" s="6"/>
      <c r="JVI90" s="6"/>
      <c r="JVJ90" s="6"/>
      <c r="JVK90" s="6"/>
      <c r="JVL90" s="6"/>
      <c r="JVM90" s="6"/>
      <c r="JVN90" s="6"/>
      <c r="JVO90" s="6"/>
      <c r="JVP90" s="6"/>
      <c r="JVQ90" s="6"/>
      <c r="JVR90" s="6"/>
      <c r="JVS90" s="6"/>
      <c r="JVT90" s="6"/>
      <c r="JVU90" s="6"/>
      <c r="JVV90" s="6"/>
      <c r="JVW90" s="6"/>
      <c r="JVX90" s="6"/>
      <c r="JVY90" s="6"/>
      <c r="JVZ90" s="6"/>
      <c r="JWA90" s="6"/>
      <c r="JWB90" s="6"/>
      <c r="JWC90" s="6"/>
      <c r="JWD90" s="6"/>
      <c r="JWE90" s="6"/>
      <c r="JWF90" s="6"/>
      <c r="JWG90" s="6"/>
      <c r="JWH90" s="6"/>
      <c r="JWI90" s="6"/>
      <c r="JWJ90" s="6"/>
      <c r="JWK90" s="6"/>
      <c r="JWL90" s="6"/>
      <c r="JWM90" s="6"/>
      <c r="JWN90" s="6"/>
      <c r="JWO90" s="6"/>
      <c r="JWP90" s="6"/>
      <c r="JWQ90" s="6"/>
      <c r="JWR90" s="6"/>
      <c r="JWS90" s="6"/>
      <c r="JWT90" s="6"/>
      <c r="JWU90" s="6"/>
      <c r="JWV90" s="6"/>
      <c r="JWW90" s="6"/>
      <c r="JWX90" s="6"/>
      <c r="JWY90" s="6"/>
      <c r="JWZ90" s="6"/>
      <c r="JXA90" s="6"/>
      <c r="JXB90" s="6"/>
      <c r="JXC90" s="6"/>
      <c r="JXD90" s="6"/>
      <c r="JXE90" s="6"/>
      <c r="JXF90" s="6"/>
      <c r="JXG90" s="6"/>
      <c r="JXH90" s="6"/>
      <c r="JXI90" s="6"/>
      <c r="JXJ90" s="6"/>
      <c r="JXK90" s="6"/>
      <c r="JXL90" s="6"/>
      <c r="JXM90" s="6"/>
      <c r="JXN90" s="6"/>
      <c r="JXO90" s="6"/>
      <c r="JXP90" s="6"/>
      <c r="JXQ90" s="6"/>
      <c r="JXR90" s="6"/>
      <c r="JXS90" s="6"/>
      <c r="JXT90" s="6"/>
      <c r="JXU90" s="6"/>
      <c r="JXV90" s="6"/>
      <c r="JXW90" s="6"/>
      <c r="JXX90" s="6"/>
      <c r="JXY90" s="6"/>
      <c r="JXZ90" s="6"/>
      <c r="JYA90" s="6"/>
      <c r="JYB90" s="6"/>
      <c r="JYC90" s="6"/>
      <c r="JYD90" s="6"/>
      <c r="JYE90" s="6"/>
      <c r="JYF90" s="6"/>
      <c r="JYG90" s="6"/>
      <c r="JYH90" s="6"/>
      <c r="JYI90" s="6"/>
      <c r="JYJ90" s="6"/>
      <c r="JYK90" s="6"/>
      <c r="JYL90" s="6"/>
      <c r="JYM90" s="6"/>
      <c r="JYN90" s="6"/>
      <c r="JYO90" s="6"/>
      <c r="JYP90" s="6"/>
      <c r="JYQ90" s="6"/>
      <c r="JYR90" s="6"/>
      <c r="JYS90" s="6"/>
      <c r="JYT90" s="6"/>
      <c r="JYU90" s="6"/>
      <c r="JYV90" s="6"/>
      <c r="JYW90" s="6"/>
      <c r="JYX90" s="6"/>
      <c r="JYY90" s="6"/>
      <c r="JYZ90" s="6"/>
      <c r="JZA90" s="6"/>
      <c r="JZB90" s="6"/>
      <c r="JZC90" s="6"/>
      <c r="JZD90" s="6"/>
      <c r="JZE90" s="6"/>
      <c r="JZF90" s="6"/>
      <c r="JZG90" s="6"/>
      <c r="JZH90" s="6"/>
      <c r="JZI90" s="6"/>
      <c r="JZJ90" s="6"/>
      <c r="JZK90" s="6"/>
      <c r="JZL90" s="6"/>
      <c r="JZM90" s="6"/>
      <c r="JZN90" s="6"/>
      <c r="JZO90" s="6"/>
      <c r="JZP90" s="6"/>
      <c r="JZQ90" s="6"/>
      <c r="JZR90" s="6"/>
      <c r="JZS90" s="6"/>
      <c r="JZT90" s="6"/>
      <c r="JZU90" s="6"/>
      <c r="JZV90" s="6"/>
      <c r="JZW90" s="6"/>
      <c r="JZX90" s="6"/>
      <c r="JZY90" s="6"/>
      <c r="JZZ90" s="6"/>
      <c r="KAA90" s="6"/>
      <c r="KAB90" s="6"/>
      <c r="KAC90" s="6"/>
      <c r="KAD90" s="6"/>
      <c r="KAE90" s="6"/>
      <c r="KAF90" s="6"/>
      <c r="KAG90" s="6"/>
      <c r="KAH90" s="6"/>
      <c r="KAI90" s="6"/>
      <c r="KAJ90" s="6"/>
      <c r="KAK90" s="6"/>
      <c r="KAL90" s="6"/>
      <c r="KAM90" s="6"/>
      <c r="KAN90" s="6"/>
      <c r="KAO90" s="6"/>
      <c r="KAP90" s="6"/>
      <c r="KAQ90" s="6"/>
      <c r="KAR90" s="6"/>
      <c r="KAS90" s="6"/>
      <c r="KAT90" s="6"/>
      <c r="KAU90" s="6"/>
      <c r="KAV90" s="6"/>
      <c r="KAW90" s="6"/>
      <c r="KAX90" s="6"/>
      <c r="KAY90" s="6"/>
      <c r="KAZ90" s="6"/>
      <c r="KBA90" s="6"/>
      <c r="KBB90" s="6"/>
      <c r="KBC90" s="6"/>
      <c r="KBD90" s="6"/>
      <c r="KBE90" s="6"/>
      <c r="KBF90" s="6"/>
      <c r="KBG90" s="6"/>
      <c r="KBH90" s="6"/>
      <c r="KBI90" s="6"/>
      <c r="KBJ90" s="6"/>
      <c r="KBK90" s="6"/>
      <c r="KBL90" s="6"/>
      <c r="KBM90" s="6"/>
      <c r="KBN90" s="6"/>
      <c r="KBO90" s="6"/>
      <c r="KBP90" s="6"/>
      <c r="KBQ90" s="6"/>
      <c r="KBR90" s="6"/>
      <c r="KBS90" s="6"/>
      <c r="KBT90" s="6"/>
      <c r="KBU90" s="6"/>
      <c r="KBV90" s="6"/>
      <c r="KBW90" s="6"/>
      <c r="KBX90" s="6"/>
      <c r="KBY90" s="6"/>
      <c r="KBZ90" s="6"/>
      <c r="KCA90" s="6"/>
      <c r="KCB90" s="6"/>
      <c r="KCC90" s="6"/>
      <c r="KCD90" s="6"/>
      <c r="KCE90" s="6"/>
      <c r="KCF90" s="6"/>
      <c r="KCG90" s="6"/>
      <c r="KCH90" s="6"/>
      <c r="KCI90" s="6"/>
      <c r="KCJ90" s="6"/>
      <c r="KCK90" s="6"/>
      <c r="KCL90" s="6"/>
      <c r="KCM90" s="6"/>
      <c r="KCN90" s="6"/>
      <c r="KCO90" s="6"/>
      <c r="KCP90" s="6"/>
      <c r="KCQ90" s="6"/>
      <c r="KCR90" s="6"/>
      <c r="KCS90" s="6"/>
      <c r="KCT90" s="6"/>
      <c r="KCU90" s="6"/>
      <c r="KCV90" s="6"/>
      <c r="KCW90" s="6"/>
      <c r="KCX90" s="6"/>
      <c r="KCY90" s="6"/>
      <c r="KCZ90" s="6"/>
      <c r="KDA90" s="6"/>
      <c r="KDB90" s="6"/>
      <c r="KDC90" s="6"/>
      <c r="KDD90" s="6"/>
      <c r="KDE90" s="6"/>
      <c r="KDF90" s="6"/>
      <c r="KDG90" s="6"/>
      <c r="KDH90" s="6"/>
      <c r="KDI90" s="6"/>
      <c r="KDJ90" s="6"/>
      <c r="KDK90" s="6"/>
      <c r="KDL90" s="6"/>
      <c r="KDM90" s="6"/>
      <c r="KDN90" s="6"/>
      <c r="KDO90" s="6"/>
      <c r="KDP90" s="6"/>
      <c r="KDQ90" s="6"/>
      <c r="KDR90" s="6"/>
      <c r="KDS90" s="6"/>
      <c r="KDT90" s="6"/>
      <c r="KDU90" s="6"/>
      <c r="KDV90" s="6"/>
      <c r="KDW90" s="6"/>
      <c r="KDX90" s="6"/>
      <c r="KDY90" s="6"/>
      <c r="KDZ90" s="6"/>
      <c r="KEA90" s="6"/>
      <c r="KEB90" s="6"/>
      <c r="KEC90" s="6"/>
      <c r="KED90" s="6"/>
      <c r="KEE90" s="6"/>
      <c r="KEF90" s="6"/>
      <c r="KEG90" s="6"/>
      <c r="KEH90" s="6"/>
      <c r="KEI90" s="6"/>
      <c r="KEJ90" s="6"/>
      <c r="KEK90" s="6"/>
      <c r="KEL90" s="6"/>
      <c r="KEM90" s="6"/>
      <c r="KEN90" s="6"/>
      <c r="KEO90" s="6"/>
      <c r="KEP90" s="6"/>
      <c r="KEQ90" s="6"/>
      <c r="KER90" s="6"/>
      <c r="KES90" s="6"/>
      <c r="KET90" s="6"/>
      <c r="KEU90" s="6"/>
      <c r="KEV90" s="6"/>
      <c r="KEW90" s="6"/>
      <c r="KEX90" s="6"/>
      <c r="KEY90" s="6"/>
      <c r="KEZ90" s="6"/>
      <c r="KFA90" s="6"/>
      <c r="KFB90" s="6"/>
      <c r="KFC90" s="6"/>
      <c r="KFD90" s="6"/>
      <c r="KFE90" s="6"/>
      <c r="KFF90" s="6"/>
      <c r="KFG90" s="6"/>
      <c r="KFH90" s="6"/>
      <c r="KFI90" s="6"/>
      <c r="KFJ90" s="6"/>
      <c r="KFK90" s="6"/>
      <c r="KFL90" s="6"/>
      <c r="KFM90" s="6"/>
      <c r="KFN90" s="6"/>
      <c r="KFO90" s="6"/>
      <c r="KFP90" s="6"/>
      <c r="KFQ90" s="6"/>
      <c r="KFR90" s="6"/>
      <c r="KFS90" s="6"/>
      <c r="KFT90" s="6"/>
      <c r="KFU90" s="6"/>
      <c r="KFV90" s="6"/>
      <c r="KFW90" s="6"/>
      <c r="KFX90" s="6"/>
      <c r="KFY90" s="6"/>
      <c r="KFZ90" s="6"/>
      <c r="KGA90" s="6"/>
      <c r="KGB90" s="6"/>
      <c r="KGC90" s="6"/>
      <c r="KGD90" s="6"/>
      <c r="KGE90" s="6"/>
      <c r="KGF90" s="6"/>
      <c r="KGG90" s="6"/>
      <c r="KGH90" s="6"/>
      <c r="KGI90" s="6"/>
      <c r="KGJ90" s="6"/>
      <c r="KGK90" s="6"/>
      <c r="KGL90" s="6"/>
      <c r="KGM90" s="6"/>
      <c r="KGN90" s="6"/>
      <c r="KGO90" s="6"/>
      <c r="KGP90" s="6"/>
      <c r="KGQ90" s="6"/>
      <c r="KGR90" s="6"/>
      <c r="KGS90" s="6"/>
      <c r="KGT90" s="6"/>
      <c r="KGU90" s="6"/>
      <c r="KGV90" s="6"/>
      <c r="KGW90" s="6"/>
      <c r="KGX90" s="6"/>
      <c r="KGY90" s="6"/>
      <c r="KGZ90" s="6"/>
      <c r="KHA90" s="6"/>
      <c r="KHB90" s="6"/>
      <c r="KHC90" s="6"/>
      <c r="KHD90" s="6"/>
      <c r="KHE90" s="6"/>
      <c r="KHF90" s="6"/>
      <c r="KHG90" s="6"/>
      <c r="KHH90" s="6"/>
      <c r="KHI90" s="6"/>
      <c r="KHJ90" s="6"/>
      <c r="KHK90" s="6"/>
      <c r="KHL90" s="6"/>
      <c r="KHM90" s="6"/>
      <c r="KHN90" s="6"/>
      <c r="KHO90" s="6"/>
      <c r="KHP90" s="6"/>
      <c r="KHQ90" s="6"/>
      <c r="KHR90" s="6"/>
      <c r="KHS90" s="6"/>
      <c r="KHT90" s="6"/>
      <c r="KHU90" s="6"/>
      <c r="KHV90" s="6"/>
      <c r="KHW90" s="6"/>
      <c r="KHX90" s="6"/>
      <c r="KHY90" s="6"/>
      <c r="KHZ90" s="6"/>
      <c r="KIA90" s="6"/>
      <c r="KIB90" s="6"/>
      <c r="KIC90" s="6"/>
      <c r="KID90" s="6"/>
      <c r="KIE90" s="6"/>
      <c r="KIF90" s="6"/>
      <c r="KIG90" s="6"/>
      <c r="KIH90" s="6"/>
      <c r="KII90" s="6"/>
      <c r="KIJ90" s="6"/>
      <c r="KIK90" s="6"/>
      <c r="KIL90" s="6"/>
      <c r="KIM90" s="6"/>
      <c r="KIN90" s="6"/>
      <c r="KIO90" s="6"/>
      <c r="KIP90" s="6"/>
      <c r="KIQ90" s="6"/>
      <c r="KIR90" s="6"/>
      <c r="KIS90" s="6"/>
      <c r="KIT90" s="6"/>
      <c r="KIU90" s="6"/>
      <c r="KIV90" s="6"/>
      <c r="KIW90" s="6"/>
      <c r="KIX90" s="6"/>
      <c r="KIY90" s="6"/>
      <c r="KIZ90" s="6"/>
      <c r="KJA90" s="6"/>
      <c r="KJB90" s="6"/>
      <c r="KJC90" s="6"/>
      <c r="KJD90" s="6"/>
      <c r="KJE90" s="6"/>
      <c r="KJF90" s="6"/>
      <c r="KJG90" s="6"/>
      <c r="KJH90" s="6"/>
      <c r="KJI90" s="6"/>
      <c r="KJJ90" s="6"/>
      <c r="KJK90" s="6"/>
      <c r="KJL90" s="6"/>
      <c r="KJM90" s="6"/>
      <c r="KJN90" s="6"/>
      <c r="KJO90" s="6"/>
      <c r="KJP90" s="6"/>
      <c r="KJQ90" s="6"/>
      <c r="KJR90" s="6"/>
      <c r="KJS90" s="6"/>
      <c r="KJT90" s="6"/>
      <c r="KJU90" s="6"/>
      <c r="KJV90" s="6"/>
      <c r="KJW90" s="6"/>
      <c r="KJX90" s="6"/>
      <c r="KJY90" s="6"/>
      <c r="KJZ90" s="6"/>
      <c r="KKA90" s="6"/>
      <c r="KKB90" s="6"/>
      <c r="KKC90" s="6"/>
      <c r="KKD90" s="6"/>
      <c r="KKE90" s="6"/>
      <c r="KKF90" s="6"/>
      <c r="KKG90" s="6"/>
      <c r="KKH90" s="6"/>
      <c r="KKI90" s="6"/>
      <c r="KKJ90" s="6"/>
      <c r="KKK90" s="6"/>
      <c r="KKL90" s="6"/>
      <c r="KKM90" s="6"/>
      <c r="KKN90" s="6"/>
      <c r="KKO90" s="6"/>
      <c r="KKP90" s="6"/>
      <c r="KKQ90" s="6"/>
      <c r="KKR90" s="6"/>
      <c r="KKS90" s="6"/>
      <c r="KKT90" s="6"/>
      <c r="KKU90" s="6"/>
      <c r="KKV90" s="6"/>
      <c r="KKW90" s="6"/>
      <c r="KKX90" s="6"/>
      <c r="KKY90" s="6"/>
      <c r="KKZ90" s="6"/>
      <c r="KLA90" s="6"/>
      <c r="KLB90" s="6"/>
      <c r="KLC90" s="6"/>
      <c r="KLD90" s="6"/>
      <c r="KLE90" s="6"/>
      <c r="KLF90" s="6"/>
      <c r="KLG90" s="6"/>
      <c r="KLH90" s="6"/>
      <c r="KLI90" s="6"/>
      <c r="KLJ90" s="6"/>
      <c r="KLK90" s="6"/>
      <c r="KLL90" s="6"/>
      <c r="KLM90" s="6"/>
      <c r="KLN90" s="6"/>
      <c r="KLO90" s="6"/>
      <c r="KLP90" s="6"/>
      <c r="KLQ90" s="6"/>
      <c r="KLR90" s="6"/>
      <c r="KLS90" s="6"/>
      <c r="KLT90" s="6"/>
      <c r="KLU90" s="6"/>
      <c r="KLV90" s="6"/>
      <c r="KLW90" s="6"/>
      <c r="KLX90" s="6"/>
      <c r="KLY90" s="6"/>
      <c r="KLZ90" s="6"/>
      <c r="KMA90" s="6"/>
      <c r="KMB90" s="6"/>
      <c r="KMC90" s="6"/>
      <c r="KMD90" s="6"/>
      <c r="KME90" s="6"/>
      <c r="KMF90" s="6"/>
      <c r="KMG90" s="6"/>
      <c r="KMH90" s="6"/>
      <c r="KMI90" s="6"/>
      <c r="KMJ90" s="6"/>
      <c r="KMK90" s="6"/>
      <c r="KML90" s="6"/>
      <c r="KMM90" s="6"/>
      <c r="KMN90" s="6"/>
      <c r="KMO90" s="6"/>
      <c r="KMP90" s="6"/>
      <c r="KMQ90" s="6"/>
      <c r="KMR90" s="6"/>
      <c r="KMS90" s="6"/>
      <c r="KMT90" s="6"/>
      <c r="KMU90" s="6"/>
      <c r="KMV90" s="6"/>
      <c r="KMW90" s="6"/>
      <c r="KMX90" s="6"/>
      <c r="KMY90" s="6"/>
      <c r="KMZ90" s="6"/>
      <c r="KNA90" s="6"/>
      <c r="KNB90" s="6"/>
      <c r="KNC90" s="6"/>
      <c r="KND90" s="6"/>
      <c r="KNE90" s="6"/>
      <c r="KNF90" s="6"/>
      <c r="KNG90" s="6"/>
      <c r="KNH90" s="6"/>
      <c r="KNI90" s="6"/>
      <c r="KNJ90" s="6"/>
      <c r="KNK90" s="6"/>
      <c r="KNL90" s="6"/>
      <c r="KNM90" s="6"/>
      <c r="KNN90" s="6"/>
      <c r="KNO90" s="6"/>
      <c r="KNP90" s="6"/>
      <c r="KNQ90" s="6"/>
      <c r="KNR90" s="6"/>
      <c r="KNS90" s="6"/>
      <c r="KNT90" s="6"/>
      <c r="KNU90" s="6"/>
      <c r="KNV90" s="6"/>
      <c r="KNW90" s="6"/>
      <c r="KNX90" s="6"/>
      <c r="KNY90" s="6"/>
      <c r="KNZ90" s="6"/>
      <c r="KOA90" s="6"/>
      <c r="KOB90" s="6"/>
      <c r="KOC90" s="6"/>
      <c r="KOD90" s="6"/>
      <c r="KOE90" s="6"/>
      <c r="KOF90" s="6"/>
      <c r="KOG90" s="6"/>
      <c r="KOH90" s="6"/>
      <c r="KOI90" s="6"/>
      <c r="KOJ90" s="6"/>
      <c r="KOK90" s="6"/>
      <c r="KOL90" s="6"/>
      <c r="KOM90" s="6"/>
      <c r="KON90" s="6"/>
      <c r="KOO90" s="6"/>
      <c r="KOP90" s="6"/>
      <c r="KOQ90" s="6"/>
      <c r="KOR90" s="6"/>
      <c r="KOS90" s="6"/>
      <c r="KOT90" s="6"/>
      <c r="KOU90" s="6"/>
      <c r="KOV90" s="6"/>
      <c r="KOW90" s="6"/>
      <c r="KOX90" s="6"/>
      <c r="KOY90" s="6"/>
      <c r="KOZ90" s="6"/>
      <c r="KPA90" s="6"/>
      <c r="KPB90" s="6"/>
      <c r="KPC90" s="6"/>
      <c r="KPD90" s="6"/>
      <c r="KPE90" s="6"/>
      <c r="KPF90" s="6"/>
      <c r="KPG90" s="6"/>
      <c r="KPH90" s="6"/>
      <c r="KPI90" s="6"/>
      <c r="KPJ90" s="6"/>
      <c r="KPK90" s="6"/>
      <c r="KPL90" s="6"/>
      <c r="KPM90" s="6"/>
      <c r="KPN90" s="6"/>
      <c r="KPO90" s="6"/>
      <c r="KPP90" s="6"/>
      <c r="KPQ90" s="6"/>
      <c r="KPR90" s="6"/>
      <c r="KPS90" s="6"/>
      <c r="KPT90" s="6"/>
      <c r="KPU90" s="6"/>
      <c r="KPV90" s="6"/>
      <c r="KPW90" s="6"/>
      <c r="KPX90" s="6"/>
      <c r="KPY90" s="6"/>
      <c r="KPZ90" s="6"/>
      <c r="KQA90" s="6"/>
      <c r="KQB90" s="6"/>
      <c r="KQC90" s="6"/>
      <c r="KQD90" s="6"/>
      <c r="KQE90" s="6"/>
      <c r="KQF90" s="6"/>
      <c r="KQG90" s="6"/>
      <c r="KQH90" s="6"/>
      <c r="KQI90" s="6"/>
      <c r="KQJ90" s="6"/>
      <c r="KQK90" s="6"/>
      <c r="KQL90" s="6"/>
      <c r="KQM90" s="6"/>
      <c r="KQN90" s="6"/>
      <c r="KQO90" s="6"/>
      <c r="KQP90" s="6"/>
      <c r="KQQ90" s="6"/>
      <c r="KQR90" s="6"/>
      <c r="KQS90" s="6"/>
      <c r="KQT90" s="6"/>
      <c r="KQU90" s="6"/>
      <c r="KQV90" s="6"/>
      <c r="KQW90" s="6"/>
      <c r="KQX90" s="6"/>
      <c r="KQY90" s="6"/>
      <c r="KQZ90" s="6"/>
      <c r="KRA90" s="6"/>
      <c r="KRB90" s="6"/>
      <c r="KRC90" s="6"/>
      <c r="KRD90" s="6"/>
      <c r="KRE90" s="6"/>
      <c r="KRF90" s="6"/>
      <c r="KRG90" s="6"/>
      <c r="KRH90" s="6"/>
      <c r="KRI90" s="6"/>
      <c r="KRJ90" s="6"/>
      <c r="KRK90" s="6"/>
      <c r="KRL90" s="6"/>
      <c r="KRM90" s="6"/>
      <c r="KRN90" s="6"/>
      <c r="KRO90" s="6"/>
      <c r="KRP90" s="6"/>
      <c r="KRQ90" s="6"/>
      <c r="KRR90" s="6"/>
      <c r="KRS90" s="6"/>
      <c r="KRT90" s="6"/>
      <c r="KRU90" s="6"/>
      <c r="KRV90" s="6"/>
      <c r="KRW90" s="6"/>
      <c r="KRX90" s="6"/>
      <c r="KRY90" s="6"/>
      <c r="KRZ90" s="6"/>
      <c r="KSA90" s="6"/>
      <c r="KSB90" s="6"/>
      <c r="KSC90" s="6"/>
      <c r="KSD90" s="6"/>
      <c r="KSE90" s="6"/>
      <c r="KSF90" s="6"/>
      <c r="KSG90" s="6"/>
      <c r="KSH90" s="6"/>
      <c r="KSI90" s="6"/>
      <c r="KSJ90" s="6"/>
      <c r="KSK90" s="6"/>
      <c r="KSL90" s="6"/>
      <c r="KSM90" s="6"/>
      <c r="KSN90" s="6"/>
      <c r="KSO90" s="6"/>
      <c r="KSP90" s="6"/>
      <c r="KSQ90" s="6"/>
      <c r="KSR90" s="6"/>
      <c r="KSS90" s="6"/>
      <c r="KST90" s="6"/>
      <c r="KSU90" s="6"/>
      <c r="KSV90" s="6"/>
      <c r="KSW90" s="6"/>
      <c r="KSX90" s="6"/>
      <c r="KSY90" s="6"/>
      <c r="KSZ90" s="6"/>
      <c r="KTA90" s="6"/>
      <c r="KTB90" s="6"/>
      <c r="KTC90" s="6"/>
      <c r="KTD90" s="6"/>
      <c r="KTE90" s="6"/>
      <c r="KTF90" s="6"/>
      <c r="KTG90" s="6"/>
      <c r="KTH90" s="6"/>
      <c r="KTI90" s="6"/>
      <c r="KTJ90" s="6"/>
      <c r="KTK90" s="6"/>
      <c r="KTL90" s="6"/>
      <c r="KTM90" s="6"/>
      <c r="KTN90" s="6"/>
      <c r="KTO90" s="6"/>
      <c r="KTP90" s="6"/>
      <c r="KTQ90" s="6"/>
      <c r="KTR90" s="6"/>
      <c r="KTS90" s="6"/>
      <c r="KTT90" s="6"/>
      <c r="KTU90" s="6"/>
      <c r="KTV90" s="6"/>
      <c r="KTW90" s="6"/>
      <c r="KTX90" s="6"/>
      <c r="KTY90" s="6"/>
      <c r="KTZ90" s="6"/>
      <c r="KUA90" s="6"/>
      <c r="KUB90" s="6"/>
      <c r="KUC90" s="6"/>
      <c r="KUD90" s="6"/>
      <c r="KUE90" s="6"/>
      <c r="KUF90" s="6"/>
      <c r="KUG90" s="6"/>
      <c r="KUH90" s="6"/>
      <c r="KUI90" s="6"/>
      <c r="KUJ90" s="6"/>
      <c r="KUK90" s="6"/>
      <c r="KUL90" s="6"/>
      <c r="KUM90" s="6"/>
      <c r="KUN90" s="6"/>
      <c r="KUO90" s="6"/>
      <c r="KUP90" s="6"/>
      <c r="KUQ90" s="6"/>
      <c r="KUR90" s="6"/>
      <c r="KUS90" s="6"/>
      <c r="KUT90" s="6"/>
      <c r="KUU90" s="6"/>
      <c r="KUV90" s="6"/>
      <c r="KUW90" s="6"/>
      <c r="KUX90" s="6"/>
      <c r="KUY90" s="6"/>
      <c r="KUZ90" s="6"/>
      <c r="KVA90" s="6"/>
      <c r="KVB90" s="6"/>
      <c r="KVC90" s="6"/>
      <c r="KVD90" s="6"/>
      <c r="KVE90" s="6"/>
      <c r="KVF90" s="6"/>
      <c r="KVG90" s="6"/>
      <c r="KVH90" s="6"/>
      <c r="KVI90" s="6"/>
      <c r="KVJ90" s="6"/>
      <c r="KVK90" s="6"/>
      <c r="KVL90" s="6"/>
      <c r="KVM90" s="6"/>
      <c r="KVN90" s="6"/>
      <c r="KVO90" s="6"/>
      <c r="KVP90" s="6"/>
      <c r="KVQ90" s="6"/>
      <c r="KVR90" s="6"/>
      <c r="KVS90" s="6"/>
      <c r="KVT90" s="6"/>
      <c r="KVU90" s="6"/>
      <c r="KVV90" s="6"/>
      <c r="KVW90" s="6"/>
      <c r="KVX90" s="6"/>
      <c r="KVY90" s="6"/>
      <c r="KVZ90" s="6"/>
      <c r="KWA90" s="6"/>
      <c r="KWB90" s="6"/>
      <c r="KWC90" s="6"/>
      <c r="KWD90" s="6"/>
      <c r="KWE90" s="6"/>
      <c r="KWF90" s="6"/>
      <c r="KWG90" s="6"/>
      <c r="KWH90" s="6"/>
      <c r="KWI90" s="6"/>
      <c r="KWJ90" s="6"/>
      <c r="KWK90" s="6"/>
      <c r="KWL90" s="6"/>
      <c r="KWM90" s="6"/>
      <c r="KWN90" s="6"/>
      <c r="KWO90" s="6"/>
      <c r="KWP90" s="6"/>
      <c r="KWQ90" s="6"/>
      <c r="KWR90" s="6"/>
      <c r="KWS90" s="6"/>
      <c r="KWT90" s="6"/>
      <c r="KWU90" s="6"/>
      <c r="KWV90" s="6"/>
      <c r="KWW90" s="6"/>
      <c r="KWX90" s="6"/>
      <c r="KWY90" s="6"/>
      <c r="KWZ90" s="6"/>
      <c r="KXA90" s="6"/>
      <c r="KXB90" s="6"/>
      <c r="KXC90" s="6"/>
      <c r="KXD90" s="6"/>
      <c r="KXE90" s="6"/>
      <c r="KXF90" s="6"/>
      <c r="KXG90" s="6"/>
      <c r="KXH90" s="6"/>
      <c r="KXI90" s="6"/>
      <c r="KXJ90" s="6"/>
      <c r="KXK90" s="6"/>
      <c r="KXL90" s="6"/>
      <c r="KXM90" s="6"/>
      <c r="KXN90" s="6"/>
      <c r="KXO90" s="6"/>
      <c r="KXP90" s="6"/>
      <c r="KXQ90" s="6"/>
      <c r="KXR90" s="6"/>
      <c r="KXS90" s="6"/>
      <c r="KXT90" s="6"/>
      <c r="KXU90" s="6"/>
      <c r="KXV90" s="6"/>
      <c r="KXW90" s="6"/>
      <c r="KXX90" s="6"/>
      <c r="KXY90" s="6"/>
      <c r="KXZ90" s="6"/>
      <c r="KYA90" s="6"/>
      <c r="KYB90" s="6"/>
      <c r="KYC90" s="6"/>
      <c r="KYD90" s="6"/>
      <c r="KYE90" s="6"/>
      <c r="KYF90" s="6"/>
      <c r="KYG90" s="6"/>
      <c r="KYH90" s="6"/>
      <c r="KYI90" s="6"/>
      <c r="KYJ90" s="6"/>
      <c r="KYK90" s="6"/>
      <c r="KYL90" s="6"/>
      <c r="KYM90" s="6"/>
      <c r="KYN90" s="6"/>
      <c r="KYO90" s="6"/>
      <c r="KYP90" s="6"/>
      <c r="KYQ90" s="6"/>
      <c r="KYR90" s="6"/>
      <c r="KYS90" s="6"/>
      <c r="KYT90" s="6"/>
      <c r="KYU90" s="6"/>
      <c r="KYV90" s="6"/>
      <c r="KYW90" s="6"/>
      <c r="KYX90" s="6"/>
      <c r="KYY90" s="6"/>
      <c r="KYZ90" s="6"/>
      <c r="KZA90" s="6"/>
      <c r="KZB90" s="6"/>
      <c r="KZC90" s="6"/>
      <c r="KZD90" s="6"/>
      <c r="KZE90" s="6"/>
      <c r="KZF90" s="6"/>
      <c r="KZG90" s="6"/>
      <c r="KZH90" s="6"/>
      <c r="KZI90" s="6"/>
      <c r="KZJ90" s="6"/>
      <c r="KZK90" s="6"/>
      <c r="KZL90" s="6"/>
      <c r="KZM90" s="6"/>
      <c r="KZN90" s="6"/>
      <c r="KZO90" s="6"/>
      <c r="KZP90" s="6"/>
      <c r="KZQ90" s="6"/>
      <c r="KZR90" s="6"/>
      <c r="KZS90" s="6"/>
      <c r="KZT90" s="6"/>
      <c r="KZU90" s="6"/>
      <c r="KZV90" s="6"/>
      <c r="KZW90" s="6"/>
      <c r="KZX90" s="6"/>
      <c r="KZY90" s="6"/>
      <c r="KZZ90" s="6"/>
      <c r="LAA90" s="6"/>
      <c r="LAB90" s="6"/>
      <c r="LAC90" s="6"/>
      <c r="LAD90" s="6"/>
      <c r="LAE90" s="6"/>
      <c r="LAF90" s="6"/>
      <c r="LAG90" s="6"/>
      <c r="LAH90" s="6"/>
      <c r="LAI90" s="6"/>
      <c r="LAJ90" s="6"/>
      <c r="LAK90" s="6"/>
      <c r="LAL90" s="6"/>
      <c r="LAM90" s="6"/>
      <c r="LAN90" s="6"/>
      <c r="LAO90" s="6"/>
      <c r="LAP90" s="6"/>
      <c r="LAQ90" s="6"/>
      <c r="LAR90" s="6"/>
      <c r="LAS90" s="6"/>
      <c r="LAT90" s="6"/>
      <c r="LAU90" s="6"/>
      <c r="LAV90" s="6"/>
      <c r="LAW90" s="6"/>
      <c r="LAX90" s="6"/>
      <c r="LAY90" s="6"/>
      <c r="LAZ90" s="6"/>
      <c r="LBA90" s="6"/>
      <c r="LBB90" s="6"/>
      <c r="LBC90" s="6"/>
      <c r="LBD90" s="6"/>
      <c r="LBE90" s="6"/>
      <c r="LBF90" s="6"/>
      <c r="LBG90" s="6"/>
      <c r="LBH90" s="6"/>
      <c r="LBI90" s="6"/>
      <c r="LBJ90" s="6"/>
      <c r="LBK90" s="6"/>
      <c r="LBL90" s="6"/>
      <c r="LBM90" s="6"/>
      <c r="LBN90" s="6"/>
      <c r="LBO90" s="6"/>
      <c r="LBP90" s="6"/>
      <c r="LBQ90" s="6"/>
      <c r="LBR90" s="6"/>
      <c r="LBS90" s="6"/>
      <c r="LBT90" s="6"/>
      <c r="LBU90" s="6"/>
      <c r="LBV90" s="6"/>
      <c r="LBW90" s="6"/>
      <c r="LBX90" s="6"/>
      <c r="LBY90" s="6"/>
      <c r="LBZ90" s="6"/>
      <c r="LCA90" s="6"/>
      <c r="LCB90" s="6"/>
      <c r="LCC90" s="6"/>
      <c r="LCD90" s="6"/>
      <c r="LCE90" s="6"/>
      <c r="LCF90" s="6"/>
      <c r="LCG90" s="6"/>
      <c r="LCH90" s="6"/>
      <c r="LCI90" s="6"/>
      <c r="LCJ90" s="6"/>
      <c r="LCK90" s="6"/>
      <c r="LCL90" s="6"/>
      <c r="LCM90" s="6"/>
      <c r="LCN90" s="6"/>
      <c r="LCO90" s="6"/>
      <c r="LCP90" s="6"/>
      <c r="LCQ90" s="6"/>
      <c r="LCR90" s="6"/>
      <c r="LCS90" s="6"/>
      <c r="LCT90" s="6"/>
      <c r="LCU90" s="6"/>
      <c r="LCV90" s="6"/>
      <c r="LCW90" s="6"/>
      <c r="LCX90" s="6"/>
      <c r="LCY90" s="6"/>
      <c r="LCZ90" s="6"/>
      <c r="LDA90" s="6"/>
      <c r="LDB90" s="6"/>
      <c r="LDC90" s="6"/>
      <c r="LDD90" s="6"/>
      <c r="LDE90" s="6"/>
      <c r="LDF90" s="6"/>
      <c r="LDG90" s="6"/>
      <c r="LDH90" s="6"/>
      <c r="LDI90" s="6"/>
      <c r="LDJ90" s="6"/>
      <c r="LDK90" s="6"/>
      <c r="LDL90" s="6"/>
      <c r="LDM90" s="6"/>
      <c r="LDN90" s="6"/>
      <c r="LDO90" s="6"/>
      <c r="LDP90" s="6"/>
      <c r="LDQ90" s="6"/>
      <c r="LDR90" s="6"/>
      <c r="LDS90" s="6"/>
      <c r="LDT90" s="6"/>
      <c r="LDU90" s="6"/>
      <c r="LDV90" s="6"/>
      <c r="LDW90" s="6"/>
      <c r="LDX90" s="6"/>
      <c r="LDY90" s="6"/>
      <c r="LDZ90" s="6"/>
      <c r="LEA90" s="6"/>
      <c r="LEB90" s="6"/>
      <c r="LEC90" s="6"/>
      <c r="LED90" s="6"/>
      <c r="LEE90" s="6"/>
      <c r="LEF90" s="6"/>
      <c r="LEG90" s="6"/>
      <c r="LEH90" s="6"/>
      <c r="LEI90" s="6"/>
      <c r="LEJ90" s="6"/>
      <c r="LEK90" s="6"/>
      <c r="LEL90" s="6"/>
      <c r="LEM90" s="6"/>
      <c r="LEN90" s="6"/>
      <c r="LEO90" s="6"/>
      <c r="LEP90" s="6"/>
      <c r="LEQ90" s="6"/>
      <c r="LER90" s="6"/>
      <c r="LES90" s="6"/>
      <c r="LET90" s="6"/>
      <c r="LEU90" s="6"/>
      <c r="LEV90" s="6"/>
      <c r="LEW90" s="6"/>
      <c r="LEX90" s="6"/>
      <c r="LEY90" s="6"/>
      <c r="LEZ90" s="6"/>
      <c r="LFA90" s="6"/>
      <c r="LFB90" s="6"/>
      <c r="LFC90" s="6"/>
      <c r="LFD90" s="6"/>
      <c r="LFE90" s="6"/>
      <c r="LFF90" s="6"/>
      <c r="LFG90" s="6"/>
      <c r="LFH90" s="6"/>
      <c r="LFI90" s="6"/>
      <c r="LFJ90" s="6"/>
      <c r="LFK90" s="6"/>
      <c r="LFL90" s="6"/>
      <c r="LFM90" s="6"/>
      <c r="LFN90" s="6"/>
      <c r="LFO90" s="6"/>
      <c r="LFP90" s="6"/>
      <c r="LFQ90" s="6"/>
      <c r="LFR90" s="6"/>
      <c r="LFS90" s="6"/>
      <c r="LFT90" s="6"/>
      <c r="LFU90" s="6"/>
      <c r="LFV90" s="6"/>
      <c r="LFW90" s="6"/>
      <c r="LFX90" s="6"/>
      <c r="LFY90" s="6"/>
      <c r="LFZ90" s="6"/>
      <c r="LGA90" s="6"/>
      <c r="LGB90" s="6"/>
      <c r="LGC90" s="6"/>
      <c r="LGD90" s="6"/>
      <c r="LGE90" s="6"/>
      <c r="LGF90" s="6"/>
      <c r="LGG90" s="6"/>
      <c r="LGH90" s="6"/>
      <c r="LGI90" s="6"/>
      <c r="LGJ90" s="6"/>
      <c r="LGK90" s="6"/>
      <c r="LGL90" s="6"/>
      <c r="LGM90" s="6"/>
      <c r="LGN90" s="6"/>
      <c r="LGO90" s="6"/>
      <c r="LGP90" s="6"/>
      <c r="LGQ90" s="6"/>
      <c r="LGR90" s="6"/>
      <c r="LGS90" s="6"/>
      <c r="LGT90" s="6"/>
      <c r="LGU90" s="6"/>
      <c r="LGV90" s="6"/>
      <c r="LGW90" s="6"/>
      <c r="LGX90" s="6"/>
      <c r="LGY90" s="6"/>
      <c r="LGZ90" s="6"/>
      <c r="LHA90" s="6"/>
      <c r="LHB90" s="6"/>
      <c r="LHC90" s="6"/>
      <c r="LHD90" s="6"/>
      <c r="LHE90" s="6"/>
      <c r="LHF90" s="6"/>
      <c r="LHG90" s="6"/>
      <c r="LHH90" s="6"/>
      <c r="LHI90" s="6"/>
      <c r="LHJ90" s="6"/>
      <c r="LHK90" s="6"/>
      <c r="LHL90" s="6"/>
      <c r="LHM90" s="6"/>
      <c r="LHN90" s="6"/>
      <c r="LHO90" s="6"/>
      <c r="LHP90" s="6"/>
      <c r="LHQ90" s="6"/>
      <c r="LHR90" s="6"/>
      <c r="LHS90" s="6"/>
      <c r="LHT90" s="6"/>
      <c r="LHU90" s="6"/>
      <c r="LHV90" s="6"/>
      <c r="LHW90" s="6"/>
      <c r="LHX90" s="6"/>
      <c r="LHY90" s="6"/>
      <c r="LHZ90" s="6"/>
      <c r="LIA90" s="6"/>
      <c r="LIB90" s="6"/>
      <c r="LIC90" s="6"/>
      <c r="LID90" s="6"/>
      <c r="LIE90" s="6"/>
      <c r="LIF90" s="6"/>
      <c r="LIG90" s="6"/>
      <c r="LIH90" s="6"/>
      <c r="LII90" s="6"/>
      <c r="LIJ90" s="6"/>
      <c r="LIK90" s="6"/>
      <c r="LIL90" s="6"/>
      <c r="LIM90" s="6"/>
      <c r="LIN90" s="6"/>
      <c r="LIO90" s="6"/>
      <c r="LIP90" s="6"/>
      <c r="LIQ90" s="6"/>
      <c r="LIR90" s="6"/>
      <c r="LIS90" s="6"/>
      <c r="LIT90" s="6"/>
      <c r="LIU90" s="6"/>
      <c r="LIV90" s="6"/>
      <c r="LIW90" s="6"/>
      <c r="LIX90" s="6"/>
      <c r="LIY90" s="6"/>
      <c r="LIZ90" s="6"/>
      <c r="LJA90" s="6"/>
      <c r="LJB90" s="6"/>
      <c r="LJC90" s="6"/>
      <c r="LJD90" s="6"/>
      <c r="LJE90" s="6"/>
      <c r="LJF90" s="6"/>
      <c r="LJG90" s="6"/>
      <c r="LJH90" s="6"/>
      <c r="LJI90" s="6"/>
      <c r="LJJ90" s="6"/>
      <c r="LJK90" s="6"/>
      <c r="LJL90" s="6"/>
      <c r="LJM90" s="6"/>
      <c r="LJN90" s="6"/>
      <c r="LJO90" s="6"/>
      <c r="LJP90" s="6"/>
      <c r="LJQ90" s="6"/>
      <c r="LJR90" s="6"/>
      <c r="LJS90" s="6"/>
      <c r="LJT90" s="6"/>
      <c r="LJU90" s="6"/>
      <c r="LJV90" s="6"/>
      <c r="LJW90" s="6"/>
      <c r="LJX90" s="6"/>
      <c r="LJY90" s="6"/>
      <c r="LJZ90" s="6"/>
      <c r="LKA90" s="6"/>
      <c r="LKB90" s="6"/>
      <c r="LKC90" s="6"/>
      <c r="LKD90" s="6"/>
      <c r="LKE90" s="6"/>
      <c r="LKF90" s="6"/>
      <c r="LKG90" s="6"/>
      <c r="LKH90" s="6"/>
      <c r="LKI90" s="6"/>
      <c r="LKJ90" s="6"/>
      <c r="LKK90" s="6"/>
      <c r="LKL90" s="6"/>
      <c r="LKM90" s="6"/>
      <c r="LKN90" s="6"/>
      <c r="LKO90" s="6"/>
      <c r="LKP90" s="6"/>
      <c r="LKQ90" s="6"/>
      <c r="LKR90" s="6"/>
      <c r="LKS90" s="6"/>
      <c r="LKT90" s="6"/>
      <c r="LKU90" s="6"/>
      <c r="LKV90" s="6"/>
      <c r="LKW90" s="6"/>
      <c r="LKX90" s="6"/>
      <c r="LKY90" s="6"/>
      <c r="LKZ90" s="6"/>
      <c r="LLA90" s="6"/>
      <c r="LLB90" s="6"/>
      <c r="LLC90" s="6"/>
      <c r="LLD90" s="6"/>
      <c r="LLE90" s="6"/>
      <c r="LLF90" s="6"/>
      <c r="LLG90" s="6"/>
      <c r="LLH90" s="6"/>
      <c r="LLI90" s="6"/>
      <c r="LLJ90" s="6"/>
      <c r="LLK90" s="6"/>
      <c r="LLL90" s="6"/>
      <c r="LLM90" s="6"/>
      <c r="LLN90" s="6"/>
      <c r="LLO90" s="6"/>
      <c r="LLP90" s="6"/>
      <c r="LLQ90" s="6"/>
      <c r="LLR90" s="6"/>
      <c r="LLS90" s="6"/>
      <c r="LLT90" s="6"/>
      <c r="LLU90" s="6"/>
      <c r="LLV90" s="6"/>
      <c r="LLW90" s="6"/>
      <c r="LLX90" s="6"/>
      <c r="LLY90" s="6"/>
      <c r="LLZ90" s="6"/>
      <c r="LMA90" s="6"/>
      <c r="LMB90" s="6"/>
      <c r="LMC90" s="6"/>
      <c r="LMD90" s="6"/>
      <c r="LME90" s="6"/>
      <c r="LMF90" s="6"/>
      <c r="LMG90" s="6"/>
      <c r="LMH90" s="6"/>
      <c r="LMI90" s="6"/>
      <c r="LMJ90" s="6"/>
      <c r="LMK90" s="6"/>
      <c r="LML90" s="6"/>
      <c r="LMM90" s="6"/>
      <c r="LMN90" s="6"/>
      <c r="LMO90" s="6"/>
      <c r="LMP90" s="6"/>
      <c r="LMQ90" s="6"/>
      <c r="LMR90" s="6"/>
      <c r="LMS90" s="6"/>
      <c r="LMT90" s="6"/>
      <c r="LMU90" s="6"/>
      <c r="LMV90" s="6"/>
      <c r="LMW90" s="6"/>
      <c r="LMX90" s="6"/>
      <c r="LMY90" s="6"/>
      <c r="LMZ90" s="6"/>
      <c r="LNA90" s="6"/>
      <c r="LNB90" s="6"/>
      <c r="LNC90" s="6"/>
      <c r="LND90" s="6"/>
      <c r="LNE90" s="6"/>
      <c r="LNF90" s="6"/>
      <c r="LNG90" s="6"/>
      <c r="LNH90" s="6"/>
      <c r="LNI90" s="6"/>
      <c r="LNJ90" s="6"/>
      <c r="LNK90" s="6"/>
      <c r="LNL90" s="6"/>
      <c r="LNM90" s="6"/>
      <c r="LNN90" s="6"/>
      <c r="LNO90" s="6"/>
      <c r="LNP90" s="6"/>
      <c r="LNQ90" s="6"/>
      <c r="LNR90" s="6"/>
      <c r="LNS90" s="6"/>
      <c r="LNT90" s="6"/>
      <c r="LNU90" s="6"/>
      <c r="LNV90" s="6"/>
      <c r="LNW90" s="6"/>
      <c r="LNX90" s="6"/>
      <c r="LNY90" s="6"/>
      <c r="LNZ90" s="6"/>
      <c r="LOA90" s="6"/>
      <c r="LOB90" s="6"/>
      <c r="LOC90" s="6"/>
      <c r="LOD90" s="6"/>
      <c r="LOE90" s="6"/>
      <c r="LOF90" s="6"/>
      <c r="LOG90" s="6"/>
      <c r="LOH90" s="6"/>
      <c r="LOI90" s="6"/>
      <c r="LOJ90" s="6"/>
      <c r="LOK90" s="6"/>
      <c r="LOL90" s="6"/>
      <c r="LOM90" s="6"/>
      <c r="LON90" s="6"/>
      <c r="LOO90" s="6"/>
      <c r="LOP90" s="6"/>
      <c r="LOQ90" s="6"/>
      <c r="LOR90" s="6"/>
      <c r="LOS90" s="6"/>
      <c r="LOT90" s="6"/>
      <c r="LOU90" s="6"/>
      <c r="LOV90" s="6"/>
      <c r="LOW90" s="6"/>
      <c r="LOX90" s="6"/>
      <c r="LOY90" s="6"/>
      <c r="LOZ90" s="6"/>
      <c r="LPA90" s="6"/>
      <c r="LPB90" s="6"/>
      <c r="LPC90" s="6"/>
      <c r="LPD90" s="6"/>
      <c r="LPE90" s="6"/>
      <c r="LPF90" s="6"/>
      <c r="LPG90" s="6"/>
      <c r="LPH90" s="6"/>
      <c r="LPI90" s="6"/>
      <c r="LPJ90" s="6"/>
      <c r="LPK90" s="6"/>
      <c r="LPL90" s="6"/>
      <c r="LPM90" s="6"/>
      <c r="LPN90" s="6"/>
      <c r="LPO90" s="6"/>
      <c r="LPP90" s="6"/>
      <c r="LPQ90" s="6"/>
      <c r="LPR90" s="6"/>
      <c r="LPS90" s="6"/>
      <c r="LPT90" s="6"/>
      <c r="LPU90" s="6"/>
      <c r="LPV90" s="6"/>
      <c r="LPW90" s="6"/>
      <c r="LPX90" s="6"/>
      <c r="LPY90" s="6"/>
      <c r="LPZ90" s="6"/>
      <c r="LQA90" s="6"/>
      <c r="LQB90" s="6"/>
      <c r="LQC90" s="6"/>
      <c r="LQD90" s="6"/>
      <c r="LQE90" s="6"/>
      <c r="LQF90" s="6"/>
      <c r="LQG90" s="6"/>
      <c r="LQH90" s="6"/>
      <c r="LQI90" s="6"/>
      <c r="LQJ90" s="6"/>
      <c r="LQK90" s="6"/>
      <c r="LQL90" s="6"/>
      <c r="LQM90" s="6"/>
      <c r="LQN90" s="6"/>
      <c r="LQO90" s="6"/>
      <c r="LQP90" s="6"/>
      <c r="LQQ90" s="6"/>
      <c r="LQR90" s="6"/>
      <c r="LQS90" s="6"/>
      <c r="LQT90" s="6"/>
      <c r="LQU90" s="6"/>
      <c r="LQV90" s="6"/>
      <c r="LQW90" s="6"/>
      <c r="LQX90" s="6"/>
      <c r="LQY90" s="6"/>
      <c r="LQZ90" s="6"/>
      <c r="LRA90" s="6"/>
      <c r="LRB90" s="6"/>
      <c r="LRC90" s="6"/>
      <c r="LRD90" s="6"/>
      <c r="LRE90" s="6"/>
      <c r="LRF90" s="6"/>
      <c r="LRG90" s="6"/>
      <c r="LRH90" s="6"/>
      <c r="LRI90" s="6"/>
      <c r="LRJ90" s="6"/>
      <c r="LRK90" s="6"/>
      <c r="LRL90" s="6"/>
      <c r="LRM90" s="6"/>
      <c r="LRN90" s="6"/>
      <c r="LRO90" s="6"/>
      <c r="LRP90" s="6"/>
      <c r="LRQ90" s="6"/>
      <c r="LRR90" s="6"/>
      <c r="LRS90" s="6"/>
      <c r="LRT90" s="6"/>
      <c r="LRU90" s="6"/>
      <c r="LRV90" s="6"/>
      <c r="LRW90" s="6"/>
      <c r="LRX90" s="6"/>
      <c r="LRY90" s="6"/>
      <c r="LRZ90" s="6"/>
      <c r="LSA90" s="6"/>
      <c r="LSB90" s="6"/>
      <c r="LSC90" s="6"/>
      <c r="LSD90" s="6"/>
      <c r="LSE90" s="6"/>
      <c r="LSF90" s="6"/>
      <c r="LSG90" s="6"/>
      <c r="LSH90" s="6"/>
      <c r="LSI90" s="6"/>
      <c r="LSJ90" s="6"/>
      <c r="LSK90" s="6"/>
      <c r="LSL90" s="6"/>
      <c r="LSM90" s="6"/>
      <c r="LSN90" s="6"/>
      <c r="LSO90" s="6"/>
      <c r="LSP90" s="6"/>
      <c r="LSQ90" s="6"/>
      <c r="LSR90" s="6"/>
      <c r="LSS90" s="6"/>
      <c r="LST90" s="6"/>
      <c r="LSU90" s="6"/>
      <c r="LSV90" s="6"/>
      <c r="LSW90" s="6"/>
      <c r="LSX90" s="6"/>
      <c r="LSY90" s="6"/>
      <c r="LSZ90" s="6"/>
      <c r="LTA90" s="6"/>
      <c r="LTB90" s="6"/>
      <c r="LTC90" s="6"/>
      <c r="LTD90" s="6"/>
      <c r="LTE90" s="6"/>
      <c r="LTF90" s="6"/>
      <c r="LTG90" s="6"/>
      <c r="LTH90" s="6"/>
      <c r="LTI90" s="6"/>
      <c r="LTJ90" s="6"/>
      <c r="LTK90" s="6"/>
      <c r="LTL90" s="6"/>
      <c r="LTM90" s="6"/>
      <c r="LTN90" s="6"/>
      <c r="LTO90" s="6"/>
      <c r="LTP90" s="6"/>
      <c r="LTQ90" s="6"/>
      <c r="LTR90" s="6"/>
      <c r="LTS90" s="6"/>
      <c r="LTT90" s="6"/>
      <c r="LTU90" s="6"/>
      <c r="LTV90" s="6"/>
      <c r="LTW90" s="6"/>
      <c r="LTX90" s="6"/>
      <c r="LTY90" s="6"/>
      <c r="LTZ90" s="6"/>
      <c r="LUA90" s="6"/>
      <c r="LUB90" s="6"/>
      <c r="LUC90" s="6"/>
      <c r="LUD90" s="6"/>
      <c r="LUE90" s="6"/>
      <c r="LUF90" s="6"/>
      <c r="LUG90" s="6"/>
      <c r="LUH90" s="6"/>
      <c r="LUI90" s="6"/>
      <c r="LUJ90" s="6"/>
      <c r="LUK90" s="6"/>
      <c r="LUL90" s="6"/>
      <c r="LUM90" s="6"/>
      <c r="LUN90" s="6"/>
      <c r="LUO90" s="6"/>
      <c r="LUP90" s="6"/>
      <c r="LUQ90" s="6"/>
      <c r="LUR90" s="6"/>
      <c r="LUS90" s="6"/>
      <c r="LUT90" s="6"/>
      <c r="LUU90" s="6"/>
      <c r="LUV90" s="6"/>
      <c r="LUW90" s="6"/>
      <c r="LUX90" s="6"/>
      <c r="LUY90" s="6"/>
      <c r="LUZ90" s="6"/>
      <c r="LVA90" s="6"/>
      <c r="LVB90" s="6"/>
      <c r="LVC90" s="6"/>
      <c r="LVD90" s="6"/>
      <c r="LVE90" s="6"/>
      <c r="LVF90" s="6"/>
      <c r="LVG90" s="6"/>
      <c r="LVH90" s="6"/>
      <c r="LVI90" s="6"/>
      <c r="LVJ90" s="6"/>
      <c r="LVK90" s="6"/>
      <c r="LVL90" s="6"/>
      <c r="LVM90" s="6"/>
      <c r="LVN90" s="6"/>
      <c r="LVO90" s="6"/>
      <c r="LVP90" s="6"/>
      <c r="LVQ90" s="6"/>
      <c r="LVR90" s="6"/>
      <c r="LVS90" s="6"/>
      <c r="LVT90" s="6"/>
      <c r="LVU90" s="6"/>
      <c r="LVV90" s="6"/>
      <c r="LVW90" s="6"/>
      <c r="LVX90" s="6"/>
      <c r="LVY90" s="6"/>
      <c r="LVZ90" s="6"/>
      <c r="LWA90" s="6"/>
      <c r="LWB90" s="6"/>
      <c r="LWC90" s="6"/>
      <c r="LWD90" s="6"/>
      <c r="LWE90" s="6"/>
      <c r="LWF90" s="6"/>
      <c r="LWG90" s="6"/>
      <c r="LWH90" s="6"/>
      <c r="LWI90" s="6"/>
      <c r="LWJ90" s="6"/>
      <c r="LWK90" s="6"/>
      <c r="LWL90" s="6"/>
      <c r="LWM90" s="6"/>
      <c r="LWN90" s="6"/>
      <c r="LWO90" s="6"/>
      <c r="LWP90" s="6"/>
      <c r="LWQ90" s="6"/>
      <c r="LWR90" s="6"/>
      <c r="LWS90" s="6"/>
      <c r="LWT90" s="6"/>
      <c r="LWU90" s="6"/>
      <c r="LWV90" s="6"/>
      <c r="LWW90" s="6"/>
      <c r="LWX90" s="6"/>
      <c r="LWY90" s="6"/>
      <c r="LWZ90" s="6"/>
      <c r="LXA90" s="6"/>
      <c r="LXB90" s="6"/>
      <c r="LXC90" s="6"/>
      <c r="LXD90" s="6"/>
      <c r="LXE90" s="6"/>
      <c r="LXF90" s="6"/>
      <c r="LXG90" s="6"/>
      <c r="LXH90" s="6"/>
      <c r="LXI90" s="6"/>
      <c r="LXJ90" s="6"/>
      <c r="LXK90" s="6"/>
      <c r="LXL90" s="6"/>
      <c r="LXM90" s="6"/>
      <c r="LXN90" s="6"/>
      <c r="LXO90" s="6"/>
      <c r="LXP90" s="6"/>
      <c r="LXQ90" s="6"/>
      <c r="LXR90" s="6"/>
      <c r="LXS90" s="6"/>
      <c r="LXT90" s="6"/>
      <c r="LXU90" s="6"/>
      <c r="LXV90" s="6"/>
      <c r="LXW90" s="6"/>
      <c r="LXX90" s="6"/>
      <c r="LXY90" s="6"/>
      <c r="LXZ90" s="6"/>
      <c r="LYA90" s="6"/>
      <c r="LYB90" s="6"/>
      <c r="LYC90" s="6"/>
      <c r="LYD90" s="6"/>
      <c r="LYE90" s="6"/>
      <c r="LYF90" s="6"/>
      <c r="LYG90" s="6"/>
      <c r="LYH90" s="6"/>
      <c r="LYI90" s="6"/>
      <c r="LYJ90" s="6"/>
      <c r="LYK90" s="6"/>
      <c r="LYL90" s="6"/>
      <c r="LYM90" s="6"/>
      <c r="LYN90" s="6"/>
      <c r="LYO90" s="6"/>
      <c r="LYP90" s="6"/>
      <c r="LYQ90" s="6"/>
      <c r="LYR90" s="6"/>
      <c r="LYS90" s="6"/>
      <c r="LYT90" s="6"/>
      <c r="LYU90" s="6"/>
      <c r="LYV90" s="6"/>
      <c r="LYW90" s="6"/>
      <c r="LYX90" s="6"/>
      <c r="LYY90" s="6"/>
      <c r="LYZ90" s="6"/>
      <c r="LZA90" s="6"/>
      <c r="LZB90" s="6"/>
      <c r="LZC90" s="6"/>
      <c r="LZD90" s="6"/>
      <c r="LZE90" s="6"/>
      <c r="LZF90" s="6"/>
      <c r="LZG90" s="6"/>
      <c r="LZH90" s="6"/>
      <c r="LZI90" s="6"/>
      <c r="LZJ90" s="6"/>
      <c r="LZK90" s="6"/>
      <c r="LZL90" s="6"/>
      <c r="LZM90" s="6"/>
      <c r="LZN90" s="6"/>
      <c r="LZO90" s="6"/>
      <c r="LZP90" s="6"/>
      <c r="LZQ90" s="6"/>
      <c r="LZR90" s="6"/>
      <c r="LZS90" s="6"/>
      <c r="LZT90" s="6"/>
      <c r="LZU90" s="6"/>
      <c r="LZV90" s="6"/>
      <c r="LZW90" s="6"/>
      <c r="LZX90" s="6"/>
      <c r="LZY90" s="6"/>
      <c r="LZZ90" s="6"/>
      <c r="MAA90" s="6"/>
      <c r="MAB90" s="6"/>
      <c r="MAC90" s="6"/>
      <c r="MAD90" s="6"/>
      <c r="MAE90" s="6"/>
      <c r="MAF90" s="6"/>
      <c r="MAG90" s="6"/>
      <c r="MAH90" s="6"/>
      <c r="MAI90" s="6"/>
      <c r="MAJ90" s="6"/>
      <c r="MAK90" s="6"/>
      <c r="MAL90" s="6"/>
      <c r="MAM90" s="6"/>
      <c r="MAN90" s="6"/>
      <c r="MAO90" s="6"/>
      <c r="MAP90" s="6"/>
      <c r="MAQ90" s="6"/>
      <c r="MAR90" s="6"/>
      <c r="MAS90" s="6"/>
      <c r="MAT90" s="6"/>
      <c r="MAU90" s="6"/>
      <c r="MAV90" s="6"/>
      <c r="MAW90" s="6"/>
      <c r="MAX90" s="6"/>
      <c r="MAY90" s="6"/>
      <c r="MAZ90" s="6"/>
      <c r="MBA90" s="6"/>
      <c r="MBB90" s="6"/>
      <c r="MBC90" s="6"/>
      <c r="MBD90" s="6"/>
      <c r="MBE90" s="6"/>
      <c r="MBF90" s="6"/>
      <c r="MBG90" s="6"/>
      <c r="MBH90" s="6"/>
      <c r="MBI90" s="6"/>
      <c r="MBJ90" s="6"/>
      <c r="MBK90" s="6"/>
      <c r="MBL90" s="6"/>
      <c r="MBM90" s="6"/>
      <c r="MBN90" s="6"/>
      <c r="MBO90" s="6"/>
      <c r="MBP90" s="6"/>
      <c r="MBQ90" s="6"/>
      <c r="MBR90" s="6"/>
      <c r="MBS90" s="6"/>
      <c r="MBT90" s="6"/>
      <c r="MBU90" s="6"/>
      <c r="MBV90" s="6"/>
      <c r="MBW90" s="6"/>
      <c r="MBX90" s="6"/>
      <c r="MBY90" s="6"/>
      <c r="MBZ90" s="6"/>
      <c r="MCA90" s="6"/>
      <c r="MCB90" s="6"/>
      <c r="MCC90" s="6"/>
      <c r="MCD90" s="6"/>
      <c r="MCE90" s="6"/>
      <c r="MCF90" s="6"/>
      <c r="MCG90" s="6"/>
      <c r="MCH90" s="6"/>
      <c r="MCI90" s="6"/>
      <c r="MCJ90" s="6"/>
      <c r="MCK90" s="6"/>
      <c r="MCL90" s="6"/>
      <c r="MCM90" s="6"/>
      <c r="MCN90" s="6"/>
      <c r="MCO90" s="6"/>
      <c r="MCP90" s="6"/>
      <c r="MCQ90" s="6"/>
      <c r="MCR90" s="6"/>
      <c r="MCS90" s="6"/>
      <c r="MCT90" s="6"/>
      <c r="MCU90" s="6"/>
      <c r="MCV90" s="6"/>
      <c r="MCW90" s="6"/>
      <c r="MCX90" s="6"/>
      <c r="MCY90" s="6"/>
      <c r="MCZ90" s="6"/>
      <c r="MDA90" s="6"/>
      <c r="MDB90" s="6"/>
      <c r="MDC90" s="6"/>
      <c r="MDD90" s="6"/>
      <c r="MDE90" s="6"/>
      <c r="MDF90" s="6"/>
      <c r="MDG90" s="6"/>
      <c r="MDH90" s="6"/>
      <c r="MDI90" s="6"/>
      <c r="MDJ90" s="6"/>
      <c r="MDK90" s="6"/>
      <c r="MDL90" s="6"/>
      <c r="MDM90" s="6"/>
      <c r="MDN90" s="6"/>
      <c r="MDO90" s="6"/>
      <c r="MDP90" s="6"/>
      <c r="MDQ90" s="6"/>
      <c r="MDR90" s="6"/>
      <c r="MDS90" s="6"/>
      <c r="MDT90" s="6"/>
      <c r="MDU90" s="6"/>
      <c r="MDV90" s="6"/>
      <c r="MDW90" s="6"/>
      <c r="MDX90" s="6"/>
      <c r="MDY90" s="6"/>
      <c r="MDZ90" s="6"/>
      <c r="MEA90" s="6"/>
      <c r="MEB90" s="6"/>
      <c r="MEC90" s="6"/>
      <c r="MED90" s="6"/>
      <c r="MEE90" s="6"/>
      <c r="MEF90" s="6"/>
      <c r="MEG90" s="6"/>
      <c r="MEH90" s="6"/>
      <c r="MEI90" s="6"/>
      <c r="MEJ90" s="6"/>
      <c r="MEK90" s="6"/>
      <c r="MEL90" s="6"/>
      <c r="MEM90" s="6"/>
      <c r="MEN90" s="6"/>
      <c r="MEO90" s="6"/>
      <c r="MEP90" s="6"/>
      <c r="MEQ90" s="6"/>
      <c r="MER90" s="6"/>
      <c r="MES90" s="6"/>
      <c r="MET90" s="6"/>
      <c r="MEU90" s="6"/>
      <c r="MEV90" s="6"/>
      <c r="MEW90" s="6"/>
      <c r="MEX90" s="6"/>
      <c r="MEY90" s="6"/>
      <c r="MEZ90" s="6"/>
      <c r="MFA90" s="6"/>
      <c r="MFB90" s="6"/>
      <c r="MFC90" s="6"/>
      <c r="MFD90" s="6"/>
      <c r="MFE90" s="6"/>
      <c r="MFF90" s="6"/>
      <c r="MFG90" s="6"/>
      <c r="MFH90" s="6"/>
      <c r="MFI90" s="6"/>
      <c r="MFJ90" s="6"/>
      <c r="MFK90" s="6"/>
      <c r="MFL90" s="6"/>
      <c r="MFM90" s="6"/>
      <c r="MFN90" s="6"/>
      <c r="MFO90" s="6"/>
      <c r="MFP90" s="6"/>
      <c r="MFQ90" s="6"/>
      <c r="MFR90" s="6"/>
      <c r="MFS90" s="6"/>
      <c r="MFT90" s="6"/>
      <c r="MFU90" s="6"/>
      <c r="MFV90" s="6"/>
      <c r="MFW90" s="6"/>
      <c r="MFX90" s="6"/>
      <c r="MFY90" s="6"/>
      <c r="MFZ90" s="6"/>
      <c r="MGA90" s="6"/>
      <c r="MGB90" s="6"/>
      <c r="MGC90" s="6"/>
      <c r="MGD90" s="6"/>
      <c r="MGE90" s="6"/>
      <c r="MGF90" s="6"/>
      <c r="MGG90" s="6"/>
      <c r="MGH90" s="6"/>
      <c r="MGI90" s="6"/>
      <c r="MGJ90" s="6"/>
      <c r="MGK90" s="6"/>
      <c r="MGL90" s="6"/>
      <c r="MGM90" s="6"/>
      <c r="MGN90" s="6"/>
      <c r="MGO90" s="6"/>
      <c r="MGP90" s="6"/>
      <c r="MGQ90" s="6"/>
      <c r="MGR90" s="6"/>
      <c r="MGS90" s="6"/>
      <c r="MGT90" s="6"/>
      <c r="MGU90" s="6"/>
      <c r="MGV90" s="6"/>
      <c r="MGW90" s="6"/>
      <c r="MGX90" s="6"/>
      <c r="MGY90" s="6"/>
      <c r="MGZ90" s="6"/>
      <c r="MHA90" s="6"/>
      <c r="MHB90" s="6"/>
      <c r="MHC90" s="6"/>
      <c r="MHD90" s="6"/>
      <c r="MHE90" s="6"/>
      <c r="MHF90" s="6"/>
      <c r="MHG90" s="6"/>
      <c r="MHH90" s="6"/>
      <c r="MHI90" s="6"/>
      <c r="MHJ90" s="6"/>
      <c r="MHK90" s="6"/>
      <c r="MHL90" s="6"/>
      <c r="MHM90" s="6"/>
      <c r="MHN90" s="6"/>
      <c r="MHO90" s="6"/>
      <c r="MHP90" s="6"/>
      <c r="MHQ90" s="6"/>
      <c r="MHR90" s="6"/>
      <c r="MHS90" s="6"/>
      <c r="MHT90" s="6"/>
      <c r="MHU90" s="6"/>
      <c r="MHV90" s="6"/>
      <c r="MHW90" s="6"/>
      <c r="MHX90" s="6"/>
      <c r="MHY90" s="6"/>
      <c r="MHZ90" s="6"/>
      <c r="MIA90" s="6"/>
      <c r="MIB90" s="6"/>
      <c r="MIC90" s="6"/>
      <c r="MID90" s="6"/>
      <c r="MIE90" s="6"/>
      <c r="MIF90" s="6"/>
      <c r="MIG90" s="6"/>
      <c r="MIH90" s="6"/>
      <c r="MII90" s="6"/>
      <c r="MIJ90" s="6"/>
      <c r="MIK90" s="6"/>
      <c r="MIL90" s="6"/>
      <c r="MIM90" s="6"/>
      <c r="MIN90" s="6"/>
      <c r="MIO90" s="6"/>
      <c r="MIP90" s="6"/>
      <c r="MIQ90" s="6"/>
      <c r="MIR90" s="6"/>
      <c r="MIS90" s="6"/>
      <c r="MIT90" s="6"/>
      <c r="MIU90" s="6"/>
      <c r="MIV90" s="6"/>
      <c r="MIW90" s="6"/>
      <c r="MIX90" s="6"/>
      <c r="MIY90" s="6"/>
      <c r="MIZ90" s="6"/>
      <c r="MJA90" s="6"/>
      <c r="MJB90" s="6"/>
      <c r="MJC90" s="6"/>
      <c r="MJD90" s="6"/>
      <c r="MJE90" s="6"/>
      <c r="MJF90" s="6"/>
      <c r="MJG90" s="6"/>
      <c r="MJH90" s="6"/>
      <c r="MJI90" s="6"/>
      <c r="MJJ90" s="6"/>
      <c r="MJK90" s="6"/>
      <c r="MJL90" s="6"/>
      <c r="MJM90" s="6"/>
      <c r="MJN90" s="6"/>
      <c r="MJO90" s="6"/>
      <c r="MJP90" s="6"/>
      <c r="MJQ90" s="6"/>
      <c r="MJR90" s="6"/>
      <c r="MJS90" s="6"/>
      <c r="MJT90" s="6"/>
      <c r="MJU90" s="6"/>
      <c r="MJV90" s="6"/>
      <c r="MJW90" s="6"/>
      <c r="MJX90" s="6"/>
      <c r="MJY90" s="6"/>
      <c r="MJZ90" s="6"/>
      <c r="MKA90" s="6"/>
      <c r="MKB90" s="6"/>
      <c r="MKC90" s="6"/>
      <c r="MKD90" s="6"/>
      <c r="MKE90" s="6"/>
      <c r="MKF90" s="6"/>
      <c r="MKG90" s="6"/>
      <c r="MKH90" s="6"/>
      <c r="MKI90" s="6"/>
      <c r="MKJ90" s="6"/>
      <c r="MKK90" s="6"/>
      <c r="MKL90" s="6"/>
      <c r="MKM90" s="6"/>
      <c r="MKN90" s="6"/>
      <c r="MKO90" s="6"/>
      <c r="MKP90" s="6"/>
      <c r="MKQ90" s="6"/>
      <c r="MKR90" s="6"/>
      <c r="MKS90" s="6"/>
      <c r="MKT90" s="6"/>
      <c r="MKU90" s="6"/>
      <c r="MKV90" s="6"/>
      <c r="MKW90" s="6"/>
      <c r="MKX90" s="6"/>
      <c r="MKY90" s="6"/>
      <c r="MKZ90" s="6"/>
      <c r="MLA90" s="6"/>
      <c r="MLB90" s="6"/>
      <c r="MLC90" s="6"/>
      <c r="MLD90" s="6"/>
      <c r="MLE90" s="6"/>
      <c r="MLF90" s="6"/>
      <c r="MLG90" s="6"/>
      <c r="MLH90" s="6"/>
      <c r="MLI90" s="6"/>
      <c r="MLJ90" s="6"/>
      <c r="MLK90" s="6"/>
      <c r="MLL90" s="6"/>
      <c r="MLM90" s="6"/>
      <c r="MLN90" s="6"/>
      <c r="MLO90" s="6"/>
      <c r="MLP90" s="6"/>
      <c r="MLQ90" s="6"/>
      <c r="MLR90" s="6"/>
      <c r="MLS90" s="6"/>
      <c r="MLT90" s="6"/>
      <c r="MLU90" s="6"/>
      <c r="MLV90" s="6"/>
      <c r="MLW90" s="6"/>
      <c r="MLX90" s="6"/>
      <c r="MLY90" s="6"/>
      <c r="MLZ90" s="6"/>
      <c r="MMA90" s="6"/>
      <c r="MMB90" s="6"/>
      <c r="MMC90" s="6"/>
      <c r="MMD90" s="6"/>
      <c r="MME90" s="6"/>
      <c r="MMF90" s="6"/>
      <c r="MMG90" s="6"/>
      <c r="MMH90" s="6"/>
      <c r="MMI90" s="6"/>
      <c r="MMJ90" s="6"/>
      <c r="MMK90" s="6"/>
      <c r="MML90" s="6"/>
      <c r="MMM90" s="6"/>
      <c r="MMN90" s="6"/>
      <c r="MMO90" s="6"/>
      <c r="MMP90" s="6"/>
      <c r="MMQ90" s="6"/>
      <c r="MMR90" s="6"/>
      <c r="MMS90" s="6"/>
      <c r="MMT90" s="6"/>
      <c r="MMU90" s="6"/>
      <c r="MMV90" s="6"/>
      <c r="MMW90" s="6"/>
      <c r="MMX90" s="6"/>
      <c r="MMY90" s="6"/>
      <c r="MMZ90" s="6"/>
      <c r="MNA90" s="6"/>
      <c r="MNB90" s="6"/>
      <c r="MNC90" s="6"/>
      <c r="MND90" s="6"/>
      <c r="MNE90" s="6"/>
      <c r="MNF90" s="6"/>
      <c r="MNG90" s="6"/>
      <c r="MNH90" s="6"/>
      <c r="MNI90" s="6"/>
      <c r="MNJ90" s="6"/>
      <c r="MNK90" s="6"/>
      <c r="MNL90" s="6"/>
      <c r="MNM90" s="6"/>
      <c r="MNN90" s="6"/>
      <c r="MNO90" s="6"/>
      <c r="MNP90" s="6"/>
      <c r="MNQ90" s="6"/>
      <c r="MNR90" s="6"/>
      <c r="MNS90" s="6"/>
      <c r="MNT90" s="6"/>
      <c r="MNU90" s="6"/>
      <c r="MNV90" s="6"/>
      <c r="MNW90" s="6"/>
      <c r="MNX90" s="6"/>
      <c r="MNY90" s="6"/>
      <c r="MNZ90" s="6"/>
      <c r="MOA90" s="6"/>
      <c r="MOB90" s="6"/>
      <c r="MOC90" s="6"/>
      <c r="MOD90" s="6"/>
      <c r="MOE90" s="6"/>
      <c r="MOF90" s="6"/>
      <c r="MOG90" s="6"/>
      <c r="MOH90" s="6"/>
      <c r="MOI90" s="6"/>
      <c r="MOJ90" s="6"/>
      <c r="MOK90" s="6"/>
      <c r="MOL90" s="6"/>
      <c r="MOM90" s="6"/>
      <c r="MON90" s="6"/>
      <c r="MOO90" s="6"/>
      <c r="MOP90" s="6"/>
      <c r="MOQ90" s="6"/>
      <c r="MOR90" s="6"/>
      <c r="MOS90" s="6"/>
      <c r="MOT90" s="6"/>
      <c r="MOU90" s="6"/>
      <c r="MOV90" s="6"/>
      <c r="MOW90" s="6"/>
      <c r="MOX90" s="6"/>
      <c r="MOY90" s="6"/>
      <c r="MOZ90" s="6"/>
      <c r="MPA90" s="6"/>
      <c r="MPB90" s="6"/>
      <c r="MPC90" s="6"/>
      <c r="MPD90" s="6"/>
      <c r="MPE90" s="6"/>
      <c r="MPF90" s="6"/>
      <c r="MPG90" s="6"/>
      <c r="MPH90" s="6"/>
      <c r="MPI90" s="6"/>
      <c r="MPJ90" s="6"/>
      <c r="MPK90" s="6"/>
      <c r="MPL90" s="6"/>
      <c r="MPM90" s="6"/>
      <c r="MPN90" s="6"/>
      <c r="MPO90" s="6"/>
      <c r="MPP90" s="6"/>
      <c r="MPQ90" s="6"/>
      <c r="MPR90" s="6"/>
      <c r="MPS90" s="6"/>
      <c r="MPT90" s="6"/>
      <c r="MPU90" s="6"/>
      <c r="MPV90" s="6"/>
      <c r="MPW90" s="6"/>
      <c r="MPX90" s="6"/>
      <c r="MPY90" s="6"/>
      <c r="MPZ90" s="6"/>
      <c r="MQA90" s="6"/>
      <c r="MQB90" s="6"/>
      <c r="MQC90" s="6"/>
      <c r="MQD90" s="6"/>
      <c r="MQE90" s="6"/>
      <c r="MQF90" s="6"/>
      <c r="MQG90" s="6"/>
      <c r="MQH90" s="6"/>
      <c r="MQI90" s="6"/>
      <c r="MQJ90" s="6"/>
      <c r="MQK90" s="6"/>
      <c r="MQL90" s="6"/>
      <c r="MQM90" s="6"/>
      <c r="MQN90" s="6"/>
      <c r="MQO90" s="6"/>
      <c r="MQP90" s="6"/>
      <c r="MQQ90" s="6"/>
      <c r="MQR90" s="6"/>
      <c r="MQS90" s="6"/>
      <c r="MQT90" s="6"/>
      <c r="MQU90" s="6"/>
      <c r="MQV90" s="6"/>
      <c r="MQW90" s="6"/>
      <c r="MQX90" s="6"/>
      <c r="MQY90" s="6"/>
      <c r="MQZ90" s="6"/>
      <c r="MRA90" s="6"/>
      <c r="MRB90" s="6"/>
      <c r="MRC90" s="6"/>
      <c r="MRD90" s="6"/>
      <c r="MRE90" s="6"/>
      <c r="MRF90" s="6"/>
      <c r="MRG90" s="6"/>
      <c r="MRH90" s="6"/>
      <c r="MRI90" s="6"/>
      <c r="MRJ90" s="6"/>
      <c r="MRK90" s="6"/>
      <c r="MRL90" s="6"/>
      <c r="MRM90" s="6"/>
      <c r="MRN90" s="6"/>
      <c r="MRO90" s="6"/>
      <c r="MRP90" s="6"/>
      <c r="MRQ90" s="6"/>
      <c r="MRR90" s="6"/>
      <c r="MRS90" s="6"/>
      <c r="MRT90" s="6"/>
      <c r="MRU90" s="6"/>
      <c r="MRV90" s="6"/>
      <c r="MRW90" s="6"/>
      <c r="MRX90" s="6"/>
      <c r="MRY90" s="6"/>
      <c r="MRZ90" s="6"/>
      <c r="MSA90" s="6"/>
      <c r="MSB90" s="6"/>
      <c r="MSC90" s="6"/>
      <c r="MSD90" s="6"/>
      <c r="MSE90" s="6"/>
      <c r="MSF90" s="6"/>
      <c r="MSG90" s="6"/>
      <c r="MSH90" s="6"/>
      <c r="MSI90" s="6"/>
      <c r="MSJ90" s="6"/>
      <c r="MSK90" s="6"/>
      <c r="MSL90" s="6"/>
      <c r="MSM90" s="6"/>
      <c r="MSN90" s="6"/>
      <c r="MSO90" s="6"/>
      <c r="MSP90" s="6"/>
      <c r="MSQ90" s="6"/>
      <c r="MSR90" s="6"/>
      <c r="MSS90" s="6"/>
      <c r="MST90" s="6"/>
      <c r="MSU90" s="6"/>
      <c r="MSV90" s="6"/>
      <c r="MSW90" s="6"/>
      <c r="MSX90" s="6"/>
      <c r="MSY90" s="6"/>
      <c r="MSZ90" s="6"/>
      <c r="MTA90" s="6"/>
      <c r="MTB90" s="6"/>
      <c r="MTC90" s="6"/>
      <c r="MTD90" s="6"/>
      <c r="MTE90" s="6"/>
      <c r="MTF90" s="6"/>
      <c r="MTG90" s="6"/>
      <c r="MTH90" s="6"/>
      <c r="MTI90" s="6"/>
      <c r="MTJ90" s="6"/>
      <c r="MTK90" s="6"/>
      <c r="MTL90" s="6"/>
      <c r="MTM90" s="6"/>
      <c r="MTN90" s="6"/>
      <c r="MTO90" s="6"/>
      <c r="MTP90" s="6"/>
      <c r="MTQ90" s="6"/>
      <c r="MTR90" s="6"/>
      <c r="MTS90" s="6"/>
      <c r="MTT90" s="6"/>
      <c r="MTU90" s="6"/>
      <c r="MTV90" s="6"/>
      <c r="MTW90" s="6"/>
      <c r="MTX90" s="6"/>
      <c r="MTY90" s="6"/>
      <c r="MTZ90" s="6"/>
      <c r="MUA90" s="6"/>
      <c r="MUB90" s="6"/>
      <c r="MUC90" s="6"/>
      <c r="MUD90" s="6"/>
      <c r="MUE90" s="6"/>
      <c r="MUF90" s="6"/>
      <c r="MUG90" s="6"/>
      <c r="MUH90" s="6"/>
      <c r="MUI90" s="6"/>
      <c r="MUJ90" s="6"/>
      <c r="MUK90" s="6"/>
      <c r="MUL90" s="6"/>
      <c r="MUM90" s="6"/>
      <c r="MUN90" s="6"/>
      <c r="MUO90" s="6"/>
      <c r="MUP90" s="6"/>
      <c r="MUQ90" s="6"/>
      <c r="MUR90" s="6"/>
      <c r="MUS90" s="6"/>
      <c r="MUT90" s="6"/>
      <c r="MUU90" s="6"/>
      <c r="MUV90" s="6"/>
      <c r="MUW90" s="6"/>
      <c r="MUX90" s="6"/>
      <c r="MUY90" s="6"/>
      <c r="MUZ90" s="6"/>
      <c r="MVA90" s="6"/>
      <c r="MVB90" s="6"/>
      <c r="MVC90" s="6"/>
      <c r="MVD90" s="6"/>
      <c r="MVE90" s="6"/>
      <c r="MVF90" s="6"/>
      <c r="MVG90" s="6"/>
      <c r="MVH90" s="6"/>
      <c r="MVI90" s="6"/>
      <c r="MVJ90" s="6"/>
      <c r="MVK90" s="6"/>
      <c r="MVL90" s="6"/>
      <c r="MVM90" s="6"/>
      <c r="MVN90" s="6"/>
      <c r="MVO90" s="6"/>
      <c r="MVP90" s="6"/>
      <c r="MVQ90" s="6"/>
      <c r="MVR90" s="6"/>
      <c r="MVS90" s="6"/>
      <c r="MVT90" s="6"/>
      <c r="MVU90" s="6"/>
      <c r="MVV90" s="6"/>
      <c r="MVW90" s="6"/>
      <c r="MVX90" s="6"/>
      <c r="MVY90" s="6"/>
      <c r="MVZ90" s="6"/>
      <c r="MWA90" s="6"/>
      <c r="MWB90" s="6"/>
      <c r="MWC90" s="6"/>
      <c r="MWD90" s="6"/>
      <c r="MWE90" s="6"/>
      <c r="MWF90" s="6"/>
      <c r="MWG90" s="6"/>
      <c r="MWH90" s="6"/>
      <c r="MWI90" s="6"/>
      <c r="MWJ90" s="6"/>
      <c r="MWK90" s="6"/>
      <c r="MWL90" s="6"/>
      <c r="MWM90" s="6"/>
      <c r="MWN90" s="6"/>
      <c r="MWO90" s="6"/>
      <c r="MWP90" s="6"/>
      <c r="MWQ90" s="6"/>
      <c r="MWR90" s="6"/>
      <c r="MWS90" s="6"/>
      <c r="MWT90" s="6"/>
      <c r="MWU90" s="6"/>
      <c r="MWV90" s="6"/>
      <c r="MWW90" s="6"/>
      <c r="MWX90" s="6"/>
      <c r="MWY90" s="6"/>
      <c r="MWZ90" s="6"/>
      <c r="MXA90" s="6"/>
      <c r="MXB90" s="6"/>
      <c r="MXC90" s="6"/>
      <c r="MXD90" s="6"/>
      <c r="MXE90" s="6"/>
      <c r="MXF90" s="6"/>
      <c r="MXG90" s="6"/>
      <c r="MXH90" s="6"/>
      <c r="MXI90" s="6"/>
      <c r="MXJ90" s="6"/>
      <c r="MXK90" s="6"/>
      <c r="MXL90" s="6"/>
      <c r="MXM90" s="6"/>
      <c r="MXN90" s="6"/>
      <c r="MXO90" s="6"/>
      <c r="MXP90" s="6"/>
      <c r="MXQ90" s="6"/>
      <c r="MXR90" s="6"/>
      <c r="MXS90" s="6"/>
      <c r="MXT90" s="6"/>
      <c r="MXU90" s="6"/>
      <c r="MXV90" s="6"/>
      <c r="MXW90" s="6"/>
      <c r="MXX90" s="6"/>
      <c r="MXY90" s="6"/>
      <c r="MXZ90" s="6"/>
      <c r="MYA90" s="6"/>
      <c r="MYB90" s="6"/>
      <c r="MYC90" s="6"/>
      <c r="MYD90" s="6"/>
      <c r="MYE90" s="6"/>
      <c r="MYF90" s="6"/>
      <c r="MYG90" s="6"/>
      <c r="MYH90" s="6"/>
      <c r="MYI90" s="6"/>
      <c r="MYJ90" s="6"/>
      <c r="MYK90" s="6"/>
      <c r="MYL90" s="6"/>
      <c r="MYM90" s="6"/>
      <c r="MYN90" s="6"/>
      <c r="MYO90" s="6"/>
      <c r="MYP90" s="6"/>
      <c r="MYQ90" s="6"/>
      <c r="MYR90" s="6"/>
      <c r="MYS90" s="6"/>
      <c r="MYT90" s="6"/>
      <c r="MYU90" s="6"/>
      <c r="MYV90" s="6"/>
      <c r="MYW90" s="6"/>
      <c r="MYX90" s="6"/>
      <c r="MYY90" s="6"/>
      <c r="MYZ90" s="6"/>
      <c r="MZA90" s="6"/>
      <c r="MZB90" s="6"/>
      <c r="MZC90" s="6"/>
      <c r="MZD90" s="6"/>
      <c r="MZE90" s="6"/>
      <c r="MZF90" s="6"/>
      <c r="MZG90" s="6"/>
      <c r="MZH90" s="6"/>
      <c r="MZI90" s="6"/>
      <c r="MZJ90" s="6"/>
      <c r="MZK90" s="6"/>
      <c r="MZL90" s="6"/>
      <c r="MZM90" s="6"/>
      <c r="MZN90" s="6"/>
      <c r="MZO90" s="6"/>
      <c r="MZP90" s="6"/>
      <c r="MZQ90" s="6"/>
      <c r="MZR90" s="6"/>
      <c r="MZS90" s="6"/>
      <c r="MZT90" s="6"/>
      <c r="MZU90" s="6"/>
      <c r="MZV90" s="6"/>
      <c r="MZW90" s="6"/>
      <c r="MZX90" s="6"/>
      <c r="MZY90" s="6"/>
      <c r="MZZ90" s="6"/>
      <c r="NAA90" s="6"/>
      <c r="NAB90" s="6"/>
      <c r="NAC90" s="6"/>
      <c r="NAD90" s="6"/>
      <c r="NAE90" s="6"/>
      <c r="NAF90" s="6"/>
      <c r="NAG90" s="6"/>
      <c r="NAH90" s="6"/>
      <c r="NAI90" s="6"/>
      <c r="NAJ90" s="6"/>
      <c r="NAK90" s="6"/>
      <c r="NAL90" s="6"/>
      <c r="NAM90" s="6"/>
      <c r="NAN90" s="6"/>
      <c r="NAO90" s="6"/>
      <c r="NAP90" s="6"/>
      <c r="NAQ90" s="6"/>
      <c r="NAR90" s="6"/>
      <c r="NAS90" s="6"/>
      <c r="NAT90" s="6"/>
      <c r="NAU90" s="6"/>
      <c r="NAV90" s="6"/>
      <c r="NAW90" s="6"/>
      <c r="NAX90" s="6"/>
      <c r="NAY90" s="6"/>
      <c r="NAZ90" s="6"/>
      <c r="NBA90" s="6"/>
      <c r="NBB90" s="6"/>
      <c r="NBC90" s="6"/>
      <c r="NBD90" s="6"/>
      <c r="NBE90" s="6"/>
      <c r="NBF90" s="6"/>
      <c r="NBG90" s="6"/>
      <c r="NBH90" s="6"/>
      <c r="NBI90" s="6"/>
      <c r="NBJ90" s="6"/>
      <c r="NBK90" s="6"/>
      <c r="NBL90" s="6"/>
      <c r="NBM90" s="6"/>
      <c r="NBN90" s="6"/>
      <c r="NBO90" s="6"/>
      <c r="NBP90" s="6"/>
      <c r="NBQ90" s="6"/>
      <c r="NBR90" s="6"/>
      <c r="NBS90" s="6"/>
      <c r="NBT90" s="6"/>
      <c r="NBU90" s="6"/>
      <c r="NBV90" s="6"/>
      <c r="NBW90" s="6"/>
      <c r="NBX90" s="6"/>
      <c r="NBY90" s="6"/>
      <c r="NBZ90" s="6"/>
      <c r="NCA90" s="6"/>
      <c r="NCB90" s="6"/>
      <c r="NCC90" s="6"/>
      <c r="NCD90" s="6"/>
      <c r="NCE90" s="6"/>
      <c r="NCF90" s="6"/>
      <c r="NCG90" s="6"/>
      <c r="NCH90" s="6"/>
      <c r="NCI90" s="6"/>
      <c r="NCJ90" s="6"/>
      <c r="NCK90" s="6"/>
      <c r="NCL90" s="6"/>
      <c r="NCM90" s="6"/>
      <c r="NCN90" s="6"/>
      <c r="NCO90" s="6"/>
      <c r="NCP90" s="6"/>
      <c r="NCQ90" s="6"/>
      <c r="NCR90" s="6"/>
      <c r="NCS90" s="6"/>
      <c r="NCT90" s="6"/>
      <c r="NCU90" s="6"/>
      <c r="NCV90" s="6"/>
      <c r="NCW90" s="6"/>
      <c r="NCX90" s="6"/>
      <c r="NCY90" s="6"/>
      <c r="NCZ90" s="6"/>
      <c r="NDA90" s="6"/>
      <c r="NDB90" s="6"/>
      <c r="NDC90" s="6"/>
      <c r="NDD90" s="6"/>
      <c r="NDE90" s="6"/>
      <c r="NDF90" s="6"/>
      <c r="NDG90" s="6"/>
      <c r="NDH90" s="6"/>
      <c r="NDI90" s="6"/>
      <c r="NDJ90" s="6"/>
      <c r="NDK90" s="6"/>
      <c r="NDL90" s="6"/>
      <c r="NDM90" s="6"/>
      <c r="NDN90" s="6"/>
      <c r="NDO90" s="6"/>
      <c r="NDP90" s="6"/>
      <c r="NDQ90" s="6"/>
      <c r="NDR90" s="6"/>
      <c r="NDS90" s="6"/>
      <c r="NDT90" s="6"/>
      <c r="NDU90" s="6"/>
      <c r="NDV90" s="6"/>
      <c r="NDW90" s="6"/>
      <c r="NDX90" s="6"/>
      <c r="NDY90" s="6"/>
      <c r="NDZ90" s="6"/>
      <c r="NEA90" s="6"/>
      <c r="NEB90" s="6"/>
      <c r="NEC90" s="6"/>
      <c r="NED90" s="6"/>
      <c r="NEE90" s="6"/>
      <c r="NEF90" s="6"/>
      <c r="NEG90" s="6"/>
      <c r="NEH90" s="6"/>
      <c r="NEI90" s="6"/>
      <c r="NEJ90" s="6"/>
      <c r="NEK90" s="6"/>
      <c r="NEL90" s="6"/>
      <c r="NEM90" s="6"/>
      <c r="NEN90" s="6"/>
      <c r="NEO90" s="6"/>
      <c r="NEP90" s="6"/>
      <c r="NEQ90" s="6"/>
      <c r="NER90" s="6"/>
      <c r="NES90" s="6"/>
      <c r="NET90" s="6"/>
      <c r="NEU90" s="6"/>
      <c r="NEV90" s="6"/>
      <c r="NEW90" s="6"/>
      <c r="NEX90" s="6"/>
      <c r="NEY90" s="6"/>
      <c r="NEZ90" s="6"/>
      <c r="NFA90" s="6"/>
      <c r="NFB90" s="6"/>
      <c r="NFC90" s="6"/>
      <c r="NFD90" s="6"/>
      <c r="NFE90" s="6"/>
      <c r="NFF90" s="6"/>
      <c r="NFG90" s="6"/>
      <c r="NFH90" s="6"/>
      <c r="NFI90" s="6"/>
      <c r="NFJ90" s="6"/>
      <c r="NFK90" s="6"/>
      <c r="NFL90" s="6"/>
      <c r="NFM90" s="6"/>
      <c r="NFN90" s="6"/>
      <c r="NFO90" s="6"/>
      <c r="NFP90" s="6"/>
      <c r="NFQ90" s="6"/>
      <c r="NFR90" s="6"/>
      <c r="NFS90" s="6"/>
      <c r="NFT90" s="6"/>
      <c r="NFU90" s="6"/>
      <c r="NFV90" s="6"/>
      <c r="NFW90" s="6"/>
      <c r="NFX90" s="6"/>
      <c r="NFY90" s="6"/>
      <c r="NFZ90" s="6"/>
      <c r="NGA90" s="6"/>
      <c r="NGB90" s="6"/>
      <c r="NGC90" s="6"/>
      <c r="NGD90" s="6"/>
      <c r="NGE90" s="6"/>
      <c r="NGF90" s="6"/>
      <c r="NGG90" s="6"/>
      <c r="NGH90" s="6"/>
      <c r="NGI90" s="6"/>
      <c r="NGJ90" s="6"/>
      <c r="NGK90" s="6"/>
      <c r="NGL90" s="6"/>
      <c r="NGM90" s="6"/>
      <c r="NGN90" s="6"/>
      <c r="NGO90" s="6"/>
      <c r="NGP90" s="6"/>
      <c r="NGQ90" s="6"/>
      <c r="NGR90" s="6"/>
      <c r="NGS90" s="6"/>
      <c r="NGT90" s="6"/>
      <c r="NGU90" s="6"/>
      <c r="NGV90" s="6"/>
      <c r="NGW90" s="6"/>
      <c r="NGX90" s="6"/>
      <c r="NGY90" s="6"/>
      <c r="NGZ90" s="6"/>
      <c r="NHA90" s="6"/>
      <c r="NHB90" s="6"/>
      <c r="NHC90" s="6"/>
      <c r="NHD90" s="6"/>
      <c r="NHE90" s="6"/>
      <c r="NHF90" s="6"/>
      <c r="NHG90" s="6"/>
      <c r="NHH90" s="6"/>
      <c r="NHI90" s="6"/>
      <c r="NHJ90" s="6"/>
      <c r="NHK90" s="6"/>
      <c r="NHL90" s="6"/>
      <c r="NHM90" s="6"/>
      <c r="NHN90" s="6"/>
      <c r="NHO90" s="6"/>
      <c r="NHP90" s="6"/>
      <c r="NHQ90" s="6"/>
      <c r="NHR90" s="6"/>
      <c r="NHS90" s="6"/>
      <c r="NHT90" s="6"/>
      <c r="NHU90" s="6"/>
      <c r="NHV90" s="6"/>
      <c r="NHW90" s="6"/>
      <c r="NHX90" s="6"/>
      <c r="NHY90" s="6"/>
      <c r="NHZ90" s="6"/>
      <c r="NIA90" s="6"/>
      <c r="NIB90" s="6"/>
      <c r="NIC90" s="6"/>
      <c r="NID90" s="6"/>
      <c r="NIE90" s="6"/>
      <c r="NIF90" s="6"/>
      <c r="NIG90" s="6"/>
      <c r="NIH90" s="6"/>
      <c r="NII90" s="6"/>
      <c r="NIJ90" s="6"/>
      <c r="NIK90" s="6"/>
      <c r="NIL90" s="6"/>
      <c r="NIM90" s="6"/>
      <c r="NIN90" s="6"/>
      <c r="NIO90" s="6"/>
      <c r="NIP90" s="6"/>
      <c r="NIQ90" s="6"/>
      <c r="NIR90" s="6"/>
      <c r="NIS90" s="6"/>
      <c r="NIT90" s="6"/>
      <c r="NIU90" s="6"/>
      <c r="NIV90" s="6"/>
      <c r="NIW90" s="6"/>
      <c r="NIX90" s="6"/>
      <c r="NIY90" s="6"/>
      <c r="NIZ90" s="6"/>
      <c r="NJA90" s="6"/>
      <c r="NJB90" s="6"/>
      <c r="NJC90" s="6"/>
      <c r="NJD90" s="6"/>
      <c r="NJE90" s="6"/>
      <c r="NJF90" s="6"/>
      <c r="NJG90" s="6"/>
      <c r="NJH90" s="6"/>
      <c r="NJI90" s="6"/>
      <c r="NJJ90" s="6"/>
      <c r="NJK90" s="6"/>
      <c r="NJL90" s="6"/>
      <c r="NJM90" s="6"/>
      <c r="NJN90" s="6"/>
      <c r="NJO90" s="6"/>
      <c r="NJP90" s="6"/>
      <c r="NJQ90" s="6"/>
      <c r="NJR90" s="6"/>
      <c r="NJS90" s="6"/>
      <c r="NJT90" s="6"/>
      <c r="NJU90" s="6"/>
      <c r="NJV90" s="6"/>
      <c r="NJW90" s="6"/>
      <c r="NJX90" s="6"/>
      <c r="NJY90" s="6"/>
      <c r="NJZ90" s="6"/>
      <c r="NKA90" s="6"/>
      <c r="NKB90" s="6"/>
      <c r="NKC90" s="6"/>
      <c r="NKD90" s="6"/>
      <c r="NKE90" s="6"/>
      <c r="NKF90" s="6"/>
      <c r="NKG90" s="6"/>
      <c r="NKH90" s="6"/>
      <c r="NKI90" s="6"/>
      <c r="NKJ90" s="6"/>
      <c r="NKK90" s="6"/>
      <c r="NKL90" s="6"/>
      <c r="NKM90" s="6"/>
      <c r="NKN90" s="6"/>
      <c r="NKO90" s="6"/>
      <c r="NKP90" s="6"/>
      <c r="NKQ90" s="6"/>
      <c r="NKR90" s="6"/>
      <c r="NKS90" s="6"/>
      <c r="NKT90" s="6"/>
      <c r="NKU90" s="6"/>
      <c r="NKV90" s="6"/>
      <c r="NKW90" s="6"/>
      <c r="NKX90" s="6"/>
      <c r="NKY90" s="6"/>
      <c r="NKZ90" s="6"/>
      <c r="NLA90" s="6"/>
      <c r="NLB90" s="6"/>
      <c r="NLC90" s="6"/>
      <c r="NLD90" s="6"/>
      <c r="NLE90" s="6"/>
      <c r="NLF90" s="6"/>
      <c r="NLG90" s="6"/>
      <c r="NLH90" s="6"/>
      <c r="NLI90" s="6"/>
      <c r="NLJ90" s="6"/>
      <c r="NLK90" s="6"/>
      <c r="NLL90" s="6"/>
      <c r="NLM90" s="6"/>
      <c r="NLN90" s="6"/>
      <c r="NLO90" s="6"/>
      <c r="NLP90" s="6"/>
      <c r="NLQ90" s="6"/>
      <c r="NLR90" s="6"/>
      <c r="NLS90" s="6"/>
      <c r="NLT90" s="6"/>
      <c r="NLU90" s="6"/>
      <c r="NLV90" s="6"/>
      <c r="NLW90" s="6"/>
      <c r="NLX90" s="6"/>
      <c r="NLY90" s="6"/>
      <c r="NLZ90" s="6"/>
      <c r="NMA90" s="6"/>
      <c r="NMB90" s="6"/>
      <c r="NMC90" s="6"/>
      <c r="NMD90" s="6"/>
      <c r="NME90" s="6"/>
      <c r="NMF90" s="6"/>
      <c r="NMG90" s="6"/>
      <c r="NMH90" s="6"/>
      <c r="NMI90" s="6"/>
      <c r="NMJ90" s="6"/>
      <c r="NMK90" s="6"/>
      <c r="NML90" s="6"/>
      <c r="NMM90" s="6"/>
      <c r="NMN90" s="6"/>
      <c r="NMO90" s="6"/>
      <c r="NMP90" s="6"/>
      <c r="NMQ90" s="6"/>
      <c r="NMR90" s="6"/>
      <c r="NMS90" s="6"/>
      <c r="NMT90" s="6"/>
      <c r="NMU90" s="6"/>
      <c r="NMV90" s="6"/>
      <c r="NMW90" s="6"/>
      <c r="NMX90" s="6"/>
      <c r="NMY90" s="6"/>
      <c r="NMZ90" s="6"/>
      <c r="NNA90" s="6"/>
      <c r="NNB90" s="6"/>
      <c r="NNC90" s="6"/>
      <c r="NND90" s="6"/>
      <c r="NNE90" s="6"/>
      <c r="NNF90" s="6"/>
      <c r="NNG90" s="6"/>
      <c r="NNH90" s="6"/>
      <c r="NNI90" s="6"/>
      <c r="NNJ90" s="6"/>
      <c r="NNK90" s="6"/>
      <c r="NNL90" s="6"/>
      <c r="NNM90" s="6"/>
      <c r="NNN90" s="6"/>
      <c r="NNO90" s="6"/>
      <c r="NNP90" s="6"/>
      <c r="NNQ90" s="6"/>
      <c r="NNR90" s="6"/>
      <c r="NNS90" s="6"/>
      <c r="NNT90" s="6"/>
      <c r="NNU90" s="6"/>
      <c r="NNV90" s="6"/>
      <c r="NNW90" s="6"/>
      <c r="NNX90" s="6"/>
      <c r="NNY90" s="6"/>
      <c r="NNZ90" s="6"/>
      <c r="NOA90" s="6"/>
      <c r="NOB90" s="6"/>
      <c r="NOC90" s="6"/>
      <c r="NOD90" s="6"/>
      <c r="NOE90" s="6"/>
      <c r="NOF90" s="6"/>
      <c r="NOG90" s="6"/>
      <c r="NOH90" s="6"/>
      <c r="NOI90" s="6"/>
      <c r="NOJ90" s="6"/>
      <c r="NOK90" s="6"/>
      <c r="NOL90" s="6"/>
      <c r="NOM90" s="6"/>
      <c r="NON90" s="6"/>
      <c r="NOO90" s="6"/>
      <c r="NOP90" s="6"/>
      <c r="NOQ90" s="6"/>
      <c r="NOR90" s="6"/>
      <c r="NOS90" s="6"/>
      <c r="NOT90" s="6"/>
      <c r="NOU90" s="6"/>
      <c r="NOV90" s="6"/>
      <c r="NOW90" s="6"/>
      <c r="NOX90" s="6"/>
      <c r="NOY90" s="6"/>
      <c r="NOZ90" s="6"/>
      <c r="NPA90" s="6"/>
      <c r="NPB90" s="6"/>
      <c r="NPC90" s="6"/>
      <c r="NPD90" s="6"/>
      <c r="NPE90" s="6"/>
      <c r="NPF90" s="6"/>
      <c r="NPG90" s="6"/>
      <c r="NPH90" s="6"/>
      <c r="NPI90" s="6"/>
      <c r="NPJ90" s="6"/>
      <c r="NPK90" s="6"/>
      <c r="NPL90" s="6"/>
      <c r="NPM90" s="6"/>
      <c r="NPN90" s="6"/>
      <c r="NPO90" s="6"/>
      <c r="NPP90" s="6"/>
      <c r="NPQ90" s="6"/>
      <c r="NPR90" s="6"/>
      <c r="NPS90" s="6"/>
      <c r="NPT90" s="6"/>
      <c r="NPU90" s="6"/>
      <c r="NPV90" s="6"/>
      <c r="NPW90" s="6"/>
      <c r="NPX90" s="6"/>
      <c r="NPY90" s="6"/>
      <c r="NPZ90" s="6"/>
      <c r="NQA90" s="6"/>
      <c r="NQB90" s="6"/>
      <c r="NQC90" s="6"/>
      <c r="NQD90" s="6"/>
      <c r="NQE90" s="6"/>
      <c r="NQF90" s="6"/>
      <c r="NQG90" s="6"/>
      <c r="NQH90" s="6"/>
      <c r="NQI90" s="6"/>
      <c r="NQJ90" s="6"/>
      <c r="NQK90" s="6"/>
      <c r="NQL90" s="6"/>
      <c r="NQM90" s="6"/>
      <c r="NQN90" s="6"/>
      <c r="NQO90" s="6"/>
      <c r="NQP90" s="6"/>
      <c r="NQQ90" s="6"/>
      <c r="NQR90" s="6"/>
      <c r="NQS90" s="6"/>
      <c r="NQT90" s="6"/>
      <c r="NQU90" s="6"/>
      <c r="NQV90" s="6"/>
      <c r="NQW90" s="6"/>
      <c r="NQX90" s="6"/>
      <c r="NQY90" s="6"/>
      <c r="NQZ90" s="6"/>
      <c r="NRA90" s="6"/>
      <c r="NRB90" s="6"/>
      <c r="NRC90" s="6"/>
      <c r="NRD90" s="6"/>
      <c r="NRE90" s="6"/>
      <c r="NRF90" s="6"/>
      <c r="NRG90" s="6"/>
      <c r="NRH90" s="6"/>
      <c r="NRI90" s="6"/>
      <c r="NRJ90" s="6"/>
      <c r="NRK90" s="6"/>
      <c r="NRL90" s="6"/>
      <c r="NRM90" s="6"/>
      <c r="NRN90" s="6"/>
      <c r="NRO90" s="6"/>
      <c r="NRP90" s="6"/>
      <c r="NRQ90" s="6"/>
      <c r="NRR90" s="6"/>
      <c r="NRS90" s="6"/>
      <c r="NRT90" s="6"/>
      <c r="NRU90" s="6"/>
      <c r="NRV90" s="6"/>
      <c r="NRW90" s="6"/>
      <c r="NRX90" s="6"/>
      <c r="NRY90" s="6"/>
      <c r="NRZ90" s="6"/>
      <c r="NSA90" s="6"/>
      <c r="NSB90" s="6"/>
      <c r="NSC90" s="6"/>
      <c r="NSD90" s="6"/>
      <c r="NSE90" s="6"/>
      <c r="NSF90" s="6"/>
      <c r="NSG90" s="6"/>
      <c r="NSH90" s="6"/>
      <c r="NSI90" s="6"/>
      <c r="NSJ90" s="6"/>
      <c r="NSK90" s="6"/>
      <c r="NSL90" s="6"/>
      <c r="NSM90" s="6"/>
      <c r="NSN90" s="6"/>
      <c r="NSO90" s="6"/>
      <c r="NSP90" s="6"/>
      <c r="NSQ90" s="6"/>
      <c r="NSR90" s="6"/>
      <c r="NSS90" s="6"/>
      <c r="NST90" s="6"/>
      <c r="NSU90" s="6"/>
      <c r="NSV90" s="6"/>
      <c r="NSW90" s="6"/>
      <c r="NSX90" s="6"/>
      <c r="NSY90" s="6"/>
      <c r="NSZ90" s="6"/>
      <c r="NTA90" s="6"/>
      <c r="NTB90" s="6"/>
      <c r="NTC90" s="6"/>
      <c r="NTD90" s="6"/>
      <c r="NTE90" s="6"/>
      <c r="NTF90" s="6"/>
      <c r="NTG90" s="6"/>
      <c r="NTH90" s="6"/>
      <c r="NTI90" s="6"/>
      <c r="NTJ90" s="6"/>
      <c r="NTK90" s="6"/>
      <c r="NTL90" s="6"/>
      <c r="NTM90" s="6"/>
      <c r="NTN90" s="6"/>
      <c r="NTO90" s="6"/>
      <c r="NTP90" s="6"/>
      <c r="NTQ90" s="6"/>
      <c r="NTR90" s="6"/>
      <c r="NTS90" s="6"/>
      <c r="NTT90" s="6"/>
      <c r="NTU90" s="6"/>
      <c r="NTV90" s="6"/>
      <c r="NTW90" s="6"/>
      <c r="NTX90" s="6"/>
      <c r="NTY90" s="6"/>
      <c r="NTZ90" s="6"/>
      <c r="NUA90" s="6"/>
      <c r="NUB90" s="6"/>
      <c r="NUC90" s="6"/>
      <c r="NUD90" s="6"/>
      <c r="NUE90" s="6"/>
      <c r="NUF90" s="6"/>
      <c r="NUG90" s="6"/>
      <c r="NUH90" s="6"/>
      <c r="NUI90" s="6"/>
      <c r="NUJ90" s="6"/>
      <c r="NUK90" s="6"/>
      <c r="NUL90" s="6"/>
      <c r="NUM90" s="6"/>
      <c r="NUN90" s="6"/>
      <c r="NUO90" s="6"/>
      <c r="NUP90" s="6"/>
      <c r="NUQ90" s="6"/>
      <c r="NUR90" s="6"/>
      <c r="NUS90" s="6"/>
      <c r="NUT90" s="6"/>
      <c r="NUU90" s="6"/>
      <c r="NUV90" s="6"/>
      <c r="NUW90" s="6"/>
      <c r="NUX90" s="6"/>
      <c r="NUY90" s="6"/>
      <c r="NUZ90" s="6"/>
      <c r="NVA90" s="6"/>
      <c r="NVB90" s="6"/>
      <c r="NVC90" s="6"/>
      <c r="NVD90" s="6"/>
      <c r="NVE90" s="6"/>
      <c r="NVF90" s="6"/>
      <c r="NVG90" s="6"/>
      <c r="NVH90" s="6"/>
      <c r="NVI90" s="6"/>
      <c r="NVJ90" s="6"/>
      <c r="NVK90" s="6"/>
      <c r="NVL90" s="6"/>
      <c r="NVM90" s="6"/>
      <c r="NVN90" s="6"/>
      <c r="NVO90" s="6"/>
      <c r="NVP90" s="6"/>
      <c r="NVQ90" s="6"/>
      <c r="NVR90" s="6"/>
      <c r="NVS90" s="6"/>
      <c r="NVT90" s="6"/>
      <c r="NVU90" s="6"/>
      <c r="NVV90" s="6"/>
      <c r="NVW90" s="6"/>
      <c r="NVX90" s="6"/>
      <c r="NVY90" s="6"/>
      <c r="NVZ90" s="6"/>
      <c r="NWA90" s="6"/>
      <c r="NWB90" s="6"/>
      <c r="NWC90" s="6"/>
      <c r="NWD90" s="6"/>
      <c r="NWE90" s="6"/>
      <c r="NWF90" s="6"/>
      <c r="NWG90" s="6"/>
      <c r="NWH90" s="6"/>
      <c r="NWI90" s="6"/>
      <c r="NWJ90" s="6"/>
      <c r="NWK90" s="6"/>
      <c r="NWL90" s="6"/>
      <c r="NWM90" s="6"/>
      <c r="NWN90" s="6"/>
      <c r="NWO90" s="6"/>
      <c r="NWP90" s="6"/>
      <c r="NWQ90" s="6"/>
      <c r="NWR90" s="6"/>
      <c r="NWS90" s="6"/>
      <c r="NWT90" s="6"/>
      <c r="NWU90" s="6"/>
      <c r="NWV90" s="6"/>
      <c r="NWW90" s="6"/>
      <c r="NWX90" s="6"/>
      <c r="NWY90" s="6"/>
      <c r="NWZ90" s="6"/>
      <c r="NXA90" s="6"/>
      <c r="NXB90" s="6"/>
      <c r="NXC90" s="6"/>
      <c r="NXD90" s="6"/>
      <c r="NXE90" s="6"/>
      <c r="NXF90" s="6"/>
      <c r="NXG90" s="6"/>
      <c r="NXH90" s="6"/>
      <c r="NXI90" s="6"/>
      <c r="NXJ90" s="6"/>
      <c r="NXK90" s="6"/>
      <c r="NXL90" s="6"/>
      <c r="NXM90" s="6"/>
      <c r="NXN90" s="6"/>
      <c r="NXO90" s="6"/>
      <c r="NXP90" s="6"/>
      <c r="NXQ90" s="6"/>
      <c r="NXR90" s="6"/>
      <c r="NXS90" s="6"/>
      <c r="NXT90" s="6"/>
      <c r="NXU90" s="6"/>
      <c r="NXV90" s="6"/>
      <c r="NXW90" s="6"/>
      <c r="NXX90" s="6"/>
      <c r="NXY90" s="6"/>
      <c r="NXZ90" s="6"/>
      <c r="NYA90" s="6"/>
      <c r="NYB90" s="6"/>
      <c r="NYC90" s="6"/>
      <c r="NYD90" s="6"/>
      <c r="NYE90" s="6"/>
      <c r="NYF90" s="6"/>
      <c r="NYG90" s="6"/>
      <c r="NYH90" s="6"/>
      <c r="NYI90" s="6"/>
      <c r="NYJ90" s="6"/>
      <c r="NYK90" s="6"/>
      <c r="NYL90" s="6"/>
      <c r="NYM90" s="6"/>
      <c r="NYN90" s="6"/>
      <c r="NYO90" s="6"/>
      <c r="NYP90" s="6"/>
      <c r="NYQ90" s="6"/>
      <c r="NYR90" s="6"/>
      <c r="NYS90" s="6"/>
      <c r="NYT90" s="6"/>
      <c r="NYU90" s="6"/>
      <c r="NYV90" s="6"/>
      <c r="NYW90" s="6"/>
      <c r="NYX90" s="6"/>
      <c r="NYY90" s="6"/>
      <c r="NYZ90" s="6"/>
      <c r="NZA90" s="6"/>
      <c r="NZB90" s="6"/>
      <c r="NZC90" s="6"/>
      <c r="NZD90" s="6"/>
      <c r="NZE90" s="6"/>
      <c r="NZF90" s="6"/>
      <c r="NZG90" s="6"/>
      <c r="NZH90" s="6"/>
      <c r="NZI90" s="6"/>
      <c r="NZJ90" s="6"/>
      <c r="NZK90" s="6"/>
      <c r="NZL90" s="6"/>
      <c r="NZM90" s="6"/>
      <c r="NZN90" s="6"/>
      <c r="NZO90" s="6"/>
      <c r="NZP90" s="6"/>
      <c r="NZQ90" s="6"/>
      <c r="NZR90" s="6"/>
      <c r="NZS90" s="6"/>
      <c r="NZT90" s="6"/>
      <c r="NZU90" s="6"/>
      <c r="NZV90" s="6"/>
      <c r="NZW90" s="6"/>
      <c r="NZX90" s="6"/>
      <c r="NZY90" s="6"/>
      <c r="NZZ90" s="6"/>
      <c r="OAA90" s="6"/>
      <c r="OAB90" s="6"/>
      <c r="OAC90" s="6"/>
      <c r="OAD90" s="6"/>
      <c r="OAE90" s="6"/>
      <c r="OAF90" s="6"/>
      <c r="OAG90" s="6"/>
      <c r="OAH90" s="6"/>
      <c r="OAI90" s="6"/>
      <c r="OAJ90" s="6"/>
      <c r="OAK90" s="6"/>
      <c r="OAL90" s="6"/>
      <c r="OAM90" s="6"/>
      <c r="OAN90" s="6"/>
      <c r="OAO90" s="6"/>
      <c r="OAP90" s="6"/>
      <c r="OAQ90" s="6"/>
      <c r="OAR90" s="6"/>
      <c r="OAS90" s="6"/>
      <c r="OAT90" s="6"/>
      <c r="OAU90" s="6"/>
      <c r="OAV90" s="6"/>
      <c r="OAW90" s="6"/>
      <c r="OAX90" s="6"/>
      <c r="OAY90" s="6"/>
      <c r="OAZ90" s="6"/>
      <c r="OBA90" s="6"/>
      <c r="OBB90" s="6"/>
      <c r="OBC90" s="6"/>
      <c r="OBD90" s="6"/>
      <c r="OBE90" s="6"/>
      <c r="OBF90" s="6"/>
      <c r="OBG90" s="6"/>
      <c r="OBH90" s="6"/>
      <c r="OBI90" s="6"/>
      <c r="OBJ90" s="6"/>
      <c r="OBK90" s="6"/>
      <c r="OBL90" s="6"/>
      <c r="OBM90" s="6"/>
      <c r="OBN90" s="6"/>
      <c r="OBO90" s="6"/>
      <c r="OBP90" s="6"/>
      <c r="OBQ90" s="6"/>
      <c r="OBR90" s="6"/>
      <c r="OBS90" s="6"/>
      <c r="OBT90" s="6"/>
      <c r="OBU90" s="6"/>
      <c r="OBV90" s="6"/>
      <c r="OBW90" s="6"/>
      <c r="OBX90" s="6"/>
      <c r="OBY90" s="6"/>
      <c r="OBZ90" s="6"/>
      <c r="OCA90" s="6"/>
      <c r="OCB90" s="6"/>
      <c r="OCC90" s="6"/>
      <c r="OCD90" s="6"/>
      <c r="OCE90" s="6"/>
      <c r="OCF90" s="6"/>
      <c r="OCG90" s="6"/>
      <c r="OCH90" s="6"/>
      <c r="OCI90" s="6"/>
      <c r="OCJ90" s="6"/>
      <c r="OCK90" s="6"/>
      <c r="OCL90" s="6"/>
      <c r="OCM90" s="6"/>
      <c r="OCN90" s="6"/>
      <c r="OCO90" s="6"/>
      <c r="OCP90" s="6"/>
      <c r="OCQ90" s="6"/>
      <c r="OCR90" s="6"/>
      <c r="OCS90" s="6"/>
      <c r="OCT90" s="6"/>
      <c r="OCU90" s="6"/>
      <c r="OCV90" s="6"/>
      <c r="OCW90" s="6"/>
      <c r="OCX90" s="6"/>
      <c r="OCY90" s="6"/>
      <c r="OCZ90" s="6"/>
      <c r="ODA90" s="6"/>
      <c r="ODB90" s="6"/>
      <c r="ODC90" s="6"/>
      <c r="ODD90" s="6"/>
      <c r="ODE90" s="6"/>
      <c r="ODF90" s="6"/>
      <c r="ODG90" s="6"/>
      <c r="ODH90" s="6"/>
      <c r="ODI90" s="6"/>
      <c r="ODJ90" s="6"/>
      <c r="ODK90" s="6"/>
      <c r="ODL90" s="6"/>
      <c r="ODM90" s="6"/>
      <c r="ODN90" s="6"/>
      <c r="ODO90" s="6"/>
      <c r="ODP90" s="6"/>
      <c r="ODQ90" s="6"/>
      <c r="ODR90" s="6"/>
      <c r="ODS90" s="6"/>
      <c r="ODT90" s="6"/>
      <c r="ODU90" s="6"/>
      <c r="ODV90" s="6"/>
      <c r="ODW90" s="6"/>
      <c r="ODX90" s="6"/>
      <c r="ODY90" s="6"/>
      <c r="ODZ90" s="6"/>
      <c r="OEA90" s="6"/>
      <c r="OEB90" s="6"/>
      <c r="OEC90" s="6"/>
      <c r="OED90" s="6"/>
      <c r="OEE90" s="6"/>
      <c r="OEF90" s="6"/>
      <c r="OEG90" s="6"/>
      <c r="OEH90" s="6"/>
      <c r="OEI90" s="6"/>
      <c r="OEJ90" s="6"/>
      <c r="OEK90" s="6"/>
      <c r="OEL90" s="6"/>
      <c r="OEM90" s="6"/>
      <c r="OEN90" s="6"/>
      <c r="OEO90" s="6"/>
      <c r="OEP90" s="6"/>
      <c r="OEQ90" s="6"/>
      <c r="OER90" s="6"/>
      <c r="OES90" s="6"/>
      <c r="OET90" s="6"/>
      <c r="OEU90" s="6"/>
      <c r="OEV90" s="6"/>
      <c r="OEW90" s="6"/>
      <c r="OEX90" s="6"/>
      <c r="OEY90" s="6"/>
      <c r="OEZ90" s="6"/>
      <c r="OFA90" s="6"/>
      <c r="OFB90" s="6"/>
      <c r="OFC90" s="6"/>
      <c r="OFD90" s="6"/>
      <c r="OFE90" s="6"/>
      <c r="OFF90" s="6"/>
      <c r="OFG90" s="6"/>
      <c r="OFH90" s="6"/>
      <c r="OFI90" s="6"/>
      <c r="OFJ90" s="6"/>
      <c r="OFK90" s="6"/>
      <c r="OFL90" s="6"/>
      <c r="OFM90" s="6"/>
      <c r="OFN90" s="6"/>
      <c r="OFO90" s="6"/>
      <c r="OFP90" s="6"/>
      <c r="OFQ90" s="6"/>
      <c r="OFR90" s="6"/>
      <c r="OFS90" s="6"/>
      <c r="OFT90" s="6"/>
      <c r="OFU90" s="6"/>
      <c r="OFV90" s="6"/>
      <c r="OFW90" s="6"/>
      <c r="OFX90" s="6"/>
      <c r="OFY90" s="6"/>
      <c r="OFZ90" s="6"/>
      <c r="OGA90" s="6"/>
      <c r="OGB90" s="6"/>
      <c r="OGC90" s="6"/>
      <c r="OGD90" s="6"/>
      <c r="OGE90" s="6"/>
      <c r="OGF90" s="6"/>
      <c r="OGG90" s="6"/>
      <c r="OGH90" s="6"/>
      <c r="OGI90" s="6"/>
      <c r="OGJ90" s="6"/>
      <c r="OGK90" s="6"/>
      <c r="OGL90" s="6"/>
      <c r="OGM90" s="6"/>
      <c r="OGN90" s="6"/>
      <c r="OGO90" s="6"/>
      <c r="OGP90" s="6"/>
      <c r="OGQ90" s="6"/>
      <c r="OGR90" s="6"/>
      <c r="OGS90" s="6"/>
      <c r="OGT90" s="6"/>
      <c r="OGU90" s="6"/>
      <c r="OGV90" s="6"/>
      <c r="OGW90" s="6"/>
      <c r="OGX90" s="6"/>
      <c r="OGY90" s="6"/>
      <c r="OGZ90" s="6"/>
      <c r="OHA90" s="6"/>
      <c r="OHB90" s="6"/>
      <c r="OHC90" s="6"/>
      <c r="OHD90" s="6"/>
      <c r="OHE90" s="6"/>
      <c r="OHF90" s="6"/>
      <c r="OHG90" s="6"/>
      <c r="OHH90" s="6"/>
      <c r="OHI90" s="6"/>
      <c r="OHJ90" s="6"/>
      <c r="OHK90" s="6"/>
      <c r="OHL90" s="6"/>
      <c r="OHM90" s="6"/>
      <c r="OHN90" s="6"/>
      <c r="OHO90" s="6"/>
      <c r="OHP90" s="6"/>
      <c r="OHQ90" s="6"/>
      <c r="OHR90" s="6"/>
      <c r="OHS90" s="6"/>
      <c r="OHT90" s="6"/>
      <c r="OHU90" s="6"/>
      <c r="OHV90" s="6"/>
      <c r="OHW90" s="6"/>
      <c r="OHX90" s="6"/>
      <c r="OHY90" s="6"/>
      <c r="OHZ90" s="6"/>
      <c r="OIA90" s="6"/>
      <c r="OIB90" s="6"/>
      <c r="OIC90" s="6"/>
      <c r="OID90" s="6"/>
      <c r="OIE90" s="6"/>
      <c r="OIF90" s="6"/>
      <c r="OIG90" s="6"/>
      <c r="OIH90" s="6"/>
      <c r="OII90" s="6"/>
      <c r="OIJ90" s="6"/>
      <c r="OIK90" s="6"/>
      <c r="OIL90" s="6"/>
      <c r="OIM90" s="6"/>
      <c r="OIN90" s="6"/>
      <c r="OIO90" s="6"/>
      <c r="OIP90" s="6"/>
      <c r="OIQ90" s="6"/>
      <c r="OIR90" s="6"/>
      <c r="OIS90" s="6"/>
      <c r="OIT90" s="6"/>
      <c r="OIU90" s="6"/>
      <c r="OIV90" s="6"/>
      <c r="OIW90" s="6"/>
      <c r="OIX90" s="6"/>
      <c r="OIY90" s="6"/>
      <c r="OIZ90" s="6"/>
      <c r="OJA90" s="6"/>
      <c r="OJB90" s="6"/>
      <c r="OJC90" s="6"/>
      <c r="OJD90" s="6"/>
      <c r="OJE90" s="6"/>
      <c r="OJF90" s="6"/>
      <c r="OJG90" s="6"/>
      <c r="OJH90" s="6"/>
      <c r="OJI90" s="6"/>
      <c r="OJJ90" s="6"/>
      <c r="OJK90" s="6"/>
      <c r="OJL90" s="6"/>
      <c r="OJM90" s="6"/>
      <c r="OJN90" s="6"/>
      <c r="OJO90" s="6"/>
      <c r="OJP90" s="6"/>
      <c r="OJQ90" s="6"/>
      <c r="OJR90" s="6"/>
      <c r="OJS90" s="6"/>
      <c r="OJT90" s="6"/>
      <c r="OJU90" s="6"/>
      <c r="OJV90" s="6"/>
      <c r="OJW90" s="6"/>
      <c r="OJX90" s="6"/>
      <c r="OJY90" s="6"/>
      <c r="OJZ90" s="6"/>
      <c r="OKA90" s="6"/>
      <c r="OKB90" s="6"/>
      <c r="OKC90" s="6"/>
      <c r="OKD90" s="6"/>
      <c r="OKE90" s="6"/>
      <c r="OKF90" s="6"/>
      <c r="OKG90" s="6"/>
      <c r="OKH90" s="6"/>
      <c r="OKI90" s="6"/>
      <c r="OKJ90" s="6"/>
      <c r="OKK90" s="6"/>
      <c r="OKL90" s="6"/>
      <c r="OKM90" s="6"/>
      <c r="OKN90" s="6"/>
      <c r="OKO90" s="6"/>
      <c r="OKP90" s="6"/>
      <c r="OKQ90" s="6"/>
      <c r="OKR90" s="6"/>
      <c r="OKS90" s="6"/>
      <c r="OKT90" s="6"/>
      <c r="OKU90" s="6"/>
      <c r="OKV90" s="6"/>
      <c r="OKW90" s="6"/>
      <c r="OKX90" s="6"/>
      <c r="OKY90" s="6"/>
      <c r="OKZ90" s="6"/>
      <c r="OLA90" s="6"/>
      <c r="OLB90" s="6"/>
      <c r="OLC90" s="6"/>
      <c r="OLD90" s="6"/>
      <c r="OLE90" s="6"/>
      <c r="OLF90" s="6"/>
      <c r="OLG90" s="6"/>
      <c r="OLH90" s="6"/>
      <c r="OLI90" s="6"/>
      <c r="OLJ90" s="6"/>
      <c r="OLK90" s="6"/>
      <c r="OLL90" s="6"/>
      <c r="OLM90" s="6"/>
      <c r="OLN90" s="6"/>
      <c r="OLO90" s="6"/>
      <c r="OLP90" s="6"/>
      <c r="OLQ90" s="6"/>
      <c r="OLR90" s="6"/>
      <c r="OLS90" s="6"/>
      <c r="OLT90" s="6"/>
      <c r="OLU90" s="6"/>
      <c r="OLV90" s="6"/>
      <c r="OLW90" s="6"/>
      <c r="OLX90" s="6"/>
      <c r="OLY90" s="6"/>
      <c r="OLZ90" s="6"/>
      <c r="OMA90" s="6"/>
      <c r="OMB90" s="6"/>
      <c r="OMC90" s="6"/>
      <c r="OMD90" s="6"/>
      <c r="OME90" s="6"/>
      <c r="OMF90" s="6"/>
      <c r="OMG90" s="6"/>
      <c r="OMH90" s="6"/>
      <c r="OMI90" s="6"/>
      <c r="OMJ90" s="6"/>
      <c r="OMK90" s="6"/>
      <c r="OML90" s="6"/>
      <c r="OMM90" s="6"/>
      <c r="OMN90" s="6"/>
      <c r="OMO90" s="6"/>
      <c r="OMP90" s="6"/>
      <c r="OMQ90" s="6"/>
      <c r="OMR90" s="6"/>
      <c r="OMS90" s="6"/>
      <c r="OMT90" s="6"/>
      <c r="OMU90" s="6"/>
      <c r="OMV90" s="6"/>
      <c r="OMW90" s="6"/>
      <c r="OMX90" s="6"/>
      <c r="OMY90" s="6"/>
      <c r="OMZ90" s="6"/>
      <c r="ONA90" s="6"/>
      <c r="ONB90" s="6"/>
      <c r="ONC90" s="6"/>
      <c r="OND90" s="6"/>
      <c r="ONE90" s="6"/>
      <c r="ONF90" s="6"/>
      <c r="ONG90" s="6"/>
      <c r="ONH90" s="6"/>
      <c r="ONI90" s="6"/>
      <c r="ONJ90" s="6"/>
      <c r="ONK90" s="6"/>
      <c r="ONL90" s="6"/>
      <c r="ONM90" s="6"/>
      <c r="ONN90" s="6"/>
      <c r="ONO90" s="6"/>
      <c r="ONP90" s="6"/>
      <c r="ONQ90" s="6"/>
      <c r="ONR90" s="6"/>
      <c r="ONS90" s="6"/>
      <c r="ONT90" s="6"/>
      <c r="ONU90" s="6"/>
      <c r="ONV90" s="6"/>
      <c r="ONW90" s="6"/>
      <c r="ONX90" s="6"/>
      <c r="ONY90" s="6"/>
      <c r="ONZ90" s="6"/>
      <c r="OOA90" s="6"/>
      <c r="OOB90" s="6"/>
      <c r="OOC90" s="6"/>
      <c r="OOD90" s="6"/>
      <c r="OOE90" s="6"/>
      <c r="OOF90" s="6"/>
      <c r="OOG90" s="6"/>
      <c r="OOH90" s="6"/>
      <c r="OOI90" s="6"/>
      <c r="OOJ90" s="6"/>
      <c r="OOK90" s="6"/>
      <c r="OOL90" s="6"/>
      <c r="OOM90" s="6"/>
      <c r="OON90" s="6"/>
      <c r="OOO90" s="6"/>
      <c r="OOP90" s="6"/>
      <c r="OOQ90" s="6"/>
      <c r="OOR90" s="6"/>
      <c r="OOS90" s="6"/>
      <c r="OOT90" s="6"/>
      <c r="OOU90" s="6"/>
      <c r="OOV90" s="6"/>
      <c r="OOW90" s="6"/>
      <c r="OOX90" s="6"/>
      <c r="OOY90" s="6"/>
      <c r="OOZ90" s="6"/>
      <c r="OPA90" s="6"/>
      <c r="OPB90" s="6"/>
      <c r="OPC90" s="6"/>
      <c r="OPD90" s="6"/>
      <c r="OPE90" s="6"/>
      <c r="OPF90" s="6"/>
      <c r="OPG90" s="6"/>
      <c r="OPH90" s="6"/>
      <c r="OPI90" s="6"/>
      <c r="OPJ90" s="6"/>
      <c r="OPK90" s="6"/>
      <c r="OPL90" s="6"/>
      <c r="OPM90" s="6"/>
      <c r="OPN90" s="6"/>
      <c r="OPO90" s="6"/>
      <c r="OPP90" s="6"/>
      <c r="OPQ90" s="6"/>
      <c r="OPR90" s="6"/>
      <c r="OPS90" s="6"/>
      <c r="OPT90" s="6"/>
      <c r="OPU90" s="6"/>
      <c r="OPV90" s="6"/>
      <c r="OPW90" s="6"/>
      <c r="OPX90" s="6"/>
      <c r="OPY90" s="6"/>
      <c r="OPZ90" s="6"/>
      <c r="OQA90" s="6"/>
      <c r="OQB90" s="6"/>
      <c r="OQC90" s="6"/>
      <c r="OQD90" s="6"/>
      <c r="OQE90" s="6"/>
      <c r="OQF90" s="6"/>
      <c r="OQG90" s="6"/>
      <c r="OQH90" s="6"/>
      <c r="OQI90" s="6"/>
      <c r="OQJ90" s="6"/>
      <c r="OQK90" s="6"/>
      <c r="OQL90" s="6"/>
      <c r="OQM90" s="6"/>
      <c r="OQN90" s="6"/>
      <c r="OQO90" s="6"/>
      <c r="OQP90" s="6"/>
      <c r="OQQ90" s="6"/>
      <c r="OQR90" s="6"/>
      <c r="OQS90" s="6"/>
      <c r="OQT90" s="6"/>
      <c r="OQU90" s="6"/>
      <c r="OQV90" s="6"/>
      <c r="OQW90" s="6"/>
      <c r="OQX90" s="6"/>
      <c r="OQY90" s="6"/>
      <c r="OQZ90" s="6"/>
      <c r="ORA90" s="6"/>
      <c r="ORB90" s="6"/>
      <c r="ORC90" s="6"/>
      <c r="ORD90" s="6"/>
      <c r="ORE90" s="6"/>
      <c r="ORF90" s="6"/>
      <c r="ORG90" s="6"/>
      <c r="ORH90" s="6"/>
      <c r="ORI90" s="6"/>
      <c r="ORJ90" s="6"/>
      <c r="ORK90" s="6"/>
      <c r="ORL90" s="6"/>
      <c r="ORM90" s="6"/>
      <c r="ORN90" s="6"/>
      <c r="ORO90" s="6"/>
      <c r="ORP90" s="6"/>
      <c r="ORQ90" s="6"/>
      <c r="ORR90" s="6"/>
      <c r="ORS90" s="6"/>
      <c r="ORT90" s="6"/>
      <c r="ORU90" s="6"/>
      <c r="ORV90" s="6"/>
      <c r="ORW90" s="6"/>
      <c r="ORX90" s="6"/>
      <c r="ORY90" s="6"/>
      <c r="ORZ90" s="6"/>
      <c r="OSA90" s="6"/>
      <c r="OSB90" s="6"/>
      <c r="OSC90" s="6"/>
      <c r="OSD90" s="6"/>
      <c r="OSE90" s="6"/>
      <c r="OSF90" s="6"/>
      <c r="OSG90" s="6"/>
      <c r="OSH90" s="6"/>
      <c r="OSI90" s="6"/>
      <c r="OSJ90" s="6"/>
      <c r="OSK90" s="6"/>
      <c r="OSL90" s="6"/>
      <c r="OSM90" s="6"/>
      <c r="OSN90" s="6"/>
      <c r="OSO90" s="6"/>
      <c r="OSP90" s="6"/>
      <c r="OSQ90" s="6"/>
      <c r="OSR90" s="6"/>
      <c r="OSS90" s="6"/>
      <c r="OST90" s="6"/>
      <c r="OSU90" s="6"/>
      <c r="OSV90" s="6"/>
      <c r="OSW90" s="6"/>
      <c r="OSX90" s="6"/>
      <c r="OSY90" s="6"/>
      <c r="OSZ90" s="6"/>
      <c r="OTA90" s="6"/>
      <c r="OTB90" s="6"/>
      <c r="OTC90" s="6"/>
      <c r="OTD90" s="6"/>
      <c r="OTE90" s="6"/>
      <c r="OTF90" s="6"/>
      <c r="OTG90" s="6"/>
      <c r="OTH90" s="6"/>
      <c r="OTI90" s="6"/>
      <c r="OTJ90" s="6"/>
      <c r="OTK90" s="6"/>
      <c r="OTL90" s="6"/>
      <c r="OTM90" s="6"/>
      <c r="OTN90" s="6"/>
      <c r="OTO90" s="6"/>
      <c r="OTP90" s="6"/>
      <c r="OTQ90" s="6"/>
      <c r="OTR90" s="6"/>
      <c r="OTS90" s="6"/>
      <c r="OTT90" s="6"/>
      <c r="OTU90" s="6"/>
      <c r="OTV90" s="6"/>
      <c r="OTW90" s="6"/>
      <c r="OTX90" s="6"/>
      <c r="OTY90" s="6"/>
      <c r="OTZ90" s="6"/>
      <c r="OUA90" s="6"/>
      <c r="OUB90" s="6"/>
      <c r="OUC90" s="6"/>
      <c r="OUD90" s="6"/>
      <c r="OUE90" s="6"/>
      <c r="OUF90" s="6"/>
      <c r="OUG90" s="6"/>
      <c r="OUH90" s="6"/>
      <c r="OUI90" s="6"/>
      <c r="OUJ90" s="6"/>
      <c r="OUK90" s="6"/>
      <c r="OUL90" s="6"/>
      <c r="OUM90" s="6"/>
      <c r="OUN90" s="6"/>
      <c r="OUO90" s="6"/>
      <c r="OUP90" s="6"/>
      <c r="OUQ90" s="6"/>
      <c r="OUR90" s="6"/>
      <c r="OUS90" s="6"/>
      <c r="OUT90" s="6"/>
      <c r="OUU90" s="6"/>
      <c r="OUV90" s="6"/>
      <c r="OUW90" s="6"/>
      <c r="OUX90" s="6"/>
      <c r="OUY90" s="6"/>
      <c r="OUZ90" s="6"/>
      <c r="OVA90" s="6"/>
      <c r="OVB90" s="6"/>
      <c r="OVC90" s="6"/>
      <c r="OVD90" s="6"/>
      <c r="OVE90" s="6"/>
      <c r="OVF90" s="6"/>
      <c r="OVG90" s="6"/>
      <c r="OVH90" s="6"/>
      <c r="OVI90" s="6"/>
      <c r="OVJ90" s="6"/>
      <c r="OVK90" s="6"/>
      <c r="OVL90" s="6"/>
      <c r="OVM90" s="6"/>
      <c r="OVN90" s="6"/>
      <c r="OVO90" s="6"/>
      <c r="OVP90" s="6"/>
      <c r="OVQ90" s="6"/>
      <c r="OVR90" s="6"/>
      <c r="OVS90" s="6"/>
      <c r="OVT90" s="6"/>
      <c r="OVU90" s="6"/>
      <c r="OVV90" s="6"/>
      <c r="OVW90" s="6"/>
      <c r="OVX90" s="6"/>
      <c r="OVY90" s="6"/>
      <c r="OVZ90" s="6"/>
      <c r="OWA90" s="6"/>
      <c r="OWB90" s="6"/>
      <c r="OWC90" s="6"/>
      <c r="OWD90" s="6"/>
      <c r="OWE90" s="6"/>
      <c r="OWF90" s="6"/>
      <c r="OWG90" s="6"/>
      <c r="OWH90" s="6"/>
      <c r="OWI90" s="6"/>
      <c r="OWJ90" s="6"/>
      <c r="OWK90" s="6"/>
      <c r="OWL90" s="6"/>
      <c r="OWM90" s="6"/>
      <c r="OWN90" s="6"/>
      <c r="OWO90" s="6"/>
      <c r="OWP90" s="6"/>
      <c r="OWQ90" s="6"/>
      <c r="OWR90" s="6"/>
      <c r="OWS90" s="6"/>
      <c r="OWT90" s="6"/>
      <c r="OWU90" s="6"/>
      <c r="OWV90" s="6"/>
      <c r="OWW90" s="6"/>
      <c r="OWX90" s="6"/>
      <c r="OWY90" s="6"/>
      <c r="OWZ90" s="6"/>
      <c r="OXA90" s="6"/>
      <c r="OXB90" s="6"/>
      <c r="OXC90" s="6"/>
      <c r="OXD90" s="6"/>
      <c r="OXE90" s="6"/>
      <c r="OXF90" s="6"/>
      <c r="OXG90" s="6"/>
      <c r="OXH90" s="6"/>
      <c r="OXI90" s="6"/>
      <c r="OXJ90" s="6"/>
      <c r="OXK90" s="6"/>
      <c r="OXL90" s="6"/>
      <c r="OXM90" s="6"/>
      <c r="OXN90" s="6"/>
      <c r="OXO90" s="6"/>
      <c r="OXP90" s="6"/>
      <c r="OXQ90" s="6"/>
      <c r="OXR90" s="6"/>
      <c r="OXS90" s="6"/>
      <c r="OXT90" s="6"/>
      <c r="OXU90" s="6"/>
      <c r="OXV90" s="6"/>
      <c r="OXW90" s="6"/>
      <c r="OXX90" s="6"/>
      <c r="OXY90" s="6"/>
      <c r="OXZ90" s="6"/>
      <c r="OYA90" s="6"/>
      <c r="OYB90" s="6"/>
      <c r="OYC90" s="6"/>
      <c r="OYD90" s="6"/>
      <c r="OYE90" s="6"/>
      <c r="OYF90" s="6"/>
      <c r="OYG90" s="6"/>
      <c r="OYH90" s="6"/>
      <c r="OYI90" s="6"/>
      <c r="OYJ90" s="6"/>
      <c r="OYK90" s="6"/>
      <c r="OYL90" s="6"/>
      <c r="OYM90" s="6"/>
      <c r="OYN90" s="6"/>
      <c r="OYO90" s="6"/>
      <c r="OYP90" s="6"/>
      <c r="OYQ90" s="6"/>
      <c r="OYR90" s="6"/>
      <c r="OYS90" s="6"/>
      <c r="OYT90" s="6"/>
      <c r="OYU90" s="6"/>
      <c r="OYV90" s="6"/>
      <c r="OYW90" s="6"/>
      <c r="OYX90" s="6"/>
      <c r="OYY90" s="6"/>
      <c r="OYZ90" s="6"/>
      <c r="OZA90" s="6"/>
      <c r="OZB90" s="6"/>
      <c r="OZC90" s="6"/>
      <c r="OZD90" s="6"/>
      <c r="OZE90" s="6"/>
      <c r="OZF90" s="6"/>
      <c r="OZG90" s="6"/>
      <c r="OZH90" s="6"/>
      <c r="OZI90" s="6"/>
      <c r="OZJ90" s="6"/>
      <c r="OZK90" s="6"/>
      <c r="OZL90" s="6"/>
      <c r="OZM90" s="6"/>
      <c r="OZN90" s="6"/>
      <c r="OZO90" s="6"/>
      <c r="OZP90" s="6"/>
      <c r="OZQ90" s="6"/>
      <c r="OZR90" s="6"/>
      <c r="OZS90" s="6"/>
      <c r="OZT90" s="6"/>
      <c r="OZU90" s="6"/>
      <c r="OZV90" s="6"/>
      <c r="OZW90" s="6"/>
      <c r="OZX90" s="6"/>
      <c r="OZY90" s="6"/>
      <c r="OZZ90" s="6"/>
      <c r="PAA90" s="6"/>
      <c r="PAB90" s="6"/>
      <c r="PAC90" s="6"/>
      <c r="PAD90" s="6"/>
      <c r="PAE90" s="6"/>
      <c r="PAF90" s="6"/>
      <c r="PAG90" s="6"/>
      <c r="PAH90" s="6"/>
      <c r="PAI90" s="6"/>
      <c r="PAJ90" s="6"/>
      <c r="PAK90" s="6"/>
      <c r="PAL90" s="6"/>
      <c r="PAM90" s="6"/>
      <c r="PAN90" s="6"/>
      <c r="PAO90" s="6"/>
      <c r="PAP90" s="6"/>
      <c r="PAQ90" s="6"/>
      <c r="PAR90" s="6"/>
      <c r="PAS90" s="6"/>
      <c r="PAT90" s="6"/>
      <c r="PAU90" s="6"/>
      <c r="PAV90" s="6"/>
      <c r="PAW90" s="6"/>
      <c r="PAX90" s="6"/>
      <c r="PAY90" s="6"/>
      <c r="PAZ90" s="6"/>
      <c r="PBA90" s="6"/>
      <c r="PBB90" s="6"/>
      <c r="PBC90" s="6"/>
      <c r="PBD90" s="6"/>
      <c r="PBE90" s="6"/>
      <c r="PBF90" s="6"/>
      <c r="PBG90" s="6"/>
      <c r="PBH90" s="6"/>
      <c r="PBI90" s="6"/>
      <c r="PBJ90" s="6"/>
      <c r="PBK90" s="6"/>
      <c r="PBL90" s="6"/>
      <c r="PBM90" s="6"/>
      <c r="PBN90" s="6"/>
      <c r="PBO90" s="6"/>
      <c r="PBP90" s="6"/>
      <c r="PBQ90" s="6"/>
      <c r="PBR90" s="6"/>
      <c r="PBS90" s="6"/>
      <c r="PBT90" s="6"/>
      <c r="PBU90" s="6"/>
      <c r="PBV90" s="6"/>
      <c r="PBW90" s="6"/>
      <c r="PBX90" s="6"/>
      <c r="PBY90" s="6"/>
      <c r="PBZ90" s="6"/>
      <c r="PCA90" s="6"/>
      <c r="PCB90" s="6"/>
      <c r="PCC90" s="6"/>
      <c r="PCD90" s="6"/>
      <c r="PCE90" s="6"/>
      <c r="PCF90" s="6"/>
      <c r="PCG90" s="6"/>
      <c r="PCH90" s="6"/>
      <c r="PCI90" s="6"/>
      <c r="PCJ90" s="6"/>
      <c r="PCK90" s="6"/>
      <c r="PCL90" s="6"/>
      <c r="PCM90" s="6"/>
      <c r="PCN90" s="6"/>
      <c r="PCO90" s="6"/>
      <c r="PCP90" s="6"/>
      <c r="PCQ90" s="6"/>
      <c r="PCR90" s="6"/>
      <c r="PCS90" s="6"/>
      <c r="PCT90" s="6"/>
      <c r="PCU90" s="6"/>
      <c r="PCV90" s="6"/>
      <c r="PCW90" s="6"/>
      <c r="PCX90" s="6"/>
      <c r="PCY90" s="6"/>
      <c r="PCZ90" s="6"/>
      <c r="PDA90" s="6"/>
      <c r="PDB90" s="6"/>
      <c r="PDC90" s="6"/>
      <c r="PDD90" s="6"/>
      <c r="PDE90" s="6"/>
      <c r="PDF90" s="6"/>
      <c r="PDG90" s="6"/>
      <c r="PDH90" s="6"/>
      <c r="PDI90" s="6"/>
      <c r="PDJ90" s="6"/>
      <c r="PDK90" s="6"/>
      <c r="PDL90" s="6"/>
      <c r="PDM90" s="6"/>
      <c r="PDN90" s="6"/>
      <c r="PDO90" s="6"/>
      <c r="PDP90" s="6"/>
      <c r="PDQ90" s="6"/>
      <c r="PDR90" s="6"/>
      <c r="PDS90" s="6"/>
      <c r="PDT90" s="6"/>
      <c r="PDU90" s="6"/>
      <c r="PDV90" s="6"/>
      <c r="PDW90" s="6"/>
      <c r="PDX90" s="6"/>
      <c r="PDY90" s="6"/>
      <c r="PDZ90" s="6"/>
      <c r="PEA90" s="6"/>
      <c r="PEB90" s="6"/>
      <c r="PEC90" s="6"/>
      <c r="PED90" s="6"/>
      <c r="PEE90" s="6"/>
      <c r="PEF90" s="6"/>
      <c r="PEG90" s="6"/>
      <c r="PEH90" s="6"/>
      <c r="PEI90" s="6"/>
      <c r="PEJ90" s="6"/>
      <c r="PEK90" s="6"/>
      <c r="PEL90" s="6"/>
      <c r="PEM90" s="6"/>
      <c r="PEN90" s="6"/>
      <c r="PEO90" s="6"/>
      <c r="PEP90" s="6"/>
      <c r="PEQ90" s="6"/>
      <c r="PER90" s="6"/>
      <c r="PES90" s="6"/>
      <c r="PET90" s="6"/>
      <c r="PEU90" s="6"/>
      <c r="PEV90" s="6"/>
      <c r="PEW90" s="6"/>
      <c r="PEX90" s="6"/>
      <c r="PEY90" s="6"/>
      <c r="PEZ90" s="6"/>
      <c r="PFA90" s="6"/>
      <c r="PFB90" s="6"/>
      <c r="PFC90" s="6"/>
      <c r="PFD90" s="6"/>
      <c r="PFE90" s="6"/>
      <c r="PFF90" s="6"/>
      <c r="PFG90" s="6"/>
      <c r="PFH90" s="6"/>
      <c r="PFI90" s="6"/>
      <c r="PFJ90" s="6"/>
      <c r="PFK90" s="6"/>
      <c r="PFL90" s="6"/>
      <c r="PFM90" s="6"/>
      <c r="PFN90" s="6"/>
      <c r="PFO90" s="6"/>
      <c r="PFP90" s="6"/>
      <c r="PFQ90" s="6"/>
      <c r="PFR90" s="6"/>
      <c r="PFS90" s="6"/>
      <c r="PFT90" s="6"/>
      <c r="PFU90" s="6"/>
      <c r="PFV90" s="6"/>
      <c r="PFW90" s="6"/>
      <c r="PFX90" s="6"/>
      <c r="PFY90" s="6"/>
      <c r="PFZ90" s="6"/>
      <c r="PGA90" s="6"/>
      <c r="PGB90" s="6"/>
      <c r="PGC90" s="6"/>
      <c r="PGD90" s="6"/>
      <c r="PGE90" s="6"/>
      <c r="PGF90" s="6"/>
      <c r="PGG90" s="6"/>
      <c r="PGH90" s="6"/>
      <c r="PGI90" s="6"/>
      <c r="PGJ90" s="6"/>
      <c r="PGK90" s="6"/>
      <c r="PGL90" s="6"/>
      <c r="PGM90" s="6"/>
      <c r="PGN90" s="6"/>
      <c r="PGO90" s="6"/>
      <c r="PGP90" s="6"/>
      <c r="PGQ90" s="6"/>
      <c r="PGR90" s="6"/>
      <c r="PGS90" s="6"/>
      <c r="PGT90" s="6"/>
      <c r="PGU90" s="6"/>
      <c r="PGV90" s="6"/>
      <c r="PGW90" s="6"/>
      <c r="PGX90" s="6"/>
      <c r="PGY90" s="6"/>
      <c r="PGZ90" s="6"/>
      <c r="PHA90" s="6"/>
      <c r="PHB90" s="6"/>
      <c r="PHC90" s="6"/>
      <c r="PHD90" s="6"/>
      <c r="PHE90" s="6"/>
      <c r="PHF90" s="6"/>
      <c r="PHG90" s="6"/>
      <c r="PHH90" s="6"/>
      <c r="PHI90" s="6"/>
      <c r="PHJ90" s="6"/>
      <c r="PHK90" s="6"/>
      <c r="PHL90" s="6"/>
      <c r="PHM90" s="6"/>
      <c r="PHN90" s="6"/>
      <c r="PHO90" s="6"/>
      <c r="PHP90" s="6"/>
      <c r="PHQ90" s="6"/>
      <c r="PHR90" s="6"/>
      <c r="PHS90" s="6"/>
      <c r="PHT90" s="6"/>
      <c r="PHU90" s="6"/>
      <c r="PHV90" s="6"/>
      <c r="PHW90" s="6"/>
      <c r="PHX90" s="6"/>
      <c r="PHY90" s="6"/>
      <c r="PHZ90" s="6"/>
      <c r="PIA90" s="6"/>
      <c r="PIB90" s="6"/>
      <c r="PIC90" s="6"/>
      <c r="PID90" s="6"/>
      <c r="PIE90" s="6"/>
      <c r="PIF90" s="6"/>
      <c r="PIG90" s="6"/>
      <c r="PIH90" s="6"/>
      <c r="PII90" s="6"/>
      <c r="PIJ90" s="6"/>
      <c r="PIK90" s="6"/>
      <c r="PIL90" s="6"/>
      <c r="PIM90" s="6"/>
      <c r="PIN90" s="6"/>
      <c r="PIO90" s="6"/>
      <c r="PIP90" s="6"/>
      <c r="PIQ90" s="6"/>
      <c r="PIR90" s="6"/>
      <c r="PIS90" s="6"/>
      <c r="PIT90" s="6"/>
      <c r="PIU90" s="6"/>
      <c r="PIV90" s="6"/>
      <c r="PIW90" s="6"/>
      <c r="PIX90" s="6"/>
      <c r="PIY90" s="6"/>
      <c r="PIZ90" s="6"/>
      <c r="PJA90" s="6"/>
      <c r="PJB90" s="6"/>
      <c r="PJC90" s="6"/>
      <c r="PJD90" s="6"/>
      <c r="PJE90" s="6"/>
      <c r="PJF90" s="6"/>
      <c r="PJG90" s="6"/>
      <c r="PJH90" s="6"/>
      <c r="PJI90" s="6"/>
      <c r="PJJ90" s="6"/>
      <c r="PJK90" s="6"/>
      <c r="PJL90" s="6"/>
      <c r="PJM90" s="6"/>
      <c r="PJN90" s="6"/>
      <c r="PJO90" s="6"/>
      <c r="PJP90" s="6"/>
      <c r="PJQ90" s="6"/>
      <c r="PJR90" s="6"/>
      <c r="PJS90" s="6"/>
      <c r="PJT90" s="6"/>
      <c r="PJU90" s="6"/>
      <c r="PJV90" s="6"/>
      <c r="PJW90" s="6"/>
      <c r="PJX90" s="6"/>
      <c r="PJY90" s="6"/>
      <c r="PJZ90" s="6"/>
      <c r="PKA90" s="6"/>
      <c r="PKB90" s="6"/>
      <c r="PKC90" s="6"/>
      <c r="PKD90" s="6"/>
      <c r="PKE90" s="6"/>
      <c r="PKF90" s="6"/>
      <c r="PKG90" s="6"/>
      <c r="PKH90" s="6"/>
      <c r="PKI90" s="6"/>
      <c r="PKJ90" s="6"/>
      <c r="PKK90" s="6"/>
      <c r="PKL90" s="6"/>
      <c r="PKM90" s="6"/>
      <c r="PKN90" s="6"/>
      <c r="PKO90" s="6"/>
      <c r="PKP90" s="6"/>
      <c r="PKQ90" s="6"/>
      <c r="PKR90" s="6"/>
      <c r="PKS90" s="6"/>
      <c r="PKT90" s="6"/>
      <c r="PKU90" s="6"/>
      <c r="PKV90" s="6"/>
      <c r="PKW90" s="6"/>
      <c r="PKX90" s="6"/>
      <c r="PKY90" s="6"/>
      <c r="PKZ90" s="6"/>
      <c r="PLA90" s="6"/>
      <c r="PLB90" s="6"/>
      <c r="PLC90" s="6"/>
      <c r="PLD90" s="6"/>
      <c r="PLE90" s="6"/>
      <c r="PLF90" s="6"/>
      <c r="PLG90" s="6"/>
      <c r="PLH90" s="6"/>
      <c r="PLI90" s="6"/>
      <c r="PLJ90" s="6"/>
      <c r="PLK90" s="6"/>
      <c r="PLL90" s="6"/>
      <c r="PLM90" s="6"/>
      <c r="PLN90" s="6"/>
      <c r="PLO90" s="6"/>
      <c r="PLP90" s="6"/>
      <c r="PLQ90" s="6"/>
      <c r="PLR90" s="6"/>
      <c r="PLS90" s="6"/>
      <c r="PLT90" s="6"/>
      <c r="PLU90" s="6"/>
      <c r="PLV90" s="6"/>
      <c r="PLW90" s="6"/>
      <c r="PLX90" s="6"/>
      <c r="PLY90" s="6"/>
      <c r="PLZ90" s="6"/>
      <c r="PMA90" s="6"/>
      <c r="PMB90" s="6"/>
      <c r="PMC90" s="6"/>
      <c r="PMD90" s="6"/>
      <c r="PME90" s="6"/>
      <c r="PMF90" s="6"/>
      <c r="PMG90" s="6"/>
      <c r="PMH90" s="6"/>
      <c r="PMI90" s="6"/>
      <c r="PMJ90" s="6"/>
      <c r="PMK90" s="6"/>
      <c r="PML90" s="6"/>
      <c r="PMM90" s="6"/>
      <c r="PMN90" s="6"/>
      <c r="PMO90" s="6"/>
      <c r="PMP90" s="6"/>
      <c r="PMQ90" s="6"/>
      <c r="PMR90" s="6"/>
      <c r="PMS90" s="6"/>
      <c r="PMT90" s="6"/>
      <c r="PMU90" s="6"/>
      <c r="PMV90" s="6"/>
      <c r="PMW90" s="6"/>
      <c r="PMX90" s="6"/>
      <c r="PMY90" s="6"/>
      <c r="PMZ90" s="6"/>
      <c r="PNA90" s="6"/>
      <c r="PNB90" s="6"/>
      <c r="PNC90" s="6"/>
      <c r="PND90" s="6"/>
      <c r="PNE90" s="6"/>
      <c r="PNF90" s="6"/>
      <c r="PNG90" s="6"/>
      <c r="PNH90" s="6"/>
      <c r="PNI90" s="6"/>
      <c r="PNJ90" s="6"/>
      <c r="PNK90" s="6"/>
      <c r="PNL90" s="6"/>
      <c r="PNM90" s="6"/>
      <c r="PNN90" s="6"/>
      <c r="PNO90" s="6"/>
      <c r="PNP90" s="6"/>
      <c r="PNQ90" s="6"/>
      <c r="PNR90" s="6"/>
      <c r="PNS90" s="6"/>
      <c r="PNT90" s="6"/>
      <c r="PNU90" s="6"/>
      <c r="PNV90" s="6"/>
      <c r="PNW90" s="6"/>
      <c r="PNX90" s="6"/>
      <c r="PNY90" s="6"/>
      <c r="PNZ90" s="6"/>
      <c r="POA90" s="6"/>
      <c r="POB90" s="6"/>
      <c r="POC90" s="6"/>
      <c r="POD90" s="6"/>
      <c r="POE90" s="6"/>
      <c r="POF90" s="6"/>
      <c r="POG90" s="6"/>
      <c r="POH90" s="6"/>
      <c r="POI90" s="6"/>
      <c r="POJ90" s="6"/>
      <c r="POK90" s="6"/>
      <c r="POL90" s="6"/>
      <c r="POM90" s="6"/>
      <c r="PON90" s="6"/>
      <c r="POO90" s="6"/>
      <c r="POP90" s="6"/>
      <c r="POQ90" s="6"/>
      <c r="POR90" s="6"/>
      <c r="POS90" s="6"/>
      <c r="POT90" s="6"/>
      <c r="POU90" s="6"/>
      <c r="POV90" s="6"/>
      <c r="POW90" s="6"/>
      <c r="POX90" s="6"/>
      <c r="POY90" s="6"/>
      <c r="POZ90" s="6"/>
      <c r="PPA90" s="6"/>
      <c r="PPB90" s="6"/>
      <c r="PPC90" s="6"/>
      <c r="PPD90" s="6"/>
      <c r="PPE90" s="6"/>
      <c r="PPF90" s="6"/>
      <c r="PPG90" s="6"/>
      <c r="PPH90" s="6"/>
      <c r="PPI90" s="6"/>
      <c r="PPJ90" s="6"/>
      <c r="PPK90" s="6"/>
      <c r="PPL90" s="6"/>
      <c r="PPM90" s="6"/>
      <c r="PPN90" s="6"/>
      <c r="PPO90" s="6"/>
      <c r="PPP90" s="6"/>
      <c r="PPQ90" s="6"/>
      <c r="PPR90" s="6"/>
      <c r="PPS90" s="6"/>
      <c r="PPT90" s="6"/>
      <c r="PPU90" s="6"/>
      <c r="PPV90" s="6"/>
      <c r="PPW90" s="6"/>
      <c r="PPX90" s="6"/>
      <c r="PPY90" s="6"/>
      <c r="PPZ90" s="6"/>
      <c r="PQA90" s="6"/>
      <c r="PQB90" s="6"/>
      <c r="PQC90" s="6"/>
      <c r="PQD90" s="6"/>
      <c r="PQE90" s="6"/>
      <c r="PQF90" s="6"/>
      <c r="PQG90" s="6"/>
      <c r="PQH90" s="6"/>
      <c r="PQI90" s="6"/>
      <c r="PQJ90" s="6"/>
      <c r="PQK90" s="6"/>
      <c r="PQL90" s="6"/>
      <c r="PQM90" s="6"/>
      <c r="PQN90" s="6"/>
      <c r="PQO90" s="6"/>
      <c r="PQP90" s="6"/>
      <c r="PQQ90" s="6"/>
      <c r="PQR90" s="6"/>
      <c r="PQS90" s="6"/>
      <c r="PQT90" s="6"/>
      <c r="PQU90" s="6"/>
      <c r="PQV90" s="6"/>
      <c r="PQW90" s="6"/>
      <c r="PQX90" s="6"/>
      <c r="PQY90" s="6"/>
      <c r="PQZ90" s="6"/>
      <c r="PRA90" s="6"/>
      <c r="PRB90" s="6"/>
      <c r="PRC90" s="6"/>
      <c r="PRD90" s="6"/>
      <c r="PRE90" s="6"/>
      <c r="PRF90" s="6"/>
      <c r="PRG90" s="6"/>
      <c r="PRH90" s="6"/>
      <c r="PRI90" s="6"/>
      <c r="PRJ90" s="6"/>
      <c r="PRK90" s="6"/>
      <c r="PRL90" s="6"/>
      <c r="PRM90" s="6"/>
      <c r="PRN90" s="6"/>
      <c r="PRO90" s="6"/>
      <c r="PRP90" s="6"/>
      <c r="PRQ90" s="6"/>
      <c r="PRR90" s="6"/>
      <c r="PRS90" s="6"/>
      <c r="PRT90" s="6"/>
      <c r="PRU90" s="6"/>
      <c r="PRV90" s="6"/>
      <c r="PRW90" s="6"/>
      <c r="PRX90" s="6"/>
      <c r="PRY90" s="6"/>
      <c r="PRZ90" s="6"/>
      <c r="PSA90" s="6"/>
      <c r="PSB90" s="6"/>
      <c r="PSC90" s="6"/>
      <c r="PSD90" s="6"/>
      <c r="PSE90" s="6"/>
      <c r="PSF90" s="6"/>
      <c r="PSG90" s="6"/>
      <c r="PSH90" s="6"/>
      <c r="PSI90" s="6"/>
      <c r="PSJ90" s="6"/>
      <c r="PSK90" s="6"/>
      <c r="PSL90" s="6"/>
      <c r="PSM90" s="6"/>
      <c r="PSN90" s="6"/>
      <c r="PSO90" s="6"/>
      <c r="PSP90" s="6"/>
      <c r="PSQ90" s="6"/>
      <c r="PSR90" s="6"/>
      <c r="PSS90" s="6"/>
      <c r="PST90" s="6"/>
      <c r="PSU90" s="6"/>
      <c r="PSV90" s="6"/>
      <c r="PSW90" s="6"/>
      <c r="PSX90" s="6"/>
      <c r="PSY90" s="6"/>
      <c r="PSZ90" s="6"/>
      <c r="PTA90" s="6"/>
      <c r="PTB90" s="6"/>
      <c r="PTC90" s="6"/>
      <c r="PTD90" s="6"/>
      <c r="PTE90" s="6"/>
      <c r="PTF90" s="6"/>
      <c r="PTG90" s="6"/>
      <c r="PTH90" s="6"/>
      <c r="PTI90" s="6"/>
      <c r="PTJ90" s="6"/>
      <c r="PTK90" s="6"/>
      <c r="PTL90" s="6"/>
      <c r="PTM90" s="6"/>
      <c r="PTN90" s="6"/>
      <c r="PTO90" s="6"/>
      <c r="PTP90" s="6"/>
      <c r="PTQ90" s="6"/>
      <c r="PTR90" s="6"/>
      <c r="PTS90" s="6"/>
      <c r="PTT90" s="6"/>
      <c r="PTU90" s="6"/>
      <c r="PTV90" s="6"/>
      <c r="PTW90" s="6"/>
      <c r="PTX90" s="6"/>
      <c r="PTY90" s="6"/>
      <c r="PTZ90" s="6"/>
      <c r="PUA90" s="6"/>
      <c r="PUB90" s="6"/>
      <c r="PUC90" s="6"/>
      <c r="PUD90" s="6"/>
      <c r="PUE90" s="6"/>
      <c r="PUF90" s="6"/>
      <c r="PUG90" s="6"/>
      <c r="PUH90" s="6"/>
      <c r="PUI90" s="6"/>
      <c r="PUJ90" s="6"/>
      <c r="PUK90" s="6"/>
      <c r="PUL90" s="6"/>
      <c r="PUM90" s="6"/>
      <c r="PUN90" s="6"/>
      <c r="PUO90" s="6"/>
      <c r="PUP90" s="6"/>
      <c r="PUQ90" s="6"/>
      <c r="PUR90" s="6"/>
      <c r="PUS90" s="6"/>
      <c r="PUT90" s="6"/>
      <c r="PUU90" s="6"/>
      <c r="PUV90" s="6"/>
      <c r="PUW90" s="6"/>
      <c r="PUX90" s="6"/>
      <c r="PUY90" s="6"/>
      <c r="PUZ90" s="6"/>
      <c r="PVA90" s="6"/>
      <c r="PVB90" s="6"/>
      <c r="PVC90" s="6"/>
      <c r="PVD90" s="6"/>
      <c r="PVE90" s="6"/>
      <c r="PVF90" s="6"/>
      <c r="PVG90" s="6"/>
      <c r="PVH90" s="6"/>
      <c r="PVI90" s="6"/>
      <c r="PVJ90" s="6"/>
      <c r="PVK90" s="6"/>
      <c r="PVL90" s="6"/>
      <c r="PVM90" s="6"/>
      <c r="PVN90" s="6"/>
      <c r="PVO90" s="6"/>
      <c r="PVP90" s="6"/>
      <c r="PVQ90" s="6"/>
      <c r="PVR90" s="6"/>
      <c r="PVS90" s="6"/>
      <c r="PVT90" s="6"/>
      <c r="PVU90" s="6"/>
      <c r="PVV90" s="6"/>
      <c r="PVW90" s="6"/>
      <c r="PVX90" s="6"/>
      <c r="PVY90" s="6"/>
      <c r="PVZ90" s="6"/>
      <c r="PWA90" s="6"/>
      <c r="PWB90" s="6"/>
      <c r="PWC90" s="6"/>
      <c r="PWD90" s="6"/>
      <c r="PWE90" s="6"/>
      <c r="PWF90" s="6"/>
      <c r="PWG90" s="6"/>
      <c r="PWH90" s="6"/>
      <c r="PWI90" s="6"/>
      <c r="PWJ90" s="6"/>
      <c r="PWK90" s="6"/>
      <c r="PWL90" s="6"/>
      <c r="PWM90" s="6"/>
      <c r="PWN90" s="6"/>
      <c r="PWO90" s="6"/>
      <c r="PWP90" s="6"/>
      <c r="PWQ90" s="6"/>
      <c r="PWR90" s="6"/>
      <c r="PWS90" s="6"/>
      <c r="PWT90" s="6"/>
      <c r="PWU90" s="6"/>
      <c r="PWV90" s="6"/>
      <c r="PWW90" s="6"/>
      <c r="PWX90" s="6"/>
      <c r="PWY90" s="6"/>
      <c r="PWZ90" s="6"/>
      <c r="PXA90" s="6"/>
      <c r="PXB90" s="6"/>
      <c r="PXC90" s="6"/>
      <c r="PXD90" s="6"/>
      <c r="PXE90" s="6"/>
      <c r="PXF90" s="6"/>
      <c r="PXG90" s="6"/>
      <c r="PXH90" s="6"/>
      <c r="PXI90" s="6"/>
      <c r="PXJ90" s="6"/>
      <c r="PXK90" s="6"/>
      <c r="PXL90" s="6"/>
      <c r="PXM90" s="6"/>
      <c r="PXN90" s="6"/>
      <c r="PXO90" s="6"/>
      <c r="PXP90" s="6"/>
      <c r="PXQ90" s="6"/>
      <c r="PXR90" s="6"/>
      <c r="PXS90" s="6"/>
      <c r="PXT90" s="6"/>
      <c r="PXU90" s="6"/>
      <c r="PXV90" s="6"/>
      <c r="PXW90" s="6"/>
      <c r="PXX90" s="6"/>
      <c r="PXY90" s="6"/>
      <c r="PXZ90" s="6"/>
      <c r="PYA90" s="6"/>
      <c r="PYB90" s="6"/>
      <c r="PYC90" s="6"/>
      <c r="PYD90" s="6"/>
      <c r="PYE90" s="6"/>
      <c r="PYF90" s="6"/>
      <c r="PYG90" s="6"/>
      <c r="PYH90" s="6"/>
      <c r="PYI90" s="6"/>
      <c r="PYJ90" s="6"/>
      <c r="PYK90" s="6"/>
      <c r="PYL90" s="6"/>
      <c r="PYM90" s="6"/>
      <c r="PYN90" s="6"/>
      <c r="PYO90" s="6"/>
      <c r="PYP90" s="6"/>
      <c r="PYQ90" s="6"/>
      <c r="PYR90" s="6"/>
      <c r="PYS90" s="6"/>
      <c r="PYT90" s="6"/>
      <c r="PYU90" s="6"/>
      <c r="PYV90" s="6"/>
      <c r="PYW90" s="6"/>
      <c r="PYX90" s="6"/>
      <c r="PYY90" s="6"/>
      <c r="PYZ90" s="6"/>
      <c r="PZA90" s="6"/>
      <c r="PZB90" s="6"/>
      <c r="PZC90" s="6"/>
      <c r="PZD90" s="6"/>
      <c r="PZE90" s="6"/>
      <c r="PZF90" s="6"/>
      <c r="PZG90" s="6"/>
      <c r="PZH90" s="6"/>
      <c r="PZI90" s="6"/>
      <c r="PZJ90" s="6"/>
      <c r="PZK90" s="6"/>
      <c r="PZL90" s="6"/>
      <c r="PZM90" s="6"/>
      <c r="PZN90" s="6"/>
      <c r="PZO90" s="6"/>
      <c r="PZP90" s="6"/>
      <c r="PZQ90" s="6"/>
      <c r="PZR90" s="6"/>
      <c r="PZS90" s="6"/>
      <c r="PZT90" s="6"/>
      <c r="PZU90" s="6"/>
      <c r="PZV90" s="6"/>
      <c r="PZW90" s="6"/>
      <c r="PZX90" s="6"/>
      <c r="PZY90" s="6"/>
      <c r="PZZ90" s="6"/>
      <c r="QAA90" s="6"/>
      <c r="QAB90" s="6"/>
      <c r="QAC90" s="6"/>
      <c r="QAD90" s="6"/>
      <c r="QAE90" s="6"/>
      <c r="QAF90" s="6"/>
      <c r="QAG90" s="6"/>
      <c r="QAH90" s="6"/>
      <c r="QAI90" s="6"/>
      <c r="QAJ90" s="6"/>
      <c r="QAK90" s="6"/>
      <c r="QAL90" s="6"/>
      <c r="QAM90" s="6"/>
      <c r="QAN90" s="6"/>
      <c r="QAO90" s="6"/>
      <c r="QAP90" s="6"/>
      <c r="QAQ90" s="6"/>
      <c r="QAR90" s="6"/>
      <c r="QAS90" s="6"/>
      <c r="QAT90" s="6"/>
      <c r="QAU90" s="6"/>
      <c r="QAV90" s="6"/>
      <c r="QAW90" s="6"/>
      <c r="QAX90" s="6"/>
      <c r="QAY90" s="6"/>
      <c r="QAZ90" s="6"/>
      <c r="QBA90" s="6"/>
      <c r="QBB90" s="6"/>
      <c r="QBC90" s="6"/>
      <c r="QBD90" s="6"/>
      <c r="QBE90" s="6"/>
      <c r="QBF90" s="6"/>
      <c r="QBG90" s="6"/>
      <c r="QBH90" s="6"/>
      <c r="QBI90" s="6"/>
      <c r="QBJ90" s="6"/>
      <c r="QBK90" s="6"/>
      <c r="QBL90" s="6"/>
      <c r="QBM90" s="6"/>
      <c r="QBN90" s="6"/>
      <c r="QBO90" s="6"/>
      <c r="QBP90" s="6"/>
      <c r="QBQ90" s="6"/>
      <c r="QBR90" s="6"/>
      <c r="QBS90" s="6"/>
      <c r="QBT90" s="6"/>
      <c r="QBU90" s="6"/>
      <c r="QBV90" s="6"/>
      <c r="QBW90" s="6"/>
      <c r="QBX90" s="6"/>
      <c r="QBY90" s="6"/>
      <c r="QBZ90" s="6"/>
      <c r="QCA90" s="6"/>
      <c r="QCB90" s="6"/>
      <c r="QCC90" s="6"/>
      <c r="QCD90" s="6"/>
      <c r="QCE90" s="6"/>
      <c r="QCF90" s="6"/>
      <c r="QCG90" s="6"/>
      <c r="QCH90" s="6"/>
      <c r="QCI90" s="6"/>
      <c r="QCJ90" s="6"/>
      <c r="QCK90" s="6"/>
      <c r="QCL90" s="6"/>
      <c r="QCM90" s="6"/>
      <c r="QCN90" s="6"/>
      <c r="QCO90" s="6"/>
      <c r="QCP90" s="6"/>
      <c r="QCQ90" s="6"/>
      <c r="QCR90" s="6"/>
      <c r="QCS90" s="6"/>
      <c r="QCT90" s="6"/>
      <c r="QCU90" s="6"/>
      <c r="QCV90" s="6"/>
      <c r="QCW90" s="6"/>
      <c r="QCX90" s="6"/>
      <c r="QCY90" s="6"/>
      <c r="QCZ90" s="6"/>
      <c r="QDA90" s="6"/>
      <c r="QDB90" s="6"/>
      <c r="QDC90" s="6"/>
      <c r="QDD90" s="6"/>
      <c r="QDE90" s="6"/>
      <c r="QDF90" s="6"/>
      <c r="QDG90" s="6"/>
      <c r="QDH90" s="6"/>
      <c r="QDI90" s="6"/>
      <c r="QDJ90" s="6"/>
      <c r="QDK90" s="6"/>
      <c r="QDL90" s="6"/>
      <c r="QDM90" s="6"/>
      <c r="QDN90" s="6"/>
      <c r="QDO90" s="6"/>
      <c r="QDP90" s="6"/>
      <c r="QDQ90" s="6"/>
      <c r="QDR90" s="6"/>
      <c r="QDS90" s="6"/>
      <c r="QDT90" s="6"/>
      <c r="QDU90" s="6"/>
      <c r="QDV90" s="6"/>
      <c r="QDW90" s="6"/>
      <c r="QDX90" s="6"/>
      <c r="QDY90" s="6"/>
      <c r="QDZ90" s="6"/>
      <c r="QEA90" s="6"/>
      <c r="QEB90" s="6"/>
      <c r="QEC90" s="6"/>
      <c r="QED90" s="6"/>
      <c r="QEE90" s="6"/>
      <c r="QEF90" s="6"/>
      <c r="QEG90" s="6"/>
      <c r="QEH90" s="6"/>
      <c r="QEI90" s="6"/>
      <c r="QEJ90" s="6"/>
      <c r="QEK90" s="6"/>
      <c r="QEL90" s="6"/>
      <c r="QEM90" s="6"/>
      <c r="QEN90" s="6"/>
      <c r="QEO90" s="6"/>
      <c r="QEP90" s="6"/>
      <c r="QEQ90" s="6"/>
      <c r="QER90" s="6"/>
      <c r="QES90" s="6"/>
      <c r="QET90" s="6"/>
      <c r="QEU90" s="6"/>
      <c r="QEV90" s="6"/>
      <c r="QEW90" s="6"/>
      <c r="QEX90" s="6"/>
      <c r="QEY90" s="6"/>
      <c r="QEZ90" s="6"/>
      <c r="QFA90" s="6"/>
      <c r="QFB90" s="6"/>
      <c r="QFC90" s="6"/>
      <c r="QFD90" s="6"/>
      <c r="QFE90" s="6"/>
      <c r="QFF90" s="6"/>
      <c r="QFG90" s="6"/>
      <c r="QFH90" s="6"/>
      <c r="QFI90" s="6"/>
      <c r="QFJ90" s="6"/>
      <c r="QFK90" s="6"/>
      <c r="QFL90" s="6"/>
      <c r="QFM90" s="6"/>
      <c r="QFN90" s="6"/>
      <c r="QFO90" s="6"/>
      <c r="QFP90" s="6"/>
      <c r="QFQ90" s="6"/>
      <c r="QFR90" s="6"/>
      <c r="QFS90" s="6"/>
      <c r="QFT90" s="6"/>
      <c r="QFU90" s="6"/>
      <c r="QFV90" s="6"/>
      <c r="QFW90" s="6"/>
      <c r="QFX90" s="6"/>
      <c r="QFY90" s="6"/>
      <c r="QFZ90" s="6"/>
      <c r="QGA90" s="6"/>
      <c r="QGB90" s="6"/>
      <c r="QGC90" s="6"/>
      <c r="QGD90" s="6"/>
      <c r="QGE90" s="6"/>
      <c r="QGF90" s="6"/>
      <c r="QGG90" s="6"/>
      <c r="QGH90" s="6"/>
      <c r="QGI90" s="6"/>
      <c r="QGJ90" s="6"/>
      <c r="QGK90" s="6"/>
      <c r="QGL90" s="6"/>
      <c r="QGM90" s="6"/>
      <c r="QGN90" s="6"/>
      <c r="QGO90" s="6"/>
      <c r="QGP90" s="6"/>
      <c r="QGQ90" s="6"/>
      <c r="QGR90" s="6"/>
      <c r="QGS90" s="6"/>
      <c r="QGT90" s="6"/>
      <c r="QGU90" s="6"/>
      <c r="QGV90" s="6"/>
      <c r="QGW90" s="6"/>
      <c r="QGX90" s="6"/>
      <c r="QGY90" s="6"/>
      <c r="QGZ90" s="6"/>
      <c r="QHA90" s="6"/>
      <c r="QHB90" s="6"/>
      <c r="QHC90" s="6"/>
      <c r="QHD90" s="6"/>
      <c r="QHE90" s="6"/>
      <c r="QHF90" s="6"/>
      <c r="QHG90" s="6"/>
      <c r="QHH90" s="6"/>
      <c r="QHI90" s="6"/>
      <c r="QHJ90" s="6"/>
      <c r="QHK90" s="6"/>
      <c r="QHL90" s="6"/>
      <c r="QHM90" s="6"/>
      <c r="QHN90" s="6"/>
      <c r="QHO90" s="6"/>
      <c r="QHP90" s="6"/>
      <c r="QHQ90" s="6"/>
      <c r="QHR90" s="6"/>
      <c r="QHS90" s="6"/>
      <c r="QHT90" s="6"/>
      <c r="QHU90" s="6"/>
      <c r="QHV90" s="6"/>
      <c r="QHW90" s="6"/>
      <c r="QHX90" s="6"/>
      <c r="QHY90" s="6"/>
      <c r="QHZ90" s="6"/>
      <c r="QIA90" s="6"/>
      <c r="QIB90" s="6"/>
      <c r="QIC90" s="6"/>
      <c r="QID90" s="6"/>
      <c r="QIE90" s="6"/>
      <c r="QIF90" s="6"/>
      <c r="QIG90" s="6"/>
      <c r="QIH90" s="6"/>
      <c r="QII90" s="6"/>
      <c r="QIJ90" s="6"/>
      <c r="QIK90" s="6"/>
      <c r="QIL90" s="6"/>
      <c r="QIM90" s="6"/>
      <c r="QIN90" s="6"/>
      <c r="QIO90" s="6"/>
      <c r="QIP90" s="6"/>
      <c r="QIQ90" s="6"/>
      <c r="QIR90" s="6"/>
      <c r="QIS90" s="6"/>
      <c r="QIT90" s="6"/>
      <c r="QIU90" s="6"/>
      <c r="QIV90" s="6"/>
      <c r="QIW90" s="6"/>
      <c r="QIX90" s="6"/>
      <c r="QIY90" s="6"/>
      <c r="QIZ90" s="6"/>
      <c r="QJA90" s="6"/>
      <c r="QJB90" s="6"/>
      <c r="QJC90" s="6"/>
      <c r="QJD90" s="6"/>
      <c r="QJE90" s="6"/>
      <c r="QJF90" s="6"/>
      <c r="QJG90" s="6"/>
      <c r="QJH90" s="6"/>
      <c r="QJI90" s="6"/>
      <c r="QJJ90" s="6"/>
      <c r="QJK90" s="6"/>
      <c r="QJL90" s="6"/>
      <c r="QJM90" s="6"/>
      <c r="QJN90" s="6"/>
      <c r="QJO90" s="6"/>
      <c r="QJP90" s="6"/>
      <c r="QJQ90" s="6"/>
      <c r="QJR90" s="6"/>
      <c r="QJS90" s="6"/>
      <c r="QJT90" s="6"/>
      <c r="QJU90" s="6"/>
      <c r="QJV90" s="6"/>
      <c r="QJW90" s="6"/>
      <c r="QJX90" s="6"/>
      <c r="QJY90" s="6"/>
      <c r="QJZ90" s="6"/>
      <c r="QKA90" s="6"/>
      <c r="QKB90" s="6"/>
      <c r="QKC90" s="6"/>
      <c r="QKD90" s="6"/>
      <c r="QKE90" s="6"/>
      <c r="QKF90" s="6"/>
      <c r="QKG90" s="6"/>
      <c r="QKH90" s="6"/>
      <c r="QKI90" s="6"/>
      <c r="QKJ90" s="6"/>
      <c r="QKK90" s="6"/>
      <c r="QKL90" s="6"/>
      <c r="QKM90" s="6"/>
      <c r="QKN90" s="6"/>
      <c r="QKO90" s="6"/>
      <c r="QKP90" s="6"/>
      <c r="QKQ90" s="6"/>
      <c r="QKR90" s="6"/>
      <c r="QKS90" s="6"/>
      <c r="QKT90" s="6"/>
      <c r="QKU90" s="6"/>
      <c r="QKV90" s="6"/>
      <c r="QKW90" s="6"/>
      <c r="QKX90" s="6"/>
      <c r="QKY90" s="6"/>
      <c r="QKZ90" s="6"/>
      <c r="QLA90" s="6"/>
      <c r="QLB90" s="6"/>
      <c r="QLC90" s="6"/>
      <c r="QLD90" s="6"/>
      <c r="QLE90" s="6"/>
      <c r="QLF90" s="6"/>
      <c r="QLG90" s="6"/>
      <c r="QLH90" s="6"/>
      <c r="QLI90" s="6"/>
      <c r="QLJ90" s="6"/>
      <c r="QLK90" s="6"/>
      <c r="QLL90" s="6"/>
      <c r="QLM90" s="6"/>
      <c r="QLN90" s="6"/>
      <c r="QLO90" s="6"/>
      <c r="QLP90" s="6"/>
      <c r="QLQ90" s="6"/>
      <c r="QLR90" s="6"/>
      <c r="QLS90" s="6"/>
      <c r="QLT90" s="6"/>
      <c r="QLU90" s="6"/>
      <c r="QLV90" s="6"/>
      <c r="QLW90" s="6"/>
      <c r="QLX90" s="6"/>
      <c r="QLY90" s="6"/>
      <c r="QLZ90" s="6"/>
      <c r="QMA90" s="6"/>
      <c r="QMB90" s="6"/>
      <c r="QMC90" s="6"/>
      <c r="QMD90" s="6"/>
      <c r="QME90" s="6"/>
      <c r="QMF90" s="6"/>
      <c r="QMG90" s="6"/>
      <c r="QMH90" s="6"/>
      <c r="QMI90" s="6"/>
      <c r="QMJ90" s="6"/>
      <c r="QMK90" s="6"/>
      <c r="QML90" s="6"/>
      <c r="QMM90" s="6"/>
      <c r="QMN90" s="6"/>
      <c r="QMO90" s="6"/>
      <c r="QMP90" s="6"/>
      <c r="QMQ90" s="6"/>
      <c r="QMR90" s="6"/>
      <c r="QMS90" s="6"/>
      <c r="QMT90" s="6"/>
      <c r="QMU90" s="6"/>
      <c r="QMV90" s="6"/>
      <c r="QMW90" s="6"/>
      <c r="QMX90" s="6"/>
      <c r="QMY90" s="6"/>
      <c r="QMZ90" s="6"/>
      <c r="QNA90" s="6"/>
      <c r="QNB90" s="6"/>
      <c r="QNC90" s="6"/>
      <c r="QND90" s="6"/>
      <c r="QNE90" s="6"/>
      <c r="QNF90" s="6"/>
      <c r="QNG90" s="6"/>
      <c r="QNH90" s="6"/>
      <c r="QNI90" s="6"/>
      <c r="QNJ90" s="6"/>
      <c r="QNK90" s="6"/>
      <c r="QNL90" s="6"/>
      <c r="QNM90" s="6"/>
      <c r="QNN90" s="6"/>
      <c r="QNO90" s="6"/>
      <c r="QNP90" s="6"/>
      <c r="QNQ90" s="6"/>
      <c r="QNR90" s="6"/>
      <c r="QNS90" s="6"/>
      <c r="QNT90" s="6"/>
      <c r="QNU90" s="6"/>
      <c r="QNV90" s="6"/>
      <c r="QNW90" s="6"/>
      <c r="QNX90" s="6"/>
      <c r="QNY90" s="6"/>
      <c r="QNZ90" s="6"/>
      <c r="QOA90" s="6"/>
      <c r="QOB90" s="6"/>
      <c r="QOC90" s="6"/>
      <c r="QOD90" s="6"/>
      <c r="QOE90" s="6"/>
      <c r="QOF90" s="6"/>
      <c r="QOG90" s="6"/>
      <c r="QOH90" s="6"/>
      <c r="QOI90" s="6"/>
      <c r="QOJ90" s="6"/>
      <c r="QOK90" s="6"/>
      <c r="QOL90" s="6"/>
      <c r="QOM90" s="6"/>
      <c r="QON90" s="6"/>
      <c r="QOO90" s="6"/>
      <c r="QOP90" s="6"/>
      <c r="QOQ90" s="6"/>
      <c r="QOR90" s="6"/>
      <c r="QOS90" s="6"/>
      <c r="QOT90" s="6"/>
      <c r="QOU90" s="6"/>
      <c r="QOV90" s="6"/>
      <c r="QOW90" s="6"/>
      <c r="QOX90" s="6"/>
      <c r="QOY90" s="6"/>
      <c r="QOZ90" s="6"/>
      <c r="QPA90" s="6"/>
      <c r="QPB90" s="6"/>
      <c r="QPC90" s="6"/>
      <c r="QPD90" s="6"/>
      <c r="QPE90" s="6"/>
      <c r="QPF90" s="6"/>
      <c r="QPG90" s="6"/>
      <c r="QPH90" s="6"/>
      <c r="QPI90" s="6"/>
      <c r="QPJ90" s="6"/>
      <c r="QPK90" s="6"/>
      <c r="QPL90" s="6"/>
      <c r="QPM90" s="6"/>
      <c r="QPN90" s="6"/>
      <c r="QPO90" s="6"/>
      <c r="QPP90" s="6"/>
      <c r="QPQ90" s="6"/>
      <c r="QPR90" s="6"/>
      <c r="QPS90" s="6"/>
      <c r="QPT90" s="6"/>
      <c r="QPU90" s="6"/>
      <c r="QPV90" s="6"/>
      <c r="QPW90" s="6"/>
      <c r="QPX90" s="6"/>
      <c r="QPY90" s="6"/>
      <c r="QPZ90" s="6"/>
      <c r="QQA90" s="6"/>
      <c r="QQB90" s="6"/>
      <c r="QQC90" s="6"/>
      <c r="QQD90" s="6"/>
      <c r="QQE90" s="6"/>
      <c r="QQF90" s="6"/>
      <c r="QQG90" s="6"/>
      <c r="QQH90" s="6"/>
      <c r="QQI90" s="6"/>
      <c r="QQJ90" s="6"/>
      <c r="QQK90" s="6"/>
      <c r="QQL90" s="6"/>
      <c r="QQM90" s="6"/>
      <c r="QQN90" s="6"/>
      <c r="QQO90" s="6"/>
      <c r="QQP90" s="6"/>
      <c r="QQQ90" s="6"/>
      <c r="QQR90" s="6"/>
      <c r="QQS90" s="6"/>
      <c r="QQT90" s="6"/>
      <c r="QQU90" s="6"/>
      <c r="QQV90" s="6"/>
      <c r="QQW90" s="6"/>
      <c r="QQX90" s="6"/>
      <c r="QQY90" s="6"/>
      <c r="QQZ90" s="6"/>
      <c r="QRA90" s="6"/>
      <c r="QRB90" s="6"/>
      <c r="QRC90" s="6"/>
      <c r="QRD90" s="6"/>
      <c r="QRE90" s="6"/>
      <c r="QRF90" s="6"/>
      <c r="QRG90" s="6"/>
      <c r="QRH90" s="6"/>
      <c r="QRI90" s="6"/>
      <c r="QRJ90" s="6"/>
      <c r="QRK90" s="6"/>
      <c r="QRL90" s="6"/>
      <c r="QRM90" s="6"/>
      <c r="QRN90" s="6"/>
      <c r="QRO90" s="6"/>
      <c r="QRP90" s="6"/>
      <c r="QRQ90" s="6"/>
      <c r="QRR90" s="6"/>
      <c r="QRS90" s="6"/>
      <c r="QRT90" s="6"/>
      <c r="QRU90" s="6"/>
      <c r="QRV90" s="6"/>
      <c r="QRW90" s="6"/>
      <c r="QRX90" s="6"/>
      <c r="QRY90" s="6"/>
      <c r="QRZ90" s="6"/>
      <c r="QSA90" s="6"/>
      <c r="QSB90" s="6"/>
      <c r="QSC90" s="6"/>
      <c r="QSD90" s="6"/>
      <c r="QSE90" s="6"/>
      <c r="QSF90" s="6"/>
      <c r="QSG90" s="6"/>
      <c r="QSH90" s="6"/>
      <c r="QSI90" s="6"/>
      <c r="QSJ90" s="6"/>
      <c r="QSK90" s="6"/>
      <c r="QSL90" s="6"/>
      <c r="QSM90" s="6"/>
      <c r="QSN90" s="6"/>
      <c r="QSO90" s="6"/>
      <c r="QSP90" s="6"/>
      <c r="QSQ90" s="6"/>
      <c r="QSR90" s="6"/>
      <c r="QSS90" s="6"/>
      <c r="QST90" s="6"/>
      <c r="QSU90" s="6"/>
      <c r="QSV90" s="6"/>
      <c r="QSW90" s="6"/>
      <c r="QSX90" s="6"/>
      <c r="QSY90" s="6"/>
      <c r="QSZ90" s="6"/>
      <c r="QTA90" s="6"/>
      <c r="QTB90" s="6"/>
      <c r="QTC90" s="6"/>
      <c r="QTD90" s="6"/>
      <c r="QTE90" s="6"/>
      <c r="QTF90" s="6"/>
      <c r="QTG90" s="6"/>
      <c r="QTH90" s="6"/>
      <c r="QTI90" s="6"/>
      <c r="QTJ90" s="6"/>
      <c r="QTK90" s="6"/>
      <c r="QTL90" s="6"/>
      <c r="QTM90" s="6"/>
      <c r="QTN90" s="6"/>
      <c r="QTO90" s="6"/>
      <c r="QTP90" s="6"/>
      <c r="QTQ90" s="6"/>
      <c r="QTR90" s="6"/>
      <c r="QTS90" s="6"/>
      <c r="QTT90" s="6"/>
      <c r="QTU90" s="6"/>
      <c r="QTV90" s="6"/>
      <c r="QTW90" s="6"/>
      <c r="QTX90" s="6"/>
      <c r="QTY90" s="6"/>
      <c r="QTZ90" s="6"/>
      <c r="QUA90" s="6"/>
      <c r="QUB90" s="6"/>
      <c r="QUC90" s="6"/>
      <c r="QUD90" s="6"/>
      <c r="QUE90" s="6"/>
      <c r="QUF90" s="6"/>
      <c r="QUG90" s="6"/>
      <c r="QUH90" s="6"/>
      <c r="QUI90" s="6"/>
      <c r="QUJ90" s="6"/>
      <c r="QUK90" s="6"/>
      <c r="QUL90" s="6"/>
      <c r="QUM90" s="6"/>
      <c r="QUN90" s="6"/>
      <c r="QUO90" s="6"/>
      <c r="QUP90" s="6"/>
      <c r="QUQ90" s="6"/>
      <c r="QUR90" s="6"/>
      <c r="QUS90" s="6"/>
      <c r="QUT90" s="6"/>
      <c r="QUU90" s="6"/>
      <c r="QUV90" s="6"/>
      <c r="QUW90" s="6"/>
      <c r="QUX90" s="6"/>
      <c r="QUY90" s="6"/>
      <c r="QUZ90" s="6"/>
      <c r="QVA90" s="6"/>
      <c r="QVB90" s="6"/>
      <c r="QVC90" s="6"/>
      <c r="QVD90" s="6"/>
      <c r="QVE90" s="6"/>
      <c r="QVF90" s="6"/>
      <c r="QVG90" s="6"/>
      <c r="QVH90" s="6"/>
      <c r="QVI90" s="6"/>
      <c r="QVJ90" s="6"/>
      <c r="QVK90" s="6"/>
      <c r="QVL90" s="6"/>
      <c r="QVM90" s="6"/>
      <c r="QVN90" s="6"/>
      <c r="QVO90" s="6"/>
      <c r="QVP90" s="6"/>
      <c r="QVQ90" s="6"/>
      <c r="QVR90" s="6"/>
      <c r="QVS90" s="6"/>
      <c r="QVT90" s="6"/>
      <c r="QVU90" s="6"/>
      <c r="QVV90" s="6"/>
      <c r="QVW90" s="6"/>
      <c r="QVX90" s="6"/>
      <c r="QVY90" s="6"/>
      <c r="QVZ90" s="6"/>
      <c r="QWA90" s="6"/>
      <c r="QWB90" s="6"/>
      <c r="QWC90" s="6"/>
      <c r="QWD90" s="6"/>
      <c r="QWE90" s="6"/>
      <c r="QWF90" s="6"/>
      <c r="QWG90" s="6"/>
      <c r="QWH90" s="6"/>
      <c r="QWI90" s="6"/>
      <c r="QWJ90" s="6"/>
      <c r="QWK90" s="6"/>
      <c r="QWL90" s="6"/>
      <c r="QWM90" s="6"/>
      <c r="QWN90" s="6"/>
      <c r="QWO90" s="6"/>
      <c r="QWP90" s="6"/>
      <c r="QWQ90" s="6"/>
      <c r="QWR90" s="6"/>
      <c r="QWS90" s="6"/>
      <c r="QWT90" s="6"/>
      <c r="QWU90" s="6"/>
      <c r="QWV90" s="6"/>
      <c r="QWW90" s="6"/>
      <c r="QWX90" s="6"/>
      <c r="QWY90" s="6"/>
      <c r="QWZ90" s="6"/>
      <c r="QXA90" s="6"/>
      <c r="QXB90" s="6"/>
      <c r="QXC90" s="6"/>
      <c r="QXD90" s="6"/>
      <c r="QXE90" s="6"/>
      <c r="QXF90" s="6"/>
      <c r="QXG90" s="6"/>
      <c r="QXH90" s="6"/>
      <c r="QXI90" s="6"/>
      <c r="QXJ90" s="6"/>
      <c r="QXK90" s="6"/>
      <c r="QXL90" s="6"/>
      <c r="QXM90" s="6"/>
      <c r="QXN90" s="6"/>
      <c r="QXO90" s="6"/>
      <c r="QXP90" s="6"/>
      <c r="QXQ90" s="6"/>
      <c r="QXR90" s="6"/>
      <c r="QXS90" s="6"/>
      <c r="QXT90" s="6"/>
      <c r="QXU90" s="6"/>
      <c r="QXV90" s="6"/>
      <c r="QXW90" s="6"/>
      <c r="QXX90" s="6"/>
      <c r="QXY90" s="6"/>
      <c r="QXZ90" s="6"/>
      <c r="QYA90" s="6"/>
      <c r="QYB90" s="6"/>
      <c r="QYC90" s="6"/>
      <c r="QYD90" s="6"/>
      <c r="QYE90" s="6"/>
      <c r="QYF90" s="6"/>
      <c r="QYG90" s="6"/>
      <c r="QYH90" s="6"/>
      <c r="QYI90" s="6"/>
      <c r="QYJ90" s="6"/>
      <c r="QYK90" s="6"/>
      <c r="QYL90" s="6"/>
      <c r="QYM90" s="6"/>
      <c r="QYN90" s="6"/>
      <c r="QYO90" s="6"/>
      <c r="QYP90" s="6"/>
      <c r="QYQ90" s="6"/>
      <c r="QYR90" s="6"/>
      <c r="QYS90" s="6"/>
      <c r="QYT90" s="6"/>
      <c r="QYU90" s="6"/>
      <c r="QYV90" s="6"/>
      <c r="QYW90" s="6"/>
      <c r="QYX90" s="6"/>
      <c r="QYY90" s="6"/>
      <c r="QYZ90" s="6"/>
      <c r="QZA90" s="6"/>
      <c r="QZB90" s="6"/>
      <c r="QZC90" s="6"/>
      <c r="QZD90" s="6"/>
      <c r="QZE90" s="6"/>
      <c r="QZF90" s="6"/>
      <c r="QZG90" s="6"/>
      <c r="QZH90" s="6"/>
      <c r="QZI90" s="6"/>
      <c r="QZJ90" s="6"/>
      <c r="QZK90" s="6"/>
      <c r="QZL90" s="6"/>
      <c r="QZM90" s="6"/>
      <c r="QZN90" s="6"/>
      <c r="QZO90" s="6"/>
      <c r="QZP90" s="6"/>
      <c r="QZQ90" s="6"/>
      <c r="QZR90" s="6"/>
      <c r="QZS90" s="6"/>
      <c r="QZT90" s="6"/>
      <c r="QZU90" s="6"/>
      <c r="QZV90" s="6"/>
      <c r="QZW90" s="6"/>
      <c r="QZX90" s="6"/>
      <c r="QZY90" s="6"/>
      <c r="QZZ90" s="6"/>
      <c r="RAA90" s="6"/>
      <c r="RAB90" s="6"/>
      <c r="RAC90" s="6"/>
      <c r="RAD90" s="6"/>
      <c r="RAE90" s="6"/>
      <c r="RAF90" s="6"/>
      <c r="RAG90" s="6"/>
      <c r="RAH90" s="6"/>
      <c r="RAI90" s="6"/>
      <c r="RAJ90" s="6"/>
      <c r="RAK90" s="6"/>
      <c r="RAL90" s="6"/>
      <c r="RAM90" s="6"/>
      <c r="RAN90" s="6"/>
      <c r="RAO90" s="6"/>
      <c r="RAP90" s="6"/>
      <c r="RAQ90" s="6"/>
      <c r="RAR90" s="6"/>
      <c r="RAS90" s="6"/>
      <c r="RAT90" s="6"/>
      <c r="RAU90" s="6"/>
      <c r="RAV90" s="6"/>
      <c r="RAW90" s="6"/>
      <c r="RAX90" s="6"/>
      <c r="RAY90" s="6"/>
      <c r="RAZ90" s="6"/>
      <c r="RBA90" s="6"/>
      <c r="RBB90" s="6"/>
      <c r="RBC90" s="6"/>
      <c r="RBD90" s="6"/>
      <c r="RBE90" s="6"/>
      <c r="RBF90" s="6"/>
      <c r="RBG90" s="6"/>
      <c r="RBH90" s="6"/>
      <c r="RBI90" s="6"/>
      <c r="RBJ90" s="6"/>
      <c r="RBK90" s="6"/>
      <c r="RBL90" s="6"/>
      <c r="RBM90" s="6"/>
      <c r="RBN90" s="6"/>
      <c r="RBO90" s="6"/>
      <c r="RBP90" s="6"/>
      <c r="RBQ90" s="6"/>
      <c r="RBR90" s="6"/>
      <c r="RBS90" s="6"/>
      <c r="RBT90" s="6"/>
      <c r="RBU90" s="6"/>
      <c r="RBV90" s="6"/>
      <c r="RBW90" s="6"/>
      <c r="RBX90" s="6"/>
      <c r="RBY90" s="6"/>
      <c r="RBZ90" s="6"/>
      <c r="RCA90" s="6"/>
      <c r="RCB90" s="6"/>
      <c r="RCC90" s="6"/>
      <c r="RCD90" s="6"/>
      <c r="RCE90" s="6"/>
      <c r="RCF90" s="6"/>
      <c r="RCG90" s="6"/>
      <c r="RCH90" s="6"/>
      <c r="RCI90" s="6"/>
      <c r="RCJ90" s="6"/>
      <c r="RCK90" s="6"/>
      <c r="RCL90" s="6"/>
      <c r="RCM90" s="6"/>
      <c r="RCN90" s="6"/>
      <c r="RCO90" s="6"/>
      <c r="RCP90" s="6"/>
      <c r="RCQ90" s="6"/>
      <c r="RCR90" s="6"/>
      <c r="RCS90" s="6"/>
      <c r="RCT90" s="6"/>
      <c r="RCU90" s="6"/>
      <c r="RCV90" s="6"/>
      <c r="RCW90" s="6"/>
      <c r="RCX90" s="6"/>
      <c r="RCY90" s="6"/>
      <c r="RCZ90" s="6"/>
      <c r="RDA90" s="6"/>
      <c r="RDB90" s="6"/>
      <c r="RDC90" s="6"/>
      <c r="RDD90" s="6"/>
      <c r="RDE90" s="6"/>
      <c r="RDF90" s="6"/>
      <c r="RDG90" s="6"/>
      <c r="RDH90" s="6"/>
      <c r="RDI90" s="6"/>
      <c r="RDJ90" s="6"/>
      <c r="RDK90" s="6"/>
      <c r="RDL90" s="6"/>
      <c r="RDM90" s="6"/>
      <c r="RDN90" s="6"/>
      <c r="RDO90" s="6"/>
      <c r="RDP90" s="6"/>
      <c r="RDQ90" s="6"/>
      <c r="RDR90" s="6"/>
      <c r="RDS90" s="6"/>
      <c r="RDT90" s="6"/>
      <c r="RDU90" s="6"/>
      <c r="RDV90" s="6"/>
      <c r="RDW90" s="6"/>
      <c r="RDX90" s="6"/>
      <c r="RDY90" s="6"/>
      <c r="RDZ90" s="6"/>
      <c r="REA90" s="6"/>
      <c r="REB90" s="6"/>
      <c r="REC90" s="6"/>
      <c r="RED90" s="6"/>
      <c r="REE90" s="6"/>
      <c r="REF90" s="6"/>
      <c r="REG90" s="6"/>
      <c r="REH90" s="6"/>
      <c r="REI90" s="6"/>
      <c r="REJ90" s="6"/>
      <c r="REK90" s="6"/>
      <c r="REL90" s="6"/>
      <c r="REM90" s="6"/>
      <c r="REN90" s="6"/>
      <c r="REO90" s="6"/>
      <c r="REP90" s="6"/>
      <c r="REQ90" s="6"/>
      <c r="RER90" s="6"/>
      <c r="RES90" s="6"/>
      <c r="RET90" s="6"/>
      <c r="REU90" s="6"/>
      <c r="REV90" s="6"/>
      <c r="REW90" s="6"/>
      <c r="REX90" s="6"/>
      <c r="REY90" s="6"/>
      <c r="REZ90" s="6"/>
      <c r="RFA90" s="6"/>
      <c r="RFB90" s="6"/>
      <c r="RFC90" s="6"/>
      <c r="RFD90" s="6"/>
      <c r="RFE90" s="6"/>
      <c r="RFF90" s="6"/>
      <c r="RFG90" s="6"/>
      <c r="RFH90" s="6"/>
      <c r="RFI90" s="6"/>
      <c r="RFJ90" s="6"/>
      <c r="RFK90" s="6"/>
      <c r="RFL90" s="6"/>
      <c r="RFM90" s="6"/>
      <c r="RFN90" s="6"/>
      <c r="RFO90" s="6"/>
      <c r="RFP90" s="6"/>
      <c r="RFQ90" s="6"/>
      <c r="RFR90" s="6"/>
      <c r="RFS90" s="6"/>
      <c r="RFT90" s="6"/>
      <c r="RFU90" s="6"/>
      <c r="RFV90" s="6"/>
      <c r="RFW90" s="6"/>
      <c r="RFX90" s="6"/>
      <c r="RFY90" s="6"/>
      <c r="RFZ90" s="6"/>
      <c r="RGA90" s="6"/>
      <c r="RGB90" s="6"/>
      <c r="RGC90" s="6"/>
      <c r="RGD90" s="6"/>
      <c r="RGE90" s="6"/>
      <c r="RGF90" s="6"/>
      <c r="RGG90" s="6"/>
      <c r="RGH90" s="6"/>
      <c r="RGI90" s="6"/>
      <c r="RGJ90" s="6"/>
      <c r="RGK90" s="6"/>
      <c r="RGL90" s="6"/>
      <c r="RGM90" s="6"/>
      <c r="RGN90" s="6"/>
      <c r="RGO90" s="6"/>
      <c r="RGP90" s="6"/>
      <c r="RGQ90" s="6"/>
      <c r="RGR90" s="6"/>
      <c r="RGS90" s="6"/>
      <c r="RGT90" s="6"/>
      <c r="RGU90" s="6"/>
      <c r="RGV90" s="6"/>
      <c r="RGW90" s="6"/>
      <c r="RGX90" s="6"/>
      <c r="RGY90" s="6"/>
      <c r="RGZ90" s="6"/>
      <c r="RHA90" s="6"/>
      <c r="RHB90" s="6"/>
      <c r="RHC90" s="6"/>
      <c r="RHD90" s="6"/>
      <c r="RHE90" s="6"/>
      <c r="RHF90" s="6"/>
      <c r="RHG90" s="6"/>
      <c r="RHH90" s="6"/>
      <c r="RHI90" s="6"/>
      <c r="RHJ90" s="6"/>
      <c r="RHK90" s="6"/>
      <c r="RHL90" s="6"/>
      <c r="RHM90" s="6"/>
      <c r="RHN90" s="6"/>
      <c r="RHO90" s="6"/>
      <c r="RHP90" s="6"/>
      <c r="RHQ90" s="6"/>
      <c r="RHR90" s="6"/>
      <c r="RHS90" s="6"/>
      <c r="RHT90" s="6"/>
      <c r="RHU90" s="6"/>
      <c r="RHV90" s="6"/>
      <c r="RHW90" s="6"/>
      <c r="RHX90" s="6"/>
      <c r="RHY90" s="6"/>
      <c r="RHZ90" s="6"/>
      <c r="RIA90" s="6"/>
      <c r="RIB90" s="6"/>
      <c r="RIC90" s="6"/>
      <c r="RID90" s="6"/>
      <c r="RIE90" s="6"/>
      <c r="RIF90" s="6"/>
      <c r="RIG90" s="6"/>
      <c r="RIH90" s="6"/>
      <c r="RII90" s="6"/>
      <c r="RIJ90" s="6"/>
      <c r="RIK90" s="6"/>
      <c r="RIL90" s="6"/>
      <c r="RIM90" s="6"/>
      <c r="RIN90" s="6"/>
      <c r="RIO90" s="6"/>
      <c r="RIP90" s="6"/>
      <c r="RIQ90" s="6"/>
      <c r="RIR90" s="6"/>
      <c r="RIS90" s="6"/>
      <c r="RIT90" s="6"/>
      <c r="RIU90" s="6"/>
      <c r="RIV90" s="6"/>
      <c r="RIW90" s="6"/>
      <c r="RIX90" s="6"/>
      <c r="RIY90" s="6"/>
      <c r="RIZ90" s="6"/>
      <c r="RJA90" s="6"/>
      <c r="RJB90" s="6"/>
      <c r="RJC90" s="6"/>
      <c r="RJD90" s="6"/>
      <c r="RJE90" s="6"/>
      <c r="RJF90" s="6"/>
      <c r="RJG90" s="6"/>
      <c r="RJH90" s="6"/>
      <c r="RJI90" s="6"/>
      <c r="RJJ90" s="6"/>
      <c r="RJK90" s="6"/>
      <c r="RJL90" s="6"/>
      <c r="RJM90" s="6"/>
      <c r="RJN90" s="6"/>
      <c r="RJO90" s="6"/>
      <c r="RJP90" s="6"/>
      <c r="RJQ90" s="6"/>
      <c r="RJR90" s="6"/>
      <c r="RJS90" s="6"/>
      <c r="RJT90" s="6"/>
      <c r="RJU90" s="6"/>
      <c r="RJV90" s="6"/>
      <c r="RJW90" s="6"/>
      <c r="RJX90" s="6"/>
      <c r="RJY90" s="6"/>
      <c r="RJZ90" s="6"/>
      <c r="RKA90" s="6"/>
      <c r="RKB90" s="6"/>
      <c r="RKC90" s="6"/>
      <c r="RKD90" s="6"/>
      <c r="RKE90" s="6"/>
      <c r="RKF90" s="6"/>
      <c r="RKG90" s="6"/>
      <c r="RKH90" s="6"/>
      <c r="RKI90" s="6"/>
      <c r="RKJ90" s="6"/>
      <c r="RKK90" s="6"/>
      <c r="RKL90" s="6"/>
      <c r="RKM90" s="6"/>
      <c r="RKN90" s="6"/>
      <c r="RKO90" s="6"/>
      <c r="RKP90" s="6"/>
      <c r="RKQ90" s="6"/>
      <c r="RKR90" s="6"/>
      <c r="RKS90" s="6"/>
      <c r="RKT90" s="6"/>
      <c r="RKU90" s="6"/>
      <c r="RKV90" s="6"/>
      <c r="RKW90" s="6"/>
      <c r="RKX90" s="6"/>
      <c r="RKY90" s="6"/>
      <c r="RKZ90" s="6"/>
      <c r="RLA90" s="6"/>
      <c r="RLB90" s="6"/>
      <c r="RLC90" s="6"/>
      <c r="RLD90" s="6"/>
      <c r="RLE90" s="6"/>
      <c r="RLF90" s="6"/>
      <c r="RLG90" s="6"/>
      <c r="RLH90" s="6"/>
      <c r="RLI90" s="6"/>
      <c r="RLJ90" s="6"/>
      <c r="RLK90" s="6"/>
      <c r="RLL90" s="6"/>
      <c r="RLM90" s="6"/>
      <c r="RLN90" s="6"/>
      <c r="RLO90" s="6"/>
      <c r="RLP90" s="6"/>
      <c r="RLQ90" s="6"/>
      <c r="RLR90" s="6"/>
      <c r="RLS90" s="6"/>
      <c r="RLT90" s="6"/>
      <c r="RLU90" s="6"/>
      <c r="RLV90" s="6"/>
      <c r="RLW90" s="6"/>
      <c r="RLX90" s="6"/>
      <c r="RLY90" s="6"/>
      <c r="RLZ90" s="6"/>
      <c r="RMA90" s="6"/>
      <c r="RMB90" s="6"/>
      <c r="RMC90" s="6"/>
      <c r="RMD90" s="6"/>
      <c r="RME90" s="6"/>
      <c r="RMF90" s="6"/>
      <c r="RMG90" s="6"/>
      <c r="RMH90" s="6"/>
      <c r="RMI90" s="6"/>
      <c r="RMJ90" s="6"/>
      <c r="RMK90" s="6"/>
      <c r="RML90" s="6"/>
      <c r="RMM90" s="6"/>
      <c r="RMN90" s="6"/>
      <c r="RMO90" s="6"/>
      <c r="RMP90" s="6"/>
      <c r="RMQ90" s="6"/>
      <c r="RMR90" s="6"/>
      <c r="RMS90" s="6"/>
      <c r="RMT90" s="6"/>
      <c r="RMU90" s="6"/>
      <c r="RMV90" s="6"/>
      <c r="RMW90" s="6"/>
      <c r="RMX90" s="6"/>
      <c r="RMY90" s="6"/>
      <c r="RMZ90" s="6"/>
      <c r="RNA90" s="6"/>
      <c r="RNB90" s="6"/>
      <c r="RNC90" s="6"/>
      <c r="RND90" s="6"/>
      <c r="RNE90" s="6"/>
      <c r="RNF90" s="6"/>
      <c r="RNG90" s="6"/>
      <c r="RNH90" s="6"/>
      <c r="RNI90" s="6"/>
      <c r="RNJ90" s="6"/>
      <c r="RNK90" s="6"/>
      <c r="RNL90" s="6"/>
      <c r="RNM90" s="6"/>
      <c r="RNN90" s="6"/>
      <c r="RNO90" s="6"/>
      <c r="RNP90" s="6"/>
      <c r="RNQ90" s="6"/>
      <c r="RNR90" s="6"/>
      <c r="RNS90" s="6"/>
      <c r="RNT90" s="6"/>
      <c r="RNU90" s="6"/>
      <c r="RNV90" s="6"/>
      <c r="RNW90" s="6"/>
      <c r="RNX90" s="6"/>
      <c r="RNY90" s="6"/>
      <c r="RNZ90" s="6"/>
      <c r="ROA90" s="6"/>
      <c r="ROB90" s="6"/>
      <c r="ROC90" s="6"/>
      <c r="ROD90" s="6"/>
      <c r="ROE90" s="6"/>
      <c r="ROF90" s="6"/>
      <c r="ROG90" s="6"/>
      <c r="ROH90" s="6"/>
      <c r="ROI90" s="6"/>
      <c r="ROJ90" s="6"/>
      <c r="ROK90" s="6"/>
      <c r="ROL90" s="6"/>
      <c r="ROM90" s="6"/>
      <c r="RON90" s="6"/>
      <c r="ROO90" s="6"/>
      <c r="ROP90" s="6"/>
      <c r="ROQ90" s="6"/>
      <c r="ROR90" s="6"/>
      <c r="ROS90" s="6"/>
      <c r="ROT90" s="6"/>
      <c r="ROU90" s="6"/>
      <c r="ROV90" s="6"/>
      <c r="ROW90" s="6"/>
      <c r="ROX90" s="6"/>
      <c r="ROY90" s="6"/>
      <c r="ROZ90" s="6"/>
      <c r="RPA90" s="6"/>
      <c r="RPB90" s="6"/>
      <c r="RPC90" s="6"/>
      <c r="RPD90" s="6"/>
      <c r="RPE90" s="6"/>
      <c r="RPF90" s="6"/>
      <c r="RPG90" s="6"/>
      <c r="RPH90" s="6"/>
      <c r="RPI90" s="6"/>
      <c r="RPJ90" s="6"/>
      <c r="RPK90" s="6"/>
      <c r="RPL90" s="6"/>
      <c r="RPM90" s="6"/>
      <c r="RPN90" s="6"/>
      <c r="RPO90" s="6"/>
      <c r="RPP90" s="6"/>
      <c r="RPQ90" s="6"/>
      <c r="RPR90" s="6"/>
      <c r="RPS90" s="6"/>
      <c r="RPT90" s="6"/>
      <c r="RPU90" s="6"/>
      <c r="RPV90" s="6"/>
      <c r="RPW90" s="6"/>
      <c r="RPX90" s="6"/>
      <c r="RPY90" s="6"/>
      <c r="RPZ90" s="6"/>
      <c r="RQA90" s="6"/>
      <c r="RQB90" s="6"/>
      <c r="RQC90" s="6"/>
      <c r="RQD90" s="6"/>
      <c r="RQE90" s="6"/>
      <c r="RQF90" s="6"/>
      <c r="RQG90" s="6"/>
      <c r="RQH90" s="6"/>
      <c r="RQI90" s="6"/>
      <c r="RQJ90" s="6"/>
      <c r="RQK90" s="6"/>
      <c r="RQL90" s="6"/>
      <c r="RQM90" s="6"/>
      <c r="RQN90" s="6"/>
      <c r="RQO90" s="6"/>
      <c r="RQP90" s="6"/>
      <c r="RQQ90" s="6"/>
      <c r="RQR90" s="6"/>
      <c r="RQS90" s="6"/>
      <c r="RQT90" s="6"/>
      <c r="RQU90" s="6"/>
      <c r="RQV90" s="6"/>
      <c r="RQW90" s="6"/>
      <c r="RQX90" s="6"/>
      <c r="RQY90" s="6"/>
      <c r="RQZ90" s="6"/>
      <c r="RRA90" s="6"/>
      <c r="RRB90" s="6"/>
      <c r="RRC90" s="6"/>
      <c r="RRD90" s="6"/>
      <c r="RRE90" s="6"/>
      <c r="RRF90" s="6"/>
      <c r="RRG90" s="6"/>
      <c r="RRH90" s="6"/>
      <c r="RRI90" s="6"/>
      <c r="RRJ90" s="6"/>
      <c r="RRK90" s="6"/>
      <c r="RRL90" s="6"/>
      <c r="RRM90" s="6"/>
      <c r="RRN90" s="6"/>
      <c r="RRO90" s="6"/>
      <c r="RRP90" s="6"/>
      <c r="RRQ90" s="6"/>
      <c r="RRR90" s="6"/>
      <c r="RRS90" s="6"/>
      <c r="RRT90" s="6"/>
      <c r="RRU90" s="6"/>
      <c r="RRV90" s="6"/>
      <c r="RRW90" s="6"/>
      <c r="RRX90" s="6"/>
      <c r="RRY90" s="6"/>
      <c r="RRZ90" s="6"/>
      <c r="RSA90" s="6"/>
      <c r="RSB90" s="6"/>
      <c r="RSC90" s="6"/>
      <c r="RSD90" s="6"/>
      <c r="RSE90" s="6"/>
      <c r="RSF90" s="6"/>
      <c r="RSG90" s="6"/>
      <c r="RSH90" s="6"/>
      <c r="RSI90" s="6"/>
      <c r="RSJ90" s="6"/>
      <c r="RSK90" s="6"/>
      <c r="RSL90" s="6"/>
      <c r="RSM90" s="6"/>
      <c r="RSN90" s="6"/>
      <c r="RSO90" s="6"/>
      <c r="RSP90" s="6"/>
      <c r="RSQ90" s="6"/>
      <c r="RSR90" s="6"/>
      <c r="RSS90" s="6"/>
      <c r="RST90" s="6"/>
      <c r="RSU90" s="6"/>
      <c r="RSV90" s="6"/>
      <c r="RSW90" s="6"/>
      <c r="RSX90" s="6"/>
      <c r="RSY90" s="6"/>
      <c r="RSZ90" s="6"/>
      <c r="RTA90" s="6"/>
      <c r="RTB90" s="6"/>
      <c r="RTC90" s="6"/>
      <c r="RTD90" s="6"/>
      <c r="RTE90" s="6"/>
      <c r="RTF90" s="6"/>
      <c r="RTG90" s="6"/>
      <c r="RTH90" s="6"/>
      <c r="RTI90" s="6"/>
      <c r="RTJ90" s="6"/>
      <c r="RTK90" s="6"/>
      <c r="RTL90" s="6"/>
      <c r="RTM90" s="6"/>
      <c r="RTN90" s="6"/>
      <c r="RTO90" s="6"/>
      <c r="RTP90" s="6"/>
      <c r="RTQ90" s="6"/>
      <c r="RTR90" s="6"/>
      <c r="RTS90" s="6"/>
      <c r="RTT90" s="6"/>
      <c r="RTU90" s="6"/>
      <c r="RTV90" s="6"/>
      <c r="RTW90" s="6"/>
      <c r="RTX90" s="6"/>
      <c r="RTY90" s="6"/>
      <c r="RTZ90" s="6"/>
      <c r="RUA90" s="6"/>
      <c r="RUB90" s="6"/>
      <c r="RUC90" s="6"/>
      <c r="RUD90" s="6"/>
      <c r="RUE90" s="6"/>
      <c r="RUF90" s="6"/>
      <c r="RUG90" s="6"/>
      <c r="RUH90" s="6"/>
      <c r="RUI90" s="6"/>
      <c r="RUJ90" s="6"/>
      <c r="RUK90" s="6"/>
      <c r="RUL90" s="6"/>
      <c r="RUM90" s="6"/>
      <c r="RUN90" s="6"/>
      <c r="RUO90" s="6"/>
      <c r="RUP90" s="6"/>
      <c r="RUQ90" s="6"/>
      <c r="RUR90" s="6"/>
      <c r="RUS90" s="6"/>
      <c r="RUT90" s="6"/>
      <c r="RUU90" s="6"/>
      <c r="RUV90" s="6"/>
      <c r="RUW90" s="6"/>
      <c r="RUX90" s="6"/>
      <c r="RUY90" s="6"/>
      <c r="RUZ90" s="6"/>
      <c r="RVA90" s="6"/>
      <c r="RVB90" s="6"/>
      <c r="RVC90" s="6"/>
      <c r="RVD90" s="6"/>
      <c r="RVE90" s="6"/>
      <c r="RVF90" s="6"/>
      <c r="RVG90" s="6"/>
      <c r="RVH90" s="6"/>
      <c r="RVI90" s="6"/>
      <c r="RVJ90" s="6"/>
      <c r="RVK90" s="6"/>
      <c r="RVL90" s="6"/>
      <c r="RVM90" s="6"/>
      <c r="RVN90" s="6"/>
      <c r="RVO90" s="6"/>
      <c r="RVP90" s="6"/>
      <c r="RVQ90" s="6"/>
      <c r="RVR90" s="6"/>
      <c r="RVS90" s="6"/>
      <c r="RVT90" s="6"/>
      <c r="RVU90" s="6"/>
      <c r="RVV90" s="6"/>
      <c r="RVW90" s="6"/>
      <c r="RVX90" s="6"/>
      <c r="RVY90" s="6"/>
      <c r="RVZ90" s="6"/>
      <c r="RWA90" s="6"/>
      <c r="RWB90" s="6"/>
      <c r="RWC90" s="6"/>
      <c r="RWD90" s="6"/>
      <c r="RWE90" s="6"/>
      <c r="RWF90" s="6"/>
      <c r="RWG90" s="6"/>
      <c r="RWH90" s="6"/>
      <c r="RWI90" s="6"/>
      <c r="RWJ90" s="6"/>
      <c r="RWK90" s="6"/>
      <c r="RWL90" s="6"/>
      <c r="RWM90" s="6"/>
      <c r="RWN90" s="6"/>
      <c r="RWO90" s="6"/>
      <c r="RWP90" s="6"/>
      <c r="RWQ90" s="6"/>
      <c r="RWR90" s="6"/>
      <c r="RWS90" s="6"/>
      <c r="RWT90" s="6"/>
      <c r="RWU90" s="6"/>
      <c r="RWV90" s="6"/>
      <c r="RWW90" s="6"/>
      <c r="RWX90" s="6"/>
      <c r="RWY90" s="6"/>
      <c r="RWZ90" s="6"/>
      <c r="RXA90" s="6"/>
      <c r="RXB90" s="6"/>
      <c r="RXC90" s="6"/>
      <c r="RXD90" s="6"/>
      <c r="RXE90" s="6"/>
      <c r="RXF90" s="6"/>
      <c r="RXG90" s="6"/>
      <c r="RXH90" s="6"/>
      <c r="RXI90" s="6"/>
      <c r="RXJ90" s="6"/>
      <c r="RXK90" s="6"/>
      <c r="RXL90" s="6"/>
      <c r="RXM90" s="6"/>
      <c r="RXN90" s="6"/>
      <c r="RXO90" s="6"/>
      <c r="RXP90" s="6"/>
      <c r="RXQ90" s="6"/>
      <c r="RXR90" s="6"/>
      <c r="RXS90" s="6"/>
      <c r="RXT90" s="6"/>
      <c r="RXU90" s="6"/>
      <c r="RXV90" s="6"/>
      <c r="RXW90" s="6"/>
      <c r="RXX90" s="6"/>
      <c r="RXY90" s="6"/>
      <c r="RXZ90" s="6"/>
      <c r="RYA90" s="6"/>
      <c r="RYB90" s="6"/>
      <c r="RYC90" s="6"/>
      <c r="RYD90" s="6"/>
      <c r="RYE90" s="6"/>
      <c r="RYF90" s="6"/>
      <c r="RYG90" s="6"/>
      <c r="RYH90" s="6"/>
      <c r="RYI90" s="6"/>
      <c r="RYJ90" s="6"/>
      <c r="RYK90" s="6"/>
      <c r="RYL90" s="6"/>
      <c r="RYM90" s="6"/>
      <c r="RYN90" s="6"/>
      <c r="RYO90" s="6"/>
      <c r="RYP90" s="6"/>
      <c r="RYQ90" s="6"/>
      <c r="RYR90" s="6"/>
      <c r="RYS90" s="6"/>
      <c r="RYT90" s="6"/>
      <c r="RYU90" s="6"/>
      <c r="RYV90" s="6"/>
      <c r="RYW90" s="6"/>
      <c r="RYX90" s="6"/>
      <c r="RYY90" s="6"/>
      <c r="RYZ90" s="6"/>
      <c r="RZA90" s="6"/>
      <c r="RZB90" s="6"/>
      <c r="RZC90" s="6"/>
      <c r="RZD90" s="6"/>
      <c r="RZE90" s="6"/>
      <c r="RZF90" s="6"/>
      <c r="RZG90" s="6"/>
      <c r="RZH90" s="6"/>
      <c r="RZI90" s="6"/>
      <c r="RZJ90" s="6"/>
      <c r="RZK90" s="6"/>
      <c r="RZL90" s="6"/>
      <c r="RZM90" s="6"/>
      <c r="RZN90" s="6"/>
      <c r="RZO90" s="6"/>
      <c r="RZP90" s="6"/>
      <c r="RZQ90" s="6"/>
      <c r="RZR90" s="6"/>
      <c r="RZS90" s="6"/>
      <c r="RZT90" s="6"/>
      <c r="RZU90" s="6"/>
      <c r="RZV90" s="6"/>
      <c r="RZW90" s="6"/>
      <c r="RZX90" s="6"/>
      <c r="RZY90" s="6"/>
      <c r="RZZ90" s="6"/>
      <c r="SAA90" s="6"/>
      <c r="SAB90" s="6"/>
      <c r="SAC90" s="6"/>
      <c r="SAD90" s="6"/>
      <c r="SAE90" s="6"/>
      <c r="SAF90" s="6"/>
      <c r="SAG90" s="6"/>
      <c r="SAH90" s="6"/>
      <c r="SAI90" s="6"/>
      <c r="SAJ90" s="6"/>
      <c r="SAK90" s="6"/>
      <c r="SAL90" s="6"/>
      <c r="SAM90" s="6"/>
      <c r="SAN90" s="6"/>
      <c r="SAO90" s="6"/>
      <c r="SAP90" s="6"/>
      <c r="SAQ90" s="6"/>
      <c r="SAR90" s="6"/>
      <c r="SAS90" s="6"/>
      <c r="SAT90" s="6"/>
      <c r="SAU90" s="6"/>
      <c r="SAV90" s="6"/>
      <c r="SAW90" s="6"/>
      <c r="SAX90" s="6"/>
      <c r="SAY90" s="6"/>
      <c r="SAZ90" s="6"/>
      <c r="SBA90" s="6"/>
      <c r="SBB90" s="6"/>
      <c r="SBC90" s="6"/>
      <c r="SBD90" s="6"/>
      <c r="SBE90" s="6"/>
      <c r="SBF90" s="6"/>
      <c r="SBG90" s="6"/>
      <c r="SBH90" s="6"/>
      <c r="SBI90" s="6"/>
      <c r="SBJ90" s="6"/>
      <c r="SBK90" s="6"/>
      <c r="SBL90" s="6"/>
      <c r="SBM90" s="6"/>
      <c r="SBN90" s="6"/>
      <c r="SBO90" s="6"/>
      <c r="SBP90" s="6"/>
      <c r="SBQ90" s="6"/>
      <c r="SBR90" s="6"/>
      <c r="SBS90" s="6"/>
      <c r="SBT90" s="6"/>
      <c r="SBU90" s="6"/>
      <c r="SBV90" s="6"/>
      <c r="SBW90" s="6"/>
      <c r="SBX90" s="6"/>
      <c r="SBY90" s="6"/>
      <c r="SBZ90" s="6"/>
      <c r="SCA90" s="6"/>
      <c r="SCB90" s="6"/>
      <c r="SCC90" s="6"/>
      <c r="SCD90" s="6"/>
      <c r="SCE90" s="6"/>
      <c r="SCF90" s="6"/>
      <c r="SCG90" s="6"/>
      <c r="SCH90" s="6"/>
      <c r="SCI90" s="6"/>
      <c r="SCJ90" s="6"/>
      <c r="SCK90" s="6"/>
      <c r="SCL90" s="6"/>
      <c r="SCM90" s="6"/>
      <c r="SCN90" s="6"/>
      <c r="SCO90" s="6"/>
      <c r="SCP90" s="6"/>
      <c r="SCQ90" s="6"/>
      <c r="SCR90" s="6"/>
      <c r="SCS90" s="6"/>
      <c r="SCT90" s="6"/>
      <c r="SCU90" s="6"/>
      <c r="SCV90" s="6"/>
      <c r="SCW90" s="6"/>
      <c r="SCX90" s="6"/>
      <c r="SCY90" s="6"/>
      <c r="SCZ90" s="6"/>
      <c r="SDA90" s="6"/>
      <c r="SDB90" s="6"/>
      <c r="SDC90" s="6"/>
      <c r="SDD90" s="6"/>
      <c r="SDE90" s="6"/>
      <c r="SDF90" s="6"/>
      <c r="SDG90" s="6"/>
      <c r="SDH90" s="6"/>
      <c r="SDI90" s="6"/>
      <c r="SDJ90" s="6"/>
      <c r="SDK90" s="6"/>
      <c r="SDL90" s="6"/>
      <c r="SDM90" s="6"/>
      <c r="SDN90" s="6"/>
      <c r="SDO90" s="6"/>
      <c r="SDP90" s="6"/>
      <c r="SDQ90" s="6"/>
      <c r="SDR90" s="6"/>
      <c r="SDS90" s="6"/>
      <c r="SDT90" s="6"/>
      <c r="SDU90" s="6"/>
      <c r="SDV90" s="6"/>
      <c r="SDW90" s="6"/>
      <c r="SDX90" s="6"/>
      <c r="SDY90" s="6"/>
      <c r="SDZ90" s="6"/>
      <c r="SEA90" s="6"/>
      <c r="SEB90" s="6"/>
      <c r="SEC90" s="6"/>
      <c r="SED90" s="6"/>
      <c r="SEE90" s="6"/>
      <c r="SEF90" s="6"/>
      <c r="SEG90" s="6"/>
      <c r="SEH90" s="6"/>
      <c r="SEI90" s="6"/>
      <c r="SEJ90" s="6"/>
      <c r="SEK90" s="6"/>
      <c r="SEL90" s="6"/>
      <c r="SEM90" s="6"/>
      <c r="SEN90" s="6"/>
      <c r="SEO90" s="6"/>
      <c r="SEP90" s="6"/>
      <c r="SEQ90" s="6"/>
      <c r="SER90" s="6"/>
      <c r="SES90" s="6"/>
      <c r="SET90" s="6"/>
      <c r="SEU90" s="6"/>
      <c r="SEV90" s="6"/>
      <c r="SEW90" s="6"/>
      <c r="SEX90" s="6"/>
      <c r="SEY90" s="6"/>
      <c r="SEZ90" s="6"/>
      <c r="SFA90" s="6"/>
      <c r="SFB90" s="6"/>
      <c r="SFC90" s="6"/>
      <c r="SFD90" s="6"/>
      <c r="SFE90" s="6"/>
      <c r="SFF90" s="6"/>
      <c r="SFG90" s="6"/>
      <c r="SFH90" s="6"/>
      <c r="SFI90" s="6"/>
      <c r="SFJ90" s="6"/>
      <c r="SFK90" s="6"/>
      <c r="SFL90" s="6"/>
      <c r="SFM90" s="6"/>
      <c r="SFN90" s="6"/>
      <c r="SFO90" s="6"/>
      <c r="SFP90" s="6"/>
      <c r="SFQ90" s="6"/>
      <c r="SFR90" s="6"/>
      <c r="SFS90" s="6"/>
      <c r="SFT90" s="6"/>
      <c r="SFU90" s="6"/>
      <c r="SFV90" s="6"/>
      <c r="SFW90" s="6"/>
      <c r="SFX90" s="6"/>
      <c r="SFY90" s="6"/>
      <c r="SFZ90" s="6"/>
      <c r="SGA90" s="6"/>
      <c r="SGB90" s="6"/>
      <c r="SGC90" s="6"/>
      <c r="SGD90" s="6"/>
      <c r="SGE90" s="6"/>
      <c r="SGF90" s="6"/>
      <c r="SGG90" s="6"/>
      <c r="SGH90" s="6"/>
      <c r="SGI90" s="6"/>
      <c r="SGJ90" s="6"/>
      <c r="SGK90" s="6"/>
      <c r="SGL90" s="6"/>
      <c r="SGM90" s="6"/>
      <c r="SGN90" s="6"/>
      <c r="SGO90" s="6"/>
      <c r="SGP90" s="6"/>
      <c r="SGQ90" s="6"/>
      <c r="SGR90" s="6"/>
      <c r="SGS90" s="6"/>
      <c r="SGT90" s="6"/>
      <c r="SGU90" s="6"/>
      <c r="SGV90" s="6"/>
      <c r="SGW90" s="6"/>
      <c r="SGX90" s="6"/>
      <c r="SGY90" s="6"/>
      <c r="SGZ90" s="6"/>
      <c r="SHA90" s="6"/>
      <c r="SHB90" s="6"/>
      <c r="SHC90" s="6"/>
      <c r="SHD90" s="6"/>
      <c r="SHE90" s="6"/>
      <c r="SHF90" s="6"/>
      <c r="SHG90" s="6"/>
      <c r="SHH90" s="6"/>
      <c r="SHI90" s="6"/>
      <c r="SHJ90" s="6"/>
      <c r="SHK90" s="6"/>
      <c r="SHL90" s="6"/>
      <c r="SHM90" s="6"/>
      <c r="SHN90" s="6"/>
      <c r="SHO90" s="6"/>
      <c r="SHP90" s="6"/>
      <c r="SHQ90" s="6"/>
      <c r="SHR90" s="6"/>
      <c r="SHS90" s="6"/>
      <c r="SHT90" s="6"/>
      <c r="SHU90" s="6"/>
      <c r="SHV90" s="6"/>
      <c r="SHW90" s="6"/>
      <c r="SHX90" s="6"/>
      <c r="SHY90" s="6"/>
      <c r="SHZ90" s="6"/>
      <c r="SIA90" s="6"/>
      <c r="SIB90" s="6"/>
      <c r="SIC90" s="6"/>
      <c r="SID90" s="6"/>
      <c r="SIE90" s="6"/>
      <c r="SIF90" s="6"/>
      <c r="SIG90" s="6"/>
      <c r="SIH90" s="6"/>
      <c r="SII90" s="6"/>
      <c r="SIJ90" s="6"/>
      <c r="SIK90" s="6"/>
      <c r="SIL90" s="6"/>
      <c r="SIM90" s="6"/>
      <c r="SIN90" s="6"/>
      <c r="SIO90" s="6"/>
      <c r="SIP90" s="6"/>
      <c r="SIQ90" s="6"/>
      <c r="SIR90" s="6"/>
      <c r="SIS90" s="6"/>
      <c r="SIT90" s="6"/>
      <c r="SIU90" s="6"/>
      <c r="SIV90" s="6"/>
      <c r="SIW90" s="6"/>
      <c r="SIX90" s="6"/>
      <c r="SIY90" s="6"/>
      <c r="SIZ90" s="6"/>
      <c r="SJA90" s="6"/>
      <c r="SJB90" s="6"/>
      <c r="SJC90" s="6"/>
      <c r="SJD90" s="6"/>
      <c r="SJE90" s="6"/>
      <c r="SJF90" s="6"/>
      <c r="SJG90" s="6"/>
      <c r="SJH90" s="6"/>
      <c r="SJI90" s="6"/>
      <c r="SJJ90" s="6"/>
      <c r="SJK90" s="6"/>
      <c r="SJL90" s="6"/>
      <c r="SJM90" s="6"/>
      <c r="SJN90" s="6"/>
      <c r="SJO90" s="6"/>
      <c r="SJP90" s="6"/>
      <c r="SJQ90" s="6"/>
      <c r="SJR90" s="6"/>
      <c r="SJS90" s="6"/>
      <c r="SJT90" s="6"/>
      <c r="SJU90" s="6"/>
      <c r="SJV90" s="6"/>
      <c r="SJW90" s="6"/>
      <c r="SJX90" s="6"/>
      <c r="SJY90" s="6"/>
      <c r="SJZ90" s="6"/>
      <c r="SKA90" s="6"/>
      <c r="SKB90" s="6"/>
      <c r="SKC90" s="6"/>
      <c r="SKD90" s="6"/>
      <c r="SKE90" s="6"/>
      <c r="SKF90" s="6"/>
      <c r="SKG90" s="6"/>
      <c r="SKH90" s="6"/>
      <c r="SKI90" s="6"/>
      <c r="SKJ90" s="6"/>
      <c r="SKK90" s="6"/>
      <c r="SKL90" s="6"/>
      <c r="SKM90" s="6"/>
      <c r="SKN90" s="6"/>
      <c r="SKO90" s="6"/>
      <c r="SKP90" s="6"/>
      <c r="SKQ90" s="6"/>
      <c r="SKR90" s="6"/>
      <c r="SKS90" s="6"/>
      <c r="SKT90" s="6"/>
      <c r="SKU90" s="6"/>
      <c r="SKV90" s="6"/>
      <c r="SKW90" s="6"/>
      <c r="SKX90" s="6"/>
      <c r="SKY90" s="6"/>
      <c r="SKZ90" s="6"/>
      <c r="SLA90" s="6"/>
      <c r="SLB90" s="6"/>
      <c r="SLC90" s="6"/>
      <c r="SLD90" s="6"/>
      <c r="SLE90" s="6"/>
      <c r="SLF90" s="6"/>
      <c r="SLG90" s="6"/>
      <c r="SLH90" s="6"/>
      <c r="SLI90" s="6"/>
      <c r="SLJ90" s="6"/>
      <c r="SLK90" s="6"/>
      <c r="SLL90" s="6"/>
      <c r="SLM90" s="6"/>
      <c r="SLN90" s="6"/>
      <c r="SLO90" s="6"/>
      <c r="SLP90" s="6"/>
      <c r="SLQ90" s="6"/>
      <c r="SLR90" s="6"/>
      <c r="SLS90" s="6"/>
      <c r="SLT90" s="6"/>
      <c r="SLU90" s="6"/>
      <c r="SLV90" s="6"/>
      <c r="SLW90" s="6"/>
      <c r="SLX90" s="6"/>
      <c r="SLY90" s="6"/>
      <c r="SLZ90" s="6"/>
      <c r="SMA90" s="6"/>
      <c r="SMB90" s="6"/>
      <c r="SMC90" s="6"/>
      <c r="SMD90" s="6"/>
      <c r="SME90" s="6"/>
      <c r="SMF90" s="6"/>
      <c r="SMG90" s="6"/>
      <c r="SMH90" s="6"/>
      <c r="SMI90" s="6"/>
      <c r="SMJ90" s="6"/>
      <c r="SMK90" s="6"/>
      <c r="SML90" s="6"/>
      <c r="SMM90" s="6"/>
      <c r="SMN90" s="6"/>
      <c r="SMO90" s="6"/>
      <c r="SMP90" s="6"/>
      <c r="SMQ90" s="6"/>
      <c r="SMR90" s="6"/>
      <c r="SMS90" s="6"/>
      <c r="SMT90" s="6"/>
      <c r="SMU90" s="6"/>
      <c r="SMV90" s="6"/>
      <c r="SMW90" s="6"/>
      <c r="SMX90" s="6"/>
      <c r="SMY90" s="6"/>
      <c r="SMZ90" s="6"/>
      <c r="SNA90" s="6"/>
      <c r="SNB90" s="6"/>
      <c r="SNC90" s="6"/>
      <c r="SND90" s="6"/>
      <c r="SNE90" s="6"/>
      <c r="SNF90" s="6"/>
      <c r="SNG90" s="6"/>
      <c r="SNH90" s="6"/>
      <c r="SNI90" s="6"/>
      <c r="SNJ90" s="6"/>
      <c r="SNK90" s="6"/>
      <c r="SNL90" s="6"/>
      <c r="SNM90" s="6"/>
      <c r="SNN90" s="6"/>
      <c r="SNO90" s="6"/>
      <c r="SNP90" s="6"/>
      <c r="SNQ90" s="6"/>
      <c r="SNR90" s="6"/>
      <c r="SNS90" s="6"/>
      <c r="SNT90" s="6"/>
      <c r="SNU90" s="6"/>
      <c r="SNV90" s="6"/>
      <c r="SNW90" s="6"/>
      <c r="SNX90" s="6"/>
      <c r="SNY90" s="6"/>
      <c r="SNZ90" s="6"/>
      <c r="SOA90" s="6"/>
      <c r="SOB90" s="6"/>
      <c r="SOC90" s="6"/>
      <c r="SOD90" s="6"/>
      <c r="SOE90" s="6"/>
      <c r="SOF90" s="6"/>
      <c r="SOG90" s="6"/>
      <c r="SOH90" s="6"/>
      <c r="SOI90" s="6"/>
      <c r="SOJ90" s="6"/>
      <c r="SOK90" s="6"/>
      <c r="SOL90" s="6"/>
      <c r="SOM90" s="6"/>
      <c r="SON90" s="6"/>
      <c r="SOO90" s="6"/>
      <c r="SOP90" s="6"/>
      <c r="SOQ90" s="6"/>
      <c r="SOR90" s="6"/>
      <c r="SOS90" s="6"/>
      <c r="SOT90" s="6"/>
      <c r="SOU90" s="6"/>
      <c r="SOV90" s="6"/>
      <c r="SOW90" s="6"/>
      <c r="SOX90" s="6"/>
      <c r="SOY90" s="6"/>
      <c r="SOZ90" s="6"/>
      <c r="SPA90" s="6"/>
      <c r="SPB90" s="6"/>
      <c r="SPC90" s="6"/>
      <c r="SPD90" s="6"/>
      <c r="SPE90" s="6"/>
      <c r="SPF90" s="6"/>
      <c r="SPG90" s="6"/>
      <c r="SPH90" s="6"/>
      <c r="SPI90" s="6"/>
      <c r="SPJ90" s="6"/>
      <c r="SPK90" s="6"/>
      <c r="SPL90" s="6"/>
      <c r="SPM90" s="6"/>
      <c r="SPN90" s="6"/>
      <c r="SPO90" s="6"/>
      <c r="SPP90" s="6"/>
      <c r="SPQ90" s="6"/>
      <c r="SPR90" s="6"/>
      <c r="SPS90" s="6"/>
      <c r="SPT90" s="6"/>
      <c r="SPU90" s="6"/>
      <c r="SPV90" s="6"/>
      <c r="SPW90" s="6"/>
      <c r="SPX90" s="6"/>
      <c r="SPY90" s="6"/>
      <c r="SPZ90" s="6"/>
      <c r="SQA90" s="6"/>
      <c r="SQB90" s="6"/>
      <c r="SQC90" s="6"/>
      <c r="SQD90" s="6"/>
      <c r="SQE90" s="6"/>
      <c r="SQF90" s="6"/>
      <c r="SQG90" s="6"/>
      <c r="SQH90" s="6"/>
      <c r="SQI90" s="6"/>
      <c r="SQJ90" s="6"/>
      <c r="SQK90" s="6"/>
      <c r="SQL90" s="6"/>
      <c r="SQM90" s="6"/>
      <c r="SQN90" s="6"/>
      <c r="SQO90" s="6"/>
      <c r="SQP90" s="6"/>
      <c r="SQQ90" s="6"/>
      <c r="SQR90" s="6"/>
      <c r="SQS90" s="6"/>
      <c r="SQT90" s="6"/>
      <c r="SQU90" s="6"/>
      <c r="SQV90" s="6"/>
      <c r="SQW90" s="6"/>
      <c r="SQX90" s="6"/>
      <c r="SQY90" s="6"/>
      <c r="SQZ90" s="6"/>
      <c r="SRA90" s="6"/>
      <c r="SRB90" s="6"/>
      <c r="SRC90" s="6"/>
      <c r="SRD90" s="6"/>
      <c r="SRE90" s="6"/>
      <c r="SRF90" s="6"/>
      <c r="SRG90" s="6"/>
      <c r="SRH90" s="6"/>
      <c r="SRI90" s="6"/>
      <c r="SRJ90" s="6"/>
      <c r="SRK90" s="6"/>
      <c r="SRL90" s="6"/>
      <c r="SRM90" s="6"/>
      <c r="SRN90" s="6"/>
      <c r="SRO90" s="6"/>
      <c r="SRP90" s="6"/>
      <c r="SRQ90" s="6"/>
      <c r="SRR90" s="6"/>
      <c r="SRS90" s="6"/>
      <c r="SRT90" s="6"/>
      <c r="SRU90" s="6"/>
      <c r="SRV90" s="6"/>
      <c r="SRW90" s="6"/>
      <c r="SRX90" s="6"/>
      <c r="SRY90" s="6"/>
      <c r="SRZ90" s="6"/>
      <c r="SSA90" s="6"/>
      <c r="SSB90" s="6"/>
      <c r="SSC90" s="6"/>
      <c r="SSD90" s="6"/>
      <c r="SSE90" s="6"/>
      <c r="SSF90" s="6"/>
      <c r="SSG90" s="6"/>
      <c r="SSH90" s="6"/>
      <c r="SSI90" s="6"/>
      <c r="SSJ90" s="6"/>
      <c r="SSK90" s="6"/>
      <c r="SSL90" s="6"/>
      <c r="SSM90" s="6"/>
      <c r="SSN90" s="6"/>
      <c r="SSO90" s="6"/>
      <c r="SSP90" s="6"/>
      <c r="SSQ90" s="6"/>
      <c r="SSR90" s="6"/>
      <c r="SSS90" s="6"/>
      <c r="SST90" s="6"/>
      <c r="SSU90" s="6"/>
      <c r="SSV90" s="6"/>
      <c r="SSW90" s="6"/>
      <c r="SSX90" s="6"/>
      <c r="SSY90" s="6"/>
      <c r="SSZ90" s="6"/>
      <c r="STA90" s="6"/>
      <c r="STB90" s="6"/>
      <c r="STC90" s="6"/>
      <c r="STD90" s="6"/>
      <c r="STE90" s="6"/>
      <c r="STF90" s="6"/>
      <c r="STG90" s="6"/>
      <c r="STH90" s="6"/>
      <c r="STI90" s="6"/>
      <c r="STJ90" s="6"/>
      <c r="STK90" s="6"/>
      <c r="STL90" s="6"/>
      <c r="STM90" s="6"/>
      <c r="STN90" s="6"/>
      <c r="STO90" s="6"/>
      <c r="STP90" s="6"/>
      <c r="STQ90" s="6"/>
      <c r="STR90" s="6"/>
      <c r="STS90" s="6"/>
      <c r="STT90" s="6"/>
      <c r="STU90" s="6"/>
      <c r="STV90" s="6"/>
      <c r="STW90" s="6"/>
      <c r="STX90" s="6"/>
      <c r="STY90" s="6"/>
      <c r="STZ90" s="6"/>
      <c r="SUA90" s="6"/>
      <c r="SUB90" s="6"/>
      <c r="SUC90" s="6"/>
      <c r="SUD90" s="6"/>
      <c r="SUE90" s="6"/>
      <c r="SUF90" s="6"/>
      <c r="SUG90" s="6"/>
      <c r="SUH90" s="6"/>
      <c r="SUI90" s="6"/>
      <c r="SUJ90" s="6"/>
      <c r="SUK90" s="6"/>
      <c r="SUL90" s="6"/>
      <c r="SUM90" s="6"/>
      <c r="SUN90" s="6"/>
      <c r="SUO90" s="6"/>
      <c r="SUP90" s="6"/>
      <c r="SUQ90" s="6"/>
      <c r="SUR90" s="6"/>
      <c r="SUS90" s="6"/>
      <c r="SUT90" s="6"/>
      <c r="SUU90" s="6"/>
      <c r="SUV90" s="6"/>
      <c r="SUW90" s="6"/>
      <c r="SUX90" s="6"/>
      <c r="SUY90" s="6"/>
      <c r="SUZ90" s="6"/>
      <c r="SVA90" s="6"/>
      <c r="SVB90" s="6"/>
      <c r="SVC90" s="6"/>
      <c r="SVD90" s="6"/>
      <c r="SVE90" s="6"/>
      <c r="SVF90" s="6"/>
      <c r="SVG90" s="6"/>
      <c r="SVH90" s="6"/>
      <c r="SVI90" s="6"/>
      <c r="SVJ90" s="6"/>
      <c r="SVK90" s="6"/>
      <c r="SVL90" s="6"/>
      <c r="SVM90" s="6"/>
      <c r="SVN90" s="6"/>
      <c r="SVO90" s="6"/>
      <c r="SVP90" s="6"/>
      <c r="SVQ90" s="6"/>
      <c r="SVR90" s="6"/>
      <c r="SVS90" s="6"/>
      <c r="SVT90" s="6"/>
      <c r="SVU90" s="6"/>
      <c r="SVV90" s="6"/>
      <c r="SVW90" s="6"/>
      <c r="SVX90" s="6"/>
      <c r="SVY90" s="6"/>
      <c r="SVZ90" s="6"/>
      <c r="SWA90" s="6"/>
      <c r="SWB90" s="6"/>
      <c r="SWC90" s="6"/>
      <c r="SWD90" s="6"/>
      <c r="SWE90" s="6"/>
      <c r="SWF90" s="6"/>
      <c r="SWG90" s="6"/>
      <c r="SWH90" s="6"/>
      <c r="SWI90" s="6"/>
      <c r="SWJ90" s="6"/>
      <c r="SWK90" s="6"/>
      <c r="SWL90" s="6"/>
      <c r="SWM90" s="6"/>
      <c r="SWN90" s="6"/>
      <c r="SWO90" s="6"/>
      <c r="SWP90" s="6"/>
      <c r="SWQ90" s="6"/>
      <c r="SWR90" s="6"/>
      <c r="SWS90" s="6"/>
      <c r="SWT90" s="6"/>
      <c r="SWU90" s="6"/>
      <c r="SWV90" s="6"/>
      <c r="SWW90" s="6"/>
      <c r="SWX90" s="6"/>
      <c r="SWY90" s="6"/>
      <c r="SWZ90" s="6"/>
      <c r="SXA90" s="6"/>
      <c r="SXB90" s="6"/>
      <c r="SXC90" s="6"/>
      <c r="SXD90" s="6"/>
      <c r="SXE90" s="6"/>
      <c r="SXF90" s="6"/>
      <c r="SXG90" s="6"/>
      <c r="SXH90" s="6"/>
      <c r="SXI90" s="6"/>
      <c r="SXJ90" s="6"/>
      <c r="SXK90" s="6"/>
      <c r="SXL90" s="6"/>
      <c r="SXM90" s="6"/>
      <c r="SXN90" s="6"/>
      <c r="SXO90" s="6"/>
      <c r="SXP90" s="6"/>
      <c r="SXQ90" s="6"/>
      <c r="SXR90" s="6"/>
      <c r="SXS90" s="6"/>
      <c r="SXT90" s="6"/>
      <c r="SXU90" s="6"/>
      <c r="SXV90" s="6"/>
      <c r="SXW90" s="6"/>
      <c r="SXX90" s="6"/>
      <c r="SXY90" s="6"/>
      <c r="SXZ90" s="6"/>
      <c r="SYA90" s="6"/>
      <c r="SYB90" s="6"/>
      <c r="SYC90" s="6"/>
      <c r="SYD90" s="6"/>
      <c r="SYE90" s="6"/>
      <c r="SYF90" s="6"/>
      <c r="SYG90" s="6"/>
      <c r="SYH90" s="6"/>
      <c r="SYI90" s="6"/>
      <c r="SYJ90" s="6"/>
      <c r="SYK90" s="6"/>
      <c r="SYL90" s="6"/>
      <c r="SYM90" s="6"/>
      <c r="SYN90" s="6"/>
      <c r="SYO90" s="6"/>
      <c r="SYP90" s="6"/>
      <c r="SYQ90" s="6"/>
      <c r="SYR90" s="6"/>
      <c r="SYS90" s="6"/>
      <c r="SYT90" s="6"/>
      <c r="SYU90" s="6"/>
      <c r="SYV90" s="6"/>
      <c r="SYW90" s="6"/>
      <c r="SYX90" s="6"/>
      <c r="SYY90" s="6"/>
      <c r="SYZ90" s="6"/>
      <c r="SZA90" s="6"/>
      <c r="SZB90" s="6"/>
      <c r="SZC90" s="6"/>
      <c r="SZD90" s="6"/>
      <c r="SZE90" s="6"/>
      <c r="SZF90" s="6"/>
      <c r="SZG90" s="6"/>
      <c r="SZH90" s="6"/>
      <c r="SZI90" s="6"/>
      <c r="SZJ90" s="6"/>
      <c r="SZK90" s="6"/>
      <c r="SZL90" s="6"/>
      <c r="SZM90" s="6"/>
      <c r="SZN90" s="6"/>
      <c r="SZO90" s="6"/>
      <c r="SZP90" s="6"/>
      <c r="SZQ90" s="6"/>
      <c r="SZR90" s="6"/>
      <c r="SZS90" s="6"/>
      <c r="SZT90" s="6"/>
      <c r="SZU90" s="6"/>
      <c r="SZV90" s="6"/>
      <c r="SZW90" s="6"/>
      <c r="SZX90" s="6"/>
      <c r="SZY90" s="6"/>
      <c r="SZZ90" s="6"/>
      <c r="TAA90" s="6"/>
      <c r="TAB90" s="6"/>
      <c r="TAC90" s="6"/>
      <c r="TAD90" s="6"/>
      <c r="TAE90" s="6"/>
      <c r="TAF90" s="6"/>
      <c r="TAG90" s="6"/>
      <c r="TAH90" s="6"/>
      <c r="TAI90" s="6"/>
      <c r="TAJ90" s="6"/>
      <c r="TAK90" s="6"/>
      <c r="TAL90" s="6"/>
      <c r="TAM90" s="6"/>
      <c r="TAN90" s="6"/>
      <c r="TAO90" s="6"/>
      <c r="TAP90" s="6"/>
      <c r="TAQ90" s="6"/>
      <c r="TAR90" s="6"/>
      <c r="TAS90" s="6"/>
      <c r="TAT90" s="6"/>
      <c r="TAU90" s="6"/>
      <c r="TAV90" s="6"/>
      <c r="TAW90" s="6"/>
      <c r="TAX90" s="6"/>
      <c r="TAY90" s="6"/>
      <c r="TAZ90" s="6"/>
      <c r="TBA90" s="6"/>
      <c r="TBB90" s="6"/>
      <c r="TBC90" s="6"/>
      <c r="TBD90" s="6"/>
      <c r="TBE90" s="6"/>
      <c r="TBF90" s="6"/>
      <c r="TBG90" s="6"/>
      <c r="TBH90" s="6"/>
      <c r="TBI90" s="6"/>
      <c r="TBJ90" s="6"/>
      <c r="TBK90" s="6"/>
      <c r="TBL90" s="6"/>
      <c r="TBM90" s="6"/>
      <c r="TBN90" s="6"/>
      <c r="TBO90" s="6"/>
      <c r="TBP90" s="6"/>
      <c r="TBQ90" s="6"/>
      <c r="TBR90" s="6"/>
      <c r="TBS90" s="6"/>
      <c r="TBT90" s="6"/>
      <c r="TBU90" s="6"/>
      <c r="TBV90" s="6"/>
      <c r="TBW90" s="6"/>
      <c r="TBX90" s="6"/>
      <c r="TBY90" s="6"/>
      <c r="TBZ90" s="6"/>
      <c r="TCA90" s="6"/>
      <c r="TCB90" s="6"/>
      <c r="TCC90" s="6"/>
      <c r="TCD90" s="6"/>
      <c r="TCE90" s="6"/>
      <c r="TCF90" s="6"/>
      <c r="TCG90" s="6"/>
      <c r="TCH90" s="6"/>
      <c r="TCI90" s="6"/>
      <c r="TCJ90" s="6"/>
      <c r="TCK90" s="6"/>
      <c r="TCL90" s="6"/>
      <c r="TCM90" s="6"/>
      <c r="TCN90" s="6"/>
      <c r="TCO90" s="6"/>
      <c r="TCP90" s="6"/>
      <c r="TCQ90" s="6"/>
      <c r="TCR90" s="6"/>
      <c r="TCS90" s="6"/>
      <c r="TCT90" s="6"/>
      <c r="TCU90" s="6"/>
      <c r="TCV90" s="6"/>
      <c r="TCW90" s="6"/>
      <c r="TCX90" s="6"/>
      <c r="TCY90" s="6"/>
      <c r="TCZ90" s="6"/>
      <c r="TDA90" s="6"/>
      <c r="TDB90" s="6"/>
      <c r="TDC90" s="6"/>
      <c r="TDD90" s="6"/>
      <c r="TDE90" s="6"/>
      <c r="TDF90" s="6"/>
      <c r="TDG90" s="6"/>
      <c r="TDH90" s="6"/>
      <c r="TDI90" s="6"/>
      <c r="TDJ90" s="6"/>
      <c r="TDK90" s="6"/>
      <c r="TDL90" s="6"/>
      <c r="TDM90" s="6"/>
      <c r="TDN90" s="6"/>
      <c r="TDO90" s="6"/>
      <c r="TDP90" s="6"/>
      <c r="TDQ90" s="6"/>
      <c r="TDR90" s="6"/>
      <c r="TDS90" s="6"/>
      <c r="TDT90" s="6"/>
      <c r="TDU90" s="6"/>
      <c r="TDV90" s="6"/>
      <c r="TDW90" s="6"/>
      <c r="TDX90" s="6"/>
      <c r="TDY90" s="6"/>
      <c r="TDZ90" s="6"/>
      <c r="TEA90" s="6"/>
      <c r="TEB90" s="6"/>
      <c r="TEC90" s="6"/>
      <c r="TED90" s="6"/>
      <c r="TEE90" s="6"/>
      <c r="TEF90" s="6"/>
      <c r="TEG90" s="6"/>
      <c r="TEH90" s="6"/>
      <c r="TEI90" s="6"/>
      <c r="TEJ90" s="6"/>
      <c r="TEK90" s="6"/>
      <c r="TEL90" s="6"/>
      <c r="TEM90" s="6"/>
      <c r="TEN90" s="6"/>
      <c r="TEO90" s="6"/>
      <c r="TEP90" s="6"/>
      <c r="TEQ90" s="6"/>
      <c r="TER90" s="6"/>
      <c r="TES90" s="6"/>
      <c r="TET90" s="6"/>
      <c r="TEU90" s="6"/>
      <c r="TEV90" s="6"/>
      <c r="TEW90" s="6"/>
      <c r="TEX90" s="6"/>
      <c r="TEY90" s="6"/>
      <c r="TEZ90" s="6"/>
      <c r="TFA90" s="6"/>
      <c r="TFB90" s="6"/>
      <c r="TFC90" s="6"/>
      <c r="TFD90" s="6"/>
      <c r="TFE90" s="6"/>
      <c r="TFF90" s="6"/>
      <c r="TFG90" s="6"/>
      <c r="TFH90" s="6"/>
      <c r="TFI90" s="6"/>
      <c r="TFJ90" s="6"/>
      <c r="TFK90" s="6"/>
      <c r="TFL90" s="6"/>
      <c r="TFM90" s="6"/>
      <c r="TFN90" s="6"/>
      <c r="TFO90" s="6"/>
      <c r="TFP90" s="6"/>
      <c r="TFQ90" s="6"/>
      <c r="TFR90" s="6"/>
      <c r="TFS90" s="6"/>
      <c r="TFT90" s="6"/>
      <c r="TFU90" s="6"/>
      <c r="TFV90" s="6"/>
      <c r="TFW90" s="6"/>
      <c r="TFX90" s="6"/>
      <c r="TFY90" s="6"/>
      <c r="TFZ90" s="6"/>
      <c r="TGA90" s="6"/>
      <c r="TGB90" s="6"/>
      <c r="TGC90" s="6"/>
      <c r="TGD90" s="6"/>
      <c r="TGE90" s="6"/>
      <c r="TGF90" s="6"/>
      <c r="TGG90" s="6"/>
      <c r="TGH90" s="6"/>
      <c r="TGI90" s="6"/>
      <c r="TGJ90" s="6"/>
      <c r="TGK90" s="6"/>
      <c r="TGL90" s="6"/>
      <c r="TGM90" s="6"/>
      <c r="TGN90" s="6"/>
      <c r="TGO90" s="6"/>
      <c r="TGP90" s="6"/>
      <c r="TGQ90" s="6"/>
      <c r="TGR90" s="6"/>
      <c r="TGS90" s="6"/>
      <c r="TGT90" s="6"/>
      <c r="TGU90" s="6"/>
      <c r="TGV90" s="6"/>
      <c r="TGW90" s="6"/>
      <c r="TGX90" s="6"/>
      <c r="TGY90" s="6"/>
      <c r="TGZ90" s="6"/>
      <c r="THA90" s="6"/>
      <c r="THB90" s="6"/>
      <c r="THC90" s="6"/>
      <c r="THD90" s="6"/>
      <c r="THE90" s="6"/>
      <c r="THF90" s="6"/>
      <c r="THG90" s="6"/>
      <c r="THH90" s="6"/>
      <c r="THI90" s="6"/>
      <c r="THJ90" s="6"/>
      <c r="THK90" s="6"/>
      <c r="THL90" s="6"/>
      <c r="THM90" s="6"/>
      <c r="THN90" s="6"/>
      <c r="THO90" s="6"/>
      <c r="THP90" s="6"/>
      <c r="THQ90" s="6"/>
      <c r="THR90" s="6"/>
      <c r="THS90" s="6"/>
      <c r="THT90" s="6"/>
      <c r="THU90" s="6"/>
      <c r="THV90" s="6"/>
      <c r="THW90" s="6"/>
      <c r="THX90" s="6"/>
      <c r="THY90" s="6"/>
      <c r="THZ90" s="6"/>
      <c r="TIA90" s="6"/>
      <c r="TIB90" s="6"/>
      <c r="TIC90" s="6"/>
      <c r="TID90" s="6"/>
      <c r="TIE90" s="6"/>
      <c r="TIF90" s="6"/>
      <c r="TIG90" s="6"/>
      <c r="TIH90" s="6"/>
      <c r="TII90" s="6"/>
      <c r="TIJ90" s="6"/>
      <c r="TIK90" s="6"/>
      <c r="TIL90" s="6"/>
      <c r="TIM90" s="6"/>
      <c r="TIN90" s="6"/>
      <c r="TIO90" s="6"/>
      <c r="TIP90" s="6"/>
      <c r="TIQ90" s="6"/>
      <c r="TIR90" s="6"/>
      <c r="TIS90" s="6"/>
      <c r="TIT90" s="6"/>
      <c r="TIU90" s="6"/>
      <c r="TIV90" s="6"/>
      <c r="TIW90" s="6"/>
      <c r="TIX90" s="6"/>
      <c r="TIY90" s="6"/>
      <c r="TIZ90" s="6"/>
      <c r="TJA90" s="6"/>
      <c r="TJB90" s="6"/>
      <c r="TJC90" s="6"/>
      <c r="TJD90" s="6"/>
      <c r="TJE90" s="6"/>
      <c r="TJF90" s="6"/>
      <c r="TJG90" s="6"/>
      <c r="TJH90" s="6"/>
      <c r="TJI90" s="6"/>
      <c r="TJJ90" s="6"/>
      <c r="TJK90" s="6"/>
      <c r="TJL90" s="6"/>
      <c r="TJM90" s="6"/>
      <c r="TJN90" s="6"/>
      <c r="TJO90" s="6"/>
      <c r="TJP90" s="6"/>
      <c r="TJQ90" s="6"/>
      <c r="TJR90" s="6"/>
      <c r="TJS90" s="6"/>
      <c r="TJT90" s="6"/>
      <c r="TJU90" s="6"/>
      <c r="TJV90" s="6"/>
      <c r="TJW90" s="6"/>
      <c r="TJX90" s="6"/>
      <c r="TJY90" s="6"/>
      <c r="TJZ90" s="6"/>
      <c r="TKA90" s="6"/>
      <c r="TKB90" s="6"/>
      <c r="TKC90" s="6"/>
      <c r="TKD90" s="6"/>
      <c r="TKE90" s="6"/>
      <c r="TKF90" s="6"/>
      <c r="TKG90" s="6"/>
      <c r="TKH90" s="6"/>
      <c r="TKI90" s="6"/>
      <c r="TKJ90" s="6"/>
      <c r="TKK90" s="6"/>
      <c r="TKL90" s="6"/>
      <c r="TKM90" s="6"/>
      <c r="TKN90" s="6"/>
      <c r="TKO90" s="6"/>
      <c r="TKP90" s="6"/>
      <c r="TKQ90" s="6"/>
      <c r="TKR90" s="6"/>
      <c r="TKS90" s="6"/>
      <c r="TKT90" s="6"/>
      <c r="TKU90" s="6"/>
      <c r="TKV90" s="6"/>
      <c r="TKW90" s="6"/>
      <c r="TKX90" s="6"/>
      <c r="TKY90" s="6"/>
      <c r="TKZ90" s="6"/>
      <c r="TLA90" s="6"/>
      <c r="TLB90" s="6"/>
      <c r="TLC90" s="6"/>
      <c r="TLD90" s="6"/>
      <c r="TLE90" s="6"/>
      <c r="TLF90" s="6"/>
      <c r="TLG90" s="6"/>
      <c r="TLH90" s="6"/>
      <c r="TLI90" s="6"/>
      <c r="TLJ90" s="6"/>
      <c r="TLK90" s="6"/>
      <c r="TLL90" s="6"/>
      <c r="TLM90" s="6"/>
      <c r="TLN90" s="6"/>
      <c r="TLO90" s="6"/>
      <c r="TLP90" s="6"/>
      <c r="TLQ90" s="6"/>
      <c r="TLR90" s="6"/>
      <c r="TLS90" s="6"/>
      <c r="TLT90" s="6"/>
      <c r="TLU90" s="6"/>
      <c r="TLV90" s="6"/>
      <c r="TLW90" s="6"/>
      <c r="TLX90" s="6"/>
      <c r="TLY90" s="6"/>
      <c r="TLZ90" s="6"/>
      <c r="TMA90" s="6"/>
      <c r="TMB90" s="6"/>
      <c r="TMC90" s="6"/>
      <c r="TMD90" s="6"/>
      <c r="TME90" s="6"/>
      <c r="TMF90" s="6"/>
      <c r="TMG90" s="6"/>
      <c r="TMH90" s="6"/>
      <c r="TMI90" s="6"/>
      <c r="TMJ90" s="6"/>
      <c r="TMK90" s="6"/>
      <c r="TML90" s="6"/>
      <c r="TMM90" s="6"/>
      <c r="TMN90" s="6"/>
      <c r="TMO90" s="6"/>
      <c r="TMP90" s="6"/>
      <c r="TMQ90" s="6"/>
      <c r="TMR90" s="6"/>
      <c r="TMS90" s="6"/>
      <c r="TMT90" s="6"/>
      <c r="TMU90" s="6"/>
      <c r="TMV90" s="6"/>
      <c r="TMW90" s="6"/>
      <c r="TMX90" s="6"/>
      <c r="TMY90" s="6"/>
      <c r="TMZ90" s="6"/>
      <c r="TNA90" s="6"/>
      <c r="TNB90" s="6"/>
      <c r="TNC90" s="6"/>
      <c r="TND90" s="6"/>
      <c r="TNE90" s="6"/>
      <c r="TNF90" s="6"/>
      <c r="TNG90" s="6"/>
      <c r="TNH90" s="6"/>
      <c r="TNI90" s="6"/>
      <c r="TNJ90" s="6"/>
      <c r="TNK90" s="6"/>
      <c r="TNL90" s="6"/>
      <c r="TNM90" s="6"/>
      <c r="TNN90" s="6"/>
      <c r="TNO90" s="6"/>
      <c r="TNP90" s="6"/>
      <c r="TNQ90" s="6"/>
      <c r="TNR90" s="6"/>
      <c r="TNS90" s="6"/>
      <c r="TNT90" s="6"/>
      <c r="TNU90" s="6"/>
      <c r="TNV90" s="6"/>
      <c r="TNW90" s="6"/>
      <c r="TNX90" s="6"/>
      <c r="TNY90" s="6"/>
      <c r="TNZ90" s="6"/>
      <c r="TOA90" s="6"/>
      <c r="TOB90" s="6"/>
      <c r="TOC90" s="6"/>
      <c r="TOD90" s="6"/>
      <c r="TOE90" s="6"/>
      <c r="TOF90" s="6"/>
      <c r="TOG90" s="6"/>
      <c r="TOH90" s="6"/>
      <c r="TOI90" s="6"/>
      <c r="TOJ90" s="6"/>
      <c r="TOK90" s="6"/>
      <c r="TOL90" s="6"/>
      <c r="TOM90" s="6"/>
      <c r="TON90" s="6"/>
      <c r="TOO90" s="6"/>
      <c r="TOP90" s="6"/>
      <c r="TOQ90" s="6"/>
      <c r="TOR90" s="6"/>
      <c r="TOS90" s="6"/>
      <c r="TOT90" s="6"/>
      <c r="TOU90" s="6"/>
      <c r="TOV90" s="6"/>
      <c r="TOW90" s="6"/>
      <c r="TOX90" s="6"/>
      <c r="TOY90" s="6"/>
      <c r="TOZ90" s="6"/>
      <c r="TPA90" s="6"/>
      <c r="TPB90" s="6"/>
      <c r="TPC90" s="6"/>
      <c r="TPD90" s="6"/>
      <c r="TPE90" s="6"/>
      <c r="TPF90" s="6"/>
      <c r="TPG90" s="6"/>
      <c r="TPH90" s="6"/>
      <c r="TPI90" s="6"/>
      <c r="TPJ90" s="6"/>
      <c r="TPK90" s="6"/>
      <c r="TPL90" s="6"/>
      <c r="TPM90" s="6"/>
      <c r="TPN90" s="6"/>
      <c r="TPO90" s="6"/>
      <c r="TPP90" s="6"/>
      <c r="TPQ90" s="6"/>
      <c r="TPR90" s="6"/>
      <c r="TPS90" s="6"/>
      <c r="TPT90" s="6"/>
      <c r="TPU90" s="6"/>
      <c r="TPV90" s="6"/>
      <c r="TPW90" s="6"/>
      <c r="TPX90" s="6"/>
      <c r="TPY90" s="6"/>
      <c r="TPZ90" s="6"/>
      <c r="TQA90" s="6"/>
      <c r="TQB90" s="6"/>
      <c r="TQC90" s="6"/>
      <c r="TQD90" s="6"/>
      <c r="TQE90" s="6"/>
      <c r="TQF90" s="6"/>
      <c r="TQG90" s="6"/>
      <c r="TQH90" s="6"/>
      <c r="TQI90" s="6"/>
      <c r="TQJ90" s="6"/>
      <c r="TQK90" s="6"/>
      <c r="TQL90" s="6"/>
      <c r="TQM90" s="6"/>
      <c r="TQN90" s="6"/>
      <c r="TQO90" s="6"/>
      <c r="TQP90" s="6"/>
      <c r="TQQ90" s="6"/>
      <c r="TQR90" s="6"/>
      <c r="TQS90" s="6"/>
      <c r="TQT90" s="6"/>
      <c r="TQU90" s="6"/>
      <c r="TQV90" s="6"/>
      <c r="TQW90" s="6"/>
      <c r="TQX90" s="6"/>
      <c r="TQY90" s="6"/>
      <c r="TQZ90" s="6"/>
      <c r="TRA90" s="6"/>
      <c r="TRB90" s="6"/>
      <c r="TRC90" s="6"/>
      <c r="TRD90" s="6"/>
      <c r="TRE90" s="6"/>
      <c r="TRF90" s="6"/>
      <c r="TRG90" s="6"/>
      <c r="TRH90" s="6"/>
      <c r="TRI90" s="6"/>
      <c r="TRJ90" s="6"/>
      <c r="TRK90" s="6"/>
      <c r="TRL90" s="6"/>
      <c r="TRM90" s="6"/>
      <c r="TRN90" s="6"/>
      <c r="TRO90" s="6"/>
      <c r="TRP90" s="6"/>
      <c r="TRQ90" s="6"/>
      <c r="TRR90" s="6"/>
      <c r="TRS90" s="6"/>
      <c r="TRT90" s="6"/>
      <c r="TRU90" s="6"/>
      <c r="TRV90" s="6"/>
      <c r="TRW90" s="6"/>
      <c r="TRX90" s="6"/>
      <c r="TRY90" s="6"/>
      <c r="TRZ90" s="6"/>
      <c r="TSA90" s="6"/>
      <c r="TSB90" s="6"/>
      <c r="TSC90" s="6"/>
      <c r="TSD90" s="6"/>
      <c r="TSE90" s="6"/>
      <c r="TSF90" s="6"/>
      <c r="TSG90" s="6"/>
      <c r="TSH90" s="6"/>
      <c r="TSI90" s="6"/>
      <c r="TSJ90" s="6"/>
      <c r="TSK90" s="6"/>
      <c r="TSL90" s="6"/>
      <c r="TSM90" s="6"/>
      <c r="TSN90" s="6"/>
      <c r="TSO90" s="6"/>
      <c r="TSP90" s="6"/>
      <c r="TSQ90" s="6"/>
      <c r="TSR90" s="6"/>
      <c r="TSS90" s="6"/>
      <c r="TST90" s="6"/>
      <c r="TSU90" s="6"/>
      <c r="TSV90" s="6"/>
      <c r="TSW90" s="6"/>
      <c r="TSX90" s="6"/>
      <c r="TSY90" s="6"/>
      <c r="TSZ90" s="6"/>
      <c r="TTA90" s="6"/>
      <c r="TTB90" s="6"/>
      <c r="TTC90" s="6"/>
      <c r="TTD90" s="6"/>
      <c r="TTE90" s="6"/>
      <c r="TTF90" s="6"/>
      <c r="TTG90" s="6"/>
      <c r="TTH90" s="6"/>
      <c r="TTI90" s="6"/>
      <c r="TTJ90" s="6"/>
      <c r="TTK90" s="6"/>
      <c r="TTL90" s="6"/>
      <c r="TTM90" s="6"/>
      <c r="TTN90" s="6"/>
      <c r="TTO90" s="6"/>
      <c r="TTP90" s="6"/>
      <c r="TTQ90" s="6"/>
      <c r="TTR90" s="6"/>
      <c r="TTS90" s="6"/>
      <c r="TTT90" s="6"/>
      <c r="TTU90" s="6"/>
      <c r="TTV90" s="6"/>
      <c r="TTW90" s="6"/>
      <c r="TTX90" s="6"/>
      <c r="TTY90" s="6"/>
      <c r="TTZ90" s="6"/>
      <c r="TUA90" s="6"/>
      <c r="TUB90" s="6"/>
      <c r="TUC90" s="6"/>
      <c r="TUD90" s="6"/>
      <c r="TUE90" s="6"/>
      <c r="TUF90" s="6"/>
      <c r="TUG90" s="6"/>
      <c r="TUH90" s="6"/>
      <c r="TUI90" s="6"/>
      <c r="TUJ90" s="6"/>
      <c r="TUK90" s="6"/>
      <c r="TUL90" s="6"/>
      <c r="TUM90" s="6"/>
      <c r="TUN90" s="6"/>
      <c r="TUO90" s="6"/>
      <c r="TUP90" s="6"/>
      <c r="TUQ90" s="6"/>
      <c r="TUR90" s="6"/>
      <c r="TUS90" s="6"/>
      <c r="TUT90" s="6"/>
      <c r="TUU90" s="6"/>
      <c r="TUV90" s="6"/>
      <c r="TUW90" s="6"/>
      <c r="TUX90" s="6"/>
      <c r="TUY90" s="6"/>
      <c r="TUZ90" s="6"/>
      <c r="TVA90" s="6"/>
      <c r="TVB90" s="6"/>
      <c r="TVC90" s="6"/>
      <c r="TVD90" s="6"/>
      <c r="TVE90" s="6"/>
      <c r="TVF90" s="6"/>
      <c r="TVG90" s="6"/>
      <c r="TVH90" s="6"/>
      <c r="TVI90" s="6"/>
      <c r="TVJ90" s="6"/>
      <c r="TVK90" s="6"/>
      <c r="TVL90" s="6"/>
      <c r="TVM90" s="6"/>
      <c r="TVN90" s="6"/>
      <c r="TVO90" s="6"/>
      <c r="TVP90" s="6"/>
      <c r="TVQ90" s="6"/>
      <c r="TVR90" s="6"/>
      <c r="TVS90" s="6"/>
      <c r="TVT90" s="6"/>
      <c r="TVU90" s="6"/>
      <c r="TVV90" s="6"/>
      <c r="TVW90" s="6"/>
      <c r="TVX90" s="6"/>
      <c r="TVY90" s="6"/>
      <c r="TVZ90" s="6"/>
      <c r="TWA90" s="6"/>
      <c r="TWB90" s="6"/>
      <c r="TWC90" s="6"/>
      <c r="TWD90" s="6"/>
      <c r="TWE90" s="6"/>
      <c r="TWF90" s="6"/>
      <c r="TWG90" s="6"/>
      <c r="TWH90" s="6"/>
      <c r="TWI90" s="6"/>
      <c r="TWJ90" s="6"/>
      <c r="TWK90" s="6"/>
      <c r="TWL90" s="6"/>
      <c r="TWM90" s="6"/>
      <c r="TWN90" s="6"/>
      <c r="TWO90" s="6"/>
      <c r="TWP90" s="6"/>
      <c r="TWQ90" s="6"/>
      <c r="TWR90" s="6"/>
      <c r="TWS90" s="6"/>
      <c r="TWT90" s="6"/>
      <c r="TWU90" s="6"/>
      <c r="TWV90" s="6"/>
      <c r="TWW90" s="6"/>
      <c r="TWX90" s="6"/>
      <c r="TWY90" s="6"/>
      <c r="TWZ90" s="6"/>
      <c r="TXA90" s="6"/>
      <c r="TXB90" s="6"/>
      <c r="TXC90" s="6"/>
      <c r="TXD90" s="6"/>
      <c r="TXE90" s="6"/>
      <c r="TXF90" s="6"/>
      <c r="TXG90" s="6"/>
      <c r="TXH90" s="6"/>
      <c r="TXI90" s="6"/>
      <c r="TXJ90" s="6"/>
      <c r="TXK90" s="6"/>
      <c r="TXL90" s="6"/>
      <c r="TXM90" s="6"/>
      <c r="TXN90" s="6"/>
      <c r="TXO90" s="6"/>
      <c r="TXP90" s="6"/>
      <c r="TXQ90" s="6"/>
      <c r="TXR90" s="6"/>
      <c r="TXS90" s="6"/>
      <c r="TXT90" s="6"/>
      <c r="TXU90" s="6"/>
      <c r="TXV90" s="6"/>
      <c r="TXW90" s="6"/>
      <c r="TXX90" s="6"/>
      <c r="TXY90" s="6"/>
      <c r="TXZ90" s="6"/>
      <c r="TYA90" s="6"/>
      <c r="TYB90" s="6"/>
      <c r="TYC90" s="6"/>
      <c r="TYD90" s="6"/>
      <c r="TYE90" s="6"/>
      <c r="TYF90" s="6"/>
      <c r="TYG90" s="6"/>
      <c r="TYH90" s="6"/>
      <c r="TYI90" s="6"/>
      <c r="TYJ90" s="6"/>
      <c r="TYK90" s="6"/>
      <c r="TYL90" s="6"/>
      <c r="TYM90" s="6"/>
      <c r="TYN90" s="6"/>
      <c r="TYO90" s="6"/>
      <c r="TYP90" s="6"/>
      <c r="TYQ90" s="6"/>
      <c r="TYR90" s="6"/>
      <c r="TYS90" s="6"/>
      <c r="TYT90" s="6"/>
      <c r="TYU90" s="6"/>
      <c r="TYV90" s="6"/>
      <c r="TYW90" s="6"/>
      <c r="TYX90" s="6"/>
      <c r="TYY90" s="6"/>
      <c r="TYZ90" s="6"/>
      <c r="TZA90" s="6"/>
      <c r="TZB90" s="6"/>
      <c r="TZC90" s="6"/>
      <c r="TZD90" s="6"/>
      <c r="TZE90" s="6"/>
      <c r="TZF90" s="6"/>
      <c r="TZG90" s="6"/>
      <c r="TZH90" s="6"/>
      <c r="TZI90" s="6"/>
      <c r="TZJ90" s="6"/>
      <c r="TZK90" s="6"/>
      <c r="TZL90" s="6"/>
      <c r="TZM90" s="6"/>
      <c r="TZN90" s="6"/>
      <c r="TZO90" s="6"/>
      <c r="TZP90" s="6"/>
      <c r="TZQ90" s="6"/>
      <c r="TZR90" s="6"/>
      <c r="TZS90" s="6"/>
      <c r="TZT90" s="6"/>
      <c r="TZU90" s="6"/>
      <c r="TZV90" s="6"/>
      <c r="TZW90" s="6"/>
      <c r="TZX90" s="6"/>
      <c r="TZY90" s="6"/>
      <c r="TZZ90" s="6"/>
      <c r="UAA90" s="6"/>
      <c r="UAB90" s="6"/>
      <c r="UAC90" s="6"/>
      <c r="UAD90" s="6"/>
      <c r="UAE90" s="6"/>
      <c r="UAF90" s="6"/>
      <c r="UAG90" s="6"/>
      <c r="UAH90" s="6"/>
      <c r="UAI90" s="6"/>
      <c r="UAJ90" s="6"/>
      <c r="UAK90" s="6"/>
      <c r="UAL90" s="6"/>
      <c r="UAM90" s="6"/>
      <c r="UAN90" s="6"/>
      <c r="UAO90" s="6"/>
      <c r="UAP90" s="6"/>
      <c r="UAQ90" s="6"/>
      <c r="UAR90" s="6"/>
      <c r="UAS90" s="6"/>
      <c r="UAT90" s="6"/>
      <c r="UAU90" s="6"/>
      <c r="UAV90" s="6"/>
      <c r="UAW90" s="6"/>
      <c r="UAX90" s="6"/>
      <c r="UAY90" s="6"/>
      <c r="UAZ90" s="6"/>
      <c r="UBA90" s="6"/>
      <c r="UBB90" s="6"/>
      <c r="UBC90" s="6"/>
      <c r="UBD90" s="6"/>
      <c r="UBE90" s="6"/>
      <c r="UBF90" s="6"/>
      <c r="UBG90" s="6"/>
      <c r="UBH90" s="6"/>
      <c r="UBI90" s="6"/>
      <c r="UBJ90" s="6"/>
      <c r="UBK90" s="6"/>
      <c r="UBL90" s="6"/>
      <c r="UBM90" s="6"/>
      <c r="UBN90" s="6"/>
      <c r="UBO90" s="6"/>
      <c r="UBP90" s="6"/>
      <c r="UBQ90" s="6"/>
      <c r="UBR90" s="6"/>
      <c r="UBS90" s="6"/>
      <c r="UBT90" s="6"/>
      <c r="UBU90" s="6"/>
      <c r="UBV90" s="6"/>
      <c r="UBW90" s="6"/>
      <c r="UBX90" s="6"/>
      <c r="UBY90" s="6"/>
      <c r="UBZ90" s="6"/>
      <c r="UCA90" s="6"/>
      <c r="UCB90" s="6"/>
      <c r="UCC90" s="6"/>
      <c r="UCD90" s="6"/>
      <c r="UCE90" s="6"/>
      <c r="UCF90" s="6"/>
      <c r="UCG90" s="6"/>
      <c r="UCH90" s="6"/>
      <c r="UCI90" s="6"/>
      <c r="UCJ90" s="6"/>
      <c r="UCK90" s="6"/>
      <c r="UCL90" s="6"/>
      <c r="UCM90" s="6"/>
      <c r="UCN90" s="6"/>
      <c r="UCO90" s="6"/>
      <c r="UCP90" s="6"/>
      <c r="UCQ90" s="6"/>
      <c r="UCR90" s="6"/>
      <c r="UCS90" s="6"/>
      <c r="UCT90" s="6"/>
      <c r="UCU90" s="6"/>
      <c r="UCV90" s="6"/>
      <c r="UCW90" s="6"/>
      <c r="UCX90" s="6"/>
      <c r="UCY90" s="6"/>
      <c r="UCZ90" s="6"/>
      <c r="UDA90" s="6"/>
      <c r="UDB90" s="6"/>
      <c r="UDC90" s="6"/>
      <c r="UDD90" s="6"/>
      <c r="UDE90" s="6"/>
      <c r="UDF90" s="6"/>
      <c r="UDG90" s="6"/>
      <c r="UDH90" s="6"/>
      <c r="UDI90" s="6"/>
      <c r="UDJ90" s="6"/>
      <c r="UDK90" s="6"/>
      <c r="UDL90" s="6"/>
      <c r="UDM90" s="6"/>
      <c r="UDN90" s="6"/>
      <c r="UDO90" s="6"/>
      <c r="UDP90" s="6"/>
      <c r="UDQ90" s="6"/>
      <c r="UDR90" s="6"/>
      <c r="UDS90" s="6"/>
      <c r="UDT90" s="6"/>
      <c r="UDU90" s="6"/>
      <c r="UDV90" s="6"/>
      <c r="UDW90" s="6"/>
      <c r="UDX90" s="6"/>
      <c r="UDY90" s="6"/>
      <c r="UDZ90" s="6"/>
      <c r="UEA90" s="6"/>
      <c r="UEB90" s="6"/>
      <c r="UEC90" s="6"/>
      <c r="UED90" s="6"/>
      <c r="UEE90" s="6"/>
      <c r="UEF90" s="6"/>
      <c r="UEG90" s="6"/>
      <c r="UEH90" s="6"/>
      <c r="UEI90" s="6"/>
      <c r="UEJ90" s="6"/>
      <c r="UEK90" s="6"/>
      <c r="UEL90" s="6"/>
      <c r="UEM90" s="6"/>
      <c r="UEN90" s="6"/>
      <c r="UEO90" s="6"/>
      <c r="UEP90" s="6"/>
      <c r="UEQ90" s="6"/>
      <c r="UER90" s="6"/>
      <c r="UES90" s="6"/>
      <c r="UET90" s="6"/>
      <c r="UEU90" s="6"/>
      <c r="UEV90" s="6"/>
      <c r="UEW90" s="6"/>
      <c r="UEX90" s="6"/>
      <c r="UEY90" s="6"/>
      <c r="UEZ90" s="6"/>
      <c r="UFA90" s="6"/>
      <c r="UFB90" s="6"/>
      <c r="UFC90" s="6"/>
      <c r="UFD90" s="6"/>
      <c r="UFE90" s="6"/>
      <c r="UFF90" s="6"/>
      <c r="UFG90" s="6"/>
      <c r="UFH90" s="6"/>
      <c r="UFI90" s="6"/>
      <c r="UFJ90" s="6"/>
      <c r="UFK90" s="6"/>
      <c r="UFL90" s="6"/>
      <c r="UFM90" s="6"/>
      <c r="UFN90" s="6"/>
      <c r="UFO90" s="6"/>
      <c r="UFP90" s="6"/>
      <c r="UFQ90" s="6"/>
      <c r="UFR90" s="6"/>
      <c r="UFS90" s="6"/>
      <c r="UFT90" s="6"/>
      <c r="UFU90" s="6"/>
      <c r="UFV90" s="6"/>
      <c r="UFW90" s="6"/>
      <c r="UFX90" s="6"/>
      <c r="UFY90" s="6"/>
      <c r="UFZ90" s="6"/>
      <c r="UGA90" s="6"/>
      <c r="UGB90" s="6"/>
      <c r="UGC90" s="6"/>
      <c r="UGD90" s="6"/>
      <c r="UGE90" s="6"/>
      <c r="UGF90" s="6"/>
      <c r="UGG90" s="6"/>
      <c r="UGH90" s="6"/>
      <c r="UGI90" s="6"/>
      <c r="UGJ90" s="6"/>
      <c r="UGK90" s="6"/>
      <c r="UGL90" s="6"/>
      <c r="UGM90" s="6"/>
      <c r="UGN90" s="6"/>
      <c r="UGO90" s="6"/>
      <c r="UGP90" s="6"/>
      <c r="UGQ90" s="6"/>
      <c r="UGR90" s="6"/>
      <c r="UGS90" s="6"/>
      <c r="UGT90" s="6"/>
      <c r="UGU90" s="6"/>
      <c r="UGV90" s="6"/>
      <c r="UGW90" s="6"/>
      <c r="UGX90" s="6"/>
      <c r="UGY90" s="6"/>
      <c r="UGZ90" s="6"/>
      <c r="UHA90" s="6"/>
      <c r="UHB90" s="6"/>
      <c r="UHC90" s="6"/>
      <c r="UHD90" s="6"/>
      <c r="UHE90" s="6"/>
      <c r="UHF90" s="6"/>
      <c r="UHG90" s="6"/>
      <c r="UHH90" s="6"/>
      <c r="UHI90" s="6"/>
      <c r="UHJ90" s="6"/>
      <c r="UHK90" s="6"/>
      <c r="UHL90" s="6"/>
      <c r="UHM90" s="6"/>
      <c r="UHN90" s="6"/>
      <c r="UHO90" s="6"/>
      <c r="UHP90" s="6"/>
      <c r="UHQ90" s="6"/>
      <c r="UHR90" s="6"/>
      <c r="UHS90" s="6"/>
      <c r="UHT90" s="6"/>
      <c r="UHU90" s="6"/>
      <c r="UHV90" s="6"/>
      <c r="UHW90" s="6"/>
      <c r="UHX90" s="6"/>
      <c r="UHY90" s="6"/>
      <c r="UHZ90" s="6"/>
      <c r="UIA90" s="6"/>
      <c r="UIB90" s="6"/>
      <c r="UIC90" s="6"/>
      <c r="UID90" s="6"/>
      <c r="UIE90" s="6"/>
      <c r="UIF90" s="6"/>
      <c r="UIG90" s="6"/>
      <c r="UIH90" s="6"/>
      <c r="UII90" s="6"/>
      <c r="UIJ90" s="6"/>
      <c r="UIK90" s="6"/>
      <c r="UIL90" s="6"/>
      <c r="UIM90" s="6"/>
      <c r="UIN90" s="6"/>
      <c r="UIO90" s="6"/>
      <c r="UIP90" s="6"/>
      <c r="UIQ90" s="6"/>
      <c r="UIR90" s="6"/>
      <c r="UIS90" s="6"/>
      <c r="UIT90" s="6"/>
      <c r="UIU90" s="6"/>
      <c r="UIV90" s="6"/>
      <c r="UIW90" s="6"/>
      <c r="UIX90" s="6"/>
      <c r="UIY90" s="6"/>
      <c r="UIZ90" s="6"/>
      <c r="UJA90" s="6"/>
      <c r="UJB90" s="6"/>
      <c r="UJC90" s="6"/>
      <c r="UJD90" s="6"/>
      <c r="UJE90" s="6"/>
      <c r="UJF90" s="6"/>
      <c r="UJG90" s="6"/>
      <c r="UJH90" s="6"/>
      <c r="UJI90" s="6"/>
      <c r="UJJ90" s="6"/>
      <c r="UJK90" s="6"/>
      <c r="UJL90" s="6"/>
      <c r="UJM90" s="6"/>
      <c r="UJN90" s="6"/>
      <c r="UJO90" s="6"/>
      <c r="UJP90" s="6"/>
      <c r="UJQ90" s="6"/>
      <c r="UJR90" s="6"/>
      <c r="UJS90" s="6"/>
      <c r="UJT90" s="6"/>
      <c r="UJU90" s="6"/>
      <c r="UJV90" s="6"/>
      <c r="UJW90" s="6"/>
      <c r="UJX90" s="6"/>
      <c r="UJY90" s="6"/>
      <c r="UJZ90" s="6"/>
      <c r="UKA90" s="6"/>
      <c r="UKB90" s="6"/>
      <c r="UKC90" s="6"/>
      <c r="UKD90" s="6"/>
      <c r="UKE90" s="6"/>
      <c r="UKF90" s="6"/>
      <c r="UKG90" s="6"/>
      <c r="UKH90" s="6"/>
      <c r="UKI90" s="6"/>
      <c r="UKJ90" s="6"/>
      <c r="UKK90" s="6"/>
      <c r="UKL90" s="6"/>
      <c r="UKM90" s="6"/>
      <c r="UKN90" s="6"/>
      <c r="UKO90" s="6"/>
      <c r="UKP90" s="6"/>
      <c r="UKQ90" s="6"/>
      <c r="UKR90" s="6"/>
      <c r="UKS90" s="6"/>
      <c r="UKT90" s="6"/>
      <c r="UKU90" s="6"/>
      <c r="UKV90" s="6"/>
      <c r="UKW90" s="6"/>
      <c r="UKX90" s="6"/>
      <c r="UKY90" s="6"/>
      <c r="UKZ90" s="6"/>
      <c r="ULA90" s="6"/>
      <c r="ULB90" s="6"/>
      <c r="ULC90" s="6"/>
      <c r="ULD90" s="6"/>
      <c r="ULE90" s="6"/>
      <c r="ULF90" s="6"/>
      <c r="ULG90" s="6"/>
      <c r="ULH90" s="6"/>
      <c r="ULI90" s="6"/>
      <c r="ULJ90" s="6"/>
      <c r="ULK90" s="6"/>
      <c r="ULL90" s="6"/>
      <c r="ULM90" s="6"/>
      <c r="ULN90" s="6"/>
      <c r="ULO90" s="6"/>
      <c r="ULP90" s="6"/>
      <c r="ULQ90" s="6"/>
      <c r="ULR90" s="6"/>
      <c r="ULS90" s="6"/>
      <c r="ULT90" s="6"/>
      <c r="ULU90" s="6"/>
      <c r="ULV90" s="6"/>
      <c r="ULW90" s="6"/>
      <c r="ULX90" s="6"/>
      <c r="ULY90" s="6"/>
      <c r="ULZ90" s="6"/>
      <c r="UMA90" s="6"/>
      <c r="UMB90" s="6"/>
      <c r="UMC90" s="6"/>
      <c r="UMD90" s="6"/>
      <c r="UME90" s="6"/>
      <c r="UMF90" s="6"/>
      <c r="UMG90" s="6"/>
      <c r="UMH90" s="6"/>
      <c r="UMI90" s="6"/>
      <c r="UMJ90" s="6"/>
      <c r="UMK90" s="6"/>
      <c r="UML90" s="6"/>
      <c r="UMM90" s="6"/>
      <c r="UMN90" s="6"/>
      <c r="UMO90" s="6"/>
      <c r="UMP90" s="6"/>
      <c r="UMQ90" s="6"/>
      <c r="UMR90" s="6"/>
      <c r="UMS90" s="6"/>
      <c r="UMT90" s="6"/>
      <c r="UMU90" s="6"/>
      <c r="UMV90" s="6"/>
      <c r="UMW90" s="6"/>
      <c r="UMX90" s="6"/>
      <c r="UMY90" s="6"/>
      <c r="UMZ90" s="6"/>
      <c r="UNA90" s="6"/>
      <c r="UNB90" s="6"/>
      <c r="UNC90" s="6"/>
      <c r="UND90" s="6"/>
      <c r="UNE90" s="6"/>
      <c r="UNF90" s="6"/>
      <c r="UNG90" s="6"/>
      <c r="UNH90" s="6"/>
      <c r="UNI90" s="6"/>
      <c r="UNJ90" s="6"/>
      <c r="UNK90" s="6"/>
      <c r="UNL90" s="6"/>
      <c r="UNM90" s="6"/>
      <c r="UNN90" s="6"/>
      <c r="UNO90" s="6"/>
      <c r="UNP90" s="6"/>
      <c r="UNQ90" s="6"/>
      <c r="UNR90" s="6"/>
      <c r="UNS90" s="6"/>
      <c r="UNT90" s="6"/>
      <c r="UNU90" s="6"/>
      <c r="UNV90" s="6"/>
      <c r="UNW90" s="6"/>
      <c r="UNX90" s="6"/>
      <c r="UNY90" s="6"/>
      <c r="UNZ90" s="6"/>
      <c r="UOA90" s="6"/>
      <c r="UOB90" s="6"/>
      <c r="UOC90" s="6"/>
      <c r="UOD90" s="6"/>
      <c r="UOE90" s="6"/>
      <c r="UOF90" s="6"/>
      <c r="UOG90" s="6"/>
      <c r="UOH90" s="6"/>
      <c r="UOI90" s="6"/>
      <c r="UOJ90" s="6"/>
      <c r="UOK90" s="6"/>
      <c r="UOL90" s="6"/>
      <c r="UOM90" s="6"/>
      <c r="UON90" s="6"/>
      <c r="UOO90" s="6"/>
      <c r="UOP90" s="6"/>
      <c r="UOQ90" s="6"/>
      <c r="UOR90" s="6"/>
      <c r="UOS90" s="6"/>
      <c r="UOT90" s="6"/>
      <c r="UOU90" s="6"/>
      <c r="UOV90" s="6"/>
      <c r="UOW90" s="6"/>
      <c r="UOX90" s="6"/>
      <c r="UOY90" s="6"/>
      <c r="UOZ90" s="6"/>
      <c r="UPA90" s="6"/>
      <c r="UPB90" s="6"/>
      <c r="UPC90" s="6"/>
      <c r="UPD90" s="6"/>
      <c r="UPE90" s="6"/>
      <c r="UPF90" s="6"/>
      <c r="UPG90" s="6"/>
      <c r="UPH90" s="6"/>
      <c r="UPI90" s="6"/>
      <c r="UPJ90" s="6"/>
      <c r="UPK90" s="6"/>
      <c r="UPL90" s="6"/>
      <c r="UPM90" s="6"/>
      <c r="UPN90" s="6"/>
      <c r="UPO90" s="6"/>
      <c r="UPP90" s="6"/>
      <c r="UPQ90" s="6"/>
      <c r="UPR90" s="6"/>
      <c r="UPS90" s="6"/>
      <c r="UPT90" s="6"/>
      <c r="UPU90" s="6"/>
      <c r="UPV90" s="6"/>
      <c r="UPW90" s="6"/>
      <c r="UPX90" s="6"/>
      <c r="UPY90" s="6"/>
      <c r="UPZ90" s="6"/>
      <c r="UQA90" s="6"/>
      <c r="UQB90" s="6"/>
      <c r="UQC90" s="6"/>
      <c r="UQD90" s="6"/>
      <c r="UQE90" s="6"/>
      <c r="UQF90" s="6"/>
      <c r="UQG90" s="6"/>
      <c r="UQH90" s="6"/>
      <c r="UQI90" s="6"/>
      <c r="UQJ90" s="6"/>
      <c r="UQK90" s="6"/>
      <c r="UQL90" s="6"/>
      <c r="UQM90" s="6"/>
      <c r="UQN90" s="6"/>
      <c r="UQO90" s="6"/>
      <c r="UQP90" s="6"/>
      <c r="UQQ90" s="6"/>
      <c r="UQR90" s="6"/>
      <c r="UQS90" s="6"/>
      <c r="UQT90" s="6"/>
      <c r="UQU90" s="6"/>
      <c r="UQV90" s="6"/>
      <c r="UQW90" s="6"/>
      <c r="UQX90" s="6"/>
      <c r="UQY90" s="6"/>
      <c r="UQZ90" s="6"/>
      <c r="URA90" s="6"/>
      <c r="URB90" s="6"/>
      <c r="URC90" s="6"/>
      <c r="URD90" s="6"/>
      <c r="URE90" s="6"/>
      <c r="URF90" s="6"/>
      <c r="URG90" s="6"/>
      <c r="URH90" s="6"/>
      <c r="URI90" s="6"/>
      <c r="URJ90" s="6"/>
      <c r="URK90" s="6"/>
      <c r="URL90" s="6"/>
      <c r="URM90" s="6"/>
      <c r="URN90" s="6"/>
      <c r="URO90" s="6"/>
      <c r="URP90" s="6"/>
      <c r="URQ90" s="6"/>
      <c r="URR90" s="6"/>
      <c r="URS90" s="6"/>
      <c r="URT90" s="6"/>
      <c r="URU90" s="6"/>
      <c r="URV90" s="6"/>
      <c r="URW90" s="6"/>
      <c r="URX90" s="6"/>
      <c r="URY90" s="6"/>
      <c r="URZ90" s="6"/>
      <c r="USA90" s="6"/>
      <c r="USB90" s="6"/>
      <c r="USC90" s="6"/>
      <c r="USD90" s="6"/>
      <c r="USE90" s="6"/>
      <c r="USF90" s="6"/>
      <c r="USG90" s="6"/>
      <c r="USH90" s="6"/>
      <c r="USI90" s="6"/>
      <c r="USJ90" s="6"/>
      <c r="USK90" s="6"/>
      <c r="USL90" s="6"/>
      <c r="USM90" s="6"/>
      <c r="USN90" s="6"/>
      <c r="USO90" s="6"/>
      <c r="USP90" s="6"/>
      <c r="USQ90" s="6"/>
      <c r="USR90" s="6"/>
      <c r="USS90" s="6"/>
      <c r="UST90" s="6"/>
      <c r="USU90" s="6"/>
      <c r="USV90" s="6"/>
      <c r="USW90" s="6"/>
      <c r="USX90" s="6"/>
      <c r="USY90" s="6"/>
      <c r="USZ90" s="6"/>
      <c r="UTA90" s="6"/>
      <c r="UTB90" s="6"/>
      <c r="UTC90" s="6"/>
      <c r="UTD90" s="6"/>
      <c r="UTE90" s="6"/>
      <c r="UTF90" s="6"/>
      <c r="UTG90" s="6"/>
      <c r="UTH90" s="6"/>
      <c r="UTI90" s="6"/>
      <c r="UTJ90" s="6"/>
      <c r="UTK90" s="6"/>
      <c r="UTL90" s="6"/>
      <c r="UTM90" s="6"/>
      <c r="UTN90" s="6"/>
      <c r="UTO90" s="6"/>
      <c r="UTP90" s="6"/>
      <c r="UTQ90" s="6"/>
      <c r="UTR90" s="6"/>
      <c r="UTS90" s="6"/>
      <c r="UTT90" s="6"/>
      <c r="UTU90" s="6"/>
      <c r="UTV90" s="6"/>
      <c r="UTW90" s="6"/>
      <c r="UTX90" s="6"/>
      <c r="UTY90" s="6"/>
      <c r="UTZ90" s="6"/>
      <c r="UUA90" s="6"/>
      <c r="UUB90" s="6"/>
      <c r="UUC90" s="6"/>
      <c r="UUD90" s="6"/>
      <c r="UUE90" s="6"/>
      <c r="UUF90" s="6"/>
      <c r="UUG90" s="6"/>
      <c r="UUH90" s="6"/>
      <c r="UUI90" s="6"/>
      <c r="UUJ90" s="6"/>
      <c r="UUK90" s="6"/>
      <c r="UUL90" s="6"/>
      <c r="UUM90" s="6"/>
      <c r="UUN90" s="6"/>
      <c r="UUO90" s="6"/>
      <c r="UUP90" s="6"/>
      <c r="UUQ90" s="6"/>
      <c r="UUR90" s="6"/>
      <c r="UUS90" s="6"/>
      <c r="UUT90" s="6"/>
      <c r="UUU90" s="6"/>
      <c r="UUV90" s="6"/>
      <c r="UUW90" s="6"/>
      <c r="UUX90" s="6"/>
      <c r="UUY90" s="6"/>
      <c r="UUZ90" s="6"/>
      <c r="UVA90" s="6"/>
      <c r="UVB90" s="6"/>
      <c r="UVC90" s="6"/>
      <c r="UVD90" s="6"/>
      <c r="UVE90" s="6"/>
      <c r="UVF90" s="6"/>
      <c r="UVG90" s="6"/>
      <c r="UVH90" s="6"/>
      <c r="UVI90" s="6"/>
      <c r="UVJ90" s="6"/>
      <c r="UVK90" s="6"/>
      <c r="UVL90" s="6"/>
      <c r="UVM90" s="6"/>
      <c r="UVN90" s="6"/>
      <c r="UVO90" s="6"/>
      <c r="UVP90" s="6"/>
      <c r="UVQ90" s="6"/>
      <c r="UVR90" s="6"/>
      <c r="UVS90" s="6"/>
      <c r="UVT90" s="6"/>
      <c r="UVU90" s="6"/>
      <c r="UVV90" s="6"/>
      <c r="UVW90" s="6"/>
      <c r="UVX90" s="6"/>
      <c r="UVY90" s="6"/>
      <c r="UVZ90" s="6"/>
      <c r="UWA90" s="6"/>
      <c r="UWB90" s="6"/>
      <c r="UWC90" s="6"/>
      <c r="UWD90" s="6"/>
      <c r="UWE90" s="6"/>
      <c r="UWF90" s="6"/>
      <c r="UWG90" s="6"/>
      <c r="UWH90" s="6"/>
      <c r="UWI90" s="6"/>
      <c r="UWJ90" s="6"/>
      <c r="UWK90" s="6"/>
      <c r="UWL90" s="6"/>
      <c r="UWM90" s="6"/>
      <c r="UWN90" s="6"/>
      <c r="UWO90" s="6"/>
      <c r="UWP90" s="6"/>
      <c r="UWQ90" s="6"/>
      <c r="UWR90" s="6"/>
      <c r="UWS90" s="6"/>
      <c r="UWT90" s="6"/>
      <c r="UWU90" s="6"/>
      <c r="UWV90" s="6"/>
      <c r="UWW90" s="6"/>
      <c r="UWX90" s="6"/>
      <c r="UWY90" s="6"/>
      <c r="UWZ90" s="6"/>
      <c r="UXA90" s="6"/>
      <c r="UXB90" s="6"/>
      <c r="UXC90" s="6"/>
      <c r="UXD90" s="6"/>
      <c r="UXE90" s="6"/>
      <c r="UXF90" s="6"/>
      <c r="UXG90" s="6"/>
      <c r="UXH90" s="6"/>
      <c r="UXI90" s="6"/>
      <c r="UXJ90" s="6"/>
      <c r="UXK90" s="6"/>
      <c r="UXL90" s="6"/>
      <c r="UXM90" s="6"/>
      <c r="UXN90" s="6"/>
      <c r="UXO90" s="6"/>
      <c r="UXP90" s="6"/>
      <c r="UXQ90" s="6"/>
      <c r="UXR90" s="6"/>
      <c r="UXS90" s="6"/>
      <c r="UXT90" s="6"/>
      <c r="UXU90" s="6"/>
      <c r="UXV90" s="6"/>
      <c r="UXW90" s="6"/>
      <c r="UXX90" s="6"/>
      <c r="UXY90" s="6"/>
      <c r="UXZ90" s="6"/>
      <c r="UYA90" s="6"/>
      <c r="UYB90" s="6"/>
      <c r="UYC90" s="6"/>
      <c r="UYD90" s="6"/>
      <c r="UYE90" s="6"/>
      <c r="UYF90" s="6"/>
      <c r="UYG90" s="6"/>
      <c r="UYH90" s="6"/>
      <c r="UYI90" s="6"/>
      <c r="UYJ90" s="6"/>
      <c r="UYK90" s="6"/>
      <c r="UYL90" s="6"/>
      <c r="UYM90" s="6"/>
      <c r="UYN90" s="6"/>
      <c r="UYO90" s="6"/>
      <c r="UYP90" s="6"/>
      <c r="UYQ90" s="6"/>
      <c r="UYR90" s="6"/>
      <c r="UYS90" s="6"/>
      <c r="UYT90" s="6"/>
      <c r="UYU90" s="6"/>
      <c r="UYV90" s="6"/>
      <c r="UYW90" s="6"/>
      <c r="UYX90" s="6"/>
      <c r="UYY90" s="6"/>
      <c r="UYZ90" s="6"/>
      <c r="UZA90" s="6"/>
      <c r="UZB90" s="6"/>
      <c r="UZC90" s="6"/>
      <c r="UZD90" s="6"/>
      <c r="UZE90" s="6"/>
      <c r="UZF90" s="6"/>
      <c r="UZG90" s="6"/>
      <c r="UZH90" s="6"/>
      <c r="UZI90" s="6"/>
      <c r="UZJ90" s="6"/>
      <c r="UZK90" s="6"/>
      <c r="UZL90" s="6"/>
      <c r="UZM90" s="6"/>
      <c r="UZN90" s="6"/>
      <c r="UZO90" s="6"/>
      <c r="UZP90" s="6"/>
      <c r="UZQ90" s="6"/>
      <c r="UZR90" s="6"/>
      <c r="UZS90" s="6"/>
      <c r="UZT90" s="6"/>
      <c r="UZU90" s="6"/>
      <c r="UZV90" s="6"/>
      <c r="UZW90" s="6"/>
      <c r="UZX90" s="6"/>
      <c r="UZY90" s="6"/>
      <c r="UZZ90" s="6"/>
      <c r="VAA90" s="6"/>
      <c r="VAB90" s="6"/>
      <c r="VAC90" s="6"/>
      <c r="VAD90" s="6"/>
      <c r="VAE90" s="6"/>
      <c r="VAF90" s="6"/>
      <c r="VAG90" s="6"/>
      <c r="VAH90" s="6"/>
      <c r="VAI90" s="6"/>
      <c r="VAJ90" s="6"/>
      <c r="VAK90" s="6"/>
      <c r="VAL90" s="6"/>
      <c r="VAM90" s="6"/>
      <c r="VAN90" s="6"/>
      <c r="VAO90" s="6"/>
      <c r="VAP90" s="6"/>
      <c r="VAQ90" s="6"/>
      <c r="VAR90" s="6"/>
      <c r="VAS90" s="6"/>
      <c r="VAT90" s="6"/>
      <c r="VAU90" s="6"/>
      <c r="VAV90" s="6"/>
      <c r="VAW90" s="6"/>
      <c r="VAX90" s="6"/>
      <c r="VAY90" s="6"/>
      <c r="VAZ90" s="6"/>
      <c r="VBA90" s="6"/>
      <c r="VBB90" s="6"/>
      <c r="VBC90" s="6"/>
      <c r="VBD90" s="6"/>
      <c r="VBE90" s="6"/>
      <c r="VBF90" s="6"/>
      <c r="VBG90" s="6"/>
      <c r="VBH90" s="6"/>
      <c r="VBI90" s="6"/>
      <c r="VBJ90" s="6"/>
      <c r="VBK90" s="6"/>
      <c r="VBL90" s="6"/>
      <c r="VBM90" s="6"/>
      <c r="VBN90" s="6"/>
      <c r="VBO90" s="6"/>
      <c r="VBP90" s="6"/>
      <c r="VBQ90" s="6"/>
      <c r="VBR90" s="6"/>
      <c r="VBS90" s="6"/>
      <c r="VBT90" s="6"/>
      <c r="VBU90" s="6"/>
      <c r="VBV90" s="6"/>
      <c r="VBW90" s="6"/>
      <c r="VBX90" s="6"/>
      <c r="VBY90" s="6"/>
      <c r="VBZ90" s="6"/>
      <c r="VCA90" s="6"/>
      <c r="VCB90" s="6"/>
      <c r="VCC90" s="6"/>
      <c r="VCD90" s="6"/>
      <c r="VCE90" s="6"/>
      <c r="VCF90" s="6"/>
      <c r="VCG90" s="6"/>
      <c r="VCH90" s="6"/>
      <c r="VCI90" s="6"/>
      <c r="VCJ90" s="6"/>
      <c r="VCK90" s="6"/>
      <c r="VCL90" s="6"/>
      <c r="VCM90" s="6"/>
      <c r="VCN90" s="6"/>
      <c r="VCO90" s="6"/>
      <c r="VCP90" s="6"/>
      <c r="VCQ90" s="6"/>
      <c r="VCR90" s="6"/>
      <c r="VCS90" s="6"/>
      <c r="VCT90" s="6"/>
      <c r="VCU90" s="6"/>
      <c r="VCV90" s="6"/>
      <c r="VCW90" s="6"/>
      <c r="VCX90" s="6"/>
      <c r="VCY90" s="6"/>
      <c r="VCZ90" s="6"/>
      <c r="VDA90" s="6"/>
      <c r="VDB90" s="6"/>
      <c r="VDC90" s="6"/>
      <c r="VDD90" s="6"/>
      <c r="VDE90" s="6"/>
      <c r="VDF90" s="6"/>
      <c r="VDG90" s="6"/>
      <c r="VDH90" s="6"/>
      <c r="VDI90" s="6"/>
      <c r="VDJ90" s="6"/>
      <c r="VDK90" s="6"/>
      <c r="VDL90" s="6"/>
      <c r="VDM90" s="6"/>
      <c r="VDN90" s="6"/>
      <c r="VDO90" s="6"/>
      <c r="VDP90" s="6"/>
      <c r="VDQ90" s="6"/>
      <c r="VDR90" s="6"/>
      <c r="VDS90" s="6"/>
      <c r="VDT90" s="6"/>
      <c r="VDU90" s="6"/>
      <c r="VDV90" s="6"/>
      <c r="VDW90" s="6"/>
      <c r="VDX90" s="6"/>
      <c r="VDY90" s="6"/>
      <c r="VDZ90" s="6"/>
      <c r="VEA90" s="6"/>
      <c r="VEB90" s="6"/>
      <c r="VEC90" s="6"/>
      <c r="VED90" s="6"/>
      <c r="VEE90" s="6"/>
      <c r="VEF90" s="6"/>
      <c r="VEG90" s="6"/>
      <c r="VEH90" s="6"/>
      <c r="VEI90" s="6"/>
      <c r="VEJ90" s="6"/>
      <c r="VEK90" s="6"/>
      <c r="VEL90" s="6"/>
      <c r="VEM90" s="6"/>
      <c r="VEN90" s="6"/>
      <c r="VEO90" s="6"/>
      <c r="VEP90" s="6"/>
      <c r="VEQ90" s="6"/>
      <c r="VER90" s="6"/>
      <c r="VES90" s="6"/>
      <c r="VET90" s="6"/>
      <c r="VEU90" s="6"/>
      <c r="VEV90" s="6"/>
      <c r="VEW90" s="6"/>
      <c r="VEX90" s="6"/>
      <c r="VEY90" s="6"/>
      <c r="VEZ90" s="6"/>
      <c r="VFA90" s="6"/>
      <c r="VFB90" s="6"/>
      <c r="VFC90" s="6"/>
      <c r="VFD90" s="6"/>
      <c r="VFE90" s="6"/>
      <c r="VFF90" s="6"/>
      <c r="VFG90" s="6"/>
      <c r="VFH90" s="6"/>
      <c r="VFI90" s="6"/>
      <c r="VFJ90" s="6"/>
      <c r="VFK90" s="6"/>
      <c r="VFL90" s="6"/>
      <c r="VFM90" s="6"/>
      <c r="VFN90" s="6"/>
      <c r="VFO90" s="6"/>
      <c r="VFP90" s="6"/>
      <c r="VFQ90" s="6"/>
      <c r="VFR90" s="6"/>
      <c r="VFS90" s="6"/>
      <c r="VFT90" s="6"/>
      <c r="VFU90" s="6"/>
      <c r="VFV90" s="6"/>
      <c r="VFW90" s="6"/>
      <c r="VFX90" s="6"/>
      <c r="VFY90" s="6"/>
      <c r="VFZ90" s="6"/>
      <c r="VGA90" s="6"/>
      <c r="VGB90" s="6"/>
      <c r="VGC90" s="6"/>
      <c r="VGD90" s="6"/>
      <c r="VGE90" s="6"/>
      <c r="VGF90" s="6"/>
      <c r="VGG90" s="6"/>
      <c r="VGH90" s="6"/>
      <c r="VGI90" s="6"/>
      <c r="VGJ90" s="6"/>
      <c r="VGK90" s="6"/>
      <c r="VGL90" s="6"/>
      <c r="VGM90" s="6"/>
      <c r="VGN90" s="6"/>
      <c r="VGO90" s="6"/>
      <c r="VGP90" s="6"/>
      <c r="VGQ90" s="6"/>
      <c r="VGR90" s="6"/>
      <c r="VGS90" s="6"/>
      <c r="VGT90" s="6"/>
      <c r="VGU90" s="6"/>
      <c r="VGV90" s="6"/>
      <c r="VGW90" s="6"/>
      <c r="VGX90" s="6"/>
      <c r="VGY90" s="6"/>
      <c r="VGZ90" s="6"/>
      <c r="VHA90" s="6"/>
      <c r="VHB90" s="6"/>
      <c r="VHC90" s="6"/>
      <c r="VHD90" s="6"/>
      <c r="VHE90" s="6"/>
      <c r="VHF90" s="6"/>
      <c r="VHG90" s="6"/>
      <c r="VHH90" s="6"/>
      <c r="VHI90" s="6"/>
      <c r="VHJ90" s="6"/>
      <c r="VHK90" s="6"/>
      <c r="VHL90" s="6"/>
      <c r="VHM90" s="6"/>
      <c r="VHN90" s="6"/>
      <c r="VHO90" s="6"/>
      <c r="VHP90" s="6"/>
      <c r="VHQ90" s="6"/>
      <c r="VHR90" s="6"/>
      <c r="VHS90" s="6"/>
      <c r="VHT90" s="6"/>
      <c r="VHU90" s="6"/>
      <c r="VHV90" s="6"/>
      <c r="VHW90" s="6"/>
      <c r="VHX90" s="6"/>
      <c r="VHY90" s="6"/>
      <c r="VHZ90" s="6"/>
      <c r="VIA90" s="6"/>
      <c r="VIB90" s="6"/>
      <c r="VIC90" s="6"/>
      <c r="VID90" s="6"/>
      <c r="VIE90" s="6"/>
      <c r="VIF90" s="6"/>
      <c r="VIG90" s="6"/>
      <c r="VIH90" s="6"/>
      <c r="VII90" s="6"/>
      <c r="VIJ90" s="6"/>
      <c r="VIK90" s="6"/>
      <c r="VIL90" s="6"/>
      <c r="VIM90" s="6"/>
      <c r="VIN90" s="6"/>
      <c r="VIO90" s="6"/>
      <c r="VIP90" s="6"/>
      <c r="VIQ90" s="6"/>
      <c r="VIR90" s="6"/>
      <c r="VIS90" s="6"/>
      <c r="VIT90" s="6"/>
      <c r="VIU90" s="6"/>
      <c r="VIV90" s="6"/>
      <c r="VIW90" s="6"/>
      <c r="VIX90" s="6"/>
      <c r="VIY90" s="6"/>
      <c r="VIZ90" s="6"/>
      <c r="VJA90" s="6"/>
      <c r="VJB90" s="6"/>
      <c r="VJC90" s="6"/>
      <c r="VJD90" s="6"/>
      <c r="VJE90" s="6"/>
      <c r="VJF90" s="6"/>
      <c r="VJG90" s="6"/>
      <c r="VJH90" s="6"/>
      <c r="VJI90" s="6"/>
      <c r="VJJ90" s="6"/>
      <c r="VJK90" s="6"/>
      <c r="VJL90" s="6"/>
      <c r="VJM90" s="6"/>
      <c r="VJN90" s="6"/>
      <c r="VJO90" s="6"/>
      <c r="VJP90" s="6"/>
      <c r="VJQ90" s="6"/>
      <c r="VJR90" s="6"/>
      <c r="VJS90" s="6"/>
      <c r="VJT90" s="6"/>
      <c r="VJU90" s="6"/>
      <c r="VJV90" s="6"/>
      <c r="VJW90" s="6"/>
      <c r="VJX90" s="6"/>
      <c r="VJY90" s="6"/>
      <c r="VJZ90" s="6"/>
      <c r="VKA90" s="6"/>
      <c r="VKB90" s="6"/>
      <c r="VKC90" s="6"/>
      <c r="VKD90" s="6"/>
      <c r="VKE90" s="6"/>
      <c r="VKF90" s="6"/>
      <c r="VKG90" s="6"/>
      <c r="VKH90" s="6"/>
      <c r="VKI90" s="6"/>
      <c r="VKJ90" s="6"/>
      <c r="VKK90" s="6"/>
      <c r="VKL90" s="6"/>
      <c r="VKM90" s="6"/>
      <c r="VKN90" s="6"/>
      <c r="VKO90" s="6"/>
      <c r="VKP90" s="6"/>
      <c r="VKQ90" s="6"/>
      <c r="VKR90" s="6"/>
      <c r="VKS90" s="6"/>
      <c r="VKT90" s="6"/>
      <c r="VKU90" s="6"/>
      <c r="VKV90" s="6"/>
      <c r="VKW90" s="6"/>
      <c r="VKX90" s="6"/>
      <c r="VKY90" s="6"/>
      <c r="VKZ90" s="6"/>
      <c r="VLA90" s="6"/>
      <c r="VLB90" s="6"/>
      <c r="VLC90" s="6"/>
      <c r="VLD90" s="6"/>
      <c r="VLE90" s="6"/>
      <c r="VLF90" s="6"/>
      <c r="VLG90" s="6"/>
      <c r="VLH90" s="6"/>
      <c r="VLI90" s="6"/>
      <c r="VLJ90" s="6"/>
      <c r="VLK90" s="6"/>
      <c r="VLL90" s="6"/>
      <c r="VLM90" s="6"/>
      <c r="VLN90" s="6"/>
      <c r="VLO90" s="6"/>
      <c r="VLP90" s="6"/>
      <c r="VLQ90" s="6"/>
      <c r="VLR90" s="6"/>
      <c r="VLS90" s="6"/>
      <c r="VLT90" s="6"/>
      <c r="VLU90" s="6"/>
      <c r="VLV90" s="6"/>
      <c r="VLW90" s="6"/>
      <c r="VLX90" s="6"/>
      <c r="VLY90" s="6"/>
      <c r="VLZ90" s="6"/>
      <c r="VMA90" s="6"/>
      <c r="VMB90" s="6"/>
      <c r="VMC90" s="6"/>
      <c r="VMD90" s="6"/>
      <c r="VME90" s="6"/>
      <c r="VMF90" s="6"/>
      <c r="VMG90" s="6"/>
      <c r="VMH90" s="6"/>
      <c r="VMI90" s="6"/>
      <c r="VMJ90" s="6"/>
      <c r="VMK90" s="6"/>
      <c r="VML90" s="6"/>
      <c r="VMM90" s="6"/>
      <c r="VMN90" s="6"/>
      <c r="VMO90" s="6"/>
      <c r="VMP90" s="6"/>
      <c r="VMQ90" s="6"/>
      <c r="VMR90" s="6"/>
      <c r="VMS90" s="6"/>
      <c r="VMT90" s="6"/>
      <c r="VMU90" s="6"/>
      <c r="VMV90" s="6"/>
      <c r="VMW90" s="6"/>
      <c r="VMX90" s="6"/>
      <c r="VMY90" s="6"/>
      <c r="VMZ90" s="6"/>
      <c r="VNA90" s="6"/>
      <c r="VNB90" s="6"/>
      <c r="VNC90" s="6"/>
      <c r="VND90" s="6"/>
      <c r="VNE90" s="6"/>
      <c r="VNF90" s="6"/>
      <c r="VNG90" s="6"/>
      <c r="VNH90" s="6"/>
      <c r="VNI90" s="6"/>
      <c r="VNJ90" s="6"/>
      <c r="VNK90" s="6"/>
      <c r="VNL90" s="6"/>
      <c r="VNM90" s="6"/>
      <c r="VNN90" s="6"/>
      <c r="VNO90" s="6"/>
      <c r="VNP90" s="6"/>
      <c r="VNQ90" s="6"/>
      <c r="VNR90" s="6"/>
      <c r="VNS90" s="6"/>
      <c r="VNT90" s="6"/>
      <c r="VNU90" s="6"/>
      <c r="VNV90" s="6"/>
      <c r="VNW90" s="6"/>
      <c r="VNX90" s="6"/>
      <c r="VNY90" s="6"/>
      <c r="VNZ90" s="6"/>
      <c r="VOA90" s="6"/>
      <c r="VOB90" s="6"/>
      <c r="VOC90" s="6"/>
      <c r="VOD90" s="6"/>
      <c r="VOE90" s="6"/>
      <c r="VOF90" s="6"/>
      <c r="VOG90" s="6"/>
      <c r="VOH90" s="6"/>
      <c r="VOI90" s="6"/>
      <c r="VOJ90" s="6"/>
      <c r="VOK90" s="6"/>
      <c r="VOL90" s="6"/>
      <c r="VOM90" s="6"/>
      <c r="VON90" s="6"/>
      <c r="VOO90" s="6"/>
      <c r="VOP90" s="6"/>
      <c r="VOQ90" s="6"/>
      <c r="VOR90" s="6"/>
      <c r="VOS90" s="6"/>
      <c r="VOT90" s="6"/>
      <c r="VOU90" s="6"/>
      <c r="VOV90" s="6"/>
      <c r="VOW90" s="6"/>
      <c r="VOX90" s="6"/>
      <c r="VOY90" s="6"/>
      <c r="VOZ90" s="6"/>
      <c r="VPA90" s="6"/>
      <c r="VPB90" s="6"/>
      <c r="VPC90" s="6"/>
      <c r="VPD90" s="6"/>
      <c r="VPE90" s="6"/>
      <c r="VPF90" s="6"/>
      <c r="VPG90" s="6"/>
      <c r="VPH90" s="6"/>
      <c r="VPI90" s="6"/>
      <c r="VPJ90" s="6"/>
      <c r="VPK90" s="6"/>
      <c r="VPL90" s="6"/>
      <c r="VPM90" s="6"/>
      <c r="VPN90" s="6"/>
      <c r="VPO90" s="6"/>
      <c r="VPP90" s="6"/>
      <c r="VPQ90" s="6"/>
      <c r="VPR90" s="6"/>
      <c r="VPS90" s="6"/>
      <c r="VPT90" s="6"/>
      <c r="VPU90" s="6"/>
      <c r="VPV90" s="6"/>
      <c r="VPW90" s="6"/>
      <c r="VPX90" s="6"/>
      <c r="VPY90" s="6"/>
      <c r="VPZ90" s="6"/>
      <c r="VQA90" s="6"/>
      <c r="VQB90" s="6"/>
      <c r="VQC90" s="6"/>
      <c r="VQD90" s="6"/>
      <c r="VQE90" s="6"/>
      <c r="VQF90" s="6"/>
      <c r="VQG90" s="6"/>
      <c r="VQH90" s="6"/>
      <c r="VQI90" s="6"/>
      <c r="VQJ90" s="6"/>
      <c r="VQK90" s="6"/>
      <c r="VQL90" s="6"/>
      <c r="VQM90" s="6"/>
      <c r="VQN90" s="6"/>
      <c r="VQO90" s="6"/>
      <c r="VQP90" s="6"/>
      <c r="VQQ90" s="6"/>
      <c r="VQR90" s="6"/>
      <c r="VQS90" s="6"/>
      <c r="VQT90" s="6"/>
      <c r="VQU90" s="6"/>
      <c r="VQV90" s="6"/>
      <c r="VQW90" s="6"/>
      <c r="VQX90" s="6"/>
      <c r="VQY90" s="6"/>
      <c r="VQZ90" s="6"/>
      <c r="VRA90" s="6"/>
      <c r="VRB90" s="6"/>
      <c r="VRC90" s="6"/>
      <c r="VRD90" s="6"/>
      <c r="VRE90" s="6"/>
      <c r="VRF90" s="6"/>
      <c r="VRG90" s="6"/>
      <c r="VRH90" s="6"/>
      <c r="VRI90" s="6"/>
      <c r="VRJ90" s="6"/>
      <c r="VRK90" s="6"/>
      <c r="VRL90" s="6"/>
      <c r="VRM90" s="6"/>
      <c r="VRN90" s="6"/>
      <c r="VRO90" s="6"/>
      <c r="VRP90" s="6"/>
      <c r="VRQ90" s="6"/>
      <c r="VRR90" s="6"/>
      <c r="VRS90" s="6"/>
      <c r="VRT90" s="6"/>
      <c r="VRU90" s="6"/>
      <c r="VRV90" s="6"/>
      <c r="VRW90" s="6"/>
      <c r="VRX90" s="6"/>
      <c r="VRY90" s="6"/>
      <c r="VRZ90" s="6"/>
      <c r="VSA90" s="6"/>
      <c r="VSB90" s="6"/>
      <c r="VSC90" s="6"/>
      <c r="VSD90" s="6"/>
      <c r="VSE90" s="6"/>
      <c r="VSF90" s="6"/>
      <c r="VSG90" s="6"/>
      <c r="VSH90" s="6"/>
      <c r="VSI90" s="6"/>
      <c r="VSJ90" s="6"/>
      <c r="VSK90" s="6"/>
      <c r="VSL90" s="6"/>
      <c r="VSM90" s="6"/>
      <c r="VSN90" s="6"/>
      <c r="VSO90" s="6"/>
      <c r="VSP90" s="6"/>
      <c r="VSQ90" s="6"/>
      <c r="VSR90" s="6"/>
      <c r="VSS90" s="6"/>
      <c r="VST90" s="6"/>
      <c r="VSU90" s="6"/>
      <c r="VSV90" s="6"/>
      <c r="VSW90" s="6"/>
      <c r="VSX90" s="6"/>
      <c r="VSY90" s="6"/>
      <c r="VSZ90" s="6"/>
      <c r="VTA90" s="6"/>
      <c r="VTB90" s="6"/>
      <c r="VTC90" s="6"/>
      <c r="VTD90" s="6"/>
      <c r="VTE90" s="6"/>
      <c r="VTF90" s="6"/>
      <c r="VTG90" s="6"/>
      <c r="VTH90" s="6"/>
      <c r="VTI90" s="6"/>
      <c r="VTJ90" s="6"/>
      <c r="VTK90" s="6"/>
      <c r="VTL90" s="6"/>
      <c r="VTM90" s="6"/>
      <c r="VTN90" s="6"/>
      <c r="VTO90" s="6"/>
      <c r="VTP90" s="6"/>
      <c r="VTQ90" s="6"/>
      <c r="VTR90" s="6"/>
      <c r="VTS90" s="6"/>
      <c r="VTT90" s="6"/>
      <c r="VTU90" s="6"/>
      <c r="VTV90" s="6"/>
      <c r="VTW90" s="6"/>
      <c r="VTX90" s="6"/>
      <c r="VTY90" s="6"/>
      <c r="VTZ90" s="6"/>
      <c r="VUA90" s="6"/>
      <c r="VUB90" s="6"/>
      <c r="VUC90" s="6"/>
      <c r="VUD90" s="6"/>
      <c r="VUE90" s="6"/>
      <c r="VUF90" s="6"/>
      <c r="VUG90" s="6"/>
      <c r="VUH90" s="6"/>
      <c r="VUI90" s="6"/>
      <c r="VUJ90" s="6"/>
      <c r="VUK90" s="6"/>
      <c r="VUL90" s="6"/>
      <c r="VUM90" s="6"/>
      <c r="VUN90" s="6"/>
      <c r="VUO90" s="6"/>
      <c r="VUP90" s="6"/>
      <c r="VUQ90" s="6"/>
      <c r="VUR90" s="6"/>
      <c r="VUS90" s="6"/>
      <c r="VUT90" s="6"/>
      <c r="VUU90" s="6"/>
      <c r="VUV90" s="6"/>
      <c r="VUW90" s="6"/>
      <c r="VUX90" s="6"/>
      <c r="VUY90" s="6"/>
      <c r="VUZ90" s="6"/>
      <c r="VVA90" s="6"/>
      <c r="VVB90" s="6"/>
      <c r="VVC90" s="6"/>
      <c r="VVD90" s="6"/>
      <c r="VVE90" s="6"/>
      <c r="VVF90" s="6"/>
      <c r="VVG90" s="6"/>
      <c r="VVH90" s="6"/>
      <c r="VVI90" s="6"/>
      <c r="VVJ90" s="6"/>
      <c r="VVK90" s="6"/>
      <c r="VVL90" s="6"/>
      <c r="VVM90" s="6"/>
      <c r="VVN90" s="6"/>
      <c r="VVO90" s="6"/>
      <c r="VVP90" s="6"/>
      <c r="VVQ90" s="6"/>
      <c r="VVR90" s="6"/>
      <c r="VVS90" s="6"/>
      <c r="VVT90" s="6"/>
      <c r="VVU90" s="6"/>
      <c r="VVV90" s="6"/>
      <c r="VVW90" s="6"/>
      <c r="VVX90" s="6"/>
      <c r="VVY90" s="6"/>
      <c r="VVZ90" s="6"/>
      <c r="VWA90" s="6"/>
      <c r="VWB90" s="6"/>
      <c r="VWC90" s="6"/>
      <c r="VWD90" s="6"/>
      <c r="VWE90" s="6"/>
      <c r="VWF90" s="6"/>
      <c r="VWG90" s="6"/>
      <c r="VWH90" s="6"/>
      <c r="VWI90" s="6"/>
      <c r="VWJ90" s="6"/>
      <c r="VWK90" s="6"/>
      <c r="VWL90" s="6"/>
      <c r="VWM90" s="6"/>
      <c r="VWN90" s="6"/>
      <c r="VWO90" s="6"/>
      <c r="VWP90" s="6"/>
      <c r="VWQ90" s="6"/>
      <c r="VWR90" s="6"/>
      <c r="VWS90" s="6"/>
      <c r="VWT90" s="6"/>
      <c r="VWU90" s="6"/>
      <c r="VWV90" s="6"/>
      <c r="VWW90" s="6"/>
      <c r="VWX90" s="6"/>
      <c r="VWY90" s="6"/>
      <c r="VWZ90" s="6"/>
      <c r="VXA90" s="6"/>
      <c r="VXB90" s="6"/>
      <c r="VXC90" s="6"/>
      <c r="VXD90" s="6"/>
      <c r="VXE90" s="6"/>
      <c r="VXF90" s="6"/>
      <c r="VXG90" s="6"/>
      <c r="VXH90" s="6"/>
      <c r="VXI90" s="6"/>
      <c r="VXJ90" s="6"/>
      <c r="VXK90" s="6"/>
      <c r="VXL90" s="6"/>
      <c r="VXM90" s="6"/>
      <c r="VXN90" s="6"/>
      <c r="VXO90" s="6"/>
      <c r="VXP90" s="6"/>
      <c r="VXQ90" s="6"/>
      <c r="VXR90" s="6"/>
      <c r="VXS90" s="6"/>
      <c r="VXT90" s="6"/>
      <c r="VXU90" s="6"/>
      <c r="VXV90" s="6"/>
      <c r="VXW90" s="6"/>
      <c r="VXX90" s="6"/>
      <c r="VXY90" s="6"/>
      <c r="VXZ90" s="6"/>
      <c r="VYA90" s="6"/>
      <c r="VYB90" s="6"/>
      <c r="VYC90" s="6"/>
      <c r="VYD90" s="6"/>
      <c r="VYE90" s="6"/>
      <c r="VYF90" s="6"/>
      <c r="VYG90" s="6"/>
      <c r="VYH90" s="6"/>
      <c r="VYI90" s="6"/>
      <c r="VYJ90" s="6"/>
      <c r="VYK90" s="6"/>
      <c r="VYL90" s="6"/>
      <c r="VYM90" s="6"/>
      <c r="VYN90" s="6"/>
      <c r="VYO90" s="6"/>
      <c r="VYP90" s="6"/>
      <c r="VYQ90" s="6"/>
      <c r="VYR90" s="6"/>
      <c r="VYS90" s="6"/>
      <c r="VYT90" s="6"/>
      <c r="VYU90" s="6"/>
      <c r="VYV90" s="6"/>
      <c r="VYW90" s="6"/>
      <c r="VYX90" s="6"/>
      <c r="VYY90" s="6"/>
      <c r="VYZ90" s="6"/>
      <c r="VZA90" s="6"/>
      <c r="VZB90" s="6"/>
      <c r="VZC90" s="6"/>
      <c r="VZD90" s="6"/>
      <c r="VZE90" s="6"/>
      <c r="VZF90" s="6"/>
      <c r="VZG90" s="6"/>
      <c r="VZH90" s="6"/>
      <c r="VZI90" s="6"/>
      <c r="VZJ90" s="6"/>
      <c r="VZK90" s="6"/>
      <c r="VZL90" s="6"/>
      <c r="VZM90" s="6"/>
      <c r="VZN90" s="6"/>
      <c r="VZO90" s="6"/>
      <c r="VZP90" s="6"/>
      <c r="VZQ90" s="6"/>
      <c r="VZR90" s="6"/>
      <c r="VZS90" s="6"/>
      <c r="VZT90" s="6"/>
      <c r="VZU90" s="6"/>
      <c r="VZV90" s="6"/>
      <c r="VZW90" s="6"/>
      <c r="VZX90" s="6"/>
      <c r="VZY90" s="6"/>
      <c r="VZZ90" s="6"/>
      <c r="WAA90" s="6"/>
      <c r="WAB90" s="6"/>
      <c r="WAC90" s="6"/>
      <c r="WAD90" s="6"/>
      <c r="WAE90" s="6"/>
      <c r="WAF90" s="6"/>
      <c r="WAG90" s="6"/>
      <c r="WAH90" s="6"/>
      <c r="WAI90" s="6"/>
      <c r="WAJ90" s="6"/>
      <c r="WAK90" s="6"/>
      <c r="WAL90" s="6"/>
      <c r="WAM90" s="6"/>
      <c r="WAN90" s="6"/>
      <c r="WAO90" s="6"/>
      <c r="WAP90" s="6"/>
      <c r="WAQ90" s="6"/>
      <c r="WAR90" s="6"/>
      <c r="WAS90" s="6"/>
      <c r="WAT90" s="6"/>
      <c r="WAU90" s="6"/>
      <c r="WAV90" s="6"/>
      <c r="WAW90" s="6"/>
      <c r="WAX90" s="6"/>
      <c r="WAY90" s="6"/>
      <c r="WAZ90" s="6"/>
      <c r="WBA90" s="6"/>
      <c r="WBB90" s="6"/>
      <c r="WBC90" s="6"/>
      <c r="WBD90" s="6"/>
      <c r="WBE90" s="6"/>
      <c r="WBF90" s="6"/>
      <c r="WBG90" s="6"/>
      <c r="WBH90" s="6"/>
      <c r="WBI90" s="6"/>
      <c r="WBJ90" s="6"/>
      <c r="WBK90" s="6"/>
      <c r="WBL90" s="6"/>
      <c r="WBM90" s="6"/>
      <c r="WBN90" s="6"/>
      <c r="WBO90" s="6"/>
      <c r="WBP90" s="6"/>
      <c r="WBQ90" s="6"/>
      <c r="WBR90" s="6"/>
      <c r="WBS90" s="6"/>
      <c r="WBT90" s="6"/>
      <c r="WBU90" s="6"/>
      <c r="WBV90" s="6"/>
      <c r="WBW90" s="6"/>
      <c r="WBX90" s="6"/>
      <c r="WBY90" s="6"/>
      <c r="WBZ90" s="6"/>
      <c r="WCA90" s="6"/>
      <c r="WCB90" s="6"/>
      <c r="WCC90" s="6"/>
      <c r="WCD90" s="6"/>
      <c r="WCE90" s="6"/>
      <c r="WCF90" s="6"/>
      <c r="WCG90" s="6"/>
      <c r="WCH90" s="6"/>
      <c r="WCI90" s="6"/>
      <c r="WCJ90" s="6"/>
      <c r="WCK90" s="6"/>
      <c r="WCL90" s="6"/>
      <c r="WCM90" s="6"/>
      <c r="WCN90" s="6"/>
      <c r="WCO90" s="6"/>
      <c r="WCP90" s="6"/>
      <c r="WCQ90" s="6"/>
      <c r="WCR90" s="6"/>
      <c r="WCS90" s="6"/>
      <c r="WCT90" s="6"/>
      <c r="WCU90" s="6"/>
      <c r="WCV90" s="6"/>
      <c r="WCW90" s="6"/>
      <c r="WCX90" s="6"/>
      <c r="WCY90" s="6"/>
      <c r="WCZ90" s="6"/>
      <c r="WDA90" s="6"/>
      <c r="WDB90" s="6"/>
      <c r="WDC90" s="6"/>
      <c r="WDD90" s="6"/>
      <c r="WDE90" s="6"/>
      <c r="WDF90" s="6"/>
      <c r="WDG90" s="6"/>
      <c r="WDH90" s="6"/>
      <c r="WDI90" s="6"/>
      <c r="WDJ90" s="6"/>
      <c r="WDK90" s="6"/>
      <c r="WDL90" s="6"/>
      <c r="WDM90" s="6"/>
      <c r="WDN90" s="6"/>
      <c r="WDO90" s="6"/>
      <c r="WDP90" s="6"/>
      <c r="WDQ90" s="6"/>
      <c r="WDR90" s="6"/>
      <c r="WDS90" s="6"/>
      <c r="WDT90" s="6"/>
      <c r="WDU90" s="6"/>
      <c r="WDV90" s="6"/>
      <c r="WDW90" s="6"/>
      <c r="WDX90" s="6"/>
      <c r="WDY90" s="6"/>
      <c r="WDZ90" s="6"/>
      <c r="WEA90" s="6"/>
      <c r="WEB90" s="6"/>
      <c r="WEC90" s="6"/>
      <c r="WED90" s="6"/>
      <c r="WEE90" s="6"/>
      <c r="WEF90" s="6"/>
      <c r="WEG90" s="6"/>
      <c r="WEH90" s="6"/>
      <c r="WEI90" s="6"/>
      <c r="WEJ90" s="6"/>
      <c r="WEK90" s="6"/>
      <c r="WEL90" s="6"/>
      <c r="WEM90" s="6"/>
      <c r="WEN90" s="6"/>
      <c r="WEO90" s="6"/>
      <c r="WEP90" s="6"/>
      <c r="WEQ90" s="6"/>
      <c r="WER90" s="6"/>
      <c r="WES90" s="6"/>
      <c r="WET90" s="6"/>
      <c r="WEU90" s="6"/>
      <c r="WEV90" s="6"/>
      <c r="WEW90" s="6"/>
      <c r="WEX90" s="6"/>
      <c r="WEY90" s="6"/>
      <c r="WEZ90" s="6"/>
      <c r="WFA90" s="6"/>
      <c r="WFB90" s="6"/>
      <c r="WFC90" s="6"/>
      <c r="WFD90" s="6"/>
      <c r="WFE90" s="6"/>
      <c r="WFF90" s="6"/>
      <c r="WFG90" s="6"/>
      <c r="WFH90" s="6"/>
      <c r="WFI90" s="6"/>
      <c r="WFJ90" s="6"/>
      <c r="WFK90" s="6"/>
      <c r="WFL90" s="6"/>
      <c r="WFM90" s="6"/>
      <c r="WFN90" s="6"/>
      <c r="WFO90" s="6"/>
      <c r="WFP90" s="6"/>
      <c r="WFQ90" s="6"/>
      <c r="WFR90" s="6"/>
      <c r="WFS90" s="6"/>
      <c r="WFT90" s="6"/>
      <c r="WFU90" s="6"/>
      <c r="WFV90" s="6"/>
      <c r="WFW90" s="6"/>
      <c r="WFX90" s="6"/>
      <c r="WFY90" s="6"/>
      <c r="WFZ90" s="6"/>
      <c r="WGA90" s="6"/>
      <c r="WGB90" s="6"/>
      <c r="WGC90" s="6"/>
      <c r="WGD90" s="6"/>
      <c r="WGE90" s="6"/>
      <c r="WGF90" s="6"/>
      <c r="WGG90" s="6"/>
      <c r="WGH90" s="6"/>
      <c r="WGI90" s="6"/>
      <c r="WGJ90" s="6"/>
      <c r="WGK90" s="6"/>
      <c r="WGL90" s="6"/>
      <c r="WGM90" s="6"/>
      <c r="WGN90" s="6"/>
      <c r="WGO90" s="6"/>
      <c r="WGP90" s="6"/>
      <c r="WGQ90" s="6"/>
      <c r="WGR90" s="6"/>
      <c r="WGS90" s="6"/>
      <c r="WGT90" s="6"/>
      <c r="WGU90" s="6"/>
      <c r="WGV90" s="6"/>
      <c r="WGW90" s="6"/>
      <c r="WGX90" s="6"/>
      <c r="WGY90" s="6"/>
      <c r="WGZ90" s="6"/>
      <c r="WHA90" s="6"/>
      <c r="WHB90" s="6"/>
      <c r="WHC90" s="6"/>
      <c r="WHD90" s="6"/>
      <c r="WHE90" s="6"/>
      <c r="WHF90" s="6"/>
      <c r="WHG90" s="6"/>
      <c r="WHH90" s="6"/>
      <c r="WHI90" s="6"/>
      <c r="WHJ90" s="6"/>
      <c r="WHK90" s="6"/>
      <c r="WHL90" s="6"/>
      <c r="WHM90" s="6"/>
      <c r="WHN90" s="6"/>
      <c r="WHO90" s="6"/>
      <c r="WHP90" s="6"/>
      <c r="WHQ90" s="6"/>
      <c r="WHR90" s="6"/>
      <c r="WHS90" s="6"/>
      <c r="WHT90" s="6"/>
      <c r="WHU90" s="6"/>
      <c r="WHV90" s="6"/>
      <c r="WHW90" s="6"/>
      <c r="WHX90" s="6"/>
      <c r="WHY90" s="6"/>
      <c r="WHZ90" s="6"/>
      <c r="WIA90" s="6"/>
      <c r="WIB90" s="6"/>
      <c r="WIC90" s="6"/>
      <c r="WID90" s="6"/>
      <c r="WIE90" s="6"/>
      <c r="WIF90" s="6"/>
      <c r="WIG90" s="6"/>
      <c r="WIH90" s="6"/>
      <c r="WII90" s="6"/>
      <c r="WIJ90" s="6"/>
      <c r="WIK90" s="6"/>
      <c r="WIL90" s="6"/>
      <c r="WIM90" s="6"/>
      <c r="WIN90" s="6"/>
      <c r="WIO90" s="6"/>
      <c r="WIP90" s="6"/>
      <c r="WIQ90" s="6"/>
      <c r="WIR90" s="6"/>
      <c r="WIS90" s="6"/>
      <c r="WIT90" s="6"/>
      <c r="WIU90" s="6"/>
      <c r="WIV90" s="6"/>
      <c r="WIW90" s="6"/>
      <c r="WIX90" s="6"/>
      <c r="WIY90" s="6"/>
      <c r="WIZ90" s="6"/>
      <c r="WJA90" s="6"/>
      <c r="WJB90" s="6"/>
      <c r="WJC90" s="6"/>
      <c r="WJD90" s="6"/>
      <c r="WJE90" s="6"/>
      <c r="WJF90" s="6"/>
      <c r="WJG90" s="6"/>
      <c r="WJH90" s="6"/>
      <c r="WJI90" s="6"/>
      <c r="WJJ90" s="6"/>
      <c r="WJK90" s="6"/>
      <c r="WJL90" s="6"/>
      <c r="WJM90" s="6"/>
      <c r="WJN90" s="6"/>
      <c r="WJO90" s="6"/>
      <c r="WJP90" s="6"/>
      <c r="WJQ90" s="6"/>
      <c r="WJR90" s="6"/>
      <c r="WJS90" s="6"/>
      <c r="WJT90" s="6"/>
      <c r="WJU90" s="6"/>
      <c r="WJV90" s="6"/>
      <c r="WJW90" s="6"/>
      <c r="WJX90" s="6"/>
      <c r="WJY90" s="6"/>
      <c r="WJZ90" s="6"/>
      <c r="WKA90" s="6"/>
      <c r="WKB90" s="6"/>
      <c r="WKC90" s="6"/>
      <c r="WKD90" s="6"/>
      <c r="WKE90" s="6"/>
      <c r="WKF90" s="6"/>
      <c r="WKG90" s="6"/>
      <c r="WKH90" s="6"/>
      <c r="WKI90" s="6"/>
      <c r="WKJ90" s="6"/>
      <c r="WKK90" s="6"/>
      <c r="WKL90" s="6"/>
      <c r="WKM90" s="6"/>
      <c r="WKN90" s="6"/>
      <c r="WKO90" s="6"/>
      <c r="WKP90" s="6"/>
      <c r="WKQ90" s="6"/>
      <c r="WKR90" s="6"/>
      <c r="WKS90" s="6"/>
      <c r="WKT90" s="6"/>
      <c r="WKU90" s="6"/>
      <c r="WKV90" s="6"/>
      <c r="WKW90" s="6"/>
      <c r="WKX90" s="6"/>
      <c r="WKY90" s="6"/>
      <c r="WKZ90" s="6"/>
      <c r="WLA90" s="6"/>
      <c r="WLB90" s="6"/>
      <c r="WLC90" s="6"/>
      <c r="WLD90" s="6"/>
      <c r="WLE90" s="6"/>
      <c r="WLF90" s="6"/>
      <c r="WLG90" s="6"/>
      <c r="WLH90" s="6"/>
      <c r="WLI90" s="6"/>
      <c r="WLJ90" s="6"/>
      <c r="WLK90" s="6"/>
      <c r="WLL90" s="6"/>
      <c r="WLM90" s="6"/>
      <c r="WLN90" s="6"/>
      <c r="WLO90" s="6"/>
      <c r="WLP90" s="6"/>
      <c r="WLQ90" s="6"/>
      <c r="WLR90" s="6"/>
      <c r="WLS90" s="6"/>
      <c r="WLT90" s="6"/>
      <c r="WLU90" s="6"/>
      <c r="WLV90" s="6"/>
      <c r="WLW90" s="6"/>
      <c r="WLX90" s="6"/>
      <c r="WLY90" s="6"/>
      <c r="WLZ90" s="6"/>
      <c r="WMA90" s="6"/>
      <c r="WMB90" s="6"/>
      <c r="WMC90" s="6"/>
      <c r="WMD90" s="6"/>
      <c r="WME90" s="6"/>
      <c r="WMF90" s="6"/>
      <c r="WMG90" s="6"/>
      <c r="WMH90" s="6"/>
      <c r="WMI90" s="6"/>
      <c r="WMJ90" s="6"/>
      <c r="WMK90" s="6"/>
      <c r="WML90" s="6"/>
      <c r="WMM90" s="6"/>
      <c r="WMN90" s="6"/>
      <c r="WMO90" s="6"/>
      <c r="WMP90" s="6"/>
      <c r="WMQ90" s="6"/>
      <c r="WMR90" s="6"/>
      <c r="WMS90" s="6"/>
      <c r="WMT90" s="6"/>
      <c r="WMU90" s="6"/>
      <c r="WMV90" s="6"/>
      <c r="WMW90" s="6"/>
      <c r="WMX90" s="6"/>
      <c r="WMY90" s="6"/>
      <c r="WMZ90" s="6"/>
      <c r="WNA90" s="6"/>
      <c r="WNB90" s="6"/>
      <c r="WNC90" s="6"/>
      <c r="WND90" s="6"/>
      <c r="WNE90" s="6"/>
      <c r="WNF90" s="6"/>
      <c r="WNG90" s="6"/>
      <c r="WNH90" s="6"/>
      <c r="WNI90" s="6"/>
      <c r="WNJ90" s="6"/>
      <c r="WNK90" s="6"/>
      <c r="WNL90" s="6"/>
      <c r="WNM90" s="6"/>
      <c r="WNN90" s="6"/>
      <c r="WNO90" s="6"/>
      <c r="WNP90" s="6"/>
      <c r="WNQ90" s="6"/>
      <c r="WNR90" s="6"/>
      <c r="WNS90" s="6"/>
      <c r="WNT90" s="6"/>
      <c r="WNU90" s="6"/>
      <c r="WNV90" s="6"/>
      <c r="WNW90" s="6"/>
      <c r="WNX90" s="6"/>
      <c r="WNY90" s="6"/>
      <c r="WNZ90" s="6"/>
      <c r="WOA90" s="6"/>
      <c r="WOB90" s="6"/>
      <c r="WOC90" s="6"/>
      <c r="WOD90" s="6"/>
      <c r="WOE90" s="6"/>
      <c r="WOF90" s="6"/>
      <c r="WOG90" s="6"/>
      <c r="WOH90" s="6"/>
      <c r="WOI90" s="6"/>
      <c r="WOJ90" s="6"/>
      <c r="WOK90" s="6"/>
      <c r="WOL90" s="6"/>
      <c r="WOM90" s="6"/>
      <c r="WON90" s="6"/>
      <c r="WOO90" s="6"/>
      <c r="WOP90" s="6"/>
      <c r="WOQ90" s="6"/>
      <c r="WOR90" s="6"/>
      <c r="WOS90" s="6"/>
      <c r="WOT90" s="6"/>
      <c r="WOU90" s="6"/>
      <c r="WOV90" s="6"/>
      <c r="WOW90" s="6"/>
      <c r="WOX90" s="6"/>
      <c r="WOY90" s="6"/>
      <c r="WOZ90" s="6"/>
      <c r="WPA90" s="6"/>
      <c r="WPB90" s="6"/>
      <c r="WPC90" s="6"/>
      <c r="WPD90" s="6"/>
      <c r="WPE90" s="6"/>
      <c r="WPF90" s="6"/>
      <c r="WPG90" s="6"/>
      <c r="WPH90" s="6"/>
      <c r="WPI90" s="6"/>
      <c r="WPJ90" s="6"/>
      <c r="WPK90" s="6"/>
      <c r="WPL90" s="6"/>
      <c r="WPM90" s="6"/>
      <c r="WPN90" s="6"/>
      <c r="WPO90" s="6"/>
      <c r="WPP90" s="6"/>
      <c r="WPQ90" s="6"/>
      <c r="WPR90" s="6"/>
      <c r="WPS90" s="6"/>
      <c r="WPT90" s="6"/>
      <c r="WPU90" s="6"/>
      <c r="WPV90" s="6"/>
      <c r="WPW90" s="6"/>
      <c r="WPX90" s="6"/>
      <c r="WPY90" s="6"/>
      <c r="WPZ90" s="6"/>
      <c r="WQA90" s="6"/>
      <c r="WQB90" s="6"/>
      <c r="WQC90" s="6"/>
      <c r="WQD90" s="6"/>
      <c r="WQE90" s="6"/>
      <c r="WQF90" s="6"/>
      <c r="WQG90" s="6"/>
      <c r="WQH90" s="6"/>
      <c r="WQI90" s="6"/>
      <c r="WQJ90" s="6"/>
      <c r="WQK90" s="6"/>
      <c r="WQL90" s="6"/>
      <c r="WQM90" s="6"/>
      <c r="WQN90" s="6"/>
      <c r="WQO90" s="6"/>
      <c r="WQP90" s="6"/>
      <c r="WQQ90" s="6"/>
      <c r="WQR90" s="6"/>
      <c r="WQS90" s="6"/>
      <c r="WQT90" s="6"/>
      <c r="WQU90" s="6"/>
      <c r="WQV90" s="6"/>
      <c r="WQW90" s="6"/>
      <c r="WQX90" s="6"/>
      <c r="WQY90" s="6"/>
      <c r="WQZ90" s="6"/>
      <c r="WRA90" s="6"/>
      <c r="WRB90" s="6"/>
      <c r="WRC90" s="6"/>
      <c r="WRD90" s="6"/>
      <c r="WRE90" s="6"/>
      <c r="WRF90" s="6"/>
      <c r="WRG90" s="6"/>
      <c r="WRH90" s="6"/>
      <c r="WRI90" s="6"/>
      <c r="WRJ90" s="6"/>
      <c r="WRK90" s="6"/>
      <c r="WRL90" s="6"/>
      <c r="WRM90" s="6"/>
      <c r="WRN90" s="6"/>
      <c r="WRO90" s="6"/>
      <c r="WRP90" s="6"/>
      <c r="WRQ90" s="6"/>
      <c r="WRR90" s="6"/>
      <c r="WRS90" s="6"/>
      <c r="WRT90" s="6"/>
      <c r="WRU90" s="6"/>
      <c r="WRV90" s="6"/>
      <c r="WRW90" s="6"/>
      <c r="WRX90" s="6"/>
      <c r="WRY90" s="6"/>
      <c r="WRZ90" s="6"/>
      <c r="WSA90" s="6"/>
      <c r="WSB90" s="6"/>
      <c r="WSC90" s="6"/>
      <c r="WSD90" s="6"/>
      <c r="WSE90" s="6"/>
      <c r="WSF90" s="6"/>
      <c r="WSG90" s="6"/>
      <c r="WSH90" s="6"/>
      <c r="WSI90" s="6"/>
      <c r="WSJ90" s="6"/>
      <c r="WSK90" s="6"/>
      <c r="WSL90" s="6"/>
      <c r="WSM90" s="6"/>
      <c r="WSN90" s="6"/>
      <c r="WSO90" s="6"/>
      <c r="WSP90" s="6"/>
      <c r="WSQ90" s="6"/>
      <c r="WSR90" s="6"/>
      <c r="WSS90" s="6"/>
      <c r="WST90" s="6"/>
      <c r="WSU90" s="6"/>
      <c r="WSV90" s="6"/>
      <c r="WSW90" s="6"/>
      <c r="WSX90" s="6"/>
      <c r="WSY90" s="6"/>
      <c r="WSZ90" s="6"/>
      <c r="WTA90" s="6"/>
      <c r="WTB90" s="6"/>
      <c r="WTC90" s="6"/>
      <c r="WTD90" s="6"/>
      <c r="WTE90" s="6"/>
      <c r="WTF90" s="6"/>
      <c r="WTG90" s="6"/>
      <c r="WTH90" s="6"/>
      <c r="WTI90" s="6"/>
      <c r="WTJ90" s="6"/>
      <c r="WTK90" s="6"/>
      <c r="WTL90" s="6"/>
      <c r="WTM90" s="6"/>
      <c r="WTN90" s="6"/>
      <c r="WTO90" s="6"/>
      <c r="WTP90" s="6"/>
      <c r="WTQ90" s="6"/>
      <c r="WTR90" s="6"/>
      <c r="WTS90" s="6"/>
      <c r="WTT90" s="6"/>
      <c r="WTU90" s="6"/>
      <c r="WTV90" s="6"/>
      <c r="WTW90" s="6"/>
      <c r="WTX90" s="6"/>
      <c r="WTY90" s="6"/>
      <c r="WTZ90" s="6"/>
      <c r="WUA90" s="6"/>
      <c r="WUB90" s="6"/>
      <c r="WUC90" s="6"/>
      <c r="WUD90" s="6"/>
      <c r="WUE90" s="6"/>
      <c r="WUF90" s="6"/>
      <c r="WUG90" s="6"/>
      <c r="WUH90" s="6"/>
      <c r="WUI90" s="6"/>
      <c r="WUJ90" s="6"/>
      <c r="WUK90" s="6"/>
      <c r="WUL90" s="6"/>
      <c r="WUM90" s="6"/>
      <c r="WUN90" s="6"/>
      <c r="WUO90" s="6"/>
      <c r="WUP90" s="6"/>
      <c r="WUQ90" s="6"/>
      <c r="WUR90" s="6"/>
      <c r="WUS90" s="6"/>
      <c r="WUT90" s="6"/>
      <c r="WUU90" s="6"/>
      <c r="WUV90" s="6"/>
      <c r="WUW90" s="6"/>
      <c r="WUX90" s="6"/>
      <c r="WUY90" s="6"/>
      <c r="WUZ90" s="6"/>
      <c r="WVA90" s="6"/>
      <c r="WVB90" s="6"/>
      <c r="WVC90" s="6"/>
      <c r="WVD90" s="6"/>
      <c r="WVE90" s="6"/>
      <c r="WVF90" s="6"/>
      <c r="WVG90" s="6"/>
      <c r="WVH90" s="6"/>
      <c r="WVI90" s="6"/>
      <c r="WVJ90" s="6"/>
      <c r="WVK90" s="6"/>
      <c r="WVL90" s="6"/>
      <c r="WVM90" s="6"/>
      <c r="WVN90" s="6"/>
      <c r="WVO90" s="6"/>
      <c r="WVP90" s="6"/>
      <c r="WVQ90" s="6"/>
      <c r="WVR90" s="6"/>
      <c r="WVS90" s="6"/>
      <c r="WVT90" s="6"/>
      <c r="WVU90" s="6"/>
      <c r="WVV90" s="6"/>
      <c r="WVW90" s="6"/>
      <c r="WVX90" s="6"/>
      <c r="WVY90" s="6"/>
      <c r="WVZ90" s="6"/>
      <c r="WWA90" s="6"/>
      <c r="WWB90" s="6"/>
      <c r="WWC90" s="6"/>
      <c r="WWD90" s="6"/>
      <c r="WWE90" s="6"/>
      <c r="WWF90" s="6"/>
      <c r="WWG90" s="6"/>
      <c r="WWH90" s="6"/>
      <c r="WWI90" s="6"/>
      <c r="WWJ90" s="6"/>
      <c r="WWK90" s="6"/>
      <c r="WWL90" s="6"/>
      <c r="WWM90" s="6"/>
      <c r="WWN90" s="6"/>
      <c r="WWO90" s="6"/>
      <c r="WWP90" s="6"/>
      <c r="WWQ90" s="6"/>
      <c r="WWR90" s="6"/>
      <c r="WWS90" s="6"/>
      <c r="WWT90" s="6"/>
      <c r="WWU90" s="6"/>
      <c r="WWV90" s="6"/>
      <c r="WWW90" s="6"/>
      <c r="WWX90" s="6"/>
      <c r="WWY90" s="6"/>
      <c r="WWZ90" s="6"/>
      <c r="WXA90" s="6"/>
      <c r="WXB90" s="6"/>
      <c r="WXC90" s="6"/>
      <c r="WXD90" s="6"/>
      <c r="WXE90" s="6"/>
      <c r="WXF90" s="6"/>
      <c r="WXG90" s="6"/>
      <c r="WXH90" s="6"/>
      <c r="WXI90" s="6"/>
      <c r="WXJ90" s="6"/>
      <c r="WXK90" s="6"/>
      <c r="WXL90" s="6"/>
      <c r="WXM90" s="6"/>
      <c r="WXN90" s="6"/>
      <c r="WXO90" s="6"/>
      <c r="WXP90" s="6"/>
      <c r="WXQ90" s="6"/>
      <c r="WXR90" s="6"/>
      <c r="WXS90" s="6"/>
      <c r="WXT90" s="6"/>
      <c r="WXU90" s="6"/>
      <c r="WXV90" s="6"/>
      <c r="WXW90" s="6"/>
      <c r="WXX90" s="6"/>
      <c r="WXY90" s="6"/>
      <c r="WXZ90" s="6"/>
      <c r="WYA90" s="6"/>
      <c r="WYB90" s="6"/>
      <c r="WYC90" s="6"/>
      <c r="WYD90" s="6"/>
      <c r="WYE90" s="6"/>
      <c r="WYF90" s="6"/>
      <c r="WYG90" s="6"/>
      <c r="WYH90" s="6"/>
      <c r="WYI90" s="6"/>
      <c r="WYJ90" s="6"/>
      <c r="WYK90" s="6"/>
      <c r="WYL90" s="6"/>
      <c r="WYM90" s="6"/>
      <c r="WYN90" s="6"/>
      <c r="WYO90" s="6"/>
      <c r="WYP90" s="6"/>
      <c r="WYQ90" s="6"/>
      <c r="WYR90" s="6"/>
      <c r="WYS90" s="6"/>
      <c r="WYT90" s="6"/>
      <c r="WYU90" s="6"/>
      <c r="WYV90" s="6"/>
      <c r="WYW90" s="6"/>
      <c r="WYX90" s="6"/>
      <c r="WYY90" s="6"/>
      <c r="WYZ90" s="6"/>
      <c r="WZA90" s="6"/>
      <c r="WZB90" s="6"/>
      <c r="WZC90" s="6"/>
      <c r="WZD90" s="6"/>
      <c r="WZE90" s="6"/>
      <c r="WZF90" s="6"/>
      <c r="WZG90" s="6"/>
      <c r="WZH90" s="6"/>
      <c r="WZI90" s="6"/>
      <c r="WZJ90" s="6"/>
      <c r="WZK90" s="6"/>
      <c r="WZL90" s="6"/>
      <c r="WZM90" s="6"/>
      <c r="WZN90" s="6"/>
      <c r="WZO90" s="6"/>
      <c r="WZP90" s="6"/>
      <c r="WZQ90" s="6"/>
      <c r="WZR90" s="6"/>
      <c r="WZS90" s="6"/>
      <c r="WZT90" s="6"/>
      <c r="WZU90" s="6"/>
      <c r="WZV90" s="6"/>
      <c r="WZW90" s="6"/>
      <c r="WZX90" s="6"/>
      <c r="WZY90" s="6"/>
      <c r="WZZ90" s="6"/>
      <c r="XAA90" s="6"/>
      <c r="XAB90" s="6"/>
      <c r="XAC90" s="6"/>
      <c r="XAD90" s="6"/>
      <c r="XAE90" s="6"/>
      <c r="XAF90" s="6"/>
      <c r="XAG90" s="6"/>
      <c r="XAH90" s="6"/>
      <c r="XAI90" s="6"/>
      <c r="XAJ90" s="6"/>
      <c r="XAK90" s="6"/>
      <c r="XAL90" s="6"/>
      <c r="XAM90" s="6"/>
      <c r="XAN90" s="6"/>
      <c r="XAO90" s="6"/>
      <c r="XAP90" s="6"/>
      <c r="XAQ90" s="6"/>
      <c r="XAR90" s="6"/>
      <c r="XAS90" s="6"/>
      <c r="XAT90" s="6"/>
      <c r="XAU90" s="6"/>
      <c r="XAV90" s="6"/>
      <c r="XAW90" s="6"/>
      <c r="XAX90" s="6"/>
      <c r="XAY90" s="6"/>
      <c r="XAZ90" s="6"/>
      <c r="XBA90" s="6"/>
      <c r="XBB90" s="6"/>
      <c r="XBC90" s="6"/>
      <c r="XBD90" s="6"/>
      <c r="XBE90" s="6"/>
      <c r="XBF90" s="6"/>
      <c r="XBG90" s="6"/>
      <c r="XBH90" s="6"/>
      <c r="XBI90" s="6"/>
      <c r="XBJ90" s="6"/>
      <c r="XBK90" s="6"/>
      <c r="XBL90" s="6"/>
      <c r="XBM90" s="6"/>
      <c r="XBN90" s="6"/>
      <c r="XBO90" s="6"/>
      <c r="XBP90" s="6"/>
      <c r="XBQ90" s="6"/>
      <c r="XBR90" s="6"/>
      <c r="XBS90" s="6"/>
      <c r="XBT90" s="6"/>
      <c r="XBU90" s="6"/>
      <c r="XBV90" s="6"/>
      <c r="XBW90" s="6"/>
      <c r="XBX90" s="6"/>
      <c r="XBY90" s="6"/>
      <c r="XBZ90" s="6"/>
      <c r="XCA90" s="6"/>
      <c r="XCB90" s="6"/>
      <c r="XCC90" s="6"/>
      <c r="XCD90" s="6"/>
      <c r="XCE90" s="6"/>
      <c r="XCF90" s="6"/>
      <c r="XCG90" s="6"/>
      <c r="XCH90" s="6"/>
      <c r="XCI90" s="6"/>
      <c r="XCJ90" s="6"/>
      <c r="XCK90" s="6"/>
      <c r="XCL90" s="6"/>
      <c r="XCM90" s="6"/>
      <c r="XCN90" s="6"/>
      <c r="XCO90" s="6"/>
      <c r="XCP90" s="6"/>
      <c r="XCQ90" s="6"/>
      <c r="XCR90" s="6"/>
      <c r="XCS90" s="6"/>
      <c r="XCT90" s="6"/>
      <c r="XCU90" s="6"/>
      <c r="XCV90" s="6"/>
      <c r="XCW90" s="6"/>
    </row>
    <row r="91" spans="1:16325" s="153" customFormat="1" hidden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  <c r="AA91" s="6"/>
      <c r="AB91" s="6"/>
      <c r="AC91" s="6"/>
      <c r="AD91" s="6"/>
      <c r="AE91" s="6"/>
      <c r="AF91" s="6"/>
      <c r="AG91" s="6"/>
      <c r="AH91" s="6"/>
      <c r="AI91" s="6"/>
      <c r="AJ91" s="6"/>
      <c r="AK91" s="6"/>
      <c r="AL91" s="6"/>
      <c r="AM91" s="6"/>
      <c r="AN91" s="6"/>
      <c r="AO91" s="6"/>
      <c r="AP91" s="6"/>
      <c r="AQ91" s="6"/>
      <c r="AR91" s="6"/>
      <c r="AS91" s="6"/>
      <c r="AT91" s="6"/>
      <c r="AU91" s="6"/>
      <c r="AV91" s="6"/>
      <c r="AW91" s="6"/>
      <c r="AX91" s="6"/>
      <c r="AY91" s="6"/>
      <c r="AZ91" s="6"/>
      <c r="BA91" s="6"/>
      <c r="BB91" s="6"/>
      <c r="BC91" s="6"/>
      <c r="BD91" s="6"/>
      <c r="BE91" s="6"/>
      <c r="BF91" s="6"/>
      <c r="BG91" s="6"/>
      <c r="BH91" s="6"/>
      <c r="BI91" s="6"/>
      <c r="BJ91" s="6"/>
      <c r="BK91" s="6"/>
      <c r="BL91" s="6"/>
      <c r="BM91" s="6"/>
      <c r="BN91" s="6"/>
      <c r="BO91" s="6"/>
      <c r="BP91" s="6"/>
      <c r="BQ91" s="6"/>
      <c r="BR91" s="6"/>
      <c r="BS91" s="6"/>
      <c r="BT91" s="6"/>
      <c r="BU91" s="6"/>
      <c r="BV91" s="6"/>
      <c r="BW91" s="6"/>
      <c r="BX91" s="6"/>
      <c r="BY91" s="6"/>
      <c r="BZ91" s="6"/>
      <c r="CA91" s="6"/>
      <c r="CB91" s="6"/>
      <c r="CC91" s="6"/>
      <c r="CD91" s="6"/>
      <c r="CE91" s="6"/>
      <c r="CF91" s="6"/>
      <c r="CG91" s="6"/>
      <c r="CH91" s="6"/>
      <c r="CI91" s="6"/>
      <c r="CJ91" s="6"/>
      <c r="CK91" s="6"/>
      <c r="CL91" s="6"/>
      <c r="CM91" s="6"/>
      <c r="CN91" s="6"/>
      <c r="CO91" s="6"/>
      <c r="CP91" s="6"/>
      <c r="CQ91" s="6"/>
      <c r="CR91" s="6"/>
      <c r="CS91" s="6"/>
      <c r="CT91" s="6"/>
      <c r="CU91" s="6"/>
      <c r="CV91" s="6"/>
      <c r="CW91" s="6"/>
      <c r="CX91" s="6"/>
      <c r="CY91" s="6"/>
      <c r="CZ91" s="6"/>
      <c r="DA91" s="6"/>
      <c r="DB91" s="6"/>
      <c r="DC91" s="6"/>
      <c r="DD91" s="6"/>
      <c r="DE91" s="6"/>
      <c r="DF91" s="6"/>
      <c r="DG91" s="6"/>
      <c r="DH91" s="6"/>
      <c r="DI91" s="6"/>
      <c r="DJ91" s="6"/>
      <c r="DK91" s="6"/>
      <c r="DL91" s="6"/>
      <c r="DM91" s="6"/>
      <c r="DN91" s="6"/>
      <c r="DO91" s="6"/>
      <c r="DP91" s="6"/>
      <c r="DQ91" s="6"/>
      <c r="DR91" s="6"/>
      <c r="DS91" s="6"/>
      <c r="DT91" s="6"/>
      <c r="DU91" s="6"/>
      <c r="DV91" s="6"/>
      <c r="DW91" s="6"/>
      <c r="DX91" s="6"/>
      <c r="DY91" s="6"/>
      <c r="DZ91" s="6"/>
      <c r="EA91" s="6"/>
      <c r="EB91" s="6"/>
      <c r="EC91" s="6"/>
      <c r="ED91" s="6"/>
      <c r="EE91" s="6"/>
      <c r="EF91" s="6"/>
      <c r="EG91" s="6"/>
      <c r="EH91" s="6"/>
      <c r="EI91" s="6"/>
      <c r="EJ91" s="6"/>
      <c r="EK91" s="6"/>
      <c r="EL91" s="6"/>
      <c r="EM91" s="6"/>
      <c r="EN91" s="6"/>
      <c r="EO91" s="6"/>
      <c r="EP91" s="6"/>
      <c r="EQ91" s="6"/>
      <c r="ER91" s="6"/>
      <c r="ES91" s="6"/>
      <c r="ET91" s="6"/>
      <c r="EU91" s="6"/>
      <c r="EV91" s="6"/>
      <c r="EW91" s="6"/>
      <c r="EX91" s="6"/>
      <c r="EY91" s="6"/>
      <c r="EZ91" s="6"/>
      <c r="FA91" s="6"/>
      <c r="FB91" s="6"/>
      <c r="FC91" s="6"/>
      <c r="FD91" s="6"/>
      <c r="FE91" s="6"/>
      <c r="FF91" s="6"/>
      <c r="FG91" s="6"/>
      <c r="FH91" s="6"/>
      <c r="FI91" s="6"/>
      <c r="FJ91" s="6"/>
      <c r="FK91" s="6"/>
      <c r="FL91" s="6"/>
      <c r="FM91" s="6"/>
      <c r="FN91" s="6"/>
      <c r="FO91" s="6"/>
      <c r="FP91" s="6"/>
      <c r="FQ91" s="6"/>
      <c r="FR91" s="6"/>
      <c r="FS91" s="6"/>
      <c r="FT91" s="6"/>
      <c r="FU91" s="6"/>
      <c r="FV91" s="6"/>
      <c r="FW91" s="6"/>
      <c r="FX91" s="6"/>
      <c r="FY91" s="6"/>
      <c r="FZ91" s="6"/>
      <c r="GA91" s="6"/>
      <c r="GB91" s="6"/>
      <c r="GC91" s="6"/>
      <c r="GD91" s="6"/>
      <c r="GE91" s="6"/>
      <c r="GF91" s="6"/>
      <c r="GG91" s="6"/>
      <c r="GH91" s="6"/>
      <c r="GI91" s="6"/>
      <c r="GJ91" s="6"/>
      <c r="GK91" s="6"/>
      <c r="GL91" s="6"/>
      <c r="GM91" s="6"/>
      <c r="GN91" s="6"/>
      <c r="GO91" s="6"/>
      <c r="GP91" s="6"/>
      <c r="GQ91" s="6"/>
      <c r="GR91" s="6"/>
      <c r="GS91" s="6"/>
      <c r="GT91" s="6"/>
      <c r="GU91" s="6"/>
      <c r="GV91" s="6"/>
      <c r="GW91" s="6"/>
      <c r="GX91" s="6"/>
      <c r="GY91" s="6"/>
      <c r="GZ91" s="6"/>
      <c r="HA91" s="6"/>
      <c r="HB91" s="6"/>
      <c r="HC91" s="6"/>
      <c r="HD91" s="6"/>
      <c r="HE91" s="6"/>
      <c r="HF91" s="6"/>
      <c r="HG91" s="6"/>
      <c r="HH91" s="6"/>
      <c r="HI91" s="6"/>
      <c r="HJ91" s="6"/>
      <c r="HK91" s="6"/>
      <c r="HL91" s="6"/>
      <c r="HM91" s="6"/>
      <c r="HN91" s="6"/>
      <c r="HO91" s="6"/>
      <c r="HP91" s="6"/>
      <c r="HQ91" s="6"/>
      <c r="HR91" s="6"/>
      <c r="HS91" s="6"/>
      <c r="HT91" s="6"/>
      <c r="HU91" s="6"/>
      <c r="HV91" s="6"/>
      <c r="HW91" s="6"/>
      <c r="HX91" s="6"/>
      <c r="HY91" s="6"/>
      <c r="HZ91" s="6"/>
      <c r="IA91" s="6"/>
      <c r="IB91" s="6"/>
      <c r="IC91" s="6"/>
      <c r="ID91" s="6"/>
      <c r="IE91" s="6"/>
      <c r="IF91" s="6"/>
      <c r="IG91" s="6"/>
      <c r="IH91" s="6"/>
      <c r="II91" s="6"/>
      <c r="IJ91" s="6"/>
      <c r="IK91" s="6"/>
      <c r="IL91" s="6"/>
      <c r="IM91" s="6"/>
      <c r="IN91" s="6"/>
      <c r="IO91" s="6"/>
      <c r="IP91" s="6"/>
      <c r="IQ91" s="6"/>
      <c r="IR91" s="6"/>
      <c r="IS91" s="6"/>
      <c r="IT91" s="6"/>
      <c r="IU91" s="6"/>
      <c r="IV91" s="6"/>
      <c r="IW91" s="6"/>
      <c r="IX91" s="6"/>
      <c r="IY91" s="6"/>
      <c r="IZ91" s="6"/>
      <c r="JA91" s="6"/>
      <c r="JB91" s="6"/>
      <c r="JC91" s="6"/>
      <c r="JD91" s="6"/>
      <c r="JE91" s="6"/>
      <c r="JF91" s="6"/>
      <c r="JG91" s="6"/>
      <c r="JH91" s="6"/>
      <c r="JI91" s="6"/>
      <c r="JJ91" s="6"/>
      <c r="JK91" s="6"/>
      <c r="JL91" s="6"/>
      <c r="JM91" s="6"/>
      <c r="JN91" s="6"/>
      <c r="JO91" s="6"/>
      <c r="JP91" s="6"/>
      <c r="JQ91" s="6"/>
      <c r="JR91" s="6"/>
      <c r="JS91" s="6"/>
      <c r="JT91" s="6"/>
      <c r="JU91" s="6"/>
      <c r="JV91" s="6"/>
      <c r="JW91" s="6"/>
      <c r="JX91" s="6"/>
      <c r="JY91" s="6"/>
      <c r="JZ91" s="6"/>
      <c r="KA91" s="6"/>
      <c r="KB91" s="6"/>
      <c r="KC91" s="6"/>
      <c r="KD91" s="6"/>
      <c r="KE91" s="6"/>
      <c r="KF91" s="6"/>
      <c r="KG91" s="6"/>
      <c r="KH91" s="6"/>
      <c r="KI91" s="6"/>
      <c r="KJ91" s="6"/>
      <c r="KK91" s="6"/>
      <c r="KL91" s="6"/>
      <c r="KM91" s="6"/>
      <c r="KN91" s="6"/>
      <c r="KO91" s="6"/>
      <c r="KP91" s="6"/>
      <c r="KQ91" s="6"/>
      <c r="KR91" s="6"/>
      <c r="KS91" s="6"/>
      <c r="KT91" s="6"/>
      <c r="KU91" s="6"/>
      <c r="KV91" s="6"/>
      <c r="KW91" s="6"/>
      <c r="KX91" s="6"/>
      <c r="KY91" s="6"/>
      <c r="KZ91" s="6"/>
      <c r="LA91" s="6"/>
      <c r="LB91" s="6"/>
      <c r="LC91" s="6"/>
      <c r="LD91" s="6"/>
      <c r="LE91" s="6"/>
      <c r="LF91" s="6"/>
      <c r="LG91" s="6"/>
      <c r="LH91" s="6"/>
      <c r="LI91" s="6"/>
      <c r="LJ91" s="6"/>
      <c r="LK91" s="6"/>
      <c r="LL91" s="6"/>
      <c r="LM91" s="6"/>
      <c r="LN91" s="6"/>
      <c r="LO91" s="6"/>
      <c r="LP91" s="6"/>
      <c r="LQ91" s="6"/>
      <c r="LR91" s="6"/>
      <c r="LS91" s="6"/>
      <c r="LT91" s="6"/>
      <c r="LU91" s="6"/>
      <c r="LV91" s="6"/>
      <c r="LW91" s="6"/>
      <c r="LX91" s="6"/>
      <c r="LY91" s="6"/>
      <c r="LZ91" s="6"/>
      <c r="MA91" s="6"/>
      <c r="MB91" s="6"/>
      <c r="MC91" s="6"/>
      <c r="MD91" s="6"/>
      <c r="ME91" s="6"/>
      <c r="MF91" s="6"/>
      <c r="MG91" s="6"/>
      <c r="MH91" s="6"/>
      <c r="MI91" s="6"/>
      <c r="MJ91" s="6"/>
      <c r="MK91" s="6"/>
      <c r="ML91" s="6"/>
      <c r="MM91" s="6"/>
      <c r="MN91" s="6"/>
      <c r="MO91" s="6"/>
      <c r="MP91" s="6"/>
      <c r="MQ91" s="6"/>
      <c r="MR91" s="6"/>
      <c r="MS91" s="6"/>
      <c r="MT91" s="6"/>
      <c r="MU91" s="6"/>
      <c r="MV91" s="6"/>
      <c r="MW91" s="6"/>
      <c r="MX91" s="6"/>
      <c r="MY91" s="6"/>
      <c r="MZ91" s="6"/>
      <c r="NA91" s="6"/>
      <c r="NB91" s="6"/>
      <c r="NC91" s="6"/>
      <c r="ND91" s="6"/>
      <c r="NE91" s="6"/>
      <c r="NF91" s="6"/>
      <c r="NG91" s="6"/>
      <c r="NH91" s="6"/>
      <c r="NI91" s="6"/>
      <c r="NJ91" s="6"/>
      <c r="NK91" s="6"/>
      <c r="NL91" s="6"/>
      <c r="NM91" s="6"/>
      <c r="NN91" s="6"/>
      <c r="NO91" s="6"/>
      <c r="NP91" s="6"/>
      <c r="NQ91" s="6"/>
      <c r="NR91" s="6"/>
      <c r="NS91" s="6"/>
      <c r="NT91" s="6"/>
      <c r="NU91" s="6"/>
      <c r="NV91" s="6"/>
      <c r="NW91" s="6"/>
      <c r="NX91" s="6"/>
      <c r="NY91" s="6"/>
      <c r="NZ91" s="6"/>
      <c r="OA91" s="6"/>
      <c r="OB91" s="6"/>
      <c r="OC91" s="6"/>
      <c r="OD91" s="6"/>
      <c r="OE91" s="6"/>
      <c r="OF91" s="6"/>
      <c r="OG91" s="6"/>
      <c r="OH91" s="6"/>
      <c r="OI91" s="6"/>
      <c r="OJ91" s="6"/>
      <c r="OK91" s="6"/>
      <c r="OL91" s="6"/>
      <c r="OM91" s="6"/>
      <c r="ON91" s="6"/>
      <c r="OO91" s="6"/>
      <c r="OP91" s="6"/>
      <c r="OQ91" s="6"/>
      <c r="OR91" s="6"/>
      <c r="OS91" s="6"/>
      <c r="OT91" s="6"/>
      <c r="OU91" s="6"/>
      <c r="OV91" s="6"/>
      <c r="OW91" s="6"/>
      <c r="OX91" s="6"/>
      <c r="OY91" s="6"/>
      <c r="OZ91" s="6"/>
      <c r="PA91" s="6"/>
      <c r="PB91" s="6"/>
      <c r="PC91" s="6"/>
      <c r="PD91" s="6"/>
      <c r="PE91" s="6"/>
      <c r="PF91" s="6"/>
      <c r="PG91" s="6"/>
      <c r="PH91" s="6"/>
      <c r="PI91" s="6"/>
      <c r="PJ91" s="6"/>
      <c r="PK91" s="6"/>
      <c r="PL91" s="6"/>
      <c r="PM91" s="6"/>
      <c r="PN91" s="6"/>
      <c r="PO91" s="6"/>
      <c r="PP91" s="6"/>
      <c r="PQ91" s="6"/>
      <c r="PR91" s="6"/>
      <c r="PS91" s="6"/>
      <c r="PT91" s="6"/>
      <c r="PU91" s="6"/>
      <c r="PV91" s="6"/>
      <c r="PW91" s="6"/>
      <c r="PX91" s="6"/>
      <c r="PY91" s="6"/>
      <c r="PZ91" s="6"/>
      <c r="QA91" s="6"/>
      <c r="QB91" s="6"/>
      <c r="QC91" s="6"/>
      <c r="QD91" s="6"/>
      <c r="QE91" s="6"/>
      <c r="QF91" s="6"/>
      <c r="QG91" s="6"/>
      <c r="QH91" s="6"/>
      <c r="QI91" s="6"/>
      <c r="QJ91" s="6"/>
      <c r="QK91" s="6"/>
      <c r="QL91" s="6"/>
      <c r="QM91" s="6"/>
      <c r="QN91" s="6"/>
      <c r="QO91" s="6"/>
      <c r="QP91" s="6"/>
      <c r="QQ91" s="6"/>
      <c r="QR91" s="6"/>
      <c r="QS91" s="6"/>
      <c r="QT91" s="6"/>
      <c r="QU91" s="6"/>
      <c r="QV91" s="6"/>
      <c r="QW91" s="6"/>
      <c r="QX91" s="6"/>
      <c r="QY91" s="6"/>
      <c r="QZ91" s="6"/>
      <c r="RA91" s="6"/>
      <c r="RB91" s="6"/>
      <c r="RC91" s="6"/>
      <c r="RD91" s="6"/>
      <c r="RE91" s="6"/>
      <c r="RF91" s="6"/>
      <c r="RG91" s="6"/>
      <c r="RH91" s="6"/>
      <c r="RI91" s="6"/>
      <c r="RJ91" s="6"/>
      <c r="RK91" s="6"/>
      <c r="RL91" s="6"/>
      <c r="RM91" s="6"/>
      <c r="RN91" s="6"/>
      <c r="RO91" s="6"/>
      <c r="RP91" s="6"/>
      <c r="RQ91" s="6"/>
      <c r="RR91" s="6"/>
      <c r="RS91" s="6"/>
      <c r="RT91" s="6"/>
      <c r="RU91" s="6"/>
      <c r="RV91" s="6"/>
      <c r="RW91" s="6"/>
      <c r="RX91" s="6"/>
      <c r="RY91" s="6"/>
      <c r="RZ91" s="6"/>
      <c r="SA91" s="6"/>
      <c r="SB91" s="6"/>
      <c r="SC91" s="6"/>
      <c r="SD91" s="6"/>
      <c r="SE91" s="6"/>
      <c r="SF91" s="6"/>
      <c r="SG91" s="6"/>
      <c r="SH91" s="6"/>
      <c r="SI91" s="6"/>
      <c r="SJ91" s="6"/>
      <c r="SK91" s="6"/>
      <c r="SL91" s="6"/>
      <c r="SM91" s="6"/>
      <c r="SN91" s="6"/>
      <c r="SO91" s="6"/>
      <c r="SP91" s="6"/>
      <c r="SQ91" s="6"/>
      <c r="SR91" s="6"/>
      <c r="SS91" s="6"/>
      <c r="ST91" s="6"/>
      <c r="SU91" s="6"/>
      <c r="SV91" s="6"/>
      <c r="SW91" s="6"/>
      <c r="SX91" s="6"/>
      <c r="SY91" s="6"/>
      <c r="SZ91" s="6"/>
      <c r="TA91" s="6"/>
      <c r="TB91" s="6"/>
      <c r="TC91" s="6"/>
      <c r="TD91" s="6"/>
      <c r="TE91" s="6"/>
      <c r="TF91" s="6"/>
      <c r="TG91" s="6"/>
      <c r="TH91" s="6"/>
      <c r="TI91" s="6"/>
      <c r="TJ91" s="6"/>
      <c r="TK91" s="6"/>
      <c r="TL91" s="6"/>
      <c r="TM91" s="6"/>
      <c r="TN91" s="6"/>
      <c r="TO91" s="6"/>
      <c r="TP91" s="6"/>
      <c r="TQ91" s="6"/>
      <c r="TR91" s="6"/>
      <c r="TS91" s="6"/>
      <c r="TT91" s="6"/>
      <c r="TU91" s="6"/>
      <c r="TV91" s="6"/>
      <c r="TW91" s="6"/>
      <c r="TX91" s="6"/>
      <c r="TY91" s="6"/>
      <c r="TZ91" s="6"/>
      <c r="UA91" s="6"/>
      <c r="UB91" s="6"/>
      <c r="UC91" s="6"/>
      <c r="UD91" s="6"/>
      <c r="UE91" s="6"/>
      <c r="UF91" s="6"/>
      <c r="UG91" s="6"/>
      <c r="UH91" s="6"/>
      <c r="UI91" s="6"/>
      <c r="UJ91" s="6"/>
      <c r="UK91" s="6"/>
      <c r="UL91" s="6"/>
      <c r="UM91" s="6"/>
      <c r="UN91" s="6"/>
      <c r="UO91" s="6"/>
      <c r="UP91" s="6"/>
      <c r="UQ91" s="6"/>
      <c r="UR91" s="6"/>
      <c r="US91" s="6"/>
      <c r="UT91" s="6"/>
      <c r="UU91" s="6"/>
      <c r="UV91" s="6"/>
      <c r="UW91" s="6"/>
      <c r="UX91" s="6"/>
      <c r="UY91" s="6"/>
      <c r="UZ91" s="6"/>
      <c r="VA91" s="6"/>
      <c r="VB91" s="6"/>
      <c r="VC91" s="6"/>
      <c r="VD91" s="6"/>
      <c r="VE91" s="6"/>
      <c r="VF91" s="6"/>
      <c r="VG91" s="6"/>
      <c r="VH91" s="6"/>
      <c r="VI91" s="6"/>
      <c r="VJ91" s="6"/>
      <c r="VK91" s="6"/>
      <c r="VL91" s="6"/>
      <c r="VM91" s="6"/>
      <c r="VN91" s="6"/>
      <c r="VO91" s="6"/>
      <c r="VP91" s="6"/>
      <c r="VQ91" s="6"/>
      <c r="VR91" s="6"/>
      <c r="VS91" s="6"/>
      <c r="VT91" s="6"/>
      <c r="VU91" s="6"/>
      <c r="VV91" s="6"/>
      <c r="VW91" s="6"/>
      <c r="VX91" s="6"/>
      <c r="VY91" s="6"/>
      <c r="VZ91" s="6"/>
      <c r="WA91" s="6"/>
      <c r="WB91" s="6"/>
      <c r="WC91" s="6"/>
      <c r="WD91" s="6"/>
      <c r="WE91" s="6"/>
      <c r="WF91" s="6"/>
      <c r="WG91" s="6"/>
      <c r="WH91" s="6"/>
      <c r="WI91" s="6"/>
      <c r="WJ91" s="6"/>
      <c r="WK91" s="6"/>
      <c r="WL91" s="6"/>
      <c r="WM91" s="6"/>
      <c r="WN91" s="6"/>
      <c r="WO91" s="6"/>
      <c r="WP91" s="6"/>
      <c r="WQ91" s="6"/>
      <c r="WR91" s="6"/>
      <c r="WS91" s="6"/>
      <c r="WT91" s="6"/>
      <c r="WU91" s="6"/>
      <c r="WV91" s="6"/>
      <c r="WW91" s="6"/>
      <c r="WX91" s="6"/>
      <c r="WY91" s="6"/>
      <c r="WZ91" s="6"/>
      <c r="XA91" s="6"/>
      <c r="XB91" s="6"/>
      <c r="XC91" s="6"/>
      <c r="XD91" s="6"/>
      <c r="XE91" s="6"/>
      <c r="XF91" s="6"/>
      <c r="XG91" s="6"/>
      <c r="XH91" s="6"/>
      <c r="XI91" s="6"/>
      <c r="XJ91" s="6"/>
      <c r="XK91" s="6"/>
      <c r="XL91" s="6"/>
      <c r="XM91" s="6"/>
      <c r="XN91" s="6"/>
      <c r="XO91" s="6"/>
      <c r="XP91" s="6"/>
      <c r="XQ91" s="6"/>
      <c r="XR91" s="6"/>
      <c r="XS91" s="6"/>
      <c r="XT91" s="6"/>
      <c r="XU91" s="6"/>
      <c r="XV91" s="6"/>
      <c r="XW91" s="6"/>
      <c r="XX91" s="6"/>
      <c r="XY91" s="6"/>
      <c r="XZ91" s="6"/>
      <c r="YA91" s="6"/>
      <c r="YB91" s="6"/>
      <c r="YC91" s="6"/>
      <c r="YD91" s="6"/>
      <c r="YE91" s="6"/>
      <c r="YF91" s="6"/>
      <c r="YG91" s="6"/>
      <c r="YH91" s="6"/>
      <c r="YI91" s="6"/>
      <c r="YJ91" s="6"/>
      <c r="YK91" s="6"/>
      <c r="YL91" s="6"/>
      <c r="YM91" s="6"/>
      <c r="YN91" s="6"/>
      <c r="YO91" s="6"/>
      <c r="YP91" s="6"/>
      <c r="YQ91" s="6"/>
      <c r="YR91" s="6"/>
      <c r="YS91" s="6"/>
      <c r="YT91" s="6"/>
      <c r="YU91" s="6"/>
      <c r="YV91" s="6"/>
      <c r="YW91" s="6"/>
      <c r="YX91" s="6"/>
      <c r="YY91" s="6"/>
      <c r="YZ91" s="6"/>
      <c r="ZA91" s="6"/>
      <c r="ZB91" s="6"/>
      <c r="ZC91" s="6"/>
      <c r="ZD91" s="6"/>
      <c r="ZE91" s="6"/>
      <c r="ZF91" s="6"/>
      <c r="ZG91" s="6"/>
      <c r="ZH91" s="6"/>
      <c r="ZI91" s="6"/>
      <c r="ZJ91" s="6"/>
      <c r="ZK91" s="6"/>
      <c r="ZL91" s="6"/>
      <c r="ZM91" s="6"/>
      <c r="ZN91" s="6"/>
      <c r="ZO91" s="6"/>
      <c r="ZP91" s="6"/>
      <c r="ZQ91" s="6"/>
      <c r="ZR91" s="6"/>
      <c r="ZS91" s="6"/>
      <c r="ZT91" s="6"/>
      <c r="ZU91" s="6"/>
      <c r="ZV91" s="6"/>
      <c r="ZW91" s="6"/>
      <c r="ZX91" s="6"/>
      <c r="ZY91" s="6"/>
      <c r="ZZ91" s="6"/>
      <c r="AAA91" s="6"/>
      <c r="AAB91" s="6"/>
      <c r="AAC91" s="6"/>
      <c r="AAD91" s="6"/>
      <c r="AAE91" s="6"/>
      <c r="AAF91" s="6"/>
      <c r="AAG91" s="6"/>
      <c r="AAH91" s="6"/>
      <c r="AAI91" s="6"/>
      <c r="AAJ91" s="6"/>
      <c r="AAK91" s="6"/>
      <c r="AAL91" s="6"/>
      <c r="AAM91" s="6"/>
      <c r="AAN91" s="6"/>
      <c r="AAO91" s="6"/>
      <c r="AAP91" s="6"/>
      <c r="AAQ91" s="6"/>
      <c r="AAR91" s="6"/>
      <c r="AAS91" s="6"/>
      <c r="AAT91" s="6"/>
      <c r="AAU91" s="6"/>
      <c r="AAV91" s="6"/>
      <c r="AAW91" s="6"/>
      <c r="AAX91" s="6"/>
      <c r="AAY91" s="6"/>
      <c r="AAZ91" s="6"/>
      <c r="ABA91" s="6"/>
      <c r="ABB91" s="6"/>
      <c r="ABC91" s="6"/>
      <c r="ABD91" s="6"/>
      <c r="ABE91" s="6"/>
      <c r="ABF91" s="6"/>
      <c r="ABG91" s="6"/>
      <c r="ABH91" s="6"/>
      <c r="ABI91" s="6"/>
      <c r="ABJ91" s="6"/>
      <c r="ABK91" s="6"/>
      <c r="ABL91" s="6"/>
      <c r="ABM91" s="6"/>
      <c r="ABN91" s="6"/>
      <c r="ABO91" s="6"/>
      <c r="ABP91" s="6"/>
      <c r="ABQ91" s="6"/>
      <c r="ABR91" s="6"/>
      <c r="ABS91" s="6"/>
      <c r="ABT91" s="6"/>
      <c r="ABU91" s="6"/>
      <c r="ABV91" s="6"/>
      <c r="ABW91" s="6"/>
      <c r="ABX91" s="6"/>
      <c r="ABY91" s="6"/>
      <c r="ABZ91" s="6"/>
      <c r="ACA91" s="6"/>
      <c r="ACB91" s="6"/>
      <c r="ACC91" s="6"/>
      <c r="ACD91" s="6"/>
      <c r="ACE91" s="6"/>
      <c r="ACF91" s="6"/>
      <c r="ACG91" s="6"/>
      <c r="ACH91" s="6"/>
      <c r="ACI91" s="6"/>
      <c r="ACJ91" s="6"/>
      <c r="ACK91" s="6"/>
      <c r="ACL91" s="6"/>
      <c r="ACM91" s="6"/>
      <c r="ACN91" s="6"/>
      <c r="ACO91" s="6"/>
      <c r="ACP91" s="6"/>
      <c r="ACQ91" s="6"/>
      <c r="ACR91" s="6"/>
      <c r="ACS91" s="6"/>
      <c r="ACT91" s="6"/>
      <c r="ACU91" s="6"/>
      <c r="ACV91" s="6"/>
      <c r="ACW91" s="6"/>
      <c r="ACX91" s="6"/>
      <c r="ACY91" s="6"/>
      <c r="ACZ91" s="6"/>
      <c r="ADA91" s="6"/>
      <c r="ADB91" s="6"/>
      <c r="ADC91" s="6"/>
      <c r="ADD91" s="6"/>
      <c r="ADE91" s="6"/>
      <c r="ADF91" s="6"/>
      <c r="ADG91" s="6"/>
      <c r="ADH91" s="6"/>
      <c r="ADI91" s="6"/>
      <c r="ADJ91" s="6"/>
      <c r="ADK91" s="6"/>
      <c r="ADL91" s="6"/>
      <c r="ADM91" s="6"/>
      <c r="ADN91" s="6"/>
      <c r="ADO91" s="6"/>
      <c r="ADP91" s="6"/>
      <c r="ADQ91" s="6"/>
      <c r="ADR91" s="6"/>
      <c r="ADS91" s="6"/>
      <c r="ADT91" s="6"/>
      <c r="ADU91" s="6"/>
      <c r="ADV91" s="6"/>
      <c r="ADW91" s="6"/>
      <c r="ADX91" s="6"/>
      <c r="ADY91" s="6"/>
      <c r="ADZ91" s="6"/>
      <c r="AEA91" s="6"/>
      <c r="AEB91" s="6"/>
      <c r="AEC91" s="6"/>
      <c r="AED91" s="6"/>
      <c r="AEE91" s="6"/>
      <c r="AEF91" s="6"/>
      <c r="AEG91" s="6"/>
      <c r="AEH91" s="6"/>
      <c r="AEI91" s="6"/>
      <c r="AEJ91" s="6"/>
      <c r="AEK91" s="6"/>
      <c r="AEL91" s="6"/>
      <c r="AEM91" s="6"/>
      <c r="AEN91" s="6"/>
      <c r="AEO91" s="6"/>
      <c r="AEP91" s="6"/>
      <c r="AEQ91" s="6"/>
      <c r="AER91" s="6"/>
      <c r="AES91" s="6"/>
      <c r="AET91" s="6"/>
      <c r="AEU91" s="6"/>
      <c r="AEV91" s="6"/>
      <c r="AEW91" s="6"/>
      <c r="AEX91" s="6"/>
      <c r="AEY91" s="6"/>
      <c r="AEZ91" s="6"/>
      <c r="AFA91" s="6"/>
      <c r="AFB91" s="6"/>
      <c r="AFC91" s="6"/>
      <c r="AFD91" s="6"/>
      <c r="AFE91" s="6"/>
      <c r="AFF91" s="6"/>
      <c r="AFG91" s="6"/>
      <c r="AFH91" s="6"/>
      <c r="AFI91" s="6"/>
      <c r="AFJ91" s="6"/>
      <c r="AFK91" s="6"/>
      <c r="AFL91" s="6"/>
      <c r="AFM91" s="6"/>
      <c r="AFN91" s="6"/>
      <c r="AFO91" s="6"/>
      <c r="AFP91" s="6"/>
      <c r="AFQ91" s="6"/>
      <c r="AFR91" s="6"/>
      <c r="AFS91" s="6"/>
      <c r="AFT91" s="6"/>
      <c r="AFU91" s="6"/>
      <c r="AFV91" s="6"/>
      <c r="AFW91" s="6"/>
      <c r="AFX91" s="6"/>
      <c r="AFY91" s="6"/>
      <c r="AFZ91" s="6"/>
      <c r="AGA91" s="6"/>
      <c r="AGB91" s="6"/>
      <c r="AGC91" s="6"/>
      <c r="AGD91" s="6"/>
      <c r="AGE91" s="6"/>
      <c r="AGF91" s="6"/>
      <c r="AGG91" s="6"/>
      <c r="AGH91" s="6"/>
      <c r="AGI91" s="6"/>
      <c r="AGJ91" s="6"/>
      <c r="AGK91" s="6"/>
      <c r="AGL91" s="6"/>
      <c r="AGM91" s="6"/>
      <c r="AGN91" s="6"/>
      <c r="AGO91" s="6"/>
      <c r="AGP91" s="6"/>
      <c r="AGQ91" s="6"/>
      <c r="AGR91" s="6"/>
      <c r="AGS91" s="6"/>
      <c r="AGT91" s="6"/>
      <c r="AGU91" s="6"/>
      <c r="AGV91" s="6"/>
      <c r="AGW91" s="6"/>
      <c r="AGX91" s="6"/>
      <c r="AGY91" s="6"/>
      <c r="AGZ91" s="6"/>
      <c r="AHA91" s="6"/>
      <c r="AHB91" s="6"/>
      <c r="AHC91" s="6"/>
      <c r="AHD91" s="6"/>
      <c r="AHE91" s="6"/>
      <c r="AHF91" s="6"/>
      <c r="AHG91" s="6"/>
      <c r="AHH91" s="6"/>
      <c r="AHI91" s="6"/>
      <c r="AHJ91" s="6"/>
      <c r="AHK91" s="6"/>
      <c r="AHL91" s="6"/>
      <c r="AHM91" s="6"/>
      <c r="AHN91" s="6"/>
      <c r="AHO91" s="6"/>
      <c r="AHP91" s="6"/>
      <c r="AHQ91" s="6"/>
      <c r="AHR91" s="6"/>
      <c r="AHS91" s="6"/>
      <c r="AHT91" s="6"/>
      <c r="AHU91" s="6"/>
      <c r="AHV91" s="6"/>
      <c r="AHW91" s="6"/>
      <c r="AHX91" s="6"/>
      <c r="AHY91" s="6"/>
      <c r="AHZ91" s="6"/>
      <c r="AIA91" s="6"/>
      <c r="AIB91" s="6"/>
      <c r="AIC91" s="6"/>
      <c r="AID91" s="6"/>
      <c r="AIE91" s="6"/>
      <c r="AIF91" s="6"/>
      <c r="AIG91" s="6"/>
      <c r="AIH91" s="6"/>
      <c r="AII91" s="6"/>
      <c r="AIJ91" s="6"/>
      <c r="AIK91" s="6"/>
      <c r="AIL91" s="6"/>
      <c r="AIM91" s="6"/>
      <c r="AIN91" s="6"/>
      <c r="AIO91" s="6"/>
      <c r="AIP91" s="6"/>
      <c r="AIQ91" s="6"/>
      <c r="AIR91" s="6"/>
      <c r="AIS91" s="6"/>
      <c r="AIT91" s="6"/>
      <c r="AIU91" s="6"/>
      <c r="AIV91" s="6"/>
      <c r="AIW91" s="6"/>
      <c r="AIX91" s="6"/>
      <c r="AIY91" s="6"/>
      <c r="AIZ91" s="6"/>
      <c r="AJA91" s="6"/>
      <c r="AJB91" s="6"/>
      <c r="AJC91" s="6"/>
      <c r="AJD91" s="6"/>
      <c r="AJE91" s="6"/>
      <c r="AJF91" s="6"/>
      <c r="AJG91" s="6"/>
      <c r="AJH91" s="6"/>
      <c r="AJI91" s="6"/>
      <c r="AJJ91" s="6"/>
      <c r="AJK91" s="6"/>
      <c r="AJL91" s="6"/>
      <c r="AJM91" s="6"/>
      <c r="AJN91" s="6"/>
      <c r="AJO91" s="6"/>
      <c r="AJP91" s="6"/>
      <c r="AJQ91" s="6"/>
      <c r="AJR91" s="6"/>
      <c r="AJS91" s="6"/>
      <c r="AJT91" s="6"/>
      <c r="AJU91" s="6"/>
      <c r="AJV91" s="6"/>
      <c r="AJW91" s="6"/>
      <c r="AJX91" s="6"/>
      <c r="AJY91" s="6"/>
      <c r="AJZ91" s="6"/>
      <c r="AKA91" s="6"/>
      <c r="AKB91" s="6"/>
      <c r="AKC91" s="6"/>
      <c r="AKD91" s="6"/>
      <c r="AKE91" s="6"/>
      <c r="AKF91" s="6"/>
      <c r="AKG91" s="6"/>
      <c r="AKH91" s="6"/>
      <c r="AKI91" s="6"/>
      <c r="AKJ91" s="6"/>
      <c r="AKK91" s="6"/>
      <c r="AKL91" s="6"/>
      <c r="AKM91" s="6"/>
      <c r="AKN91" s="6"/>
      <c r="AKO91" s="6"/>
      <c r="AKP91" s="6"/>
      <c r="AKQ91" s="6"/>
      <c r="AKR91" s="6"/>
      <c r="AKS91" s="6"/>
      <c r="AKT91" s="6"/>
      <c r="AKU91" s="6"/>
      <c r="AKV91" s="6"/>
      <c r="AKW91" s="6"/>
      <c r="AKX91" s="6"/>
      <c r="AKY91" s="6"/>
      <c r="AKZ91" s="6"/>
      <c r="ALA91" s="6"/>
      <c r="ALB91" s="6"/>
      <c r="ALC91" s="6"/>
      <c r="ALD91" s="6"/>
      <c r="ALE91" s="6"/>
      <c r="ALF91" s="6"/>
      <c r="ALG91" s="6"/>
      <c r="ALH91" s="6"/>
      <c r="ALI91" s="6"/>
      <c r="ALJ91" s="6"/>
      <c r="ALK91" s="6"/>
      <c r="ALL91" s="6"/>
      <c r="ALM91" s="6"/>
      <c r="ALN91" s="6"/>
      <c r="ALO91" s="6"/>
      <c r="ALP91" s="6"/>
      <c r="ALQ91" s="6"/>
      <c r="ALR91" s="6"/>
      <c r="ALS91" s="6"/>
      <c r="ALT91" s="6"/>
      <c r="ALU91" s="6"/>
      <c r="ALV91" s="6"/>
      <c r="ALW91" s="6"/>
      <c r="ALX91" s="6"/>
      <c r="ALY91" s="6"/>
      <c r="ALZ91" s="6"/>
      <c r="AMA91" s="6"/>
      <c r="AMB91" s="6"/>
      <c r="AMC91" s="6"/>
      <c r="AMD91" s="6"/>
      <c r="AME91" s="6"/>
      <c r="AMF91" s="6"/>
      <c r="AMG91" s="6"/>
      <c r="AMH91" s="6"/>
      <c r="AMI91" s="6"/>
      <c r="AMJ91" s="6"/>
      <c r="AMK91" s="6"/>
      <c r="AML91" s="6"/>
      <c r="AMM91" s="6"/>
      <c r="AMN91" s="6"/>
      <c r="AMO91" s="6"/>
      <c r="AMP91" s="6"/>
      <c r="AMQ91" s="6"/>
      <c r="AMR91" s="6"/>
      <c r="AMS91" s="6"/>
      <c r="AMT91" s="6"/>
      <c r="AMU91" s="6"/>
      <c r="AMV91" s="6"/>
      <c r="AMW91" s="6"/>
      <c r="AMX91" s="6"/>
      <c r="AMY91" s="6"/>
      <c r="AMZ91" s="6"/>
      <c r="ANA91" s="6"/>
      <c r="ANB91" s="6"/>
      <c r="ANC91" s="6"/>
      <c r="AND91" s="6"/>
      <c r="ANE91" s="6"/>
      <c r="ANF91" s="6"/>
      <c r="ANG91" s="6"/>
      <c r="ANH91" s="6"/>
      <c r="ANI91" s="6"/>
      <c r="ANJ91" s="6"/>
      <c r="ANK91" s="6"/>
      <c r="ANL91" s="6"/>
      <c r="ANM91" s="6"/>
      <c r="ANN91" s="6"/>
      <c r="ANO91" s="6"/>
      <c r="ANP91" s="6"/>
      <c r="ANQ91" s="6"/>
      <c r="ANR91" s="6"/>
      <c r="ANS91" s="6"/>
      <c r="ANT91" s="6"/>
      <c r="ANU91" s="6"/>
      <c r="ANV91" s="6"/>
      <c r="ANW91" s="6"/>
      <c r="ANX91" s="6"/>
      <c r="ANY91" s="6"/>
      <c r="ANZ91" s="6"/>
      <c r="AOA91" s="6"/>
      <c r="AOB91" s="6"/>
      <c r="AOC91" s="6"/>
      <c r="AOD91" s="6"/>
      <c r="AOE91" s="6"/>
      <c r="AOF91" s="6"/>
      <c r="AOG91" s="6"/>
      <c r="AOH91" s="6"/>
      <c r="AOI91" s="6"/>
      <c r="AOJ91" s="6"/>
      <c r="AOK91" s="6"/>
      <c r="AOL91" s="6"/>
      <c r="AOM91" s="6"/>
      <c r="AON91" s="6"/>
      <c r="AOO91" s="6"/>
      <c r="AOP91" s="6"/>
      <c r="AOQ91" s="6"/>
      <c r="AOR91" s="6"/>
      <c r="AOS91" s="6"/>
      <c r="AOT91" s="6"/>
      <c r="AOU91" s="6"/>
      <c r="AOV91" s="6"/>
      <c r="AOW91" s="6"/>
      <c r="AOX91" s="6"/>
      <c r="AOY91" s="6"/>
      <c r="AOZ91" s="6"/>
      <c r="APA91" s="6"/>
      <c r="APB91" s="6"/>
      <c r="APC91" s="6"/>
      <c r="APD91" s="6"/>
      <c r="APE91" s="6"/>
      <c r="APF91" s="6"/>
      <c r="APG91" s="6"/>
      <c r="APH91" s="6"/>
      <c r="API91" s="6"/>
      <c r="APJ91" s="6"/>
      <c r="APK91" s="6"/>
      <c r="APL91" s="6"/>
      <c r="APM91" s="6"/>
      <c r="APN91" s="6"/>
      <c r="APO91" s="6"/>
      <c r="APP91" s="6"/>
      <c r="APQ91" s="6"/>
      <c r="APR91" s="6"/>
      <c r="APS91" s="6"/>
      <c r="APT91" s="6"/>
      <c r="APU91" s="6"/>
      <c r="APV91" s="6"/>
      <c r="APW91" s="6"/>
      <c r="APX91" s="6"/>
      <c r="APY91" s="6"/>
      <c r="APZ91" s="6"/>
      <c r="AQA91" s="6"/>
      <c r="AQB91" s="6"/>
      <c r="AQC91" s="6"/>
      <c r="AQD91" s="6"/>
      <c r="AQE91" s="6"/>
      <c r="AQF91" s="6"/>
      <c r="AQG91" s="6"/>
      <c r="AQH91" s="6"/>
      <c r="AQI91" s="6"/>
      <c r="AQJ91" s="6"/>
      <c r="AQK91" s="6"/>
      <c r="AQL91" s="6"/>
      <c r="AQM91" s="6"/>
      <c r="AQN91" s="6"/>
      <c r="AQO91" s="6"/>
      <c r="AQP91" s="6"/>
      <c r="AQQ91" s="6"/>
      <c r="AQR91" s="6"/>
      <c r="AQS91" s="6"/>
      <c r="AQT91" s="6"/>
      <c r="AQU91" s="6"/>
      <c r="AQV91" s="6"/>
      <c r="AQW91" s="6"/>
      <c r="AQX91" s="6"/>
      <c r="AQY91" s="6"/>
      <c r="AQZ91" s="6"/>
      <c r="ARA91" s="6"/>
      <c r="ARB91" s="6"/>
      <c r="ARC91" s="6"/>
      <c r="ARD91" s="6"/>
      <c r="ARE91" s="6"/>
      <c r="ARF91" s="6"/>
      <c r="ARG91" s="6"/>
      <c r="ARH91" s="6"/>
      <c r="ARI91" s="6"/>
      <c r="ARJ91" s="6"/>
      <c r="ARK91" s="6"/>
      <c r="ARL91" s="6"/>
      <c r="ARM91" s="6"/>
      <c r="ARN91" s="6"/>
      <c r="ARO91" s="6"/>
      <c r="ARP91" s="6"/>
      <c r="ARQ91" s="6"/>
      <c r="ARR91" s="6"/>
      <c r="ARS91" s="6"/>
      <c r="ART91" s="6"/>
      <c r="ARU91" s="6"/>
      <c r="ARV91" s="6"/>
      <c r="ARW91" s="6"/>
      <c r="ARX91" s="6"/>
      <c r="ARY91" s="6"/>
      <c r="ARZ91" s="6"/>
      <c r="ASA91" s="6"/>
      <c r="ASB91" s="6"/>
      <c r="ASC91" s="6"/>
      <c r="ASD91" s="6"/>
      <c r="ASE91" s="6"/>
      <c r="ASF91" s="6"/>
      <c r="ASG91" s="6"/>
      <c r="ASH91" s="6"/>
      <c r="ASI91" s="6"/>
      <c r="ASJ91" s="6"/>
      <c r="ASK91" s="6"/>
      <c r="ASL91" s="6"/>
      <c r="ASM91" s="6"/>
      <c r="ASN91" s="6"/>
      <c r="ASO91" s="6"/>
      <c r="ASP91" s="6"/>
      <c r="ASQ91" s="6"/>
      <c r="ASR91" s="6"/>
      <c r="ASS91" s="6"/>
      <c r="AST91" s="6"/>
      <c r="ASU91" s="6"/>
      <c r="ASV91" s="6"/>
      <c r="ASW91" s="6"/>
      <c r="ASX91" s="6"/>
      <c r="ASY91" s="6"/>
      <c r="ASZ91" s="6"/>
      <c r="ATA91" s="6"/>
      <c r="ATB91" s="6"/>
      <c r="ATC91" s="6"/>
      <c r="ATD91" s="6"/>
      <c r="ATE91" s="6"/>
      <c r="ATF91" s="6"/>
      <c r="ATG91" s="6"/>
      <c r="ATH91" s="6"/>
      <c r="ATI91" s="6"/>
      <c r="ATJ91" s="6"/>
      <c r="ATK91" s="6"/>
      <c r="ATL91" s="6"/>
      <c r="ATM91" s="6"/>
      <c r="ATN91" s="6"/>
      <c r="ATO91" s="6"/>
      <c r="ATP91" s="6"/>
      <c r="ATQ91" s="6"/>
      <c r="ATR91" s="6"/>
      <c r="ATS91" s="6"/>
      <c r="ATT91" s="6"/>
      <c r="ATU91" s="6"/>
      <c r="ATV91" s="6"/>
      <c r="ATW91" s="6"/>
      <c r="ATX91" s="6"/>
      <c r="ATY91" s="6"/>
      <c r="ATZ91" s="6"/>
      <c r="AUA91" s="6"/>
      <c r="AUB91" s="6"/>
      <c r="AUC91" s="6"/>
      <c r="AUD91" s="6"/>
      <c r="AUE91" s="6"/>
      <c r="AUF91" s="6"/>
      <c r="AUG91" s="6"/>
      <c r="AUH91" s="6"/>
      <c r="AUI91" s="6"/>
      <c r="AUJ91" s="6"/>
      <c r="AUK91" s="6"/>
      <c r="AUL91" s="6"/>
      <c r="AUM91" s="6"/>
      <c r="AUN91" s="6"/>
      <c r="AUO91" s="6"/>
      <c r="AUP91" s="6"/>
      <c r="AUQ91" s="6"/>
      <c r="AUR91" s="6"/>
      <c r="AUS91" s="6"/>
      <c r="AUT91" s="6"/>
      <c r="AUU91" s="6"/>
      <c r="AUV91" s="6"/>
      <c r="AUW91" s="6"/>
      <c r="AUX91" s="6"/>
      <c r="AUY91" s="6"/>
      <c r="AUZ91" s="6"/>
      <c r="AVA91" s="6"/>
      <c r="AVB91" s="6"/>
      <c r="AVC91" s="6"/>
      <c r="AVD91" s="6"/>
      <c r="AVE91" s="6"/>
      <c r="AVF91" s="6"/>
      <c r="AVG91" s="6"/>
      <c r="AVH91" s="6"/>
      <c r="AVI91" s="6"/>
      <c r="AVJ91" s="6"/>
      <c r="AVK91" s="6"/>
      <c r="AVL91" s="6"/>
      <c r="AVM91" s="6"/>
      <c r="AVN91" s="6"/>
      <c r="AVO91" s="6"/>
      <c r="AVP91" s="6"/>
      <c r="AVQ91" s="6"/>
      <c r="AVR91" s="6"/>
      <c r="AVS91" s="6"/>
      <c r="AVT91" s="6"/>
      <c r="AVU91" s="6"/>
      <c r="AVV91" s="6"/>
      <c r="AVW91" s="6"/>
      <c r="AVX91" s="6"/>
      <c r="AVY91" s="6"/>
      <c r="AVZ91" s="6"/>
      <c r="AWA91" s="6"/>
      <c r="AWB91" s="6"/>
      <c r="AWC91" s="6"/>
      <c r="AWD91" s="6"/>
      <c r="AWE91" s="6"/>
      <c r="AWF91" s="6"/>
      <c r="AWG91" s="6"/>
      <c r="AWH91" s="6"/>
      <c r="AWI91" s="6"/>
      <c r="AWJ91" s="6"/>
      <c r="AWK91" s="6"/>
      <c r="AWL91" s="6"/>
      <c r="AWM91" s="6"/>
      <c r="AWN91" s="6"/>
      <c r="AWO91" s="6"/>
      <c r="AWP91" s="6"/>
      <c r="AWQ91" s="6"/>
      <c r="AWR91" s="6"/>
      <c r="AWS91" s="6"/>
      <c r="AWT91" s="6"/>
      <c r="AWU91" s="6"/>
      <c r="AWV91" s="6"/>
      <c r="AWW91" s="6"/>
      <c r="AWX91" s="6"/>
      <c r="AWY91" s="6"/>
      <c r="AWZ91" s="6"/>
      <c r="AXA91" s="6"/>
      <c r="AXB91" s="6"/>
      <c r="AXC91" s="6"/>
      <c r="AXD91" s="6"/>
      <c r="AXE91" s="6"/>
      <c r="AXF91" s="6"/>
      <c r="AXG91" s="6"/>
      <c r="AXH91" s="6"/>
      <c r="AXI91" s="6"/>
      <c r="AXJ91" s="6"/>
      <c r="AXK91" s="6"/>
      <c r="AXL91" s="6"/>
      <c r="AXM91" s="6"/>
      <c r="AXN91" s="6"/>
      <c r="AXO91" s="6"/>
      <c r="AXP91" s="6"/>
      <c r="AXQ91" s="6"/>
      <c r="AXR91" s="6"/>
      <c r="AXS91" s="6"/>
      <c r="AXT91" s="6"/>
      <c r="AXU91" s="6"/>
      <c r="AXV91" s="6"/>
      <c r="AXW91" s="6"/>
      <c r="AXX91" s="6"/>
      <c r="AXY91" s="6"/>
      <c r="AXZ91" s="6"/>
      <c r="AYA91" s="6"/>
      <c r="AYB91" s="6"/>
      <c r="AYC91" s="6"/>
      <c r="AYD91" s="6"/>
      <c r="AYE91" s="6"/>
      <c r="AYF91" s="6"/>
      <c r="AYG91" s="6"/>
      <c r="AYH91" s="6"/>
      <c r="AYI91" s="6"/>
      <c r="AYJ91" s="6"/>
      <c r="AYK91" s="6"/>
      <c r="AYL91" s="6"/>
      <c r="AYM91" s="6"/>
      <c r="AYN91" s="6"/>
      <c r="AYO91" s="6"/>
      <c r="AYP91" s="6"/>
      <c r="AYQ91" s="6"/>
      <c r="AYR91" s="6"/>
      <c r="AYS91" s="6"/>
      <c r="AYT91" s="6"/>
      <c r="AYU91" s="6"/>
      <c r="AYV91" s="6"/>
      <c r="AYW91" s="6"/>
      <c r="AYX91" s="6"/>
      <c r="AYY91" s="6"/>
      <c r="AYZ91" s="6"/>
      <c r="AZA91" s="6"/>
      <c r="AZB91" s="6"/>
      <c r="AZC91" s="6"/>
      <c r="AZD91" s="6"/>
      <c r="AZE91" s="6"/>
      <c r="AZF91" s="6"/>
      <c r="AZG91" s="6"/>
      <c r="AZH91" s="6"/>
      <c r="AZI91" s="6"/>
      <c r="AZJ91" s="6"/>
      <c r="AZK91" s="6"/>
      <c r="AZL91" s="6"/>
      <c r="AZM91" s="6"/>
      <c r="AZN91" s="6"/>
      <c r="AZO91" s="6"/>
      <c r="AZP91" s="6"/>
      <c r="AZQ91" s="6"/>
      <c r="AZR91" s="6"/>
      <c r="AZS91" s="6"/>
      <c r="AZT91" s="6"/>
      <c r="AZU91" s="6"/>
      <c r="AZV91" s="6"/>
      <c r="AZW91" s="6"/>
      <c r="AZX91" s="6"/>
      <c r="AZY91" s="6"/>
      <c r="AZZ91" s="6"/>
      <c r="BAA91" s="6"/>
      <c r="BAB91" s="6"/>
      <c r="BAC91" s="6"/>
      <c r="BAD91" s="6"/>
      <c r="BAE91" s="6"/>
      <c r="BAF91" s="6"/>
      <c r="BAG91" s="6"/>
      <c r="BAH91" s="6"/>
      <c r="BAI91" s="6"/>
      <c r="BAJ91" s="6"/>
      <c r="BAK91" s="6"/>
      <c r="BAL91" s="6"/>
      <c r="BAM91" s="6"/>
      <c r="BAN91" s="6"/>
      <c r="BAO91" s="6"/>
      <c r="BAP91" s="6"/>
      <c r="BAQ91" s="6"/>
      <c r="BAR91" s="6"/>
      <c r="BAS91" s="6"/>
      <c r="BAT91" s="6"/>
      <c r="BAU91" s="6"/>
      <c r="BAV91" s="6"/>
      <c r="BAW91" s="6"/>
      <c r="BAX91" s="6"/>
      <c r="BAY91" s="6"/>
      <c r="BAZ91" s="6"/>
      <c r="BBA91" s="6"/>
      <c r="BBB91" s="6"/>
      <c r="BBC91" s="6"/>
      <c r="BBD91" s="6"/>
      <c r="BBE91" s="6"/>
      <c r="BBF91" s="6"/>
      <c r="BBG91" s="6"/>
      <c r="BBH91" s="6"/>
      <c r="BBI91" s="6"/>
      <c r="BBJ91" s="6"/>
      <c r="BBK91" s="6"/>
      <c r="BBL91" s="6"/>
      <c r="BBM91" s="6"/>
      <c r="BBN91" s="6"/>
      <c r="BBO91" s="6"/>
      <c r="BBP91" s="6"/>
      <c r="BBQ91" s="6"/>
      <c r="BBR91" s="6"/>
      <c r="BBS91" s="6"/>
      <c r="BBT91" s="6"/>
      <c r="BBU91" s="6"/>
      <c r="BBV91" s="6"/>
      <c r="BBW91" s="6"/>
      <c r="BBX91" s="6"/>
      <c r="BBY91" s="6"/>
      <c r="BBZ91" s="6"/>
      <c r="BCA91" s="6"/>
      <c r="BCB91" s="6"/>
      <c r="BCC91" s="6"/>
      <c r="BCD91" s="6"/>
      <c r="BCE91" s="6"/>
      <c r="BCF91" s="6"/>
      <c r="BCG91" s="6"/>
      <c r="BCH91" s="6"/>
      <c r="BCI91" s="6"/>
      <c r="BCJ91" s="6"/>
      <c r="BCK91" s="6"/>
      <c r="BCL91" s="6"/>
      <c r="BCM91" s="6"/>
      <c r="BCN91" s="6"/>
      <c r="BCO91" s="6"/>
      <c r="BCP91" s="6"/>
      <c r="BCQ91" s="6"/>
      <c r="BCR91" s="6"/>
      <c r="BCS91" s="6"/>
      <c r="BCT91" s="6"/>
      <c r="BCU91" s="6"/>
      <c r="BCV91" s="6"/>
      <c r="BCW91" s="6"/>
      <c r="BCX91" s="6"/>
      <c r="BCY91" s="6"/>
      <c r="BCZ91" s="6"/>
      <c r="BDA91" s="6"/>
      <c r="BDB91" s="6"/>
      <c r="BDC91" s="6"/>
      <c r="BDD91" s="6"/>
      <c r="BDE91" s="6"/>
      <c r="BDF91" s="6"/>
      <c r="BDG91" s="6"/>
      <c r="BDH91" s="6"/>
      <c r="BDI91" s="6"/>
      <c r="BDJ91" s="6"/>
      <c r="BDK91" s="6"/>
      <c r="BDL91" s="6"/>
      <c r="BDM91" s="6"/>
      <c r="BDN91" s="6"/>
      <c r="BDO91" s="6"/>
      <c r="BDP91" s="6"/>
      <c r="BDQ91" s="6"/>
      <c r="BDR91" s="6"/>
      <c r="BDS91" s="6"/>
      <c r="BDT91" s="6"/>
      <c r="BDU91" s="6"/>
      <c r="BDV91" s="6"/>
      <c r="BDW91" s="6"/>
      <c r="BDX91" s="6"/>
      <c r="BDY91" s="6"/>
      <c r="BDZ91" s="6"/>
      <c r="BEA91" s="6"/>
      <c r="BEB91" s="6"/>
      <c r="BEC91" s="6"/>
      <c r="BED91" s="6"/>
      <c r="BEE91" s="6"/>
      <c r="BEF91" s="6"/>
      <c r="BEG91" s="6"/>
      <c r="BEH91" s="6"/>
      <c r="BEI91" s="6"/>
      <c r="BEJ91" s="6"/>
      <c r="BEK91" s="6"/>
      <c r="BEL91" s="6"/>
      <c r="BEM91" s="6"/>
      <c r="BEN91" s="6"/>
      <c r="BEO91" s="6"/>
      <c r="BEP91" s="6"/>
      <c r="BEQ91" s="6"/>
      <c r="BER91" s="6"/>
      <c r="BES91" s="6"/>
      <c r="BET91" s="6"/>
      <c r="BEU91" s="6"/>
      <c r="BEV91" s="6"/>
      <c r="BEW91" s="6"/>
      <c r="BEX91" s="6"/>
      <c r="BEY91" s="6"/>
      <c r="BEZ91" s="6"/>
      <c r="BFA91" s="6"/>
      <c r="BFB91" s="6"/>
      <c r="BFC91" s="6"/>
      <c r="BFD91" s="6"/>
      <c r="BFE91" s="6"/>
      <c r="BFF91" s="6"/>
      <c r="BFG91" s="6"/>
      <c r="BFH91" s="6"/>
      <c r="BFI91" s="6"/>
      <c r="BFJ91" s="6"/>
      <c r="BFK91" s="6"/>
      <c r="BFL91" s="6"/>
      <c r="BFM91" s="6"/>
      <c r="BFN91" s="6"/>
      <c r="BFO91" s="6"/>
      <c r="BFP91" s="6"/>
      <c r="BFQ91" s="6"/>
      <c r="BFR91" s="6"/>
      <c r="BFS91" s="6"/>
      <c r="BFT91" s="6"/>
      <c r="BFU91" s="6"/>
      <c r="BFV91" s="6"/>
      <c r="BFW91" s="6"/>
      <c r="BFX91" s="6"/>
      <c r="BFY91" s="6"/>
      <c r="BFZ91" s="6"/>
      <c r="BGA91" s="6"/>
      <c r="BGB91" s="6"/>
      <c r="BGC91" s="6"/>
      <c r="BGD91" s="6"/>
      <c r="BGE91" s="6"/>
      <c r="BGF91" s="6"/>
      <c r="BGG91" s="6"/>
      <c r="BGH91" s="6"/>
      <c r="BGI91" s="6"/>
      <c r="BGJ91" s="6"/>
      <c r="BGK91" s="6"/>
      <c r="BGL91" s="6"/>
      <c r="BGM91" s="6"/>
      <c r="BGN91" s="6"/>
      <c r="BGO91" s="6"/>
      <c r="BGP91" s="6"/>
      <c r="BGQ91" s="6"/>
      <c r="BGR91" s="6"/>
      <c r="BGS91" s="6"/>
      <c r="BGT91" s="6"/>
      <c r="BGU91" s="6"/>
      <c r="BGV91" s="6"/>
      <c r="BGW91" s="6"/>
      <c r="BGX91" s="6"/>
      <c r="BGY91" s="6"/>
      <c r="BGZ91" s="6"/>
      <c r="BHA91" s="6"/>
      <c r="BHB91" s="6"/>
      <c r="BHC91" s="6"/>
      <c r="BHD91" s="6"/>
      <c r="BHE91" s="6"/>
      <c r="BHF91" s="6"/>
      <c r="BHG91" s="6"/>
      <c r="BHH91" s="6"/>
      <c r="BHI91" s="6"/>
      <c r="BHJ91" s="6"/>
      <c r="BHK91" s="6"/>
      <c r="BHL91" s="6"/>
      <c r="BHM91" s="6"/>
      <c r="BHN91" s="6"/>
      <c r="BHO91" s="6"/>
      <c r="BHP91" s="6"/>
      <c r="BHQ91" s="6"/>
      <c r="BHR91" s="6"/>
      <c r="BHS91" s="6"/>
      <c r="BHT91" s="6"/>
      <c r="BHU91" s="6"/>
      <c r="BHV91" s="6"/>
      <c r="BHW91" s="6"/>
      <c r="BHX91" s="6"/>
      <c r="BHY91" s="6"/>
      <c r="BHZ91" s="6"/>
      <c r="BIA91" s="6"/>
      <c r="BIB91" s="6"/>
      <c r="BIC91" s="6"/>
      <c r="BID91" s="6"/>
      <c r="BIE91" s="6"/>
      <c r="BIF91" s="6"/>
      <c r="BIG91" s="6"/>
      <c r="BIH91" s="6"/>
      <c r="BII91" s="6"/>
      <c r="BIJ91" s="6"/>
      <c r="BIK91" s="6"/>
      <c r="BIL91" s="6"/>
      <c r="BIM91" s="6"/>
      <c r="BIN91" s="6"/>
      <c r="BIO91" s="6"/>
      <c r="BIP91" s="6"/>
      <c r="BIQ91" s="6"/>
      <c r="BIR91" s="6"/>
      <c r="BIS91" s="6"/>
      <c r="BIT91" s="6"/>
      <c r="BIU91" s="6"/>
      <c r="BIV91" s="6"/>
      <c r="BIW91" s="6"/>
      <c r="BIX91" s="6"/>
      <c r="BIY91" s="6"/>
      <c r="BIZ91" s="6"/>
      <c r="BJA91" s="6"/>
      <c r="BJB91" s="6"/>
      <c r="BJC91" s="6"/>
      <c r="BJD91" s="6"/>
      <c r="BJE91" s="6"/>
      <c r="BJF91" s="6"/>
      <c r="BJG91" s="6"/>
      <c r="BJH91" s="6"/>
      <c r="BJI91" s="6"/>
      <c r="BJJ91" s="6"/>
      <c r="BJK91" s="6"/>
      <c r="BJL91" s="6"/>
      <c r="BJM91" s="6"/>
      <c r="BJN91" s="6"/>
      <c r="BJO91" s="6"/>
      <c r="BJP91" s="6"/>
      <c r="BJQ91" s="6"/>
      <c r="BJR91" s="6"/>
      <c r="BJS91" s="6"/>
      <c r="BJT91" s="6"/>
      <c r="BJU91" s="6"/>
      <c r="BJV91" s="6"/>
      <c r="BJW91" s="6"/>
      <c r="BJX91" s="6"/>
      <c r="BJY91" s="6"/>
      <c r="BJZ91" s="6"/>
      <c r="BKA91" s="6"/>
      <c r="BKB91" s="6"/>
      <c r="BKC91" s="6"/>
      <c r="BKD91" s="6"/>
      <c r="BKE91" s="6"/>
      <c r="BKF91" s="6"/>
      <c r="BKG91" s="6"/>
      <c r="BKH91" s="6"/>
      <c r="BKI91" s="6"/>
      <c r="BKJ91" s="6"/>
      <c r="BKK91" s="6"/>
      <c r="BKL91" s="6"/>
      <c r="BKM91" s="6"/>
      <c r="BKN91" s="6"/>
      <c r="BKO91" s="6"/>
      <c r="BKP91" s="6"/>
      <c r="BKQ91" s="6"/>
      <c r="BKR91" s="6"/>
      <c r="BKS91" s="6"/>
      <c r="BKT91" s="6"/>
      <c r="BKU91" s="6"/>
      <c r="BKV91" s="6"/>
      <c r="BKW91" s="6"/>
      <c r="BKX91" s="6"/>
      <c r="BKY91" s="6"/>
      <c r="BKZ91" s="6"/>
      <c r="BLA91" s="6"/>
      <c r="BLB91" s="6"/>
      <c r="BLC91" s="6"/>
      <c r="BLD91" s="6"/>
      <c r="BLE91" s="6"/>
      <c r="BLF91" s="6"/>
      <c r="BLG91" s="6"/>
      <c r="BLH91" s="6"/>
      <c r="BLI91" s="6"/>
      <c r="BLJ91" s="6"/>
      <c r="BLK91" s="6"/>
      <c r="BLL91" s="6"/>
      <c r="BLM91" s="6"/>
      <c r="BLN91" s="6"/>
      <c r="BLO91" s="6"/>
      <c r="BLP91" s="6"/>
      <c r="BLQ91" s="6"/>
      <c r="BLR91" s="6"/>
      <c r="BLS91" s="6"/>
      <c r="BLT91" s="6"/>
      <c r="BLU91" s="6"/>
      <c r="BLV91" s="6"/>
      <c r="BLW91" s="6"/>
      <c r="BLX91" s="6"/>
      <c r="BLY91" s="6"/>
      <c r="BLZ91" s="6"/>
      <c r="BMA91" s="6"/>
      <c r="BMB91" s="6"/>
      <c r="BMC91" s="6"/>
      <c r="BMD91" s="6"/>
      <c r="BME91" s="6"/>
      <c r="BMF91" s="6"/>
      <c r="BMG91" s="6"/>
      <c r="BMH91" s="6"/>
      <c r="BMI91" s="6"/>
      <c r="BMJ91" s="6"/>
      <c r="BMK91" s="6"/>
      <c r="BML91" s="6"/>
      <c r="BMM91" s="6"/>
      <c r="BMN91" s="6"/>
      <c r="BMO91" s="6"/>
      <c r="BMP91" s="6"/>
      <c r="BMQ91" s="6"/>
      <c r="BMR91" s="6"/>
      <c r="BMS91" s="6"/>
      <c r="BMT91" s="6"/>
      <c r="BMU91" s="6"/>
      <c r="BMV91" s="6"/>
      <c r="BMW91" s="6"/>
      <c r="BMX91" s="6"/>
      <c r="BMY91" s="6"/>
      <c r="BMZ91" s="6"/>
      <c r="BNA91" s="6"/>
      <c r="BNB91" s="6"/>
      <c r="BNC91" s="6"/>
      <c r="BND91" s="6"/>
      <c r="BNE91" s="6"/>
      <c r="BNF91" s="6"/>
      <c r="BNG91" s="6"/>
      <c r="BNH91" s="6"/>
      <c r="BNI91" s="6"/>
      <c r="BNJ91" s="6"/>
      <c r="BNK91" s="6"/>
      <c r="BNL91" s="6"/>
      <c r="BNM91" s="6"/>
      <c r="BNN91" s="6"/>
      <c r="BNO91" s="6"/>
      <c r="BNP91" s="6"/>
      <c r="BNQ91" s="6"/>
      <c r="BNR91" s="6"/>
      <c r="BNS91" s="6"/>
      <c r="BNT91" s="6"/>
      <c r="BNU91" s="6"/>
      <c r="BNV91" s="6"/>
      <c r="BNW91" s="6"/>
      <c r="BNX91" s="6"/>
      <c r="BNY91" s="6"/>
      <c r="BNZ91" s="6"/>
      <c r="BOA91" s="6"/>
      <c r="BOB91" s="6"/>
      <c r="BOC91" s="6"/>
      <c r="BOD91" s="6"/>
      <c r="BOE91" s="6"/>
      <c r="BOF91" s="6"/>
      <c r="BOG91" s="6"/>
      <c r="BOH91" s="6"/>
      <c r="BOI91" s="6"/>
      <c r="BOJ91" s="6"/>
      <c r="BOK91" s="6"/>
      <c r="BOL91" s="6"/>
      <c r="BOM91" s="6"/>
      <c r="BON91" s="6"/>
      <c r="BOO91" s="6"/>
      <c r="BOP91" s="6"/>
      <c r="BOQ91" s="6"/>
      <c r="BOR91" s="6"/>
      <c r="BOS91" s="6"/>
      <c r="BOT91" s="6"/>
      <c r="BOU91" s="6"/>
      <c r="BOV91" s="6"/>
      <c r="BOW91" s="6"/>
      <c r="BOX91" s="6"/>
      <c r="BOY91" s="6"/>
      <c r="BOZ91" s="6"/>
      <c r="BPA91" s="6"/>
      <c r="BPB91" s="6"/>
      <c r="BPC91" s="6"/>
      <c r="BPD91" s="6"/>
      <c r="BPE91" s="6"/>
      <c r="BPF91" s="6"/>
      <c r="BPG91" s="6"/>
      <c r="BPH91" s="6"/>
      <c r="BPI91" s="6"/>
      <c r="BPJ91" s="6"/>
      <c r="BPK91" s="6"/>
      <c r="BPL91" s="6"/>
      <c r="BPM91" s="6"/>
      <c r="BPN91" s="6"/>
      <c r="BPO91" s="6"/>
      <c r="BPP91" s="6"/>
      <c r="BPQ91" s="6"/>
      <c r="BPR91" s="6"/>
      <c r="BPS91" s="6"/>
      <c r="BPT91" s="6"/>
      <c r="BPU91" s="6"/>
      <c r="BPV91" s="6"/>
      <c r="BPW91" s="6"/>
      <c r="BPX91" s="6"/>
      <c r="BPY91" s="6"/>
      <c r="BPZ91" s="6"/>
      <c r="BQA91" s="6"/>
      <c r="BQB91" s="6"/>
      <c r="BQC91" s="6"/>
      <c r="BQD91" s="6"/>
      <c r="BQE91" s="6"/>
      <c r="BQF91" s="6"/>
      <c r="BQG91" s="6"/>
      <c r="BQH91" s="6"/>
      <c r="BQI91" s="6"/>
      <c r="BQJ91" s="6"/>
      <c r="BQK91" s="6"/>
      <c r="BQL91" s="6"/>
      <c r="BQM91" s="6"/>
      <c r="BQN91" s="6"/>
      <c r="BQO91" s="6"/>
      <c r="BQP91" s="6"/>
      <c r="BQQ91" s="6"/>
      <c r="BQR91" s="6"/>
      <c r="BQS91" s="6"/>
      <c r="BQT91" s="6"/>
      <c r="BQU91" s="6"/>
      <c r="BQV91" s="6"/>
      <c r="BQW91" s="6"/>
      <c r="BQX91" s="6"/>
      <c r="BQY91" s="6"/>
      <c r="BQZ91" s="6"/>
      <c r="BRA91" s="6"/>
      <c r="BRB91" s="6"/>
      <c r="BRC91" s="6"/>
      <c r="BRD91" s="6"/>
      <c r="BRE91" s="6"/>
      <c r="BRF91" s="6"/>
      <c r="BRG91" s="6"/>
      <c r="BRH91" s="6"/>
      <c r="BRI91" s="6"/>
      <c r="BRJ91" s="6"/>
      <c r="BRK91" s="6"/>
      <c r="BRL91" s="6"/>
      <c r="BRM91" s="6"/>
      <c r="BRN91" s="6"/>
      <c r="BRO91" s="6"/>
      <c r="BRP91" s="6"/>
      <c r="BRQ91" s="6"/>
      <c r="BRR91" s="6"/>
      <c r="BRS91" s="6"/>
      <c r="BRT91" s="6"/>
      <c r="BRU91" s="6"/>
      <c r="BRV91" s="6"/>
      <c r="BRW91" s="6"/>
      <c r="BRX91" s="6"/>
      <c r="BRY91" s="6"/>
      <c r="BRZ91" s="6"/>
      <c r="BSA91" s="6"/>
      <c r="BSB91" s="6"/>
      <c r="BSC91" s="6"/>
      <c r="BSD91" s="6"/>
      <c r="BSE91" s="6"/>
      <c r="BSF91" s="6"/>
      <c r="BSG91" s="6"/>
      <c r="BSH91" s="6"/>
      <c r="BSI91" s="6"/>
      <c r="BSJ91" s="6"/>
      <c r="BSK91" s="6"/>
      <c r="BSL91" s="6"/>
      <c r="BSM91" s="6"/>
      <c r="BSN91" s="6"/>
      <c r="BSO91" s="6"/>
      <c r="BSP91" s="6"/>
      <c r="BSQ91" s="6"/>
      <c r="BSR91" s="6"/>
      <c r="BSS91" s="6"/>
      <c r="BST91" s="6"/>
      <c r="BSU91" s="6"/>
      <c r="BSV91" s="6"/>
      <c r="BSW91" s="6"/>
      <c r="BSX91" s="6"/>
      <c r="BSY91" s="6"/>
      <c r="BSZ91" s="6"/>
      <c r="BTA91" s="6"/>
      <c r="BTB91" s="6"/>
      <c r="BTC91" s="6"/>
      <c r="BTD91" s="6"/>
      <c r="BTE91" s="6"/>
      <c r="BTF91" s="6"/>
      <c r="BTG91" s="6"/>
      <c r="BTH91" s="6"/>
      <c r="BTI91" s="6"/>
      <c r="BTJ91" s="6"/>
      <c r="BTK91" s="6"/>
      <c r="BTL91" s="6"/>
      <c r="BTM91" s="6"/>
      <c r="BTN91" s="6"/>
      <c r="BTO91" s="6"/>
      <c r="BTP91" s="6"/>
      <c r="BTQ91" s="6"/>
      <c r="BTR91" s="6"/>
      <c r="BTS91" s="6"/>
      <c r="BTT91" s="6"/>
      <c r="BTU91" s="6"/>
      <c r="BTV91" s="6"/>
      <c r="BTW91" s="6"/>
      <c r="BTX91" s="6"/>
      <c r="BTY91" s="6"/>
      <c r="BTZ91" s="6"/>
      <c r="BUA91" s="6"/>
      <c r="BUB91" s="6"/>
      <c r="BUC91" s="6"/>
      <c r="BUD91" s="6"/>
      <c r="BUE91" s="6"/>
      <c r="BUF91" s="6"/>
      <c r="BUG91" s="6"/>
      <c r="BUH91" s="6"/>
      <c r="BUI91" s="6"/>
      <c r="BUJ91" s="6"/>
      <c r="BUK91" s="6"/>
      <c r="BUL91" s="6"/>
      <c r="BUM91" s="6"/>
      <c r="BUN91" s="6"/>
      <c r="BUO91" s="6"/>
      <c r="BUP91" s="6"/>
      <c r="BUQ91" s="6"/>
      <c r="BUR91" s="6"/>
      <c r="BUS91" s="6"/>
      <c r="BUT91" s="6"/>
      <c r="BUU91" s="6"/>
      <c r="BUV91" s="6"/>
      <c r="BUW91" s="6"/>
      <c r="BUX91" s="6"/>
      <c r="BUY91" s="6"/>
      <c r="BUZ91" s="6"/>
      <c r="BVA91" s="6"/>
      <c r="BVB91" s="6"/>
      <c r="BVC91" s="6"/>
      <c r="BVD91" s="6"/>
      <c r="BVE91" s="6"/>
      <c r="BVF91" s="6"/>
      <c r="BVG91" s="6"/>
      <c r="BVH91" s="6"/>
      <c r="BVI91" s="6"/>
      <c r="BVJ91" s="6"/>
      <c r="BVK91" s="6"/>
      <c r="BVL91" s="6"/>
      <c r="BVM91" s="6"/>
      <c r="BVN91" s="6"/>
      <c r="BVO91" s="6"/>
      <c r="BVP91" s="6"/>
      <c r="BVQ91" s="6"/>
      <c r="BVR91" s="6"/>
      <c r="BVS91" s="6"/>
      <c r="BVT91" s="6"/>
      <c r="BVU91" s="6"/>
      <c r="BVV91" s="6"/>
      <c r="BVW91" s="6"/>
      <c r="BVX91" s="6"/>
      <c r="BVY91" s="6"/>
      <c r="BVZ91" s="6"/>
      <c r="BWA91" s="6"/>
      <c r="BWB91" s="6"/>
      <c r="BWC91" s="6"/>
      <c r="BWD91" s="6"/>
      <c r="BWE91" s="6"/>
      <c r="BWF91" s="6"/>
      <c r="BWG91" s="6"/>
      <c r="BWH91" s="6"/>
      <c r="BWI91" s="6"/>
      <c r="BWJ91" s="6"/>
      <c r="BWK91" s="6"/>
      <c r="BWL91" s="6"/>
      <c r="BWM91" s="6"/>
      <c r="BWN91" s="6"/>
      <c r="BWO91" s="6"/>
      <c r="BWP91" s="6"/>
      <c r="BWQ91" s="6"/>
      <c r="BWR91" s="6"/>
      <c r="BWS91" s="6"/>
      <c r="BWT91" s="6"/>
      <c r="BWU91" s="6"/>
      <c r="BWV91" s="6"/>
      <c r="BWW91" s="6"/>
      <c r="BWX91" s="6"/>
      <c r="BWY91" s="6"/>
      <c r="BWZ91" s="6"/>
      <c r="BXA91" s="6"/>
      <c r="BXB91" s="6"/>
      <c r="BXC91" s="6"/>
      <c r="BXD91" s="6"/>
      <c r="BXE91" s="6"/>
      <c r="BXF91" s="6"/>
      <c r="BXG91" s="6"/>
      <c r="BXH91" s="6"/>
      <c r="BXI91" s="6"/>
      <c r="BXJ91" s="6"/>
      <c r="BXK91" s="6"/>
      <c r="BXL91" s="6"/>
      <c r="BXM91" s="6"/>
      <c r="BXN91" s="6"/>
      <c r="BXO91" s="6"/>
      <c r="BXP91" s="6"/>
      <c r="BXQ91" s="6"/>
      <c r="BXR91" s="6"/>
      <c r="BXS91" s="6"/>
      <c r="BXT91" s="6"/>
      <c r="BXU91" s="6"/>
      <c r="BXV91" s="6"/>
      <c r="BXW91" s="6"/>
      <c r="BXX91" s="6"/>
      <c r="BXY91" s="6"/>
      <c r="BXZ91" s="6"/>
      <c r="BYA91" s="6"/>
      <c r="BYB91" s="6"/>
      <c r="BYC91" s="6"/>
      <c r="BYD91" s="6"/>
      <c r="BYE91" s="6"/>
      <c r="BYF91" s="6"/>
      <c r="BYG91" s="6"/>
      <c r="BYH91" s="6"/>
      <c r="BYI91" s="6"/>
      <c r="BYJ91" s="6"/>
      <c r="BYK91" s="6"/>
      <c r="BYL91" s="6"/>
      <c r="BYM91" s="6"/>
      <c r="BYN91" s="6"/>
      <c r="BYO91" s="6"/>
      <c r="BYP91" s="6"/>
      <c r="BYQ91" s="6"/>
      <c r="BYR91" s="6"/>
      <c r="BYS91" s="6"/>
      <c r="BYT91" s="6"/>
      <c r="BYU91" s="6"/>
      <c r="BYV91" s="6"/>
      <c r="BYW91" s="6"/>
      <c r="BYX91" s="6"/>
      <c r="BYY91" s="6"/>
      <c r="BYZ91" s="6"/>
      <c r="BZA91" s="6"/>
      <c r="BZB91" s="6"/>
      <c r="BZC91" s="6"/>
      <c r="BZD91" s="6"/>
      <c r="BZE91" s="6"/>
      <c r="BZF91" s="6"/>
      <c r="BZG91" s="6"/>
      <c r="BZH91" s="6"/>
      <c r="BZI91" s="6"/>
      <c r="BZJ91" s="6"/>
      <c r="BZK91" s="6"/>
      <c r="BZL91" s="6"/>
      <c r="BZM91" s="6"/>
      <c r="BZN91" s="6"/>
      <c r="BZO91" s="6"/>
      <c r="BZP91" s="6"/>
      <c r="BZQ91" s="6"/>
      <c r="BZR91" s="6"/>
      <c r="BZS91" s="6"/>
      <c r="BZT91" s="6"/>
      <c r="BZU91" s="6"/>
      <c r="BZV91" s="6"/>
      <c r="BZW91" s="6"/>
      <c r="BZX91" s="6"/>
      <c r="BZY91" s="6"/>
      <c r="BZZ91" s="6"/>
      <c r="CAA91" s="6"/>
      <c r="CAB91" s="6"/>
      <c r="CAC91" s="6"/>
      <c r="CAD91" s="6"/>
      <c r="CAE91" s="6"/>
      <c r="CAF91" s="6"/>
      <c r="CAG91" s="6"/>
      <c r="CAH91" s="6"/>
      <c r="CAI91" s="6"/>
      <c r="CAJ91" s="6"/>
      <c r="CAK91" s="6"/>
      <c r="CAL91" s="6"/>
      <c r="CAM91" s="6"/>
      <c r="CAN91" s="6"/>
      <c r="CAO91" s="6"/>
      <c r="CAP91" s="6"/>
      <c r="CAQ91" s="6"/>
      <c r="CAR91" s="6"/>
      <c r="CAS91" s="6"/>
      <c r="CAT91" s="6"/>
      <c r="CAU91" s="6"/>
      <c r="CAV91" s="6"/>
      <c r="CAW91" s="6"/>
      <c r="CAX91" s="6"/>
      <c r="CAY91" s="6"/>
      <c r="CAZ91" s="6"/>
      <c r="CBA91" s="6"/>
      <c r="CBB91" s="6"/>
      <c r="CBC91" s="6"/>
      <c r="CBD91" s="6"/>
      <c r="CBE91" s="6"/>
      <c r="CBF91" s="6"/>
      <c r="CBG91" s="6"/>
      <c r="CBH91" s="6"/>
      <c r="CBI91" s="6"/>
      <c r="CBJ91" s="6"/>
      <c r="CBK91" s="6"/>
      <c r="CBL91" s="6"/>
      <c r="CBM91" s="6"/>
      <c r="CBN91" s="6"/>
      <c r="CBO91" s="6"/>
      <c r="CBP91" s="6"/>
      <c r="CBQ91" s="6"/>
      <c r="CBR91" s="6"/>
      <c r="CBS91" s="6"/>
      <c r="CBT91" s="6"/>
      <c r="CBU91" s="6"/>
      <c r="CBV91" s="6"/>
      <c r="CBW91" s="6"/>
      <c r="CBX91" s="6"/>
      <c r="CBY91" s="6"/>
      <c r="CBZ91" s="6"/>
      <c r="CCA91" s="6"/>
      <c r="CCB91" s="6"/>
      <c r="CCC91" s="6"/>
      <c r="CCD91" s="6"/>
      <c r="CCE91" s="6"/>
      <c r="CCF91" s="6"/>
      <c r="CCG91" s="6"/>
      <c r="CCH91" s="6"/>
      <c r="CCI91" s="6"/>
      <c r="CCJ91" s="6"/>
      <c r="CCK91" s="6"/>
      <c r="CCL91" s="6"/>
      <c r="CCM91" s="6"/>
      <c r="CCN91" s="6"/>
      <c r="CCO91" s="6"/>
      <c r="CCP91" s="6"/>
      <c r="CCQ91" s="6"/>
      <c r="CCR91" s="6"/>
      <c r="CCS91" s="6"/>
      <c r="CCT91" s="6"/>
      <c r="CCU91" s="6"/>
      <c r="CCV91" s="6"/>
      <c r="CCW91" s="6"/>
      <c r="CCX91" s="6"/>
      <c r="CCY91" s="6"/>
      <c r="CCZ91" s="6"/>
      <c r="CDA91" s="6"/>
      <c r="CDB91" s="6"/>
      <c r="CDC91" s="6"/>
      <c r="CDD91" s="6"/>
      <c r="CDE91" s="6"/>
      <c r="CDF91" s="6"/>
      <c r="CDG91" s="6"/>
      <c r="CDH91" s="6"/>
      <c r="CDI91" s="6"/>
      <c r="CDJ91" s="6"/>
      <c r="CDK91" s="6"/>
      <c r="CDL91" s="6"/>
      <c r="CDM91" s="6"/>
      <c r="CDN91" s="6"/>
      <c r="CDO91" s="6"/>
      <c r="CDP91" s="6"/>
      <c r="CDQ91" s="6"/>
      <c r="CDR91" s="6"/>
      <c r="CDS91" s="6"/>
      <c r="CDT91" s="6"/>
      <c r="CDU91" s="6"/>
      <c r="CDV91" s="6"/>
      <c r="CDW91" s="6"/>
      <c r="CDX91" s="6"/>
      <c r="CDY91" s="6"/>
      <c r="CDZ91" s="6"/>
      <c r="CEA91" s="6"/>
      <c r="CEB91" s="6"/>
      <c r="CEC91" s="6"/>
      <c r="CED91" s="6"/>
      <c r="CEE91" s="6"/>
      <c r="CEF91" s="6"/>
      <c r="CEG91" s="6"/>
      <c r="CEH91" s="6"/>
      <c r="CEI91" s="6"/>
      <c r="CEJ91" s="6"/>
      <c r="CEK91" s="6"/>
      <c r="CEL91" s="6"/>
      <c r="CEM91" s="6"/>
      <c r="CEN91" s="6"/>
      <c r="CEO91" s="6"/>
      <c r="CEP91" s="6"/>
      <c r="CEQ91" s="6"/>
      <c r="CER91" s="6"/>
      <c r="CES91" s="6"/>
      <c r="CET91" s="6"/>
      <c r="CEU91" s="6"/>
      <c r="CEV91" s="6"/>
      <c r="CEW91" s="6"/>
      <c r="CEX91" s="6"/>
      <c r="CEY91" s="6"/>
      <c r="CEZ91" s="6"/>
      <c r="CFA91" s="6"/>
      <c r="CFB91" s="6"/>
      <c r="CFC91" s="6"/>
      <c r="CFD91" s="6"/>
      <c r="CFE91" s="6"/>
      <c r="CFF91" s="6"/>
      <c r="CFG91" s="6"/>
      <c r="CFH91" s="6"/>
      <c r="CFI91" s="6"/>
      <c r="CFJ91" s="6"/>
      <c r="CFK91" s="6"/>
      <c r="CFL91" s="6"/>
      <c r="CFM91" s="6"/>
      <c r="CFN91" s="6"/>
      <c r="CFO91" s="6"/>
      <c r="CFP91" s="6"/>
      <c r="CFQ91" s="6"/>
      <c r="CFR91" s="6"/>
      <c r="CFS91" s="6"/>
      <c r="CFT91" s="6"/>
      <c r="CFU91" s="6"/>
      <c r="CFV91" s="6"/>
      <c r="CFW91" s="6"/>
      <c r="CFX91" s="6"/>
      <c r="CFY91" s="6"/>
      <c r="CFZ91" s="6"/>
      <c r="CGA91" s="6"/>
      <c r="CGB91" s="6"/>
      <c r="CGC91" s="6"/>
      <c r="CGD91" s="6"/>
      <c r="CGE91" s="6"/>
      <c r="CGF91" s="6"/>
      <c r="CGG91" s="6"/>
      <c r="CGH91" s="6"/>
      <c r="CGI91" s="6"/>
      <c r="CGJ91" s="6"/>
      <c r="CGK91" s="6"/>
      <c r="CGL91" s="6"/>
      <c r="CGM91" s="6"/>
      <c r="CGN91" s="6"/>
      <c r="CGO91" s="6"/>
      <c r="CGP91" s="6"/>
      <c r="CGQ91" s="6"/>
      <c r="CGR91" s="6"/>
      <c r="CGS91" s="6"/>
      <c r="CGT91" s="6"/>
      <c r="CGU91" s="6"/>
      <c r="CGV91" s="6"/>
      <c r="CGW91" s="6"/>
      <c r="CGX91" s="6"/>
      <c r="CGY91" s="6"/>
      <c r="CGZ91" s="6"/>
      <c r="CHA91" s="6"/>
      <c r="CHB91" s="6"/>
      <c r="CHC91" s="6"/>
      <c r="CHD91" s="6"/>
      <c r="CHE91" s="6"/>
      <c r="CHF91" s="6"/>
      <c r="CHG91" s="6"/>
      <c r="CHH91" s="6"/>
      <c r="CHI91" s="6"/>
      <c r="CHJ91" s="6"/>
      <c r="CHK91" s="6"/>
      <c r="CHL91" s="6"/>
      <c r="CHM91" s="6"/>
      <c r="CHN91" s="6"/>
      <c r="CHO91" s="6"/>
      <c r="CHP91" s="6"/>
      <c r="CHQ91" s="6"/>
      <c r="CHR91" s="6"/>
      <c r="CHS91" s="6"/>
      <c r="CHT91" s="6"/>
      <c r="CHU91" s="6"/>
      <c r="CHV91" s="6"/>
      <c r="CHW91" s="6"/>
      <c r="CHX91" s="6"/>
      <c r="CHY91" s="6"/>
      <c r="CHZ91" s="6"/>
      <c r="CIA91" s="6"/>
      <c r="CIB91" s="6"/>
      <c r="CIC91" s="6"/>
      <c r="CID91" s="6"/>
      <c r="CIE91" s="6"/>
      <c r="CIF91" s="6"/>
      <c r="CIG91" s="6"/>
      <c r="CIH91" s="6"/>
      <c r="CII91" s="6"/>
      <c r="CIJ91" s="6"/>
      <c r="CIK91" s="6"/>
      <c r="CIL91" s="6"/>
      <c r="CIM91" s="6"/>
      <c r="CIN91" s="6"/>
      <c r="CIO91" s="6"/>
      <c r="CIP91" s="6"/>
      <c r="CIQ91" s="6"/>
      <c r="CIR91" s="6"/>
      <c r="CIS91" s="6"/>
      <c r="CIT91" s="6"/>
      <c r="CIU91" s="6"/>
      <c r="CIV91" s="6"/>
      <c r="CIW91" s="6"/>
      <c r="CIX91" s="6"/>
      <c r="CIY91" s="6"/>
      <c r="CIZ91" s="6"/>
      <c r="CJA91" s="6"/>
      <c r="CJB91" s="6"/>
      <c r="CJC91" s="6"/>
      <c r="CJD91" s="6"/>
      <c r="CJE91" s="6"/>
      <c r="CJF91" s="6"/>
      <c r="CJG91" s="6"/>
      <c r="CJH91" s="6"/>
      <c r="CJI91" s="6"/>
      <c r="CJJ91" s="6"/>
      <c r="CJK91" s="6"/>
      <c r="CJL91" s="6"/>
      <c r="CJM91" s="6"/>
      <c r="CJN91" s="6"/>
      <c r="CJO91" s="6"/>
      <c r="CJP91" s="6"/>
      <c r="CJQ91" s="6"/>
      <c r="CJR91" s="6"/>
      <c r="CJS91" s="6"/>
      <c r="CJT91" s="6"/>
      <c r="CJU91" s="6"/>
      <c r="CJV91" s="6"/>
      <c r="CJW91" s="6"/>
      <c r="CJX91" s="6"/>
      <c r="CJY91" s="6"/>
      <c r="CJZ91" s="6"/>
      <c r="CKA91" s="6"/>
      <c r="CKB91" s="6"/>
      <c r="CKC91" s="6"/>
      <c r="CKD91" s="6"/>
      <c r="CKE91" s="6"/>
      <c r="CKF91" s="6"/>
      <c r="CKG91" s="6"/>
      <c r="CKH91" s="6"/>
      <c r="CKI91" s="6"/>
      <c r="CKJ91" s="6"/>
      <c r="CKK91" s="6"/>
      <c r="CKL91" s="6"/>
      <c r="CKM91" s="6"/>
      <c r="CKN91" s="6"/>
      <c r="CKO91" s="6"/>
      <c r="CKP91" s="6"/>
      <c r="CKQ91" s="6"/>
      <c r="CKR91" s="6"/>
      <c r="CKS91" s="6"/>
      <c r="CKT91" s="6"/>
      <c r="CKU91" s="6"/>
      <c r="CKV91" s="6"/>
      <c r="CKW91" s="6"/>
      <c r="CKX91" s="6"/>
      <c r="CKY91" s="6"/>
      <c r="CKZ91" s="6"/>
      <c r="CLA91" s="6"/>
      <c r="CLB91" s="6"/>
      <c r="CLC91" s="6"/>
      <c r="CLD91" s="6"/>
      <c r="CLE91" s="6"/>
      <c r="CLF91" s="6"/>
      <c r="CLG91" s="6"/>
      <c r="CLH91" s="6"/>
      <c r="CLI91" s="6"/>
      <c r="CLJ91" s="6"/>
      <c r="CLK91" s="6"/>
      <c r="CLL91" s="6"/>
      <c r="CLM91" s="6"/>
      <c r="CLN91" s="6"/>
      <c r="CLO91" s="6"/>
      <c r="CLP91" s="6"/>
      <c r="CLQ91" s="6"/>
      <c r="CLR91" s="6"/>
      <c r="CLS91" s="6"/>
      <c r="CLT91" s="6"/>
      <c r="CLU91" s="6"/>
      <c r="CLV91" s="6"/>
      <c r="CLW91" s="6"/>
      <c r="CLX91" s="6"/>
      <c r="CLY91" s="6"/>
      <c r="CLZ91" s="6"/>
      <c r="CMA91" s="6"/>
      <c r="CMB91" s="6"/>
      <c r="CMC91" s="6"/>
      <c r="CMD91" s="6"/>
      <c r="CME91" s="6"/>
      <c r="CMF91" s="6"/>
      <c r="CMG91" s="6"/>
      <c r="CMH91" s="6"/>
      <c r="CMI91" s="6"/>
      <c r="CMJ91" s="6"/>
      <c r="CMK91" s="6"/>
      <c r="CML91" s="6"/>
      <c r="CMM91" s="6"/>
      <c r="CMN91" s="6"/>
      <c r="CMO91" s="6"/>
      <c r="CMP91" s="6"/>
      <c r="CMQ91" s="6"/>
      <c r="CMR91" s="6"/>
      <c r="CMS91" s="6"/>
      <c r="CMT91" s="6"/>
      <c r="CMU91" s="6"/>
      <c r="CMV91" s="6"/>
      <c r="CMW91" s="6"/>
      <c r="CMX91" s="6"/>
      <c r="CMY91" s="6"/>
      <c r="CMZ91" s="6"/>
      <c r="CNA91" s="6"/>
      <c r="CNB91" s="6"/>
      <c r="CNC91" s="6"/>
      <c r="CND91" s="6"/>
      <c r="CNE91" s="6"/>
      <c r="CNF91" s="6"/>
      <c r="CNG91" s="6"/>
      <c r="CNH91" s="6"/>
      <c r="CNI91" s="6"/>
      <c r="CNJ91" s="6"/>
      <c r="CNK91" s="6"/>
      <c r="CNL91" s="6"/>
      <c r="CNM91" s="6"/>
      <c r="CNN91" s="6"/>
      <c r="CNO91" s="6"/>
      <c r="CNP91" s="6"/>
      <c r="CNQ91" s="6"/>
      <c r="CNR91" s="6"/>
      <c r="CNS91" s="6"/>
      <c r="CNT91" s="6"/>
      <c r="CNU91" s="6"/>
      <c r="CNV91" s="6"/>
      <c r="CNW91" s="6"/>
      <c r="CNX91" s="6"/>
      <c r="CNY91" s="6"/>
      <c r="CNZ91" s="6"/>
      <c r="COA91" s="6"/>
      <c r="COB91" s="6"/>
      <c r="COC91" s="6"/>
      <c r="COD91" s="6"/>
      <c r="COE91" s="6"/>
      <c r="COF91" s="6"/>
      <c r="COG91" s="6"/>
      <c r="COH91" s="6"/>
      <c r="COI91" s="6"/>
      <c r="COJ91" s="6"/>
      <c r="COK91" s="6"/>
      <c r="COL91" s="6"/>
      <c r="COM91" s="6"/>
      <c r="CON91" s="6"/>
      <c r="COO91" s="6"/>
      <c r="COP91" s="6"/>
      <c r="COQ91" s="6"/>
      <c r="COR91" s="6"/>
      <c r="COS91" s="6"/>
      <c r="COT91" s="6"/>
      <c r="COU91" s="6"/>
      <c r="COV91" s="6"/>
      <c r="COW91" s="6"/>
      <c r="COX91" s="6"/>
      <c r="COY91" s="6"/>
      <c r="COZ91" s="6"/>
      <c r="CPA91" s="6"/>
      <c r="CPB91" s="6"/>
      <c r="CPC91" s="6"/>
      <c r="CPD91" s="6"/>
      <c r="CPE91" s="6"/>
      <c r="CPF91" s="6"/>
      <c r="CPG91" s="6"/>
      <c r="CPH91" s="6"/>
      <c r="CPI91" s="6"/>
      <c r="CPJ91" s="6"/>
      <c r="CPK91" s="6"/>
      <c r="CPL91" s="6"/>
      <c r="CPM91" s="6"/>
      <c r="CPN91" s="6"/>
      <c r="CPO91" s="6"/>
      <c r="CPP91" s="6"/>
      <c r="CPQ91" s="6"/>
      <c r="CPR91" s="6"/>
      <c r="CPS91" s="6"/>
      <c r="CPT91" s="6"/>
      <c r="CPU91" s="6"/>
      <c r="CPV91" s="6"/>
      <c r="CPW91" s="6"/>
      <c r="CPX91" s="6"/>
      <c r="CPY91" s="6"/>
      <c r="CPZ91" s="6"/>
      <c r="CQA91" s="6"/>
      <c r="CQB91" s="6"/>
      <c r="CQC91" s="6"/>
      <c r="CQD91" s="6"/>
      <c r="CQE91" s="6"/>
      <c r="CQF91" s="6"/>
      <c r="CQG91" s="6"/>
      <c r="CQH91" s="6"/>
      <c r="CQI91" s="6"/>
      <c r="CQJ91" s="6"/>
      <c r="CQK91" s="6"/>
      <c r="CQL91" s="6"/>
      <c r="CQM91" s="6"/>
      <c r="CQN91" s="6"/>
      <c r="CQO91" s="6"/>
      <c r="CQP91" s="6"/>
      <c r="CQQ91" s="6"/>
      <c r="CQR91" s="6"/>
      <c r="CQS91" s="6"/>
      <c r="CQT91" s="6"/>
      <c r="CQU91" s="6"/>
      <c r="CQV91" s="6"/>
      <c r="CQW91" s="6"/>
      <c r="CQX91" s="6"/>
      <c r="CQY91" s="6"/>
      <c r="CQZ91" s="6"/>
      <c r="CRA91" s="6"/>
      <c r="CRB91" s="6"/>
      <c r="CRC91" s="6"/>
      <c r="CRD91" s="6"/>
      <c r="CRE91" s="6"/>
      <c r="CRF91" s="6"/>
      <c r="CRG91" s="6"/>
      <c r="CRH91" s="6"/>
      <c r="CRI91" s="6"/>
      <c r="CRJ91" s="6"/>
      <c r="CRK91" s="6"/>
      <c r="CRL91" s="6"/>
      <c r="CRM91" s="6"/>
      <c r="CRN91" s="6"/>
      <c r="CRO91" s="6"/>
      <c r="CRP91" s="6"/>
      <c r="CRQ91" s="6"/>
      <c r="CRR91" s="6"/>
      <c r="CRS91" s="6"/>
      <c r="CRT91" s="6"/>
      <c r="CRU91" s="6"/>
      <c r="CRV91" s="6"/>
      <c r="CRW91" s="6"/>
      <c r="CRX91" s="6"/>
      <c r="CRY91" s="6"/>
      <c r="CRZ91" s="6"/>
      <c r="CSA91" s="6"/>
      <c r="CSB91" s="6"/>
      <c r="CSC91" s="6"/>
      <c r="CSD91" s="6"/>
      <c r="CSE91" s="6"/>
      <c r="CSF91" s="6"/>
      <c r="CSG91" s="6"/>
      <c r="CSH91" s="6"/>
      <c r="CSI91" s="6"/>
      <c r="CSJ91" s="6"/>
      <c r="CSK91" s="6"/>
      <c r="CSL91" s="6"/>
      <c r="CSM91" s="6"/>
      <c r="CSN91" s="6"/>
      <c r="CSO91" s="6"/>
      <c r="CSP91" s="6"/>
      <c r="CSQ91" s="6"/>
      <c r="CSR91" s="6"/>
      <c r="CSS91" s="6"/>
      <c r="CST91" s="6"/>
      <c r="CSU91" s="6"/>
      <c r="CSV91" s="6"/>
      <c r="CSW91" s="6"/>
      <c r="CSX91" s="6"/>
      <c r="CSY91" s="6"/>
      <c r="CSZ91" s="6"/>
      <c r="CTA91" s="6"/>
      <c r="CTB91" s="6"/>
      <c r="CTC91" s="6"/>
      <c r="CTD91" s="6"/>
      <c r="CTE91" s="6"/>
      <c r="CTF91" s="6"/>
      <c r="CTG91" s="6"/>
      <c r="CTH91" s="6"/>
      <c r="CTI91" s="6"/>
      <c r="CTJ91" s="6"/>
      <c r="CTK91" s="6"/>
      <c r="CTL91" s="6"/>
      <c r="CTM91" s="6"/>
      <c r="CTN91" s="6"/>
      <c r="CTO91" s="6"/>
      <c r="CTP91" s="6"/>
      <c r="CTQ91" s="6"/>
      <c r="CTR91" s="6"/>
      <c r="CTS91" s="6"/>
      <c r="CTT91" s="6"/>
      <c r="CTU91" s="6"/>
      <c r="CTV91" s="6"/>
      <c r="CTW91" s="6"/>
      <c r="CTX91" s="6"/>
      <c r="CTY91" s="6"/>
      <c r="CTZ91" s="6"/>
      <c r="CUA91" s="6"/>
      <c r="CUB91" s="6"/>
      <c r="CUC91" s="6"/>
      <c r="CUD91" s="6"/>
      <c r="CUE91" s="6"/>
      <c r="CUF91" s="6"/>
      <c r="CUG91" s="6"/>
      <c r="CUH91" s="6"/>
      <c r="CUI91" s="6"/>
      <c r="CUJ91" s="6"/>
      <c r="CUK91" s="6"/>
      <c r="CUL91" s="6"/>
      <c r="CUM91" s="6"/>
      <c r="CUN91" s="6"/>
      <c r="CUO91" s="6"/>
      <c r="CUP91" s="6"/>
      <c r="CUQ91" s="6"/>
      <c r="CUR91" s="6"/>
      <c r="CUS91" s="6"/>
      <c r="CUT91" s="6"/>
      <c r="CUU91" s="6"/>
      <c r="CUV91" s="6"/>
      <c r="CUW91" s="6"/>
      <c r="CUX91" s="6"/>
      <c r="CUY91" s="6"/>
      <c r="CUZ91" s="6"/>
      <c r="CVA91" s="6"/>
      <c r="CVB91" s="6"/>
      <c r="CVC91" s="6"/>
      <c r="CVD91" s="6"/>
      <c r="CVE91" s="6"/>
      <c r="CVF91" s="6"/>
      <c r="CVG91" s="6"/>
      <c r="CVH91" s="6"/>
      <c r="CVI91" s="6"/>
      <c r="CVJ91" s="6"/>
      <c r="CVK91" s="6"/>
      <c r="CVL91" s="6"/>
      <c r="CVM91" s="6"/>
      <c r="CVN91" s="6"/>
      <c r="CVO91" s="6"/>
      <c r="CVP91" s="6"/>
      <c r="CVQ91" s="6"/>
      <c r="CVR91" s="6"/>
      <c r="CVS91" s="6"/>
      <c r="CVT91" s="6"/>
      <c r="CVU91" s="6"/>
      <c r="CVV91" s="6"/>
      <c r="CVW91" s="6"/>
      <c r="CVX91" s="6"/>
      <c r="CVY91" s="6"/>
      <c r="CVZ91" s="6"/>
      <c r="CWA91" s="6"/>
      <c r="CWB91" s="6"/>
      <c r="CWC91" s="6"/>
      <c r="CWD91" s="6"/>
      <c r="CWE91" s="6"/>
      <c r="CWF91" s="6"/>
      <c r="CWG91" s="6"/>
      <c r="CWH91" s="6"/>
      <c r="CWI91" s="6"/>
      <c r="CWJ91" s="6"/>
      <c r="CWK91" s="6"/>
      <c r="CWL91" s="6"/>
      <c r="CWM91" s="6"/>
      <c r="CWN91" s="6"/>
      <c r="CWO91" s="6"/>
      <c r="CWP91" s="6"/>
      <c r="CWQ91" s="6"/>
      <c r="CWR91" s="6"/>
      <c r="CWS91" s="6"/>
      <c r="CWT91" s="6"/>
      <c r="CWU91" s="6"/>
      <c r="CWV91" s="6"/>
      <c r="CWW91" s="6"/>
      <c r="CWX91" s="6"/>
      <c r="CWY91" s="6"/>
      <c r="CWZ91" s="6"/>
      <c r="CXA91" s="6"/>
      <c r="CXB91" s="6"/>
      <c r="CXC91" s="6"/>
      <c r="CXD91" s="6"/>
      <c r="CXE91" s="6"/>
      <c r="CXF91" s="6"/>
      <c r="CXG91" s="6"/>
      <c r="CXH91" s="6"/>
      <c r="CXI91" s="6"/>
      <c r="CXJ91" s="6"/>
      <c r="CXK91" s="6"/>
      <c r="CXL91" s="6"/>
      <c r="CXM91" s="6"/>
      <c r="CXN91" s="6"/>
      <c r="CXO91" s="6"/>
      <c r="CXP91" s="6"/>
      <c r="CXQ91" s="6"/>
      <c r="CXR91" s="6"/>
      <c r="CXS91" s="6"/>
      <c r="CXT91" s="6"/>
      <c r="CXU91" s="6"/>
      <c r="CXV91" s="6"/>
      <c r="CXW91" s="6"/>
      <c r="CXX91" s="6"/>
      <c r="CXY91" s="6"/>
      <c r="CXZ91" s="6"/>
      <c r="CYA91" s="6"/>
      <c r="CYB91" s="6"/>
      <c r="CYC91" s="6"/>
      <c r="CYD91" s="6"/>
      <c r="CYE91" s="6"/>
      <c r="CYF91" s="6"/>
      <c r="CYG91" s="6"/>
      <c r="CYH91" s="6"/>
      <c r="CYI91" s="6"/>
      <c r="CYJ91" s="6"/>
      <c r="CYK91" s="6"/>
      <c r="CYL91" s="6"/>
      <c r="CYM91" s="6"/>
      <c r="CYN91" s="6"/>
      <c r="CYO91" s="6"/>
      <c r="CYP91" s="6"/>
      <c r="CYQ91" s="6"/>
      <c r="CYR91" s="6"/>
      <c r="CYS91" s="6"/>
      <c r="CYT91" s="6"/>
      <c r="CYU91" s="6"/>
      <c r="CYV91" s="6"/>
      <c r="CYW91" s="6"/>
      <c r="CYX91" s="6"/>
      <c r="CYY91" s="6"/>
      <c r="CYZ91" s="6"/>
      <c r="CZA91" s="6"/>
      <c r="CZB91" s="6"/>
      <c r="CZC91" s="6"/>
      <c r="CZD91" s="6"/>
      <c r="CZE91" s="6"/>
      <c r="CZF91" s="6"/>
      <c r="CZG91" s="6"/>
      <c r="CZH91" s="6"/>
      <c r="CZI91" s="6"/>
      <c r="CZJ91" s="6"/>
      <c r="CZK91" s="6"/>
      <c r="CZL91" s="6"/>
      <c r="CZM91" s="6"/>
      <c r="CZN91" s="6"/>
      <c r="CZO91" s="6"/>
      <c r="CZP91" s="6"/>
      <c r="CZQ91" s="6"/>
      <c r="CZR91" s="6"/>
      <c r="CZS91" s="6"/>
      <c r="CZT91" s="6"/>
      <c r="CZU91" s="6"/>
      <c r="CZV91" s="6"/>
      <c r="CZW91" s="6"/>
      <c r="CZX91" s="6"/>
      <c r="CZY91" s="6"/>
      <c r="CZZ91" s="6"/>
      <c r="DAA91" s="6"/>
      <c r="DAB91" s="6"/>
      <c r="DAC91" s="6"/>
      <c r="DAD91" s="6"/>
      <c r="DAE91" s="6"/>
      <c r="DAF91" s="6"/>
      <c r="DAG91" s="6"/>
      <c r="DAH91" s="6"/>
      <c r="DAI91" s="6"/>
      <c r="DAJ91" s="6"/>
      <c r="DAK91" s="6"/>
      <c r="DAL91" s="6"/>
      <c r="DAM91" s="6"/>
      <c r="DAN91" s="6"/>
      <c r="DAO91" s="6"/>
      <c r="DAP91" s="6"/>
      <c r="DAQ91" s="6"/>
      <c r="DAR91" s="6"/>
      <c r="DAS91" s="6"/>
      <c r="DAT91" s="6"/>
      <c r="DAU91" s="6"/>
      <c r="DAV91" s="6"/>
      <c r="DAW91" s="6"/>
      <c r="DAX91" s="6"/>
      <c r="DAY91" s="6"/>
      <c r="DAZ91" s="6"/>
      <c r="DBA91" s="6"/>
      <c r="DBB91" s="6"/>
      <c r="DBC91" s="6"/>
      <c r="DBD91" s="6"/>
      <c r="DBE91" s="6"/>
      <c r="DBF91" s="6"/>
      <c r="DBG91" s="6"/>
      <c r="DBH91" s="6"/>
      <c r="DBI91" s="6"/>
      <c r="DBJ91" s="6"/>
      <c r="DBK91" s="6"/>
      <c r="DBL91" s="6"/>
      <c r="DBM91" s="6"/>
      <c r="DBN91" s="6"/>
      <c r="DBO91" s="6"/>
      <c r="DBP91" s="6"/>
      <c r="DBQ91" s="6"/>
      <c r="DBR91" s="6"/>
      <c r="DBS91" s="6"/>
      <c r="DBT91" s="6"/>
      <c r="DBU91" s="6"/>
      <c r="DBV91" s="6"/>
      <c r="DBW91" s="6"/>
      <c r="DBX91" s="6"/>
      <c r="DBY91" s="6"/>
      <c r="DBZ91" s="6"/>
      <c r="DCA91" s="6"/>
      <c r="DCB91" s="6"/>
      <c r="DCC91" s="6"/>
      <c r="DCD91" s="6"/>
      <c r="DCE91" s="6"/>
      <c r="DCF91" s="6"/>
      <c r="DCG91" s="6"/>
      <c r="DCH91" s="6"/>
      <c r="DCI91" s="6"/>
      <c r="DCJ91" s="6"/>
      <c r="DCK91" s="6"/>
      <c r="DCL91" s="6"/>
      <c r="DCM91" s="6"/>
      <c r="DCN91" s="6"/>
      <c r="DCO91" s="6"/>
      <c r="DCP91" s="6"/>
      <c r="DCQ91" s="6"/>
      <c r="DCR91" s="6"/>
      <c r="DCS91" s="6"/>
      <c r="DCT91" s="6"/>
      <c r="DCU91" s="6"/>
      <c r="DCV91" s="6"/>
      <c r="DCW91" s="6"/>
      <c r="DCX91" s="6"/>
      <c r="DCY91" s="6"/>
      <c r="DCZ91" s="6"/>
      <c r="DDA91" s="6"/>
      <c r="DDB91" s="6"/>
      <c r="DDC91" s="6"/>
      <c r="DDD91" s="6"/>
      <c r="DDE91" s="6"/>
      <c r="DDF91" s="6"/>
      <c r="DDG91" s="6"/>
      <c r="DDH91" s="6"/>
      <c r="DDI91" s="6"/>
      <c r="DDJ91" s="6"/>
      <c r="DDK91" s="6"/>
      <c r="DDL91" s="6"/>
      <c r="DDM91" s="6"/>
      <c r="DDN91" s="6"/>
      <c r="DDO91" s="6"/>
      <c r="DDP91" s="6"/>
      <c r="DDQ91" s="6"/>
      <c r="DDR91" s="6"/>
      <c r="DDS91" s="6"/>
      <c r="DDT91" s="6"/>
      <c r="DDU91" s="6"/>
      <c r="DDV91" s="6"/>
      <c r="DDW91" s="6"/>
      <c r="DDX91" s="6"/>
      <c r="DDY91" s="6"/>
      <c r="DDZ91" s="6"/>
      <c r="DEA91" s="6"/>
      <c r="DEB91" s="6"/>
      <c r="DEC91" s="6"/>
      <c r="DED91" s="6"/>
      <c r="DEE91" s="6"/>
      <c r="DEF91" s="6"/>
      <c r="DEG91" s="6"/>
      <c r="DEH91" s="6"/>
      <c r="DEI91" s="6"/>
      <c r="DEJ91" s="6"/>
      <c r="DEK91" s="6"/>
      <c r="DEL91" s="6"/>
      <c r="DEM91" s="6"/>
      <c r="DEN91" s="6"/>
      <c r="DEO91" s="6"/>
      <c r="DEP91" s="6"/>
      <c r="DEQ91" s="6"/>
      <c r="DER91" s="6"/>
      <c r="DES91" s="6"/>
      <c r="DET91" s="6"/>
      <c r="DEU91" s="6"/>
      <c r="DEV91" s="6"/>
      <c r="DEW91" s="6"/>
      <c r="DEX91" s="6"/>
      <c r="DEY91" s="6"/>
      <c r="DEZ91" s="6"/>
      <c r="DFA91" s="6"/>
      <c r="DFB91" s="6"/>
      <c r="DFC91" s="6"/>
      <c r="DFD91" s="6"/>
      <c r="DFE91" s="6"/>
      <c r="DFF91" s="6"/>
      <c r="DFG91" s="6"/>
      <c r="DFH91" s="6"/>
      <c r="DFI91" s="6"/>
      <c r="DFJ91" s="6"/>
      <c r="DFK91" s="6"/>
      <c r="DFL91" s="6"/>
      <c r="DFM91" s="6"/>
      <c r="DFN91" s="6"/>
      <c r="DFO91" s="6"/>
      <c r="DFP91" s="6"/>
      <c r="DFQ91" s="6"/>
      <c r="DFR91" s="6"/>
      <c r="DFS91" s="6"/>
      <c r="DFT91" s="6"/>
      <c r="DFU91" s="6"/>
      <c r="DFV91" s="6"/>
      <c r="DFW91" s="6"/>
      <c r="DFX91" s="6"/>
      <c r="DFY91" s="6"/>
      <c r="DFZ91" s="6"/>
      <c r="DGA91" s="6"/>
      <c r="DGB91" s="6"/>
      <c r="DGC91" s="6"/>
      <c r="DGD91" s="6"/>
      <c r="DGE91" s="6"/>
      <c r="DGF91" s="6"/>
      <c r="DGG91" s="6"/>
      <c r="DGH91" s="6"/>
      <c r="DGI91" s="6"/>
      <c r="DGJ91" s="6"/>
      <c r="DGK91" s="6"/>
      <c r="DGL91" s="6"/>
      <c r="DGM91" s="6"/>
      <c r="DGN91" s="6"/>
      <c r="DGO91" s="6"/>
      <c r="DGP91" s="6"/>
      <c r="DGQ91" s="6"/>
      <c r="DGR91" s="6"/>
      <c r="DGS91" s="6"/>
      <c r="DGT91" s="6"/>
      <c r="DGU91" s="6"/>
      <c r="DGV91" s="6"/>
      <c r="DGW91" s="6"/>
      <c r="DGX91" s="6"/>
      <c r="DGY91" s="6"/>
      <c r="DGZ91" s="6"/>
      <c r="DHA91" s="6"/>
      <c r="DHB91" s="6"/>
      <c r="DHC91" s="6"/>
      <c r="DHD91" s="6"/>
      <c r="DHE91" s="6"/>
      <c r="DHF91" s="6"/>
      <c r="DHG91" s="6"/>
      <c r="DHH91" s="6"/>
      <c r="DHI91" s="6"/>
      <c r="DHJ91" s="6"/>
      <c r="DHK91" s="6"/>
      <c r="DHL91" s="6"/>
      <c r="DHM91" s="6"/>
      <c r="DHN91" s="6"/>
      <c r="DHO91" s="6"/>
      <c r="DHP91" s="6"/>
      <c r="DHQ91" s="6"/>
      <c r="DHR91" s="6"/>
      <c r="DHS91" s="6"/>
      <c r="DHT91" s="6"/>
      <c r="DHU91" s="6"/>
      <c r="DHV91" s="6"/>
      <c r="DHW91" s="6"/>
      <c r="DHX91" s="6"/>
      <c r="DHY91" s="6"/>
      <c r="DHZ91" s="6"/>
      <c r="DIA91" s="6"/>
      <c r="DIB91" s="6"/>
      <c r="DIC91" s="6"/>
      <c r="DID91" s="6"/>
      <c r="DIE91" s="6"/>
      <c r="DIF91" s="6"/>
      <c r="DIG91" s="6"/>
      <c r="DIH91" s="6"/>
      <c r="DII91" s="6"/>
      <c r="DIJ91" s="6"/>
      <c r="DIK91" s="6"/>
      <c r="DIL91" s="6"/>
      <c r="DIM91" s="6"/>
      <c r="DIN91" s="6"/>
      <c r="DIO91" s="6"/>
      <c r="DIP91" s="6"/>
      <c r="DIQ91" s="6"/>
      <c r="DIR91" s="6"/>
      <c r="DIS91" s="6"/>
      <c r="DIT91" s="6"/>
      <c r="DIU91" s="6"/>
      <c r="DIV91" s="6"/>
      <c r="DIW91" s="6"/>
      <c r="DIX91" s="6"/>
      <c r="DIY91" s="6"/>
      <c r="DIZ91" s="6"/>
      <c r="DJA91" s="6"/>
      <c r="DJB91" s="6"/>
      <c r="DJC91" s="6"/>
      <c r="DJD91" s="6"/>
      <c r="DJE91" s="6"/>
      <c r="DJF91" s="6"/>
      <c r="DJG91" s="6"/>
      <c r="DJH91" s="6"/>
      <c r="DJI91" s="6"/>
      <c r="DJJ91" s="6"/>
      <c r="DJK91" s="6"/>
      <c r="DJL91" s="6"/>
      <c r="DJM91" s="6"/>
      <c r="DJN91" s="6"/>
      <c r="DJO91" s="6"/>
      <c r="DJP91" s="6"/>
      <c r="DJQ91" s="6"/>
      <c r="DJR91" s="6"/>
      <c r="DJS91" s="6"/>
      <c r="DJT91" s="6"/>
      <c r="DJU91" s="6"/>
      <c r="DJV91" s="6"/>
      <c r="DJW91" s="6"/>
      <c r="DJX91" s="6"/>
      <c r="DJY91" s="6"/>
      <c r="DJZ91" s="6"/>
      <c r="DKA91" s="6"/>
      <c r="DKB91" s="6"/>
      <c r="DKC91" s="6"/>
      <c r="DKD91" s="6"/>
      <c r="DKE91" s="6"/>
      <c r="DKF91" s="6"/>
      <c r="DKG91" s="6"/>
      <c r="DKH91" s="6"/>
      <c r="DKI91" s="6"/>
      <c r="DKJ91" s="6"/>
      <c r="DKK91" s="6"/>
      <c r="DKL91" s="6"/>
      <c r="DKM91" s="6"/>
      <c r="DKN91" s="6"/>
      <c r="DKO91" s="6"/>
      <c r="DKP91" s="6"/>
      <c r="DKQ91" s="6"/>
      <c r="DKR91" s="6"/>
      <c r="DKS91" s="6"/>
      <c r="DKT91" s="6"/>
      <c r="DKU91" s="6"/>
      <c r="DKV91" s="6"/>
      <c r="DKW91" s="6"/>
      <c r="DKX91" s="6"/>
      <c r="DKY91" s="6"/>
      <c r="DKZ91" s="6"/>
      <c r="DLA91" s="6"/>
      <c r="DLB91" s="6"/>
      <c r="DLC91" s="6"/>
      <c r="DLD91" s="6"/>
      <c r="DLE91" s="6"/>
      <c r="DLF91" s="6"/>
      <c r="DLG91" s="6"/>
      <c r="DLH91" s="6"/>
      <c r="DLI91" s="6"/>
      <c r="DLJ91" s="6"/>
      <c r="DLK91" s="6"/>
      <c r="DLL91" s="6"/>
      <c r="DLM91" s="6"/>
      <c r="DLN91" s="6"/>
      <c r="DLO91" s="6"/>
      <c r="DLP91" s="6"/>
      <c r="DLQ91" s="6"/>
      <c r="DLR91" s="6"/>
      <c r="DLS91" s="6"/>
      <c r="DLT91" s="6"/>
      <c r="DLU91" s="6"/>
      <c r="DLV91" s="6"/>
      <c r="DLW91" s="6"/>
      <c r="DLX91" s="6"/>
      <c r="DLY91" s="6"/>
      <c r="DLZ91" s="6"/>
      <c r="DMA91" s="6"/>
      <c r="DMB91" s="6"/>
      <c r="DMC91" s="6"/>
      <c r="DMD91" s="6"/>
      <c r="DME91" s="6"/>
      <c r="DMF91" s="6"/>
      <c r="DMG91" s="6"/>
      <c r="DMH91" s="6"/>
      <c r="DMI91" s="6"/>
      <c r="DMJ91" s="6"/>
      <c r="DMK91" s="6"/>
      <c r="DML91" s="6"/>
      <c r="DMM91" s="6"/>
      <c r="DMN91" s="6"/>
      <c r="DMO91" s="6"/>
      <c r="DMP91" s="6"/>
      <c r="DMQ91" s="6"/>
      <c r="DMR91" s="6"/>
      <c r="DMS91" s="6"/>
      <c r="DMT91" s="6"/>
      <c r="DMU91" s="6"/>
      <c r="DMV91" s="6"/>
      <c r="DMW91" s="6"/>
      <c r="DMX91" s="6"/>
      <c r="DMY91" s="6"/>
      <c r="DMZ91" s="6"/>
      <c r="DNA91" s="6"/>
      <c r="DNB91" s="6"/>
      <c r="DNC91" s="6"/>
      <c r="DND91" s="6"/>
      <c r="DNE91" s="6"/>
      <c r="DNF91" s="6"/>
      <c r="DNG91" s="6"/>
      <c r="DNH91" s="6"/>
      <c r="DNI91" s="6"/>
      <c r="DNJ91" s="6"/>
      <c r="DNK91" s="6"/>
      <c r="DNL91" s="6"/>
      <c r="DNM91" s="6"/>
      <c r="DNN91" s="6"/>
      <c r="DNO91" s="6"/>
      <c r="DNP91" s="6"/>
      <c r="DNQ91" s="6"/>
      <c r="DNR91" s="6"/>
      <c r="DNS91" s="6"/>
      <c r="DNT91" s="6"/>
      <c r="DNU91" s="6"/>
      <c r="DNV91" s="6"/>
      <c r="DNW91" s="6"/>
      <c r="DNX91" s="6"/>
      <c r="DNY91" s="6"/>
      <c r="DNZ91" s="6"/>
      <c r="DOA91" s="6"/>
      <c r="DOB91" s="6"/>
      <c r="DOC91" s="6"/>
      <c r="DOD91" s="6"/>
      <c r="DOE91" s="6"/>
      <c r="DOF91" s="6"/>
      <c r="DOG91" s="6"/>
      <c r="DOH91" s="6"/>
      <c r="DOI91" s="6"/>
      <c r="DOJ91" s="6"/>
      <c r="DOK91" s="6"/>
      <c r="DOL91" s="6"/>
      <c r="DOM91" s="6"/>
      <c r="DON91" s="6"/>
      <c r="DOO91" s="6"/>
      <c r="DOP91" s="6"/>
      <c r="DOQ91" s="6"/>
      <c r="DOR91" s="6"/>
      <c r="DOS91" s="6"/>
      <c r="DOT91" s="6"/>
      <c r="DOU91" s="6"/>
      <c r="DOV91" s="6"/>
      <c r="DOW91" s="6"/>
      <c r="DOX91" s="6"/>
      <c r="DOY91" s="6"/>
      <c r="DOZ91" s="6"/>
      <c r="DPA91" s="6"/>
      <c r="DPB91" s="6"/>
      <c r="DPC91" s="6"/>
      <c r="DPD91" s="6"/>
      <c r="DPE91" s="6"/>
      <c r="DPF91" s="6"/>
      <c r="DPG91" s="6"/>
      <c r="DPH91" s="6"/>
      <c r="DPI91" s="6"/>
      <c r="DPJ91" s="6"/>
      <c r="DPK91" s="6"/>
      <c r="DPL91" s="6"/>
      <c r="DPM91" s="6"/>
      <c r="DPN91" s="6"/>
      <c r="DPO91" s="6"/>
      <c r="DPP91" s="6"/>
      <c r="DPQ91" s="6"/>
      <c r="DPR91" s="6"/>
      <c r="DPS91" s="6"/>
      <c r="DPT91" s="6"/>
      <c r="DPU91" s="6"/>
      <c r="DPV91" s="6"/>
      <c r="DPW91" s="6"/>
      <c r="DPX91" s="6"/>
      <c r="DPY91" s="6"/>
      <c r="DPZ91" s="6"/>
      <c r="DQA91" s="6"/>
      <c r="DQB91" s="6"/>
      <c r="DQC91" s="6"/>
      <c r="DQD91" s="6"/>
      <c r="DQE91" s="6"/>
      <c r="DQF91" s="6"/>
      <c r="DQG91" s="6"/>
      <c r="DQH91" s="6"/>
      <c r="DQI91" s="6"/>
      <c r="DQJ91" s="6"/>
      <c r="DQK91" s="6"/>
      <c r="DQL91" s="6"/>
      <c r="DQM91" s="6"/>
      <c r="DQN91" s="6"/>
      <c r="DQO91" s="6"/>
      <c r="DQP91" s="6"/>
      <c r="DQQ91" s="6"/>
      <c r="DQR91" s="6"/>
      <c r="DQS91" s="6"/>
      <c r="DQT91" s="6"/>
      <c r="DQU91" s="6"/>
      <c r="DQV91" s="6"/>
      <c r="DQW91" s="6"/>
      <c r="DQX91" s="6"/>
      <c r="DQY91" s="6"/>
      <c r="DQZ91" s="6"/>
      <c r="DRA91" s="6"/>
      <c r="DRB91" s="6"/>
      <c r="DRC91" s="6"/>
      <c r="DRD91" s="6"/>
      <c r="DRE91" s="6"/>
      <c r="DRF91" s="6"/>
      <c r="DRG91" s="6"/>
      <c r="DRH91" s="6"/>
      <c r="DRI91" s="6"/>
      <c r="DRJ91" s="6"/>
      <c r="DRK91" s="6"/>
      <c r="DRL91" s="6"/>
      <c r="DRM91" s="6"/>
      <c r="DRN91" s="6"/>
      <c r="DRO91" s="6"/>
      <c r="DRP91" s="6"/>
      <c r="DRQ91" s="6"/>
      <c r="DRR91" s="6"/>
      <c r="DRS91" s="6"/>
      <c r="DRT91" s="6"/>
      <c r="DRU91" s="6"/>
      <c r="DRV91" s="6"/>
      <c r="DRW91" s="6"/>
      <c r="DRX91" s="6"/>
      <c r="DRY91" s="6"/>
      <c r="DRZ91" s="6"/>
      <c r="DSA91" s="6"/>
      <c r="DSB91" s="6"/>
      <c r="DSC91" s="6"/>
      <c r="DSD91" s="6"/>
      <c r="DSE91" s="6"/>
      <c r="DSF91" s="6"/>
      <c r="DSG91" s="6"/>
      <c r="DSH91" s="6"/>
      <c r="DSI91" s="6"/>
      <c r="DSJ91" s="6"/>
      <c r="DSK91" s="6"/>
      <c r="DSL91" s="6"/>
      <c r="DSM91" s="6"/>
      <c r="DSN91" s="6"/>
      <c r="DSO91" s="6"/>
      <c r="DSP91" s="6"/>
      <c r="DSQ91" s="6"/>
      <c r="DSR91" s="6"/>
      <c r="DSS91" s="6"/>
      <c r="DST91" s="6"/>
      <c r="DSU91" s="6"/>
      <c r="DSV91" s="6"/>
      <c r="DSW91" s="6"/>
      <c r="DSX91" s="6"/>
      <c r="DSY91" s="6"/>
      <c r="DSZ91" s="6"/>
      <c r="DTA91" s="6"/>
      <c r="DTB91" s="6"/>
      <c r="DTC91" s="6"/>
      <c r="DTD91" s="6"/>
      <c r="DTE91" s="6"/>
      <c r="DTF91" s="6"/>
      <c r="DTG91" s="6"/>
      <c r="DTH91" s="6"/>
      <c r="DTI91" s="6"/>
      <c r="DTJ91" s="6"/>
      <c r="DTK91" s="6"/>
      <c r="DTL91" s="6"/>
      <c r="DTM91" s="6"/>
      <c r="DTN91" s="6"/>
      <c r="DTO91" s="6"/>
      <c r="DTP91" s="6"/>
      <c r="DTQ91" s="6"/>
      <c r="DTR91" s="6"/>
      <c r="DTS91" s="6"/>
      <c r="DTT91" s="6"/>
      <c r="DTU91" s="6"/>
      <c r="DTV91" s="6"/>
      <c r="DTW91" s="6"/>
      <c r="DTX91" s="6"/>
      <c r="DTY91" s="6"/>
      <c r="DTZ91" s="6"/>
      <c r="DUA91" s="6"/>
      <c r="DUB91" s="6"/>
      <c r="DUC91" s="6"/>
      <c r="DUD91" s="6"/>
      <c r="DUE91" s="6"/>
      <c r="DUF91" s="6"/>
      <c r="DUG91" s="6"/>
      <c r="DUH91" s="6"/>
      <c r="DUI91" s="6"/>
      <c r="DUJ91" s="6"/>
      <c r="DUK91" s="6"/>
      <c r="DUL91" s="6"/>
      <c r="DUM91" s="6"/>
      <c r="DUN91" s="6"/>
      <c r="DUO91" s="6"/>
      <c r="DUP91" s="6"/>
      <c r="DUQ91" s="6"/>
      <c r="DUR91" s="6"/>
      <c r="DUS91" s="6"/>
      <c r="DUT91" s="6"/>
      <c r="DUU91" s="6"/>
      <c r="DUV91" s="6"/>
      <c r="DUW91" s="6"/>
      <c r="DUX91" s="6"/>
      <c r="DUY91" s="6"/>
      <c r="DUZ91" s="6"/>
      <c r="DVA91" s="6"/>
      <c r="DVB91" s="6"/>
      <c r="DVC91" s="6"/>
      <c r="DVD91" s="6"/>
      <c r="DVE91" s="6"/>
      <c r="DVF91" s="6"/>
      <c r="DVG91" s="6"/>
      <c r="DVH91" s="6"/>
      <c r="DVI91" s="6"/>
      <c r="DVJ91" s="6"/>
      <c r="DVK91" s="6"/>
      <c r="DVL91" s="6"/>
      <c r="DVM91" s="6"/>
      <c r="DVN91" s="6"/>
      <c r="DVO91" s="6"/>
      <c r="DVP91" s="6"/>
      <c r="DVQ91" s="6"/>
      <c r="DVR91" s="6"/>
      <c r="DVS91" s="6"/>
      <c r="DVT91" s="6"/>
      <c r="DVU91" s="6"/>
      <c r="DVV91" s="6"/>
      <c r="DVW91" s="6"/>
      <c r="DVX91" s="6"/>
      <c r="DVY91" s="6"/>
      <c r="DVZ91" s="6"/>
      <c r="DWA91" s="6"/>
      <c r="DWB91" s="6"/>
      <c r="DWC91" s="6"/>
      <c r="DWD91" s="6"/>
      <c r="DWE91" s="6"/>
      <c r="DWF91" s="6"/>
      <c r="DWG91" s="6"/>
      <c r="DWH91" s="6"/>
      <c r="DWI91" s="6"/>
      <c r="DWJ91" s="6"/>
      <c r="DWK91" s="6"/>
      <c r="DWL91" s="6"/>
      <c r="DWM91" s="6"/>
      <c r="DWN91" s="6"/>
      <c r="DWO91" s="6"/>
      <c r="DWP91" s="6"/>
      <c r="DWQ91" s="6"/>
      <c r="DWR91" s="6"/>
      <c r="DWS91" s="6"/>
      <c r="DWT91" s="6"/>
      <c r="DWU91" s="6"/>
      <c r="DWV91" s="6"/>
      <c r="DWW91" s="6"/>
      <c r="DWX91" s="6"/>
      <c r="DWY91" s="6"/>
      <c r="DWZ91" s="6"/>
      <c r="DXA91" s="6"/>
      <c r="DXB91" s="6"/>
      <c r="DXC91" s="6"/>
      <c r="DXD91" s="6"/>
      <c r="DXE91" s="6"/>
      <c r="DXF91" s="6"/>
      <c r="DXG91" s="6"/>
      <c r="DXH91" s="6"/>
      <c r="DXI91" s="6"/>
      <c r="DXJ91" s="6"/>
      <c r="DXK91" s="6"/>
      <c r="DXL91" s="6"/>
      <c r="DXM91" s="6"/>
      <c r="DXN91" s="6"/>
      <c r="DXO91" s="6"/>
      <c r="DXP91" s="6"/>
      <c r="DXQ91" s="6"/>
      <c r="DXR91" s="6"/>
      <c r="DXS91" s="6"/>
      <c r="DXT91" s="6"/>
      <c r="DXU91" s="6"/>
      <c r="DXV91" s="6"/>
      <c r="DXW91" s="6"/>
      <c r="DXX91" s="6"/>
      <c r="DXY91" s="6"/>
      <c r="DXZ91" s="6"/>
      <c r="DYA91" s="6"/>
      <c r="DYB91" s="6"/>
      <c r="DYC91" s="6"/>
      <c r="DYD91" s="6"/>
      <c r="DYE91" s="6"/>
      <c r="DYF91" s="6"/>
      <c r="DYG91" s="6"/>
      <c r="DYH91" s="6"/>
      <c r="DYI91" s="6"/>
      <c r="DYJ91" s="6"/>
      <c r="DYK91" s="6"/>
      <c r="DYL91" s="6"/>
      <c r="DYM91" s="6"/>
      <c r="DYN91" s="6"/>
      <c r="DYO91" s="6"/>
      <c r="DYP91" s="6"/>
      <c r="DYQ91" s="6"/>
      <c r="DYR91" s="6"/>
      <c r="DYS91" s="6"/>
      <c r="DYT91" s="6"/>
      <c r="DYU91" s="6"/>
      <c r="DYV91" s="6"/>
      <c r="DYW91" s="6"/>
      <c r="DYX91" s="6"/>
      <c r="DYY91" s="6"/>
      <c r="DYZ91" s="6"/>
      <c r="DZA91" s="6"/>
      <c r="DZB91" s="6"/>
      <c r="DZC91" s="6"/>
      <c r="DZD91" s="6"/>
      <c r="DZE91" s="6"/>
      <c r="DZF91" s="6"/>
      <c r="DZG91" s="6"/>
      <c r="DZH91" s="6"/>
      <c r="DZI91" s="6"/>
      <c r="DZJ91" s="6"/>
      <c r="DZK91" s="6"/>
      <c r="DZL91" s="6"/>
      <c r="DZM91" s="6"/>
      <c r="DZN91" s="6"/>
      <c r="DZO91" s="6"/>
      <c r="DZP91" s="6"/>
      <c r="DZQ91" s="6"/>
      <c r="DZR91" s="6"/>
      <c r="DZS91" s="6"/>
      <c r="DZT91" s="6"/>
      <c r="DZU91" s="6"/>
      <c r="DZV91" s="6"/>
      <c r="DZW91" s="6"/>
      <c r="DZX91" s="6"/>
      <c r="DZY91" s="6"/>
      <c r="DZZ91" s="6"/>
      <c r="EAA91" s="6"/>
      <c r="EAB91" s="6"/>
      <c r="EAC91" s="6"/>
      <c r="EAD91" s="6"/>
      <c r="EAE91" s="6"/>
      <c r="EAF91" s="6"/>
      <c r="EAG91" s="6"/>
      <c r="EAH91" s="6"/>
      <c r="EAI91" s="6"/>
      <c r="EAJ91" s="6"/>
      <c r="EAK91" s="6"/>
      <c r="EAL91" s="6"/>
      <c r="EAM91" s="6"/>
      <c r="EAN91" s="6"/>
      <c r="EAO91" s="6"/>
      <c r="EAP91" s="6"/>
      <c r="EAQ91" s="6"/>
      <c r="EAR91" s="6"/>
      <c r="EAS91" s="6"/>
      <c r="EAT91" s="6"/>
      <c r="EAU91" s="6"/>
      <c r="EAV91" s="6"/>
      <c r="EAW91" s="6"/>
      <c r="EAX91" s="6"/>
      <c r="EAY91" s="6"/>
      <c r="EAZ91" s="6"/>
      <c r="EBA91" s="6"/>
      <c r="EBB91" s="6"/>
      <c r="EBC91" s="6"/>
      <c r="EBD91" s="6"/>
      <c r="EBE91" s="6"/>
      <c r="EBF91" s="6"/>
      <c r="EBG91" s="6"/>
      <c r="EBH91" s="6"/>
      <c r="EBI91" s="6"/>
      <c r="EBJ91" s="6"/>
      <c r="EBK91" s="6"/>
      <c r="EBL91" s="6"/>
      <c r="EBM91" s="6"/>
      <c r="EBN91" s="6"/>
      <c r="EBO91" s="6"/>
      <c r="EBP91" s="6"/>
      <c r="EBQ91" s="6"/>
      <c r="EBR91" s="6"/>
      <c r="EBS91" s="6"/>
      <c r="EBT91" s="6"/>
      <c r="EBU91" s="6"/>
      <c r="EBV91" s="6"/>
      <c r="EBW91" s="6"/>
      <c r="EBX91" s="6"/>
      <c r="EBY91" s="6"/>
      <c r="EBZ91" s="6"/>
      <c r="ECA91" s="6"/>
      <c r="ECB91" s="6"/>
      <c r="ECC91" s="6"/>
      <c r="ECD91" s="6"/>
      <c r="ECE91" s="6"/>
      <c r="ECF91" s="6"/>
      <c r="ECG91" s="6"/>
      <c r="ECH91" s="6"/>
      <c r="ECI91" s="6"/>
      <c r="ECJ91" s="6"/>
      <c r="ECK91" s="6"/>
      <c r="ECL91" s="6"/>
      <c r="ECM91" s="6"/>
      <c r="ECN91" s="6"/>
      <c r="ECO91" s="6"/>
      <c r="ECP91" s="6"/>
      <c r="ECQ91" s="6"/>
      <c r="ECR91" s="6"/>
      <c r="ECS91" s="6"/>
      <c r="ECT91" s="6"/>
      <c r="ECU91" s="6"/>
      <c r="ECV91" s="6"/>
      <c r="ECW91" s="6"/>
      <c r="ECX91" s="6"/>
      <c r="ECY91" s="6"/>
      <c r="ECZ91" s="6"/>
      <c r="EDA91" s="6"/>
      <c r="EDB91" s="6"/>
      <c r="EDC91" s="6"/>
      <c r="EDD91" s="6"/>
      <c r="EDE91" s="6"/>
      <c r="EDF91" s="6"/>
      <c r="EDG91" s="6"/>
      <c r="EDH91" s="6"/>
      <c r="EDI91" s="6"/>
      <c r="EDJ91" s="6"/>
      <c r="EDK91" s="6"/>
      <c r="EDL91" s="6"/>
      <c r="EDM91" s="6"/>
      <c r="EDN91" s="6"/>
      <c r="EDO91" s="6"/>
      <c r="EDP91" s="6"/>
      <c r="EDQ91" s="6"/>
      <c r="EDR91" s="6"/>
      <c r="EDS91" s="6"/>
      <c r="EDT91" s="6"/>
      <c r="EDU91" s="6"/>
      <c r="EDV91" s="6"/>
      <c r="EDW91" s="6"/>
      <c r="EDX91" s="6"/>
      <c r="EDY91" s="6"/>
      <c r="EDZ91" s="6"/>
      <c r="EEA91" s="6"/>
      <c r="EEB91" s="6"/>
      <c r="EEC91" s="6"/>
      <c r="EED91" s="6"/>
      <c r="EEE91" s="6"/>
      <c r="EEF91" s="6"/>
      <c r="EEG91" s="6"/>
      <c r="EEH91" s="6"/>
      <c r="EEI91" s="6"/>
      <c r="EEJ91" s="6"/>
      <c r="EEK91" s="6"/>
      <c r="EEL91" s="6"/>
      <c r="EEM91" s="6"/>
      <c r="EEN91" s="6"/>
      <c r="EEO91" s="6"/>
      <c r="EEP91" s="6"/>
      <c r="EEQ91" s="6"/>
      <c r="EER91" s="6"/>
      <c r="EES91" s="6"/>
      <c r="EET91" s="6"/>
      <c r="EEU91" s="6"/>
      <c r="EEV91" s="6"/>
      <c r="EEW91" s="6"/>
      <c r="EEX91" s="6"/>
      <c r="EEY91" s="6"/>
      <c r="EEZ91" s="6"/>
      <c r="EFA91" s="6"/>
      <c r="EFB91" s="6"/>
      <c r="EFC91" s="6"/>
      <c r="EFD91" s="6"/>
      <c r="EFE91" s="6"/>
      <c r="EFF91" s="6"/>
      <c r="EFG91" s="6"/>
      <c r="EFH91" s="6"/>
      <c r="EFI91" s="6"/>
      <c r="EFJ91" s="6"/>
      <c r="EFK91" s="6"/>
      <c r="EFL91" s="6"/>
      <c r="EFM91" s="6"/>
      <c r="EFN91" s="6"/>
      <c r="EFO91" s="6"/>
      <c r="EFP91" s="6"/>
      <c r="EFQ91" s="6"/>
      <c r="EFR91" s="6"/>
      <c r="EFS91" s="6"/>
      <c r="EFT91" s="6"/>
      <c r="EFU91" s="6"/>
      <c r="EFV91" s="6"/>
      <c r="EFW91" s="6"/>
      <c r="EFX91" s="6"/>
      <c r="EFY91" s="6"/>
      <c r="EFZ91" s="6"/>
      <c r="EGA91" s="6"/>
      <c r="EGB91" s="6"/>
      <c r="EGC91" s="6"/>
      <c r="EGD91" s="6"/>
      <c r="EGE91" s="6"/>
      <c r="EGF91" s="6"/>
      <c r="EGG91" s="6"/>
      <c r="EGH91" s="6"/>
      <c r="EGI91" s="6"/>
      <c r="EGJ91" s="6"/>
      <c r="EGK91" s="6"/>
      <c r="EGL91" s="6"/>
      <c r="EGM91" s="6"/>
      <c r="EGN91" s="6"/>
      <c r="EGO91" s="6"/>
      <c r="EGP91" s="6"/>
      <c r="EGQ91" s="6"/>
      <c r="EGR91" s="6"/>
      <c r="EGS91" s="6"/>
      <c r="EGT91" s="6"/>
      <c r="EGU91" s="6"/>
      <c r="EGV91" s="6"/>
      <c r="EGW91" s="6"/>
      <c r="EGX91" s="6"/>
      <c r="EGY91" s="6"/>
      <c r="EGZ91" s="6"/>
      <c r="EHA91" s="6"/>
      <c r="EHB91" s="6"/>
      <c r="EHC91" s="6"/>
      <c r="EHD91" s="6"/>
      <c r="EHE91" s="6"/>
      <c r="EHF91" s="6"/>
      <c r="EHG91" s="6"/>
      <c r="EHH91" s="6"/>
      <c r="EHI91" s="6"/>
      <c r="EHJ91" s="6"/>
      <c r="EHK91" s="6"/>
      <c r="EHL91" s="6"/>
      <c r="EHM91" s="6"/>
      <c r="EHN91" s="6"/>
      <c r="EHO91" s="6"/>
      <c r="EHP91" s="6"/>
      <c r="EHQ91" s="6"/>
      <c r="EHR91" s="6"/>
      <c r="EHS91" s="6"/>
      <c r="EHT91" s="6"/>
      <c r="EHU91" s="6"/>
      <c r="EHV91" s="6"/>
      <c r="EHW91" s="6"/>
      <c r="EHX91" s="6"/>
      <c r="EHY91" s="6"/>
      <c r="EHZ91" s="6"/>
      <c r="EIA91" s="6"/>
      <c r="EIB91" s="6"/>
      <c r="EIC91" s="6"/>
      <c r="EID91" s="6"/>
      <c r="EIE91" s="6"/>
      <c r="EIF91" s="6"/>
      <c r="EIG91" s="6"/>
      <c r="EIH91" s="6"/>
      <c r="EII91" s="6"/>
      <c r="EIJ91" s="6"/>
      <c r="EIK91" s="6"/>
      <c r="EIL91" s="6"/>
      <c r="EIM91" s="6"/>
      <c r="EIN91" s="6"/>
      <c r="EIO91" s="6"/>
      <c r="EIP91" s="6"/>
      <c r="EIQ91" s="6"/>
      <c r="EIR91" s="6"/>
      <c r="EIS91" s="6"/>
      <c r="EIT91" s="6"/>
      <c r="EIU91" s="6"/>
      <c r="EIV91" s="6"/>
      <c r="EIW91" s="6"/>
      <c r="EIX91" s="6"/>
      <c r="EIY91" s="6"/>
      <c r="EIZ91" s="6"/>
      <c r="EJA91" s="6"/>
      <c r="EJB91" s="6"/>
      <c r="EJC91" s="6"/>
      <c r="EJD91" s="6"/>
      <c r="EJE91" s="6"/>
      <c r="EJF91" s="6"/>
      <c r="EJG91" s="6"/>
      <c r="EJH91" s="6"/>
      <c r="EJI91" s="6"/>
      <c r="EJJ91" s="6"/>
      <c r="EJK91" s="6"/>
      <c r="EJL91" s="6"/>
      <c r="EJM91" s="6"/>
      <c r="EJN91" s="6"/>
      <c r="EJO91" s="6"/>
      <c r="EJP91" s="6"/>
      <c r="EJQ91" s="6"/>
      <c r="EJR91" s="6"/>
      <c r="EJS91" s="6"/>
      <c r="EJT91" s="6"/>
      <c r="EJU91" s="6"/>
      <c r="EJV91" s="6"/>
      <c r="EJW91" s="6"/>
      <c r="EJX91" s="6"/>
      <c r="EJY91" s="6"/>
      <c r="EJZ91" s="6"/>
      <c r="EKA91" s="6"/>
      <c r="EKB91" s="6"/>
      <c r="EKC91" s="6"/>
      <c r="EKD91" s="6"/>
      <c r="EKE91" s="6"/>
      <c r="EKF91" s="6"/>
      <c r="EKG91" s="6"/>
      <c r="EKH91" s="6"/>
      <c r="EKI91" s="6"/>
      <c r="EKJ91" s="6"/>
      <c r="EKK91" s="6"/>
      <c r="EKL91" s="6"/>
      <c r="EKM91" s="6"/>
      <c r="EKN91" s="6"/>
      <c r="EKO91" s="6"/>
      <c r="EKP91" s="6"/>
      <c r="EKQ91" s="6"/>
      <c r="EKR91" s="6"/>
      <c r="EKS91" s="6"/>
      <c r="EKT91" s="6"/>
      <c r="EKU91" s="6"/>
      <c r="EKV91" s="6"/>
      <c r="EKW91" s="6"/>
      <c r="EKX91" s="6"/>
      <c r="EKY91" s="6"/>
      <c r="EKZ91" s="6"/>
      <c r="ELA91" s="6"/>
      <c r="ELB91" s="6"/>
      <c r="ELC91" s="6"/>
      <c r="ELD91" s="6"/>
      <c r="ELE91" s="6"/>
      <c r="ELF91" s="6"/>
      <c r="ELG91" s="6"/>
      <c r="ELH91" s="6"/>
      <c r="ELI91" s="6"/>
      <c r="ELJ91" s="6"/>
      <c r="ELK91" s="6"/>
      <c r="ELL91" s="6"/>
      <c r="ELM91" s="6"/>
      <c r="ELN91" s="6"/>
      <c r="ELO91" s="6"/>
      <c r="ELP91" s="6"/>
      <c r="ELQ91" s="6"/>
      <c r="ELR91" s="6"/>
      <c r="ELS91" s="6"/>
      <c r="ELT91" s="6"/>
      <c r="ELU91" s="6"/>
      <c r="ELV91" s="6"/>
      <c r="ELW91" s="6"/>
      <c r="ELX91" s="6"/>
      <c r="ELY91" s="6"/>
      <c r="ELZ91" s="6"/>
      <c r="EMA91" s="6"/>
      <c r="EMB91" s="6"/>
      <c r="EMC91" s="6"/>
      <c r="EMD91" s="6"/>
      <c r="EME91" s="6"/>
      <c r="EMF91" s="6"/>
      <c r="EMG91" s="6"/>
      <c r="EMH91" s="6"/>
      <c r="EMI91" s="6"/>
      <c r="EMJ91" s="6"/>
      <c r="EMK91" s="6"/>
      <c r="EML91" s="6"/>
      <c r="EMM91" s="6"/>
      <c r="EMN91" s="6"/>
      <c r="EMO91" s="6"/>
      <c r="EMP91" s="6"/>
      <c r="EMQ91" s="6"/>
      <c r="EMR91" s="6"/>
      <c r="EMS91" s="6"/>
      <c r="EMT91" s="6"/>
      <c r="EMU91" s="6"/>
      <c r="EMV91" s="6"/>
      <c r="EMW91" s="6"/>
      <c r="EMX91" s="6"/>
      <c r="EMY91" s="6"/>
      <c r="EMZ91" s="6"/>
      <c r="ENA91" s="6"/>
      <c r="ENB91" s="6"/>
      <c r="ENC91" s="6"/>
      <c r="END91" s="6"/>
      <c r="ENE91" s="6"/>
      <c r="ENF91" s="6"/>
      <c r="ENG91" s="6"/>
      <c r="ENH91" s="6"/>
      <c r="ENI91" s="6"/>
      <c r="ENJ91" s="6"/>
      <c r="ENK91" s="6"/>
      <c r="ENL91" s="6"/>
      <c r="ENM91" s="6"/>
      <c r="ENN91" s="6"/>
      <c r="ENO91" s="6"/>
      <c r="ENP91" s="6"/>
      <c r="ENQ91" s="6"/>
      <c r="ENR91" s="6"/>
      <c r="ENS91" s="6"/>
      <c r="ENT91" s="6"/>
      <c r="ENU91" s="6"/>
      <c r="ENV91" s="6"/>
      <c r="ENW91" s="6"/>
      <c r="ENX91" s="6"/>
      <c r="ENY91" s="6"/>
      <c r="ENZ91" s="6"/>
      <c r="EOA91" s="6"/>
      <c r="EOB91" s="6"/>
      <c r="EOC91" s="6"/>
      <c r="EOD91" s="6"/>
      <c r="EOE91" s="6"/>
      <c r="EOF91" s="6"/>
      <c r="EOG91" s="6"/>
      <c r="EOH91" s="6"/>
      <c r="EOI91" s="6"/>
      <c r="EOJ91" s="6"/>
      <c r="EOK91" s="6"/>
      <c r="EOL91" s="6"/>
      <c r="EOM91" s="6"/>
      <c r="EON91" s="6"/>
      <c r="EOO91" s="6"/>
      <c r="EOP91" s="6"/>
      <c r="EOQ91" s="6"/>
      <c r="EOR91" s="6"/>
      <c r="EOS91" s="6"/>
      <c r="EOT91" s="6"/>
      <c r="EOU91" s="6"/>
      <c r="EOV91" s="6"/>
      <c r="EOW91" s="6"/>
      <c r="EOX91" s="6"/>
      <c r="EOY91" s="6"/>
      <c r="EOZ91" s="6"/>
      <c r="EPA91" s="6"/>
      <c r="EPB91" s="6"/>
      <c r="EPC91" s="6"/>
      <c r="EPD91" s="6"/>
      <c r="EPE91" s="6"/>
      <c r="EPF91" s="6"/>
      <c r="EPG91" s="6"/>
      <c r="EPH91" s="6"/>
      <c r="EPI91" s="6"/>
      <c r="EPJ91" s="6"/>
      <c r="EPK91" s="6"/>
      <c r="EPL91" s="6"/>
      <c r="EPM91" s="6"/>
      <c r="EPN91" s="6"/>
      <c r="EPO91" s="6"/>
      <c r="EPP91" s="6"/>
      <c r="EPQ91" s="6"/>
      <c r="EPR91" s="6"/>
      <c r="EPS91" s="6"/>
      <c r="EPT91" s="6"/>
      <c r="EPU91" s="6"/>
      <c r="EPV91" s="6"/>
      <c r="EPW91" s="6"/>
      <c r="EPX91" s="6"/>
      <c r="EPY91" s="6"/>
      <c r="EPZ91" s="6"/>
      <c r="EQA91" s="6"/>
      <c r="EQB91" s="6"/>
      <c r="EQC91" s="6"/>
      <c r="EQD91" s="6"/>
      <c r="EQE91" s="6"/>
      <c r="EQF91" s="6"/>
      <c r="EQG91" s="6"/>
      <c r="EQH91" s="6"/>
      <c r="EQI91" s="6"/>
      <c r="EQJ91" s="6"/>
      <c r="EQK91" s="6"/>
      <c r="EQL91" s="6"/>
      <c r="EQM91" s="6"/>
      <c r="EQN91" s="6"/>
      <c r="EQO91" s="6"/>
      <c r="EQP91" s="6"/>
      <c r="EQQ91" s="6"/>
      <c r="EQR91" s="6"/>
      <c r="EQS91" s="6"/>
      <c r="EQT91" s="6"/>
      <c r="EQU91" s="6"/>
      <c r="EQV91" s="6"/>
      <c r="EQW91" s="6"/>
      <c r="EQX91" s="6"/>
      <c r="EQY91" s="6"/>
      <c r="EQZ91" s="6"/>
      <c r="ERA91" s="6"/>
      <c r="ERB91" s="6"/>
      <c r="ERC91" s="6"/>
      <c r="ERD91" s="6"/>
      <c r="ERE91" s="6"/>
      <c r="ERF91" s="6"/>
      <c r="ERG91" s="6"/>
      <c r="ERH91" s="6"/>
      <c r="ERI91" s="6"/>
      <c r="ERJ91" s="6"/>
      <c r="ERK91" s="6"/>
      <c r="ERL91" s="6"/>
      <c r="ERM91" s="6"/>
      <c r="ERN91" s="6"/>
      <c r="ERO91" s="6"/>
      <c r="ERP91" s="6"/>
      <c r="ERQ91" s="6"/>
      <c r="ERR91" s="6"/>
      <c r="ERS91" s="6"/>
      <c r="ERT91" s="6"/>
      <c r="ERU91" s="6"/>
      <c r="ERV91" s="6"/>
      <c r="ERW91" s="6"/>
      <c r="ERX91" s="6"/>
      <c r="ERY91" s="6"/>
      <c r="ERZ91" s="6"/>
      <c r="ESA91" s="6"/>
      <c r="ESB91" s="6"/>
      <c r="ESC91" s="6"/>
      <c r="ESD91" s="6"/>
      <c r="ESE91" s="6"/>
      <c r="ESF91" s="6"/>
      <c r="ESG91" s="6"/>
      <c r="ESH91" s="6"/>
      <c r="ESI91" s="6"/>
      <c r="ESJ91" s="6"/>
      <c r="ESK91" s="6"/>
      <c r="ESL91" s="6"/>
      <c r="ESM91" s="6"/>
      <c r="ESN91" s="6"/>
      <c r="ESO91" s="6"/>
      <c r="ESP91" s="6"/>
      <c r="ESQ91" s="6"/>
      <c r="ESR91" s="6"/>
      <c r="ESS91" s="6"/>
      <c r="EST91" s="6"/>
      <c r="ESU91" s="6"/>
      <c r="ESV91" s="6"/>
      <c r="ESW91" s="6"/>
      <c r="ESX91" s="6"/>
      <c r="ESY91" s="6"/>
      <c r="ESZ91" s="6"/>
      <c r="ETA91" s="6"/>
      <c r="ETB91" s="6"/>
      <c r="ETC91" s="6"/>
      <c r="ETD91" s="6"/>
      <c r="ETE91" s="6"/>
      <c r="ETF91" s="6"/>
      <c r="ETG91" s="6"/>
      <c r="ETH91" s="6"/>
      <c r="ETI91" s="6"/>
      <c r="ETJ91" s="6"/>
      <c r="ETK91" s="6"/>
      <c r="ETL91" s="6"/>
      <c r="ETM91" s="6"/>
      <c r="ETN91" s="6"/>
      <c r="ETO91" s="6"/>
      <c r="ETP91" s="6"/>
      <c r="ETQ91" s="6"/>
      <c r="ETR91" s="6"/>
      <c r="ETS91" s="6"/>
      <c r="ETT91" s="6"/>
      <c r="ETU91" s="6"/>
      <c r="ETV91" s="6"/>
      <c r="ETW91" s="6"/>
      <c r="ETX91" s="6"/>
      <c r="ETY91" s="6"/>
      <c r="ETZ91" s="6"/>
      <c r="EUA91" s="6"/>
      <c r="EUB91" s="6"/>
      <c r="EUC91" s="6"/>
      <c r="EUD91" s="6"/>
      <c r="EUE91" s="6"/>
      <c r="EUF91" s="6"/>
      <c r="EUG91" s="6"/>
      <c r="EUH91" s="6"/>
      <c r="EUI91" s="6"/>
      <c r="EUJ91" s="6"/>
      <c r="EUK91" s="6"/>
      <c r="EUL91" s="6"/>
      <c r="EUM91" s="6"/>
      <c r="EUN91" s="6"/>
      <c r="EUO91" s="6"/>
      <c r="EUP91" s="6"/>
      <c r="EUQ91" s="6"/>
      <c r="EUR91" s="6"/>
      <c r="EUS91" s="6"/>
      <c r="EUT91" s="6"/>
      <c r="EUU91" s="6"/>
      <c r="EUV91" s="6"/>
      <c r="EUW91" s="6"/>
      <c r="EUX91" s="6"/>
      <c r="EUY91" s="6"/>
      <c r="EUZ91" s="6"/>
      <c r="EVA91" s="6"/>
      <c r="EVB91" s="6"/>
      <c r="EVC91" s="6"/>
      <c r="EVD91" s="6"/>
      <c r="EVE91" s="6"/>
      <c r="EVF91" s="6"/>
      <c r="EVG91" s="6"/>
      <c r="EVH91" s="6"/>
      <c r="EVI91" s="6"/>
      <c r="EVJ91" s="6"/>
      <c r="EVK91" s="6"/>
      <c r="EVL91" s="6"/>
      <c r="EVM91" s="6"/>
      <c r="EVN91" s="6"/>
      <c r="EVO91" s="6"/>
      <c r="EVP91" s="6"/>
      <c r="EVQ91" s="6"/>
      <c r="EVR91" s="6"/>
      <c r="EVS91" s="6"/>
      <c r="EVT91" s="6"/>
      <c r="EVU91" s="6"/>
      <c r="EVV91" s="6"/>
      <c r="EVW91" s="6"/>
      <c r="EVX91" s="6"/>
      <c r="EVY91" s="6"/>
      <c r="EVZ91" s="6"/>
      <c r="EWA91" s="6"/>
      <c r="EWB91" s="6"/>
      <c r="EWC91" s="6"/>
      <c r="EWD91" s="6"/>
      <c r="EWE91" s="6"/>
      <c r="EWF91" s="6"/>
      <c r="EWG91" s="6"/>
      <c r="EWH91" s="6"/>
      <c r="EWI91" s="6"/>
      <c r="EWJ91" s="6"/>
      <c r="EWK91" s="6"/>
      <c r="EWL91" s="6"/>
      <c r="EWM91" s="6"/>
      <c r="EWN91" s="6"/>
      <c r="EWO91" s="6"/>
      <c r="EWP91" s="6"/>
      <c r="EWQ91" s="6"/>
      <c r="EWR91" s="6"/>
      <c r="EWS91" s="6"/>
      <c r="EWT91" s="6"/>
      <c r="EWU91" s="6"/>
      <c r="EWV91" s="6"/>
      <c r="EWW91" s="6"/>
      <c r="EWX91" s="6"/>
      <c r="EWY91" s="6"/>
      <c r="EWZ91" s="6"/>
      <c r="EXA91" s="6"/>
      <c r="EXB91" s="6"/>
      <c r="EXC91" s="6"/>
      <c r="EXD91" s="6"/>
      <c r="EXE91" s="6"/>
      <c r="EXF91" s="6"/>
      <c r="EXG91" s="6"/>
      <c r="EXH91" s="6"/>
      <c r="EXI91" s="6"/>
      <c r="EXJ91" s="6"/>
      <c r="EXK91" s="6"/>
      <c r="EXL91" s="6"/>
      <c r="EXM91" s="6"/>
      <c r="EXN91" s="6"/>
      <c r="EXO91" s="6"/>
      <c r="EXP91" s="6"/>
      <c r="EXQ91" s="6"/>
      <c r="EXR91" s="6"/>
      <c r="EXS91" s="6"/>
      <c r="EXT91" s="6"/>
      <c r="EXU91" s="6"/>
      <c r="EXV91" s="6"/>
      <c r="EXW91" s="6"/>
      <c r="EXX91" s="6"/>
      <c r="EXY91" s="6"/>
      <c r="EXZ91" s="6"/>
      <c r="EYA91" s="6"/>
      <c r="EYB91" s="6"/>
      <c r="EYC91" s="6"/>
      <c r="EYD91" s="6"/>
      <c r="EYE91" s="6"/>
      <c r="EYF91" s="6"/>
      <c r="EYG91" s="6"/>
      <c r="EYH91" s="6"/>
      <c r="EYI91" s="6"/>
      <c r="EYJ91" s="6"/>
      <c r="EYK91" s="6"/>
      <c r="EYL91" s="6"/>
      <c r="EYM91" s="6"/>
      <c r="EYN91" s="6"/>
      <c r="EYO91" s="6"/>
      <c r="EYP91" s="6"/>
      <c r="EYQ91" s="6"/>
      <c r="EYR91" s="6"/>
      <c r="EYS91" s="6"/>
      <c r="EYT91" s="6"/>
      <c r="EYU91" s="6"/>
      <c r="EYV91" s="6"/>
      <c r="EYW91" s="6"/>
      <c r="EYX91" s="6"/>
      <c r="EYY91" s="6"/>
      <c r="EYZ91" s="6"/>
      <c r="EZA91" s="6"/>
      <c r="EZB91" s="6"/>
      <c r="EZC91" s="6"/>
      <c r="EZD91" s="6"/>
      <c r="EZE91" s="6"/>
      <c r="EZF91" s="6"/>
      <c r="EZG91" s="6"/>
      <c r="EZH91" s="6"/>
      <c r="EZI91" s="6"/>
      <c r="EZJ91" s="6"/>
      <c r="EZK91" s="6"/>
      <c r="EZL91" s="6"/>
      <c r="EZM91" s="6"/>
      <c r="EZN91" s="6"/>
      <c r="EZO91" s="6"/>
      <c r="EZP91" s="6"/>
      <c r="EZQ91" s="6"/>
      <c r="EZR91" s="6"/>
      <c r="EZS91" s="6"/>
      <c r="EZT91" s="6"/>
      <c r="EZU91" s="6"/>
      <c r="EZV91" s="6"/>
      <c r="EZW91" s="6"/>
      <c r="EZX91" s="6"/>
      <c r="EZY91" s="6"/>
      <c r="EZZ91" s="6"/>
      <c r="FAA91" s="6"/>
      <c r="FAB91" s="6"/>
      <c r="FAC91" s="6"/>
      <c r="FAD91" s="6"/>
      <c r="FAE91" s="6"/>
      <c r="FAF91" s="6"/>
      <c r="FAG91" s="6"/>
      <c r="FAH91" s="6"/>
      <c r="FAI91" s="6"/>
      <c r="FAJ91" s="6"/>
      <c r="FAK91" s="6"/>
      <c r="FAL91" s="6"/>
      <c r="FAM91" s="6"/>
      <c r="FAN91" s="6"/>
      <c r="FAO91" s="6"/>
      <c r="FAP91" s="6"/>
      <c r="FAQ91" s="6"/>
      <c r="FAR91" s="6"/>
      <c r="FAS91" s="6"/>
      <c r="FAT91" s="6"/>
      <c r="FAU91" s="6"/>
      <c r="FAV91" s="6"/>
      <c r="FAW91" s="6"/>
      <c r="FAX91" s="6"/>
      <c r="FAY91" s="6"/>
      <c r="FAZ91" s="6"/>
      <c r="FBA91" s="6"/>
      <c r="FBB91" s="6"/>
      <c r="FBC91" s="6"/>
      <c r="FBD91" s="6"/>
      <c r="FBE91" s="6"/>
      <c r="FBF91" s="6"/>
      <c r="FBG91" s="6"/>
      <c r="FBH91" s="6"/>
      <c r="FBI91" s="6"/>
      <c r="FBJ91" s="6"/>
      <c r="FBK91" s="6"/>
      <c r="FBL91" s="6"/>
      <c r="FBM91" s="6"/>
      <c r="FBN91" s="6"/>
      <c r="FBO91" s="6"/>
      <c r="FBP91" s="6"/>
      <c r="FBQ91" s="6"/>
      <c r="FBR91" s="6"/>
      <c r="FBS91" s="6"/>
      <c r="FBT91" s="6"/>
      <c r="FBU91" s="6"/>
      <c r="FBV91" s="6"/>
      <c r="FBW91" s="6"/>
      <c r="FBX91" s="6"/>
      <c r="FBY91" s="6"/>
      <c r="FBZ91" s="6"/>
      <c r="FCA91" s="6"/>
      <c r="FCB91" s="6"/>
      <c r="FCC91" s="6"/>
      <c r="FCD91" s="6"/>
      <c r="FCE91" s="6"/>
      <c r="FCF91" s="6"/>
      <c r="FCG91" s="6"/>
      <c r="FCH91" s="6"/>
      <c r="FCI91" s="6"/>
      <c r="FCJ91" s="6"/>
      <c r="FCK91" s="6"/>
      <c r="FCL91" s="6"/>
      <c r="FCM91" s="6"/>
      <c r="FCN91" s="6"/>
      <c r="FCO91" s="6"/>
      <c r="FCP91" s="6"/>
      <c r="FCQ91" s="6"/>
      <c r="FCR91" s="6"/>
      <c r="FCS91" s="6"/>
      <c r="FCT91" s="6"/>
      <c r="FCU91" s="6"/>
      <c r="FCV91" s="6"/>
      <c r="FCW91" s="6"/>
      <c r="FCX91" s="6"/>
      <c r="FCY91" s="6"/>
      <c r="FCZ91" s="6"/>
      <c r="FDA91" s="6"/>
      <c r="FDB91" s="6"/>
      <c r="FDC91" s="6"/>
      <c r="FDD91" s="6"/>
      <c r="FDE91" s="6"/>
      <c r="FDF91" s="6"/>
      <c r="FDG91" s="6"/>
      <c r="FDH91" s="6"/>
      <c r="FDI91" s="6"/>
      <c r="FDJ91" s="6"/>
      <c r="FDK91" s="6"/>
      <c r="FDL91" s="6"/>
      <c r="FDM91" s="6"/>
      <c r="FDN91" s="6"/>
      <c r="FDO91" s="6"/>
      <c r="FDP91" s="6"/>
      <c r="FDQ91" s="6"/>
      <c r="FDR91" s="6"/>
      <c r="FDS91" s="6"/>
      <c r="FDT91" s="6"/>
      <c r="FDU91" s="6"/>
      <c r="FDV91" s="6"/>
      <c r="FDW91" s="6"/>
      <c r="FDX91" s="6"/>
      <c r="FDY91" s="6"/>
      <c r="FDZ91" s="6"/>
      <c r="FEA91" s="6"/>
      <c r="FEB91" s="6"/>
      <c r="FEC91" s="6"/>
      <c r="FED91" s="6"/>
      <c r="FEE91" s="6"/>
      <c r="FEF91" s="6"/>
      <c r="FEG91" s="6"/>
      <c r="FEH91" s="6"/>
      <c r="FEI91" s="6"/>
      <c r="FEJ91" s="6"/>
      <c r="FEK91" s="6"/>
      <c r="FEL91" s="6"/>
      <c r="FEM91" s="6"/>
      <c r="FEN91" s="6"/>
      <c r="FEO91" s="6"/>
      <c r="FEP91" s="6"/>
      <c r="FEQ91" s="6"/>
      <c r="FER91" s="6"/>
      <c r="FES91" s="6"/>
      <c r="FET91" s="6"/>
      <c r="FEU91" s="6"/>
      <c r="FEV91" s="6"/>
      <c r="FEW91" s="6"/>
      <c r="FEX91" s="6"/>
      <c r="FEY91" s="6"/>
      <c r="FEZ91" s="6"/>
      <c r="FFA91" s="6"/>
      <c r="FFB91" s="6"/>
      <c r="FFC91" s="6"/>
      <c r="FFD91" s="6"/>
      <c r="FFE91" s="6"/>
      <c r="FFF91" s="6"/>
      <c r="FFG91" s="6"/>
      <c r="FFH91" s="6"/>
      <c r="FFI91" s="6"/>
      <c r="FFJ91" s="6"/>
      <c r="FFK91" s="6"/>
      <c r="FFL91" s="6"/>
      <c r="FFM91" s="6"/>
      <c r="FFN91" s="6"/>
      <c r="FFO91" s="6"/>
      <c r="FFP91" s="6"/>
      <c r="FFQ91" s="6"/>
      <c r="FFR91" s="6"/>
      <c r="FFS91" s="6"/>
      <c r="FFT91" s="6"/>
      <c r="FFU91" s="6"/>
      <c r="FFV91" s="6"/>
      <c r="FFW91" s="6"/>
      <c r="FFX91" s="6"/>
      <c r="FFY91" s="6"/>
      <c r="FFZ91" s="6"/>
      <c r="FGA91" s="6"/>
      <c r="FGB91" s="6"/>
      <c r="FGC91" s="6"/>
      <c r="FGD91" s="6"/>
      <c r="FGE91" s="6"/>
      <c r="FGF91" s="6"/>
      <c r="FGG91" s="6"/>
      <c r="FGH91" s="6"/>
      <c r="FGI91" s="6"/>
      <c r="FGJ91" s="6"/>
      <c r="FGK91" s="6"/>
      <c r="FGL91" s="6"/>
      <c r="FGM91" s="6"/>
      <c r="FGN91" s="6"/>
      <c r="FGO91" s="6"/>
      <c r="FGP91" s="6"/>
      <c r="FGQ91" s="6"/>
      <c r="FGR91" s="6"/>
      <c r="FGS91" s="6"/>
      <c r="FGT91" s="6"/>
      <c r="FGU91" s="6"/>
      <c r="FGV91" s="6"/>
      <c r="FGW91" s="6"/>
      <c r="FGX91" s="6"/>
      <c r="FGY91" s="6"/>
      <c r="FGZ91" s="6"/>
      <c r="FHA91" s="6"/>
      <c r="FHB91" s="6"/>
      <c r="FHC91" s="6"/>
      <c r="FHD91" s="6"/>
      <c r="FHE91" s="6"/>
      <c r="FHF91" s="6"/>
      <c r="FHG91" s="6"/>
      <c r="FHH91" s="6"/>
      <c r="FHI91" s="6"/>
      <c r="FHJ91" s="6"/>
      <c r="FHK91" s="6"/>
      <c r="FHL91" s="6"/>
      <c r="FHM91" s="6"/>
      <c r="FHN91" s="6"/>
      <c r="FHO91" s="6"/>
      <c r="FHP91" s="6"/>
      <c r="FHQ91" s="6"/>
      <c r="FHR91" s="6"/>
      <c r="FHS91" s="6"/>
      <c r="FHT91" s="6"/>
      <c r="FHU91" s="6"/>
      <c r="FHV91" s="6"/>
      <c r="FHW91" s="6"/>
      <c r="FHX91" s="6"/>
      <c r="FHY91" s="6"/>
      <c r="FHZ91" s="6"/>
      <c r="FIA91" s="6"/>
      <c r="FIB91" s="6"/>
      <c r="FIC91" s="6"/>
      <c r="FID91" s="6"/>
      <c r="FIE91" s="6"/>
      <c r="FIF91" s="6"/>
      <c r="FIG91" s="6"/>
      <c r="FIH91" s="6"/>
      <c r="FII91" s="6"/>
      <c r="FIJ91" s="6"/>
      <c r="FIK91" s="6"/>
      <c r="FIL91" s="6"/>
      <c r="FIM91" s="6"/>
      <c r="FIN91" s="6"/>
      <c r="FIO91" s="6"/>
      <c r="FIP91" s="6"/>
      <c r="FIQ91" s="6"/>
      <c r="FIR91" s="6"/>
      <c r="FIS91" s="6"/>
      <c r="FIT91" s="6"/>
      <c r="FIU91" s="6"/>
      <c r="FIV91" s="6"/>
      <c r="FIW91" s="6"/>
      <c r="FIX91" s="6"/>
      <c r="FIY91" s="6"/>
      <c r="FIZ91" s="6"/>
      <c r="FJA91" s="6"/>
      <c r="FJB91" s="6"/>
      <c r="FJC91" s="6"/>
      <c r="FJD91" s="6"/>
      <c r="FJE91" s="6"/>
      <c r="FJF91" s="6"/>
      <c r="FJG91" s="6"/>
      <c r="FJH91" s="6"/>
      <c r="FJI91" s="6"/>
      <c r="FJJ91" s="6"/>
      <c r="FJK91" s="6"/>
      <c r="FJL91" s="6"/>
      <c r="FJM91" s="6"/>
      <c r="FJN91" s="6"/>
      <c r="FJO91" s="6"/>
      <c r="FJP91" s="6"/>
      <c r="FJQ91" s="6"/>
      <c r="FJR91" s="6"/>
      <c r="FJS91" s="6"/>
      <c r="FJT91" s="6"/>
      <c r="FJU91" s="6"/>
      <c r="FJV91" s="6"/>
      <c r="FJW91" s="6"/>
      <c r="FJX91" s="6"/>
      <c r="FJY91" s="6"/>
      <c r="FJZ91" s="6"/>
      <c r="FKA91" s="6"/>
      <c r="FKB91" s="6"/>
      <c r="FKC91" s="6"/>
      <c r="FKD91" s="6"/>
      <c r="FKE91" s="6"/>
      <c r="FKF91" s="6"/>
      <c r="FKG91" s="6"/>
      <c r="FKH91" s="6"/>
      <c r="FKI91" s="6"/>
      <c r="FKJ91" s="6"/>
      <c r="FKK91" s="6"/>
      <c r="FKL91" s="6"/>
      <c r="FKM91" s="6"/>
      <c r="FKN91" s="6"/>
      <c r="FKO91" s="6"/>
      <c r="FKP91" s="6"/>
      <c r="FKQ91" s="6"/>
      <c r="FKR91" s="6"/>
      <c r="FKS91" s="6"/>
      <c r="FKT91" s="6"/>
      <c r="FKU91" s="6"/>
      <c r="FKV91" s="6"/>
      <c r="FKW91" s="6"/>
      <c r="FKX91" s="6"/>
      <c r="FKY91" s="6"/>
      <c r="FKZ91" s="6"/>
      <c r="FLA91" s="6"/>
      <c r="FLB91" s="6"/>
      <c r="FLC91" s="6"/>
      <c r="FLD91" s="6"/>
      <c r="FLE91" s="6"/>
      <c r="FLF91" s="6"/>
      <c r="FLG91" s="6"/>
      <c r="FLH91" s="6"/>
      <c r="FLI91" s="6"/>
      <c r="FLJ91" s="6"/>
      <c r="FLK91" s="6"/>
      <c r="FLL91" s="6"/>
      <c r="FLM91" s="6"/>
      <c r="FLN91" s="6"/>
      <c r="FLO91" s="6"/>
      <c r="FLP91" s="6"/>
      <c r="FLQ91" s="6"/>
      <c r="FLR91" s="6"/>
      <c r="FLS91" s="6"/>
      <c r="FLT91" s="6"/>
      <c r="FLU91" s="6"/>
      <c r="FLV91" s="6"/>
      <c r="FLW91" s="6"/>
      <c r="FLX91" s="6"/>
      <c r="FLY91" s="6"/>
      <c r="FLZ91" s="6"/>
      <c r="FMA91" s="6"/>
      <c r="FMB91" s="6"/>
      <c r="FMC91" s="6"/>
      <c r="FMD91" s="6"/>
      <c r="FME91" s="6"/>
      <c r="FMF91" s="6"/>
      <c r="FMG91" s="6"/>
      <c r="FMH91" s="6"/>
      <c r="FMI91" s="6"/>
      <c r="FMJ91" s="6"/>
      <c r="FMK91" s="6"/>
      <c r="FML91" s="6"/>
      <c r="FMM91" s="6"/>
      <c r="FMN91" s="6"/>
      <c r="FMO91" s="6"/>
      <c r="FMP91" s="6"/>
      <c r="FMQ91" s="6"/>
      <c r="FMR91" s="6"/>
      <c r="FMS91" s="6"/>
      <c r="FMT91" s="6"/>
      <c r="FMU91" s="6"/>
      <c r="FMV91" s="6"/>
      <c r="FMW91" s="6"/>
      <c r="FMX91" s="6"/>
      <c r="FMY91" s="6"/>
      <c r="FMZ91" s="6"/>
      <c r="FNA91" s="6"/>
      <c r="FNB91" s="6"/>
      <c r="FNC91" s="6"/>
      <c r="FND91" s="6"/>
      <c r="FNE91" s="6"/>
      <c r="FNF91" s="6"/>
      <c r="FNG91" s="6"/>
      <c r="FNH91" s="6"/>
      <c r="FNI91" s="6"/>
      <c r="FNJ91" s="6"/>
      <c r="FNK91" s="6"/>
      <c r="FNL91" s="6"/>
      <c r="FNM91" s="6"/>
      <c r="FNN91" s="6"/>
      <c r="FNO91" s="6"/>
      <c r="FNP91" s="6"/>
      <c r="FNQ91" s="6"/>
      <c r="FNR91" s="6"/>
      <c r="FNS91" s="6"/>
      <c r="FNT91" s="6"/>
      <c r="FNU91" s="6"/>
      <c r="FNV91" s="6"/>
      <c r="FNW91" s="6"/>
      <c r="FNX91" s="6"/>
      <c r="FNY91" s="6"/>
      <c r="FNZ91" s="6"/>
      <c r="FOA91" s="6"/>
      <c r="FOB91" s="6"/>
      <c r="FOC91" s="6"/>
      <c r="FOD91" s="6"/>
      <c r="FOE91" s="6"/>
      <c r="FOF91" s="6"/>
      <c r="FOG91" s="6"/>
      <c r="FOH91" s="6"/>
      <c r="FOI91" s="6"/>
      <c r="FOJ91" s="6"/>
      <c r="FOK91" s="6"/>
      <c r="FOL91" s="6"/>
      <c r="FOM91" s="6"/>
      <c r="FON91" s="6"/>
      <c r="FOO91" s="6"/>
      <c r="FOP91" s="6"/>
      <c r="FOQ91" s="6"/>
      <c r="FOR91" s="6"/>
      <c r="FOS91" s="6"/>
      <c r="FOT91" s="6"/>
      <c r="FOU91" s="6"/>
      <c r="FOV91" s="6"/>
      <c r="FOW91" s="6"/>
      <c r="FOX91" s="6"/>
      <c r="FOY91" s="6"/>
      <c r="FOZ91" s="6"/>
      <c r="FPA91" s="6"/>
      <c r="FPB91" s="6"/>
      <c r="FPC91" s="6"/>
      <c r="FPD91" s="6"/>
      <c r="FPE91" s="6"/>
      <c r="FPF91" s="6"/>
      <c r="FPG91" s="6"/>
      <c r="FPH91" s="6"/>
      <c r="FPI91" s="6"/>
      <c r="FPJ91" s="6"/>
      <c r="FPK91" s="6"/>
      <c r="FPL91" s="6"/>
      <c r="FPM91" s="6"/>
      <c r="FPN91" s="6"/>
      <c r="FPO91" s="6"/>
      <c r="FPP91" s="6"/>
      <c r="FPQ91" s="6"/>
      <c r="FPR91" s="6"/>
      <c r="FPS91" s="6"/>
      <c r="FPT91" s="6"/>
      <c r="FPU91" s="6"/>
      <c r="FPV91" s="6"/>
      <c r="FPW91" s="6"/>
      <c r="FPX91" s="6"/>
      <c r="FPY91" s="6"/>
      <c r="FPZ91" s="6"/>
      <c r="FQA91" s="6"/>
      <c r="FQB91" s="6"/>
      <c r="FQC91" s="6"/>
      <c r="FQD91" s="6"/>
      <c r="FQE91" s="6"/>
      <c r="FQF91" s="6"/>
      <c r="FQG91" s="6"/>
      <c r="FQH91" s="6"/>
      <c r="FQI91" s="6"/>
      <c r="FQJ91" s="6"/>
      <c r="FQK91" s="6"/>
      <c r="FQL91" s="6"/>
      <c r="FQM91" s="6"/>
      <c r="FQN91" s="6"/>
      <c r="FQO91" s="6"/>
      <c r="FQP91" s="6"/>
      <c r="FQQ91" s="6"/>
      <c r="FQR91" s="6"/>
      <c r="FQS91" s="6"/>
      <c r="FQT91" s="6"/>
      <c r="FQU91" s="6"/>
      <c r="FQV91" s="6"/>
      <c r="FQW91" s="6"/>
      <c r="FQX91" s="6"/>
      <c r="FQY91" s="6"/>
      <c r="FQZ91" s="6"/>
      <c r="FRA91" s="6"/>
      <c r="FRB91" s="6"/>
      <c r="FRC91" s="6"/>
      <c r="FRD91" s="6"/>
      <c r="FRE91" s="6"/>
      <c r="FRF91" s="6"/>
      <c r="FRG91" s="6"/>
      <c r="FRH91" s="6"/>
      <c r="FRI91" s="6"/>
      <c r="FRJ91" s="6"/>
      <c r="FRK91" s="6"/>
      <c r="FRL91" s="6"/>
      <c r="FRM91" s="6"/>
      <c r="FRN91" s="6"/>
      <c r="FRO91" s="6"/>
      <c r="FRP91" s="6"/>
      <c r="FRQ91" s="6"/>
      <c r="FRR91" s="6"/>
      <c r="FRS91" s="6"/>
      <c r="FRT91" s="6"/>
      <c r="FRU91" s="6"/>
      <c r="FRV91" s="6"/>
      <c r="FRW91" s="6"/>
      <c r="FRX91" s="6"/>
      <c r="FRY91" s="6"/>
      <c r="FRZ91" s="6"/>
      <c r="FSA91" s="6"/>
      <c r="FSB91" s="6"/>
      <c r="FSC91" s="6"/>
      <c r="FSD91" s="6"/>
      <c r="FSE91" s="6"/>
      <c r="FSF91" s="6"/>
      <c r="FSG91" s="6"/>
      <c r="FSH91" s="6"/>
      <c r="FSI91" s="6"/>
      <c r="FSJ91" s="6"/>
      <c r="FSK91" s="6"/>
      <c r="FSL91" s="6"/>
      <c r="FSM91" s="6"/>
      <c r="FSN91" s="6"/>
      <c r="FSO91" s="6"/>
      <c r="FSP91" s="6"/>
      <c r="FSQ91" s="6"/>
      <c r="FSR91" s="6"/>
      <c r="FSS91" s="6"/>
      <c r="FST91" s="6"/>
      <c r="FSU91" s="6"/>
      <c r="FSV91" s="6"/>
      <c r="FSW91" s="6"/>
      <c r="FSX91" s="6"/>
      <c r="FSY91" s="6"/>
      <c r="FSZ91" s="6"/>
      <c r="FTA91" s="6"/>
      <c r="FTB91" s="6"/>
      <c r="FTC91" s="6"/>
      <c r="FTD91" s="6"/>
      <c r="FTE91" s="6"/>
      <c r="FTF91" s="6"/>
      <c r="FTG91" s="6"/>
      <c r="FTH91" s="6"/>
      <c r="FTI91" s="6"/>
      <c r="FTJ91" s="6"/>
      <c r="FTK91" s="6"/>
      <c r="FTL91" s="6"/>
      <c r="FTM91" s="6"/>
      <c r="FTN91" s="6"/>
      <c r="FTO91" s="6"/>
      <c r="FTP91" s="6"/>
      <c r="FTQ91" s="6"/>
      <c r="FTR91" s="6"/>
      <c r="FTS91" s="6"/>
      <c r="FTT91" s="6"/>
      <c r="FTU91" s="6"/>
      <c r="FTV91" s="6"/>
      <c r="FTW91" s="6"/>
      <c r="FTX91" s="6"/>
      <c r="FTY91" s="6"/>
      <c r="FTZ91" s="6"/>
      <c r="FUA91" s="6"/>
      <c r="FUB91" s="6"/>
      <c r="FUC91" s="6"/>
      <c r="FUD91" s="6"/>
      <c r="FUE91" s="6"/>
      <c r="FUF91" s="6"/>
      <c r="FUG91" s="6"/>
      <c r="FUH91" s="6"/>
      <c r="FUI91" s="6"/>
      <c r="FUJ91" s="6"/>
      <c r="FUK91" s="6"/>
      <c r="FUL91" s="6"/>
      <c r="FUM91" s="6"/>
      <c r="FUN91" s="6"/>
      <c r="FUO91" s="6"/>
      <c r="FUP91" s="6"/>
      <c r="FUQ91" s="6"/>
      <c r="FUR91" s="6"/>
      <c r="FUS91" s="6"/>
      <c r="FUT91" s="6"/>
      <c r="FUU91" s="6"/>
      <c r="FUV91" s="6"/>
      <c r="FUW91" s="6"/>
      <c r="FUX91" s="6"/>
      <c r="FUY91" s="6"/>
      <c r="FUZ91" s="6"/>
      <c r="FVA91" s="6"/>
      <c r="FVB91" s="6"/>
      <c r="FVC91" s="6"/>
      <c r="FVD91" s="6"/>
      <c r="FVE91" s="6"/>
      <c r="FVF91" s="6"/>
      <c r="FVG91" s="6"/>
      <c r="FVH91" s="6"/>
      <c r="FVI91" s="6"/>
      <c r="FVJ91" s="6"/>
      <c r="FVK91" s="6"/>
      <c r="FVL91" s="6"/>
      <c r="FVM91" s="6"/>
      <c r="FVN91" s="6"/>
      <c r="FVO91" s="6"/>
      <c r="FVP91" s="6"/>
      <c r="FVQ91" s="6"/>
      <c r="FVR91" s="6"/>
      <c r="FVS91" s="6"/>
      <c r="FVT91" s="6"/>
      <c r="FVU91" s="6"/>
      <c r="FVV91" s="6"/>
      <c r="FVW91" s="6"/>
      <c r="FVX91" s="6"/>
      <c r="FVY91" s="6"/>
      <c r="FVZ91" s="6"/>
      <c r="FWA91" s="6"/>
      <c r="FWB91" s="6"/>
      <c r="FWC91" s="6"/>
      <c r="FWD91" s="6"/>
      <c r="FWE91" s="6"/>
      <c r="FWF91" s="6"/>
      <c r="FWG91" s="6"/>
      <c r="FWH91" s="6"/>
      <c r="FWI91" s="6"/>
      <c r="FWJ91" s="6"/>
      <c r="FWK91" s="6"/>
      <c r="FWL91" s="6"/>
      <c r="FWM91" s="6"/>
      <c r="FWN91" s="6"/>
      <c r="FWO91" s="6"/>
      <c r="FWP91" s="6"/>
      <c r="FWQ91" s="6"/>
      <c r="FWR91" s="6"/>
      <c r="FWS91" s="6"/>
      <c r="FWT91" s="6"/>
      <c r="FWU91" s="6"/>
      <c r="FWV91" s="6"/>
      <c r="FWW91" s="6"/>
      <c r="FWX91" s="6"/>
      <c r="FWY91" s="6"/>
      <c r="FWZ91" s="6"/>
      <c r="FXA91" s="6"/>
      <c r="FXB91" s="6"/>
      <c r="FXC91" s="6"/>
      <c r="FXD91" s="6"/>
      <c r="FXE91" s="6"/>
      <c r="FXF91" s="6"/>
      <c r="FXG91" s="6"/>
      <c r="FXH91" s="6"/>
      <c r="FXI91" s="6"/>
      <c r="FXJ91" s="6"/>
      <c r="FXK91" s="6"/>
      <c r="FXL91" s="6"/>
      <c r="FXM91" s="6"/>
      <c r="FXN91" s="6"/>
      <c r="FXO91" s="6"/>
      <c r="FXP91" s="6"/>
      <c r="FXQ91" s="6"/>
      <c r="FXR91" s="6"/>
      <c r="FXS91" s="6"/>
      <c r="FXT91" s="6"/>
      <c r="FXU91" s="6"/>
      <c r="FXV91" s="6"/>
      <c r="FXW91" s="6"/>
      <c r="FXX91" s="6"/>
      <c r="FXY91" s="6"/>
      <c r="FXZ91" s="6"/>
      <c r="FYA91" s="6"/>
      <c r="FYB91" s="6"/>
      <c r="FYC91" s="6"/>
      <c r="FYD91" s="6"/>
      <c r="FYE91" s="6"/>
      <c r="FYF91" s="6"/>
      <c r="FYG91" s="6"/>
      <c r="FYH91" s="6"/>
      <c r="FYI91" s="6"/>
      <c r="FYJ91" s="6"/>
      <c r="FYK91" s="6"/>
      <c r="FYL91" s="6"/>
      <c r="FYM91" s="6"/>
      <c r="FYN91" s="6"/>
      <c r="FYO91" s="6"/>
      <c r="FYP91" s="6"/>
      <c r="FYQ91" s="6"/>
      <c r="FYR91" s="6"/>
      <c r="FYS91" s="6"/>
      <c r="FYT91" s="6"/>
      <c r="FYU91" s="6"/>
      <c r="FYV91" s="6"/>
      <c r="FYW91" s="6"/>
      <c r="FYX91" s="6"/>
      <c r="FYY91" s="6"/>
      <c r="FYZ91" s="6"/>
      <c r="FZA91" s="6"/>
      <c r="FZB91" s="6"/>
      <c r="FZC91" s="6"/>
      <c r="FZD91" s="6"/>
      <c r="FZE91" s="6"/>
      <c r="FZF91" s="6"/>
      <c r="FZG91" s="6"/>
      <c r="FZH91" s="6"/>
      <c r="FZI91" s="6"/>
      <c r="FZJ91" s="6"/>
      <c r="FZK91" s="6"/>
      <c r="FZL91" s="6"/>
      <c r="FZM91" s="6"/>
      <c r="FZN91" s="6"/>
      <c r="FZO91" s="6"/>
      <c r="FZP91" s="6"/>
      <c r="FZQ91" s="6"/>
      <c r="FZR91" s="6"/>
      <c r="FZS91" s="6"/>
      <c r="FZT91" s="6"/>
      <c r="FZU91" s="6"/>
      <c r="FZV91" s="6"/>
      <c r="FZW91" s="6"/>
      <c r="FZX91" s="6"/>
      <c r="FZY91" s="6"/>
      <c r="FZZ91" s="6"/>
      <c r="GAA91" s="6"/>
      <c r="GAB91" s="6"/>
      <c r="GAC91" s="6"/>
      <c r="GAD91" s="6"/>
      <c r="GAE91" s="6"/>
      <c r="GAF91" s="6"/>
      <c r="GAG91" s="6"/>
      <c r="GAH91" s="6"/>
      <c r="GAI91" s="6"/>
      <c r="GAJ91" s="6"/>
      <c r="GAK91" s="6"/>
      <c r="GAL91" s="6"/>
      <c r="GAM91" s="6"/>
      <c r="GAN91" s="6"/>
      <c r="GAO91" s="6"/>
      <c r="GAP91" s="6"/>
      <c r="GAQ91" s="6"/>
      <c r="GAR91" s="6"/>
      <c r="GAS91" s="6"/>
      <c r="GAT91" s="6"/>
      <c r="GAU91" s="6"/>
      <c r="GAV91" s="6"/>
      <c r="GAW91" s="6"/>
      <c r="GAX91" s="6"/>
      <c r="GAY91" s="6"/>
      <c r="GAZ91" s="6"/>
      <c r="GBA91" s="6"/>
      <c r="GBB91" s="6"/>
      <c r="GBC91" s="6"/>
      <c r="GBD91" s="6"/>
      <c r="GBE91" s="6"/>
      <c r="GBF91" s="6"/>
      <c r="GBG91" s="6"/>
      <c r="GBH91" s="6"/>
      <c r="GBI91" s="6"/>
      <c r="GBJ91" s="6"/>
      <c r="GBK91" s="6"/>
      <c r="GBL91" s="6"/>
      <c r="GBM91" s="6"/>
      <c r="GBN91" s="6"/>
      <c r="GBO91" s="6"/>
      <c r="GBP91" s="6"/>
      <c r="GBQ91" s="6"/>
      <c r="GBR91" s="6"/>
      <c r="GBS91" s="6"/>
      <c r="GBT91" s="6"/>
      <c r="GBU91" s="6"/>
      <c r="GBV91" s="6"/>
      <c r="GBW91" s="6"/>
      <c r="GBX91" s="6"/>
      <c r="GBY91" s="6"/>
      <c r="GBZ91" s="6"/>
      <c r="GCA91" s="6"/>
      <c r="GCB91" s="6"/>
      <c r="GCC91" s="6"/>
      <c r="GCD91" s="6"/>
      <c r="GCE91" s="6"/>
      <c r="GCF91" s="6"/>
      <c r="GCG91" s="6"/>
      <c r="GCH91" s="6"/>
      <c r="GCI91" s="6"/>
      <c r="GCJ91" s="6"/>
      <c r="GCK91" s="6"/>
      <c r="GCL91" s="6"/>
      <c r="GCM91" s="6"/>
      <c r="GCN91" s="6"/>
      <c r="GCO91" s="6"/>
      <c r="GCP91" s="6"/>
      <c r="GCQ91" s="6"/>
      <c r="GCR91" s="6"/>
      <c r="GCS91" s="6"/>
      <c r="GCT91" s="6"/>
      <c r="GCU91" s="6"/>
      <c r="GCV91" s="6"/>
      <c r="GCW91" s="6"/>
      <c r="GCX91" s="6"/>
      <c r="GCY91" s="6"/>
      <c r="GCZ91" s="6"/>
      <c r="GDA91" s="6"/>
      <c r="GDB91" s="6"/>
      <c r="GDC91" s="6"/>
      <c r="GDD91" s="6"/>
      <c r="GDE91" s="6"/>
      <c r="GDF91" s="6"/>
      <c r="GDG91" s="6"/>
      <c r="GDH91" s="6"/>
      <c r="GDI91" s="6"/>
      <c r="GDJ91" s="6"/>
      <c r="GDK91" s="6"/>
      <c r="GDL91" s="6"/>
      <c r="GDM91" s="6"/>
      <c r="GDN91" s="6"/>
      <c r="GDO91" s="6"/>
      <c r="GDP91" s="6"/>
      <c r="GDQ91" s="6"/>
      <c r="GDR91" s="6"/>
      <c r="GDS91" s="6"/>
      <c r="GDT91" s="6"/>
      <c r="GDU91" s="6"/>
      <c r="GDV91" s="6"/>
      <c r="GDW91" s="6"/>
      <c r="GDX91" s="6"/>
      <c r="GDY91" s="6"/>
      <c r="GDZ91" s="6"/>
      <c r="GEA91" s="6"/>
      <c r="GEB91" s="6"/>
      <c r="GEC91" s="6"/>
      <c r="GED91" s="6"/>
      <c r="GEE91" s="6"/>
      <c r="GEF91" s="6"/>
      <c r="GEG91" s="6"/>
      <c r="GEH91" s="6"/>
      <c r="GEI91" s="6"/>
      <c r="GEJ91" s="6"/>
      <c r="GEK91" s="6"/>
      <c r="GEL91" s="6"/>
      <c r="GEM91" s="6"/>
      <c r="GEN91" s="6"/>
      <c r="GEO91" s="6"/>
      <c r="GEP91" s="6"/>
      <c r="GEQ91" s="6"/>
      <c r="GER91" s="6"/>
      <c r="GES91" s="6"/>
      <c r="GET91" s="6"/>
      <c r="GEU91" s="6"/>
      <c r="GEV91" s="6"/>
      <c r="GEW91" s="6"/>
      <c r="GEX91" s="6"/>
      <c r="GEY91" s="6"/>
      <c r="GEZ91" s="6"/>
      <c r="GFA91" s="6"/>
      <c r="GFB91" s="6"/>
      <c r="GFC91" s="6"/>
      <c r="GFD91" s="6"/>
      <c r="GFE91" s="6"/>
      <c r="GFF91" s="6"/>
      <c r="GFG91" s="6"/>
      <c r="GFH91" s="6"/>
      <c r="GFI91" s="6"/>
      <c r="GFJ91" s="6"/>
      <c r="GFK91" s="6"/>
      <c r="GFL91" s="6"/>
      <c r="GFM91" s="6"/>
      <c r="GFN91" s="6"/>
      <c r="GFO91" s="6"/>
      <c r="GFP91" s="6"/>
      <c r="GFQ91" s="6"/>
      <c r="GFR91" s="6"/>
      <c r="GFS91" s="6"/>
      <c r="GFT91" s="6"/>
      <c r="GFU91" s="6"/>
      <c r="GFV91" s="6"/>
      <c r="GFW91" s="6"/>
      <c r="GFX91" s="6"/>
      <c r="GFY91" s="6"/>
      <c r="GFZ91" s="6"/>
      <c r="GGA91" s="6"/>
      <c r="GGB91" s="6"/>
      <c r="GGC91" s="6"/>
      <c r="GGD91" s="6"/>
      <c r="GGE91" s="6"/>
      <c r="GGF91" s="6"/>
      <c r="GGG91" s="6"/>
      <c r="GGH91" s="6"/>
      <c r="GGI91" s="6"/>
      <c r="GGJ91" s="6"/>
      <c r="GGK91" s="6"/>
      <c r="GGL91" s="6"/>
      <c r="GGM91" s="6"/>
      <c r="GGN91" s="6"/>
      <c r="GGO91" s="6"/>
      <c r="GGP91" s="6"/>
      <c r="GGQ91" s="6"/>
      <c r="GGR91" s="6"/>
      <c r="GGS91" s="6"/>
      <c r="GGT91" s="6"/>
      <c r="GGU91" s="6"/>
      <c r="GGV91" s="6"/>
      <c r="GGW91" s="6"/>
      <c r="GGX91" s="6"/>
      <c r="GGY91" s="6"/>
      <c r="GGZ91" s="6"/>
      <c r="GHA91" s="6"/>
      <c r="GHB91" s="6"/>
      <c r="GHC91" s="6"/>
      <c r="GHD91" s="6"/>
      <c r="GHE91" s="6"/>
      <c r="GHF91" s="6"/>
      <c r="GHG91" s="6"/>
      <c r="GHH91" s="6"/>
      <c r="GHI91" s="6"/>
      <c r="GHJ91" s="6"/>
      <c r="GHK91" s="6"/>
      <c r="GHL91" s="6"/>
      <c r="GHM91" s="6"/>
      <c r="GHN91" s="6"/>
      <c r="GHO91" s="6"/>
      <c r="GHP91" s="6"/>
      <c r="GHQ91" s="6"/>
      <c r="GHR91" s="6"/>
      <c r="GHS91" s="6"/>
      <c r="GHT91" s="6"/>
      <c r="GHU91" s="6"/>
      <c r="GHV91" s="6"/>
      <c r="GHW91" s="6"/>
      <c r="GHX91" s="6"/>
      <c r="GHY91" s="6"/>
      <c r="GHZ91" s="6"/>
      <c r="GIA91" s="6"/>
      <c r="GIB91" s="6"/>
      <c r="GIC91" s="6"/>
      <c r="GID91" s="6"/>
      <c r="GIE91" s="6"/>
      <c r="GIF91" s="6"/>
      <c r="GIG91" s="6"/>
      <c r="GIH91" s="6"/>
      <c r="GII91" s="6"/>
      <c r="GIJ91" s="6"/>
      <c r="GIK91" s="6"/>
      <c r="GIL91" s="6"/>
      <c r="GIM91" s="6"/>
      <c r="GIN91" s="6"/>
      <c r="GIO91" s="6"/>
      <c r="GIP91" s="6"/>
      <c r="GIQ91" s="6"/>
      <c r="GIR91" s="6"/>
      <c r="GIS91" s="6"/>
      <c r="GIT91" s="6"/>
      <c r="GIU91" s="6"/>
      <c r="GIV91" s="6"/>
      <c r="GIW91" s="6"/>
      <c r="GIX91" s="6"/>
      <c r="GIY91" s="6"/>
      <c r="GIZ91" s="6"/>
      <c r="GJA91" s="6"/>
      <c r="GJB91" s="6"/>
      <c r="GJC91" s="6"/>
      <c r="GJD91" s="6"/>
      <c r="GJE91" s="6"/>
      <c r="GJF91" s="6"/>
      <c r="GJG91" s="6"/>
      <c r="GJH91" s="6"/>
      <c r="GJI91" s="6"/>
      <c r="GJJ91" s="6"/>
      <c r="GJK91" s="6"/>
      <c r="GJL91" s="6"/>
      <c r="GJM91" s="6"/>
      <c r="GJN91" s="6"/>
      <c r="GJO91" s="6"/>
      <c r="GJP91" s="6"/>
      <c r="GJQ91" s="6"/>
      <c r="GJR91" s="6"/>
      <c r="GJS91" s="6"/>
      <c r="GJT91" s="6"/>
      <c r="GJU91" s="6"/>
      <c r="GJV91" s="6"/>
      <c r="GJW91" s="6"/>
      <c r="GJX91" s="6"/>
      <c r="GJY91" s="6"/>
      <c r="GJZ91" s="6"/>
      <c r="GKA91" s="6"/>
      <c r="GKB91" s="6"/>
      <c r="GKC91" s="6"/>
      <c r="GKD91" s="6"/>
      <c r="GKE91" s="6"/>
      <c r="GKF91" s="6"/>
      <c r="GKG91" s="6"/>
      <c r="GKH91" s="6"/>
      <c r="GKI91" s="6"/>
      <c r="GKJ91" s="6"/>
      <c r="GKK91" s="6"/>
      <c r="GKL91" s="6"/>
      <c r="GKM91" s="6"/>
      <c r="GKN91" s="6"/>
      <c r="GKO91" s="6"/>
      <c r="GKP91" s="6"/>
      <c r="GKQ91" s="6"/>
      <c r="GKR91" s="6"/>
      <c r="GKS91" s="6"/>
      <c r="GKT91" s="6"/>
      <c r="GKU91" s="6"/>
      <c r="GKV91" s="6"/>
      <c r="GKW91" s="6"/>
      <c r="GKX91" s="6"/>
      <c r="GKY91" s="6"/>
      <c r="GKZ91" s="6"/>
      <c r="GLA91" s="6"/>
      <c r="GLB91" s="6"/>
      <c r="GLC91" s="6"/>
      <c r="GLD91" s="6"/>
      <c r="GLE91" s="6"/>
      <c r="GLF91" s="6"/>
      <c r="GLG91" s="6"/>
      <c r="GLH91" s="6"/>
      <c r="GLI91" s="6"/>
      <c r="GLJ91" s="6"/>
      <c r="GLK91" s="6"/>
      <c r="GLL91" s="6"/>
      <c r="GLM91" s="6"/>
      <c r="GLN91" s="6"/>
      <c r="GLO91" s="6"/>
      <c r="GLP91" s="6"/>
      <c r="GLQ91" s="6"/>
      <c r="GLR91" s="6"/>
      <c r="GLS91" s="6"/>
      <c r="GLT91" s="6"/>
      <c r="GLU91" s="6"/>
      <c r="GLV91" s="6"/>
      <c r="GLW91" s="6"/>
      <c r="GLX91" s="6"/>
      <c r="GLY91" s="6"/>
      <c r="GLZ91" s="6"/>
      <c r="GMA91" s="6"/>
      <c r="GMB91" s="6"/>
      <c r="GMC91" s="6"/>
      <c r="GMD91" s="6"/>
      <c r="GME91" s="6"/>
      <c r="GMF91" s="6"/>
      <c r="GMG91" s="6"/>
      <c r="GMH91" s="6"/>
      <c r="GMI91" s="6"/>
      <c r="GMJ91" s="6"/>
      <c r="GMK91" s="6"/>
      <c r="GML91" s="6"/>
      <c r="GMM91" s="6"/>
      <c r="GMN91" s="6"/>
      <c r="GMO91" s="6"/>
      <c r="GMP91" s="6"/>
      <c r="GMQ91" s="6"/>
      <c r="GMR91" s="6"/>
      <c r="GMS91" s="6"/>
      <c r="GMT91" s="6"/>
      <c r="GMU91" s="6"/>
      <c r="GMV91" s="6"/>
      <c r="GMW91" s="6"/>
      <c r="GMX91" s="6"/>
      <c r="GMY91" s="6"/>
      <c r="GMZ91" s="6"/>
      <c r="GNA91" s="6"/>
      <c r="GNB91" s="6"/>
      <c r="GNC91" s="6"/>
      <c r="GND91" s="6"/>
      <c r="GNE91" s="6"/>
      <c r="GNF91" s="6"/>
      <c r="GNG91" s="6"/>
      <c r="GNH91" s="6"/>
      <c r="GNI91" s="6"/>
      <c r="GNJ91" s="6"/>
      <c r="GNK91" s="6"/>
      <c r="GNL91" s="6"/>
      <c r="GNM91" s="6"/>
      <c r="GNN91" s="6"/>
      <c r="GNO91" s="6"/>
      <c r="GNP91" s="6"/>
      <c r="GNQ91" s="6"/>
      <c r="GNR91" s="6"/>
      <c r="GNS91" s="6"/>
      <c r="GNT91" s="6"/>
      <c r="GNU91" s="6"/>
      <c r="GNV91" s="6"/>
      <c r="GNW91" s="6"/>
      <c r="GNX91" s="6"/>
      <c r="GNY91" s="6"/>
      <c r="GNZ91" s="6"/>
      <c r="GOA91" s="6"/>
      <c r="GOB91" s="6"/>
      <c r="GOC91" s="6"/>
      <c r="GOD91" s="6"/>
      <c r="GOE91" s="6"/>
      <c r="GOF91" s="6"/>
      <c r="GOG91" s="6"/>
      <c r="GOH91" s="6"/>
      <c r="GOI91" s="6"/>
      <c r="GOJ91" s="6"/>
      <c r="GOK91" s="6"/>
      <c r="GOL91" s="6"/>
      <c r="GOM91" s="6"/>
      <c r="GON91" s="6"/>
      <c r="GOO91" s="6"/>
      <c r="GOP91" s="6"/>
      <c r="GOQ91" s="6"/>
      <c r="GOR91" s="6"/>
      <c r="GOS91" s="6"/>
      <c r="GOT91" s="6"/>
      <c r="GOU91" s="6"/>
      <c r="GOV91" s="6"/>
      <c r="GOW91" s="6"/>
      <c r="GOX91" s="6"/>
      <c r="GOY91" s="6"/>
      <c r="GOZ91" s="6"/>
      <c r="GPA91" s="6"/>
      <c r="GPB91" s="6"/>
      <c r="GPC91" s="6"/>
      <c r="GPD91" s="6"/>
      <c r="GPE91" s="6"/>
      <c r="GPF91" s="6"/>
      <c r="GPG91" s="6"/>
      <c r="GPH91" s="6"/>
      <c r="GPI91" s="6"/>
      <c r="GPJ91" s="6"/>
      <c r="GPK91" s="6"/>
      <c r="GPL91" s="6"/>
      <c r="GPM91" s="6"/>
      <c r="GPN91" s="6"/>
      <c r="GPO91" s="6"/>
      <c r="GPP91" s="6"/>
      <c r="GPQ91" s="6"/>
      <c r="GPR91" s="6"/>
      <c r="GPS91" s="6"/>
      <c r="GPT91" s="6"/>
      <c r="GPU91" s="6"/>
      <c r="GPV91" s="6"/>
      <c r="GPW91" s="6"/>
      <c r="GPX91" s="6"/>
      <c r="GPY91" s="6"/>
      <c r="GPZ91" s="6"/>
      <c r="GQA91" s="6"/>
      <c r="GQB91" s="6"/>
      <c r="GQC91" s="6"/>
      <c r="GQD91" s="6"/>
      <c r="GQE91" s="6"/>
      <c r="GQF91" s="6"/>
      <c r="GQG91" s="6"/>
      <c r="GQH91" s="6"/>
      <c r="GQI91" s="6"/>
      <c r="GQJ91" s="6"/>
      <c r="GQK91" s="6"/>
      <c r="GQL91" s="6"/>
      <c r="GQM91" s="6"/>
      <c r="GQN91" s="6"/>
      <c r="GQO91" s="6"/>
      <c r="GQP91" s="6"/>
      <c r="GQQ91" s="6"/>
      <c r="GQR91" s="6"/>
      <c r="GQS91" s="6"/>
      <c r="GQT91" s="6"/>
      <c r="GQU91" s="6"/>
      <c r="GQV91" s="6"/>
      <c r="GQW91" s="6"/>
      <c r="GQX91" s="6"/>
      <c r="GQY91" s="6"/>
      <c r="GQZ91" s="6"/>
      <c r="GRA91" s="6"/>
      <c r="GRB91" s="6"/>
      <c r="GRC91" s="6"/>
      <c r="GRD91" s="6"/>
      <c r="GRE91" s="6"/>
      <c r="GRF91" s="6"/>
      <c r="GRG91" s="6"/>
      <c r="GRH91" s="6"/>
      <c r="GRI91" s="6"/>
      <c r="GRJ91" s="6"/>
      <c r="GRK91" s="6"/>
      <c r="GRL91" s="6"/>
      <c r="GRM91" s="6"/>
      <c r="GRN91" s="6"/>
      <c r="GRO91" s="6"/>
      <c r="GRP91" s="6"/>
      <c r="GRQ91" s="6"/>
      <c r="GRR91" s="6"/>
      <c r="GRS91" s="6"/>
      <c r="GRT91" s="6"/>
      <c r="GRU91" s="6"/>
      <c r="GRV91" s="6"/>
      <c r="GRW91" s="6"/>
      <c r="GRX91" s="6"/>
      <c r="GRY91" s="6"/>
      <c r="GRZ91" s="6"/>
      <c r="GSA91" s="6"/>
      <c r="GSB91" s="6"/>
      <c r="GSC91" s="6"/>
      <c r="GSD91" s="6"/>
      <c r="GSE91" s="6"/>
      <c r="GSF91" s="6"/>
      <c r="GSG91" s="6"/>
      <c r="GSH91" s="6"/>
      <c r="GSI91" s="6"/>
      <c r="GSJ91" s="6"/>
      <c r="GSK91" s="6"/>
      <c r="GSL91" s="6"/>
      <c r="GSM91" s="6"/>
      <c r="GSN91" s="6"/>
      <c r="GSO91" s="6"/>
      <c r="GSP91" s="6"/>
      <c r="GSQ91" s="6"/>
      <c r="GSR91" s="6"/>
      <c r="GSS91" s="6"/>
      <c r="GST91" s="6"/>
      <c r="GSU91" s="6"/>
      <c r="GSV91" s="6"/>
      <c r="GSW91" s="6"/>
      <c r="GSX91" s="6"/>
      <c r="GSY91" s="6"/>
      <c r="GSZ91" s="6"/>
      <c r="GTA91" s="6"/>
      <c r="GTB91" s="6"/>
      <c r="GTC91" s="6"/>
      <c r="GTD91" s="6"/>
      <c r="GTE91" s="6"/>
      <c r="GTF91" s="6"/>
      <c r="GTG91" s="6"/>
      <c r="GTH91" s="6"/>
      <c r="GTI91" s="6"/>
      <c r="GTJ91" s="6"/>
      <c r="GTK91" s="6"/>
      <c r="GTL91" s="6"/>
      <c r="GTM91" s="6"/>
      <c r="GTN91" s="6"/>
      <c r="GTO91" s="6"/>
      <c r="GTP91" s="6"/>
      <c r="GTQ91" s="6"/>
      <c r="GTR91" s="6"/>
      <c r="GTS91" s="6"/>
      <c r="GTT91" s="6"/>
      <c r="GTU91" s="6"/>
      <c r="GTV91" s="6"/>
      <c r="GTW91" s="6"/>
      <c r="GTX91" s="6"/>
      <c r="GTY91" s="6"/>
      <c r="GTZ91" s="6"/>
      <c r="GUA91" s="6"/>
      <c r="GUB91" s="6"/>
      <c r="GUC91" s="6"/>
      <c r="GUD91" s="6"/>
      <c r="GUE91" s="6"/>
      <c r="GUF91" s="6"/>
      <c r="GUG91" s="6"/>
      <c r="GUH91" s="6"/>
      <c r="GUI91" s="6"/>
      <c r="GUJ91" s="6"/>
      <c r="GUK91" s="6"/>
      <c r="GUL91" s="6"/>
      <c r="GUM91" s="6"/>
      <c r="GUN91" s="6"/>
      <c r="GUO91" s="6"/>
      <c r="GUP91" s="6"/>
      <c r="GUQ91" s="6"/>
      <c r="GUR91" s="6"/>
      <c r="GUS91" s="6"/>
      <c r="GUT91" s="6"/>
      <c r="GUU91" s="6"/>
      <c r="GUV91" s="6"/>
      <c r="GUW91" s="6"/>
      <c r="GUX91" s="6"/>
      <c r="GUY91" s="6"/>
      <c r="GUZ91" s="6"/>
      <c r="GVA91" s="6"/>
      <c r="GVB91" s="6"/>
      <c r="GVC91" s="6"/>
      <c r="GVD91" s="6"/>
      <c r="GVE91" s="6"/>
      <c r="GVF91" s="6"/>
      <c r="GVG91" s="6"/>
      <c r="GVH91" s="6"/>
      <c r="GVI91" s="6"/>
      <c r="GVJ91" s="6"/>
      <c r="GVK91" s="6"/>
      <c r="GVL91" s="6"/>
      <c r="GVM91" s="6"/>
      <c r="GVN91" s="6"/>
      <c r="GVO91" s="6"/>
      <c r="GVP91" s="6"/>
      <c r="GVQ91" s="6"/>
      <c r="GVR91" s="6"/>
      <c r="GVS91" s="6"/>
      <c r="GVT91" s="6"/>
      <c r="GVU91" s="6"/>
      <c r="GVV91" s="6"/>
      <c r="GVW91" s="6"/>
      <c r="GVX91" s="6"/>
      <c r="GVY91" s="6"/>
      <c r="GVZ91" s="6"/>
      <c r="GWA91" s="6"/>
      <c r="GWB91" s="6"/>
      <c r="GWC91" s="6"/>
      <c r="GWD91" s="6"/>
      <c r="GWE91" s="6"/>
      <c r="GWF91" s="6"/>
      <c r="GWG91" s="6"/>
      <c r="GWH91" s="6"/>
      <c r="GWI91" s="6"/>
      <c r="GWJ91" s="6"/>
      <c r="GWK91" s="6"/>
      <c r="GWL91" s="6"/>
      <c r="GWM91" s="6"/>
      <c r="GWN91" s="6"/>
      <c r="GWO91" s="6"/>
      <c r="GWP91" s="6"/>
      <c r="GWQ91" s="6"/>
      <c r="GWR91" s="6"/>
      <c r="GWS91" s="6"/>
      <c r="GWT91" s="6"/>
      <c r="GWU91" s="6"/>
      <c r="GWV91" s="6"/>
      <c r="GWW91" s="6"/>
      <c r="GWX91" s="6"/>
      <c r="GWY91" s="6"/>
      <c r="GWZ91" s="6"/>
      <c r="GXA91" s="6"/>
      <c r="GXB91" s="6"/>
      <c r="GXC91" s="6"/>
      <c r="GXD91" s="6"/>
      <c r="GXE91" s="6"/>
      <c r="GXF91" s="6"/>
      <c r="GXG91" s="6"/>
      <c r="GXH91" s="6"/>
      <c r="GXI91" s="6"/>
      <c r="GXJ91" s="6"/>
      <c r="GXK91" s="6"/>
      <c r="GXL91" s="6"/>
      <c r="GXM91" s="6"/>
      <c r="GXN91" s="6"/>
      <c r="GXO91" s="6"/>
      <c r="GXP91" s="6"/>
      <c r="GXQ91" s="6"/>
      <c r="GXR91" s="6"/>
      <c r="GXS91" s="6"/>
      <c r="GXT91" s="6"/>
      <c r="GXU91" s="6"/>
      <c r="GXV91" s="6"/>
      <c r="GXW91" s="6"/>
      <c r="GXX91" s="6"/>
      <c r="GXY91" s="6"/>
      <c r="GXZ91" s="6"/>
      <c r="GYA91" s="6"/>
      <c r="GYB91" s="6"/>
      <c r="GYC91" s="6"/>
      <c r="GYD91" s="6"/>
      <c r="GYE91" s="6"/>
      <c r="GYF91" s="6"/>
      <c r="GYG91" s="6"/>
      <c r="GYH91" s="6"/>
      <c r="GYI91" s="6"/>
      <c r="GYJ91" s="6"/>
      <c r="GYK91" s="6"/>
      <c r="GYL91" s="6"/>
      <c r="GYM91" s="6"/>
      <c r="GYN91" s="6"/>
      <c r="GYO91" s="6"/>
      <c r="GYP91" s="6"/>
      <c r="GYQ91" s="6"/>
      <c r="GYR91" s="6"/>
      <c r="GYS91" s="6"/>
      <c r="GYT91" s="6"/>
      <c r="GYU91" s="6"/>
      <c r="GYV91" s="6"/>
      <c r="GYW91" s="6"/>
      <c r="GYX91" s="6"/>
      <c r="GYY91" s="6"/>
      <c r="GYZ91" s="6"/>
      <c r="GZA91" s="6"/>
      <c r="GZB91" s="6"/>
      <c r="GZC91" s="6"/>
      <c r="GZD91" s="6"/>
      <c r="GZE91" s="6"/>
      <c r="GZF91" s="6"/>
      <c r="GZG91" s="6"/>
      <c r="GZH91" s="6"/>
      <c r="GZI91" s="6"/>
      <c r="GZJ91" s="6"/>
      <c r="GZK91" s="6"/>
      <c r="GZL91" s="6"/>
      <c r="GZM91" s="6"/>
      <c r="GZN91" s="6"/>
      <c r="GZO91" s="6"/>
      <c r="GZP91" s="6"/>
      <c r="GZQ91" s="6"/>
      <c r="GZR91" s="6"/>
      <c r="GZS91" s="6"/>
      <c r="GZT91" s="6"/>
      <c r="GZU91" s="6"/>
      <c r="GZV91" s="6"/>
      <c r="GZW91" s="6"/>
      <c r="GZX91" s="6"/>
      <c r="GZY91" s="6"/>
      <c r="GZZ91" s="6"/>
      <c r="HAA91" s="6"/>
      <c r="HAB91" s="6"/>
      <c r="HAC91" s="6"/>
      <c r="HAD91" s="6"/>
      <c r="HAE91" s="6"/>
      <c r="HAF91" s="6"/>
      <c r="HAG91" s="6"/>
      <c r="HAH91" s="6"/>
      <c r="HAI91" s="6"/>
      <c r="HAJ91" s="6"/>
      <c r="HAK91" s="6"/>
      <c r="HAL91" s="6"/>
      <c r="HAM91" s="6"/>
      <c r="HAN91" s="6"/>
      <c r="HAO91" s="6"/>
      <c r="HAP91" s="6"/>
      <c r="HAQ91" s="6"/>
      <c r="HAR91" s="6"/>
      <c r="HAS91" s="6"/>
      <c r="HAT91" s="6"/>
      <c r="HAU91" s="6"/>
      <c r="HAV91" s="6"/>
      <c r="HAW91" s="6"/>
      <c r="HAX91" s="6"/>
      <c r="HAY91" s="6"/>
      <c r="HAZ91" s="6"/>
      <c r="HBA91" s="6"/>
      <c r="HBB91" s="6"/>
      <c r="HBC91" s="6"/>
      <c r="HBD91" s="6"/>
      <c r="HBE91" s="6"/>
      <c r="HBF91" s="6"/>
      <c r="HBG91" s="6"/>
      <c r="HBH91" s="6"/>
      <c r="HBI91" s="6"/>
      <c r="HBJ91" s="6"/>
      <c r="HBK91" s="6"/>
      <c r="HBL91" s="6"/>
      <c r="HBM91" s="6"/>
      <c r="HBN91" s="6"/>
      <c r="HBO91" s="6"/>
      <c r="HBP91" s="6"/>
      <c r="HBQ91" s="6"/>
      <c r="HBR91" s="6"/>
      <c r="HBS91" s="6"/>
      <c r="HBT91" s="6"/>
      <c r="HBU91" s="6"/>
      <c r="HBV91" s="6"/>
      <c r="HBW91" s="6"/>
      <c r="HBX91" s="6"/>
      <c r="HBY91" s="6"/>
      <c r="HBZ91" s="6"/>
      <c r="HCA91" s="6"/>
      <c r="HCB91" s="6"/>
      <c r="HCC91" s="6"/>
      <c r="HCD91" s="6"/>
      <c r="HCE91" s="6"/>
      <c r="HCF91" s="6"/>
      <c r="HCG91" s="6"/>
      <c r="HCH91" s="6"/>
      <c r="HCI91" s="6"/>
      <c r="HCJ91" s="6"/>
      <c r="HCK91" s="6"/>
      <c r="HCL91" s="6"/>
      <c r="HCM91" s="6"/>
      <c r="HCN91" s="6"/>
      <c r="HCO91" s="6"/>
      <c r="HCP91" s="6"/>
      <c r="HCQ91" s="6"/>
      <c r="HCR91" s="6"/>
      <c r="HCS91" s="6"/>
      <c r="HCT91" s="6"/>
      <c r="HCU91" s="6"/>
      <c r="HCV91" s="6"/>
      <c r="HCW91" s="6"/>
      <c r="HCX91" s="6"/>
      <c r="HCY91" s="6"/>
      <c r="HCZ91" s="6"/>
      <c r="HDA91" s="6"/>
      <c r="HDB91" s="6"/>
      <c r="HDC91" s="6"/>
      <c r="HDD91" s="6"/>
      <c r="HDE91" s="6"/>
      <c r="HDF91" s="6"/>
      <c r="HDG91" s="6"/>
      <c r="HDH91" s="6"/>
      <c r="HDI91" s="6"/>
      <c r="HDJ91" s="6"/>
      <c r="HDK91" s="6"/>
      <c r="HDL91" s="6"/>
      <c r="HDM91" s="6"/>
      <c r="HDN91" s="6"/>
      <c r="HDO91" s="6"/>
      <c r="HDP91" s="6"/>
      <c r="HDQ91" s="6"/>
      <c r="HDR91" s="6"/>
      <c r="HDS91" s="6"/>
      <c r="HDT91" s="6"/>
      <c r="HDU91" s="6"/>
      <c r="HDV91" s="6"/>
      <c r="HDW91" s="6"/>
      <c r="HDX91" s="6"/>
      <c r="HDY91" s="6"/>
      <c r="HDZ91" s="6"/>
      <c r="HEA91" s="6"/>
      <c r="HEB91" s="6"/>
      <c r="HEC91" s="6"/>
      <c r="HED91" s="6"/>
      <c r="HEE91" s="6"/>
      <c r="HEF91" s="6"/>
      <c r="HEG91" s="6"/>
      <c r="HEH91" s="6"/>
      <c r="HEI91" s="6"/>
      <c r="HEJ91" s="6"/>
      <c r="HEK91" s="6"/>
      <c r="HEL91" s="6"/>
      <c r="HEM91" s="6"/>
      <c r="HEN91" s="6"/>
      <c r="HEO91" s="6"/>
      <c r="HEP91" s="6"/>
      <c r="HEQ91" s="6"/>
      <c r="HER91" s="6"/>
      <c r="HES91" s="6"/>
      <c r="HET91" s="6"/>
      <c r="HEU91" s="6"/>
      <c r="HEV91" s="6"/>
      <c r="HEW91" s="6"/>
      <c r="HEX91" s="6"/>
      <c r="HEY91" s="6"/>
      <c r="HEZ91" s="6"/>
      <c r="HFA91" s="6"/>
      <c r="HFB91" s="6"/>
      <c r="HFC91" s="6"/>
      <c r="HFD91" s="6"/>
      <c r="HFE91" s="6"/>
      <c r="HFF91" s="6"/>
      <c r="HFG91" s="6"/>
      <c r="HFH91" s="6"/>
      <c r="HFI91" s="6"/>
      <c r="HFJ91" s="6"/>
      <c r="HFK91" s="6"/>
      <c r="HFL91" s="6"/>
      <c r="HFM91" s="6"/>
      <c r="HFN91" s="6"/>
      <c r="HFO91" s="6"/>
      <c r="HFP91" s="6"/>
      <c r="HFQ91" s="6"/>
      <c r="HFR91" s="6"/>
      <c r="HFS91" s="6"/>
      <c r="HFT91" s="6"/>
      <c r="HFU91" s="6"/>
      <c r="HFV91" s="6"/>
      <c r="HFW91" s="6"/>
      <c r="HFX91" s="6"/>
      <c r="HFY91" s="6"/>
      <c r="HFZ91" s="6"/>
      <c r="HGA91" s="6"/>
      <c r="HGB91" s="6"/>
      <c r="HGC91" s="6"/>
      <c r="HGD91" s="6"/>
      <c r="HGE91" s="6"/>
      <c r="HGF91" s="6"/>
      <c r="HGG91" s="6"/>
      <c r="HGH91" s="6"/>
      <c r="HGI91" s="6"/>
      <c r="HGJ91" s="6"/>
      <c r="HGK91" s="6"/>
      <c r="HGL91" s="6"/>
      <c r="HGM91" s="6"/>
      <c r="HGN91" s="6"/>
      <c r="HGO91" s="6"/>
      <c r="HGP91" s="6"/>
      <c r="HGQ91" s="6"/>
      <c r="HGR91" s="6"/>
      <c r="HGS91" s="6"/>
      <c r="HGT91" s="6"/>
      <c r="HGU91" s="6"/>
      <c r="HGV91" s="6"/>
      <c r="HGW91" s="6"/>
      <c r="HGX91" s="6"/>
      <c r="HGY91" s="6"/>
      <c r="HGZ91" s="6"/>
      <c r="HHA91" s="6"/>
      <c r="HHB91" s="6"/>
      <c r="HHC91" s="6"/>
      <c r="HHD91" s="6"/>
      <c r="HHE91" s="6"/>
      <c r="HHF91" s="6"/>
      <c r="HHG91" s="6"/>
      <c r="HHH91" s="6"/>
      <c r="HHI91" s="6"/>
      <c r="HHJ91" s="6"/>
      <c r="HHK91" s="6"/>
      <c r="HHL91" s="6"/>
      <c r="HHM91" s="6"/>
      <c r="HHN91" s="6"/>
      <c r="HHO91" s="6"/>
      <c r="HHP91" s="6"/>
      <c r="HHQ91" s="6"/>
      <c r="HHR91" s="6"/>
      <c r="HHS91" s="6"/>
      <c r="HHT91" s="6"/>
      <c r="HHU91" s="6"/>
      <c r="HHV91" s="6"/>
      <c r="HHW91" s="6"/>
      <c r="HHX91" s="6"/>
      <c r="HHY91" s="6"/>
      <c r="HHZ91" s="6"/>
      <c r="HIA91" s="6"/>
      <c r="HIB91" s="6"/>
      <c r="HIC91" s="6"/>
      <c r="HID91" s="6"/>
      <c r="HIE91" s="6"/>
      <c r="HIF91" s="6"/>
      <c r="HIG91" s="6"/>
      <c r="HIH91" s="6"/>
      <c r="HII91" s="6"/>
      <c r="HIJ91" s="6"/>
      <c r="HIK91" s="6"/>
      <c r="HIL91" s="6"/>
      <c r="HIM91" s="6"/>
      <c r="HIN91" s="6"/>
      <c r="HIO91" s="6"/>
      <c r="HIP91" s="6"/>
      <c r="HIQ91" s="6"/>
      <c r="HIR91" s="6"/>
      <c r="HIS91" s="6"/>
      <c r="HIT91" s="6"/>
      <c r="HIU91" s="6"/>
      <c r="HIV91" s="6"/>
      <c r="HIW91" s="6"/>
      <c r="HIX91" s="6"/>
      <c r="HIY91" s="6"/>
      <c r="HIZ91" s="6"/>
      <c r="HJA91" s="6"/>
      <c r="HJB91" s="6"/>
      <c r="HJC91" s="6"/>
      <c r="HJD91" s="6"/>
      <c r="HJE91" s="6"/>
      <c r="HJF91" s="6"/>
      <c r="HJG91" s="6"/>
      <c r="HJH91" s="6"/>
      <c r="HJI91" s="6"/>
      <c r="HJJ91" s="6"/>
      <c r="HJK91" s="6"/>
      <c r="HJL91" s="6"/>
      <c r="HJM91" s="6"/>
      <c r="HJN91" s="6"/>
      <c r="HJO91" s="6"/>
      <c r="HJP91" s="6"/>
      <c r="HJQ91" s="6"/>
      <c r="HJR91" s="6"/>
      <c r="HJS91" s="6"/>
      <c r="HJT91" s="6"/>
      <c r="HJU91" s="6"/>
      <c r="HJV91" s="6"/>
      <c r="HJW91" s="6"/>
      <c r="HJX91" s="6"/>
      <c r="HJY91" s="6"/>
      <c r="HJZ91" s="6"/>
      <c r="HKA91" s="6"/>
      <c r="HKB91" s="6"/>
      <c r="HKC91" s="6"/>
      <c r="HKD91" s="6"/>
      <c r="HKE91" s="6"/>
      <c r="HKF91" s="6"/>
      <c r="HKG91" s="6"/>
      <c r="HKH91" s="6"/>
      <c r="HKI91" s="6"/>
      <c r="HKJ91" s="6"/>
      <c r="HKK91" s="6"/>
      <c r="HKL91" s="6"/>
      <c r="HKM91" s="6"/>
      <c r="HKN91" s="6"/>
      <c r="HKO91" s="6"/>
      <c r="HKP91" s="6"/>
      <c r="HKQ91" s="6"/>
      <c r="HKR91" s="6"/>
      <c r="HKS91" s="6"/>
      <c r="HKT91" s="6"/>
      <c r="HKU91" s="6"/>
      <c r="HKV91" s="6"/>
      <c r="HKW91" s="6"/>
      <c r="HKX91" s="6"/>
      <c r="HKY91" s="6"/>
      <c r="HKZ91" s="6"/>
      <c r="HLA91" s="6"/>
      <c r="HLB91" s="6"/>
      <c r="HLC91" s="6"/>
      <c r="HLD91" s="6"/>
      <c r="HLE91" s="6"/>
      <c r="HLF91" s="6"/>
      <c r="HLG91" s="6"/>
      <c r="HLH91" s="6"/>
      <c r="HLI91" s="6"/>
      <c r="HLJ91" s="6"/>
      <c r="HLK91" s="6"/>
      <c r="HLL91" s="6"/>
      <c r="HLM91" s="6"/>
      <c r="HLN91" s="6"/>
      <c r="HLO91" s="6"/>
      <c r="HLP91" s="6"/>
      <c r="HLQ91" s="6"/>
      <c r="HLR91" s="6"/>
      <c r="HLS91" s="6"/>
      <c r="HLT91" s="6"/>
      <c r="HLU91" s="6"/>
      <c r="HLV91" s="6"/>
      <c r="HLW91" s="6"/>
      <c r="HLX91" s="6"/>
      <c r="HLY91" s="6"/>
      <c r="HLZ91" s="6"/>
      <c r="HMA91" s="6"/>
      <c r="HMB91" s="6"/>
      <c r="HMC91" s="6"/>
      <c r="HMD91" s="6"/>
      <c r="HME91" s="6"/>
      <c r="HMF91" s="6"/>
      <c r="HMG91" s="6"/>
      <c r="HMH91" s="6"/>
      <c r="HMI91" s="6"/>
      <c r="HMJ91" s="6"/>
      <c r="HMK91" s="6"/>
      <c r="HML91" s="6"/>
      <c r="HMM91" s="6"/>
      <c r="HMN91" s="6"/>
      <c r="HMO91" s="6"/>
      <c r="HMP91" s="6"/>
      <c r="HMQ91" s="6"/>
      <c r="HMR91" s="6"/>
      <c r="HMS91" s="6"/>
      <c r="HMT91" s="6"/>
      <c r="HMU91" s="6"/>
      <c r="HMV91" s="6"/>
      <c r="HMW91" s="6"/>
      <c r="HMX91" s="6"/>
      <c r="HMY91" s="6"/>
      <c r="HMZ91" s="6"/>
      <c r="HNA91" s="6"/>
      <c r="HNB91" s="6"/>
      <c r="HNC91" s="6"/>
      <c r="HND91" s="6"/>
      <c r="HNE91" s="6"/>
      <c r="HNF91" s="6"/>
      <c r="HNG91" s="6"/>
      <c r="HNH91" s="6"/>
      <c r="HNI91" s="6"/>
      <c r="HNJ91" s="6"/>
      <c r="HNK91" s="6"/>
      <c r="HNL91" s="6"/>
      <c r="HNM91" s="6"/>
      <c r="HNN91" s="6"/>
      <c r="HNO91" s="6"/>
      <c r="HNP91" s="6"/>
      <c r="HNQ91" s="6"/>
      <c r="HNR91" s="6"/>
      <c r="HNS91" s="6"/>
      <c r="HNT91" s="6"/>
      <c r="HNU91" s="6"/>
      <c r="HNV91" s="6"/>
      <c r="HNW91" s="6"/>
      <c r="HNX91" s="6"/>
      <c r="HNY91" s="6"/>
      <c r="HNZ91" s="6"/>
      <c r="HOA91" s="6"/>
      <c r="HOB91" s="6"/>
      <c r="HOC91" s="6"/>
      <c r="HOD91" s="6"/>
      <c r="HOE91" s="6"/>
      <c r="HOF91" s="6"/>
      <c r="HOG91" s="6"/>
      <c r="HOH91" s="6"/>
      <c r="HOI91" s="6"/>
      <c r="HOJ91" s="6"/>
      <c r="HOK91" s="6"/>
      <c r="HOL91" s="6"/>
      <c r="HOM91" s="6"/>
      <c r="HON91" s="6"/>
      <c r="HOO91" s="6"/>
      <c r="HOP91" s="6"/>
      <c r="HOQ91" s="6"/>
      <c r="HOR91" s="6"/>
      <c r="HOS91" s="6"/>
      <c r="HOT91" s="6"/>
      <c r="HOU91" s="6"/>
      <c r="HOV91" s="6"/>
      <c r="HOW91" s="6"/>
      <c r="HOX91" s="6"/>
      <c r="HOY91" s="6"/>
      <c r="HOZ91" s="6"/>
      <c r="HPA91" s="6"/>
      <c r="HPB91" s="6"/>
      <c r="HPC91" s="6"/>
      <c r="HPD91" s="6"/>
      <c r="HPE91" s="6"/>
      <c r="HPF91" s="6"/>
      <c r="HPG91" s="6"/>
      <c r="HPH91" s="6"/>
      <c r="HPI91" s="6"/>
      <c r="HPJ91" s="6"/>
      <c r="HPK91" s="6"/>
      <c r="HPL91" s="6"/>
      <c r="HPM91" s="6"/>
      <c r="HPN91" s="6"/>
      <c r="HPO91" s="6"/>
      <c r="HPP91" s="6"/>
      <c r="HPQ91" s="6"/>
      <c r="HPR91" s="6"/>
      <c r="HPS91" s="6"/>
      <c r="HPT91" s="6"/>
      <c r="HPU91" s="6"/>
      <c r="HPV91" s="6"/>
      <c r="HPW91" s="6"/>
      <c r="HPX91" s="6"/>
      <c r="HPY91" s="6"/>
      <c r="HPZ91" s="6"/>
      <c r="HQA91" s="6"/>
      <c r="HQB91" s="6"/>
      <c r="HQC91" s="6"/>
      <c r="HQD91" s="6"/>
      <c r="HQE91" s="6"/>
      <c r="HQF91" s="6"/>
      <c r="HQG91" s="6"/>
      <c r="HQH91" s="6"/>
      <c r="HQI91" s="6"/>
      <c r="HQJ91" s="6"/>
      <c r="HQK91" s="6"/>
      <c r="HQL91" s="6"/>
      <c r="HQM91" s="6"/>
      <c r="HQN91" s="6"/>
      <c r="HQO91" s="6"/>
      <c r="HQP91" s="6"/>
      <c r="HQQ91" s="6"/>
      <c r="HQR91" s="6"/>
      <c r="HQS91" s="6"/>
      <c r="HQT91" s="6"/>
      <c r="HQU91" s="6"/>
      <c r="HQV91" s="6"/>
      <c r="HQW91" s="6"/>
      <c r="HQX91" s="6"/>
      <c r="HQY91" s="6"/>
      <c r="HQZ91" s="6"/>
      <c r="HRA91" s="6"/>
      <c r="HRB91" s="6"/>
      <c r="HRC91" s="6"/>
      <c r="HRD91" s="6"/>
      <c r="HRE91" s="6"/>
      <c r="HRF91" s="6"/>
      <c r="HRG91" s="6"/>
      <c r="HRH91" s="6"/>
      <c r="HRI91" s="6"/>
      <c r="HRJ91" s="6"/>
      <c r="HRK91" s="6"/>
      <c r="HRL91" s="6"/>
      <c r="HRM91" s="6"/>
      <c r="HRN91" s="6"/>
      <c r="HRO91" s="6"/>
      <c r="HRP91" s="6"/>
      <c r="HRQ91" s="6"/>
      <c r="HRR91" s="6"/>
      <c r="HRS91" s="6"/>
      <c r="HRT91" s="6"/>
      <c r="HRU91" s="6"/>
      <c r="HRV91" s="6"/>
      <c r="HRW91" s="6"/>
      <c r="HRX91" s="6"/>
      <c r="HRY91" s="6"/>
      <c r="HRZ91" s="6"/>
      <c r="HSA91" s="6"/>
      <c r="HSB91" s="6"/>
      <c r="HSC91" s="6"/>
      <c r="HSD91" s="6"/>
      <c r="HSE91" s="6"/>
      <c r="HSF91" s="6"/>
      <c r="HSG91" s="6"/>
      <c r="HSH91" s="6"/>
      <c r="HSI91" s="6"/>
      <c r="HSJ91" s="6"/>
      <c r="HSK91" s="6"/>
      <c r="HSL91" s="6"/>
      <c r="HSM91" s="6"/>
      <c r="HSN91" s="6"/>
      <c r="HSO91" s="6"/>
      <c r="HSP91" s="6"/>
      <c r="HSQ91" s="6"/>
      <c r="HSR91" s="6"/>
      <c r="HSS91" s="6"/>
      <c r="HST91" s="6"/>
      <c r="HSU91" s="6"/>
      <c r="HSV91" s="6"/>
      <c r="HSW91" s="6"/>
      <c r="HSX91" s="6"/>
      <c r="HSY91" s="6"/>
      <c r="HSZ91" s="6"/>
      <c r="HTA91" s="6"/>
      <c r="HTB91" s="6"/>
      <c r="HTC91" s="6"/>
      <c r="HTD91" s="6"/>
      <c r="HTE91" s="6"/>
      <c r="HTF91" s="6"/>
      <c r="HTG91" s="6"/>
      <c r="HTH91" s="6"/>
      <c r="HTI91" s="6"/>
      <c r="HTJ91" s="6"/>
      <c r="HTK91" s="6"/>
      <c r="HTL91" s="6"/>
      <c r="HTM91" s="6"/>
      <c r="HTN91" s="6"/>
      <c r="HTO91" s="6"/>
      <c r="HTP91" s="6"/>
      <c r="HTQ91" s="6"/>
      <c r="HTR91" s="6"/>
      <c r="HTS91" s="6"/>
      <c r="HTT91" s="6"/>
      <c r="HTU91" s="6"/>
      <c r="HTV91" s="6"/>
      <c r="HTW91" s="6"/>
      <c r="HTX91" s="6"/>
      <c r="HTY91" s="6"/>
      <c r="HTZ91" s="6"/>
      <c r="HUA91" s="6"/>
      <c r="HUB91" s="6"/>
      <c r="HUC91" s="6"/>
      <c r="HUD91" s="6"/>
      <c r="HUE91" s="6"/>
      <c r="HUF91" s="6"/>
      <c r="HUG91" s="6"/>
      <c r="HUH91" s="6"/>
      <c r="HUI91" s="6"/>
      <c r="HUJ91" s="6"/>
      <c r="HUK91" s="6"/>
      <c r="HUL91" s="6"/>
      <c r="HUM91" s="6"/>
      <c r="HUN91" s="6"/>
      <c r="HUO91" s="6"/>
      <c r="HUP91" s="6"/>
      <c r="HUQ91" s="6"/>
      <c r="HUR91" s="6"/>
      <c r="HUS91" s="6"/>
      <c r="HUT91" s="6"/>
      <c r="HUU91" s="6"/>
      <c r="HUV91" s="6"/>
      <c r="HUW91" s="6"/>
      <c r="HUX91" s="6"/>
      <c r="HUY91" s="6"/>
      <c r="HUZ91" s="6"/>
      <c r="HVA91" s="6"/>
      <c r="HVB91" s="6"/>
      <c r="HVC91" s="6"/>
      <c r="HVD91" s="6"/>
      <c r="HVE91" s="6"/>
      <c r="HVF91" s="6"/>
      <c r="HVG91" s="6"/>
      <c r="HVH91" s="6"/>
      <c r="HVI91" s="6"/>
      <c r="HVJ91" s="6"/>
      <c r="HVK91" s="6"/>
      <c r="HVL91" s="6"/>
      <c r="HVM91" s="6"/>
      <c r="HVN91" s="6"/>
      <c r="HVO91" s="6"/>
      <c r="HVP91" s="6"/>
      <c r="HVQ91" s="6"/>
      <c r="HVR91" s="6"/>
      <c r="HVS91" s="6"/>
      <c r="HVT91" s="6"/>
      <c r="HVU91" s="6"/>
      <c r="HVV91" s="6"/>
      <c r="HVW91" s="6"/>
      <c r="HVX91" s="6"/>
      <c r="HVY91" s="6"/>
      <c r="HVZ91" s="6"/>
      <c r="HWA91" s="6"/>
      <c r="HWB91" s="6"/>
      <c r="HWC91" s="6"/>
      <c r="HWD91" s="6"/>
      <c r="HWE91" s="6"/>
      <c r="HWF91" s="6"/>
      <c r="HWG91" s="6"/>
      <c r="HWH91" s="6"/>
      <c r="HWI91" s="6"/>
      <c r="HWJ91" s="6"/>
      <c r="HWK91" s="6"/>
      <c r="HWL91" s="6"/>
      <c r="HWM91" s="6"/>
      <c r="HWN91" s="6"/>
      <c r="HWO91" s="6"/>
      <c r="HWP91" s="6"/>
      <c r="HWQ91" s="6"/>
      <c r="HWR91" s="6"/>
      <c r="HWS91" s="6"/>
      <c r="HWT91" s="6"/>
      <c r="HWU91" s="6"/>
      <c r="HWV91" s="6"/>
      <c r="HWW91" s="6"/>
      <c r="HWX91" s="6"/>
      <c r="HWY91" s="6"/>
      <c r="HWZ91" s="6"/>
      <c r="HXA91" s="6"/>
      <c r="HXB91" s="6"/>
      <c r="HXC91" s="6"/>
      <c r="HXD91" s="6"/>
      <c r="HXE91" s="6"/>
      <c r="HXF91" s="6"/>
      <c r="HXG91" s="6"/>
      <c r="HXH91" s="6"/>
      <c r="HXI91" s="6"/>
      <c r="HXJ91" s="6"/>
      <c r="HXK91" s="6"/>
      <c r="HXL91" s="6"/>
      <c r="HXM91" s="6"/>
      <c r="HXN91" s="6"/>
      <c r="HXO91" s="6"/>
      <c r="HXP91" s="6"/>
      <c r="HXQ91" s="6"/>
      <c r="HXR91" s="6"/>
      <c r="HXS91" s="6"/>
      <c r="HXT91" s="6"/>
      <c r="HXU91" s="6"/>
      <c r="HXV91" s="6"/>
      <c r="HXW91" s="6"/>
      <c r="HXX91" s="6"/>
      <c r="HXY91" s="6"/>
      <c r="HXZ91" s="6"/>
      <c r="HYA91" s="6"/>
      <c r="HYB91" s="6"/>
      <c r="HYC91" s="6"/>
      <c r="HYD91" s="6"/>
      <c r="HYE91" s="6"/>
      <c r="HYF91" s="6"/>
      <c r="HYG91" s="6"/>
      <c r="HYH91" s="6"/>
      <c r="HYI91" s="6"/>
      <c r="HYJ91" s="6"/>
      <c r="HYK91" s="6"/>
      <c r="HYL91" s="6"/>
      <c r="HYM91" s="6"/>
      <c r="HYN91" s="6"/>
      <c r="HYO91" s="6"/>
      <c r="HYP91" s="6"/>
      <c r="HYQ91" s="6"/>
      <c r="HYR91" s="6"/>
      <c r="HYS91" s="6"/>
      <c r="HYT91" s="6"/>
      <c r="HYU91" s="6"/>
      <c r="HYV91" s="6"/>
      <c r="HYW91" s="6"/>
      <c r="HYX91" s="6"/>
      <c r="HYY91" s="6"/>
      <c r="HYZ91" s="6"/>
      <c r="HZA91" s="6"/>
      <c r="HZB91" s="6"/>
      <c r="HZC91" s="6"/>
      <c r="HZD91" s="6"/>
      <c r="HZE91" s="6"/>
      <c r="HZF91" s="6"/>
      <c r="HZG91" s="6"/>
      <c r="HZH91" s="6"/>
      <c r="HZI91" s="6"/>
      <c r="HZJ91" s="6"/>
      <c r="HZK91" s="6"/>
      <c r="HZL91" s="6"/>
      <c r="HZM91" s="6"/>
      <c r="HZN91" s="6"/>
      <c r="HZO91" s="6"/>
      <c r="HZP91" s="6"/>
      <c r="HZQ91" s="6"/>
      <c r="HZR91" s="6"/>
      <c r="HZS91" s="6"/>
      <c r="HZT91" s="6"/>
      <c r="HZU91" s="6"/>
      <c r="HZV91" s="6"/>
      <c r="HZW91" s="6"/>
      <c r="HZX91" s="6"/>
      <c r="HZY91" s="6"/>
      <c r="HZZ91" s="6"/>
      <c r="IAA91" s="6"/>
      <c r="IAB91" s="6"/>
      <c r="IAC91" s="6"/>
      <c r="IAD91" s="6"/>
      <c r="IAE91" s="6"/>
      <c r="IAF91" s="6"/>
      <c r="IAG91" s="6"/>
      <c r="IAH91" s="6"/>
      <c r="IAI91" s="6"/>
      <c r="IAJ91" s="6"/>
      <c r="IAK91" s="6"/>
      <c r="IAL91" s="6"/>
      <c r="IAM91" s="6"/>
      <c r="IAN91" s="6"/>
      <c r="IAO91" s="6"/>
      <c r="IAP91" s="6"/>
      <c r="IAQ91" s="6"/>
      <c r="IAR91" s="6"/>
      <c r="IAS91" s="6"/>
      <c r="IAT91" s="6"/>
      <c r="IAU91" s="6"/>
      <c r="IAV91" s="6"/>
      <c r="IAW91" s="6"/>
      <c r="IAX91" s="6"/>
      <c r="IAY91" s="6"/>
      <c r="IAZ91" s="6"/>
      <c r="IBA91" s="6"/>
      <c r="IBB91" s="6"/>
      <c r="IBC91" s="6"/>
      <c r="IBD91" s="6"/>
      <c r="IBE91" s="6"/>
      <c r="IBF91" s="6"/>
      <c r="IBG91" s="6"/>
      <c r="IBH91" s="6"/>
      <c r="IBI91" s="6"/>
      <c r="IBJ91" s="6"/>
      <c r="IBK91" s="6"/>
      <c r="IBL91" s="6"/>
      <c r="IBM91" s="6"/>
      <c r="IBN91" s="6"/>
      <c r="IBO91" s="6"/>
      <c r="IBP91" s="6"/>
      <c r="IBQ91" s="6"/>
      <c r="IBR91" s="6"/>
      <c r="IBS91" s="6"/>
      <c r="IBT91" s="6"/>
      <c r="IBU91" s="6"/>
      <c r="IBV91" s="6"/>
      <c r="IBW91" s="6"/>
      <c r="IBX91" s="6"/>
      <c r="IBY91" s="6"/>
      <c r="IBZ91" s="6"/>
      <c r="ICA91" s="6"/>
      <c r="ICB91" s="6"/>
      <c r="ICC91" s="6"/>
      <c r="ICD91" s="6"/>
      <c r="ICE91" s="6"/>
      <c r="ICF91" s="6"/>
      <c r="ICG91" s="6"/>
      <c r="ICH91" s="6"/>
      <c r="ICI91" s="6"/>
      <c r="ICJ91" s="6"/>
      <c r="ICK91" s="6"/>
      <c r="ICL91" s="6"/>
      <c r="ICM91" s="6"/>
      <c r="ICN91" s="6"/>
      <c r="ICO91" s="6"/>
      <c r="ICP91" s="6"/>
      <c r="ICQ91" s="6"/>
      <c r="ICR91" s="6"/>
      <c r="ICS91" s="6"/>
      <c r="ICT91" s="6"/>
      <c r="ICU91" s="6"/>
      <c r="ICV91" s="6"/>
      <c r="ICW91" s="6"/>
      <c r="ICX91" s="6"/>
      <c r="ICY91" s="6"/>
      <c r="ICZ91" s="6"/>
      <c r="IDA91" s="6"/>
      <c r="IDB91" s="6"/>
      <c r="IDC91" s="6"/>
      <c r="IDD91" s="6"/>
      <c r="IDE91" s="6"/>
      <c r="IDF91" s="6"/>
      <c r="IDG91" s="6"/>
      <c r="IDH91" s="6"/>
      <c r="IDI91" s="6"/>
      <c r="IDJ91" s="6"/>
      <c r="IDK91" s="6"/>
      <c r="IDL91" s="6"/>
      <c r="IDM91" s="6"/>
      <c r="IDN91" s="6"/>
      <c r="IDO91" s="6"/>
      <c r="IDP91" s="6"/>
      <c r="IDQ91" s="6"/>
      <c r="IDR91" s="6"/>
      <c r="IDS91" s="6"/>
      <c r="IDT91" s="6"/>
      <c r="IDU91" s="6"/>
      <c r="IDV91" s="6"/>
      <c r="IDW91" s="6"/>
      <c r="IDX91" s="6"/>
      <c r="IDY91" s="6"/>
      <c r="IDZ91" s="6"/>
      <c r="IEA91" s="6"/>
      <c r="IEB91" s="6"/>
      <c r="IEC91" s="6"/>
      <c r="IED91" s="6"/>
      <c r="IEE91" s="6"/>
      <c r="IEF91" s="6"/>
      <c r="IEG91" s="6"/>
      <c r="IEH91" s="6"/>
      <c r="IEI91" s="6"/>
      <c r="IEJ91" s="6"/>
      <c r="IEK91" s="6"/>
      <c r="IEL91" s="6"/>
      <c r="IEM91" s="6"/>
      <c r="IEN91" s="6"/>
      <c r="IEO91" s="6"/>
      <c r="IEP91" s="6"/>
      <c r="IEQ91" s="6"/>
      <c r="IER91" s="6"/>
      <c r="IES91" s="6"/>
      <c r="IET91" s="6"/>
      <c r="IEU91" s="6"/>
      <c r="IEV91" s="6"/>
      <c r="IEW91" s="6"/>
      <c r="IEX91" s="6"/>
      <c r="IEY91" s="6"/>
      <c r="IEZ91" s="6"/>
      <c r="IFA91" s="6"/>
      <c r="IFB91" s="6"/>
      <c r="IFC91" s="6"/>
      <c r="IFD91" s="6"/>
      <c r="IFE91" s="6"/>
      <c r="IFF91" s="6"/>
      <c r="IFG91" s="6"/>
      <c r="IFH91" s="6"/>
      <c r="IFI91" s="6"/>
      <c r="IFJ91" s="6"/>
      <c r="IFK91" s="6"/>
      <c r="IFL91" s="6"/>
      <c r="IFM91" s="6"/>
      <c r="IFN91" s="6"/>
      <c r="IFO91" s="6"/>
      <c r="IFP91" s="6"/>
      <c r="IFQ91" s="6"/>
      <c r="IFR91" s="6"/>
      <c r="IFS91" s="6"/>
      <c r="IFT91" s="6"/>
      <c r="IFU91" s="6"/>
      <c r="IFV91" s="6"/>
      <c r="IFW91" s="6"/>
      <c r="IFX91" s="6"/>
      <c r="IFY91" s="6"/>
      <c r="IFZ91" s="6"/>
      <c r="IGA91" s="6"/>
      <c r="IGB91" s="6"/>
      <c r="IGC91" s="6"/>
      <c r="IGD91" s="6"/>
      <c r="IGE91" s="6"/>
      <c r="IGF91" s="6"/>
      <c r="IGG91" s="6"/>
      <c r="IGH91" s="6"/>
      <c r="IGI91" s="6"/>
      <c r="IGJ91" s="6"/>
      <c r="IGK91" s="6"/>
      <c r="IGL91" s="6"/>
      <c r="IGM91" s="6"/>
      <c r="IGN91" s="6"/>
      <c r="IGO91" s="6"/>
      <c r="IGP91" s="6"/>
      <c r="IGQ91" s="6"/>
      <c r="IGR91" s="6"/>
      <c r="IGS91" s="6"/>
      <c r="IGT91" s="6"/>
      <c r="IGU91" s="6"/>
      <c r="IGV91" s="6"/>
      <c r="IGW91" s="6"/>
      <c r="IGX91" s="6"/>
      <c r="IGY91" s="6"/>
      <c r="IGZ91" s="6"/>
      <c r="IHA91" s="6"/>
      <c r="IHB91" s="6"/>
      <c r="IHC91" s="6"/>
      <c r="IHD91" s="6"/>
      <c r="IHE91" s="6"/>
      <c r="IHF91" s="6"/>
      <c r="IHG91" s="6"/>
      <c r="IHH91" s="6"/>
      <c r="IHI91" s="6"/>
      <c r="IHJ91" s="6"/>
      <c r="IHK91" s="6"/>
      <c r="IHL91" s="6"/>
      <c r="IHM91" s="6"/>
      <c r="IHN91" s="6"/>
      <c r="IHO91" s="6"/>
      <c r="IHP91" s="6"/>
      <c r="IHQ91" s="6"/>
      <c r="IHR91" s="6"/>
      <c r="IHS91" s="6"/>
      <c r="IHT91" s="6"/>
      <c r="IHU91" s="6"/>
      <c r="IHV91" s="6"/>
      <c r="IHW91" s="6"/>
      <c r="IHX91" s="6"/>
      <c r="IHY91" s="6"/>
      <c r="IHZ91" s="6"/>
      <c r="IIA91" s="6"/>
      <c r="IIB91" s="6"/>
      <c r="IIC91" s="6"/>
      <c r="IID91" s="6"/>
      <c r="IIE91" s="6"/>
      <c r="IIF91" s="6"/>
      <c r="IIG91" s="6"/>
      <c r="IIH91" s="6"/>
      <c r="III91" s="6"/>
      <c r="IIJ91" s="6"/>
      <c r="IIK91" s="6"/>
      <c r="IIL91" s="6"/>
      <c r="IIM91" s="6"/>
      <c r="IIN91" s="6"/>
      <c r="IIO91" s="6"/>
      <c r="IIP91" s="6"/>
      <c r="IIQ91" s="6"/>
      <c r="IIR91" s="6"/>
      <c r="IIS91" s="6"/>
      <c r="IIT91" s="6"/>
      <c r="IIU91" s="6"/>
      <c r="IIV91" s="6"/>
      <c r="IIW91" s="6"/>
      <c r="IIX91" s="6"/>
      <c r="IIY91" s="6"/>
      <c r="IIZ91" s="6"/>
      <c r="IJA91" s="6"/>
      <c r="IJB91" s="6"/>
      <c r="IJC91" s="6"/>
      <c r="IJD91" s="6"/>
      <c r="IJE91" s="6"/>
      <c r="IJF91" s="6"/>
      <c r="IJG91" s="6"/>
      <c r="IJH91" s="6"/>
      <c r="IJI91" s="6"/>
      <c r="IJJ91" s="6"/>
      <c r="IJK91" s="6"/>
      <c r="IJL91" s="6"/>
      <c r="IJM91" s="6"/>
      <c r="IJN91" s="6"/>
      <c r="IJO91" s="6"/>
      <c r="IJP91" s="6"/>
      <c r="IJQ91" s="6"/>
      <c r="IJR91" s="6"/>
      <c r="IJS91" s="6"/>
      <c r="IJT91" s="6"/>
      <c r="IJU91" s="6"/>
      <c r="IJV91" s="6"/>
      <c r="IJW91" s="6"/>
      <c r="IJX91" s="6"/>
      <c r="IJY91" s="6"/>
      <c r="IJZ91" s="6"/>
      <c r="IKA91" s="6"/>
      <c r="IKB91" s="6"/>
      <c r="IKC91" s="6"/>
      <c r="IKD91" s="6"/>
      <c r="IKE91" s="6"/>
      <c r="IKF91" s="6"/>
      <c r="IKG91" s="6"/>
      <c r="IKH91" s="6"/>
      <c r="IKI91" s="6"/>
      <c r="IKJ91" s="6"/>
      <c r="IKK91" s="6"/>
      <c r="IKL91" s="6"/>
      <c r="IKM91" s="6"/>
      <c r="IKN91" s="6"/>
      <c r="IKO91" s="6"/>
      <c r="IKP91" s="6"/>
      <c r="IKQ91" s="6"/>
      <c r="IKR91" s="6"/>
      <c r="IKS91" s="6"/>
      <c r="IKT91" s="6"/>
      <c r="IKU91" s="6"/>
      <c r="IKV91" s="6"/>
      <c r="IKW91" s="6"/>
      <c r="IKX91" s="6"/>
      <c r="IKY91" s="6"/>
      <c r="IKZ91" s="6"/>
      <c r="ILA91" s="6"/>
      <c r="ILB91" s="6"/>
      <c r="ILC91" s="6"/>
      <c r="ILD91" s="6"/>
      <c r="ILE91" s="6"/>
      <c r="ILF91" s="6"/>
      <c r="ILG91" s="6"/>
      <c r="ILH91" s="6"/>
      <c r="ILI91" s="6"/>
      <c r="ILJ91" s="6"/>
      <c r="ILK91" s="6"/>
      <c r="ILL91" s="6"/>
      <c r="ILM91" s="6"/>
      <c r="ILN91" s="6"/>
      <c r="ILO91" s="6"/>
      <c r="ILP91" s="6"/>
      <c r="ILQ91" s="6"/>
      <c r="ILR91" s="6"/>
      <c r="ILS91" s="6"/>
      <c r="ILT91" s="6"/>
      <c r="ILU91" s="6"/>
      <c r="ILV91" s="6"/>
      <c r="ILW91" s="6"/>
      <c r="ILX91" s="6"/>
      <c r="ILY91" s="6"/>
      <c r="ILZ91" s="6"/>
      <c r="IMA91" s="6"/>
      <c r="IMB91" s="6"/>
      <c r="IMC91" s="6"/>
      <c r="IMD91" s="6"/>
      <c r="IME91" s="6"/>
      <c r="IMF91" s="6"/>
      <c r="IMG91" s="6"/>
      <c r="IMH91" s="6"/>
      <c r="IMI91" s="6"/>
      <c r="IMJ91" s="6"/>
      <c r="IMK91" s="6"/>
      <c r="IML91" s="6"/>
      <c r="IMM91" s="6"/>
      <c r="IMN91" s="6"/>
      <c r="IMO91" s="6"/>
      <c r="IMP91" s="6"/>
      <c r="IMQ91" s="6"/>
      <c r="IMR91" s="6"/>
      <c r="IMS91" s="6"/>
      <c r="IMT91" s="6"/>
      <c r="IMU91" s="6"/>
      <c r="IMV91" s="6"/>
      <c r="IMW91" s="6"/>
      <c r="IMX91" s="6"/>
      <c r="IMY91" s="6"/>
      <c r="IMZ91" s="6"/>
      <c r="INA91" s="6"/>
      <c r="INB91" s="6"/>
      <c r="INC91" s="6"/>
      <c r="IND91" s="6"/>
      <c r="INE91" s="6"/>
      <c r="INF91" s="6"/>
      <c r="ING91" s="6"/>
      <c r="INH91" s="6"/>
      <c r="INI91" s="6"/>
      <c r="INJ91" s="6"/>
      <c r="INK91" s="6"/>
      <c r="INL91" s="6"/>
      <c r="INM91" s="6"/>
      <c r="INN91" s="6"/>
      <c r="INO91" s="6"/>
      <c r="INP91" s="6"/>
      <c r="INQ91" s="6"/>
      <c r="INR91" s="6"/>
      <c r="INS91" s="6"/>
      <c r="INT91" s="6"/>
      <c r="INU91" s="6"/>
      <c r="INV91" s="6"/>
      <c r="INW91" s="6"/>
      <c r="INX91" s="6"/>
      <c r="INY91" s="6"/>
      <c r="INZ91" s="6"/>
      <c r="IOA91" s="6"/>
      <c r="IOB91" s="6"/>
      <c r="IOC91" s="6"/>
      <c r="IOD91" s="6"/>
      <c r="IOE91" s="6"/>
      <c r="IOF91" s="6"/>
      <c r="IOG91" s="6"/>
      <c r="IOH91" s="6"/>
      <c r="IOI91" s="6"/>
      <c r="IOJ91" s="6"/>
      <c r="IOK91" s="6"/>
      <c r="IOL91" s="6"/>
      <c r="IOM91" s="6"/>
      <c r="ION91" s="6"/>
      <c r="IOO91" s="6"/>
      <c r="IOP91" s="6"/>
      <c r="IOQ91" s="6"/>
      <c r="IOR91" s="6"/>
      <c r="IOS91" s="6"/>
      <c r="IOT91" s="6"/>
      <c r="IOU91" s="6"/>
      <c r="IOV91" s="6"/>
      <c r="IOW91" s="6"/>
      <c r="IOX91" s="6"/>
      <c r="IOY91" s="6"/>
      <c r="IOZ91" s="6"/>
      <c r="IPA91" s="6"/>
      <c r="IPB91" s="6"/>
      <c r="IPC91" s="6"/>
      <c r="IPD91" s="6"/>
      <c r="IPE91" s="6"/>
      <c r="IPF91" s="6"/>
      <c r="IPG91" s="6"/>
      <c r="IPH91" s="6"/>
      <c r="IPI91" s="6"/>
      <c r="IPJ91" s="6"/>
      <c r="IPK91" s="6"/>
      <c r="IPL91" s="6"/>
      <c r="IPM91" s="6"/>
      <c r="IPN91" s="6"/>
      <c r="IPO91" s="6"/>
      <c r="IPP91" s="6"/>
      <c r="IPQ91" s="6"/>
      <c r="IPR91" s="6"/>
      <c r="IPS91" s="6"/>
      <c r="IPT91" s="6"/>
      <c r="IPU91" s="6"/>
      <c r="IPV91" s="6"/>
      <c r="IPW91" s="6"/>
      <c r="IPX91" s="6"/>
      <c r="IPY91" s="6"/>
      <c r="IPZ91" s="6"/>
      <c r="IQA91" s="6"/>
      <c r="IQB91" s="6"/>
      <c r="IQC91" s="6"/>
      <c r="IQD91" s="6"/>
      <c r="IQE91" s="6"/>
      <c r="IQF91" s="6"/>
      <c r="IQG91" s="6"/>
      <c r="IQH91" s="6"/>
      <c r="IQI91" s="6"/>
      <c r="IQJ91" s="6"/>
      <c r="IQK91" s="6"/>
      <c r="IQL91" s="6"/>
      <c r="IQM91" s="6"/>
      <c r="IQN91" s="6"/>
      <c r="IQO91" s="6"/>
      <c r="IQP91" s="6"/>
      <c r="IQQ91" s="6"/>
      <c r="IQR91" s="6"/>
      <c r="IQS91" s="6"/>
      <c r="IQT91" s="6"/>
      <c r="IQU91" s="6"/>
      <c r="IQV91" s="6"/>
      <c r="IQW91" s="6"/>
      <c r="IQX91" s="6"/>
      <c r="IQY91" s="6"/>
      <c r="IQZ91" s="6"/>
      <c r="IRA91" s="6"/>
      <c r="IRB91" s="6"/>
      <c r="IRC91" s="6"/>
      <c r="IRD91" s="6"/>
      <c r="IRE91" s="6"/>
      <c r="IRF91" s="6"/>
      <c r="IRG91" s="6"/>
      <c r="IRH91" s="6"/>
      <c r="IRI91" s="6"/>
      <c r="IRJ91" s="6"/>
      <c r="IRK91" s="6"/>
      <c r="IRL91" s="6"/>
      <c r="IRM91" s="6"/>
      <c r="IRN91" s="6"/>
      <c r="IRO91" s="6"/>
      <c r="IRP91" s="6"/>
      <c r="IRQ91" s="6"/>
      <c r="IRR91" s="6"/>
      <c r="IRS91" s="6"/>
      <c r="IRT91" s="6"/>
      <c r="IRU91" s="6"/>
      <c r="IRV91" s="6"/>
      <c r="IRW91" s="6"/>
      <c r="IRX91" s="6"/>
      <c r="IRY91" s="6"/>
      <c r="IRZ91" s="6"/>
      <c r="ISA91" s="6"/>
      <c r="ISB91" s="6"/>
      <c r="ISC91" s="6"/>
      <c r="ISD91" s="6"/>
      <c r="ISE91" s="6"/>
      <c r="ISF91" s="6"/>
      <c r="ISG91" s="6"/>
      <c r="ISH91" s="6"/>
      <c r="ISI91" s="6"/>
      <c r="ISJ91" s="6"/>
      <c r="ISK91" s="6"/>
      <c r="ISL91" s="6"/>
      <c r="ISM91" s="6"/>
      <c r="ISN91" s="6"/>
      <c r="ISO91" s="6"/>
      <c r="ISP91" s="6"/>
      <c r="ISQ91" s="6"/>
      <c r="ISR91" s="6"/>
      <c r="ISS91" s="6"/>
      <c r="IST91" s="6"/>
      <c r="ISU91" s="6"/>
      <c r="ISV91" s="6"/>
      <c r="ISW91" s="6"/>
      <c r="ISX91" s="6"/>
      <c r="ISY91" s="6"/>
      <c r="ISZ91" s="6"/>
      <c r="ITA91" s="6"/>
      <c r="ITB91" s="6"/>
      <c r="ITC91" s="6"/>
      <c r="ITD91" s="6"/>
      <c r="ITE91" s="6"/>
      <c r="ITF91" s="6"/>
      <c r="ITG91" s="6"/>
      <c r="ITH91" s="6"/>
      <c r="ITI91" s="6"/>
      <c r="ITJ91" s="6"/>
      <c r="ITK91" s="6"/>
      <c r="ITL91" s="6"/>
      <c r="ITM91" s="6"/>
      <c r="ITN91" s="6"/>
      <c r="ITO91" s="6"/>
      <c r="ITP91" s="6"/>
      <c r="ITQ91" s="6"/>
      <c r="ITR91" s="6"/>
      <c r="ITS91" s="6"/>
      <c r="ITT91" s="6"/>
      <c r="ITU91" s="6"/>
      <c r="ITV91" s="6"/>
      <c r="ITW91" s="6"/>
      <c r="ITX91" s="6"/>
      <c r="ITY91" s="6"/>
      <c r="ITZ91" s="6"/>
      <c r="IUA91" s="6"/>
      <c r="IUB91" s="6"/>
      <c r="IUC91" s="6"/>
      <c r="IUD91" s="6"/>
      <c r="IUE91" s="6"/>
      <c r="IUF91" s="6"/>
      <c r="IUG91" s="6"/>
      <c r="IUH91" s="6"/>
      <c r="IUI91" s="6"/>
      <c r="IUJ91" s="6"/>
      <c r="IUK91" s="6"/>
      <c r="IUL91" s="6"/>
      <c r="IUM91" s="6"/>
      <c r="IUN91" s="6"/>
      <c r="IUO91" s="6"/>
      <c r="IUP91" s="6"/>
      <c r="IUQ91" s="6"/>
      <c r="IUR91" s="6"/>
      <c r="IUS91" s="6"/>
      <c r="IUT91" s="6"/>
      <c r="IUU91" s="6"/>
      <c r="IUV91" s="6"/>
      <c r="IUW91" s="6"/>
      <c r="IUX91" s="6"/>
      <c r="IUY91" s="6"/>
      <c r="IUZ91" s="6"/>
      <c r="IVA91" s="6"/>
      <c r="IVB91" s="6"/>
      <c r="IVC91" s="6"/>
      <c r="IVD91" s="6"/>
      <c r="IVE91" s="6"/>
      <c r="IVF91" s="6"/>
      <c r="IVG91" s="6"/>
      <c r="IVH91" s="6"/>
      <c r="IVI91" s="6"/>
      <c r="IVJ91" s="6"/>
      <c r="IVK91" s="6"/>
      <c r="IVL91" s="6"/>
      <c r="IVM91" s="6"/>
      <c r="IVN91" s="6"/>
      <c r="IVO91" s="6"/>
      <c r="IVP91" s="6"/>
      <c r="IVQ91" s="6"/>
      <c r="IVR91" s="6"/>
      <c r="IVS91" s="6"/>
      <c r="IVT91" s="6"/>
      <c r="IVU91" s="6"/>
      <c r="IVV91" s="6"/>
      <c r="IVW91" s="6"/>
      <c r="IVX91" s="6"/>
      <c r="IVY91" s="6"/>
      <c r="IVZ91" s="6"/>
      <c r="IWA91" s="6"/>
      <c r="IWB91" s="6"/>
      <c r="IWC91" s="6"/>
      <c r="IWD91" s="6"/>
      <c r="IWE91" s="6"/>
      <c r="IWF91" s="6"/>
      <c r="IWG91" s="6"/>
      <c r="IWH91" s="6"/>
      <c r="IWI91" s="6"/>
      <c r="IWJ91" s="6"/>
      <c r="IWK91" s="6"/>
      <c r="IWL91" s="6"/>
      <c r="IWM91" s="6"/>
      <c r="IWN91" s="6"/>
      <c r="IWO91" s="6"/>
      <c r="IWP91" s="6"/>
      <c r="IWQ91" s="6"/>
      <c r="IWR91" s="6"/>
      <c r="IWS91" s="6"/>
      <c r="IWT91" s="6"/>
      <c r="IWU91" s="6"/>
      <c r="IWV91" s="6"/>
      <c r="IWW91" s="6"/>
      <c r="IWX91" s="6"/>
      <c r="IWY91" s="6"/>
      <c r="IWZ91" s="6"/>
      <c r="IXA91" s="6"/>
      <c r="IXB91" s="6"/>
      <c r="IXC91" s="6"/>
      <c r="IXD91" s="6"/>
      <c r="IXE91" s="6"/>
      <c r="IXF91" s="6"/>
      <c r="IXG91" s="6"/>
      <c r="IXH91" s="6"/>
      <c r="IXI91" s="6"/>
      <c r="IXJ91" s="6"/>
      <c r="IXK91" s="6"/>
      <c r="IXL91" s="6"/>
      <c r="IXM91" s="6"/>
      <c r="IXN91" s="6"/>
      <c r="IXO91" s="6"/>
      <c r="IXP91" s="6"/>
      <c r="IXQ91" s="6"/>
      <c r="IXR91" s="6"/>
      <c r="IXS91" s="6"/>
      <c r="IXT91" s="6"/>
      <c r="IXU91" s="6"/>
      <c r="IXV91" s="6"/>
      <c r="IXW91" s="6"/>
      <c r="IXX91" s="6"/>
      <c r="IXY91" s="6"/>
      <c r="IXZ91" s="6"/>
      <c r="IYA91" s="6"/>
      <c r="IYB91" s="6"/>
      <c r="IYC91" s="6"/>
      <c r="IYD91" s="6"/>
      <c r="IYE91" s="6"/>
      <c r="IYF91" s="6"/>
      <c r="IYG91" s="6"/>
      <c r="IYH91" s="6"/>
      <c r="IYI91" s="6"/>
      <c r="IYJ91" s="6"/>
      <c r="IYK91" s="6"/>
      <c r="IYL91" s="6"/>
      <c r="IYM91" s="6"/>
      <c r="IYN91" s="6"/>
      <c r="IYO91" s="6"/>
      <c r="IYP91" s="6"/>
      <c r="IYQ91" s="6"/>
      <c r="IYR91" s="6"/>
      <c r="IYS91" s="6"/>
      <c r="IYT91" s="6"/>
      <c r="IYU91" s="6"/>
      <c r="IYV91" s="6"/>
      <c r="IYW91" s="6"/>
      <c r="IYX91" s="6"/>
      <c r="IYY91" s="6"/>
      <c r="IYZ91" s="6"/>
      <c r="IZA91" s="6"/>
      <c r="IZB91" s="6"/>
      <c r="IZC91" s="6"/>
      <c r="IZD91" s="6"/>
      <c r="IZE91" s="6"/>
      <c r="IZF91" s="6"/>
      <c r="IZG91" s="6"/>
      <c r="IZH91" s="6"/>
      <c r="IZI91" s="6"/>
      <c r="IZJ91" s="6"/>
      <c r="IZK91" s="6"/>
      <c r="IZL91" s="6"/>
      <c r="IZM91" s="6"/>
      <c r="IZN91" s="6"/>
      <c r="IZO91" s="6"/>
      <c r="IZP91" s="6"/>
      <c r="IZQ91" s="6"/>
      <c r="IZR91" s="6"/>
      <c r="IZS91" s="6"/>
      <c r="IZT91" s="6"/>
      <c r="IZU91" s="6"/>
      <c r="IZV91" s="6"/>
      <c r="IZW91" s="6"/>
      <c r="IZX91" s="6"/>
      <c r="IZY91" s="6"/>
      <c r="IZZ91" s="6"/>
      <c r="JAA91" s="6"/>
      <c r="JAB91" s="6"/>
      <c r="JAC91" s="6"/>
      <c r="JAD91" s="6"/>
      <c r="JAE91" s="6"/>
      <c r="JAF91" s="6"/>
      <c r="JAG91" s="6"/>
      <c r="JAH91" s="6"/>
      <c r="JAI91" s="6"/>
      <c r="JAJ91" s="6"/>
      <c r="JAK91" s="6"/>
      <c r="JAL91" s="6"/>
      <c r="JAM91" s="6"/>
      <c r="JAN91" s="6"/>
      <c r="JAO91" s="6"/>
      <c r="JAP91" s="6"/>
      <c r="JAQ91" s="6"/>
      <c r="JAR91" s="6"/>
      <c r="JAS91" s="6"/>
      <c r="JAT91" s="6"/>
      <c r="JAU91" s="6"/>
      <c r="JAV91" s="6"/>
      <c r="JAW91" s="6"/>
      <c r="JAX91" s="6"/>
      <c r="JAY91" s="6"/>
      <c r="JAZ91" s="6"/>
      <c r="JBA91" s="6"/>
      <c r="JBB91" s="6"/>
      <c r="JBC91" s="6"/>
      <c r="JBD91" s="6"/>
      <c r="JBE91" s="6"/>
      <c r="JBF91" s="6"/>
      <c r="JBG91" s="6"/>
      <c r="JBH91" s="6"/>
      <c r="JBI91" s="6"/>
      <c r="JBJ91" s="6"/>
      <c r="JBK91" s="6"/>
      <c r="JBL91" s="6"/>
      <c r="JBM91" s="6"/>
      <c r="JBN91" s="6"/>
      <c r="JBO91" s="6"/>
      <c r="JBP91" s="6"/>
      <c r="JBQ91" s="6"/>
      <c r="JBR91" s="6"/>
      <c r="JBS91" s="6"/>
      <c r="JBT91" s="6"/>
      <c r="JBU91" s="6"/>
      <c r="JBV91" s="6"/>
      <c r="JBW91" s="6"/>
      <c r="JBX91" s="6"/>
      <c r="JBY91" s="6"/>
      <c r="JBZ91" s="6"/>
      <c r="JCA91" s="6"/>
      <c r="JCB91" s="6"/>
      <c r="JCC91" s="6"/>
      <c r="JCD91" s="6"/>
      <c r="JCE91" s="6"/>
      <c r="JCF91" s="6"/>
      <c r="JCG91" s="6"/>
      <c r="JCH91" s="6"/>
      <c r="JCI91" s="6"/>
      <c r="JCJ91" s="6"/>
      <c r="JCK91" s="6"/>
      <c r="JCL91" s="6"/>
      <c r="JCM91" s="6"/>
      <c r="JCN91" s="6"/>
      <c r="JCO91" s="6"/>
      <c r="JCP91" s="6"/>
      <c r="JCQ91" s="6"/>
      <c r="JCR91" s="6"/>
      <c r="JCS91" s="6"/>
      <c r="JCT91" s="6"/>
      <c r="JCU91" s="6"/>
      <c r="JCV91" s="6"/>
      <c r="JCW91" s="6"/>
      <c r="JCX91" s="6"/>
      <c r="JCY91" s="6"/>
      <c r="JCZ91" s="6"/>
      <c r="JDA91" s="6"/>
      <c r="JDB91" s="6"/>
      <c r="JDC91" s="6"/>
      <c r="JDD91" s="6"/>
      <c r="JDE91" s="6"/>
      <c r="JDF91" s="6"/>
      <c r="JDG91" s="6"/>
      <c r="JDH91" s="6"/>
      <c r="JDI91" s="6"/>
      <c r="JDJ91" s="6"/>
      <c r="JDK91" s="6"/>
      <c r="JDL91" s="6"/>
      <c r="JDM91" s="6"/>
      <c r="JDN91" s="6"/>
      <c r="JDO91" s="6"/>
      <c r="JDP91" s="6"/>
      <c r="JDQ91" s="6"/>
      <c r="JDR91" s="6"/>
      <c r="JDS91" s="6"/>
      <c r="JDT91" s="6"/>
      <c r="JDU91" s="6"/>
      <c r="JDV91" s="6"/>
      <c r="JDW91" s="6"/>
      <c r="JDX91" s="6"/>
      <c r="JDY91" s="6"/>
      <c r="JDZ91" s="6"/>
      <c r="JEA91" s="6"/>
      <c r="JEB91" s="6"/>
      <c r="JEC91" s="6"/>
      <c r="JED91" s="6"/>
      <c r="JEE91" s="6"/>
      <c r="JEF91" s="6"/>
      <c r="JEG91" s="6"/>
      <c r="JEH91" s="6"/>
      <c r="JEI91" s="6"/>
      <c r="JEJ91" s="6"/>
      <c r="JEK91" s="6"/>
      <c r="JEL91" s="6"/>
      <c r="JEM91" s="6"/>
      <c r="JEN91" s="6"/>
      <c r="JEO91" s="6"/>
      <c r="JEP91" s="6"/>
      <c r="JEQ91" s="6"/>
      <c r="JER91" s="6"/>
      <c r="JES91" s="6"/>
      <c r="JET91" s="6"/>
      <c r="JEU91" s="6"/>
      <c r="JEV91" s="6"/>
      <c r="JEW91" s="6"/>
      <c r="JEX91" s="6"/>
      <c r="JEY91" s="6"/>
      <c r="JEZ91" s="6"/>
      <c r="JFA91" s="6"/>
      <c r="JFB91" s="6"/>
      <c r="JFC91" s="6"/>
      <c r="JFD91" s="6"/>
      <c r="JFE91" s="6"/>
      <c r="JFF91" s="6"/>
      <c r="JFG91" s="6"/>
      <c r="JFH91" s="6"/>
      <c r="JFI91" s="6"/>
      <c r="JFJ91" s="6"/>
      <c r="JFK91" s="6"/>
      <c r="JFL91" s="6"/>
      <c r="JFM91" s="6"/>
      <c r="JFN91" s="6"/>
      <c r="JFO91" s="6"/>
      <c r="JFP91" s="6"/>
      <c r="JFQ91" s="6"/>
      <c r="JFR91" s="6"/>
      <c r="JFS91" s="6"/>
      <c r="JFT91" s="6"/>
      <c r="JFU91" s="6"/>
      <c r="JFV91" s="6"/>
      <c r="JFW91" s="6"/>
      <c r="JFX91" s="6"/>
      <c r="JFY91" s="6"/>
      <c r="JFZ91" s="6"/>
      <c r="JGA91" s="6"/>
      <c r="JGB91" s="6"/>
      <c r="JGC91" s="6"/>
      <c r="JGD91" s="6"/>
      <c r="JGE91" s="6"/>
      <c r="JGF91" s="6"/>
      <c r="JGG91" s="6"/>
      <c r="JGH91" s="6"/>
      <c r="JGI91" s="6"/>
      <c r="JGJ91" s="6"/>
      <c r="JGK91" s="6"/>
      <c r="JGL91" s="6"/>
      <c r="JGM91" s="6"/>
      <c r="JGN91" s="6"/>
      <c r="JGO91" s="6"/>
      <c r="JGP91" s="6"/>
      <c r="JGQ91" s="6"/>
      <c r="JGR91" s="6"/>
      <c r="JGS91" s="6"/>
      <c r="JGT91" s="6"/>
      <c r="JGU91" s="6"/>
      <c r="JGV91" s="6"/>
      <c r="JGW91" s="6"/>
      <c r="JGX91" s="6"/>
      <c r="JGY91" s="6"/>
      <c r="JGZ91" s="6"/>
      <c r="JHA91" s="6"/>
      <c r="JHB91" s="6"/>
      <c r="JHC91" s="6"/>
      <c r="JHD91" s="6"/>
      <c r="JHE91" s="6"/>
      <c r="JHF91" s="6"/>
      <c r="JHG91" s="6"/>
      <c r="JHH91" s="6"/>
      <c r="JHI91" s="6"/>
      <c r="JHJ91" s="6"/>
      <c r="JHK91" s="6"/>
      <c r="JHL91" s="6"/>
      <c r="JHM91" s="6"/>
      <c r="JHN91" s="6"/>
      <c r="JHO91" s="6"/>
      <c r="JHP91" s="6"/>
      <c r="JHQ91" s="6"/>
      <c r="JHR91" s="6"/>
      <c r="JHS91" s="6"/>
      <c r="JHT91" s="6"/>
      <c r="JHU91" s="6"/>
      <c r="JHV91" s="6"/>
      <c r="JHW91" s="6"/>
      <c r="JHX91" s="6"/>
      <c r="JHY91" s="6"/>
      <c r="JHZ91" s="6"/>
      <c r="JIA91" s="6"/>
      <c r="JIB91" s="6"/>
      <c r="JIC91" s="6"/>
      <c r="JID91" s="6"/>
      <c r="JIE91" s="6"/>
      <c r="JIF91" s="6"/>
      <c r="JIG91" s="6"/>
      <c r="JIH91" s="6"/>
      <c r="JII91" s="6"/>
      <c r="JIJ91" s="6"/>
      <c r="JIK91" s="6"/>
      <c r="JIL91" s="6"/>
      <c r="JIM91" s="6"/>
      <c r="JIN91" s="6"/>
      <c r="JIO91" s="6"/>
      <c r="JIP91" s="6"/>
      <c r="JIQ91" s="6"/>
      <c r="JIR91" s="6"/>
      <c r="JIS91" s="6"/>
      <c r="JIT91" s="6"/>
      <c r="JIU91" s="6"/>
      <c r="JIV91" s="6"/>
      <c r="JIW91" s="6"/>
      <c r="JIX91" s="6"/>
      <c r="JIY91" s="6"/>
      <c r="JIZ91" s="6"/>
      <c r="JJA91" s="6"/>
      <c r="JJB91" s="6"/>
      <c r="JJC91" s="6"/>
      <c r="JJD91" s="6"/>
      <c r="JJE91" s="6"/>
      <c r="JJF91" s="6"/>
      <c r="JJG91" s="6"/>
      <c r="JJH91" s="6"/>
      <c r="JJI91" s="6"/>
      <c r="JJJ91" s="6"/>
      <c r="JJK91" s="6"/>
      <c r="JJL91" s="6"/>
      <c r="JJM91" s="6"/>
      <c r="JJN91" s="6"/>
      <c r="JJO91" s="6"/>
      <c r="JJP91" s="6"/>
      <c r="JJQ91" s="6"/>
      <c r="JJR91" s="6"/>
      <c r="JJS91" s="6"/>
      <c r="JJT91" s="6"/>
      <c r="JJU91" s="6"/>
      <c r="JJV91" s="6"/>
      <c r="JJW91" s="6"/>
      <c r="JJX91" s="6"/>
      <c r="JJY91" s="6"/>
      <c r="JJZ91" s="6"/>
      <c r="JKA91" s="6"/>
      <c r="JKB91" s="6"/>
      <c r="JKC91" s="6"/>
      <c r="JKD91" s="6"/>
      <c r="JKE91" s="6"/>
      <c r="JKF91" s="6"/>
      <c r="JKG91" s="6"/>
      <c r="JKH91" s="6"/>
      <c r="JKI91" s="6"/>
      <c r="JKJ91" s="6"/>
      <c r="JKK91" s="6"/>
      <c r="JKL91" s="6"/>
      <c r="JKM91" s="6"/>
      <c r="JKN91" s="6"/>
      <c r="JKO91" s="6"/>
      <c r="JKP91" s="6"/>
      <c r="JKQ91" s="6"/>
      <c r="JKR91" s="6"/>
      <c r="JKS91" s="6"/>
      <c r="JKT91" s="6"/>
      <c r="JKU91" s="6"/>
      <c r="JKV91" s="6"/>
      <c r="JKW91" s="6"/>
      <c r="JKX91" s="6"/>
      <c r="JKY91" s="6"/>
      <c r="JKZ91" s="6"/>
      <c r="JLA91" s="6"/>
      <c r="JLB91" s="6"/>
      <c r="JLC91" s="6"/>
      <c r="JLD91" s="6"/>
      <c r="JLE91" s="6"/>
      <c r="JLF91" s="6"/>
      <c r="JLG91" s="6"/>
      <c r="JLH91" s="6"/>
      <c r="JLI91" s="6"/>
      <c r="JLJ91" s="6"/>
      <c r="JLK91" s="6"/>
      <c r="JLL91" s="6"/>
      <c r="JLM91" s="6"/>
      <c r="JLN91" s="6"/>
      <c r="JLO91" s="6"/>
      <c r="JLP91" s="6"/>
      <c r="JLQ91" s="6"/>
      <c r="JLR91" s="6"/>
      <c r="JLS91" s="6"/>
      <c r="JLT91" s="6"/>
      <c r="JLU91" s="6"/>
      <c r="JLV91" s="6"/>
      <c r="JLW91" s="6"/>
      <c r="JLX91" s="6"/>
      <c r="JLY91" s="6"/>
      <c r="JLZ91" s="6"/>
      <c r="JMA91" s="6"/>
      <c r="JMB91" s="6"/>
      <c r="JMC91" s="6"/>
      <c r="JMD91" s="6"/>
      <c r="JME91" s="6"/>
      <c r="JMF91" s="6"/>
      <c r="JMG91" s="6"/>
      <c r="JMH91" s="6"/>
      <c r="JMI91" s="6"/>
      <c r="JMJ91" s="6"/>
      <c r="JMK91" s="6"/>
      <c r="JML91" s="6"/>
      <c r="JMM91" s="6"/>
      <c r="JMN91" s="6"/>
      <c r="JMO91" s="6"/>
      <c r="JMP91" s="6"/>
      <c r="JMQ91" s="6"/>
      <c r="JMR91" s="6"/>
      <c r="JMS91" s="6"/>
      <c r="JMT91" s="6"/>
      <c r="JMU91" s="6"/>
      <c r="JMV91" s="6"/>
      <c r="JMW91" s="6"/>
      <c r="JMX91" s="6"/>
      <c r="JMY91" s="6"/>
      <c r="JMZ91" s="6"/>
      <c r="JNA91" s="6"/>
      <c r="JNB91" s="6"/>
      <c r="JNC91" s="6"/>
      <c r="JND91" s="6"/>
      <c r="JNE91" s="6"/>
      <c r="JNF91" s="6"/>
      <c r="JNG91" s="6"/>
      <c r="JNH91" s="6"/>
      <c r="JNI91" s="6"/>
      <c r="JNJ91" s="6"/>
      <c r="JNK91" s="6"/>
      <c r="JNL91" s="6"/>
      <c r="JNM91" s="6"/>
      <c r="JNN91" s="6"/>
      <c r="JNO91" s="6"/>
      <c r="JNP91" s="6"/>
      <c r="JNQ91" s="6"/>
      <c r="JNR91" s="6"/>
      <c r="JNS91" s="6"/>
      <c r="JNT91" s="6"/>
      <c r="JNU91" s="6"/>
      <c r="JNV91" s="6"/>
      <c r="JNW91" s="6"/>
      <c r="JNX91" s="6"/>
      <c r="JNY91" s="6"/>
      <c r="JNZ91" s="6"/>
      <c r="JOA91" s="6"/>
      <c r="JOB91" s="6"/>
      <c r="JOC91" s="6"/>
      <c r="JOD91" s="6"/>
      <c r="JOE91" s="6"/>
      <c r="JOF91" s="6"/>
      <c r="JOG91" s="6"/>
      <c r="JOH91" s="6"/>
      <c r="JOI91" s="6"/>
      <c r="JOJ91" s="6"/>
      <c r="JOK91" s="6"/>
      <c r="JOL91" s="6"/>
      <c r="JOM91" s="6"/>
      <c r="JON91" s="6"/>
      <c r="JOO91" s="6"/>
      <c r="JOP91" s="6"/>
      <c r="JOQ91" s="6"/>
      <c r="JOR91" s="6"/>
      <c r="JOS91" s="6"/>
      <c r="JOT91" s="6"/>
      <c r="JOU91" s="6"/>
      <c r="JOV91" s="6"/>
      <c r="JOW91" s="6"/>
      <c r="JOX91" s="6"/>
      <c r="JOY91" s="6"/>
      <c r="JOZ91" s="6"/>
      <c r="JPA91" s="6"/>
      <c r="JPB91" s="6"/>
      <c r="JPC91" s="6"/>
      <c r="JPD91" s="6"/>
      <c r="JPE91" s="6"/>
      <c r="JPF91" s="6"/>
      <c r="JPG91" s="6"/>
      <c r="JPH91" s="6"/>
      <c r="JPI91" s="6"/>
      <c r="JPJ91" s="6"/>
      <c r="JPK91" s="6"/>
      <c r="JPL91" s="6"/>
      <c r="JPM91" s="6"/>
      <c r="JPN91" s="6"/>
      <c r="JPO91" s="6"/>
      <c r="JPP91" s="6"/>
      <c r="JPQ91" s="6"/>
      <c r="JPR91" s="6"/>
      <c r="JPS91" s="6"/>
      <c r="JPT91" s="6"/>
      <c r="JPU91" s="6"/>
      <c r="JPV91" s="6"/>
      <c r="JPW91" s="6"/>
      <c r="JPX91" s="6"/>
      <c r="JPY91" s="6"/>
      <c r="JPZ91" s="6"/>
      <c r="JQA91" s="6"/>
      <c r="JQB91" s="6"/>
      <c r="JQC91" s="6"/>
      <c r="JQD91" s="6"/>
      <c r="JQE91" s="6"/>
      <c r="JQF91" s="6"/>
      <c r="JQG91" s="6"/>
      <c r="JQH91" s="6"/>
      <c r="JQI91" s="6"/>
      <c r="JQJ91" s="6"/>
      <c r="JQK91" s="6"/>
      <c r="JQL91" s="6"/>
      <c r="JQM91" s="6"/>
      <c r="JQN91" s="6"/>
      <c r="JQO91" s="6"/>
      <c r="JQP91" s="6"/>
      <c r="JQQ91" s="6"/>
      <c r="JQR91" s="6"/>
      <c r="JQS91" s="6"/>
      <c r="JQT91" s="6"/>
      <c r="JQU91" s="6"/>
      <c r="JQV91" s="6"/>
      <c r="JQW91" s="6"/>
      <c r="JQX91" s="6"/>
      <c r="JQY91" s="6"/>
      <c r="JQZ91" s="6"/>
      <c r="JRA91" s="6"/>
      <c r="JRB91" s="6"/>
      <c r="JRC91" s="6"/>
      <c r="JRD91" s="6"/>
      <c r="JRE91" s="6"/>
      <c r="JRF91" s="6"/>
      <c r="JRG91" s="6"/>
      <c r="JRH91" s="6"/>
      <c r="JRI91" s="6"/>
      <c r="JRJ91" s="6"/>
      <c r="JRK91" s="6"/>
      <c r="JRL91" s="6"/>
      <c r="JRM91" s="6"/>
      <c r="JRN91" s="6"/>
      <c r="JRO91" s="6"/>
      <c r="JRP91" s="6"/>
      <c r="JRQ91" s="6"/>
      <c r="JRR91" s="6"/>
      <c r="JRS91" s="6"/>
      <c r="JRT91" s="6"/>
      <c r="JRU91" s="6"/>
      <c r="JRV91" s="6"/>
      <c r="JRW91" s="6"/>
      <c r="JRX91" s="6"/>
      <c r="JRY91" s="6"/>
      <c r="JRZ91" s="6"/>
      <c r="JSA91" s="6"/>
      <c r="JSB91" s="6"/>
      <c r="JSC91" s="6"/>
      <c r="JSD91" s="6"/>
      <c r="JSE91" s="6"/>
      <c r="JSF91" s="6"/>
      <c r="JSG91" s="6"/>
      <c r="JSH91" s="6"/>
      <c r="JSI91" s="6"/>
      <c r="JSJ91" s="6"/>
      <c r="JSK91" s="6"/>
      <c r="JSL91" s="6"/>
      <c r="JSM91" s="6"/>
      <c r="JSN91" s="6"/>
      <c r="JSO91" s="6"/>
      <c r="JSP91" s="6"/>
      <c r="JSQ91" s="6"/>
      <c r="JSR91" s="6"/>
      <c r="JSS91" s="6"/>
      <c r="JST91" s="6"/>
      <c r="JSU91" s="6"/>
      <c r="JSV91" s="6"/>
      <c r="JSW91" s="6"/>
      <c r="JSX91" s="6"/>
      <c r="JSY91" s="6"/>
      <c r="JSZ91" s="6"/>
      <c r="JTA91" s="6"/>
      <c r="JTB91" s="6"/>
      <c r="JTC91" s="6"/>
      <c r="JTD91" s="6"/>
      <c r="JTE91" s="6"/>
      <c r="JTF91" s="6"/>
      <c r="JTG91" s="6"/>
      <c r="JTH91" s="6"/>
      <c r="JTI91" s="6"/>
      <c r="JTJ91" s="6"/>
      <c r="JTK91" s="6"/>
      <c r="JTL91" s="6"/>
      <c r="JTM91" s="6"/>
      <c r="JTN91" s="6"/>
      <c r="JTO91" s="6"/>
      <c r="JTP91" s="6"/>
      <c r="JTQ91" s="6"/>
      <c r="JTR91" s="6"/>
      <c r="JTS91" s="6"/>
      <c r="JTT91" s="6"/>
      <c r="JTU91" s="6"/>
      <c r="JTV91" s="6"/>
      <c r="JTW91" s="6"/>
      <c r="JTX91" s="6"/>
      <c r="JTY91" s="6"/>
      <c r="JTZ91" s="6"/>
      <c r="JUA91" s="6"/>
      <c r="JUB91" s="6"/>
      <c r="JUC91" s="6"/>
      <c r="JUD91" s="6"/>
      <c r="JUE91" s="6"/>
      <c r="JUF91" s="6"/>
      <c r="JUG91" s="6"/>
      <c r="JUH91" s="6"/>
      <c r="JUI91" s="6"/>
      <c r="JUJ91" s="6"/>
      <c r="JUK91" s="6"/>
      <c r="JUL91" s="6"/>
      <c r="JUM91" s="6"/>
      <c r="JUN91" s="6"/>
      <c r="JUO91" s="6"/>
      <c r="JUP91" s="6"/>
      <c r="JUQ91" s="6"/>
      <c r="JUR91" s="6"/>
      <c r="JUS91" s="6"/>
      <c r="JUT91" s="6"/>
      <c r="JUU91" s="6"/>
      <c r="JUV91" s="6"/>
      <c r="JUW91" s="6"/>
      <c r="JUX91" s="6"/>
      <c r="JUY91" s="6"/>
      <c r="JUZ91" s="6"/>
      <c r="JVA91" s="6"/>
      <c r="JVB91" s="6"/>
      <c r="JVC91" s="6"/>
      <c r="JVD91" s="6"/>
      <c r="JVE91" s="6"/>
      <c r="JVF91" s="6"/>
      <c r="JVG91" s="6"/>
      <c r="JVH91" s="6"/>
      <c r="JVI91" s="6"/>
      <c r="JVJ91" s="6"/>
      <c r="JVK91" s="6"/>
      <c r="JVL91" s="6"/>
      <c r="JVM91" s="6"/>
      <c r="JVN91" s="6"/>
      <c r="JVO91" s="6"/>
      <c r="JVP91" s="6"/>
      <c r="JVQ91" s="6"/>
      <c r="JVR91" s="6"/>
      <c r="JVS91" s="6"/>
      <c r="JVT91" s="6"/>
      <c r="JVU91" s="6"/>
      <c r="JVV91" s="6"/>
      <c r="JVW91" s="6"/>
      <c r="JVX91" s="6"/>
      <c r="JVY91" s="6"/>
      <c r="JVZ91" s="6"/>
      <c r="JWA91" s="6"/>
      <c r="JWB91" s="6"/>
      <c r="JWC91" s="6"/>
      <c r="JWD91" s="6"/>
      <c r="JWE91" s="6"/>
      <c r="JWF91" s="6"/>
      <c r="JWG91" s="6"/>
      <c r="JWH91" s="6"/>
      <c r="JWI91" s="6"/>
      <c r="JWJ91" s="6"/>
      <c r="JWK91" s="6"/>
      <c r="JWL91" s="6"/>
      <c r="JWM91" s="6"/>
      <c r="JWN91" s="6"/>
      <c r="JWO91" s="6"/>
      <c r="JWP91" s="6"/>
      <c r="JWQ91" s="6"/>
      <c r="JWR91" s="6"/>
      <c r="JWS91" s="6"/>
      <c r="JWT91" s="6"/>
      <c r="JWU91" s="6"/>
      <c r="JWV91" s="6"/>
      <c r="JWW91" s="6"/>
      <c r="JWX91" s="6"/>
      <c r="JWY91" s="6"/>
      <c r="JWZ91" s="6"/>
      <c r="JXA91" s="6"/>
      <c r="JXB91" s="6"/>
      <c r="JXC91" s="6"/>
      <c r="JXD91" s="6"/>
      <c r="JXE91" s="6"/>
      <c r="JXF91" s="6"/>
      <c r="JXG91" s="6"/>
      <c r="JXH91" s="6"/>
      <c r="JXI91" s="6"/>
      <c r="JXJ91" s="6"/>
      <c r="JXK91" s="6"/>
      <c r="JXL91" s="6"/>
      <c r="JXM91" s="6"/>
      <c r="JXN91" s="6"/>
      <c r="JXO91" s="6"/>
      <c r="JXP91" s="6"/>
      <c r="JXQ91" s="6"/>
      <c r="JXR91" s="6"/>
      <c r="JXS91" s="6"/>
      <c r="JXT91" s="6"/>
      <c r="JXU91" s="6"/>
      <c r="JXV91" s="6"/>
      <c r="JXW91" s="6"/>
      <c r="JXX91" s="6"/>
      <c r="JXY91" s="6"/>
      <c r="JXZ91" s="6"/>
      <c r="JYA91" s="6"/>
      <c r="JYB91" s="6"/>
      <c r="JYC91" s="6"/>
      <c r="JYD91" s="6"/>
      <c r="JYE91" s="6"/>
      <c r="JYF91" s="6"/>
      <c r="JYG91" s="6"/>
      <c r="JYH91" s="6"/>
      <c r="JYI91" s="6"/>
      <c r="JYJ91" s="6"/>
      <c r="JYK91" s="6"/>
      <c r="JYL91" s="6"/>
      <c r="JYM91" s="6"/>
      <c r="JYN91" s="6"/>
      <c r="JYO91" s="6"/>
      <c r="JYP91" s="6"/>
      <c r="JYQ91" s="6"/>
      <c r="JYR91" s="6"/>
      <c r="JYS91" s="6"/>
      <c r="JYT91" s="6"/>
      <c r="JYU91" s="6"/>
      <c r="JYV91" s="6"/>
      <c r="JYW91" s="6"/>
      <c r="JYX91" s="6"/>
      <c r="JYY91" s="6"/>
      <c r="JYZ91" s="6"/>
      <c r="JZA91" s="6"/>
      <c r="JZB91" s="6"/>
      <c r="JZC91" s="6"/>
      <c r="JZD91" s="6"/>
      <c r="JZE91" s="6"/>
      <c r="JZF91" s="6"/>
      <c r="JZG91" s="6"/>
      <c r="JZH91" s="6"/>
      <c r="JZI91" s="6"/>
      <c r="JZJ91" s="6"/>
      <c r="JZK91" s="6"/>
      <c r="JZL91" s="6"/>
      <c r="JZM91" s="6"/>
      <c r="JZN91" s="6"/>
      <c r="JZO91" s="6"/>
      <c r="JZP91" s="6"/>
      <c r="JZQ91" s="6"/>
      <c r="JZR91" s="6"/>
      <c r="JZS91" s="6"/>
      <c r="JZT91" s="6"/>
      <c r="JZU91" s="6"/>
      <c r="JZV91" s="6"/>
      <c r="JZW91" s="6"/>
      <c r="JZX91" s="6"/>
      <c r="JZY91" s="6"/>
      <c r="JZZ91" s="6"/>
      <c r="KAA91" s="6"/>
      <c r="KAB91" s="6"/>
      <c r="KAC91" s="6"/>
      <c r="KAD91" s="6"/>
      <c r="KAE91" s="6"/>
      <c r="KAF91" s="6"/>
      <c r="KAG91" s="6"/>
      <c r="KAH91" s="6"/>
      <c r="KAI91" s="6"/>
      <c r="KAJ91" s="6"/>
      <c r="KAK91" s="6"/>
      <c r="KAL91" s="6"/>
      <c r="KAM91" s="6"/>
      <c r="KAN91" s="6"/>
      <c r="KAO91" s="6"/>
      <c r="KAP91" s="6"/>
      <c r="KAQ91" s="6"/>
      <c r="KAR91" s="6"/>
      <c r="KAS91" s="6"/>
      <c r="KAT91" s="6"/>
      <c r="KAU91" s="6"/>
      <c r="KAV91" s="6"/>
      <c r="KAW91" s="6"/>
      <c r="KAX91" s="6"/>
      <c r="KAY91" s="6"/>
      <c r="KAZ91" s="6"/>
      <c r="KBA91" s="6"/>
      <c r="KBB91" s="6"/>
      <c r="KBC91" s="6"/>
      <c r="KBD91" s="6"/>
      <c r="KBE91" s="6"/>
      <c r="KBF91" s="6"/>
      <c r="KBG91" s="6"/>
      <c r="KBH91" s="6"/>
      <c r="KBI91" s="6"/>
      <c r="KBJ91" s="6"/>
      <c r="KBK91" s="6"/>
      <c r="KBL91" s="6"/>
      <c r="KBM91" s="6"/>
      <c r="KBN91" s="6"/>
      <c r="KBO91" s="6"/>
      <c r="KBP91" s="6"/>
      <c r="KBQ91" s="6"/>
      <c r="KBR91" s="6"/>
      <c r="KBS91" s="6"/>
      <c r="KBT91" s="6"/>
      <c r="KBU91" s="6"/>
      <c r="KBV91" s="6"/>
      <c r="KBW91" s="6"/>
      <c r="KBX91" s="6"/>
      <c r="KBY91" s="6"/>
      <c r="KBZ91" s="6"/>
      <c r="KCA91" s="6"/>
      <c r="KCB91" s="6"/>
      <c r="KCC91" s="6"/>
      <c r="KCD91" s="6"/>
      <c r="KCE91" s="6"/>
      <c r="KCF91" s="6"/>
      <c r="KCG91" s="6"/>
      <c r="KCH91" s="6"/>
      <c r="KCI91" s="6"/>
      <c r="KCJ91" s="6"/>
      <c r="KCK91" s="6"/>
      <c r="KCL91" s="6"/>
      <c r="KCM91" s="6"/>
      <c r="KCN91" s="6"/>
      <c r="KCO91" s="6"/>
      <c r="KCP91" s="6"/>
      <c r="KCQ91" s="6"/>
      <c r="KCR91" s="6"/>
      <c r="KCS91" s="6"/>
      <c r="KCT91" s="6"/>
      <c r="KCU91" s="6"/>
      <c r="KCV91" s="6"/>
      <c r="KCW91" s="6"/>
      <c r="KCX91" s="6"/>
      <c r="KCY91" s="6"/>
      <c r="KCZ91" s="6"/>
      <c r="KDA91" s="6"/>
      <c r="KDB91" s="6"/>
      <c r="KDC91" s="6"/>
      <c r="KDD91" s="6"/>
      <c r="KDE91" s="6"/>
      <c r="KDF91" s="6"/>
      <c r="KDG91" s="6"/>
      <c r="KDH91" s="6"/>
      <c r="KDI91" s="6"/>
      <c r="KDJ91" s="6"/>
      <c r="KDK91" s="6"/>
      <c r="KDL91" s="6"/>
      <c r="KDM91" s="6"/>
      <c r="KDN91" s="6"/>
      <c r="KDO91" s="6"/>
      <c r="KDP91" s="6"/>
      <c r="KDQ91" s="6"/>
      <c r="KDR91" s="6"/>
      <c r="KDS91" s="6"/>
      <c r="KDT91" s="6"/>
      <c r="KDU91" s="6"/>
      <c r="KDV91" s="6"/>
      <c r="KDW91" s="6"/>
      <c r="KDX91" s="6"/>
      <c r="KDY91" s="6"/>
      <c r="KDZ91" s="6"/>
      <c r="KEA91" s="6"/>
      <c r="KEB91" s="6"/>
      <c r="KEC91" s="6"/>
      <c r="KED91" s="6"/>
      <c r="KEE91" s="6"/>
      <c r="KEF91" s="6"/>
      <c r="KEG91" s="6"/>
      <c r="KEH91" s="6"/>
      <c r="KEI91" s="6"/>
      <c r="KEJ91" s="6"/>
      <c r="KEK91" s="6"/>
      <c r="KEL91" s="6"/>
      <c r="KEM91" s="6"/>
      <c r="KEN91" s="6"/>
      <c r="KEO91" s="6"/>
      <c r="KEP91" s="6"/>
      <c r="KEQ91" s="6"/>
      <c r="KER91" s="6"/>
      <c r="KES91" s="6"/>
      <c r="KET91" s="6"/>
      <c r="KEU91" s="6"/>
      <c r="KEV91" s="6"/>
      <c r="KEW91" s="6"/>
      <c r="KEX91" s="6"/>
      <c r="KEY91" s="6"/>
      <c r="KEZ91" s="6"/>
      <c r="KFA91" s="6"/>
      <c r="KFB91" s="6"/>
      <c r="KFC91" s="6"/>
      <c r="KFD91" s="6"/>
      <c r="KFE91" s="6"/>
      <c r="KFF91" s="6"/>
      <c r="KFG91" s="6"/>
      <c r="KFH91" s="6"/>
      <c r="KFI91" s="6"/>
      <c r="KFJ91" s="6"/>
      <c r="KFK91" s="6"/>
      <c r="KFL91" s="6"/>
      <c r="KFM91" s="6"/>
      <c r="KFN91" s="6"/>
      <c r="KFO91" s="6"/>
      <c r="KFP91" s="6"/>
      <c r="KFQ91" s="6"/>
      <c r="KFR91" s="6"/>
      <c r="KFS91" s="6"/>
      <c r="KFT91" s="6"/>
      <c r="KFU91" s="6"/>
      <c r="KFV91" s="6"/>
      <c r="KFW91" s="6"/>
      <c r="KFX91" s="6"/>
      <c r="KFY91" s="6"/>
      <c r="KFZ91" s="6"/>
      <c r="KGA91" s="6"/>
      <c r="KGB91" s="6"/>
      <c r="KGC91" s="6"/>
      <c r="KGD91" s="6"/>
      <c r="KGE91" s="6"/>
      <c r="KGF91" s="6"/>
      <c r="KGG91" s="6"/>
      <c r="KGH91" s="6"/>
      <c r="KGI91" s="6"/>
      <c r="KGJ91" s="6"/>
      <c r="KGK91" s="6"/>
      <c r="KGL91" s="6"/>
      <c r="KGM91" s="6"/>
      <c r="KGN91" s="6"/>
      <c r="KGO91" s="6"/>
      <c r="KGP91" s="6"/>
      <c r="KGQ91" s="6"/>
      <c r="KGR91" s="6"/>
      <c r="KGS91" s="6"/>
      <c r="KGT91" s="6"/>
      <c r="KGU91" s="6"/>
      <c r="KGV91" s="6"/>
      <c r="KGW91" s="6"/>
      <c r="KGX91" s="6"/>
      <c r="KGY91" s="6"/>
      <c r="KGZ91" s="6"/>
      <c r="KHA91" s="6"/>
      <c r="KHB91" s="6"/>
      <c r="KHC91" s="6"/>
      <c r="KHD91" s="6"/>
      <c r="KHE91" s="6"/>
      <c r="KHF91" s="6"/>
      <c r="KHG91" s="6"/>
      <c r="KHH91" s="6"/>
      <c r="KHI91" s="6"/>
      <c r="KHJ91" s="6"/>
      <c r="KHK91" s="6"/>
      <c r="KHL91" s="6"/>
      <c r="KHM91" s="6"/>
      <c r="KHN91" s="6"/>
      <c r="KHO91" s="6"/>
      <c r="KHP91" s="6"/>
      <c r="KHQ91" s="6"/>
      <c r="KHR91" s="6"/>
      <c r="KHS91" s="6"/>
      <c r="KHT91" s="6"/>
      <c r="KHU91" s="6"/>
      <c r="KHV91" s="6"/>
      <c r="KHW91" s="6"/>
      <c r="KHX91" s="6"/>
      <c r="KHY91" s="6"/>
      <c r="KHZ91" s="6"/>
      <c r="KIA91" s="6"/>
      <c r="KIB91" s="6"/>
      <c r="KIC91" s="6"/>
      <c r="KID91" s="6"/>
      <c r="KIE91" s="6"/>
      <c r="KIF91" s="6"/>
      <c r="KIG91" s="6"/>
      <c r="KIH91" s="6"/>
      <c r="KII91" s="6"/>
      <c r="KIJ91" s="6"/>
      <c r="KIK91" s="6"/>
      <c r="KIL91" s="6"/>
      <c r="KIM91" s="6"/>
      <c r="KIN91" s="6"/>
      <c r="KIO91" s="6"/>
      <c r="KIP91" s="6"/>
      <c r="KIQ91" s="6"/>
      <c r="KIR91" s="6"/>
      <c r="KIS91" s="6"/>
      <c r="KIT91" s="6"/>
      <c r="KIU91" s="6"/>
      <c r="KIV91" s="6"/>
      <c r="KIW91" s="6"/>
      <c r="KIX91" s="6"/>
      <c r="KIY91" s="6"/>
      <c r="KIZ91" s="6"/>
      <c r="KJA91" s="6"/>
      <c r="KJB91" s="6"/>
      <c r="KJC91" s="6"/>
      <c r="KJD91" s="6"/>
      <c r="KJE91" s="6"/>
      <c r="KJF91" s="6"/>
      <c r="KJG91" s="6"/>
      <c r="KJH91" s="6"/>
      <c r="KJI91" s="6"/>
      <c r="KJJ91" s="6"/>
      <c r="KJK91" s="6"/>
      <c r="KJL91" s="6"/>
      <c r="KJM91" s="6"/>
      <c r="KJN91" s="6"/>
      <c r="KJO91" s="6"/>
      <c r="KJP91" s="6"/>
      <c r="KJQ91" s="6"/>
      <c r="KJR91" s="6"/>
      <c r="KJS91" s="6"/>
      <c r="KJT91" s="6"/>
      <c r="KJU91" s="6"/>
      <c r="KJV91" s="6"/>
      <c r="KJW91" s="6"/>
      <c r="KJX91" s="6"/>
      <c r="KJY91" s="6"/>
      <c r="KJZ91" s="6"/>
      <c r="KKA91" s="6"/>
      <c r="KKB91" s="6"/>
      <c r="KKC91" s="6"/>
      <c r="KKD91" s="6"/>
      <c r="KKE91" s="6"/>
      <c r="KKF91" s="6"/>
      <c r="KKG91" s="6"/>
      <c r="KKH91" s="6"/>
      <c r="KKI91" s="6"/>
      <c r="KKJ91" s="6"/>
      <c r="KKK91" s="6"/>
      <c r="KKL91" s="6"/>
      <c r="KKM91" s="6"/>
      <c r="KKN91" s="6"/>
      <c r="KKO91" s="6"/>
      <c r="KKP91" s="6"/>
      <c r="KKQ91" s="6"/>
      <c r="KKR91" s="6"/>
      <c r="KKS91" s="6"/>
      <c r="KKT91" s="6"/>
      <c r="KKU91" s="6"/>
      <c r="KKV91" s="6"/>
      <c r="KKW91" s="6"/>
      <c r="KKX91" s="6"/>
      <c r="KKY91" s="6"/>
      <c r="KKZ91" s="6"/>
      <c r="KLA91" s="6"/>
      <c r="KLB91" s="6"/>
      <c r="KLC91" s="6"/>
      <c r="KLD91" s="6"/>
      <c r="KLE91" s="6"/>
      <c r="KLF91" s="6"/>
      <c r="KLG91" s="6"/>
      <c r="KLH91" s="6"/>
      <c r="KLI91" s="6"/>
      <c r="KLJ91" s="6"/>
      <c r="KLK91" s="6"/>
      <c r="KLL91" s="6"/>
      <c r="KLM91" s="6"/>
      <c r="KLN91" s="6"/>
      <c r="KLO91" s="6"/>
      <c r="KLP91" s="6"/>
      <c r="KLQ91" s="6"/>
      <c r="KLR91" s="6"/>
      <c r="KLS91" s="6"/>
      <c r="KLT91" s="6"/>
      <c r="KLU91" s="6"/>
      <c r="KLV91" s="6"/>
      <c r="KLW91" s="6"/>
      <c r="KLX91" s="6"/>
      <c r="KLY91" s="6"/>
      <c r="KLZ91" s="6"/>
      <c r="KMA91" s="6"/>
      <c r="KMB91" s="6"/>
      <c r="KMC91" s="6"/>
      <c r="KMD91" s="6"/>
      <c r="KME91" s="6"/>
      <c r="KMF91" s="6"/>
      <c r="KMG91" s="6"/>
      <c r="KMH91" s="6"/>
      <c r="KMI91" s="6"/>
      <c r="KMJ91" s="6"/>
      <c r="KMK91" s="6"/>
      <c r="KML91" s="6"/>
      <c r="KMM91" s="6"/>
      <c r="KMN91" s="6"/>
      <c r="KMO91" s="6"/>
      <c r="KMP91" s="6"/>
      <c r="KMQ91" s="6"/>
      <c r="KMR91" s="6"/>
      <c r="KMS91" s="6"/>
      <c r="KMT91" s="6"/>
      <c r="KMU91" s="6"/>
      <c r="KMV91" s="6"/>
      <c r="KMW91" s="6"/>
      <c r="KMX91" s="6"/>
      <c r="KMY91" s="6"/>
      <c r="KMZ91" s="6"/>
      <c r="KNA91" s="6"/>
      <c r="KNB91" s="6"/>
      <c r="KNC91" s="6"/>
      <c r="KND91" s="6"/>
      <c r="KNE91" s="6"/>
      <c r="KNF91" s="6"/>
      <c r="KNG91" s="6"/>
      <c r="KNH91" s="6"/>
      <c r="KNI91" s="6"/>
      <c r="KNJ91" s="6"/>
      <c r="KNK91" s="6"/>
      <c r="KNL91" s="6"/>
      <c r="KNM91" s="6"/>
      <c r="KNN91" s="6"/>
      <c r="KNO91" s="6"/>
      <c r="KNP91" s="6"/>
      <c r="KNQ91" s="6"/>
      <c r="KNR91" s="6"/>
      <c r="KNS91" s="6"/>
      <c r="KNT91" s="6"/>
      <c r="KNU91" s="6"/>
      <c r="KNV91" s="6"/>
      <c r="KNW91" s="6"/>
      <c r="KNX91" s="6"/>
      <c r="KNY91" s="6"/>
      <c r="KNZ91" s="6"/>
      <c r="KOA91" s="6"/>
      <c r="KOB91" s="6"/>
      <c r="KOC91" s="6"/>
      <c r="KOD91" s="6"/>
      <c r="KOE91" s="6"/>
      <c r="KOF91" s="6"/>
      <c r="KOG91" s="6"/>
      <c r="KOH91" s="6"/>
      <c r="KOI91" s="6"/>
      <c r="KOJ91" s="6"/>
      <c r="KOK91" s="6"/>
      <c r="KOL91" s="6"/>
      <c r="KOM91" s="6"/>
      <c r="KON91" s="6"/>
      <c r="KOO91" s="6"/>
      <c r="KOP91" s="6"/>
      <c r="KOQ91" s="6"/>
      <c r="KOR91" s="6"/>
      <c r="KOS91" s="6"/>
      <c r="KOT91" s="6"/>
      <c r="KOU91" s="6"/>
      <c r="KOV91" s="6"/>
      <c r="KOW91" s="6"/>
      <c r="KOX91" s="6"/>
      <c r="KOY91" s="6"/>
      <c r="KOZ91" s="6"/>
      <c r="KPA91" s="6"/>
      <c r="KPB91" s="6"/>
      <c r="KPC91" s="6"/>
      <c r="KPD91" s="6"/>
      <c r="KPE91" s="6"/>
      <c r="KPF91" s="6"/>
      <c r="KPG91" s="6"/>
      <c r="KPH91" s="6"/>
      <c r="KPI91" s="6"/>
      <c r="KPJ91" s="6"/>
      <c r="KPK91" s="6"/>
      <c r="KPL91" s="6"/>
      <c r="KPM91" s="6"/>
      <c r="KPN91" s="6"/>
      <c r="KPO91" s="6"/>
      <c r="KPP91" s="6"/>
      <c r="KPQ91" s="6"/>
      <c r="KPR91" s="6"/>
      <c r="KPS91" s="6"/>
      <c r="KPT91" s="6"/>
      <c r="KPU91" s="6"/>
      <c r="KPV91" s="6"/>
      <c r="KPW91" s="6"/>
      <c r="KPX91" s="6"/>
      <c r="KPY91" s="6"/>
      <c r="KPZ91" s="6"/>
      <c r="KQA91" s="6"/>
      <c r="KQB91" s="6"/>
      <c r="KQC91" s="6"/>
      <c r="KQD91" s="6"/>
      <c r="KQE91" s="6"/>
      <c r="KQF91" s="6"/>
      <c r="KQG91" s="6"/>
      <c r="KQH91" s="6"/>
      <c r="KQI91" s="6"/>
      <c r="KQJ91" s="6"/>
      <c r="KQK91" s="6"/>
      <c r="KQL91" s="6"/>
      <c r="KQM91" s="6"/>
      <c r="KQN91" s="6"/>
      <c r="KQO91" s="6"/>
      <c r="KQP91" s="6"/>
      <c r="KQQ91" s="6"/>
      <c r="KQR91" s="6"/>
      <c r="KQS91" s="6"/>
      <c r="KQT91" s="6"/>
      <c r="KQU91" s="6"/>
      <c r="KQV91" s="6"/>
      <c r="KQW91" s="6"/>
      <c r="KQX91" s="6"/>
      <c r="KQY91" s="6"/>
      <c r="KQZ91" s="6"/>
      <c r="KRA91" s="6"/>
      <c r="KRB91" s="6"/>
      <c r="KRC91" s="6"/>
      <c r="KRD91" s="6"/>
      <c r="KRE91" s="6"/>
      <c r="KRF91" s="6"/>
      <c r="KRG91" s="6"/>
      <c r="KRH91" s="6"/>
      <c r="KRI91" s="6"/>
      <c r="KRJ91" s="6"/>
      <c r="KRK91" s="6"/>
      <c r="KRL91" s="6"/>
      <c r="KRM91" s="6"/>
      <c r="KRN91" s="6"/>
      <c r="KRO91" s="6"/>
      <c r="KRP91" s="6"/>
      <c r="KRQ91" s="6"/>
      <c r="KRR91" s="6"/>
      <c r="KRS91" s="6"/>
      <c r="KRT91" s="6"/>
      <c r="KRU91" s="6"/>
      <c r="KRV91" s="6"/>
      <c r="KRW91" s="6"/>
      <c r="KRX91" s="6"/>
      <c r="KRY91" s="6"/>
      <c r="KRZ91" s="6"/>
      <c r="KSA91" s="6"/>
      <c r="KSB91" s="6"/>
      <c r="KSC91" s="6"/>
      <c r="KSD91" s="6"/>
      <c r="KSE91" s="6"/>
      <c r="KSF91" s="6"/>
      <c r="KSG91" s="6"/>
      <c r="KSH91" s="6"/>
      <c r="KSI91" s="6"/>
      <c r="KSJ91" s="6"/>
      <c r="KSK91" s="6"/>
      <c r="KSL91" s="6"/>
      <c r="KSM91" s="6"/>
      <c r="KSN91" s="6"/>
      <c r="KSO91" s="6"/>
      <c r="KSP91" s="6"/>
      <c r="KSQ91" s="6"/>
      <c r="KSR91" s="6"/>
      <c r="KSS91" s="6"/>
      <c r="KST91" s="6"/>
      <c r="KSU91" s="6"/>
      <c r="KSV91" s="6"/>
      <c r="KSW91" s="6"/>
      <c r="KSX91" s="6"/>
      <c r="KSY91" s="6"/>
      <c r="KSZ91" s="6"/>
      <c r="KTA91" s="6"/>
      <c r="KTB91" s="6"/>
      <c r="KTC91" s="6"/>
      <c r="KTD91" s="6"/>
      <c r="KTE91" s="6"/>
      <c r="KTF91" s="6"/>
      <c r="KTG91" s="6"/>
      <c r="KTH91" s="6"/>
      <c r="KTI91" s="6"/>
      <c r="KTJ91" s="6"/>
      <c r="KTK91" s="6"/>
      <c r="KTL91" s="6"/>
      <c r="KTM91" s="6"/>
      <c r="KTN91" s="6"/>
      <c r="KTO91" s="6"/>
      <c r="KTP91" s="6"/>
      <c r="KTQ91" s="6"/>
      <c r="KTR91" s="6"/>
      <c r="KTS91" s="6"/>
      <c r="KTT91" s="6"/>
      <c r="KTU91" s="6"/>
      <c r="KTV91" s="6"/>
      <c r="KTW91" s="6"/>
      <c r="KTX91" s="6"/>
      <c r="KTY91" s="6"/>
      <c r="KTZ91" s="6"/>
      <c r="KUA91" s="6"/>
      <c r="KUB91" s="6"/>
      <c r="KUC91" s="6"/>
      <c r="KUD91" s="6"/>
      <c r="KUE91" s="6"/>
      <c r="KUF91" s="6"/>
      <c r="KUG91" s="6"/>
      <c r="KUH91" s="6"/>
      <c r="KUI91" s="6"/>
      <c r="KUJ91" s="6"/>
      <c r="KUK91" s="6"/>
      <c r="KUL91" s="6"/>
      <c r="KUM91" s="6"/>
      <c r="KUN91" s="6"/>
      <c r="KUO91" s="6"/>
      <c r="KUP91" s="6"/>
      <c r="KUQ91" s="6"/>
      <c r="KUR91" s="6"/>
      <c r="KUS91" s="6"/>
      <c r="KUT91" s="6"/>
      <c r="KUU91" s="6"/>
      <c r="KUV91" s="6"/>
      <c r="KUW91" s="6"/>
      <c r="KUX91" s="6"/>
      <c r="KUY91" s="6"/>
      <c r="KUZ91" s="6"/>
      <c r="KVA91" s="6"/>
      <c r="KVB91" s="6"/>
      <c r="KVC91" s="6"/>
      <c r="KVD91" s="6"/>
      <c r="KVE91" s="6"/>
      <c r="KVF91" s="6"/>
      <c r="KVG91" s="6"/>
      <c r="KVH91" s="6"/>
      <c r="KVI91" s="6"/>
      <c r="KVJ91" s="6"/>
      <c r="KVK91" s="6"/>
      <c r="KVL91" s="6"/>
      <c r="KVM91" s="6"/>
      <c r="KVN91" s="6"/>
      <c r="KVO91" s="6"/>
      <c r="KVP91" s="6"/>
      <c r="KVQ91" s="6"/>
      <c r="KVR91" s="6"/>
      <c r="KVS91" s="6"/>
      <c r="KVT91" s="6"/>
      <c r="KVU91" s="6"/>
      <c r="KVV91" s="6"/>
      <c r="KVW91" s="6"/>
      <c r="KVX91" s="6"/>
      <c r="KVY91" s="6"/>
      <c r="KVZ91" s="6"/>
      <c r="KWA91" s="6"/>
      <c r="KWB91" s="6"/>
      <c r="KWC91" s="6"/>
      <c r="KWD91" s="6"/>
      <c r="KWE91" s="6"/>
      <c r="KWF91" s="6"/>
      <c r="KWG91" s="6"/>
      <c r="KWH91" s="6"/>
      <c r="KWI91" s="6"/>
      <c r="KWJ91" s="6"/>
      <c r="KWK91" s="6"/>
      <c r="KWL91" s="6"/>
      <c r="KWM91" s="6"/>
      <c r="KWN91" s="6"/>
      <c r="KWO91" s="6"/>
      <c r="KWP91" s="6"/>
      <c r="KWQ91" s="6"/>
      <c r="KWR91" s="6"/>
      <c r="KWS91" s="6"/>
      <c r="KWT91" s="6"/>
      <c r="KWU91" s="6"/>
      <c r="KWV91" s="6"/>
      <c r="KWW91" s="6"/>
      <c r="KWX91" s="6"/>
      <c r="KWY91" s="6"/>
      <c r="KWZ91" s="6"/>
      <c r="KXA91" s="6"/>
      <c r="KXB91" s="6"/>
      <c r="KXC91" s="6"/>
      <c r="KXD91" s="6"/>
      <c r="KXE91" s="6"/>
      <c r="KXF91" s="6"/>
      <c r="KXG91" s="6"/>
      <c r="KXH91" s="6"/>
      <c r="KXI91" s="6"/>
      <c r="KXJ91" s="6"/>
      <c r="KXK91" s="6"/>
      <c r="KXL91" s="6"/>
      <c r="KXM91" s="6"/>
      <c r="KXN91" s="6"/>
      <c r="KXO91" s="6"/>
      <c r="KXP91" s="6"/>
      <c r="KXQ91" s="6"/>
      <c r="KXR91" s="6"/>
      <c r="KXS91" s="6"/>
      <c r="KXT91" s="6"/>
      <c r="KXU91" s="6"/>
      <c r="KXV91" s="6"/>
      <c r="KXW91" s="6"/>
      <c r="KXX91" s="6"/>
      <c r="KXY91" s="6"/>
      <c r="KXZ91" s="6"/>
      <c r="KYA91" s="6"/>
      <c r="KYB91" s="6"/>
      <c r="KYC91" s="6"/>
      <c r="KYD91" s="6"/>
      <c r="KYE91" s="6"/>
      <c r="KYF91" s="6"/>
      <c r="KYG91" s="6"/>
      <c r="KYH91" s="6"/>
      <c r="KYI91" s="6"/>
      <c r="KYJ91" s="6"/>
      <c r="KYK91" s="6"/>
      <c r="KYL91" s="6"/>
      <c r="KYM91" s="6"/>
      <c r="KYN91" s="6"/>
      <c r="KYO91" s="6"/>
      <c r="KYP91" s="6"/>
      <c r="KYQ91" s="6"/>
      <c r="KYR91" s="6"/>
      <c r="KYS91" s="6"/>
      <c r="KYT91" s="6"/>
      <c r="KYU91" s="6"/>
      <c r="KYV91" s="6"/>
      <c r="KYW91" s="6"/>
      <c r="KYX91" s="6"/>
      <c r="KYY91" s="6"/>
      <c r="KYZ91" s="6"/>
      <c r="KZA91" s="6"/>
      <c r="KZB91" s="6"/>
      <c r="KZC91" s="6"/>
      <c r="KZD91" s="6"/>
      <c r="KZE91" s="6"/>
      <c r="KZF91" s="6"/>
      <c r="KZG91" s="6"/>
      <c r="KZH91" s="6"/>
      <c r="KZI91" s="6"/>
      <c r="KZJ91" s="6"/>
      <c r="KZK91" s="6"/>
      <c r="KZL91" s="6"/>
      <c r="KZM91" s="6"/>
      <c r="KZN91" s="6"/>
      <c r="KZO91" s="6"/>
      <c r="KZP91" s="6"/>
      <c r="KZQ91" s="6"/>
      <c r="KZR91" s="6"/>
      <c r="KZS91" s="6"/>
      <c r="KZT91" s="6"/>
      <c r="KZU91" s="6"/>
      <c r="KZV91" s="6"/>
      <c r="KZW91" s="6"/>
      <c r="KZX91" s="6"/>
      <c r="KZY91" s="6"/>
      <c r="KZZ91" s="6"/>
      <c r="LAA91" s="6"/>
      <c r="LAB91" s="6"/>
      <c r="LAC91" s="6"/>
      <c r="LAD91" s="6"/>
      <c r="LAE91" s="6"/>
      <c r="LAF91" s="6"/>
      <c r="LAG91" s="6"/>
      <c r="LAH91" s="6"/>
      <c r="LAI91" s="6"/>
      <c r="LAJ91" s="6"/>
      <c r="LAK91" s="6"/>
      <c r="LAL91" s="6"/>
      <c r="LAM91" s="6"/>
      <c r="LAN91" s="6"/>
      <c r="LAO91" s="6"/>
      <c r="LAP91" s="6"/>
      <c r="LAQ91" s="6"/>
      <c r="LAR91" s="6"/>
      <c r="LAS91" s="6"/>
      <c r="LAT91" s="6"/>
      <c r="LAU91" s="6"/>
      <c r="LAV91" s="6"/>
      <c r="LAW91" s="6"/>
      <c r="LAX91" s="6"/>
      <c r="LAY91" s="6"/>
      <c r="LAZ91" s="6"/>
      <c r="LBA91" s="6"/>
      <c r="LBB91" s="6"/>
      <c r="LBC91" s="6"/>
      <c r="LBD91" s="6"/>
      <c r="LBE91" s="6"/>
      <c r="LBF91" s="6"/>
      <c r="LBG91" s="6"/>
      <c r="LBH91" s="6"/>
      <c r="LBI91" s="6"/>
      <c r="LBJ91" s="6"/>
      <c r="LBK91" s="6"/>
      <c r="LBL91" s="6"/>
      <c r="LBM91" s="6"/>
      <c r="LBN91" s="6"/>
      <c r="LBO91" s="6"/>
      <c r="LBP91" s="6"/>
      <c r="LBQ91" s="6"/>
      <c r="LBR91" s="6"/>
      <c r="LBS91" s="6"/>
      <c r="LBT91" s="6"/>
      <c r="LBU91" s="6"/>
      <c r="LBV91" s="6"/>
      <c r="LBW91" s="6"/>
      <c r="LBX91" s="6"/>
      <c r="LBY91" s="6"/>
      <c r="LBZ91" s="6"/>
      <c r="LCA91" s="6"/>
      <c r="LCB91" s="6"/>
      <c r="LCC91" s="6"/>
      <c r="LCD91" s="6"/>
      <c r="LCE91" s="6"/>
      <c r="LCF91" s="6"/>
      <c r="LCG91" s="6"/>
      <c r="LCH91" s="6"/>
      <c r="LCI91" s="6"/>
      <c r="LCJ91" s="6"/>
      <c r="LCK91" s="6"/>
      <c r="LCL91" s="6"/>
      <c r="LCM91" s="6"/>
      <c r="LCN91" s="6"/>
      <c r="LCO91" s="6"/>
      <c r="LCP91" s="6"/>
      <c r="LCQ91" s="6"/>
      <c r="LCR91" s="6"/>
      <c r="LCS91" s="6"/>
      <c r="LCT91" s="6"/>
      <c r="LCU91" s="6"/>
      <c r="LCV91" s="6"/>
      <c r="LCW91" s="6"/>
      <c r="LCX91" s="6"/>
      <c r="LCY91" s="6"/>
      <c r="LCZ91" s="6"/>
      <c r="LDA91" s="6"/>
      <c r="LDB91" s="6"/>
      <c r="LDC91" s="6"/>
      <c r="LDD91" s="6"/>
      <c r="LDE91" s="6"/>
      <c r="LDF91" s="6"/>
      <c r="LDG91" s="6"/>
      <c r="LDH91" s="6"/>
      <c r="LDI91" s="6"/>
      <c r="LDJ91" s="6"/>
      <c r="LDK91" s="6"/>
      <c r="LDL91" s="6"/>
      <c r="LDM91" s="6"/>
      <c r="LDN91" s="6"/>
      <c r="LDO91" s="6"/>
      <c r="LDP91" s="6"/>
      <c r="LDQ91" s="6"/>
      <c r="LDR91" s="6"/>
      <c r="LDS91" s="6"/>
      <c r="LDT91" s="6"/>
      <c r="LDU91" s="6"/>
      <c r="LDV91" s="6"/>
      <c r="LDW91" s="6"/>
      <c r="LDX91" s="6"/>
      <c r="LDY91" s="6"/>
      <c r="LDZ91" s="6"/>
      <c r="LEA91" s="6"/>
      <c r="LEB91" s="6"/>
      <c r="LEC91" s="6"/>
      <c r="LED91" s="6"/>
      <c r="LEE91" s="6"/>
      <c r="LEF91" s="6"/>
      <c r="LEG91" s="6"/>
      <c r="LEH91" s="6"/>
      <c r="LEI91" s="6"/>
      <c r="LEJ91" s="6"/>
      <c r="LEK91" s="6"/>
      <c r="LEL91" s="6"/>
      <c r="LEM91" s="6"/>
      <c r="LEN91" s="6"/>
      <c r="LEO91" s="6"/>
      <c r="LEP91" s="6"/>
      <c r="LEQ91" s="6"/>
      <c r="LER91" s="6"/>
      <c r="LES91" s="6"/>
      <c r="LET91" s="6"/>
      <c r="LEU91" s="6"/>
      <c r="LEV91" s="6"/>
      <c r="LEW91" s="6"/>
      <c r="LEX91" s="6"/>
      <c r="LEY91" s="6"/>
      <c r="LEZ91" s="6"/>
      <c r="LFA91" s="6"/>
      <c r="LFB91" s="6"/>
      <c r="LFC91" s="6"/>
      <c r="LFD91" s="6"/>
      <c r="LFE91" s="6"/>
      <c r="LFF91" s="6"/>
      <c r="LFG91" s="6"/>
      <c r="LFH91" s="6"/>
      <c r="LFI91" s="6"/>
      <c r="LFJ91" s="6"/>
      <c r="LFK91" s="6"/>
      <c r="LFL91" s="6"/>
      <c r="LFM91" s="6"/>
      <c r="LFN91" s="6"/>
      <c r="LFO91" s="6"/>
      <c r="LFP91" s="6"/>
      <c r="LFQ91" s="6"/>
      <c r="LFR91" s="6"/>
      <c r="LFS91" s="6"/>
      <c r="LFT91" s="6"/>
      <c r="LFU91" s="6"/>
      <c r="LFV91" s="6"/>
      <c r="LFW91" s="6"/>
      <c r="LFX91" s="6"/>
      <c r="LFY91" s="6"/>
      <c r="LFZ91" s="6"/>
      <c r="LGA91" s="6"/>
      <c r="LGB91" s="6"/>
      <c r="LGC91" s="6"/>
      <c r="LGD91" s="6"/>
      <c r="LGE91" s="6"/>
      <c r="LGF91" s="6"/>
      <c r="LGG91" s="6"/>
      <c r="LGH91" s="6"/>
      <c r="LGI91" s="6"/>
      <c r="LGJ91" s="6"/>
      <c r="LGK91" s="6"/>
      <c r="LGL91" s="6"/>
      <c r="LGM91" s="6"/>
      <c r="LGN91" s="6"/>
      <c r="LGO91" s="6"/>
      <c r="LGP91" s="6"/>
      <c r="LGQ91" s="6"/>
      <c r="LGR91" s="6"/>
      <c r="LGS91" s="6"/>
      <c r="LGT91" s="6"/>
      <c r="LGU91" s="6"/>
      <c r="LGV91" s="6"/>
      <c r="LGW91" s="6"/>
      <c r="LGX91" s="6"/>
      <c r="LGY91" s="6"/>
      <c r="LGZ91" s="6"/>
      <c r="LHA91" s="6"/>
      <c r="LHB91" s="6"/>
      <c r="LHC91" s="6"/>
      <c r="LHD91" s="6"/>
      <c r="LHE91" s="6"/>
      <c r="LHF91" s="6"/>
      <c r="LHG91" s="6"/>
      <c r="LHH91" s="6"/>
      <c r="LHI91" s="6"/>
      <c r="LHJ91" s="6"/>
      <c r="LHK91" s="6"/>
      <c r="LHL91" s="6"/>
      <c r="LHM91" s="6"/>
      <c r="LHN91" s="6"/>
      <c r="LHO91" s="6"/>
      <c r="LHP91" s="6"/>
      <c r="LHQ91" s="6"/>
      <c r="LHR91" s="6"/>
      <c r="LHS91" s="6"/>
      <c r="LHT91" s="6"/>
      <c r="LHU91" s="6"/>
      <c r="LHV91" s="6"/>
      <c r="LHW91" s="6"/>
      <c r="LHX91" s="6"/>
      <c r="LHY91" s="6"/>
      <c r="LHZ91" s="6"/>
      <c r="LIA91" s="6"/>
      <c r="LIB91" s="6"/>
      <c r="LIC91" s="6"/>
      <c r="LID91" s="6"/>
      <c r="LIE91" s="6"/>
      <c r="LIF91" s="6"/>
      <c r="LIG91" s="6"/>
      <c r="LIH91" s="6"/>
      <c r="LII91" s="6"/>
      <c r="LIJ91" s="6"/>
      <c r="LIK91" s="6"/>
      <c r="LIL91" s="6"/>
      <c r="LIM91" s="6"/>
      <c r="LIN91" s="6"/>
      <c r="LIO91" s="6"/>
      <c r="LIP91" s="6"/>
      <c r="LIQ91" s="6"/>
      <c r="LIR91" s="6"/>
      <c r="LIS91" s="6"/>
      <c r="LIT91" s="6"/>
      <c r="LIU91" s="6"/>
      <c r="LIV91" s="6"/>
      <c r="LIW91" s="6"/>
      <c r="LIX91" s="6"/>
      <c r="LIY91" s="6"/>
      <c r="LIZ91" s="6"/>
      <c r="LJA91" s="6"/>
      <c r="LJB91" s="6"/>
      <c r="LJC91" s="6"/>
      <c r="LJD91" s="6"/>
      <c r="LJE91" s="6"/>
      <c r="LJF91" s="6"/>
      <c r="LJG91" s="6"/>
      <c r="LJH91" s="6"/>
      <c r="LJI91" s="6"/>
      <c r="LJJ91" s="6"/>
      <c r="LJK91" s="6"/>
      <c r="LJL91" s="6"/>
      <c r="LJM91" s="6"/>
      <c r="LJN91" s="6"/>
      <c r="LJO91" s="6"/>
      <c r="LJP91" s="6"/>
      <c r="LJQ91" s="6"/>
      <c r="LJR91" s="6"/>
      <c r="LJS91" s="6"/>
      <c r="LJT91" s="6"/>
      <c r="LJU91" s="6"/>
      <c r="LJV91" s="6"/>
      <c r="LJW91" s="6"/>
      <c r="LJX91" s="6"/>
      <c r="LJY91" s="6"/>
      <c r="LJZ91" s="6"/>
      <c r="LKA91" s="6"/>
      <c r="LKB91" s="6"/>
      <c r="LKC91" s="6"/>
      <c r="LKD91" s="6"/>
      <c r="LKE91" s="6"/>
      <c r="LKF91" s="6"/>
      <c r="LKG91" s="6"/>
      <c r="LKH91" s="6"/>
      <c r="LKI91" s="6"/>
      <c r="LKJ91" s="6"/>
      <c r="LKK91" s="6"/>
      <c r="LKL91" s="6"/>
      <c r="LKM91" s="6"/>
      <c r="LKN91" s="6"/>
      <c r="LKO91" s="6"/>
      <c r="LKP91" s="6"/>
      <c r="LKQ91" s="6"/>
      <c r="LKR91" s="6"/>
      <c r="LKS91" s="6"/>
      <c r="LKT91" s="6"/>
      <c r="LKU91" s="6"/>
      <c r="LKV91" s="6"/>
      <c r="LKW91" s="6"/>
      <c r="LKX91" s="6"/>
      <c r="LKY91" s="6"/>
      <c r="LKZ91" s="6"/>
      <c r="LLA91" s="6"/>
      <c r="LLB91" s="6"/>
      <c r="LLC91" s="6"/>
      <c r="LLD91" s="6"/>
      <c r="LLE91" s="6"/>
      <c r="LLF91" s="6"/>
      <c r="LLG91" s="6"/>
      <c r="LLH91" s="6"/>
      <c r="LLI91" s="6"/>
      <c r="LLJ91" s="6"/>
      <c r="LLK91" s="6"/>
      <c r="LLL91" s="6"/>
      <c r="LLM91" s="6"/>
      <c r="LLN91" s="6"/>
      <c r="LLO91" s="6"/>
      <c r="LLP91" s="6"/>
      <c r="LLQ91" s="6"/>
      <c r="LLR91" s="6"/>
      <c r="LLS91" s="6"/>
      <c r="LLT91" s="6"/>
      <c r="LLU91" s="6"/>
      <c r="LLV91" s="6"/>
      <c r="LLW91" s="6"/>
      <c r="LLX91" s="6"/>
      <c r="LLY91" s="6"/>
      <c r="LLZ91" s="6"/>
      <c r="LMA91" s="6"/>
      <c r="LMB91" s="6"/>
      <c r="LMC91" s="6"/>
      <c r="LMD91" s="6"/>
      <c r="LME91" s="6"/>
      <c r="LMF91" s="6"/>
      <c r="LMG91" s="6"/>
      <c r="LMH91" s="6"/>
      <c r="LMI91" s="6"/>
      <c r="LMJ91" s="6"/>
      <c r="LMK91" s="6"/>
      <c r="LML91" s="6"/>
      <c r="LMM91" s="6"/>
      <c r="LMN91" s="6"/>
      <c r="LMO91" s="6"/>
      <c r="LMP91" s="6"/>
      <c r="LMQ91" s="6"/>
      <c r="LMR91" s="6"/>
      <c r="LMS91" s="6"/>
      <c r="LMT91" s="6"/>
      <c r="LMU91" s="6"/>
      <c r="LMV91" s="6"/>
      <c r="LMW91" s="6"/>
      <c r="LMX91" s="6"/>
      <c r="LMY91" s="6"/>
      <c r="LMZ91" s="6"/>
      <c r="LNA91" s="6"/>
      <c r="LNB91" s="6"/>
      <c r="LNC91" s="6"/>
      <c r="LND91" s="6"/>
      <c r="LNE91" s="6"/>
      <c r="LNF91" s="6"/>
      <c r="LNG91" s="6"/>
      <c r="LNH91" s="6"/>
      <c r="LNI91" s="6"/>
      <c r="LNJ91" s="6"/>
      <c r="LNK91" s="6"/>
      <c r="LNL91" s="6"/>
      <c r="LNM91" s="6"/>
      <c r="LNN91" s="6"/>
      <c r="LNO91" s="6"/>
      <c r="LNP91" s="6"/>
      <c r="LNQ91" s="6"/>
      <c r="LNR91" s="6"/>
      <c r="LNS91" s="6"/>
      <c r="LNT91" s="6"/>
      <c r="LNU91" s="6"/>
      <c r="LNV91" s="6"/>
      <c r="LNW91" s="6"/>
      <c r="LNX91" s="6"/>
      <c r="LNY91" s="6"/>
      <c r="LNZ91" s="6"/>
      <c r="LOA91" s="6"/>
      <c r="LOB91" s="6"/>
      <c r="LOC91" s="6"/>
      <c r="LOD91" s="6"/>
      <c r="LOE91" s="6"/>
      <c r="LOF91" s="6"/>
      <c r="LOG91" s="6"/>
      <c r="LOH91" s="6"/>
      <c r="LOI91" s="6"/>
      <c r="LOJ91" s="6"/>
      <c r="LOK91" s="6"/>
      <c r="LOL91" s="6"/>
      <c r="LOM91" s="6"/>
      <c r="LON91" s="6"/>
      <c r="LOO91" s="6"/>
      <c r="LOP91" s="6"/>
      <c r="LOQ91" s="6"/>
      <c r="LOR91" s="6"/>
      <c r="LOS91" s="6"/>
      <c r="LOT91" s="6"/>
      <c r="LOU91" s="6"/>
      <c r="LOV91" s="6"/>
      <c r="LOW91" s="6"/>
      <c r="LOX91" s="6"/>
      <c r="LOY91" s="6"/>
      <c r="LOZ91" s="6"/>
      <c r="LPA91" s="6"/>
      <c r="LPB91" s="6"/>
      <c r="LPC91" s="6"/>
      <c r="LPD91" s="6"/>
      <c r="LPE91" s="6"/>
      <c r="LPF91" s="6"/>
      <c r="LPG91" s="6"/>
      <c r="LPH91" s="6"/>
      <c r="LPI91" s="6"/>
      <c r="LPJ91" s="6"/>
      <c r="LPK91" s="6"/>
      <c r="LPL91" s="6"/>
      <c r="LPM91" s="6"/>
      <c r="LPN91" s="6"/>
      <c r="LPO91" s="6"/>
      <c r="LPP91" s="6"/>
      <c r="LPQ91" s="6"/>
      <c r="LPR91" s="6"/>
      <c r="LPS91" s="6"/>
      <c r="LPT91" s="6"/>
      <c r="LPU91" s="6"/>
      <c r="LPV91" s="6"/>
      <c r="LPW91" s="6"/>
      <c r="LPX91" s="6"/>
      <c r="LPY91" s="6"/>
      <c r="LPZ91" s="6"/>
      <c r="LQA91" s="6"/>
      <c r="LQB91" s="6"/>
      <c r="LQC91" s="6"/>
      <c r="LQD91" s="6"/>
      <c r="LQE91" s="6"/>
      <c r="LQF91" s="6"/>
      <c r="LQG91" s="6"/>
      <c r="LQH91" s="6"/>
      <c r="LQI91" s="6"/>
      <c r="LQJ91" s="6"/>
      <c r="LQK91" s="6"/>
      <c r="LQL91" s="6"/>
      <c r="LQM91" s="6"/>
      <c r="LQN91" s="6"/>
      <c r="LQO91" s="6"/>
      <c r="LQP91" s="6"/>
      <c r="LQQ91" s="6"/>
      <c r="LQR91" s="6"/>
      <c r="LQS91" s="6"/>
      <c r="LQT91" s="6"/>
      <c r="LQU91" s="6"/>
      <c r="LQV91" s="6"/>
      <c r="LQW91" s="6"/>
      <c r="LQX91" s="6"/>
      <c r="LQY91" s="6"/>
      <c r="LQZ91" s="6"/>
      <c r="LRA91" s="6"/>
      <c r="LRB91" s="6"/>
      <c r="LRC91" s="6"/>
      <c r="LRD91" s="6"/>
      <c r="LRE91" s="6"/>
      <c r="LRF91" s="6"/>
      <c r="LRG91" s="6"/>
      <c r="LRH91" s="6"/>
      <c r="LRI91" s="6"/>
      <c r="LRJ91" s="6"/>
      <c r="LRK91" s="6"/>
      <c r="LRL91" s="6"/>
      <c r="LRM91" s="6"/>
      <c r="LRN91" s="6"/>
      <c r="LRO91" s="6"/>
      <c r="LRP91" s="6"/>
      <c r="LRQ91" s="6"/>
      <c r="LRR91" s="6"/>
      <c r="LRS91" s="6"/>
      <c r="LRT91" s="6"/>
      <c r="LRU91" s="6"/>
      <c r="LRV91" s="6"/>
      <c r="LRW91" s="6"/>
      <c r="LRX91" s="6"/>
      <c r="LRY91" s="6"/>
      <c r="LRZ91" s="6"/>
      <c r="LSA91" s="6"/>
      <c r="LSB91" s="6"/>
      <c r="LSC91" s="6"/>
      <c r="LSD91" s="6"/>
      <c r="LSE91" s="6"/>
      <c r="LSF91" s="6"/>
      <c r="LSG91" s="6"/>
      <c r="LSH91" s="6"/>
      <c r="LSI91" s="6"/>
      <c r="LSJ91" s="6"/>
      <c r="LSK91" s="6"/>
      <c r="LSL91" s="6"/>
      <c r="LSM91" s="6"/>
      <c r="LSN91" s="6"/>
      <c r="LSO91" s="6"/>
      <c r="LSP91" s="6"/>
      <c r="LSQ91" s="6"/>
      <c r="LSR91" s="6"/>
      <c r="LSS91" s="6"/>
      <c r="LST91" s="6"/>
      <c r="LSU91" s="6"/>
      <c r="LSV91" s="6"/>
      <c r="LSW91" s="6"/>
      <c r="LSX91" s="6"/>
      <c r="LSY91" s="6"/>
      <c r="LSZ91" s="6"/>
      <c r="LTA91" s="6"/>
      <c r="LTB91" s="6"/>
      <c r="LTC91" s="6"/>
      <c r="LTD91" s="6"/>
      <c r="LTE91" s="6"/>
      <c r="LTF91" s="6"/>
      <c r="LTG91" s="6"/>
      <c r="LTH91" s="6"/>
      <c r="LTI91" s="6"/>
      <c r="LTJ91" s="6"/>
      <c r="LTK91" s="6"/>
      <c r="LTL91" s="6"/>
      <c r="LTM91" s="6"/>
      <c r="LTN91" s="6"/>
      <c r="LTO91" s="6"/>
      <c r="LTP91" s="6"/>
      <c r="LTQ91" s="6"/>
      <c r="LTR91" s="6"/>
      <c r="LTS91" s="6"/>
      <c r="LTT91" s="6"/>
      <c r="LTU91" s="6"/>
      <c r="LTV91" s="6"/>
      <c r="LTW91" s="6"/>
      <c r="LTX91" s="6"/>
      <c r="LTY91" s="6"/>
      <c r="LTZ91" s="6"/>
      <c r="LUA91" s="6"/>
      <c r="LUB91" s="6"/>
      <c r="LUC91" s="6"/>
      <c r="LUD91" s="6"/>
      <c r="LUE91" s="6"/>
      <c r="LUF91" s="6"/>
      <c r="LUG91" s="6"/>
      <c r="LUH91" s="6"/>
      <c r="LUI91" s="6"/>
      <c r="LUJ91" s="6"/>
      <c r="LUK91" s="6"/>
      <c r="LUL91" s="6"/>
      <c r="LUM91" s="6"/>
      <c r="LUN91" s="6"/>
      <c r="LUO91" s="6"/>
      <c r="LUP91" s="6"/>
      <c r="LUQ91" s="6"/>
      <c r="LUR91" s="6"/>
      <c r="LUS91" s="6"/>
      <c r="LUT91" s="6"/>
      <c r="LUU91" s="6"/>
      <c r="LUV91" s="6"/>
      <c r="LUW91" s="6"/>
      <c r="LUX91" s="6"/>
      <c r="LUY91" s="6"/>
      <c r="LUZ91" s="6"/>
      <c r="LVA91" s="6"/>
      <c r="LVB91" s="6"/>
      <c r="LVC91" s="6"/>
      <c r="LVD91" s="6"/>
      <c r="LVE91" s="6"/>
      <c r="LVF91" s="6"/>
      <c r="LVG91" s="6"/>
      <c r="LVH91" s="6"/>
      <c r="LVI91" s="6"/>
      <c r="LVJ91" s="6"/>
      <c r="LVK91" s="6"/>
      <c r="LVL91" s="6"/>
      <c r="LVM91" s="6"/>
      <c r="LVN91" s="6"/>
      <c r="LVO91" s="6"/>
      <c r="LVP91" s="6"/>
      <c r="LVQ91" s="6"/>
      <c r="LVR91" s="6"/>
      <c r="LVS91" s="6"/>
      <c r="LVT91" s="6"/>
      <c r="LVU91" s="6"/>
      <c r="LVV91" s="6"/>
      <c r="LVW91" s="6"/>
      <c r="LVX91" s="6"/>
      <c r="LVY91" s="6"/>
      <c r="LVZ91" s="6"/>
      <c r="LWA91" s="6"/>
      <c r="LWB91" s="6"/>
      <c r="LWC91" s="6"/>
      <c r="LWD91" s="6"/>
      <c r="LWE91" s="6"/>
      <c r="LWF91" s="6"/>
      <c r="LWG91" s="6"/>
      <c r="LWH91" s="6"/>
      <c r="LWI91" s="6"/>
      <c r="LWJ91" s="6"/>
      <c r="LWK91" s="6"/>
      <c r="LWL91" s="6"/>
      <c r="LWM91" s="6"/>
      <c r="LWN91" s="6"/>
      <c r="LWO91" s="6"/>
      <c r="LWP91" s="6"/>
      <c r="LWQ91" s="6"/>
      <c r="LWR91" s="6"/>
      <c r="LWS91" s="6"/>
      <c r="LWT91" s="6"/>
      <c r="LWU91" s="6"/>
      <c r="LWV91" s="6"/>
      <c r="LWW91" s="6"/>
      <c r="LWX91" s="6"/>
      <c r="LWY91" s="6"/>
      <c r="LWZ91" s="6"/>
      <c r="LXA91" s="6"/>
      <c r="LXB91" s="6"/>
      <c r="LXC91" s="6"/>
      <c r="LXD91" s="6"/>
      <c r="LXE91" s="6"/>
      <c r="LXF91" s="6"/>
      <c r="LXG91" s="6"/>
      <c r="LXH91" s="6"/>
      <c r="LXI91" s="6"/>
      <c r="LXJ91" s="6"/>
      <c r="LXK91" s="6"/>
      <c r="LXL91" s="6"/>
      <c r="LXM91" s="6"/>
      <c r="LXN91" s="6"/>
      <c r="LXO91" s="6"/>
      <c r="LXP91" s="6"/>
      <c r="LXQ91" s="6"/>
      <c r="LXR91" s="6"/>
      <c r="LXS91" s="6"/>
      <c r="LXT91" s="6"/>
      <c r="LXU91" s="6"/>
      <c r="LXV91" s="6"/>
      <c r="LXW91" s="6"/>
      <c r="LXX91" s="6"/>
      <c r="LXY91" s="6"/>
      <c r="LXZ91" s="6"/>
      <c r="LYA91" s="6"/>
      <c r="LYB91" s="6"/>
      <c r="LYC91" s="6"/>
      <c r="LYD91" s="6"/>
      <c r="LYE91" s="6"/>
      <c r="LYF91" s="6"/>
      <c r="LYG91" s="6"/>
      <c r="LYH91" s="6"/>
      <c r="LYI91" s="6"/>
      <c r="LYJ91" s="6"/>
      <c r="LYK91" s="6"/>
      <c r="LYL91" s="6"/>
      <c r="LYM91" s="6"/>
      <c r="LYN91" s="6"/>
      <c r="LYO91" s="6"/>
      <c r="LYP91" s="6"/>
      <c r="LYQ91" s="6"/>
      <c r="LYR91" s="6"/>
      <c r="LYS91" s="6"/>
      <c r="LYT91" s="6"/>
      <c r="LYU91" s="6"/>
      <c r="LYV91" s="6"/>
      <c r="LYW91" s="6"/>
      <c r="LYX91" s="6"/>
      <c r="LYY91" s="6"/>
      <c r="LYZ91" s="6"/>
      <c r="LZA91" s="6"/>
      <c r="LZB91" s="6"/>
      <c r="LZC91" s="6"/>
      <c r="LZD91" s="6"/>
      <c r="LZE91" s="6"/>
      <c r="LZF91" s="6"/>
      <c r="LZG91" s="6"/>
      <c r="LZH91" s="6"/>
      <c r="LZI91" s="6"/>
      <c r="LZJ91" s="6"/>
      <c r="LZK91" s="6"/>
      <c r="LZL91" s="6"/>
      <c r="LZM91" s="6"/>
      <c r="LZN91" s="6"/>
      <c r="LZO91" s="6"/>
      <c r="LZP91" s="6"/>
      <c r="LZQ91" s="6"/>
      <c r="LZR91" s="6"/>
      <c r="LZS91" s="6"/>
      <c r="LZT91" s="6"/>
      <c r="LZU91" s="6"/>
      <c r="LZV91" s="6"/>
      <c r="LZW91" s="6"/>
      <c r="LZX91" s="6"/>
      <c r="LZY91" s="6"/>
      <c r="LZZ91" s="6"/>
      <c r="MAA91" s="6"/>
      <c r="MAB91" s="6"/>
      <c r="MAC91" s="6"/>
      <c r="MAD91" s="6"/>
      <c r="MAE91" s="6"/>
      <c r="MAF91" s="6"/>
      <c r="MAG91" s="6"/>
      <c r="MAH91" s="6"/>
      <c r="MAI91" s="6"/>
      <c r="MAJ91" s="6"/>
      <c r="MAK91" s="6"/>
      <c r="MAL91" s="6"/>
      <c r="MAM91" s="6"/>
      <c r="MAN91" s="6"/>
      <c r="MAO91" s="6"/>
      <c r="MAP91" s="6"/>
      <c r="MAQ91" s="6"/>
      <c r="MAR91" s="6"/>
      <c r="MAS91" s="6"/>
      <c r="MAT91" s="6"/>
      <c r="MAU91" s="6"/>
      <c r="MAV91" s="6"/>
      <c r="MAW91" s="6"/>
      <c r="MAX91" s="6"/>
      <c r="MAY91" s="6"/>
      <c r="MAZ91" s="6"/>
      <c r="MBA91" s="6"/>
      <c r="MBB91" s="6"/>
      <c r="MBC91" s="6"/>
      <c r="MBD91" s="6"/>
      <c r="MBE91" s="6"/>
      <c r="MBF91" s="6"/>
      <c r="MBG91" s="6"/>
      <c r="MBH91" s="6"/>
      <c r="MBI91" s="6"/>
      <c r="MBJ91" s="6"/>
      <c r="MBK91" s="6"/>
      <c r="MBL91" s="6"/>
      <c r="MBM91" s="6"/>
      <c r="MBN91" s="6"/>
      <c r="MBO91" s="6"/>
      <c r="MBP91" s="6"/>
      <c r="MBQ91" s="6"/>
      <c r="MBR91" s="6"/>
      <c r="MBS91" s="6"/>
      <c r="MBT91" s="6"/>
      <c r="MBU91" s="6"/>
      <c r="MBV91" s="6"/>
      <c r="MBW91" s="6"/>
      <c r="MBX91" s="6"/>
      <c r="MBY91" s="6"/>
      <c r="MBZ91" s="6"/>
      <c r="MCA91" s="6"/>
      <c r="MCB91" s="6"/>
      <c r="MCC91" s="6"/>
      <c r="MCD91" s="6"/>
      <c r="MCE91" s="6"/>
      <c r="MCF91" s="6"/>
      <c r="MCG91" s="6"/>
      <c r="MCH91" s="6"/>
      <c r="MCI91" s="6"/>
      <c r="MCJ91" s="6"/>
      <c r="MCK91" s="6"/>
      <c r="MCL91" s="6"/>
      <c r="MCM91" s="6"/>
      <c r="MCN91" s="6"/>
      <c r="MCO91" s="6"/>
      <c r="MCP91" s="6"/>
      <c r="MCQ91" s="6"/>
      <c r="MCR91" s="6"/>
      <c r="MCS91" s="6"/>
      <c r="MCT91" s="6"/>
      <c r="MCU91" s="6"/>
      <c r="MCV91" s="6"/>
      <c r="MCW91" s="6"/>
      <c r="MCX91" s="6"/>
      <c r="MCY91" s="6"/>
      <c r="MCZ91" s="6"/>
      <c r="MDA91" s="6"/>
      <c r="MDB91" s="6"/>
      <c r="MDC91" s="6"/>
      <c r="MDD91" s="6"/>
      <c r="MDE91" s="6"/>
      <c r="MDF91" s="6"/>
      <c r="MDG91" s="6"/>
      <c r="MDH91" s="6"/>
      <c r="MDI91" s="6"/>
      <c r="MDJ91" s="6"/>
      <c r="MDK91" s="6"/>
      <c r="MDL91" s="6"/>
      <c r="MDM91" s="6"/>
      <c r="MDN91" s="6"/>
      <c r="MDO91" s="6"/>
      <c r="MDP91" s="6"/>
      <c r="MDQ91" s="6"/>
      <c r="MDR91" s="6"/>
      <c r="MDS91" s="6"/>
      <c r="MDT91" s="6"/>
      <c r="MDU91" s="6"/>
      <c r="MDV91" s="6"/>
      <c r="MDW91" s="6"/>
      <c r="MDX91" s="6"/>
      <c r="MDY91" s="6"/>
      <c r="MDZ91" s="6"/>
      <c r="MEA91" s="6"/>
      <c r="MEB91" s="6"/>
      <c r="MEC91" s="6"/>
      <c r="MED91" s="6"/>
      <c r="MEE91" s="6"/>
      <c r="MEF91" s="6"/>
      <c r="MEG91" s="6"/>
      <c r="MEH91" s="6"/>
      <c r="MEI91" s="6"/>
      <c r="MEJ91" s="6"/>
      <c r="MEK91" s="6"/>
      <c r="MEL91" s="6"/>
      <c r="MEM91" s="6"/>
      <c r="MEN91" s="6"/>
      <c r="MEO91" s="6"/>
      <c r="MEP91" s="6"/>
      <c r="MEQ91" s="6"/>
      <c r="MER91" s="6"/>
      <c r="MES91" s="6"/>
      <c r="MET91" s="6"/>
      <c r="MEU91" s="6"/>
      <c r="MEV91" s="6"/>
      <c r="MEW91" s="6"/>
      <c r="MEX91" s="6"/>
      <c r="MEY91" s="6"/>
      <c r="MEZ91" s="6"/>
      <c r="MFA91" s="6"/>
      <c r="MFB91" s="6"/>
      <c r="MFC91" s="6"/>
      <c r="MFD91" s="6"/>
      <c r="MFE91" s="6"/>
      <c r="MFF91" s="6"/>
      <c r="MFG91" s="6"/>
      <c r="MFH91" s="6"/>
      <c r="MFI91" s="6"/>
      <c r="MFJ91" s="6"/>
      <c r="MFK91" s="6"/>
      <c r="MFL91" s="6"/>
      <c r="MFM91" s="6"/>
      <c r="MFN91" s="6"/>
      <c r="MFO91" s="6"/>
      <c r="MFP91" s="6"/>
      <c r="MFQ91" s="6"/>
      <c r="MFR91" s="6"/>
      <c r="MFS91" s="6"/>
      <c r="MFT91" s="6"/>
      <c r="MFU91" s="6"/>
      <c r="MFV91" s="6"/>
      <c r="MFW91" s="6"/>
      <c r="MFX91" s="6"/>
      <c r="MFY91" s="6"/>
      <c r="MFZ91" s="6"/>
      <c r="MGA91" s="6"/>
      <c r="MGB91" s="6"/>
      <c r="MGC91" s="6"/>
      <c r="MGD91" s="6"/>
      <c r="MGE91" s="6"/>
      <c r="MGF91" s="6"/>
      <c r="MGG91" s="6"/>
      <c r="MGH91" s="6"/>
      <c r="MGI91" s="6"/>
      <c r="MGJ91" s="6"/>
      <c r="MGK91" s="6"/>
      <c r="MGL91" s="6"/>
      <c r="MGM91" s="6"/>
      <c r="MGN91" s="6"/>
      <c r="MGO91" s="6"/>
      <c r="MGP91" s="6"/>
      <c r="MGQ91" s="6"/>
      <c r="MGR91" s="6"/>
      <c r="MGS91" s="6"/>
      <c r="MGT91" s="6"/>
      <c r="MGU91" s="6"/>
      <c r="MGV91" s="6"/>
      <c r="MGW91" s="6"/>
      <c r="MGX91" s="6"/>
      <c r="MGY91" s="6"/>
      <c r="MGZ91" s="6"/>
      <c r="MHA91" s="6"/>
      <c r="MHB91" s="6"/>
      <c r="MHC91" s="6"/>
      <c r="MHD91" s="6"/>
      <c r="MHE91" s="6"/>
      <c r="MHF91" s="6"/>
      <c r="MHG91" s="6"/>
      <c r="MHH91" s="6"/>
      <c r="MHI91" s="6"/>
      <c r="MHJ91" s="6"/>
      <c r="MHK91" s="6"/>
      <c r="MHL91" s="6"/>
      <c r="MHM91" s="6"/>
      <c r="MHN91" s="6"/>
      <c r="MHO91" s="6"/>
      <c r="MHP91" s="6"/>
      <c r="MHQ91" s="6"/>
      <c r="MHR91" s="6"/>
      <c r="MHS91" s="6"/>
      <c r="MHT91" s="6"/>
      <c r="MHU91" s="6"/>
      <c r="MHV91" s="6"/>
      <c r="MHW91" s="6"/>
      <c r="MHX91" s="6"/>
      <c r="MHY91" s="6"/>
      <c r="MHZ91" s="6"/>
      <c r="MIA91" s="6"/>
      <c r="MIB91" s="6"/>
      <c r="MIC91" s="6"/>
      <c r="MID91" s="6"/>
      <c r="MIE91" s="6"/>
      <c r="MIF91" s="6"/>
      <c r="MIG91" s="6"/>
      <c r="MIH91" s="6"/>
      <c r="MII91" s="6"/>
      <c r="MIJ91" s="6"/>
      <c r="MIK91" s="6"/>
      <c r="MIL91" s="6"/>
      <c r="MIM91" s="6"/>
      <c r="MIN91" s="6"/>
      <c r="MIO91" s="6"/>
      <c r="MIP91" s="6"/>
      <c r="MIQ91" s="6"/>
      <c r="MIR91" s="6"/>
      <c r="MIS91" s="6"/>
      <c r="MIT91" s="6"/>
      <c r="MIU91" s="6"/>
      <c r="MIV91" s="6"/>
      <c r="MIW91" s="6"/>
      <c r="MIX91" s="6"/>
      <c r="MIY91" s="6"/>
      <c r="MIZ91" s="6"/>
      <c r="MJA91" s="6"/>
      <c r="MJB91" s="6"/>
      <c r="MJC91" s="6"/>
      <c r="MJD91" s="6"/>
      <c r="MJE91" s="6"/>
      <c r="MJF91" s="6"/>
      <c r="MJG91" s="6"/>
      <c r="MJH91" s="6"/>
      <c r="MJI91" s="6"/>
      <c r="MJJ91" s="6"/>
      <c r="MJK91" s="6"/>
      <c r="MJL91" s="6"/>
      <c r="MJM91" s="6"/>
      <c r="MJN91" s="6"/>
      <c r="MJO91" s="6"/>
      <c r="MJP91" s="6"/>
      <c r="MJQ91" s="6"/>
      <c r="MJR91" s="6"/>
      <c r="MJS91" s="6"/>
      <c r="MJT91" s="6"/>
      <c r="MJU91" s="6"/>
      <c r="MJV91" s="6"/>
      <c r="MJW91" s="6"/>
      <c r="MJX91" s="6"/>
      <c r="MJY91" s="6"/>
      <c r="MJZ91" s="6"/>
      <c r="MKA91" s="6"/>
      <c r="MKB91" s="6"/>
      <c r="MKC91" s="6"/>
      <c r="MKD91" s="6"/>
      <c r="MKE91" s="6"/>
      <c r="MKF91" s="6"/>
      <c r="MKG91" s="6"/>
      <c r="MKH91" s="6"/>
      <c r="MKI91" s="6"/>
      <c r="MKJ91" s="6"/>
      <c r="MKK91" s="6"/>
      <c r="MKL91" s="6"/>
      <c r="MKM91" s="6"/>
      <c r="MKN91" s="6"/>
      <c r="MKO91" s="6"/>
      <c r="MKP91" s="6"/>
      <c r="MKQ91" s="6"/>
      <c r="MKR91" s="6"/>
      <c r="MKS91" s="6"/>
      <c r="MKT91" s="6"/>
      <c r="MKU91" s="6"/>
      <c r="MKV91" s="6"/>
      <c r="MKW91" s="6"/>
      <c r="MKX91" s="6"/>
      <c r="MKY91" s="6"/>
      <c r="MKZ91" s="6"/>
      <c r="MLA91" s="6"/>
      <c r="MLB91" s="6"/>
      <c r="MLC91" s="6"/>
      <c r="MLD91" s="6"/>
      <c r="MLE91" s="6"/>
      <c r="MLF91" s="6"/>
      <c r="MLG91" s="6"/>
      <c r="MLH91" s="6"/>
      <c r="MLI91" s="6"/>
      <c r="MLJ91" s="6"/>
      <c r="MLK91" s="6"/>
      <c r="MLL91" s="6"/>
      <c r="MLM91" s="6"/>
      <c r="MLN91" s="6"/>
      <c r="MLO91" s="6"/>
      <c r="MLP91" s="6"/>
      <c r="MLQ91" s="6"/>
      <c r="MLR91" s="6"/>
      <c r="MLS91" s="6"/>
      <c r="MLT91" s="6"/>
      <c r="MLU91" s="6"/>
      <c r="MLV91" s="6"/>
      <c r="MLW91" s="6"/>
      <c r="MLX91" s="6"/>
      <c r="MLY91" s="6"/>
      <c r="MLZ91" s="6"/>
      <c r="MMA91" s="6"/>
      <c r="MMB91" s="6"/>
      <c r="MMC91" s="6"/>
      <c r="MMD91" s="6"/>
      <c r="MME91" s="6"/>
      <c r="MMF91" s="6"/>
      <c r="MMG91" s="6"/>
      <c r="MMH91" s="6"/>
      <c r="MMI91" s="6"/>
      <c r="MMJ91" s="6"/>
      <c r="MMK91" s="6"/>
      <c r="MML91" s="6"/>
      <c r="MMM91" s="6"/>
      <c r="MMN91" s="6"/>
      <c r="MMO91" s="6"/>
      <c r="MMP91" s="6"/>
      <c r="MMQ91" s="6"/>
      <c r="MMR91" s="6"/>
      <c r="MMS91" s="6"/>
      <c r="MMT91" s="6"/>
      <c r="MMU91" s="6"/>
      <c r="MMV91" s="6"/>
      <c r="MMW91" s="6"/>
      <c r="MMX91" s="6"/>
      <c r="MMY91" s="6"/>
      <c r="MMZ91" s="6"/>
      <c r="MNA91" s="6"/>
      <c r="MNB91" s="6"/>
      <c r="MNC91" s="6"/>
      <c r="MND91" s="6"/>
      <c r="MNE91" s="6"/>
      <c r="MNF91" s="6"/>
      <c r="MNG91" s="6"/>
      <c r="MNH91" s="6"/>
      <c r="MNI91" s="6"/>
      <c r="MNJ91" s="6"/>
      <c r="MNK91" s="6"/>
      <c r="MNL91" s="6"/>
      <c r="MNM91" s="6"/>
      <c r="MNN91" s="6"/>
      <c r="MNO91" s="6"/>
      <c r="MNP91" s="6"/>
      <c r="MNQ91" s="6"/>
      <c r="MNR91" s="6"/>
      <c r="MNS91" s="6"/>
      <c r="MNT91" s="6"/>
      <c r="MNU91" s="6"/>
      <c r="MNV91" s="6"/>
      <c r="MNW91" s="6"/>
      <c r="MNX91" s="6"/>
      <c r="MNY91" s="6"/>
      <c r="MNZ91" s="6"/>
      <c r="MOA91" s="6"/>
      <c r="MOB91" s="6"/>
      <c r="MOC91" s="6"/>
      <c r="MOD91" s="6"/>
      <c r="MOE91" s="6"/>
      <c r="MOF91" s="6"/>
      <c r="MOG91" s="6"/>
      <c r="MOH91" s="6"/>
      <c r="MOI91" s="6"/>
      <c r="MOJ91" s="6"/>
      <c r="MOK91" s="6"/>
      <c r="MOL91" s="6"/>
      <c r="MOM91" s="6"/>
      <c r="MON91" s="6"/>
      <c r="MOO91" s="6"/>
      <c r="MOP91" s="6"/>
      <c r="MOQ91" s="6"/>
      <c r="MOR91" s="6"/>
      <c r="MOS91" s="6"/>
      <c r="MOT91" s="6"/>
      <c r="MOU91" s="6"/>
      <c r="MOV91" s="6"/>
      <c r="MOW91" s="6"/>
      <c r="MOX91" s="6"/>
      <c r="MOY91" s="6"/>
      <c r="MOZ91" s="6"/>
      <c r="MPA91" s="6"/>
      <c r="MPB91" s="6"/>
      <c r="MPC91" s="6"/>
      <c r="MPD91" s="6"/>
      <c r="MPE91" s="6"/>
      <c r="MPF91" s="6"/>
      <c r="MPG91" s="6"/>
      <c r="MPH91" s="6"/>
      <c r="MPI91" s="6"/>
      <c r="MPJ91" s="6"/>
      <c r="MPK91" s="6"/>
      <c r="MPL91" s="6"/>
      <c r="MPM91" s="6"/>
      <c r="MPN91" s="6"/>
      <c r="MPO91" s="6"/>
      <c r="MPP91" s="6"/>
      <c r="MPQ91" s="6"/>
      <c r="MPR91" s="6"/>
      <c r="MPS91" s="6"/>
      <c r="MPT91" s="6"/>
      <c r="MPU91" s="6"/>
      <c r="MPV91" s="6"/>
      <c r="MPW91" s="6"/>
      <c r="MPX91" s="6"/>
      <c r="MPY91" s="6"/>
      <c r="MPZ91" s="6"/>
      <c r="MQA91" s="6"/>
      <c r="MQB91" s="6"/>
      <c r="MQC91" s="6"/>
      <c r="MQD91" s="6"/>
      <c r="MQE91" s="6"/>
      <c r="MQF91" s="6"/>
      <c r="MQG91" s="6"/>
      <c r="MQH91" s="6"/>
      <c r="MQI91" s="6"/>
      <c r="MQJ91" s="6"/>
      <c r="MQK91" s="6"/>
      <c r="MQL91" s="6"/>
      <c r="MQM91" s="6"/>
      <c r="MQN91" s="6"/>
      <c r="MQO91" s="6"/>
      <c r="MQP91" s="6"/>
      <c r="MQQ91" s="6"/>
      <c r="MQR91" s="6"/>
      <c r="MQS91" s="6"/>
      <c r="MQT91" s="6"/>
      <c r="MQU91" s="6"/>
      <c r="MQV91" s="6"/>
      <c r="MQW91" s="6"/>
      <c r="MQX91" s="6"/>
      <c r="MQY91" s="6"/>
      <c r="MQZ91" s="6"/>
      <c r="MRA91" s="6"/>
      <c r="MRB91" s="6"/>
      <c r="MRC91" s="6"/>
      <c r="MRD91" s="6"/>
      <c r="MRE91" s="6"/>
      <c r="MRF91" s="6"/>
      <c r="MRG91" s="6"/>
      <c r="MRH91" s="6"/>
      <c r="MRI91" s="6"/>
      <c r="MRJ91" s="6"/>
      <c r="MRK91" s="6"/>
      <c r="MRL91" s="6"/>
      <c r="MRM91" s="6"/>
      <c r="MRN91" s="6"/>
      <c r="MRO91" s="6"/>
      <c r="MRP91" s="6"/>
      <c r="MRQ91" s="6"/>
      <c r="MRR91" s="6"/>
      <c r="MRS91" s="6"/>
      <c r="MRT91" s="6"/>
      <c r="MRU91" s="6"/>
      <c r="MRV91" s="6"/>
      <c r="MRW91" s="6"/>
      <c r="MRX91" s="6"/>
      <c r="MRY91" s="6"/>
      <c r="MRZ91" s="6"/>
      <c r="MSA91" s="6"/>
      <c r="MSB91" s="6"/>
      <c r="MSC91" s="6"/>
      <c r="MSD91" s="6"/>
      <c r="MSE91" s="6"/>
      <c r="MSF91" s="6"/>
      <c r="MSG91" s="6"/>
      <c r="MSH91" s="6"/>
      <c r="MSI91" s="6"/>
      <c r="MSJ91" s="6"/>
      <c r="MSK91" s="6"/>
      <c r="MSL91" s="6"/>
      <c r="MSM91" s="6"/>
      <c r="MSN91" s="6"/>
      <c r="MSO91" s="6"/>
      <c r="MSP91" s="6"/>
      <c r="MSQ91" s="6"/>
      <c r="MSR91" s="6"/>
      <c r="MSS91" s="6"/>
      <c r="MST91" s="6"/>
      <c r="MSU91" s="6"/>
      <c r="MSV91" s="6"/>
      <c r="MSW91" s="6"/>
      <c r="MSX91" s="6"/>
      <c r="MSY91" s="6"/>
      <c r="MSZ91" s="6"/>
      <c r="MTA91" s="6"/>
      <c r="MTB91" s="6"/>
      <c r="MTC91" s="6"/>
      <c r="MTD91" s="6"/>
      <c r="MTE91" s="6"/>
      <c r="MTF91" s="6"/>
      <c r="MTG91" s="6"/>
      <c r="MTH91" s="6"/>
      <c r="MTI91" s="6"/>
      <c r="MTJ91" s="6"/>
      <c r="MTK91" s="6"/>
      <c r="MTL91" s="6"/>
      <c r="MTM91" s="6"/>
      <c r="MTN91" s="6"/>
      <c r="MTO91" s="6"/>
      <c r="MTP91" s="6"/>
      <c r="MTQ91" s="6"/>
      <c r="MTR91" s="6"/>
      <c r="MTS91" s="6"/>
      <c r="MTT91" s="6"/>
      <c r="MTU91" s="6"/>
      <c r="MTV91" s="6"/>
      <c r="MTW91" s="6"/>
      <c r="MTX91" s="6"/>
      <c r="MTY91" s="6"/>
      <c r="MTZ91" s="6"/>
      <c r="MUA91" s="6"/>
      <c r="MUB91" s="6"/>
      <c r="MUC91" s="6"/>
      <c r="MUD91" s="6"/>
      <c r="MUE91" s="6"/>
      <c r="MUF91" s="6"/>
      <c r="MUG91" s="6"/>
      <c r="MUH91" s="6"/>
      <c r="MUI91" s="6"/>
      <c r="MUJ91" s="6"/>
      <c r="MUK91" s="6"/>
      <c r="MUL91" s="6"/>
      <c r="MUM91" s="6"/>
      <c r="MUN91" s="6"/>
      <c r="MUO91" s="6"/>
      <c r="MUP91" s="6"/>
      <c r="MUQ91" s="6"/>
      <c r="MUR91" s="6"/>
      <c r="MUS91" s="6"/>
      <c r="MUT91" s="6"/>
      <c r="MUU91" s="6"/>
      <c r="MUV91" s="6"/>
      <c r="MUW91" s="6"/>
      <c r="MUX91" s="6"/>
      <c r="MUY91" s="6"/>
      <c r="MUZ91" s="6"/>
      <c r="MVA91" s="6"/>
      <c r="MVB91" s="6"/>
      <c r="MVC91" s="6"/>
      <c r="MVD91" s="6"/>
      <c r="MVE91" s="6"/>
      <c r="MVF91" s="6"/>
      <c r="MVG91" s="6"/>
      <c r="MVH91" s="6"/>
      <c r="MVI91" s="6"/>
      <c r="MVJ91" s="6"/>
      <c r="MVK91" s="6"/>
      <c r="MVL91" s="6"/>
      <c r="MVM91" s="6"/>
      <c r="MVN91" s="6"/>
      <c r="MVO91" s="6"/>
      <c r="MVP91" s="6"/>
      <c r="MVQ91" s="6"/>
      <c r="MVR91" s="6"/>
      <c r="MVS91" s="6"/>
      <c r="MVT91" s="6"/>
      <c r="MVU91" s="6"/>
      <c r="MVV91" s="6"/>
      <c r="MVW91" s="6"/>
      <c r="MVX91" s="6"/>
      <c r="MVY91" s="6"/>
      <c r="MVZ91" s="6"/>
      <c r="MWA91" s="6"/>
      <c r="MWB91" s="6"/>
      <c r="MWC91" s="6"/>
      <c r="MWD91" s="6"/>
      <c r="MWE91" s="6"/>
      <c r="MWF91" s="6"/>
      <c r="MWG91" s="6"/>
      <c r="MWH91" s="6"/>
      <c r="MWI91" s="6"/>
      <c r="MWJ91" s="6"/>
      <c r="MWK91" s="6"/>
      <c r="MWL91" s="6"/>
      <c r="MWM91" s="6"/>
      <c r="MWN91" s="6"/>
      <c r="MWO91" s="6"/>
      <c r="MWP91" s="6"/>
      <c r="MWQ91" s="6"/>
      <c r="MWR91" s="6"/>
      <c r="MWS91" s="6"/>
      <c r="MWT91" s="6"/>
      <c r="MWU91" s="6"/>
      <c r="MWV91" s="6"/>
      <c r="MWW91" s="6"/>
      <c r="MWX91" s="6"/>
      <c r="MWY91" s="6"/>
      <c r="MWZ91" s="6"/>
      <c r="MXA91" s="6"/>
      <c r="MXB91" s="6"/>
      <c r="MXC91" s="6"/>
      <c r="MXD91" s="6"/>
      <c r="MXE91" s="6"/>
      <c r="MXF91" s="6"/>
      <c r="MXG91" s="6"/>
      <c r="MXH91" s="6"/>
      <c r="MXI91" s="6"/>
      <c r="MXJ91" s="6"/>
      <c r="MXK91" s="6"/>
      <c r="MXL91" s="6"/>
      <c r="MXM91" s="6"/>
      <c r="MXN91" s="6"/>
      <c r="MXO91" s="6"/>
      <c r="MXP91" s="6"/>
      <c r="MXQ91" s="6"/>
      <c r="MXR91" s="6"/>
      <c r="MXS91" s="6"/>
      <c r="MXT91" s="6"/>
      <c r="MXU91" s="6"/>
      <c r="MXV91" s="6"/>
      <c r="MXW91" s="6"/>
      <c r="MXX91" s="6"/>
      <c r="MXY91" s="6"/>
      <c r="MXZ91" s="6"/>
      <c r="MYA91" s="6"/>
      <c r="MYB91" s="6"/>
      <c r="MYC91" s="6"/>
      <c r="MYD91" s="6"/>
      <c r="MYE91" s="6"/>
      <c r="MYF91" s="6"/>
      <c r="MYG91" s="6"/>
      <c r="MYH91" s="6"/>
      <c r="MYI91" s="6"/>
      <c r="MYJ91" s="6"/>
      <c r="MYK91" s="6"/>
      <c r="MYL91" s="6"/>
      <c r="MYM91" s="6"/>
      <c r="MYN91" s="6"/>
      <c r="MYO91" s="6"/>
      <c r="MYP91" s="6"/>
      <c r="MYQ91" s="6"/>
      <c r="MYR91" s="6"/>
      <c r="MYS91" s="6"/>
      <c r="MYT91" s="6"/>
      <c r="MYU91" s="6"/>
      <c r="MYV91" s="6"/>
      <c r="MYW91" s="6"/>
      <c r="MYX91" s="6"/>
      <c r="MYY91" s="6"/>
      <c r="MYZ91" s="6"/>
      <c r="MZA91" s="6"/>
      <c r="MZB91" s="6"/>
      <c r="MZC91" s="6"/>
      <c r="MZD91" s="6"/>
      <c r="MZE91" s="6"/>
      <c r="MZF91" s="6"/>
      <c r="MZG91" s="6"/>
      <c r="MZH91" s="6"/>
      <c r="MZI91" s="6"/>
      <c r="MZJ91" s="6"/>
      <c r="MZK91" s="6"/>
      <c r="MZL91" s="6"/>
      <c r="MZM91" s="6"/>
      <c r="MZN91" s="6"/>
      <c r="MZO91" s="6"/>
      <c r="MZP91" s="6"/>
      <c r="MZQ91" s="6"/>
      <c r="MZR91" s="6"/>
      <c r="MZS91" s="6"/>
      <c r="MZT91" s="6"/>
      <c r="MZU91" s="6"/>
      <c r="MZV91" s="6"/>
      <c r="MZW91" s="6"/>
      <c r="MZX91" s="6"/>
      <c r="MZY91" s="6"/>
      <c r="MZZ91" s="6"/>
      <c r="NAA91" s="6"/>
      <c r="NAB91" s="6"/>
      <c r="NAC91" s="6"/>
      <c r="NAD91" s="6"/>
      <c r="NAE91" s="6"/>
      <c r="NAF91" s="6"/>
      <c r="NAG91" s="6"/>
      <c r="NAH91" s="6"/>
      <c r="NAI91" s="6"/>
      <c r="NAJ91" s="6"/>
      <c r="NAK91" s="6"/>
      <c r="NAL91" s="6"/>
      <c r="NAM91" s="6"/>
      <c r="NAN91" s="6"/>
      <c r="NAO91" s="6"/>
      <c r="NAP91" s="6"/>
      <c r="NAQ91" s="6"/>
      <c r="NAR91" s="6"/>
      <c r="NAS91" s="6"/>
      <c r="NAT91" s="6"/>
      <c r="NAU91" s="6"/>
      <c r="NAV91" s="6"/>
      <c r="NAW91" s="6"/>
      <c r="NAX91" s="6"/>
      <c r="NAY91" s="6"/>
      <c r="NAZ91" s="6"/>
      <c r="NBA91" s="6"/>
      <c r="NBB91" s="6"/>
      <c r="NBC91" s="6"/>
      <c r="NBD91" s="6"/>
      <c r="NBE91" s="6"/>
      <c r="NBF91" s="6"/>
      <c r="NBG91" s="6"/>
      <c r="NBH91" s="6"/>
      <c r="NBI91" s="6"/>
      <c r="NBJ91" s="6"/>
      <c r="NBK91" s="6"/>
      <c r="NBL91" s="6"/>
      <c r="NBM91" s="6"/>
      <c r="NBN91" s="6"/>
      <c r="NBO91" s="6"/>
      <c r="NBP91" s="6"/>
      <c r="NBQ91" s="6"/>
      <c r="NBR91" s="6"/>
      <c r="NBS91" s="6"/>
      <c r="NBT91" s="6"/>
      <c r="NBU91" s="6"/>
      <c r="NBV91" s="6"/>
      <c r="NBW91" s="6"/>
      <c r="NBX91" s="6"/>
      <c r="NBY91" s="6"/>
      <c r="NBZ91" s="6"/>
      <c r="NCA91" s="6"/>
      <c r="NCB91" s="6"/>
      <c r="NCC91" s="6"/>
      <c r="NCD91" s="6"/>
      <c r="NCE91" s="6"/>
      <c r="NCF91" s="6"/>
      <c r="NCG91" s="6"/>
      <c r="NCH91" s="6"/>
      <c r="NCI91" s="6"/>
      <c r="NCJ91" s="6"/>
      <c r="NCK91" s="6"/>
      <c r="NCL91" s="6"/>
      <c r="NCM91" s="6"/>
      <c r="NCN91" s="6"/>
      <c r="NCO91" s="6"/>
      <c r="NCP91" s="6"/>
      <c r="NCQ91" s="6"/>
      <c r="NCR91" s="6"/>
      <c r="NCS91" s="6"/>
      <c r="NCT91" s="6"/>
      <c r="NCU91" s="6"/>
      <c r="NCV91" s="6"/>
      <c r="NCW91" s="6"/>
      <c r="NCX91" s="6"/>
      <c r="NCY91" s="6"/>
      <c r="NCZ91" s="6"/>
      <c r="NDA91" s="6"/>
      <c r="NDB91" s="6"/>
      <c r="NDC91" s="6"/>
      <c r="NDD91" s="6"/>
      <c r="NDE91" s="6"/>
      <c r="NDF91" s="6"/>
      <c r="NDG91" s="6"/>
      <c r="NDH91" s="6"/>
      <c r="NDI91" s="6"/>
      <c r="NDJ91" s="6"/>
      <c r="NDK91" s="6"/>
      <c r="NDL91" s="6"/>
      <c r="NDM91" s="6"/>
      <c r="NDN91" s="6"/>
      <c r="NDO91" s="6"/>
      <c r="NDP91" s="6"/>
      <c r="NDQ91" s="6"/>
      <c r="NDR91" s="6"/>
      <c r="NDS91" s="6"/>
      <c r="NDT91" s="6"/>
      <c r="NDU91" s="6"/>
      <c r="NDV91" s="6"/>
      <c r="NDW91" s="6"/>
      <c r="NDX91" s="6"/>
      <c r="NDY91" s="6"/>
      <c r="NDZ91" s="6"/>
      <c r="NEA91" s="6"/>
      <c r="NEB91" s="6"/>
      <c r="NEC91" s="6"/>
      <c r="NED91" s="6"/>
      <c r="NEE91" s="6"/>
      <c r="NEF91" s="6"/>
      <c r="NEG91" s="6"/>
      <c r="NEH91" s="6"/>
      <c r="NEI91" s="6"/>
      <c r="NEJ91" s="6"/>
      <c r="NEK91" s="6"/>
      <c r="NEL91" s="6"/>
      <c r="NEM91" s="6"/>
      <c r="NEN91" s="6"/>
      <c r="NEO91" s="6"/>
      <c r="NEP91" s="6"/>
      <c r="NEQ91" s="6"/>
      <c r="NER91" s="6"/>
      <c r="NES91" s="6"/>
      <c r="NET91" s="6"/>
      <c r="NEU91" s="6"/>
      <c r="NEV91" s="6"/>
      <c r="NEW91" s="6"/>
      <c r="NEX91" s="6"/>
      <c r="NEY91" s="6"/>
      <c r="NEZ91" s="6"/>
      <c r="NFA91" s="6"/>
      <c r="NFB91" s="6"/>
      <c r="NFC91" s="6"/>
      <c r="NFD91" s="6"/>
      <c r="NFE91" s="6"/>
      <c r="NFF91" s="6"/>
      <c r="NFG91" s="6"/>
      <c r="NFH91" s="6"/>
      <c r="NFI91" s="6"/>
      <c r="NFJ91" s="6"/>
      <c r="NFK91" s="6"/>
      <c r="NFL91" s="6"/>
      <c r="NFM91" s="6"/>
      <c r="NFN91" s="6"/>
      <c r="NFO91" s="6"/>
      <c r="NFP91" s="6"/>
      <c r="NFQ91" s="6"/>
      <c r="NFR91" s="6"/>
      <c r="NFS91" s="6"/>
      <c r="NFT91" s="6"/>
      <c r="NFU91" s="6"/>
      <c r="NFV91" s="6"/>
      <c r="NFW91" s="6"/>
      <c r="NFX91" s="6"/>
      <c r="NFY91" s="6"/>
      <c r="NFZ91" s="6"/>
      <c r="NGA91" s="6"/>
      <c r="NGB91" s="6"/>
      <c r="NGC91" s="6"/>
      <c r="NGD91" s="6"/>
      <c r="NGE91" s="6"/>
      <c r="NGF91" s="6"/>
      <c r="NGG91" s="6"/>
      <c r="NGH91" s="6"/>
      <c r="NGI91" s="6"/>
      <c r="NGJ91" s="6"/>
      <c r="NGK91" s="6"/>
      <c r="NGL91" s="6"/>
      <c r="NGM91" s="6"/>
      <c r="NGN91" s="6"/>
      <c r="NGO91" s="6"/>
      <c r="NGP91" s="6"/>
      <c r="NGQ91" s="6"/>
      <c r="NGR91" s="6"/>
      <c r="NGS91" s="6"/>
      <c r="NGT91" s="6"/>
      <c r="NGU91" s="6"/>
      <c r="NGV91" s="6"/>
      <c r="NGW91" s="6"/>
      <c r="NGX91" s="6"/>
      <c r="NGY91" s="6"/>
      <c r="NGZ91" s="6"/>
      <c r="NHA91" s="6"/>
      <c r="NHB91" s="6"/>
      <c r="NHC91" s="6"/>
      <c r="NHD91" s="6"/>
      <c r="NHE91" s="6"/>
      <c r="NHF91" s="6"/>
      <c r="NHG91" s="6"/>
      <c r="NHH91" s="6"/>
      <c r="NHI91" s="6"/>
      <c r="NHJ91" s="6"/>
      <c r="NHK91" s="6"/>
      <c r="NHL91" s="6"/>
      <c r="NHM91" s="6"/>
      <c r="NHN91" s="6"/>
      <c r="NHO91" s="6"/>
      <c r="NHP91" s="6"/>
      <c r="NHQ91" s="6"/>
      <c r="NHR91" s="6"/>
      <c r="NHS91" s="6"/>
      <c r="NHT91" s="6"/>
      <c r="NHU91" s="6"/>
      <c r="NHV91" s="6"/>
      <c r="NHW91" s="6"/>
      <c r="NHX91" s="6"/>
      <c r="NHY91" s="6"/>
      <c r="NHZ91" s="6"/>
      <c r="NIA91" s="6"/>
      <c r="NIB91" s="6"/>
      <c r="NIC91" s="6"/>
      <c r="NID91" s="6"/>
      <c r="NIE91" s="6"/>
      <c r="NIF91" s="6"/>
      <c r="NIG91" s="6"/>
      <c r="NIH91" s="6"/>
      <c r="NII91" s="6"/>
      <c r="NIJ91" s="6"/>
      <c r="NIK91" s="6"/>
      <c r="NIL91" s="6"/>
      <c r="NIM91" s="6"/>
      <c r="NIN91" s="6"/>
      <c r="NIO91" s="6"/>
      <c r="NIP91" s="6"/>
      <c r="NIQ91" s="6"/>
      <c r="NIR91" s="6"/>
      <c r="NIS91" s="6"/>
      <c r="NIT91" s="6"/>
      <c r="NIU91" s="6"/>
      <c r="NIV91" s="6"/>
      <c r="NIW91" s="6"/>
      <c r="NIX91" s="6"/>
      <c r="NIY91" s="6"/>
      <c r="NIZ91" s="6"/>
      <c r="NJA91" s="6"/>
      <c r="NJB91" s="6"/>
      <c r="NJC91" s="6"/>
      <c r="NJD91" s="6"/>
      <c r="NJE91" s="6"/>
      <c r="NJF91" s="6"/>
      <c r="NJG91" s="6"/>
      <c r="NJH91" s="6"/>
      <c r="NJI91" s="6"/>
      <c r="NJJ91" s="6"/>
      <c r="NJK91" s="6"/>
      <c r="NJL91" s="6"/>
      <c r="NJM91" s="6"/>
      <c r="NJN91" s="6"/>
      <c r="NJO91" s="6"/>
      <c r="NJP91" s="6"/>
      <c r="NJQ91" s="6"/>
      <c r="NJR91" s="6"/>
      <c r="NJS91" s="6"/>
      <c r="NJT91" s="6"/>
      <c r="NJU91" s="6"/>
      <c r="NJV91" s="6"/>
      <c r="NJW91" s="6"/>
      <c r="NJX91" s="6"/>
      <c r="NJY91" s="6"/>
      <c r="NJZ91" s="6"/>
      <c r="NKA91" s="6"/>
      <c r="NKB91" s="6"/>
      <c r="NKC91" s="6"/>
      <c r="NKD91" s="6"/>
      <c r="NKE91" s="6"/>
      <c r="NKF91" s="6"/>
      <c r="NKG91" s="6"/>
      <c r="NKH91" s="6"/>
      <c r="NKI91" s="6"/>
      <c r="NKJ91" s="6"/>
      <c r="NKK91" s="6"/>
      <c r="NKL91" s="6"/>
      <c r="NKM91" s="6"/>
      <c r="NKN91" s="6"/>
      <c r="NKO91" s="6"/>
      <c r="NKP91" s="6"/>
      <c r="NKQ91" s="6"/>
      <c r="NKR91" s="6"/>
      <c r="NKS91" s="6"/>
      <c r="NKT91" s="6"/>
      <c r="NKU91" s="6"/>
      <c r="NKV91" s="6"/>
      <c r="NKW91" s="6"/>
      <c r="NKX91" s="6"/>
      <c r="NKY91" s="6"/>
      <c r="NKZ91" s="6"/>
      <c r="NLA91" s="6"/>
      <c r="NLB91" s="6"/>
      <c r="NLC91" s="6"/>
      <c r="NLD91" s="6"/>
      <c r="NLE91" s="6"/>
      <c r="NLF91" s="6"/>
      <c r="NLG91" s="6"/>
      <c r="NLH91" s="6"/>
      <c r="NLI91" s="6"/>
      <c r="NLJ91" s="6"/>
      <c r="NLK91" s="6"/>
      <c r="NLL91" s="6"/>
      <c r="NLM91" s="6"/>
      <c r="NLN91" s="6"/>
      <c r="NLO91" s="6"/>
      <c r="NLP91" s="6"/>
      <c r="NLQ91" s="6"/>
      <c r="NLR91" s="6"/>
      <c r="NLS91" s="6"/>
      <c r="NLT91" s="6"/>
      <c r="NLU91" s="6"/>
      <c r="NLV91" s="6"/>
      <c r="NLW91" s="6"/>
      <c r="NLX91" s="6"/>
      <c r="NLY91" s="6"/>
      <c r="NLZ91" s="6"/>
      <c r="NMA91" s="6"/>
      <c r="NMB91" s="6"/>
      <c r="NMC91" s="6"/>
      <c r="NMD91" s="6"/>
      <c r="NME91" s="6"/>
      <c r="NMF91" s="6"/>
      <c r="NMG91" s="6"/>
      <c r="NMH91" s="6"/>
      <c r="NMI91" s="6"/>
      <c r="NMJ91" s="6"/>
      <c r="NMK91" s="6"/>
      <c r="NML91" s="6"/>
      <c r="NMM91" s="6"/>
      <c r="NMN91" s="6"/>
      <c r="NMO91" s="6"/>
      <c r="NMP91" s="6"/>
      <c r="NMQ91" s="6"/>
      <c r="NMR91" s="6"/>
      <c r="NMS91" s="6"/>
      <c r="NMT91" s="6"/>
      <c r="NMU91" s="6"/>
      <c r="NMV91" s="6"/>
      <c r="NMW91" s="6"/>
      <c r="NMX91" s="6"/>
      <c r="NMY91" s="6"/>
      <c r="NMZ91" s="6"/>
      <c r="NNA91" s="6"/>
      <c r="NNB91" s="6"/>
      <c r="NNC91" s="6"/>
      <c r="NND91" s="6"/>
      <c r="NNE91" s="6"/>
      <c r="NNF91" s="6"/>
      <c r="NNG91" s="6"/>
      <c r="NNH91" s="6"/>
      <c r="NNI91" s="6"/>
      <c r="NNJ91" s="6"/>
      <c r="NNK91" s="6"/>
      <c r="NNL91" s="6"/>
      <c r="NNM91" s="6"/>
      <c r="NNN91" s="6"/>
      <c r="NNO91" s="6"/>
      <c r="NNP91" s="6"/>
      <c r="NNQ91" s="6"/>
      <c r="NNR91" s="6"/>
      <c r="NNS91" s="6"/>
      <c r="NNT91" s="6"/>
      <c r="NNU91" s="6"/>
      <c r="NNV91" s="6"/>
      <c r="NNW91" s="6"/>
      <c r="NNX91" s="6"/>
      <c r="NNY91" s="6"/>
      <c r="NNZ91" s="6"/>
      <c r="NOA91" s="6"/>
      <c r="NOB91" s="6"/>
      <c r="NOC91" s="6"/>
      <c r="NOD91" s="6"/>
      <c r="NOE91" s="6"/>
      <c r="NOF91" s="6"/>
      <c r="NOG91" s="6"/>
      <c r="NOH91" s="6"/>
      <c r="NOI91" s="6"/>
      <c r="NOJ91" s="6"/>
      <c r="NOK91" s="6"/>
      <c r="NOL91" s="6"/>
      <c r="NOM91" s="6"/>
      <c r="NON91" s="6"/>
      <c r="NOO91" s="6"/>
      <c r="NOP91" s="6"/>
      <c r="NOQ91" s="6"/>
      <c r="NOR91" s="6"/>
      <c r="NOS91" s="6"/>
      <c r="NOT91" s="6"/>
      <c r="NOU91" s="6"/>
      <c r="NOV91" s="6"/>
      <c r="NOW91" s="6"/>
      <c r="NOX91" s="6"/>
      <c r="NOY91" s="6"/>
      <c r="NOZ91" s="6"/>
      <c r="NPA91" s="6"/>
      <c r="NPB91" s="6"/>
      <c r="NPC91" s="6"/>
      <c r="NPD91" s="6"/>
      <c r="NPE91" s="6"/>
      <c r="NPF91" s="6"/>
      <c r="NPG91" s="6"/>
      <c r="NPH91" s="6"/>
      <c r="NPI91" s="6"/>
      <c r="NPJ91" s="6"/>
      <c r="NPK91" s="6"/>
      <c r="NPL91" s="6"/>
      <c r="NPM91" s="6"/>
      <c r="NPN91" s="6"/>
      <c r="NPO91" s="6"/>
      <c r="NPP91" s="6"/>
      <c r="NPQ91" s="6"/>
      <c r="NPR91" s="6"/>
      <c r="NPS91" s="6"/>
      <c r="NPT91" s="6"/>
      <c r="NPU91" s="6"/>
      <c r="NPV91" s="6"/>
      <c r="NPW91" s="6"/>
      <c r="NPX91" s="6"/>
      <c r="NPY91" s="6"/>
      <c r="NPZ91" s="6"/>
      <c r="NQA91" s="6"/>
      <c r="NQB91" s="6"/>
      <c r="NQC91" s="6"/>
      <c r="NQD91" s="6"/>
      <c r="NQE91" s="6"/>
      <c r="NQF91" s="6"/>
      <c r="NQG91" s="6"/>
      <c r="NQH91" s="6"/>
      <c r="NQI91" s="6"/>
      <c r="NQJ91" s="6"/>
      <c r="NQK91" s="6"/>
      <c r="NQL91" s="6"/>
      <c r="NQM91" s="6"/>
      <c r="NQN91" s="6"/>
      <c r="NQO91" s="6"/>
      <c r="NQP91" s="6"/>
      <c r="NQQ91" s="6"/>
      <c r="NQR91" s="6"/>
      <c r="NQS91" s="6"/>
      <c r="NQT91" s="6"/>
      <c r="NQU91" s="6"/>
      <c r="NQV91" s="6"/>
      <c r="NQW91" s="6"/>
      <c r="NQX91" s="6"/>
      <c r="NQY91" s="6"/>
      <c r="NQZ91" s="6"/>
      <c r="NRA91" s="6"/>
      <c r="NRB91" s="6"/>
      <c r="NRC91" s="6"/>
      <c r="NRD91" s="6"/>
      <c r="NRE91" s="6"/>
      <c r="NRF91" s="6"/>
      <c r="NRG91" s="6"/>
      <c r="NRH91" s="6"/>
      <c r="NRI91" s="6"/>
      <c r="NRJ91" s="6"/>
      <c r="NRK91" s="6"/>
      <c r="NRL91" s="6"/>
      <c r="NRM91" s="6"/>
      <c r="NRN91" s="6"/>
      <c r="NRO91" s="6"/>
      <c r="NRP91" s="6"/>
      <c r="NRQ91" s="6"/>
      <c r="NRR91" s="6"/>
      <c r="NRS91" s="6"/>
      <c r="NRT91" s="6"/>
      <c r="NRU91" s="6"/>
      <c r="NRV91" s="6"/>
      <c r="NRW91" s="6"/>
      <c r="NRX91" s="6"/>
      <c r="NRY91" s="6"/>
      <c r="NRZ91" s="6"/>
      <c r="NSA91" s="6"/>
      <c r="NSB91" s="6"/>
      <c r="NSC91" s="6"/>
      <c r="NSD91" s="6"/>
      <c r="NSE91" s="6"/>
      <c r="NSF91" s="6"/>
      <c r="NSG91" s="6"/>
      <c r="NSH91" s="6"/>
      <c r="NSI91" s="6"/>
      <c r="NSJ91" s="6"/>
      <c r="NSK91" s="6"/>
      <c r="NSL91" s="6"/>
      <c r="NSM91" s="6"/>
      <c r="NSN91" s="6"/>
      <c r="NSO91" s="6"/>
      <c r="NSP91" s="6"/>
      <c r="NSQ91" s="6"/>
      <c r="NSR91" s="6"/>
      <c r="NSS91" s="6"/>
      <c r="NST91" s="6"/>
      <c r="NSU91" s="6"/>
      <c r="NSV91" s="6"/>
      <c r="NSW91" s="6"/>
      <c r="NSX91" s="6"/>
      <c r="NSY91" s="6"/>
      <c r="NSZ91" s="6"/>
      <c r="NTA91" s="6"/>
      <c r="NTB91" s="6"/>
      <c r="NTC91" s="6"/>
      <c r="NTD91" s="6"/>
      <c r="NTE91" s="6"/>
      <c r="NTF91" s="6"/>
      <c r="NTG91" s="6"/>
      <c r="NTH91" s="6"/>
      <c r="NTI91" s="6"/>
      <c r="NTJ91" s="6"/>
      <c r="NTK91" s="6"/>
      <c r="NTL91" s="6"/>
      <c r="NTM91" s="6"/>
      <c r="NTN91" s="6"/>
      <c r="NTO91" s="6"/>
      <c r="NTP91" s="6"/>
      <c r="NTQ91" s="6"/>
      <c r="NTR91" s="6"/>
      <c r="NTS91" s="6"/>
      <c r="NTT91" s="6"/>
      <c r="NTU91" s="6"/>
      <c r="NTV91" s="6"/>
      <c r="NTW91" s="6"/>
      <c r="NTX91" s="6"/>
      <c r="NTY91" s="6"/>
      <c r="NTZ91" s="6"/>
      <c r="NUA91" s="6"/>
      <c r="NUB91" s="6"/>
      <c r="NUC91" s="6"/>
      <c r="NUD91" s="6"/>
      <c r="NUE91" s="6"/>
      <c r="NUF91" s="6"/>
      <c r="NUG91" s="6"/>
      <c r="NUH91" s="6"/>
      <c r="NUI91" s="6"/>
      <c r="NUJ91" s="6"/>
      <c r="NUK91" s="6"/>
      <c r="NUL91" s="6"/>
      <c r="NUM91" s="6"/>
      <c r="NUN91" s="6"/>
      <c r="NUO91" s="6"/>
      <c r="NUP91" s="6"/>
      <c r="NUQ91" s="6"/>
      <c r="NUR91" s="6"/>
      <c r="NUS91" s="6"/>
      <c r="NUT91" s="6"/>
      <c r="NUU91" s="6"/>
      <c r="NUV91" s="6"/>
      <c r="NUW91" s="6"/>
      <c r="NUX91" s="6"/>
      <c r="NUY91" s="6"/>
      <c r="NUZ91" s="6"/>
      <c r="NVA91" s="6"/>
      <c r="NVB91" s="6"/>
      <c r="NVC91" s="6"/>
      <c r="NVD91" s="6"/>
      <c r="NVE91" s="6"/>
      <c r="NVF91" s="6"/>
      <c r="NVG91" s="6"/>
      <c r="NVH91" s="6"/>
      <c r="NVI91" s="6"/>
      <c r="NVJ91" s="6"/>
      <c r="NVK91" s="6"/>
      <c r="NVL91" s="6"/>
      <c r="NVM91" s="6"/>
      <c r="NVN91" s="6"/>
      <c r="NVO91" s="6"/>
      <c r="NVP91" s="6"/>
      <c r="NVQ91" s="6"/>
      <c r="NVR91" s="6"/>
      <c r="NVS91" s="6"/>
      <c r="NVT91" s="6"/>
      <c r="NVU91" s="6"/>
      <c r="NVV91" s="6"/>
      <c r="NVW91" s="6"/>
      <c r="NVX91" s="6"/>
      <c r="NVY91" s="6"/>
      <c r="NVZ91" s="6"/>
      <c r="NWA91" s="6"/>
      <c r="NWB91" s="6"/>
      <c r="NWC91" s="6"/>
      <c r="NWD91" s="6"/>
      <c r="NWE91" s="6"/>
      <c r="NWF91" s="6"/>
      <c r="NWG91" s="6"/>
      <c r="NWH91" s="6"/>
      <c r="NWI91" s="6"/>
      <c r="NWJ91" s="6"/>
      <c r="NWK91" s="6"/>
      <c r="NWL91" s="6"/>
      <c r="NWM91" s="6"/>
      <c r="NWN91" s="6"/>
      <c r="NWO91" s="6"/>
      <c r="NWP91" s="6"/>
      <c r="NWQ91" s="6"/>
      <c r="NWR91" s="6"/>
      <c r="NWS91" s="6"/>
      <c r="NWT91" s="6"/>
      <c r="NWU91" s="6"/>
      <c r="NWV91" s="6"/>
      <c r="NWW91" s="6"/>
      <c r="NWX91" s="6"/>
      <c r="NWY91" s="6"/>
      <c r="NWZ91" s="6"/>
      <c r="NXA91" s="6"/>
      <c r="NXB91" s="6"/>
      <c r="NXC91" s="6"/>
      <c r="NXD91" s="6"/>
      <c r="NXE91" s="6"/>
      <c r="NXF91" s="6"/>
      <c r="NXG91" s="6"/>
      <c r="NXH91" s="6"/>
      <c r="NXI91" s="6"/>
      <c r="NXJ91" s="6"/>
      <c r="NXK91" s="6"/>
      <c r="NXL91" s="6"/>
      <c r="NXM91" s="6"/>
      <c r="NXN91" s="6"/>
      <c r="NXO91" s="6"/>
      <c r="NXP91" s="6"/>
      <c r="NXQ91" s="6"/>
      <c r="NXR91" s="6"/>
      <c r="NXS91" s="6"/>
      <c r="NXT91" s="6"/>
      <c r="NXU91" s="6"/>
      <c r="NXV91" s="6"/>
      <c r="NXW91" s="6"/>
      <c r="NXX91" s="6"/>
      <c r="NXY91" s="6"/>
      <c r="NXZ91" s="6"/>
      <c r="NYA91" s="6"/>
      <c r="NYB91" s="6"/>
      <c r="NYC91" s="6"/>
      <c r="NYD91" s="6"/>
      <c r="NYE91" s="6"/>
      <c r="NYF91" s="6"/>
      <c r="NYG91" s="6"/>
      <c r="NYH91" s="6"/>
      <c r="NYI91" s="6"/>
      <c r="NYJ91" s="6"/>
      <c r="NYK91" s="6"/>
      <c r="NYL91" s="6"/>
      <c r="NYM91" s="6"/>
      <c r="NYN91" s="6"/>
      <c r="NYO91" s="6"/>
      <c r="NYP91" s="6"/>
      <c r="NYQ91" s="6"/>
      <c r="NYR91" s="6"/>
      <c r="NYS91" s="6"/>
      <c r="NYT91" s="6"/>
      <c r="NYU91" s="6"/>
      <c r="NYV91" s="6"/>
      <c r="NYW91" s="6"/>
      <c r="NYX91" s="6"/>
      <c r="NYY91" s="6"/>
      <c r="NYZ91" s="6"/>
      <c r="NZA91" s="6"/>
      <c r="NZB91" s="6"/>
      <c r="NZC91" s="6"/>
      <c r="NZD91" s="6"/>
      <c r="NZE91" s="6"/>
      <c r="NZF91" s="6"/>
      <c r="NZG91" s="6"/>
      <c r="NZH91" s="6"/>
      <c r="NZI91" s="6"/>
      <c r="NZJ91" s="6"/>
      <c r="NZK91" s="6"/>
      <c r="NZL91" s="6"/>
      <c r="NZM91" s="6"/>
      <c r="NZN91" s="6"/>
      <c r="NZO91" s="6"/>
      <c r="NZP91" s="6"/>
      <c r="NZQ91" s="6"/>
      <c r="NZR91" s="6"/>
      <c r="NZS91" s="6"/>
      <c r="NZT91" s="6"/>
      <c r="NZU91" s="6"/>
      <c r="NZV91" s="6"/>
      <c r="NZW91" s="6"/>
      <c r="NZX91" s="6"/>
      <c r="NZY91" s="6"/>
      <c r="NZZ91" s="6"/>
      <c r="OAA91" s="6"/>
      <c r="OAB91" s="6"/>
      <c r="OAC91" s="6"/>
      <c r="OAD91" s="6"/>
      <c r="OAE91" s="6"/>
      <c r="OAF91" s="6"/>
      <c r="OAG91" s="6"/>
      <c r="OAH91" s="6"/>
      <c r="OAI91" s="6"/>
      <c r="OAJ91" s="6"/>
      <c r="OAK91" s="6"/>
      <c r="OAL91" s="6"/>
      <c r="OAM91" s="6"/>
      <c r="OAN91" s="6"/>
      <c r="OAO91" s="6"/>
      <c r="OAP91" s="6"/>
      <c r="OAQ91" s="6"/>
      <c r="OAR91" s="6"/>
      <c r="OAS91" s="6"/>
      <c r="OAT91" s="6"/>
      <c r="OAU91" s="6"/>
      <c r="OAV91" s="6"/>
      <c r="OAW91" s="6"/>
      <c r="OAX91" s="6"/>
      <c r="OAY91" s="6"/>
      <c r="OAZ91" s="6"/>
      <c r="OBA91" s="6"/>
      <c r="OBB91" s="6"/>
      <c r="OBC91" s="6"/>
      <c r="OBD91" s="6"/>
      <c r="OBE91" s="6"/>
      <c r="OBF91" s="6"/>
      <c r="OBG91" s="6"/>
      <c r="OBH91" s="6"/>
      <c r="OBI91" s="6"/>
      <c r="OBJ91" s="6"/>
      <c r="OBK91" s="6"/>
      <c r="OBL91" s="6"/>
      <c r="OBM91" s="6"/>
      <c r="OBN91" s="6"/>
      <c r="OBO91" s="6"/>
      <c r="OBP91" s="6"/>
      <c r="OBQ91" s="6"/>
      <c r="OBR91" s="6"/>
      <c r="OBS91" s="6"/>
      <c r="OBT91" s="6"/>
      <c r="OBU91" s="6"/>
      <c r="OBV91" s="6"/>
      <c r="OBW91" s="6"/>
      <c r="OBX91" s="6"/>
      <c r="OBY91" s="6"/>
      <c r="OBZ91" s="6"/>
      <c r="OCA91" s="6"/>
      <c r="OCB91" s="6"/>
      <c r="OCC91" s="6"/>
      <c r="OCD91" s="6"/>
      <c r="OCE91" s="6"/>
      <c r="OCF91" s="6"/>
      <c r="OCG91" s="6"/>
      <c r="OCH91" s="6"/>
      <c r="OCI91" s="6"/>
      <c r="OCJ91" s="6"/>
      <c r="OCK91" s="6"/>
      <c r="OCL91" s="6"/>
      <c r="OCM91" s="6"/>
      <c r="OCN91" s="6"/>
      <c r="OCO91" s="6"/>
      <c r="OCP91" s="6"/>
      <c r="OCQ91" s="6"/>
      <c r="OCR91" s="6"/>
      <c r="OCS91" s="6"/>
      <c r="OCT91" s="6"/>
      <c r="OCU91" s="6"/>
      <c r="OCV91" s="6"/>
      <c r="OCW91" s="6"/>
      <c r="OCX91" s="6"/>
      <c r="OCY91" s="6"/>
      <c r="OCZ91" s="6"/>
      <c r="ODA91" s="6"/>
      <c r="ODB91" s="6"/>
      <c r="ODC91" s="6"/>
      <c r="ODD91" s="6"/>
      <c r="ODE91" s="6"/>
      <c r="ODF91" s="6"/>
      <c r="ODG91" s="6"/>
      <c r="ODH91" s="6"/>
      <c r="ODI91" s="6"/>
      <c r="ODJ91" s="6"/>
      <c r="ODK91" s="6"/>
      <c r="ODL91" s="6"/>
      <c r="ODM91" s="6"/>
      <c r="ODN91" s="6"/>
      <c r="ODO91" s="6"/>
      <c r="ODP91" s="6"/>
      <c r="ODQ91" s="6"/>
      <c r="ODR91" s="6"/>
      <c r="ODS91" s="6"/>
      <c r="ODT91" s="6"/>
      <c r="ODU91" s="6"/>
      <c r="ODV91" s="6"/>
      <c r="ODW91" s="6"/>
      <c r="ODX91" s="6"/>
      <c r="ODY91" s="6"/>
      <c r="ODZ91" s="6"/>
      <c r="OEA91" s="6"/>
      <c r="OEB91" s="6"/>
      <c r="OEC91" s="6"/>
      <c r="OED91" s="6"/>
      <c r="OEE91" s="6"/>
      <c r="OEF91" s="6"/>
      <c r="OEG91" s="6"/>
      <c r="OEH91" s="6"/>
      <c r="OEI91" s="6"/>
      <c r="OEJ91" s="6"/>
      <c r="OEK91" s="6"/>
      <c r="OEL91" s="6"/>
      <c r="OEM91" s="6"/>
      <c r="OEN91" s="6"/>
      <c r="OEO91" s="6"/>
      <c r="OEP91" s="6"/>
      <c r="OEQ91" s="6"/>
      <c r="OER91" s="6"/>
      <c r="OES91" s="6"/>
      <c r="OET91" s="6"/>
      <c r="OEU91" s="6"/>
      <c r="OEV91" s="6"/>
      <c r="OEW91" s="6"/>
      <c r="OEX91" s="6"/>
      <c r="OEY91" s="6"/>
      <c r="OEZ91" s="6"/>
      <c r="OFA91" s="6"/>
      <c r="OFB91" s="6"/>
      <c r="OFC91" s="6"/>
      <c r="OFD91" s="6"/>
      <c r="OFE91" s="6"/>
      <c r="OFF91" s="6"/>
      <c r="OFG91" s="6"/>
      <c r="OFH91" s="6"/>
      <c r="OFI91" s="6"/>
      <c r="OFJ91" s="6"/>
      <c r="OFK91" s="6"/>
      <c r="OFL91" s="6"/>
      <c r="OFM91" s="6"/>
      <c r="OFN91" s="6"/>
      <c r="OFO91" s="6"/>
      <c r="OFP91" s="6"/>
      <c r="OFQ91" s="6"/>
      <c r="OFR91" s="6"/>
      <c r="OFS91" s="6"/>
      <c r="OFT91" s="6"/>
      <c r="OFU91" s="6"/>
      <c r="OFV91" s="6"/>
      <c r="OFW91" s="6"/>
      <c r="OFX91" s="6"/>
      <c r="OFY91" s="6"/>
      <c r="OFZ91" s="6"/>
      <c r="OGA91" s="6"/>
      <c r="OGB91" s="6"/>
      <c r="OGC91" s="6"/>
      <c r="OGD91" s="6"/>
      <c r="OGE91" s="6"/>
      <c r="OGF91" s="6"/>
      <c r="OGG91" s="6"/>
      <c r="OGH91" s="6"/>
      <c r="OGI91" s="6"/>
      <c r="OGJ91" s="6"/>
      <c r="OGK91" s="6"/>
      <c r="OGL91" s="6"/>
      <c r="OGM91" s="6"/>
      <c r="OGN91" s="6"/>
      <c r="OGO91" s="6"/>
      <c r="OGP91" s="6"/>
      <c r="OGQ91" s="6"/>
      <c r="OGR91" s="6"/>
      <c r="OGS91" s="6"/>
      <c r="OGT91" s="6"/>
      <c r="OGU91" s="6"/>
      <c r="OGV91" s="6"/>
      <c r="OGW91" s="6"/>
      <c r="OGX91" s="6"/>
      <c r="OGY91" s="6"/>
      <c r="OGZ91" s="6"/>
      <c r="OHA91" s="6"/>
      <c r="OHB91" s="6"/>
      <c r="OHC91" s="6"/>
      <c r="OHD91" s="6"/>
      <c r="OHE91" s="6"/>
      <c r="OHF91" s="6"/>
      <c r="OHG91" s="6"/>
      <c r="OHH91" s="6"/>
      <c r="OHI91" s="6"/>
      <c r="OHJ91" s="6"/>
      <c r="OHK91" s="6"/>
      <c r="OHL91" s="6"/>
      <c r="OHM91" s="6"/>
      <c r="OHN91" s="6"/>
      <c r="OHO91" s="6"/>
      <c r="OHP91" s="6"/>
      <c r="OHQ91" s="6"/>
      <c r="OHR91" s="6"/>
      <c r="OHS91" s="6"/>
      <c r="OHT91" s="6"/>
      <c r="OHU91" s="6"/>
      <c r="OHV91" s="6"/>
      <c r="OHW91" s="6"/>
      <c r="OHX91" s="6"/>
      <c r="OHY91" s="6"/>
      <c r="OHZ91" s="6"/>
      <c r="OIA91" s="6"/>
      <c r="OIB91" s="6"/>
      <c r="OIC91" s="6"/>
      <c r="OID91" s="6"/>
      <c r="OIE91" s="6"/>
      <c r="OIF91" s="6"/>
      <c r="OIG91" s="6"/>
      <c r="OIH91" s="6"/>
      <c r="OII91" s="6"/>
      <c r="OIJ91" s="6"/>
      <c r="OIK91" s="6"/>
      <c r="OIL91" s="6"/>
      <c r="OIM91" s="6"/>
      <c r="OIN91" s="6"/>
      <c r="OIO91" s="6"/>
      <c r="OIP91" s="6"/>
      <c r="OIQ91" s="6"/>
      <c r="OIR91" s="6"/>
      <c r="OIS91" s="6"/>
      <c r="OIT91" s="6"/>
      <c r="OIU91" s="6"/>
      <c r="OIV91" s="6"/>
      <c r="OIW91" s="6"/>
      <c r="OIX91" s="6"/>
      <c r="OIY91" s="6"/>
      <c r="OIZ91" s="6"/>
      <c r="OJA91" s="6"/>
      <c r="OJB91" s="6"/>
      <c r="OJC91" s="6"/>
      <c r="OJD91" s="6"/>
      <c r="OJE91" s="6"/>
      <c r="OJF91" s="6"/>
      <c r="OJG91" s="6"/>
      <c r="OJH91" s="6"/>
      <c r="OJI91" s="6"/>
      <c r="OJJ91" s="6"/>
      <c r="OJK91" s="6"/>
      <c r="OJL91" s="6"/>
      <c r="OJM91" s="6"/>
      <c r="OJN91" s="6"/>
      <c r="OJO91" s="6"/>
      <c r="OJP91" s="6"/>
      <c r="OJQ91" s="6"/>
      <c r="OJR91" s="6"/>
      <c r="OJS91" s="6"/>
      <c r="OJT91" s="6"/>
      <c r="OJU91" s="6"/>
      <c r="OJV91" s="6"/>
      <c r="OJW91" s="6"/>
      <c r="OJX91" s="6"/>
      <c r="OJY91" s="6"/>
      <c r="OJZ91" s="6"/>
      <c r="OKA91" s="6"/>
      <c r="OKB91" s="6"/>
      <c r="OKC91" s="6"/>
      <c r="OKD91" s="6"/>
      <c r="OKE91" s="6"/>
      <c r="OKF91" s="6"/>
      <c r="OKG91" s="6"/>
      <c r="OKH91" s="6"/>
      <c r="OKI91" s="6"/>
      <c r="OKJ91" s="6"/>
      <c r="OKK91" s="6"/>
      <c r="OKL91" s="6"/>
      <c r="OKM91" s="6"/>
      <c r="OKN91" s="6"/>
      <c r="OKO91" s="6"/>
      <c r="OKP91" s="6"/>
      <c r="OKQ91" s="6"/>
      <c r="OKR91" s="6"/>
      <c r="OKS91" s="6"/>
      <c r="OKT91" s="6"/>
      <c r="OKU91" s="6"/>
      <c r="OKV91" s="6"/>
      <c r="OKW91" s="6"/>
      <c r="OKX91" s="6"/>
      <c r="OKY91" s="6"/>
      <c r="OKZ91" s="6"/>
      <c r="OLA91" s="6"/>
      <c r="OLB91" s="6"/>
      <c r="OLC91" s="6"/>
      <c r="OLD91" s="6"/>
      <c r="OLE91" s="6"/>
      <c r="OLF91" s="6"/>
      <c r="OLG91" s="6"/>
      <c r="OLH91" s="6"/>
      <c r="OLI91" s="6"/>
      <c r="OLJ91" s="6"/>
      <c r="OLK91" s="6"/>
      <c r="OLL91" s="6"/>
      <c r="OLM91" s="6"/>
      <c r="OLN91" s="6"/>
      <c r="OLO91" s="6"/>
      <c r="OLP91" s="6"/>
      <c r="OLQ91" s="6"/>
      <c r="OLR91" s="6"/>
      <c r="OLS91" s="6"/>
      <c r="OLT91" s="6"/>
      <c r="OLU91" s="6"/>
      <c r="OLV91" s="6"/>
      <c r="OLW91" s="6"/>
      <c r="OLX91" s="6"/>
      <c r="OLY91" s="6"/>
      <c r="OLZ91" s="6"/>
      <c r="OMA91" s="6"/>
      <c r="OMB91" s="6"/>
      <c r="OMC91" s="6"/>
      <c r="OMD91" s="6"/>
      <c r="OME91" s="6"/>
      <c r="OMF91" s="6"/>
      <c r="OMG91" s="6"/>
      <c r="OMH91" s="6"/>
      <c r="OMI91" s="6"/>
      <c r="OMJ91" s="6"/>
      <c r="OMK91" s="6"/>
      <c r="OML91" s="6"/>
      <c r="OMM91" s="6"/>
      <c r="OMN91" s="6"/>
      <c r="OMO91" s="6"/>
      <c r="OMP91" s="6"/>
      <c r="OMQ91" s="6"/>
      <c r="OMR91" s="6"/>
      <c r="OMS91" s="6"/>
      <c r="OMT91" s="6"/>
      <c r="OMU91" s="6"/>
      <c r="OMV91" s="6"/>
      <c r="OMW91" s="6"/>
      <c r="OMX91" s="6"/>
      <c r="OMY91" s="6"/>
      <c r="OMZ91" s="6"/>
      <c r="ONA91" s="6"/>
      <c r="ONB91" s="6"/>
      <c r="ONC91" s="6"/>
      <c r="OND91" s="6"/>
      <c r="ONE91" s="6"/>
      <c r="ONF91" s="6"/>
      <c r="ONG91" s="6"/>
      <c r="ONH91" s="6"/>
      <c r="ONI91" s="6"/>
      <c r="ONJ91" s="6"/>
      <c r="ONK91" s="6"/>
      <c r="ONL91" s="6"/>
      <c r="ONM91" s="6"/>
      <c r="ONN91" s="6"/>
      <c r="ONO91" s="6"/>
      <c r="ONP91" s="6"/>
      <c r="ONQ91" s="6"/>
      <c r="ONR91" s="6"/>
      <c r="ONS91" s="6"/>
      <c r="ONT91" s="6"/>
      <c r="ONU91" s="6"/>
      <c r="ONV91" s="6"/>
      <c r="ONW91" s="6"/>
      <c r="ONX91" s="6"/>
      <c r="ONY91" s="6"/>
      <c r="ONZ91" s="6"/>
      <c r="OOA91" s="6"/>
      <c r="OOB91" s="6"/>
      <c r="OOC91" s="6"/>
      <c r="OOD91" s="6"/>
      <c r="OOE91" s="6"/>
      <c r="OOF91" s="6"/>
      <c r="OOG91" s="6"/>
      <c r="OOH91" s="6"/>
      <c r="OOI91" s="6"/>
      <c r="OOJ91" s="6"/>
      <c r="OOK91" s="6"/>
      <c r="OOL91" s="6"/>
      <c r="OOM91" s="6"/>
      <c r="OON91" s="6"/>
      <c r="OOO91" s="6"/>
      <c r="OOP91" s="6"/>
      <c r="OOQ91" s="6"/>
      <c r="OOR91" s="6"/>
      <c r="OOS91" s="6"/>
      <c r="OOT91" s="6"/>
      <c r="OOU91" s="6"/>
      <c r="OOV91" s="6"/>
      <c r="OOW91" s="6"/>
      <c r="OOX91" s="6"/>
      <c r="OOY91" s="6"/>
      <c r="OOZ91" s="6"/>
      <c r="OPA91" s="6"/>
      <c r="OPB91" s="6"/>
      <c r="OPC91" s="6"/>
      <c r="OPD91" s="6"/>
      <c r="OPE91" s="6"/>
      <c r="OPF91" s="6"/>
      <c r="OPG91" s="6"/>
      <c r="OPH91" s="6"/>
      <c r="OPI91" s="6"/>
      <c r="OPJ91" s="6"/>
      <c r="OPK91" s="6"/>
      <c r="OPL91" s="6"/>
      <c r="OPM91" s="6"/>
      <c r="OPN91" s="6"/>
      <c r="OPO91" s="6"/>
      <c r="OPP91" s="6"/>
      <c r="OPQ91" s="6"/>
      <c r="OPR91" s="6"/>
      <c r="OPS91" s="6"/>
      <c r="OPT91" s="6"/>
      <c r="OPU91" s="6"/>
      <c r="OPV91" s="6"/>
      <c r="OPW91" s="6"/>
      <c r="OPX91" s="6"/>
      <c r="OPY91" s="6"/>
      <c r="OPZ91" s="6"/>
      <c r="OQA91" s="6"/>
      <c r="OQB91" s="6"/>
      <c r="OQC91" s="6"/>
      <c r="OQD91" s="6"/>
      <c r="OQE91" s="6"/>
      <c r="OQF91" s="6"/>
      <c r="OQG91" s="6"/>
      <c r="OQH91" s="6"/>
      <c r="OQI91" s="6"/>
      <c r="OQJ91" s="6"/>
      <c r="OQK91" s="6"/>
      <c r="OQL91" s="6"/>
      <c r="OQM91" s="6"/>
      <c r="OQN91" s="6"/>
      <c r="OQO91" s="6"/>
      <c r="OQP91" s="6"/>
      <c r="OQQ91" s="6"/>
      <c r="OQR91" s="6"/>
      <c r="OQS91" s="6"/>
      <c r="OQT91" s="6"/>
      <c r="OQU91" s="6"/>
      <c r="OQV91" s="6"/>
      <c r="OQW91" s="6"/>
      <c r="OQX91" s="6"/>
      <c r="OQY91" s="6"/>
      <c r="OQZ91" s="6"/>
      <c r="ORA91" s="6"/>
      <c r="ORB91" s="6"/>
      <c r="ORC91" s="6"/>
      <c r="ORD91" s="6"/>
      <c r="ORE91" s="6"/>
      <c r="ORF91" s="6"/>
      <c r="ORG91" s="6"/>
      <c r="ORH91" s="6"/>
      <c r="ORI91" s="6"/>
      <c r="ORJ91" s="6"/>
      <c r="ORK91" s="6"/>
      <c r="ORL91" s="6"/>
      <c r="ORM91" s="6"/>
      <c r="ORN91" s="6"/>
      <c r="ORO91" s="6"/>
      <c r="ORP91" s="6"/>
      <c r="ORQ91" s="6"/>
      <c r="ORR91" s="6"/>
      <c r="ORS91" s="6"/>
      <c r="ORT91" s="6"/>
      <c r="ORU91" s="6"/>
      <c r="ORV91" s="6"/>
      <c r="ORW91" s="6"/>
      <c r="ORX91" s="6"/>
      <c r="ORY91" s="6"/>
      <c r="ORZ91" s="6"/>
      <c r="OSA91" s="6"/>
      <c r="OSB91" s="6"/>
      <c r="OSC91" s="6"/>
      <c r="OSD91" s="6"/>
      <c r="OSE91" s="6"/>
      <c r="OSF91" s="6"/>
      <c r="OSG91" s="6"/>
      <c r="OSH91" s="6"/>
      <c r="OSI91" s="6"/>
      <c r="OSJ91" s="6"/>
      <c r="OSK91" s="6"/>
      <c r="OSL91" s="6"/>
      <c r="OSM91" s="6"/>
      <c r="OSN91" s="6"/>
      <c r="OSO91" s="6"/>
      <c r="OSP91" s="6"/>
      <c r="OSQ91" s="6"/>
      <c r="OSR91" s="6"/>
      <c r="OSS91" s="6"/>
      <c r="OST91" s="6"/>
      <c r="OSU91" s="6"/>
      <c r="OSV91" s="6"/>
      <c r="OSW91" s="6"/>
      <c r="OSX91" s="6"/>
      <c r="OSY91" s="6"/>
      <c r="OSZ91" s="6"/>
      <c r="OTA91" s="6"/>
      <c r="OTB91" s="6"/>
      <c r="OTC91" s="6"/>
      <c r="OTD91" s="6"/>
      <c r="OTE91" s="6"/>
      <c r="OTF91" s="6"/>
      <c r="OTG91" s="6"/>
      <c r="OTH91" s="6"/>
      <c r="OTI91" s="6"/>
      <c r="OTJ91" s="6"/>
      <c r="OTK91" s="6"/>
      <c r="OTL91" s="6"/>
      <c r="OTM91" s="6"/>
      <c r="OTN91" s="6"/>
      <c r="OTO91" s="6"/>
      <c r="OTP91" s="6"/>
      <c r="OTQ91" s="6"/>
      <c r="OTR91" s="6"/>
      <c r="OTS91" s="6"/>
      <c r="OTT91" s="6"/>
      <c r="OTU91" s="6"/>
      <c r="OTV91" s="6"/>
      <c r="OTW91" s="6"/>
      <c r="OTX91" s="6"/>
      <c r="OTY91" s="6"/>
      <c r="OTZ91" s="6"/>
      <c r="OUA91" s="6"/>
      <c r="OUB91" s="6"/>
      <c r="OUC91" s="6"/>
      <c r="OUD91" s="6"/>
      <c r="OUE91" s="6"/>
      <c r="OUF91" s="6"/>
      <c r="OUG91" s="6"/>
      <c r="OUH91" s="6"/>
      <c r="OUI91" s="6"/>
      <c r="OUJ91" s="6"/>
      <c r="OUK91" s="6"/>
      <c r="OUL91" s="6"/>
      <c r="OUM91" s="6"/>
      <c r="OUN91" s="6"/>
      <c r="OUO91" s="6"/>
      <c r="OUP91" s="6"/>
      <c r="OUQ91" s="6"/>
      <c r="OUR91" s="6"/>
      <c r="OUS91" s="6"/>
      <c r="OUT91" s="6"/>
      <c r="OUU91" s="6"/>
      <c r="OUV91" s="6"/>
      <c r="OUW91" s="6"/>
      <c r="OUX91" s="6"/>
      <c r="OUY91" s="6"/>
      <c r="OUZ91" s="6"/>
      <c r="OVA91" s="6"/>
      <c r="OVB91" s="6"/>
      <c r="OVC91" s="6"/>
      <c r="OVD91" s="6"/>
      <c r="OVE91" s="6"/>
      <c r="OVF91" s="6"/>
      <c r="OVG91" s="6"/>
      <c r="OVH91" s="6"/>
      <c r="OVI91" s="6"/>
      <c r="OVJ91" s="6"/>
      <c r="OVK91" s="6"/>
      <c r="OVL91" s="6"/>
      <c r="OVM91" s="6"/>
      <c r="OVN91" s="6"/>
      <c r="OVO91" s="6"/>
      <c r="OVP91" s="6"/>
      <c r="OVQ91" s="6"/>
      <c r="OVR91" s="6"/>
      <c r="OVS91" s="6"/>
      <c r="OVT91" s="6"/>
      <c r="OVU91" s="6"/>
      <c r="OVV91" s="6"/>
      <c r="OVW91" s="6"/>
      <c r="OVX91" s="6"/>
      <c r="OVY91" s="6"/>
      <c r="OVZ91" s="6"/>
      <c r="OWA91" s="6"/>
      <c r="OWB91" s="6"/>
      <c r="OWC91" s="6"/>
      <c r="OWD91" s="6"/>
      <c r="OWE91" s="6"/>
      <c r="OWF91" s="6"/>
      <c r="OWG91" s="6"/>
      <c r="OWH91" s="6"/>
      <c r="OWI91" s="6"/>
      <c r="OWJ91" s="6"/>
      <c r="OWK91" s="6"/>
      <c r="OWL91" s="6"/>
      <c r="OWM91" s="6"/>
      <c r="OWN91" s="6"/>
      <c r="OWO91" s="6"/>
      <c r="OWP91" s="6"/>
      <c r="OWQ91" s="6"/>
      <c r="OWR91" s="6"/>
      <c r="OWS91" s="6"/>
      <c r="OWT91" s="6"/>
      <c r="OWU91" s="6"/>
      <c r="OWV91" s="6"/>
      <c r="OWW91" s="6"/>
      <c r="OWX91" s="6"/>
      <c r="OWY91" s="6"/>
      <c r="OWZ91" s="6"/>
      <c r="OXA91" s="6"/>
      <c r="OXB91" s="6"/>
      <c r="OXC91" s="6"/>
      <c r="OXD91" s="6"/>
      <c r="OXE91" s="6"/>
      <c r="OXF91" s="6"/>
      <c r="OXG91" s="6"/>
      <c r="OXH91" s="6"/>
      <c r="OXI91" s="6"/>
      <c r="OXJ91" s="6"/>
      <c r="OXK91" s="6"/>
      <c r="OXL91" s="6"/>
      <c r="OXM91" s="6"/>
      <c r="OXN91" s="6"/>
      <c r="OXO91" s="6"/>
      <c r="OXP91" s="6"/>
      <c r="OXQ91" s="6"/>
      <c r="OXR91" s="6"/>
      <c r="OXS91" s="6"/>
      <c r="OXT91" s="6"/>
      <c r="OXU91" s="6"/>
      <c r="OXV91" s="6"/>
      <c r="OXW91" s="6"/>
      <c r="OXX91" s="6"/>
      <c r="OXY91" s="6"/>
      <c r="OXZ91" s="6"/>
      <c r="OYA91" s="6"/>
      <c r="OYB91" s="6"/>
      <c r="OYC91" s="6"/>
      <c r="OYD91" s="6"/>
      <c r="OYE91" s="6"/>
      <c r="OYF91" s="6"/>
      <c r="OYG91" s="6"/>
      <c r="OYH91" s="6"/>
      <c r="OYI91" s="6"/>
      <c r="OYJ91" s="6"/>
      <c r="OYK91" s="6"/>
      <c r="OYL91" s="6"/>
      <c r="OYM91" s="6"/>
      <c r="OYN91" s="6"/>
      <c r="OYO91" s="6"/>
      <c r="OYP91" s="6"/>
      <c r="OYQ91" s="6"/>
      <c r="OYR91" s="6"/>
      <c r="OYS91" s="6"/>
      <c r="OYT91" s="6"/>
      <c r="OYU91" s="6"/>
      <c r="OYV91" s="6"/>
      <c r="OYW91" s="6"/>
      <c r="OYX91" s="6"/>
      <c r="OYY91" s="6"/>
      <c r="OYZ91" s="6"/>
      <c r="OZA91" s="6"/>
      <c r="OZB91" s="6"/>
      <c r="OZC91" s="6"/>
      <c r="OZD91" s="6"/>
      <c r="OZE91" s="6"/>
      <c r="OZF91" s="6"/>
      <c r="OZG91" s="6"/>
      <c r="OZH91" s="6"/>
      <c r="OZI91" s="6"/>
      <c r="OZJ91" s="6"/>
      <c r="OZK91" s="6"/>
      <c r="OZL91" s="6"/>
      <c r="OZM91" s="6"/>
      <c r="OZN91" s="6"/>
      <c r="OZO91" s="6"/>
      <c r="OZP91" s="6"/>
      <c r="OZQ91" s="6"/>
      <c r="OZR91" s="6"/>
      <c r="OZS91" s="6"/>
      <c r="OZT91" s="6"/>
      <c r="OZU91" s="6"/>
      <c r="OZV91" s="6"/>
      <c r="OZW91" s="6"/>
      <c r="OZX91" s="6"/>
      <c r="OZY91" s="6"/>
      <c r="OZZ91" s="6"/>
      <c r="PAA91" s="6"/>
      <c r="PAB91" s="6"/>
      <c r="PAC91" s="6"/>
      <c r="PAD91" s="6"/>
      <c r="PAE91" s="6"/>
      <c r="PAF91" s="6"/>
      <c r="PAG91" s="6"/>
      <c r="PAH91" s="6"/>
      <c r="PAI91" s="6"/>
      <c r="PAJ91" s="6"/>
      <c r="PAK91" s="6"/>
      <c r="PAL91" s="6"/>
      <c r="PAM91" s="6"/>
      <c r="PAN91" s="6"/>
      <c r="PAO91" s="6"/>
      <c r="PAP91" s="6"/>
      <c r="PAQ91" s="6"/>
      <c r="PAR91" s="6"/>
      <c r="PAS91" s="6"/>
      <c r="PAT91" s="6"/>
      <c r="PAU91" s="6"/>
      <c r="PAV91" s="6"/>
      <c r="PAW91" s="6"/>
      <c r="PAX91" s="6"/>
      <c r="PAY91" s="6"/>
      <c r="PAZ91" s="6"/>
      <c r="PBA91" s="6"/>
      <c r="PBB91" s="6"/>
      <c r="PBC91" s="6"/>
      <c r="PBD91" s="6"/>
      <c r="PBE91" s="6"/>
      <c r="PBF91" s="6"/>
      <c r="PBG91" s="6"/>
      <c r="PBH91" s="6"/>
      <c r="PBI91" s="6"/>
      <c r="PBJ91" s="6"/>
      <c r="PBK91" s="6"/>
      <c r="PBL91" s="6"/>
      <c r="PBM91" s="6"/>
      <c r="PBN91" s="6"/>
      <c r="PBO91" s="6"/>
      <c r="PBP91" s="6"/>
      <c r="PBQ91" s="6"/>
      <c r="PBR91" s="6"/>
      <c r="PBS91" s="6"/>
      <c r="PBT91" s="6"/>
      <c r="PBU91" s="6"/>
      <c r="PBV91" s="6"/>
      <c r="PBW91" s="6"/>
      <c r="PBX91" s="6"/>
      <c r="PBY91" s="6"/>
      <c r="PBZ91" s="6"/>
      <c r="PCA91" s="6"/>
      <c r="PCB91" s="6"/>
      <c r="PCC91" s="6"/>
      <c r="PCD91" s="6"/>
      <c r="PCE91" s="6"/>
      <c r="PCF91" s="6"/>
      <c r="PCG91" s="6"/>
      <c r="PCH91" s="6"/>
      <c r="PCI91" s="6"/>
      <c r="PCJ91" s="6"/>
      <c r="PCK91" s="6"/>
      <c r="PCL91" s="6"/>
      <c r="PCM91" s="6"/>
      <c r="PCN91" s="6"/>
      <c r="PCO91" s="6"/>
      <c r="PCP91" s="6"/>
      <c r="PCQ91" s="6"/>
      <c r="PCR91" s="6"/>
      <c r="PCS91" s="6"/>
      <c r="PCT91" s="6"/>
      <c r="PCU91" s="6"/>
      <c r="PCV91" s="6"/>
      <c r="PCW91" s="6"/>
      <c r="PCX91" s="6"/>
      <c r="PCY91" s="6"/>
      <c r="PCZ91" s="6"/>
      <c r="PDA91" s="6"/>
      <c r="PDB91" s="6"/>
      <c r="PDC91" s="6"/>
      <c r="PDD91" s="6"/>
      <c r="PDE91" s="6"/>
      <c r="PDF91" s="6"/>
      <c r="PDG91" s="6"/>
      <c r="PDH91" s="6"/>
      <c r="PDI91" s="6"/>
      <c r="PDJ91" s="6"/>
      <c r="PDK91" s="6"/>
      <c r="PDL91" s="6"/>
      <c r="PDM91" s="6"/>
      <c r="PDN91" s="6"/>
      <c r="PDO91" s="6"/>
      <c r="PDP91" s="6"/>
      <c r="PDQ91" s="6"/>
      <c r="PDR91" s="6"/>
      <c r="PDS91" s="6"/>
      <c r="PDT91" s="6"/>
      <c r="PDU91" s="6"/>
      <c r="PDV91" s="6"/>
      <c r="PDW91" s="6"/>
      <c r="PDX91" s="6"/>
      <c r="PDY91" s="6"/>
      <c r="PDZ91" s="6"/>
      <c r="PEA91" s="6"/>
      <c r="PEB91" s="6"/>
      <c r="PEC91" s="6"/>
      <c r="PED91" s="6"/>
      <c r="PEE91" s="6"/>
      <c r="PEF91" s="6"/>
      <c r="PEG91" s="6"/>
      <c r="PEH91" s="6"/>
      <c r="PEI91" s="6"/>
      <c r="PEJ91" s="6"/>
      <c r="PEK91" s="6"/>
      <c r="PEL91" s="6"/>
      <c r="PEM91" s="6"/>
      <c r="PEN91" s="6"/>
      <c r="PEO91" s="6"/>
      <c r="PEP91" s="6"/>
      <c r="PEQ91" s="6"/>
      <c r="PER91" s="6"/>
      <c r="PES91" s="6"/>
      <c r="PET91" s="6"/>
      <c r="PEU91" s="6"/>
      <c r="PEV91" s="6"/>
      <c r="PEW91" s="6"/>
      <c r="PEX91" s="6"/>
      <c r="PEY91" s="6"/>
      <c r="PEZ91" s="6"/>
      <c r="PFA91" s="6"/>
      <c r="PFB91" s="6"/>
      <c r="PFC91" s="6"/>
      <c r="PFD91" s="6"/>
      <c r="PFE91" s="6"/>
      <c r="PFF91" s="6"/>
      <c r="PFG91" s="6"/>
      <c r="PFH91" s="6"/>
      <c r="PFI91" s="6"/>
      <c r="PFJ91" s="6"/>
      <c r="PFK91" s="6"/>
      <c r="PFL91" s="6"/>
      <c r="PFM91" s="6"/>
      <c r="PFN91" s="6"/>
      <c r="PFO91" s="6"/>
      <c r="PFP91" s="6"/>
      <c r="PFQ91" s="6"/>
      <c r="PFR91" s="6"/>
      <c r="PFS91" s="6"/>
      <c r="PFT91" s="6"/>
      <c r="PFU91" s="6"/>
      <c r="PFV91" s="6"/>
      <c r="PFW91" s="6"/>
      <c r="PFX91" s="6"/>
      <c r="PFY91" s="6"/>
      <c r="PFZ91" s="6"/>
      <c r="PGA91" s="6"/>
      <c r="PGB91" s="6"/>
      <c r="PGC91" s="6"/>
      <c r="PGD91" s="6"/>
      <c r="PGE91" s="6"/>
      <c r="PGF91" s="6"/>
      <c r="PGG91" s="6"/>
      <c r="PGH91" s="6"/>
      <c r="PGI91" s="6"/>
      <c r="PGJ91" s="6"/>
      <c r="PGK91" s="6"/>
      <c r="PGL91" s="6"/>
      <c r="PGM91" s="6"/>
      <c r="PGN91" s="6"/>
      <c r="PGO91" s="6"/>
      <c r="PGP91" s="6"/>
      <c r="PGQ91" s="6"/>
      <c r="PGR91" s="6"/>
      <c r="PGS91" s="6"/>
      <c r="PGT91" s="6"/>
      <c r="PGU91" s="6"/>
      <c r="PGV91" s="6"/>
      <c r="PGW91" s="6"/>
      <c r="PGX91" s="6"/>
      <c r="PGY91" s="6"/>
      <c r="PGZ91" s="6"/>
      <c r="PHA91" s="6"/>
      <c r="PHB91" s="6"/>
      <c r="PHC91" s="6"/>
      <c r="PHD91" s="6"/>
      <c r="PHE91" s="6"/>
      <c r="PHF91" s="6"/>
      <c r="PHG91" s="6"/>
      <c r="PHH91" s="6"/>
      <c r="PHI91" s="6"/>
      <c r="PHJ91" s="6"/>
      <c r="PHK91" s="6"/>
      <c r="PHL91" s="6"/>
      <c r="PHM91" s="6"/>
      <c r="PHN91" s="6"/>
      <c r="PHO91" s="6"/>
      <c r="PHP91" s="6"/>
      <c r="PHQ91" s="6"/>
      <c r="PHR91" s="6"/>
      <c r="PHS91" s="6"/>
      <c r="PHT91" s="6"/>
      <c r="PHU91" s="6"/>
      <c r="PHV91" s="6"/>
      <c r="PHW91" s="6"/>
      <c r="PHX91" s="6"/>
      <c r="PHY91" s="6"/>
      <c r="PHZ91" s="6"/>
      <c r="PIA91" s="6"/>
      <c r="PIB91" s="6"/>
      <c r="PIC91" s="6"/>
      <c r="PID91" s="6"/>
      <c r="PIE91" s="6"/>
      <c r="PIF91" s="6"/>
      <c r="PIG91" s="6"/>
      <c r="PIH91" s="6"/>
      <c r="PII91" s="6"/>
      <c r="PIJ91" s="6"/>
      <c r="PIK91" s="6"/>
      <c r="PIL91" s="6"/>
      <c r="PIM91" s="6"/>
      <c r="PIN91" s="6"/>
      <c r="PIO91" s="6"/>
      <c r="PIP91" s="6"/>
      <c r="PIQ91" s="6"/>
      <c r="PIR91" s="6"/>
      <c r="PIS91" s="6"/>
      <c r="PIT91" s="6"/>
      <c r="PIU91" s="6"/>
      <c r="PIV91" s="6"/>
      <c r="PIW91" s="6"/>
      <c r="PIX91" s="6"/>
      <c r="PIY91" s="6"/>
      <c r="PIZ91" s="6"/>
      <c r="PJA91" s="6"/>
      <c r="PJB91" s="6"/>
      <c r="PJC91" s="6"/>
      <c r="PJD91" s="6"/>
      <c r="PJE91" s="6"/>
      <c r="PJF91" s="6"/>
      <c r="PJG91" s="6"/>
      <c r="PJH91" s="6"/>
      <c r="PJI91" s="6"/>
      <c r="PJJ91" s="6"/>
      <c r="PJK91" s="6"/>
      <c r="PJL91" s="6"/>
      <c r="PJM91" s="6"/>
      <c r="PJN91" s="6"/>
      <c r="PJO91" s="6"/>
      <c r="PJP91" s="6"/>
      <c r="PJQ91" s="6"/>
      <c r="PJR91" s="6"/>
      <c r="PJS91" s="6"/>
      <c r="PJT91" s="6"/>
      <c r="PJU91" s="6"/>
      <c r="PJV91" s="6"/>
      <c r="PJW91" s="6"/>
      <c r="PJX91" s="6"/>
      <c r="PJY91" s="6"/>
      <c r="PJZ91" s="6"/>
      <c r="PKA91" s="6"/>
      <c r="PKB91" s="6"/>
      <c r="PKC91" s="6"/>
      <c r="PKD91" s="6"/>
      <c r="PKE91" s="6"/>
      <c r="PKF91" s="6"/>
      <c r="PKG91" s="6"/>
      <c r="PKH91" s="6"/>
      <c r="PKI91" s="6"/>
      <c r="PKJ91" s="6"/>
      <c r="PKK91" s="6"/>
      <c r="PKL91" s="6"/>
      <c r="PKM91" s="6"/>
      <c r="PKN91" s="6"/>
      <c r="PKO91" s="6"/>
      <c r="PKP91" s="6"/>
      <c r="PKQ91" s="6"/>
      <c r="PKR91" s="6"/>
      <c r="PKS91" s="6"/>
      <c r="PKT91" s="6"/>
      <c r="PKU91" s="6"/>
      <c r="PKV91" s="6"/>
      <c r="PKW91" s="6"/>
      <c r="PKX91" s="6"/>
      <c r="PKY91" s="6"/>
      <c r="PKZ91" s="6"/>
      <c r="PLA91" s="6"/>
      <c r="PLB91" s="6"/>
      <c r="PLC91" s="6"/>
      <c r="PLD91" s="6"/>
      <c r="PLE91" s="6"/>
      <c r="PLF91" s="6"/>
      <c r="PLG91" s="6"/>
      <c r="PLH91" s="6"/>
      <c r="PLI91" s="6"/>
      <c r="PLJ91" s="6"/>
      <c r="PLK91" s="6"/>
      <c r="PLL91" s="6"/>
      <c r="PLM91" s="6"/>
      <c r="PLN91" s="6"/>
      <c r="PLO91" s="6"/>
      <c r="PLP91" s="6"/>
      <c r="PLQ91" s="6"/>
      <c r="PLR91" s="6"/>
      <c r="PLS91" s="6"/>
      <c r="PLT91" s="6"/>
      <c r="PLU91" s="6"/>
      <c r="PLV91" s="6"/>
      <c r="PLW91" s="6"/>
      <c r="PLX91" s="6"/>
      <c r="PLY91" s="6"/>
      <c r="PLZ91" s="6"/>
      <c r="PMA91" s="6"/>
      <c r="PMB91" s="6"/>
      <c r="PMC91" s="6"/>
      <c r="PMD91" s="6"/>
      <c r="PME91" s="6"/>
      <c r="PMF91" s="6"/>
      <c r="PMG91" s="6"/>
      <c r="PMH91" s="6"/>
      <c r="PMI91" s="6"/>
      <c r="PMJ91" s="6"/>
      <c r="PMK91" s="6"/>
      <c r="PML91" s="6"/>
      <c r="PMM91" s="6"/>
      <c r="PMN91" s="6"/>
      <c r="PMO91" s="6"/>
      <c r="PMP91" s="6"/>
      <c r="PMQ91" s="6"/>
      <c r="PMR91" s="6"/>
      <c r="PMS91" s="6"/>
      <c r="PMT91" s="6"/>
      <c r="PMU91" s="6"/>
      <c r="PMV91" s="6"/>
      <c r="PMW91" s="6"/>
      <c r="PMX91" s="6"/>
      <c r="PMY91" s="6"/>
      <c r="PMZ91" s="6"/>
      <c r="PNA91" s="6"/>
      <c r="PNB91" s="6"/>
      <c r="PNC91" s="6"/>
      <c r="PND91" s="6"/>
      <c r="PNE91" s="6"/>
      <c r="PNF91" s="6"/>
      <c r="PNG91" s="6"/>
      <c r="PNH91" s="6"/>
      <c r="PNI91" s="6"/>
      <c r="PNJ91" s="6"/>
      <c r="PNK91" s="6"/>
      <c r="PNL91" s="6"/>
      <c r="PNM91" s="6"/>
      <c r="PNN91" s="6"/>
      <c r="PNO91" s="6"/>
      <c r="PNP91" s="6"/>
      <c r="PNQ91" s="6"/>
      <c r="PNR91" s="6"/>
      <c r="PNS91" s="6"/>
      <c r="PNT91" s="6"/>
      <c r="PNU91" s="6"/>
      <c r="PNV91" s="6"/>
      <c r="PNW91" s="6"/>
      <c r="PNX91" s="6"/>
      <c r="PNY91" s="6"/>
      <c r="PNZ91" s="6"/>
      <c r="POA91" s="6"/>
      <c r="POB91" s="6"/>
      <c r="POC91" s="6"/>
      <c r="POD91" s="6"/>
      <c r="POE91" s="6"/>
      <c r="POF91" s="6"/>
      <c r="POG91" s="6"/>
      <c r="POH91" s="6"/>
      <c r="POI91" s="6"/>
      <c r="POJ91" s="6"/>
      <c r="POK91" s="6"/>
      <c r="POL91" s="6"/>
      <c r="POM91" s="6"/>
      <c r="PON91" s="6"/>
      <c r="POO91" s="6"/>
      <c r="POP91" s="6"/>
      <c r="POQ91" s="6"/>
      <c r="POR91" s="6"/>
      <c r="POS91" s="6"/>
      <c r="POT91" s="6"/>
      <c r="POU91" s="6"/>
      <c r="POV91" s="6"/>
      <c r="POW91" s="6"/>
      <c r="POX91" s="6"/>
      <c r="POY91" s="6"/>
      <c r="POZ91" s="6"/>
      <c r="PPA91" s="6"/>
      <c r="PPB91" s="6"/>
      <c r="PPC91" s="6"/>
      <c r="PPD91" s="6"/>
      <c r="PPE91" s="6"/>
      <c r="PPF91" s="6"/>
      <c r="PPG91" s="6"/>
      <c r="PPH91" s="6"/>
      <c r="PPI91" s="6"/>
      <c r="PPJ91" s="6"/>
      <c r="PPK91" s="6"/>
      <c r="PPL91" s="6"/>
      <c r="PPM91" s="6"/>
      <c r="PPN91" s="6"/>
      <c r="PPO91" s="6"/>
      <c r="PPP91" s="6"/>
      <c r="PPQ91" s="6"/>
      <c r="PPR91" s="6"/>
      <c r="PPS91" s="6"/>
      <c r="PPT91" s="6"/>
      <c r="PPU91" s="6"/>
      <c r="PPV91" s="6"/>
      <c r="PPW91" s="6"/>
      <c r="PPX91" s="6"/>
      <c r="PPY91" s="6"/>
      <c r="PPZ91" s="6"/>
      <c r="PQA91" s="6"/>
      <c r="PQB91" s="6"/>
      <c r="PQC91" s="6"/>
      <c r="PQD91" s="6"/>
      <c r="PQE91" s="6"/>
      <c r="PQF91" s="6"/>
      <c r="PQG91" s="6"/>
      <c r="PQH91" s="6"/>
      <c r="PQI91" s="6"/>
      <c r="PQJ91" s="6"/>
      <c r="PQK91" s="6"/>
      <c r="PQL91" s="6"/>
      <c r="PQM91" s="6"/>
      <c r="PQN91" s="6"/>
      <c r="PQO91" s="6"/>
      <c r="PQP91" s="6"/>
      <c r="PQQ91" s="6"/>
      <c r="PQR91" s="6"/>
      <c r="PQS91" s="6"/>
      <c r="PQT91" s="6"/>
      <c r="PQU91" s="6"/>
      <c r="PQV91" s="6"/>
      <c r="PQW91" s="6"/>
      <c r="PQX91" s="6"/>
      <c r="PQY91" s="6"/>
      <c r="PQZ91" s="6"/>
      <c r="PRA91" s="6"/>
      <c r="PRB91" s="6"/>
      <c r="PRC91" s="6"/>
      <c r="PRD91" s="6"/>
      <c r="PRE91" s="6"/>
      <c r="PRF91" s="6"/>
      <c r="PRG91" s="6"/>
      <c r="PRH91" s="6"/>
      <c r="PRI91" s="6"/>
      <c r="PRJ91" s="6"/>
      <c r="PRK91" s="6"/>
      <c r="PRL91" s="6"/>
      <c r="PRM91" s="6"/>
      <c r="PRN91" s="6"/>
      <c r="PRO91" s="6"/>
      <c r="PRP91" s="6"/>
      <c r="PRQ91" s="6"/>
      <c r="PRR91" s="6"/>
      <c r="PRS91" s="6"/>
      <c r="PRT91" s="6"/>
      <c r="PRU91" s="6"/>
      <c r="PRV91" s="6"/>
      <c r="PRW91" s="6"/>
      <c r="PRX91" s="6"/>
      <c r="PRY91" s="6"/>
      <c r="PRZ91" s="6"/>
      <c r="PSA91" s="6"/>
      <c r="PSB91" s="6"/>
      <c r="PSC91" s="6"/>
      <c r="PSD91" s="6"/>
      <c r="PSE91" s="6"/>
      <c r="PSF91" s="6"/>
      <c r="PSG91" s="6"/>
      <c r="PSH91" s="6"/>
      <c r="PSI91" s="6"/>
      <c r="PSJ91" s="6"/>
      <c r="PSK91" s="6"/>
      <c r="PSL91" s="6"/>
      <c r="PSM91" s="6"/>
      <c r="PSN91" s="6"/>
      <c r="PSO91" s="6"/>
      <c r="PSP91" s="6"/>
      <c r="PSQ91" s="6"/>
      <c r="PSR91" s="6"/>
      <c r="PSS91" s="6"/>
      <c r="PST91" s="6"/>
      <c r="PSU91" s="6"/>
      <c r="PSV91" s="6"/>
      <c r="PSW91" s="6"/>
      <c r="PSX91" s="6"/>
      <c r="PSY91" s="6"/>
      <c r="PSZ91" s="6"/>
      <c r="PTA91" s="6"/>
      <c r="PTB91" s="6"/>
      <c r="PTC91" s="6"/>
      <c r="PTD91" s="6"/>
      <c r="PTE91" s="6"/>
      <c r="PTF91" s="6"/>
      <c r="PTG91" s="6"/>
      <c r="PTH91" s="6"/>
      <c r="PTI91" s="6"/>
      <c r="PTJ91" s="6"/>
      <c r="PTK91" s="6"/>
      <c r="PTL91" s="6"/>
      <c r="PTM91" s="6"/>
      <c r="PTN91" s="6"/>
      <c r="PTO91" s="6"/>
      <c r="PTP91" s="6"/>
      <c r="PTQ91" s="6"/>
      <c r="PTR91" s="6"/>
      <c r="PTS91" s="6"/>
      <c r="PTT91" s="6"/>
      <c r="PTU91" s="6"/>
      <c r="PTV91" s="6"/>
      <c r="PTW91" s="6"/>
      <c r="PTX91" s="6"/>
      <c r="PTY91" s="6"/>
      <c r="PTZ91" s="6"/>
      <c r="PUA91" s="6"/>
      <c r="PUB91" s="6"/>
      <c r="PUC91" s="6"/>
      <c r="PUD91" s="6"/>
      <c r="PUE91" s="6"/>
      <c r="PUF91" s="6"/>
      <c r="PUG91" s="6"/>
      <c r="PUH91" s="6"/>
      <c r="PUI91" s="6"/>
      <c r="PUJ91" s="6"/>
      <c r="PUK91" s="6"/>
      <c r="PUL91" s="6"/>
      <c r="PUM91" s="6"/>
      <c r="PUN91" s="6"/>
      <c r="PUO91" s="6"/>
      <c r="PUP91" s="6"/>
      <c r="PUQ91" s="6"/>
      <c r="PUR91" s="6"/>
      <c r="PUS91" s="6"/>
      <c r="PUT91" s="6"/>
      <c r="PUU91" s="6"/>
      <c r="PUV91" s="6"/>
      <c r="PUW91" s="6"/>
      <c r="PUX91" s="6"/>
      <c r="PUY91" s="6"/>
      <c r="PUZ91" s="6"/>
      <c r="PVA91" s="6"/>
      <c r="PVB91" s="6"/>
      <c r="PVC91" s="6"/>
      <c r="PVD91" s="6"/>
      <c r="PVE91" s="6"/>
      <c r="PVF91" s="6"/>
      <c r="PVG91" s="6"/>
      <c r="PVH91" s="6"/>
      <c r="PVI91" s="6"/>
      <c r="PVJ91" s="6"/>
      <c r="PVK91" s="6"/>
      <c r="PVL91" s="6"/>
      <c r="PVM91" s="6"/>
      <c r="PVN91" s="6"/>
      <c r="PVO91" s="6"/>
      <c r="PVP91" s="6"/>
      <c r="PVQ91" s="6"/>
      <c r="PVR91" s="6"/>
      <c r="PVS91" s="6"/>
      <c r="PVT91" s="6"/>
      <c r="PVU91" s="6"/>
      <c r="PVV91" s="6"/>
      <c r="PVW91" s="6"/>
      <c r="PVX91" s="6"/>
      <c r="PVY91" s="6"/>
      <c r="PVZ91" s="6"/>
      <c r="PWA91" s="6"/>
      <c r="PWB91" s="6"/>
      <c r="PWC91" s="6"/>
      <c r="PWD91" s="6"/>
      <c r="PWE91" s="6"/>
      <c r="PWF91" s="6"/>
      <c r="PWG91" s="6"/>
      <c r="PWH91" s="6"/>
      <c r="PWI91" s="6"/>
      <c r="PWJ91" s="6"/>
      <c r="PWK91" s="6"/>
      <c r="PWL91" s="6"/>
      <c r="PWM91" s="6"/>
      <c r="PWN91" s="6"/>
      <c r="PWO91" s="6"/>
      <c r="PWP91" s="6"/>
      <c r="PWQ91" s="6"/>
      <c r="PWR91" s="6"/>
      <c r="PWS91" s="6"/>
      <c r="PWT91" s="6"/>
      <c r="PWU91" s="6"/>
      <c r="PWV91" s="6"/>
      <c r="PWW91" s="6"/>
      <c r="PWX91" s="6"/>
      <c r="PWY91" s="6"/>
      <c r="PWZ91" s="6"/>
      <c r="PXA91" s="6"/>
      <c r="PXB91" s="6"/>
      <c r="PXC91" s="6"/>
      <c r="PXD91" s="6"/>
      <c r="PXE91" s="6"/>
      <c r="PXF91" s="6"/>
      <c r="PXG91" s="6"/>
      <c r="PXH91" s="6"/>
      <c r="PXI91" s="6"/>
      <c r="PXJ91" s="6"/>
      <c r="PXK91" s="6"/>
      <c r="PXL91" s="6"/>
      <c r="PXM91" s="6"/>
      <c r="PXN91" s="6"/>
      <c r="PXO91" s="6"/>
      <c r="PXP91" s="6"/>
      <c r="PXQ91" s="6"/>
      <c r="PXR91" s="6"/>
      <c r="PXS91" s="6"/>
      <c r="PXT91" s="6"/>
      <c r="PXU91" s="6"/>
      <c r="PXV91" s="6"/>
      <c r="PXW91" s="6"/>
      <c r="PXX91" s="6"/>
      <c r="PXY91" s="6"/>
      <c r="PXZ91" s="6"/>
      <c r="PYA91" s="6"/>
      <c r="PYB91" s="6"/>
      <c r="PYC91" s="6"/>
      <c r="PYD91" s="6"/>
      <c r="PYE91" s="6"/>
      <c r="PYF91" s="6"/>
      <c r="PYG91" s="6"/>
      <c r="PYH91" s="6"/>
      <c r="PYI91" s="6"/>
      <c r="PYJ91" s="6"/>
      <c r="PYK91" s="6"/>
      <c r="PYL91" s="6"/>
      <c r="PYM91" s="6"/>
      <c r="PYN91" s="6"/>
      <c r="PYO91" s="6"/>
      <c r="PYP91" s="6"/>
      <c r="PYQ91" s="6"/>
      <c r="PYR91" s="6"/>
      <c r="PYS91" s="6"/>
      <c r="PYT91" s="6"/>
      <c r="PYU91" s="6"/>
      <c r="PYV91" s="6"/>
      <c r="PYW91" s="6"/>
      <c r="PYX91" s="6"/>
      <c r="PYY91" s="6"/>
      <c r="PYZ91" s="6"/>
      <c r="PZA91" s="6"/>
      <c r="PZB91" s="6"/>
      <c r="PZC91" s="6"/>
      <c r="PZD91" s="6"/>
      <c r="PZE91" s="6"/>
      <c r="PZF91" s="6"/>
      <c r="PZG91" s="6"/>
      <c r="PZH91" s="6"/>
      <c r="PZI91" s="6"/>
      <c r="PZJ91" s="6"/>
      <c r="PZK91" s="6"/>
      <c r="PZL91" s="6"/>
      <c r="PZM91" s="6"/>
      <c r="PZN91" s="6"/>
      <c r="PZO91" s="6"/>
      <c r="PZP91" s="6"/>
      <c r="PZQ91" s="6"/>
      <c r="PZR91" s="6"/>
      <c r="PZS91" s="6"/>
      <c r="PZT91" s="6"/>
      <c r="PZU91" s="6"/>
      <c r="PZV91" s="6"/>
      <c r="PZW91" s="6"/>
      <c r="PZX91" s="6"/>
      <c r="PZY91" s="6"/>
      <c r="PZZ91" s="6"/>
      <c r="QAA91" s="6"/>
      <c r="QAB91" s="6"/>
      <c r="QAC91" s="6"/>
      <c r="QAD91" s="6"/>
      <c r="QAE91" s="6"/>
      <c r="QAF91" s="6"/>
      <c r="QAG91" s="6"/>
      <c r="QAH91" s="6"/>
      <c r="QAI91" s="6"/>
      <c r="QAJ91" s="6"/>
      <c r="QAK91" s="6"/>
      <c r="QAL91" s="6"/>
      <c r="QAM91" s="6"/>
      <c r="QAN91" s="6"/>
      <c r="QAO91" s="6"/>
      <c r="QAP91" s="6"/>
      <c r="QAQ91" s="6"/>
      <c r="QAR91" s="6"/>
      <c r="QAS91" s="6"/>
      <c r="QAT91" s="6"/>
      <c r="QAU91" s="6"/>
      <c r="QAV91" s="6"/>
      <c r="QAW91" s="6"/>
      <c r="QAX91" s="6"/>
      <c r="QAY91" s="6"/>
      <c r="QAZ91" s="6"/>
      <c r="QBA91" s="6"/>
      <c r="QBB91" s="6"/>
      <c r="QBC91" s="6"/>
      <c r="QBD91" s="6"/>
      <c r="QBE91" s="6"/>
      <c r="QBF91" s="6"/>
      <c r="QBG91" s="6"/>
      <c r="QBH91" s="6"/>
      <c r="QBI91" s="6"/>
      <c r="QBJ91" s="6"/>
      <c r="QBK91" s="6"/>
      <c r="QBL91" s="6"/>
      <c r="QBM91" s="6"/>
      <c r="QBN91" s="6"/>
      <c r="QBO91" s="6"/>
      <c r="QBP91" s="6"/>
      <c r="QBQ91" s="6"/>
      <c r="QBR91" s="6"/>
      <c r="QBS91" s="6"/>
      <c r="QBT91" s="6"/>
      <c r="QBU91" s="6"/>
      <c r="QBV91" s="6"/>
      <c r="QBW91" s="6"/>
      <c r="QBX91" s="6"/>
      <c r="QBY91" s="6"/>
      <c r="QBZ91" s="6"/>
      <c r="QCA91" s="6"/>
      <c r="QCB91" s="6"/>
      <c r="QCC91" s="6"/>
      <c r="QCD91" s="6"/>
      <c r="QCE91" s="6"/>
      <c r="QCF91" s="6"/>
      <c r="QCG91" s="6"/>
      <c r="QCH91" s="6"/>
      <c r="QCI91" s="6"/>
      <c r="QCJ91" s="6"/>
      <c r="QCK91" s="6"/>
      <c r="QCL91" s="6"/>
      <c r="QCM91" s="6"/>
      <c r="QCN91" s="6"/>
      <c r="QCO91" s="6"/>
      <c r="QCP91" s="6"/>
      <c r="QCQ91" s="6"/>
      <c r="QCR91" s="6"/>
      <c r="QCS91" s="6"/>
      <c r="QCT91" s="6"/>
      <c r="QCU91" s="6"/>
      <c r="QCV91" s="6"/>
      <c r="QCW91" s="6"/>
      <c r="QCX91" s="6"/>
      <c r="QCY91" s="6"/>
      <c r="QCZ91" s="6"/>
      <c r="QDA91" s="6"/>
      <c r="QDB91" s="6"/>
      <c r="QDC91" s="6"/>
      <c r="QDD91" s="6"/>
      <c r="QDE91" s="6"/>
      <c r="QDF91" s="6"/>
      <c r="QDG91" s="6"/>
      <c r="QDH91" s="6"/>
      <c r="QDI91" s="6"/>
      <c r="QDJ91" s="6"/>
      <c r="QDK91" s="6"/>
      <c r="QDL91" s="6"/>
      <c r="QDM91" s="6"/>
      <c r="QDN91" s="6"/>
      <c r="QDO91" s="6"/>
      <c r="QDP91" s="6"/>
      <c r="QDQ91" s="6"/>
      <c r="QDR91" s="6"/>
      <c r="QDS91" s="6"/>
      <c r="QDT91" s="6"/>
      <c r="QDU91" s="6"/>
      <c r="QDV91" s="6"/>
      <c r="QDW91" s="6"/>
      <c r="QDX91" s="6"/>
      <c r="QDY91" s="6"/>
      <c r="QDZ91" s="6"/>
      <c r="QEA91" s="6"/>
      <c r="QEB91" s="6"/>
      <c r="QEC91" s="6"/>
      <c r="QED91" s="6"/>
      <c r="QEE91" s="6"/>
      <c r="QEF91" s="6"/>
      <c r="QEG91" s="6"/>
      <c r="QEH91" s="6"/>
      <c r="QEI91" s="6"/>
      <c r="QEJ91" s="6"/>
      <c r="QEK91" s="6"/>
      <c r="QEL91" s="6"/>
      <c r="QEM91" s="6"/>
      <c r="QEN91" s="6"/>
      <c r="QEO91" s="6"/>
      <c r="QEP91" s="6"/>
      <c r="QEQ91" s="6"/>
      <c r="QER91" s="6"/>
      <c r="QES91" s="6"/>
      <c r="QET91" s="6"/>
      <c r="QEU91" s="6"/>
      <c r="QEV91" s="6"/>
      <c r="QEW91" s="6"/>
      <c r="QEX91" s="6"/>
      <c r="QEY91" s="6"/>
      <c r="QEZ91" s="6"/>
      <c r="QFA91" s="6"/>
      <c r="QFB91" s="6"/>
      <c r="QFC91" s="6"/>
      <c r="QFD91" s="6"/>
      <c r="QFE91" s="6"/>
      <c r="QFF91" s="6"/>
      <c r="QFG91" s="6"/>
      <c r="QFH91" s="6"/>
      <c r="QFI91" s="6"/>
      <c r="QFJ91" s="6"/>
      <c r="QFK91" s="6"/>
      <c r="QFL91" s="6"/>
      <c r="QFM91" s="6"/>
      <c r="QFN91" s="6"/>
      <c r="QFO91" s="6"/>
      <c r="QFP91" s="6"/>
      <c r="QFQ91" s="6"/>
      <c r="QFR91" s="6"/>
      <c r="QFS91" s="6"/>
      <c r="QFT91" s="6"/>
      <c r="QFU91" s="6"/>
      <c r="QFV91" s="6"/>
      <c r="QFW91" s="6"/>
      <c r="QFX91" s="6"/>
      <c r="QFY91" s="6"/>
      <c r="QFZ91" s="6"/>
      <c r="QGA91" s="6"/>
      <c r="QGB91" s="6"/>
      <c r="QGC91" s="6"/>
      <c r="QGD91" s="6"/>
      <c r="QGE91" s="6"/>
      <c r="QGF91" s="6"/>
      <c r="QGG91" s="6"/>
      <c r="QGH91" s="6"/>
      <c r="QGI91" s="6"/>
      <c r="QGJ91" s="6"/>
      <c r="QGK91" s="6"/>
      <c r="QGL91" s="6"/>
      <c r="QGM91" s="6"/>
      <c r="QGN91" s="6"/>
      <c r="QGO91" s="6"/>
      <c r="QGP91" s="6"/>
      <c r="QGQ91" s="6"/>
      <c r="QGR91" s="6"/>
      <c r="QGS91" s="6"/>
      <c r="QGT91" s="6"/>
      <c r="QGU91" s="6"/>
      <c r="QGV91" s="6"/>
      <c r="QGW91" s="6"/>
      <c r="QGX91" s="6"/>
      <c r="QGY91" s="6"/>
      <c r="QGZ91" s="6"/>
      <c r="QHA91" s="6"/>
      <c r="QHB91" s="6"/>
      <c r="QHC91" s="6"/>
      <c r="QHD91" s="6"/>
      <c r="QHE91" s="6"/>
      <c r="QHF91" s="6"/>
      <c r="QHG91" s="6"/>
      <c r="QHH91" s="6"/>
      <c r="QHI91" s="6"/>
      <c r="QHJ91" s="6"/>
      <c r="QHK91" s="6"/>
      <c r="QHL91" s="6"/>
      <c r="QHM91" s="6"/>
      <c r="QHN91" s="6"/>
      <c r="QHO91" s="6"/>
      <c r="QHP91" s="6"/>
      <c r="QHQ91" s="6"/>
      <c r="QHR91" s="6"/>
      <c r="QHS91" s="6"/>
      <c r="QHT91" s="6"/>
      <c r="QHU91" s="6"/>
      <c r="QHV91" s="6"/>
      <c r="QHW91" s="6"/>
      <c r="QHX91" s="6"/>
      <c r="QHY91" s="6"/>
      <c r="QHZ91" s="6"/>
      <c r="QIA91" s="6"/>
      <c r="QIB91" s="6"/>
      <c r="QIC91" s="6"/>
      <c r="QID91" s="6"/>
      <c r="QIE91" s="6"/>
      <c r="QIF91" s="6"/>
      <c r="QIG91" s="6"/>
      <c r="QIH91" s="6"/>
      <c r="QII91" s="6"/>
      <c r="QIJ91" s="6"/>
      <c r="QIK91" s="6"/>
      <c r="QIL91" s="6"/>
      <c r="QIM91" s="6"/>
      <c r="QIN91" s="6"/>
      <c r="QIO91" s="6"/>
      <c r="QIP91" s="6"/>
      <c r="QIQ91" s="6"/>
      <c r="QIR91" s="6"/>
      <c r="QIS91" s="6"/>
      <c r="QIT91" s="6"/>
      <c r="QIU91" s="6"/>
      <c r="QIV91" s="6"/>
      <c r="QIW91" s="6"/>
      <c r="QIX91" s="6"/>
      <c r="QIY91" s="6"/>
      <c r="QIZ91" s="6"/>
      <c r="QJA91" s="6"/>
      <c r="QJB91" s="6"/>
      <c r="QJC91" s="6"/>
      <c r="QJD91" s="6"/>
      <c r="QJE91" s="6"/>
      <c r="QJF91" s="6"/>
      <c r="QJG91" s="6"/>
      <c r="QJH91" s="6"/>
      <c r="QJI91" s="6"/>
      <c r="QJJ91" s="6"/>
      <c r="QJK91" s="6"/>
      <c r="QJL91" s="6"/>
      <c r="QJM91" s="6"/>
      <c r="QJN91" s="6"/>
      <c r="QJO91" s="6"/>
      <c r="QJP91" s="6"/>
      <c r="QJQ91" s="6"/>
      <c r="QJR91" s="6"/>
      <c r="QJS91" s="6"/>
      <c r="QJT91" s="6"/>
      <c r="QJU91" s="6"/>
      <c r="QJV91" s="6"/>
      <c r="QJW91" s="6"/>
      <c r="QJX91" s="6"/>
      <c r="QJY91" s="6"/>
      <c r="QJZ91" s="6"/>
      <c r="QKA91" s="6"/>
      <c r="QKB91" s="6"/>
      <c r="QKC91" s="6"/>
      <c r="QKD91" s="6"/>
      <c r="QKE91" s="6"/>
      <c r="QKF91" s="6"/>
      <c r="QKG91" s="6"/>
      <c r="QKH91" s="6"/>
      <c r="QKI91" s="6"/>
      <c r="QKJ91" s="6"/>
      <c r="QKK91" s="6"/>
      <c r="QKL91" s="6"/>
      <c r="QKM91" s="6"/>
      <c r="QKN91" s="6"/>
      <c r="QKO91" s="6"/>
      <c r="QKP91" s="6"/>
      <c r="QKQ91" s="6"/>
      <c r="QKR91" s="6"/>
      <c r="QKS91" s="6"/>
      <c r="QKT91" s="6"/>
      <c r="QKU91" s="6"/>
      <c r="QKV91" s="6"/>
      <c r="QKW91" s="6"/>
      <c r="QKX91" s="6"/>
      <c r="QKY91" s="6"/>
      <c r="QKZ91" s="6"/>
      <c r="QLA91" s="6"/>
      <c r="QLB91" s="6"/>
      <c r="QLC91" s="6"/>
      <c r="QLD91" s="6"/>
      <c r="QLE91" s="6"/>
      <c r="QLF91" s="6"/>
      <c r="QLG91" s="6"/>
      <c r="QLH91" s="6"/>
      <c r="QLI91" s="6"/>
      <c r="QLJ91" s="6"/>
      <c r="QLK91" s="6"/>
      <c r="QLL91" s="6"/>
      <c r="QLM91" s="6"/>
      <c r="QLN91" s="6"/>
      <c r="QLO91" s="6"/>
      <c r="QLP91" s="6"/>
      <c r="QLQ91" s="6"/>
      <c r="QLR91" s="6"/>
      <c r="QLS91" s="6"/>
      <c r="QLT91" s="6"/>
      <c r="QLU91" s="6"/>
      <c r="QLV91" s="6"/>
      <c r="QLW91" s="6"/>
      <c r="QLX91" s="6"/>
      <c r="QLY91" s="6"/>
      <c r="QLZ91" s="6"/>
      <c r="QMA91" s="6"/>
      <c r="QMB91" s="6"/>
      <c r="QMC91" s="6"/>
      <c r="QMD91" s="6"/>
      <c r="QME91" s="6"/>
      <c r="QMF91" s="6"/>
      <c r="QMG91" s="6"/>
      <c r="QMH91" s="6"/>
      <c r="QMI91" s="6"/>
      <c r="QMJ91" s="6"/>
      <c r="QMK91" s="6"/>
      <c r="QML91" s="6"/>
      <c r="QMM91" s="6"/>
      <c r="QMN91" s="6"/>
      <c r="QMO91" s="6"/>
      <c r="QMP91" s="6"/>
      <c r="QMQ91" s="6"/>
      <c r="QMR91" s="6"/>
      <c r="QMS91" s="6"/>
      <c r="QMT91" s="6"/>
      <c r="QMU91" s="6"/>
      <c r="QMV91" s="6"/>
      <c r="QMW91" s="6"/>
      <c r="QMX91" s="6"/>
      <c r="QMY91" s="6"/>
      <c r="QMZ91" s="6"/>
      <c r="QNA91" s="6"/>
      <c r="QNB91" s="6"/>
      <c r="QNC91" s="6"/>
      <c r="QND91" s="6"/>
      <c r="QNE91" s="6"/>
      <c r="QNF91" s="6"/>
      <c r="QNG91" s="6"/>
      <c r="QNH91" s="6"/>
      <c r="QNI91" s="6"/>
      <c r="QNJ91" s="6"/>
      <c r="QNK91" s="6"/>
      <c r="QNL91" s="6"/>
      <c r="QNM91" s="6"/>
      <c r="QNN91" s="6"/>
      <c r="QNO91" s="6"/>
      <c r="QNP91" s="6"/>
      <c r="QNQ91" s="6"/>
      <c r="QNR91" s="6"/>
      <c r="QNS91" s="6"/>
      <c r="QNT91" s="6"/>
      <c r="QNU91" s="6"/>
      <c r="QNV91" s="6"/>
      <c r="QNW91" s="6"/>
      <c r="QNX91" s="6"/>
      <c r="QNY91" s="6"/>
      <c r="QNZ91" s="6"/>
      <c r="QOA91" s="6"/>
      <c r="QOB91" s="6"/>
      <c r="QOC91" s="6"/>
      <c r="QOD91" s="6"/>
      <c r="QOE91" s="6"/>
      <c r="QOF91" s="6"/>
      <c r="QOG91" s="6"/>
      <c r="QOH91" s="6"/>
      <c r="QOI91" s="6"/>
      <c r="QOJ91" s="6"/>
      <c r="QOK91" s="6"/>
      <c r="QOL91" s="6"/>
      <c r="QOM91" s="6"/>
      <c r="QON91" s="6"/>
      <c r="QOO91" s="6"/>
      <c r="QOP91" s="6"/>
      <c r="QOQ91" s="6"/>
      <c r="QOR91" s="6"/>
      <c r="QOS91" s="6"/>
      <c r="QOT91" s="6"/>
      <c r="QOU91" s="6"/>
      <c r="QOV91" s="6"/>
      <c r="QOW91" s="6"/>
      <c r="QOX91" s="6"/>
      <c r="QOY91" s="6"/>
      <c r="QOZ91" s="6"/>
      <c r="QPA91" s="6"/>
      <c r="QPB91" s="6"/>
      <c r="QPC91" s="6"/>
      <c r="QPD91" s="6"/>
      <c r="QPE91" s="6"/>
      <c r="QPF91" s="6"/>
      <c r="QPG91" s="6"/>
      <c r="QPH91" s="6"/>
      <c r="QPI91" s="6"/>
      <c r="QPJ91" s="6"/>
      <c r="QPK91" s="6"/>
      <c r="QPL91" s="6"/>
      <c r="QPM91" s="6"/>
      <c r="QPN91" s="6"/>
      <c r="QPO91" s="6"/>
      <c r="QPP91" s="6"/>
      <c r="QPQ91" s="6"/>
      <c r="QPR91" s="6"/>
      <c r="QPS91" s="6"/>
      <c r="QPT91" s="6"/>
      <c r="QPU91" s="6"/>
      <c r="QPV91" s="6"/>
      <c r="QPW91" s="6"/>
      <c r="QPX91" s="6"/>
      <c r="QPY91" s="6"/>
      <c r="QPZ91" s="6"/>
      <c r="QQA91" s="6"/>
      <c r="QQB91" s="6"/>
      <c r="QQC91" s="6"/>
      <c r="QQD91" s="6"/>
      <c r="QQE91" s="6"/>
      <c r="QQF91" s="6"/>
      <c r="QQG91" s="6"/>
      <c r="QQH91" s="6"/>
      <c r="QQI91" s="6"/>
      <c r="QQJ91" s="6"/>
      <c r="QQK91" s="6"/>
      <c r="QQL91" s="6"/>
      <c r="QQM91" s="6"/>
      <c r="QQN91" s="6"/>
      <c r="QQO91" s="6"/>
      <c r="QQP91" s="6"/>
      <c r="QQQ91" s="6"/>
      <c r="QQR91" s="6"/>
      <c r="QQS91" s="6"/>
      <c r="QQT91" s="6"/>
      <c r="QQU91" s="6"/>
      <c r="QQV91" s="6"/>
      <c r="QQW91" s="6"/>
      <c r="QQX91" s="6"/>
      <c r="QQY91" s="6"/>
      <c r="QQZ91" s="6"/>
      <c r="QRA91" s="6"/>
      <c r="QRB91" s="6"/>
      <c r="QRC91" s="6"/>
      <c r="QRD91" s="6"/>
      <c r="QRE91" s="6"/>
      <c r="QRF91" s="6"/>
      <c r="QRG91" s="6"/>
      <c r="QRH91" s="6"/>
      <c r="QRI91" s="6"/>
      <c r="QRJ91" s="6"/>
      <c r="QRK91" s="6"/>
      <c r="QRL91" s="6"/>
      <c r="QRM91" s="6"/>
      <c r="QRN91" s="6"/>
      <c r="QRO91" s="6"/>
      <c r="QRP91" s="6"/>
      <c r="QRQ91" s="6"/>
      <c r="QRR91" s="6"/>
      <c r="QRS91" s="6"/>
      <c r="QRT91" s="6"/>
      <c r="QRU91" s="6"/>
      <c r="QRV91" s="6"/>
      <c r="QRW91" s="6"/>
      <c r="QRX91" s="6"/>
      <c r="QRY91" s="6"/>
      <c r="QRZ91" s="6"/>
      <c r="QSA91" s="6"/>
      <c r="QSB91" s="6"/>
      <c r="QSC91" s="6"/>
      <c r="QSD91" s="6"/>
      <c r="QSE91" s="6"/>
      <c r="QSF91" s="6"/>
      <c r="QSG91" s="6"/>
      <c r="QSH91" s="6"/>
      <c r="QSI91" s="6"/>
      <c r="QSJ91" s="6"/>
      <c r="QSK91" s="6"/>
      <c r="QSL91" s="6"/>
      <c r="QSM91" s="6"/>
      <c r="QSN91" s="6"/>
      <c r="QSO91" s="6"/>
      <c r="QSP91" s="6"/>
      <c r="QSQ91" s="6"/>
      <c r="QSR91" s="6"/>
      <c r="QSS91" s="6"/>
      <c r="QST91" s="6"/>
      <c r="QSU91" s="6"/>
      <c r="QSV91" s="6"/>
      <c r="QSW91" s="6"/>
      <c r="QSX91" s="6"/>
      <c r="QSY91" s="6"/>
      <c r="QSZ91" s="6"/>
      <c r="QTA91" s="6"/>
      <c r="QTB91" s="6"/>
      <c r="QTC91" s="6"/>
      <c r="QTD91" s="6"/>
      <c r="QTE91" s="6"/>
      <c r="QTF91" s="6"/>
      <c r="QTG91" s="6"/>
      <c r="QTH91" s="6"/>
      <c r="QTI91" s="6"/>
      <c r="QTJ91" s="6"/>
      <c r="QTK91" s="6"/>
      <c r="QTL91" s="6"/>
      <c r="QTM91" s="6"/>
      <c r="QTN91" s="6"/>
      <c r="QTO91" s="6"/>
      <c r="QTP91" s="6"/>
      <c r="QTQ91" s="6"/>
      <c r="QTR91" s="6"/>
      <c r="QTS91" s="6"/>
      <c r="QTT91" s="6"/>
      <c r="QTU91" s="6"/>
      <c r="QTV91" s="6"/>
      <c r="QTW91" s="6"/>
      <c r="QTX91" s="6"/>
      <c r="QTY91" s="6"/>
      <c r="QTZ91" s="6"/>
      <c r="QUA91" s="6"/>
      <c r="QUB91" s="6"/>
      <c r="QUC91" s="6"/>
      <c r="QUD91" s="6"/>
      <c r="QUE91" s="6"/>
      <c r="QUF91" s="6"/>
      <c r="QUG91" s="6"/>
      <c r="QUH91" s="6"/>
      <c r="QUI91" s="6"/>
      <c r="QUJ91" s="6"/>
      <c r="QUK91" s="6"/>
      <c r="QUL91" s="6"/>
      <c r="QUM91" s="6"/>
      <c r="QUN91" s="6"/>
      <c r="QUO91" s="6"/>
      <c r="QUP91" s="6"/>
      <c r="QUQ91" s="6"/>
      <c r="QUR91" s="6"/>
      <c r="QUS91" s="6"/>
      <c r="QUT91" s="6"/>
      <c r="QUU91" s="6"/>
      <c r="QUV91" s="6"/>
      <c r="QUW91" s="6"/>
      <c r="QUX91" s="6"/>
      <c r="QUY91" s="6"/>
      <c r="QUZ91" s="6"/>
      <c r="QVA91" s="6"/>
      <c r="QVB91" s="6"/>
      <c r="QVC91" s="6"/>
      <c r="QVD91" s="6"/>
      <c r="QVE91" s="6"/>
      <c r="QVF91" s="6"/>
      <c r="QVG91" s="6"/>
      <c r="QVH91" s="6"/>
      <c r="QVI91" s="6"/>
      <c r="QVJ91" s="6"/>
      <c r="QVK91" s="6"/>
      <c r="QVL91" s="6"/>
      <c r="QVM91" s="6"/>
      <c r="QVN91" s="6"/>
      <c r="QVO91" s="6"/>
      <c r="QVP91" s="6"/>
      <c r="QVQ91" s="6"/>
      <c r="QVR91" s="6"/>
      <c r="QVS91" s="6"/>
      <c r="QVT91" s="6"/>
      <c r="QVU91" s="6"/>
      <c r="QVV91" s="6"/>
      <c r="QVW91" s="6"/>
      <c r="QVX91" s="6"/>
      <c r="QVY91" s="6"/>
      <c r="QVZ91" s="6"/>
      <c r="QWA91" s="6"/>
      <c r="QWB91" s="6"/>
      <c r="QWC91" s="6"/>
      <c r="QWD91" s="6"/>
      <c r="QWE91" s="6"/>
      <c r="QWF91" s="6"/>
      <c r="QWG91" s="6"/>
      <c r="QWH91" s="6"/>
      <c r="QWI91" s="6"/>
      <c r="QWJ91" s="6"/>
      <c r="QWK91" s="6"/>
      <c r="QWL91" s="6"/>
      <c r="QWM91" s="6"/>
      <c r="QWN91" s="6"/>
      <c r="QWO91" s="6"/>
      <c r="QWP91" s="6"/>
      <c r="QWQ91" s="6"/>
      <c r="QWR91" s="6"/>
      <c r="QWS91" s="6"/>
      <c r="QWT91" s="6"/>
      <c r="QWU91" s="6"/>
      <c r="QWV91" s="6"/>
      <c r="QWW91" s="6"/>
      <c r="QWX91" s="6"/>
      <c r="QWY91" s="6"/>
      <c r="QWZ91" s="6"/>
      <c r="QXA91" s="6"/>
      <c r="QXB91" s="6"/>
      <c r="QXC91" s="6"/>
      <c r="QXD91" s="6"/>
      <c r="QXE91" s="6"/>
      <c r="QXF91" s="6"/>
      <c r="QXG91" s="6"/>
      <c r="QXH91" s="6"/>
      <c r="QXI91" s="6"/>
      <c r="QXJ91" s="6"/>
      <c r="QXK91" s="6"/>
      <c r="QXL91" s="6"/>
      <c r="QXM91" s="6"/>
      <c r="QXN91" s="6"/>
      <c r="QXO91" s="6"/>
      <c r="QXP91" s="6"/>
      <c r="QXQ91" s="6"/>
      <c r="QXR91" s="6"/>
      <c r="QXS91" s="6"/>
      <c r="QXT91" s="6"/>
      <c r="QXU91" s="6"/>
      <c r="QXV91" s="6"/>
      <c r="QXW91" s="6"/>
      <c r="QXX91" s="6"/>
      <c r="QXY91" s="6"/>
      <c r="QXZ91" s="6"/>
      <c r="QYA91" s="6"/>
      <c r="QYB91" s="6"/>
      <c r="QYC91" s="6"/>
      <c r="QYD91" s="6"/>
      <c r="QYE91" s="6"/>
      <c r="QYF91" s="6"/>
      <c r="QYG91" s="6"/>
      <c r="QYH91" s="6"/>
      <c r="QYI91" s="6"/>
      <c r="QYJ91" s="6"/>
      <c r="QYK91" s="6"/>
      <c r="QYL91" s="6"/>
      <c r="QYM91" s="6"/>
      <c r="QYN91" s="6"/>
      <c r="QYO91" s="6"/>
      <c r="QYP91" s="6"/>
      <c r="QYQ91" s="6"/>
      <c r="QYR91" s="6"/>
      <c r="QYS91" s="6"/>
      <c r="QYT91" s="6"/>
      <c r="QYU91" s="6"/>
      <c r="QYV91" s="6"/>
      <c r="QYW91" s="6"/>
      <c r="QYX91" s="6"/>
      <c r="QYY91" s="6"/>
      <c r="QYZ91" s="6"/>
      <c r="QZA91" s="6"/>
      <c r="QZB91" s="6"/>
      <c r="QZC91" s="6"/>
      <c r="QZD91" s="6"/>
      <c r="QZE91" s="6"/>
      <c r="QZF91" s="6"/>
      <c r="QZG91" s="6"/>
      <c r="QZH91" s="6"/>
      <c r="QZI91" s="6"/>
      <c r="QZJ91" s="6"/>
      <c r="QZK91" s="6"/>
      <c r="QZL91" s="6"/>
      <c r="QZM91" s="6"/>
      <c r="QZN91" s="6"/>
      <c r="QZO91" s="6"/>
      <c r="QZP91" s="6"/>
      <c r="QZQ91" s="6"/>
      <c r="QZR91" s="6"/>
      <c r="QZS91" s="6"/>
      <c r="QZT91" s="6"/>
      <c r="QZU91" s="6"/>
      <c r="QZV91" s="6"/>
      <c r="QZW91" s="6"/>
      <c r="QZX91" s="6"/>
      <c r="QZY91" s="6"/>
      <c r="QZZ91" s="6"/>
      <c r="RAA91" s="6"/>
      <c r="RAB91" s="6"/>
      <c r="RAC91" s="6"/>
      <c r="RAD91" s="6"/>
      <c r="RAE91" s="6"/>
      <c r="RAF91" s="6"/>
      <c r="RAG91" s="6"/>
      <c r="RAH91" s="6"/>
      <c r="RAI91" s="6"/>
      <c r="RAJ91" s="6"/>
      <c r="RAK91" s="6"/>
      <c r="RAL91" s="6"/>
      <c r="RAM91" s="6"/>
      <c r="RAN91" s="6"/>
      <c r="RAO91" s="6"/>
      <c r="RAP91" s="6"/>
      <c r="RAQ91" s="6"/>
      <c r="RAR91" s="6"/>
      <c r="RAS91" s="6"/>
      <c r="RAT91" s="6"/>
      <c r="RAU91" s="6"/>
      <c r="RAV91" s="6"/>
      <c r="RAW91" s="6"/>
      <c r="RAX91" s="6"/>
      <c r="RAY91" s="6"/>
      <c r="RAZ91" s="6"/>
      <c r="RBA91" s="6"/>
      <c r="RBB91" s="6"/>
      <c r="RBC91" s="6"/>
      <c r="RBD91" s="6"/>
      <c r="RBE91" s="6"/>
      <c r="RBF91" s="6"/>
      <c r="RBG91" s="6"/>
      <c r="RBH91" s="6"/>
      <c r="RBI91" s="6"/>
      <c r="RBJ91" s="6"/>
      <c r="RBK91" s="6"/>
      <c r="RBL91" s="6"/>
      <c r="RBM91" s="6"/>
      <c r="RBN91" s="6"/>
      <c r="RBO91" s="6"/>
      <c r="RBP91" s="6"/>
      <c r="RBQ91" s="6"/>
      <c r="RBR91" s="6"/>
      <c r="RBS91" s="6"/>
      <c r="RBT91" s="6"/>
      <c r="RBU91" s="6"/>
      <c r="RBV91" s="6"/>
      <c r="RBW91" s="6"/>
      <c r="RBX91" s="6"/>
      <c r="RBY91" s="6"/>
      <c r="RBZ91" s="6"/>
      <c r="RCA91" s="6"/>
      <c r="RCB91" s="6"/>
      <c r="RCC91" s="6"/>
      <c r="RCD91" s="6"/>
      <c r="RCE91" s="6"/>
      <c r="RCF91" s="6"/>
      <c r="RCG91" s="6"/>
      <c r="RCH91" s="6"/>
      <c r="RCI91" s="6"/>
      <c r="RCJ91" s="6"/>
      <c r="RCK91" s="6"/>
      <c r="RCL91" s="6"/>
      <c r="RCM91" s="6"/>
      <c r="RCN91" s="6"/>
      <c r="RCO91" s="6"/>
      <c r="RCP91" s="6"/>
      <c r="RCQ91" s="6"/>
      <c r="RCR91" s="6"/>
      <c r="RCS91" s="6"/>
      <c r="RCT91" s="6"/>
      <c r="RCU91" s="6"/>
      <c r="RCV91" s="6"/>
      <c r="RCW91" s="6"/>
      <c r="RCX91" s="6"/>
      <c r="RCY91" s="6"/>
      <c r="RCZ91" s="6"/>
      <c r="RDA91" s="6"/>
      <c r="RDB91" s="6"/>
      <c r="RDC91" s="6"/>
      <c r="RDD91" s="6"/>
      <c r="RDE91" s="6"/>
      <c r="RDF91" s="6"/>
      <c r="RDG91" s="6"/>
      <c r="RDH91" s="6"/>
      <c r="RDI91" s="6"/>
      <c r="RDJ91" s="6"/>
      <c r="RDK91" s="6"/>
      <c r="RDL91" s="6"/>
      <c r="RDM91" s="6"/>
      <c r="RDN91" s="6"/>
      <c r="RDO91" s="6"/>
      <c r="RDP91" s="6"/>
      <c r="RDQ91" s="6"/>
      <c r="RDR91" s="6"/>
      <c r="RDS91" s="6"/>
      <c r="RDT91" s="6"/>
      <c r="RDU91" s="6"/>
      <c r="RDV91" s="6"/>
      <c r="RDW91" s="6"/>
      <c r="RDX91" s="6"/>
      <c r="RDY91" s="6"/>
      <c r="RDZ91" s="6"/>
      <c r="REA91" s="6"/>
      <c r="REB91" s="6"/>
      <c r="REC91" s="6"/>
      <c r="RED91" s="6"/>
      <c r="REE91" s="6"/>
      <c r="REF91" s="6"/>
      <c r="REG91" s="6"/>
      <c r="REH91" s="6"/>
      <c r="REI91" s="6"/>
      <c r="REJ91" s="6"/>
      <c r="REK91" s="6"/>
      <c r="REL91" s="6"/>
      <c r="REM91" s="6"/>
      <c r="REN91" s="6"/>
      <c r="REO91" s="6"/>
      <c r="REP91" s="6"/>
      <c r="REQ91" s="6"/>
      <c r="RER91" s="6"/>
      <c r="RES91" s="6"/>
      <c r="RET91" s="6"/>
      <c r="REU91" s="6"/>
      <c r="REV91" s="6"/>
      <c r="REW91" s="6"/>
      <c r="REX91" s="6"/>
      <c r="REY91" s="6"/>
      <c r="REZ91" s="6"/>
      <c r="RFA91" s="6"/>
      <c r="RFB91" s="6"/>
      <c r="RFC91" s="6"/>
      <c r="RFD91" s="6"/>
      <c r="RFE91" s="6"/>
      <c r="RFF91" s="6"/>
      <c r="RFG91" s="6"/>
      <c r="RFH91" s="6"/>
      <c r="RFI91" s="6"/>
      <c r="RFJ91" s="6"/>
      <c r="RFK91" s="6"/>
      <c r="RFL91" s="6"/>
      <c r="RFM91" s="6"/>
      <c r="RFN91" s="6"/>
      <c r="RFO91" s="6"/>
      <c r="RFP91" s="6"/>
      <c r="RFQ91" s="6"/>
      <c r="RFR91" s="6"/>
      <c r="RFS91" s="6"/>
      <c r="RFT91" s="6"/>
      <c r="RFU91" s="6"/>
      <c r="RFV91" s="6"/>
      <c r="RFW91" s="6"/>
      <c r="RFX91" s="6"/>
      <c r="RFY91" s="6"/>
      <c r="RFZ91" s="6"/>
      <c r="RGA91" s="6"/>
      <c r="RGB91" s="6"/>
      <c r="RGC91" s="6"/>
      <c r="RGD91" s="6"/>
      <c r="RGE91" s="6"/>
      <c r="RGF91" s="6"/>
      <c r="RGG91" s="6"/>
      <c r="RGH91" s="6"/>
      <c r="RGI91" s="6"/>
      <c r="RGJ91" s="6"/>
      <c r="RGK91" s="6"/>
      <c r="RGL91" s="6"/>
      <c r="RGM91" s="6"/>
      <c r="RGN91" s="6"/>
      <c r="RGO91" s="6"/>
      <c r="RGP91" s="6"/>
      <c r="RGQ91" s="6"/>
      <c r="RGR91" s="6"/>
      <c r="RGS91" s="6"/>
      <c r="RGT91" s="6"/>
      <c r="RGU91" s="6"/>
      <c r="RGV91" s="6"/>
      <c r="RGW91" s="6"/>
      <c r="RGX91" s="6"/>
      <c r="RGY91" s="6"/>
      <c r="RGZ91" s="6"/>
      <c r="RHA91" s="6"/>
      <c r="RHB91" s="6"/>
      <c r="RHC91" s="6"/>
      <c r="RHD91" s="6"/>
      <c r="RHE91" s="6"/>
      <c r="RHF91" s="6"/>
      <c r="RHG91" s="6"/>
      <c r="RHH91" s="6"/>
      <c r="RHI91" s="6"/>
      <c r="RHJ91" s="6"/>
      <c r="RHK91" s="6"/>
      <c r="RHL91" s="6"/>
      <c r="RHM91" s="6"/>
      <c r="RHN91" s="6"/>
      <c r="RHO91" s="6"/>
      <c r="RHP91" s="6"/>
      <c r="RHQ91" s="6"/>
      <c r="RHR91" s="6"/>
      <c r="RHS91" s="6"/>
      <c r="RHT91" s="6"/>
      <c r="RHU91" s="6"/>
      <c r="RHV91" s="6"/>
      <c r="RHW91" s="6"/>
      <c r="RHX91" s="6"/>
      <c r="RHY91" s="6"/>
      <c r="RHZ91" s="6"/>
      <c r="RIA91" s="6"/>
      <c r="RIB91" s="6"/>
      <c r="RIC91" s="6"/>
      <c r="RID91" s="6"/>
      <c r="RIE91" s="6"/>
      <c r="RIF91" s="6"/>
      <c r="RIG91" s="6"/>
      <c r="RIH91" s="6"/>
      <c r="RII91" s="6"/>
      <c r="RIJ91" s="6"/>
      <c r="RIK91" s="6"/>
      <c r="RIL91" s="6"/>
      <c r="RIM91" s="6"/>
      <c r="RIN91" s="6"/>
      <c r="RIO91" s="6"/>
      <c r="RIP91" s="6"/>
      <c r="RIQ91" s="6"/>
      <c r="RIR91" s="6"/>
      <c r="RIS91" s="6"/>
      <c r="RIT91" s="6"/>
      <c r="RIU91" s="6"/>
      <c r="RIV91" s="6"/>
      <c r="RIW91" s="6"/>
      <c r="RIX91" s="6"/>
      <c r="RIY91" s="6"/>
      <c r="RIZ91" s="6"/>
      <c r="RJA91" s="6"/>
      <c r="RJB91" s="6"/>
      <c r="RJC91" s="6"/>
      <c r="RJD91" s="6"/>
      <c r="RJE91" s="6"/>
      <c r="RJF91" s="6"/>
      <c r="RJG91" s="6"/>
      <c r="RJH91" s="6"/>
      <c r="RJI91" s="6"/>
      <c r="RJJ91" s="6"/>
      <c r="RJK91" s="6"/>
      <c r="RJL91" s="6"/>
      <c r="RJM91" s="6"/>
      <c r="RJN91" s="6"/>
      <c r="RJO91" s="6"/>
      <c r="RJP91" s="6"/>
      <c r="RJQ91" s="6"/>
      <c r="RJR91" s="6"/>
      <c r="RJS91" s="6"/>
      <c r="RJT91" s="6"/>
      <c r="RJU91" s="6"/>
      <c r="RJV91" s="6"/>
      <c r="RJW91" s="6"/>
      <c r="RJX91" s="6"/>
      <c r="RJY91" s="6"/>
      <c r="RJZ91" s="6"/>
      <c r="RKA91" s="6"/>
      <c r="RKB91" s="6"/>
      <c r="RKC91" s="6"/>
      <c r="RKD91" s="6"/>
      <c r="RKE91" s="6"/>
      <c r="RKF91" s="6"/>
      <c r="RKG91" s="6"/>
      <c r="RKH91" s="6"/>
      <c r="RKI91" s="6"/>
      <c r="RKJ91" s="6"/>
      <c r="RKK91" s="6"/>
      <c r="RKL91" s="6"/>
      <c r="RKM91" s="6"/>
      <c r="RKN91" s="6"/>
      <c r="RKO91" s="6"/>
      <c r="RKP91" s="6"/>
      <c r="RKQ91" s="6"/>
      <c r="RKR91" s="6"/>
      <c r="RKS91" s="6"/>
      <c r="RKT91" s="6"/>
      <c r="RKU91" s="6"/>
      <c r="RKV91" s="6"/>
      <c r="RKW91" s="6"/>
      <c r="RKX91" s="6"/>
      <c r="RKY91" s="6"/>
      <c r="RKZ91" s="6"/>
      <c r="RLA91" s="6"/>
      <c r="RLB91" s="6"/>
      <c r="RLC91" s="6"/>
      <c r="RLD91" s="6"/>
      <c r="RLE91" s="6"/>
      <c r="RLF91" s="6"/>
      <c r="RLG91" s="6"/>
      <c r="RLH91" s="6"/>
      <c r="RLI91" s="6"/>
      <c r="RLJ91" s="6"/>
      <c r="RLK91" s="6"/>
      <c r="RLL91" s="6"/>
      <c r="RLM91" s="6"/>
      <c r="RLN91" s="6"/>
      <c r="RLO91" s="6"/>
      <c r="RLP91" s="6"/>
      <c r="RLQ91" s="6"/>
      <c r="RLR91" s="6"/>
      <c r="RLS91" s="6"/>
      <c r="RLT91" s="6"/>
      <c r="RLU91" s="6"/>
      <c r="RLV91" s="6"/>
      <c r="RLW91" s="6"/>
      <c r="RLX91" s="6"/>
      <c r="RLY91" s="6"/>
      <c r="RLZ91" s="6"/>
      <c r="RMA91" s="6"/>
      <c r="RMB91" s="6"/>
      <c r="RMC91" s="6"/>
      <c r="RMD91" s="6"/>
      <c r="RME91" s="6"/>
      <c r="RMF91" s="6"/>
      <c r="RMG91" s="6"/>
      <c r="RMH91" s="6"/>
      <c r="RMI91" s="6"/>
      <c r="RMJ91" s="6"/>
      <c r="RMK91" s="6"/>
      <c r="RML91" s="6"/>
      <c r="RMM91" s="6"/>
      <c r="RMN91" s="6"/>
      <c r="RMO91" s="6"/>
      <c r="RMP91" s="6"/>
      <c r="RMQ91" s="6"/>
      <c r="RMR91" s="6"/>
      <c r="RMS91" s="6"/>
      <c r="RMT91" s="6"/>
      <c r="RMU91" s="6"/>
      <c r="RMV91" s="6"/>
      <c r="RMW91" s="6"/>
      <c r="RMX91" s="6"/>
      <c r="RMY91" s="6"/>
      <c r="RMZ91" s="6"/>
      <c r="RNA91" s="6"/>
      <c r="RNB91" s="6"/>
      <c r="RNC91" s="6"/>
      <c r="RND91" s="6"/>
      <c r="RNE91" s="6"/>
      <c r="RNF91" s="6"/>
      <c r="RNG91" s="6"/>
      <c r="RNH91" s="6"/>
      <c r="RNI91" s="6"/>
      <c r="RNJ91" s="6"/>
      <c r="RNK91" s="6"/>
      <c r="RNL91" s="6"/>
      <c r="RNM91" s="6"/>
      <c r="RNN91" s="6"/>
      <c r="RNO91" s="6"/>
      <c r="RNP91" s="6"/>
      <c r="RNQ91" s="6"/>
      <c r="RNR91" s="6"/>
      <c r="RNS91" s="6"/>
      <c r="RNT91" s="6"/>
      <c r="RNU91" s="6"/>
      <c r="RNV91" s="6"/>
      <c r="RNW91" s="6"/>
      <c r="RNX91" s="6"/>
      <c r="RNY91" s="6"/>
      <c r="RNZ91" s="6"/>
      <c r="ROA91" s="6"/>
      <c r="ROB91" s="6"/>
      <c r="ROC91" s="6"/>
      <c r="ROD91" s="6"/>
      <c r="ROE91" s="6"/>
      <c r="ROF91" s="6"/>
      <c r="ROG91" s="6"/>
      <c r="ROH91" s="6"/>
      <c r="ROI91" s="6"/>
      <c r="ROJ91" s="6"/>
      <c r="ROK91" s="6"/>
      <c r="ROL91" s="6"/>
      <c r="ROM91" s="6"/>
      <c r="RON91" s="6"/>
      <c r="ROO91" s="6"/>
      <c r="ROP91" s="6"/>
      <c r="ROQ91" s="6"/>
      <c r="ROR91" s="6"/>
      <c r="ROS91" s="6"/>
      <c r="ROT91" s="6"/>
      <c r="ROU91" s="6"/>
      <c r="ROV91" s="6"/>
      <c r="ROW91" s="6"/>
      <c r="ROX91" s="6"/>
      <c r="ROY91" s="6"/>
      <c r="ROZ91" s="6"/>
      <c r="RPA91" s="6"/>
      <c r="RPB91" s="6"/>
      <c r="RPC91" s="6"/>
      <c r="RPD91" s="6"/>
      <c r="RPE91" s="6"/>
      <c r="RPF91" s="6"/>
      <c r="RPG91" s="6"/>
      <c r="RPH91" s="6"/>
      <c r="RPI91" s="6"/>
      <c r="RPJ91" s="6"/>
      <c r="RPK91" s="6"/>
      <c r="RPL91" s="6"/>
      <c r="RPM91" s="6"/>
      <c r="RPN91" s="6"/>
      <c r="RPO91" s="6"/>
      <c r="RPP91" s="6"/>
      <c r="RPQ91" s="6"/>
      <c r="RPR91" s="6"/>
      <c r="RPS91" s="6"/>
      <c r="RPT91" s="6"/>
      <c r="RPU91" s="6"/>
      <c r="RPV91" s="6"/>
      <c r="RPW91" s="6"/>
      <c r="RPX91" s="6"/>
      <c r="RPY91" s="6"/>
      <c r="RPZ91" s="6"/>
      <c r="RQA91" s="6"/>
      <c r="RQB91" s="6"/>
      <c r="RQC91" s="6"/>
      <c r="RQD91" s="6"/>
      <c r="RQE91" s="6"/>
      <c r="RQF91" s="6"/>
      <c r="RQG91" s="6"/>
      <c r="RQH91" s="6"/>
      <c r="RQI91" s="6"/>
      <c r="RQJ91" s="6"/>
      <c r="RQK91" s="6"/>
      <c r="RQL91" s="6"/>
      <c r="RQM91" s="6"/>
      <c r="RQN91" s="6"/>
      <c r="RQO91" s="6"/>
      <c r="RQP91" s="6"/>
      <c r="RQQ91" s="6"/>
      <c r="RQR91" s="6"/>
      <c r="RQS91" s="6"/>
      <c r="RQT91" s="6"/>
      <c r="RQU91" s="6"/>
      <c r="RQV91" s="6"/>
      <c r="RQW91" s="6"/>
      <c r="RQX91" s="6"/>
      <c r="RQY91" s="6"/>
      <c r="RQZ91" s="6"/>
      <c r="RRA91" s="6"/>
      <c r="RRB91" s="6"/>
      <c r="RRC91" s="6"/>
      <c r="RRD91" s="6"/>
      <c r="RRE91" s="6"/>
      <c r="RRF91" s="6"/>
      <c r="RRG91" s="6"/>
      <c r="RRH91" s="6"/>
      <c r="RRI91" s="6"/>
      <c r="RRJ91" s="6"/>
      <c r="RRK91" s="6"/>
      <c r="RRL91" s="6"/>
      <c r="RRM91" s="6"/>
      <c r="RRN91" s="6"/>
      <c r="RRO91" s="6"/>
      <c r="RRP91" s="6"/>
      <c r="RRQ91" s="6"/>
      <c r="RRR91" s="6"/>
      <c r="RRS91" s="6"/>
      <c r="RRT91" s="6"/>
      <c r="RRU91" s="6"/>
      <c r="RRV91" s="6"/>
      <c r="RRW91" s="6"/>
      <c r="RRX91" s="6"/>
      <c r="RRY91" s="6"/>
      <c r="RRZ91" s="6"/>
      <c r="RSA91" s="6"/>
      <c r="RSB91" s="6"/>
      <c r="RSC91" s="6"/>
      <c r="RSD91" s="6"/>
      <c r="RSE91" s="6"/>
      <c r="RSF91" s="6"/>
      <c r="RSG91" s="6"/>
      <c r="RSH91" s="6"/>
      <c r="RSI91" s="6"/>
      <c r="RSJ91" s="6"/>
      <c r="RSK91" s="6"/>
      <c r="RSL91" s="6"/>
      <c r="RSM91" s="6"/>
      <c r="RSN91" s="6"/>
      <c r="RSO91" s="6"/>
      <c r="RSP91" s="6"/>
      <c r="RSQ91" s="6"/>
      <c r="RSR91" s="6"/>
      <c r="RSS91" s="6"/>
      <c r="RST91" s="6"/>
      <c r="RSU91" s="6"/>
      <c r="RSV91" s="6"/>
      <c r="RSW91" s="6"/>
      <c r="RSX91" s="6"/>
      <c r="RSY91" s="6"/>
      <c r="RSZ91" s="6"/>
      <c r="RTA91" s="6"/>
      <c r="RTB91" s="6"/>
      <c r="RTC91" s="6"/>
      <c r="RTD91" s="6"/>
      <c r="RTE91" s="6"/>
      <c r="RTF91" s="6"/>
      <c r="RTG91" s="6"/>
      <c r="RTH91" s="6"/>
      <c r="RTI91" s="6"/>
      <c r="RTJ91" s="6"/>
      <c r="RTK91" s="6"/>
      <c r="RTL91" s="6"/>
      <c r="RTM91" s="6"/>
      <c r="RTN91" s="6"/>
      <c r="RTO91" s="6"/>
      <c r="RTP91" s="6"/>
      <c r="RTQ91" s="6"/>
      <c r="RTR91" s="6"/>
      <c r="RTS91" s="6"/>
      <c r="RTT91" s="6"/>
      <c r="RTU91" s="6"/>
      <c r="RTV91" s="6"/>
      <c r="RTW91" s="6"/>
      <c r="RTX91" s="6"/>
      <c r="RTY91" s="6"/>
      <c r="RTZ91" s="6"/>
      <c r="RUA91" s="6"/>
      <c r="RUB91" s="6"/>
      <c r="RUC91" s="6"/>
      <c r="RUD91" s="6"/>
      <c r="RUE91" s="6"/>
      <c r="RUF91" s="6"/>
      <c r="RUG91" s="6"/>
      <c r="RUH91" s="6"/>
      <c r="RUI91" s="6"/>
      <c r="RUJ91" s="6"/>
      <c r="RUK91" s="6"/>
      <c r="RUL91" s="6"/>
      <c r="RUM91" s="6"/>
      <c r="RUN91" s="6"/>
      <c r="RUO91" s="6"/>
      <c r="RUP91" s="6"/>
      <c r="RUQ91" s="6"/>
      <c r="RUR91" s="6"/>
      <c r="RUS91" s="6"/>
      <c r="RUT91" s="6"/>
      <c r="RUU91" s="6"/>
      <c r="RUV91" s="6"/>
      <c r="RUW91" s="6"/>
      <c r="RUX91" s="6"/>
      <c r="RUY91" s="6"/>
      <c r="RUZ91" s="6"/>
      <c r="RVA91" s="6"/>
      <c r="RVB91" s="6"/>
      <c r="RVC91" s="6"/>
      <c r="RVD91" s="6"/>
      <c r="RVE91" s="6"/>
      <c r="RVF91" s="6"/>
      <c r="RVG91" s="6"/>
      <c r="RVH91" s="6"/>
      <c r="RVI91" s="6"/>
      <c r="RVJ91" s="6"/>
      <c r="RVK91" s="6"/>
      <c r="RVL91" s="6"/>
      <c r="RVM91" s="6"/>
      <c r="RVN91" s="6"/>
      <c r="RVO91" s="6"/>
      <c r="RVP91" s="6"/>
      <c r="RVQ91" s="6"/>
      <c r="RVR91" s="6"/>
      <c r="RVS91" s="6"/>
      <c r="RVT91" s="6"/>
      <c r="RVU91" s="6"/>
      <c r="RVV91" s="6"/>
      <c r="RVW91" s="6"/>
      <c r="RVX91" s="6"/>
      <c r="RVY91" s="6"/>
      <c r="RVZ91" s="6"/>
      <c r="RWA91" s="6"/>
      <c r="RWB91" s="6"/>
      <c r="RWC91" s="6"/>
      <c r="RWD91" s="6"/>
      <c r="RWE91" s="6"/>
      <c r="RWF91" s="6"/>
      <c r="RWG91" s="6"/>
      <c r="RWH91" s="6"/>
      <c r="RWI91" s="6"/>
      <c r="RWJ91" s="6"/>
      <c r="RWK91" s="6"/>
      <c r="RWL91" s="6"/>
      <c r="RWM91" s="6"/>
      <c r="RWN91" s="6"/>
      <c r="RWO91" s="6"/>
      <c r="RWP91" s="6"/>
      <c r="RWQ91" s="6"/>
      <c r="RWR91" s="6"/>
      <c r="RWS91" s="6"/>
      <c r="RWT91" s="6"/>
      <c r="RWU91" s="6"/>
      <c r="RWV91" s="6"/>
      <c r="RWW91" s="6"/>
      <c r="RWX91" s="6"/>
      <c r="RWY91" s="6"/>
      <c r="RWZ91" s="6"/>
      <c r="RXA91" s="6"/>
      <c r="RXB91" s="6"/>
      <c r="RXC91" s="6"/>
      <c r="RXD91" s="6"/>
      <c r="RXE91" s="6"/>
      <c r="RXF91" s="6"/>
      <c r="RXG91" s="6"/>
      <c r="RXH91" s="6"/>
      <c r="RXI91" s="6"/>
      <c r="RXJ91" s="6"/>
      <c r="RXK91" s="6"/>
      <c r="RXL91" s="6"/>
      <c r="RXM91" s="6"/>
      <c r="RXN91" s="6"/>
      <c r="RXO91" s="6"/>
      <c r="RXP91" s="6"/>
      <c r="RXQ91" s="6"/>
      <c r="RXR91" s="6"/>
      <c r="RXS91" s="6"/>
      <c r="RXT91" s="6"/>
      <c r="RXU91" s="6"/>
      <c r="RXV91" s="6"/>
      <c r="RXW91" s="6"/>
      <c r="RXX91" s="6"/>
      <c r="RXY91" s="6"/>
      <c r="RXZ91" s="6"/>
      <c r="RYA91" s="6"/>
      <c r="RYB91" s="6"/>
      <c r="RYC91" s="6"/>
      <c r="RYD91" s="6"/>
      <c r="RYE91" s="6"/>
      <c r="RYF91" s="6"/>
      <c r="RYG91" s="6"/>
      <c r="RYH91" s="6"/>
      <c r="RYI91" s="6"/>
      <c r="RYJ91" s="6"/>
      <c r="RYK91" s="6"/>
      <c r="RYL91" s="6"/>
      <c r="RYM91" s="6"/>
      <c r="RYN91" s="6"/>
      <c r="RYO91" s="6"/>
      <c r="RYP91" s="6"/>
      <c r="RYQ91" s="6"/>
      <c r="RYR91" s="6"/>
      <c r="RYS91" s="6"/>
      <c r="RYT91" s="6"/>
      <c r="RYU91" s="6"/>
      <c r="RYV91" s="6"/>
      <c r="RYW91" s="6"/>
      <c r="RYX91" s="6"/>
      <c r="RYY91" s="6"/>
      <c r="RYZ91" s="6"/>
      <c r="RZA91" s="6"/>
      <c r="RZB91" s="6"/>
      <c r="RZC91" s="6"/>
      <c r="RZD91" s="6"/>
      <c r="RZE91" s="6"/>
      <c r="RZF91" s="6"/>
      <c r="RZG91" s="6"/>
      <c r="RZH91" s="6"/>
      <c r="RZI91" s="6"/>
      <c r="RZJ91" s="6"/>
      <c r="RZK91" s="6"/>
      <c r="RZL91" s="6"/>
      <c r="RZM91" s="6"/>
      <c r="RZN91" s="6"/>
      <c r="RZO91" s="6"/>
      <c r="RZP91" s="6"/>
      <c r="RZQ91" s="6"/>
      <c r="RZR91" s="6"/>
      <c r="RZS91" s="6"/>
      <c r="RZT91" s="6"/>
      <c r="RZU91" s="6"/>
      <c r="RZV91" s="6"/>
      <c r="RZW91" s="6"/>
      <c r="RZX91" s="6"/>
      <c r="RZY91" s="6"/>
      <c r="RZZ91" s="6"/>
      <c r="SAA91" s="6"/>
      <c r="SAB91" s="6"/>
      <c r="SAC91" s="6"/>
      <c r="SAD91" s="6"/>
      <c r="SAE91" s="6"/>
      <c r="SAF91" s="6"/>
      <c r="SAG91" s="6"/>
      <c r="SAH91" s="6"/>
      <c r="SAI91" s="6"/>
      <c r="SAJ91" s="6"/>
      <c r="SAK91" s="6"/>
      <c r="SAL91" s="6"/>
      <c r="SAM91" s="6"/>
      <c r="SAN91" s="6"/>
      <c r="SAO91" s="6"/>
      <c r="SAP91" s="6"/>
      <c r="SAQ91" s="6"/>
      <c r="SAR91" s="6"/>
      <c r="SAS91" s="6"/>
      <c r="SAT91" s="6"/>
      <c r="SAU91" s="6"/>
      <c r="SAV91" s="6"/>
      <c r="SAW91" s="6"/>
      <c r="SAX91" s="6"/>
      <c r="SAY91" s="6"/>
      <c r="SAZ91" s="6"/>
      <c r="SBA91" s="6"/>
      <c r="SBB91" s="6"/>
      <c r="SBC91" s="6"/>
      <c r="SBD91" s="6"/>
      <c r="SBE91" s="6"/>
      <c r="SBF91" s="6"/>
      <c r="SBG91" s="6"/>
      <c r="SBH91" s="6"/>
      <c r="SBI91" s="6"/>
      <c r="SBJ91" s="6"/>
      <c r="SBK91" s="6"/>
      <c r="SBL91" s="6"/>
      <c r="SBM91" s="6"/>
      <c r="SBN91" s="6"/>
      <c r="SBO91" s="6"/>
      <c r="SBP91" s="6"/>
      <c r="SBQ91" s="6"/>
      <c r="SBR91" s="6"/>
      <c r="SBS91" s="6"/>
      <c r="SBT91" s="6"/>
      <c r="SBU91" s="6"/>
      <c r="SBV91" s="6"/>
      <c r="SBW91" s="6"/>
      <c r="SBX91" s="6"/>
      <c r="SBY91" s="6"/>
      <c r="SBZ91" s="6"/>
      <c r="SCA91" s="6"/>
      <c r="SCB91" s="6"/>
      <c r="SCC91" s="6"/>
      <c r="SCD91" s="6"/>
      <c r="SCE91" s="6"/>
      <c r="SCF91" s="6"/>
      <c r="SCG91" s="6"/>
      <c r="SCH91" s="6"/>
      <c r="SCI91" s="6"/>
      <c r="SCJ91" s="6"/>
      <c r="SCK91" s="6"/>
      <c r="SCL91" s="6"/>
      <c r="SCM91" s="6"/>
      <c r="SCN91" s="6"/>
      <c r="SCO91" s="6"/>
      <c r="SCP91" s="6"/>
      <c r="SCQ91" s="6"/>
      <c r="SCR91" s="6"/>
      <c r="SCS91" s="6"/>
      <c r="SCT91" s="6"/>
      <c r="SCU91" s="6"/>
      <c r="SCV91" s="6"/>
      <c r="SCW91" s="6"/>
      <c r="SCX91" s="6"/>
      <c r="SCY91" s="6"/>
      <c r="SCZ91" s="6"/>
      <c r="SDA91" s="6"/>
      <c r="SDB91" s="6"/>
      <c r="SDC91" s="6"/>
      <c r="SDD91" s="6"/>
      <c r="SDE91" s="6"/>
      <c r="SDF91" s="6"/>
      <c r="SDG91" s="6"/>
      <c r="SDH91" s="6"/>
      <c r="SDI91" s="6"/>
      <c r="SDJ91" s="6"/>
      <c r="SDK91" s="6"/>
      <c r="SDL91" s="6"/>
      <c r="SDM91" s="6"/>
      <c r="SDN91" s="6"/>
      <c r="SDO91" s="6"/>
      <c r="SDP91" s="6"/>
      <c r="SDQ91" s="6"/>
      <c r="SDR91" s="6"/>
      <c r="SDS91" s="6"/>
      <c r="SDT91" s="6"/>
      <c r="SDU91" s="6"/>
      <c r="SDV91" s="6"/>
      <c r="SDW91" s="6"/>
      <c r="SDX91" s="6"/>
      <c r="SDY91" s="6"/>
      <c r="SDZ91" s="6"/>
      <c r="SEA91" s="6"/>
      <c r="SEB91" s="6"/>
      <c r="SEC91" s="6"/>
      <c r="SED91" s="6"/>
      <c r="SEE91" s="6"/>
      <c r="SEF91" s="6"/>
      <c r="SEG91" s="6"/>
      <c r="SEH91" s="6"/>
      <c r="SEI91" s="6"/>
      <c r="SEJ91" s="6"/>
      <c r="SEK91" s="6"/>
      <c r="SEL91" s="6"/>
      <c r="SEM91" s="6"/>
      <c r="SEN91" s="6"/>
      <c r="SEO91" s="6"/>
      <c r="SEP91" s="6"/>
      <c r="SEQ91" s="6"/>
      <c r="SER91" s="6"/>
      <c r="SES91" s="6"/>
      <c r="SET91" s="6"/>
      <c r="SEU91" s="6"/>
      <c r="SEV91" s="6"/>
      <c r="SEW91" s="6"/>
      <c r="SEX91" s="6"/>
      <c r="SEY91" s="6"/>
      <c r="SEZ91" s="6"/>
      <c r="SFA91" s="6"/>
      <c r="SFB91" s="6"/>
      <c r="SFC91" s="6"/>
      <c r="SFD91" s="6"/>
      <c r="SFE91" s="6"/>
      <c r="SFF91" s="6"/>
      <c r="SFG91" s="6"/>
      <c r="SFH91" s="6"/>
      <c r="SFI91" s="6"/>
      <c r="SFJ91" s="6"/>
      <c r="SFK91" s="6"/>
      <c r="SFL91" s="6"/>
      <c r="SFM91" s="6"/>
      <c r="SFN91" s="6"/>
      <c r="SFO91" s="6"/>
      <c r="SFP91" s="6"/>
      <c r="SFQ91" s="6"/>
      <c r="SFR91" s="6"/>
      <c r="SFS91" s="6"/>
      <c r="SFT91" s="6"/>
      <c r="SFU91" s="6"/>
      <c r="SFV91" s="6"/>
      <c r="SFW91" s="6"/>
      <c r="SFX91" s="6"/>
      <c r="SFY91" s="6"/>
      <c r="SFZ91" s="6"/>
      <c r="SGA91" s="6"/>
      <c r="SGB91" s="6"/>
      <c r="SGC91" s="6"/>
      <c r="SGD91" s="6"/>
      <c r="SGE91" s="6"/>
      <c r="SGF91" s="6"/>
      <c r="SGG91" s="6"/>
      <c r="SGH91" s="6"/>
      <c r="SGI91" s="6"/>
      <c r="SGJ91" s="6"/>
      <c r="SGK91" s="6"/>
      <c r="SGL91" s="6"/>
      <c r="SGM91" s="6"/>
      <c r="SGN91" s="6"/>
      <c r="SGO91" s="6"/>
      <c r="SGP91" s="6"/>
      <c r="SGQ91" s="6"/>
      <c r="SGR91" s="6"/>
      <c r="SGS91" s="6"/>
      <c r="SGT91" s="6"/>
      <c r="SGU91" s="6"/>
      <c r="SGV91" s="6"/>
      <c r="SGW91" s="6"/>
      <c r="SGX91" s="6"/>
      <c r="SGY91" s="6"/>
      <c r="SGZ91" s="6"/>
      <c r="SHA91" s="6"/>
      <c r="SHB91" s="6"/>
      <c r="SHC91" s="6"/>
      <c r="SHD91" s="6"/>
      <c r="SHE91" s="6"/>
      <c r="SHF91" s="6"/>
      <c r="SHG91" s="6"/>
      <c r="SHH91" s="6"/>
      <c r="SHI91" s="6"/>
      <c r="SHJ91" s="6"/>
      <c r="SHK91" s="6"/>
      <c r="SHL91" s="6"/>
      <c r="SHM91" s="6"/>
      <c r="SHN91" s="6"/>
      <c r="SHO91" s="6"/>
      <c r="SHP91" s="6"/>
      <c r="SHQ91" s="6"/>
      <c r="SHR91" s="6"/>
      <c r="SHS91" s="6"/>
      <c r="SHT91" s="6"/>
      <c r="SHU91" s="6"/>
      <c r="SHV91" s="6"/>
      <c r="SHW91" s="6"/>
      <c r="SHX91" s="6"/>
      <c r="SHY91" s="6"/>
      <c r="SHZ91" s="6"/>
      <c r="SIA91" s="6"/>
      <c r="SIB91" s="6"/>
      <c r="SIC91" s="6"/>
      <c r="SID91" s="6"/>
      <c r="SIE91" s="6"/>
      <c r="SIF91" s="6"/>
      <c r="SIG91" s="6"/>
      <c r="SIH91" s="6"/>
      <c r="SII91" s="6"/>
      <c r="SIJ91" s="6"/>
      <c r="SIK91" s="6"/>
      <c r="SIL91" s="6"/>
      <c r="SIM91" s="6"/>
      <c r="SIN91" s="6"/>
      <c r="SIO91" s="6"/>
      <c r="SIP91" s="6"/>
      <c r="SIQ91" s="6"/>
      <c r="SIR91" s="6"/>
      <c r="SIS91" s="6"/>
      <c r="SIT91" s="6"/>
      <c r="SIU91" s="6"/>
      <c r="SIV91" s="6"/>
      <c r="SIW91" s="6"/>
      <c r="SIX91" s="6"/>
      <c r="SIY91" s="6"/>
      <c r="SIZ91" s="6"/>
      <c r="SJA91" s="6"/>
      <c r="SJB91" s="6"/>
      <c r="SJC91" s="6"/>
      <c r="SJD91" s="6"/>
      <c r="SJE91" s="6"/>
      <c r="SJF91" s="6"/>
      <c r="SJG91" s="6"/>
      <c r="SJH91" s="6"/>
      <c r="SJI91" s="6"/>
      <c r="SJJ91" s="6"/>
      <c r="SJK91" s="6"/>
      <c r="SJL91" s="6"/>
      <c r="SJM91" s="6"/>
      <c r="SJN91" s="6"/>
      <c r="SJO91" s="6"/>
      <c r="SJP91" s="6"/>
      <c r="SJQ91" s="6"/>
      <c r="SJR91" s="6"/>
      <c r="SJS91" s="6"/>
      <c r="SJT91" s="6"/>
      <c r="SJU91" s="6"/>
      <c r="SJV91" s="6"/>
      <c r="SJW91" s="6"/>
      <c r="SJX91" s="6"/>
      <c r="SJY91" s="6"/>
      <c r="SJZ91" s="6"/>
      <c r="SKA91" s="6"/>
      <c r="SKB91" s="6"/>
      <c r="SKC91" s="6"/>
      <c r="SKD91" s="6"/>
      <c r="SKE91" s="6"/>
      <c r="SKF91" s="6"/>
      <c r="SKG91" s="6"/>
      <c r="SKH91" s="6"/>
      <c r="SKI91" s="6"/>
      <c r="SKJ91" s="6"/>
      <c r="SKK91" s="6"/>
      <c r="SKL91" s="6"/>
      <c r="SKM91" s="6"/>
      <c r="SKN91" s="6"/>
      <c r="SKO91" s="6"/>
      <c r="SKP91" s="6"/>
      <c r="SKQ91" s="6"/>
      <c r="SKR91" s="6"/>
      <c r="SKS91" s="6"/>
      <c r="SKT91" s="6"/>
      <c r="SKU91" s="6"/>
      <c r="SKV91" s="6"/>
      <c r="SKW91" s="6"/>
      <c r="SKX91" s="6"/>
      <c r="SKY91" s="6"/>
      <c r="SKZ91" s="6"/>
      <c r="SLA91" s="6"/>
      <c r="SLB91" s="6"/>
      <c r="SLC91" s="6"/>
      <c r="SLD91" s="6"/>
      <c r="SLE91" s="6"/>
      <c r="SLF91" s="6"/>
      <c r="SLG91" s="6"/>
      <c r="SLH91" s="6"/>
      <c r="SLI91" s="6"/>
      <c r="SLJ91" s="6"/>
      <c r="SLK91" s="6"/>
      <c r="SLL91" s="6"/>
      <c r="SLM91" s="6"/>
      <c r="SLN91" s="6"/>
      <c r="SLO91" s="6"/>
      <c r="SLP91" s="6"/>
      <c r="SLQ91" s="6"/>
      <c r="SLR91" s="6"/>
      <c r="SLS91" s="6"/>
      <c r="SLT91" s="6"/>
      <c r="SLU91" s="6"/>
      <c r="SLV91" s="6"/>
      <c r="SLW91" s="6"/>
      <c r="SLX91" s="6"/>
      <c r="SLY91" s="6"/>
      <c r="SLZ91" s="6"/>
      <c r="SMA91" s="6"/>
      <c r="SMB91" s="6"/>
      <c r="SMC91" s="6"/>
      <c r="SMD91" s="6"/>
      <c r="SME91" s="6"/>
      <c r="SMF91" s="6"/>
      <c r="SMG91" s="6"/>
      <c r="SMH91" s="6"/>
      <c r="SMI91" s="6"/>
      <c r="SMJ91" s="6"/>
      <c r="SMK91" s="6"/>
      <c r="SML91" s="6"/>
      <c r="SMM91" s="6"/>
      <c r="SMN91" s="6"/>
      <c r="SMO91" s="6"/>
      <c r="SMP91" s="6"/>
      <c r="SMQ91" s="6"/>
      <c r="SMR91" s="6"/>
      <c r="SMS91" s="6"/>
      <c r="SMT91" s="6"/>
      <c r="SMU91" s="6"/>
      <c r="SMV91" s="6"/>
      <c r="SMW91" s="6"/>
      <c r="SMX91" s="6"/>
      <c r="SMY91" s="6"/>
      <c r="SMZ91" s="6"/>
      <c r="SNA91" s="6"/>
      <c r="SNB91" s="6"/>
      <c r="SNC91" s="6"/>
      <c r="SND91" s="6"/>
      <c r="SNE91" s="6"/>
      <c r="SNF91" s="6"/>
      <c r="SNG91" s="6"/>
      <c r="SNH91" s="6"/>
      <c r="SNI91" s="6"/>
      <c r="SNJ91" s="6"/>
      <c r="SNK91" s="6"/>
      <c r="SNL91" s="6"/>
      <c r="SNM91" s="6"/>
      <c r="SNN91" s="6"/>
      <c r="SNO91" s="6"/>
      <c r="SNP91" s="6"/>
      <c r="SNQ91" s="6"/>
      <c r="SNR91" s="6"/>
      <c r="SNS91" s="6"/>
      <c r="SNT91" s="6"/>
      <c r="SNU91" s="6"/>
      <c r="SNV91" s="6"/>
      <c r="SNW91" s="6"/>
      <c r="SNX91" s="6"/>
      <c r="SNY91" s="6"/>
      <c r="SNZ91" s="6"/>
      <c r="SOA91" s="6"/>
      <c r="SOB91" s="6"/>
      <c r="SOC91" s="6"/>
      <c r="SOD91" s="6"/>
      <c r="SOE91" s="6"/>
      <c r="SOF91" s="6"/>
      <c r="SOG91" s="6"/>
      <c r="SOH91" s="6"/>
      <c r="SOI91" s="6"/>
      <c r="SOJ91" s="6"/>
      <c r="SOK91" s="6"/>
      <c r="SOL91" s="6"/>
      <c r="SOM91" s="6"/>
      <c r="SON91" s="6"/>
      <c r="SOO91" s="6"/>
      <c r="SOP91" s="6"/>
      <c r="SOQ91" s="6"/>
      <c r="SOR91" s="6"/>
      <c r="SOS91" s="6"/>
      <c r="SOT91" s="6"/>
      <c r="SOU91" s="6"/>
      <c r="SOV91" s="6"/>
      <c r="SOW91" s="6"/>
      <c r="SOX91" s="6"/>
      <c r="SOY91" s="6"/>
      <c r="SOZ91" s="6"/>
      <c r="SPA91" s="6"/>
      <c r="SPB91" s="6"/>
      <c r="SPC91" s="6"/>
      <c r="SPD91" s="6"/>
      <c r="SPE91" s="6"/>
      <c r="SPF91" s="6"/>
      <c r="SPG91" s="6"/>
      <c r="SPH91" s="6"/>
      <c r="SPI91" s="6"/>
      <c r="SPJ91" s="6"/>
      <c r="SPK91" s="6"/>
      <c r="SPL91" s="6"/>
      <c r="SPM91" s="6"/>
      <c r="SPN91" s="6"/>
      <c r="SPO91" s="6"/>
      <c r="SPP91" s="6"/>
      <c r="SPQ91" s="6"/>
      <c r="SPR91" s="6"/>
      <c r="SPS91" s="6"/>
      <c r="SPT91" s="6"/>
      <c r="SPU91" s="6"/>
      <c r="SPV91" s="6"/>
      <c r="SPW91" s="6"/>
      <c r="SPX91" s="6"/>
      <c r="SPY91" s="6"/>
      <c r="SPZ91" s="6"/>
      <c r="SQA91" s="6"/>
      <c r="SQB91" s="6"/>
      <c r="SQC91" s="6"/>
      <c r="SQD91" s="6"/>
      <c r="SQE91" s="6"/>
      <c r="SQF91" s="6"/>
      <c r="SQG91" s="6"/>
      <c r="SQH91" s="6"/>
      <c r="SQI91" s="6"/>
      <c r="SQJ91" s="6"/>
      <c r="SQK91" s="6"/>
      <c r="SQL91" s="6"/>
      <c r="SQM91" s="6"/>
      <c r="SQN91" s="6"/>
      <c r="SQO91" s="6"/>
      <c r="SQP91" s="6"/>
      <c r="SQQ91" s="6"/>
      <c r="SQR91" s="6"/>
      <c r="SQS91" s="6"/>
      <c r="SQT91" s="6"/>
      <c r="SQU91" s="6"/>
      <c r="SQV91" s="6"/>
      <c r="SQW91" s="6"/>
      <c r="SQX91" s="6"/>
      <c r="SQY91" s="6"/>
      <c r="SQZ91" s="6"/>
      <c r="SRA91" s="6"/>
      <c r="SRB91" s="6"/>
      <c r="SRC91" s="6"/>
      <c r="SRD91" s="6"/>
      <c r="SRE91" s="6"/>
      <c r="SRF91" s="6"/>
      <c r="SRG91" s="6"/>
      <c r="SRH91" s="6"/>
      <c r="SRI91" s="6"/>
      <c r="SRJ91" s="6"/>
      <c r="SRK91" s="6"/>
      <c r="SRL91" s="6"/>
      <c r="SRM91" s="6"/>
      <c r="SRN91" s="6"/>
      <c r="SRO91" s="6"/>
      <c r="SRP91" s="6"/>
      <c r="SRQ91" s="6"/>
      <c r="SRR91" s="6"/>
      <c r="SRS91" s="6"/>
      <c r="SRT91" s="6"/>
      <c r="SRU91" s="6"/>
      <c r="SRV91" s="6"/>
      <c r="SRW91" s="6"/>
      <c r="SRX91" s="6"/>
      <c r="SRY91" s="6"/>
      <c r="SRZ91" s="6"/>
      <c r="SSA91" s="6"/>
      <c r="SSB91" s="6"/>
      <c r="SSC91" s="6"/>
      <c r="SSD91" s="6"/>
      <c r="SSE91" s="6"/>
      <c r="SSF91" s="6"/>
      <c r="SSG91" s="6"/>
      <c r="SSH91" s="6"/>
      <c r="SSI91" s="6"/>
      <c r="SSJ91" s="6"/>
      <c r="SSK91" s="6"/>
      <c r="SSL91" s="6"/>
      <c r="SSM91" s="6"/>
      <c r="SSN91" s="6"/>
      <c r="SSO91" s="6"/>
      <c r="SSP91" s="6"/>
      <c r="SSQ91" s="6"/>
      <c r="SSR91" s="6"/>
      <c r="SSS91" s="6"/>
      <c r="SST91" s="6"/>
      <c r="SSU91" s="6"/>
      <c r="SSV91" s="6"/>
      <c r="SSW91" s="6"/>
      <c r="SSX91" s="6"/>
      <c r="SSY91" s="6"/>
      <c r="SSZ91" s="6"/>
      <c r="STA91" s="6"/>
      <c r="STB91" s="6"/>
      <c r="STC91" s="6"/>
      <c r="STD91" s="6"/>
      <c r="STE91" s="6"/>
      <c r="STF91" s="6"/>
      <c r="STG91" s="6"/>
      <c r="STH91" s="6"/>
      <c r="STI91" s="6"/>
      <c r="STJ91" s="6"/>
      <c r="STK91" s="6"/>
      <c r="STL91" s="6"/>
      <c r="STM91" s="6"/>
      <c r="STN91" s="6"/>
      <c r="STO91" s="6"/>
      <c r="STP91" s="6"/>
      <c r="STQ91" s="6"/>
      <c r="STR91" s="6"/>
      <c r="STS91" s="6"/>
      <c r="STT91" s="6"/>
      <c r="STU91" s="6"/>
      <c r="STV91" s="6"/>
      <c r="STW91" s="6"/>
      <c r="STX91" s="6"/>
      <c r="STY91" s="6"/>
      <c r="STZ91" s="6"/>
      <c r="SUA91" s="6"/>
      <c r="SUB91" s="6"/>
      <c r="SUC91" s="6"/>
      <c r="SUD91" s="6"/>
      <c r="SUE91" s="6"/>
      <c r="SUF91" s="6"/>
      <c r="SUG91" s="6"/>
      <c r="SUH91" s="6"/>
      <c r="SUI91" s="6"/>
      <c r="SUJ91" s="6"/>
      <c r="SUK91" s="6"/>
      <c r="SUL91" s="6"/>
      <c r="SUM91" s="6"/>
      <c r="SUN91" s="6"/>
      <c r="SUO91" s="6"/>
      <c r="SUP91" s="6"/>
      <c r="SUQ91" s="6"/>
      <c r="SUR91" s="6"/>
      <c r="SUS91" s="6"/>
      <c r="SUT91" s="6"/>
      <c r="SUU91" s="6"/>
      <c r="SUV91" s="6"/>
      <c r="SUW91" s="6"/>
      <c r="SUX91" s="6"/>
      <c r="SUY91" s="6"/>
      <c r="SUZ91" s="6"/>
      <c r="SVA91" s="6"/>
      <c r="SVB91" s="6"/>
      <c r="SVC91" s="6"/>
      <c r="SVD91" s="6"/>
      <c r="SVE91" s="6"/>
      <c r="SVF91" s="6"/>
      <c r="SVG91" s="6"/>
      <c r="SVH91" s="6"/>
      <c r="SVI91" s="6"/>
      <c r="SVJ91" s="6"/>
      <c r="SVK91" s="6"/>
      <c r="SVL91" s="6"/>
      <c r="SVM91" s="6"/>
      <c r="SVN91" s="6"/>
      <c r="SVO91" s="6"/>
      <c r="SVP91" s="6"/>
      <c r="SVQ91" s="6"/>
      <c r="SVR91" s="6"/>
      <c r="SVS91" s="6"/>
      <c r="SVT91" s="6"/>
      <c r="SVU91" s="6"/>
      <c r="SVV91" s="6"/>
      <c r="SVW91" s="6"/>
      <c r="SVX91" s="6"/>
      <c r="SVY91" s="6"/>
      <c r="SVZ91" s="6"/>
      <c r="SWA91" s="6"/>
      <c r="SWB91" s="6"/>
      <c r="SWC91" s="6"/>
      <c r="SWD91" s="6"/>
      <c r="SWE91" s="6"/>
      <c r="SWF91" s="6"/>
      <c r="SWG91" s="6"/>
      <c r="SWH91" s="6"/>
      <c r="SWI91" s="6"/>
      <c r="SWJ91" s="6"/>
      <c r="SWK91" s="6"/>
      <c r="SWL91" s="6"/>
      <c r="SWM91" s="6"/>
      <c r="SWN91" s="6"/>
      <c r="SWO91" s="6"/>
      <c r="SWP91" s="6"/>
      <c r="SWQ91" s="6"/>
      <c r="SWR91" s="6"/>
      <c r="SWS91" s="6"/>
      <c r="SWT91" s="6"/>
      <c r="SWU91" s="6"/>
      <c r="SWV91" s="6"/>
      <c r="SWW91" s="6"/>
      <c r="SWX91" s="6"/>
      <c r="SWY91" s="6"/>
      <c r="SWZ91" s="6"/>
      <c r="SXA91" s="6"/>
      <c r="SXB91" s="6"/>
      <c r="SXC91" s="6"/>
      <c r="SXD91" s="6"/>
      <c r="SXE91" s="6"/>
      <c r="SXF91" s="6"/>
      <c r="SXG91" s="6"/>
      <c r="SXH91" s="6"/>
      <c r="SXI91" s="6"/>
      <c r="SXJ91" s="6"/>
      <c r="SXK91" s="6"/>
      <c r="SXL91" s="6"/>
      <c r="SXM91" s="6"/>
      <c r="SXN91" s="6"/>
      <c r="SXO91" s="6"/>
      <c r="SXP91" s="6"/>
      <c r="SXQ91" s="6"/>
      <c r="SXR91" s="6"/>
      <c r="SXS91" s="6"/>
      <c r="SXT91" s="6"/>
      <c r="SXU91" s="6"/>
      <c r="SXV91" s="6"/>
      <c r="SXW91" s="6"/>
      <c r="SXX91" s="6"/>
      <c r="SXY91" s="6"/>
      <c r="SXZ91" s="6"/>
      <c r="SYA91" s="6"/>
      <c r="SYB91" s="6"/>
      <c r="SYC91" s="6"/>
      <c r="SYD91" s="6"/>
      <c r="SYE91" s="6"/>
      <c r="SYF91" s="6"/>
      <c r="SYG91" s="6"/>
      <c r="SYH91" s="6"/>
      <c r="SYI91" s="6"/>
      <c r="SYJ91" s="6"/>
      <c r="SYK91" s="6"/>
      <c r="SYL91" s="6"/>
      <c r="SYM91" s="6"/>
      <c r="SYN91" s="6"/>
      <c r="SYO91" s="6"/>
      <c r="SYP91" s="6"/>
      <c r="SYQ91" s="6"/>
      <c r="SYR91" s="6"/>
      <c r="SYS91" s="6"/>
      <c r="SYT91" s="6"/>
      <c r="SYU91" s="6"/>
      <c r="SYV91" s="6"/>
      <c r="SYW91" s="6"/>
      <c r="SYX91" s="6"/>
      <c r="SYY91" s="6"/>
      <c r="SYZ91" s="6"/>
      <c r="SZA91" s="6"/>
      <c r="SZB91" s="6"/>
      <c r="SZC91" s="6"/>
      <c r="SZD91" s="6"/>
      <c r="SZE91" s="6"/>
      <c r="SZF91" s="6"/>
      <c r="SZG91" s="6"/>
      <c r="SZH91" s="6"/>
      <c r="SZI91" s="6"/>
      <c r="SZJ91" s="6"/>
      <c r="SZK91" s="6"/>
      <c r="SZL91" s="6"/>
      <c r="SZM91" s="6"/>
      <c r="SZN91" s="6"/>
      <c r="SZO91" s="6"/>
      <c r="SZP91" s="6"/>
      <c r="SZQ91" s="6"/>
      <c r="SZR91" s="6"/>
      <c r="SZS91" s="6"/>
      <c r="SZT91" s="6"/>
      <c r="SZU91" s="6"/>
      <c r="SZV91" s="6"/>
      <c r="SZW91" s="6"/>
      <c r="SZX91" s="6"/>
      <c r="SZY91" s="6"/>
      <c r="SZZ91" s="6"/>
      <c r="TAA91" s="6"/>
      <c r="TAB91" s="6"/>
      <c r="TAC91" s="6"/>
      <c r="TAD91" s="6"/>
      <c r="TAE91" s="6"/>
      <c r="TAF91" s="6"/>
      <c r="TAG91" s="6"/>
      <c r="TAH91" s="6"/>
      <c r="TAI91" s="6"/>
      <c r="TAJ91" s="6"/>
      <c r="TAK91" s="6"/>
      <c r="TAL91" s="6"/>
      <c r="TAM91" s="6"/>
      <c r="TAN91" s="6"/>
      <c r="TAO91" s="6"/>
      <c r="TAP91" s="6"/>
      <c r="TAQ91" s="6"/>
      <c r="TAR91" s="6"/>
      <c r="TAS91" s="6"/>
      <c r="TAT91" s="6"/>
      <c r="TAU91" s="6"/>
      <c r="TAV91" s="6"/>
      <c r="TAW91" s="6"/>
      <c r="TAX91" s="6"/>
      <c r="TAY91" s="6"/>
      <c r="TAZ91" s="6"/>
      <c r="TBA91" s="6"/>
      <c r="TBB91" s="6"/>
      <c r="TBC91" s="6"/>
      <c r="TBD91" s="6"/>
      <c r="TBE91" s="6"/>
      <c r="TBF91" s="6"/>
      <c r="TBG91" s="6"/>
      <c r="TBH91" s="6"/>
      <c r="TBI91" s="6"/>
      <c r="TBJ91" s="6"/>
      <c r="TBK91" s="6"/>
      <c r="TBL91" s="6"/>
      <c r="TBM91" s="6"/>
      <c r="TBN91" s="6"/>
      <c r="TBO91" s="6"/>
      <c r="TBP91" s="6"/>
      <c r="TBQ91" s="6"/>
      <c r="TBR91" s="6"/>
      <c r="TBS91" s="6"/>
      <c r="TBT91" s="6"/>
      <c r="TBU91" s="6"/>
      <c r="TBV91" s="6"/>
      <c r="TBW91" s="6"/>
      <c r="TBX91" s="6"/>
      <c r="TBY91" s="6"/>
      <c r="TBZ91" s="6"/>
      <c r="TCA91" s="6"/>
      <c r="TCB91" s="6"/>
      <c r="TCC91" s="6"/>
      <c r="TCD91" s="6"/>
      <c r="TCE91" s="6"/>
      <c r="TCF91" s="6"/>
      <c r="TCG91" s="6"/>
      <c r="TCH91" s="6"/>
      <c r="TCI91" s="6"/>
      <c r="TCJ91" s="6"/>
      <c r="TCK91" s="6"/>
      <c r="TCL91" s="6"/>
      <c r="TCM91" s="6"/>
      <c r="TCN91" s="6"/>
      <c r="TCO91" s="6"/>
      <c r="TCP91" s="6"/>
      <c r="TCQ91" s="6"/>
      <c r="TCR91" s="6"/>
      <c r="TCS91" s="6"/>
      <c r="TCT91" s="6"/>
      <c r="TCU91" s="6"/>
      <c r="TCV91" s="6"/>
      <c r="TCW91" s="6"/>
      <c r="TCX91" s="6"/>
      <c r="TCY91" s="6"/>
      <c r="TCZ91" s="6"/>
      <c r="TDA91" s="6"/>
      <c r="TDB91" s="6"/>
      <c r="TDC91" s="6"/>
      <c r="TDD91" s="6"/>
      <c r="TDE91" s="6"/>
      <c r="TDF91" s="6"/>
      <c r="TDG91" s="6"/>
      <c r="TDH91" s="6"/>
      <c r="TDI91" s="6"/>
      <c r="TDJ91" s="6"/>
      <c r="TDK91" s="6"/>
      <c r="TDL91" s="6"/>
      <c r="TDM91" s="6"/>
      <c r="TDN91" s="6"/>
      <c r="TDO91" s="6"/>
      <c r="TDP91" s="6"/>
      <c r="TDQ91" s="6"/>
      <c r="TDR91" s="6"/>
      <c r="TDS91" s="6"/>
      <c r="TDT91" s="6"/>
      <c r="TDU91" s="6"/>
      <c r="TDV91" s="6"/>
      <c r="TDW91" s="6"/>
      <c r="TDX91" s="6"/>
      <c r="TDY91" s="6"/>
      <c r="TDZ91" s="6"/>
      <c r="TEA91" s="6"/>
      <c r="TEB91" s="6"/>
      <c r="TEC91" s="6"/>
      <c r="TED91" s="6"/>
      <c r="TEE91" s="6"/>
      <c r="TEF91" s="6"/>
      <c r="TEG91" s="6"/>
      <c r="TEH91" s="6"/>
      <c r="TEI91" s="6"/>
      <c r="TEJ91" s="6"/>
      <c r="TEK91" s="6"/>
      <c r="TEL91" s="6"/>
      <c r="TEM91" s="6"/>
      <c r="TEN91" s="6"/>
      <c r="TEO91" s="6"/>
      <c r="TEP91" s="6"/>
      <c r="TEQ91" s="6"/>
      <c r="TER91" s="6"/>
      <c r="TES91" s="6"/>
      <c r="TET91" s="6"/>
      <c r="TEU91" s="6"/>
      <c r="TEV91" s="6"/>
      <c r="TEW91" s="6"/>
      <c r="TEX91" s="6"/>
      <c r="TEY91" s="6"/>
      <c r="TEZ91" s="6"/>
      <c r="TFA91" s="6"/>
      <c r="TFB91" s="6"/>
      <c r="TFC91" s="6"/>
      <c r="TFD91" s="6"/>
      <c r="TFE91" s="6"/>
      <c r="TFF91" s="6"/>
      <c r="TFG91" s="6"/>
      <c r="TFH91" s="6"/>
      <c r="TFI91" s="6"/>
      <c r="TFJ91" s="6"/>
      <c r="TFK91" s="6"/>
      <c r="TFL91" s="6"/>
      <c r="TFM91" s="6"/>
      <c r="TFN91" s="6"/>
      <c r="TFO91" s="6"/>
      <c r="TFP91" s="6"/>
      <c r="TFQ91" s="6"/>
      <c r="TFR91" s="6"/>
      <c r="TFS91" s="6"/>
      <c r="TFT91" s="6"/>
      <c r="TFU91" s="6"/>
      <c r="TFV91" s="6"/>
      <c r="TFW91" s="6"/>
      <c r="TFX91" s="6"/>
      <c r="TFY91" s="6"/>
      <c r="TFZ91" s="6"/>
      <c r="TGA91" s="6"/>
      <c r="TGB91" s="6"/>
      <c r="TGC91" s="6"/>
      <c r="TGD91" s="6"/>
      <c r="TGE91" s="6"/>
      <c r="TGF91" s="6"/>
      <c r="TGG91" s="6"/>
      <c r="TGH91" s="6"/>
      <c r="TGI91" s="6"/>
      <c r="TGJ91" s="6"/>
      <c r="TGK91" s="6"/>
      <c r="TGL91" s="6"/>
      <c r="TGM91" s="6"/>
      <c r="TGN91" s="6"/>
      <c r="TGO91" s="6"/>
      <c r="TGP91" s="6"/>
      <c r="TGQ91" s="6"/>
      <c r="TGR91" s="6"/>
      <c r="TGS91" s="6"/>
      <c r="TGT91" s="6"/>
      <c r="TGU91" s="6"/>
      <c r="TGV91" s="6"/>
      <c r="TGW91" s="6"/>
      <c r="TGX91" s="6"/>
      <c r="TGY91" s="6"/>
      <c r="TGZ91" s="6"/>
      <c r="THA91" s="6"/>
      <c r="THB91" s="6"/>
      <c r="THC91" s="6"/>
      <c r="THD91" s="6"/>
      <c r="THE91" s="6"/>
      <c r="THF91" s="6"/>
      <c r="THG91" s="6"/>
      <c r="THH91" s="6"/>
      <c r="THI91" s="6"/>
      <c r="THJ91" s="6"/>
      <c r="THK91" s="6"/>
      <c r="THL91" s="6"/>
      <c r="THM91" s="6"/>
      <c r="THN91" s="6"/>
      <c r="THO91" s="6"/>
      <c r="THP91" s="6"/>
      <c r="THQ91" s="6"/>
      <c r="THR91" s="6"/>
      <c r="THS91" s="6"/>
      <c r="THT91" s="6"/>
      <c r="THU91" s="6"/>
      <c r="THV91" s="6"/>
      <c r="THW91" s="6"/>
      <c r="THX91" s="6"/>
      <c r="THY91" s="6"/>
      <c r="THZ91" s="6"/>
      <c r="TIA91" s="6"/>
      <c r="TIB91" s="6"/>
      <c r="TIC91" s="6"/>
      <c r="TID91" s="6"/>
      <c r="TIE91" s="6"/>
      <c r="TIF91" s="6"/>
      <c r="TIG91" s="6"/>
      <c r="TIH91" s="6"/>
      <c r="TII91" s="6"/>
      <c r="TIJ91" s="6"/>
      <c r="TIK91" s="6"/>
      <c r="TIL91" s="6"/>
      <c r="TIM91" s="6"/>
      <c r="TIN91" s="6"/>
      <c r="TIO91" s="6"/>
      <c r="TIP91" s="6"/>
      <c r="TIQ91" s="6"/>
      <c r="TIR91" s="6"/>
      <c r="TIS91" s="6"/>
      <c r="TIT91" s="6"/>
      <c r="TIU91" s="6"/>
      <c r="TIV91" s="6"/>
      <c r="TIW91" s="6"/>
      <c r="TIX91" s="6"/>
      <c r="TIY91" s="6"/>
      <c r="TIZ91" s="6"/>
      <c r="TJA91" s="6"/>
      <c r="TJB91" s="6"/>
      <c r="TJC91" s="6"/>
      <c r="TJD91" s="6"/>
      <c r="TJE91" s="6"/>
      <c r="TJF91" s="6"/>
      <c r="TJG91" s="6"/>
      <c r="TJH91" s="6"/>
      <c r="TJI91" s="6"/>
      <c r="TJJ91" s="6"/>
      <c r="TJK91" s="6"/>
      <c r="TJL91" s="6"/>
      <c r="TJM91" s="6"/>
      <c r="TJN91" s="6"/>
      <c r="TJO91" s="6"/>
      <c r="TJP91" s="6"/>
      <c r="TJQ91" s="6"/>
      <c r="TJR91" s="6"/>
      <c r="TJS91" s="6"/>
      <c r="TJT91" s="6"/>
      <c r="TJU91" s="6"/>
      <c r="TJV91" s="6"/>
      <c r="TJW91" s="6"/>
      <c r="TJX91" s="6"/>
      <c r="TJY91" s="6"/>
      <c r="TJZ91" s="6"/>
      <c r="TKA91" s="6"/>
      <c r="TKB91" s="6"/>
      <c r="TKC91" s="6"/>
      <c r="TKD91" s="6"/>
      <c r="TKE91" s="6"/>
      <c r="TKF91" s="6"/>
      <c r="TKG91" s="6"/>
      <c r="TKH91" s="6"/>
      <c r="TKI91" s="6"/>
      <c r="TKJ91" s="6"/>
      <c r="TKK91" s="6"/>
      <c r="TKL91" s="6"/>
      <c r="TKM91" s="6"/>
      <c r="TKN91" s="6"/>
      <c r="TKO91" s="6"/>
      <c r="TKP91" s="6"/>
      <c r="TKQ91" s="6"/>
      <c r="TKR91" s="6"/>
      <c r="TKS91" s="6"/>
      <c r="TKT91" s="6"/>
      <c r="TKU91" s="6"/>
      <c r="TKV91" s="6"/>
      <c r="TKW91" s="6"/>
      <c r="TKX91" s="6"/>
      <c r="TKY91" s="6"/>
      <c r="TKZ91" s="6"/>
      <c r="TLA91" s="6"/>
      <c r="TLB91" s="6"/>
      <c r="TLC91" s="6"/>
      <c r="TLD91" s="6"/>
      <c r="TLE91" s="6"/>
      <c r="TLF91" s="6"/>
      <c r="TLG91" s="6"/>
      <c r="TLH91" s="6"/>
      <c r="TLI91" s="6"/>
      <c r="TLJ91" s="6"/>
      <c r="TLK91" s="6"/>
      <c r="TLL91" s="6"/>
      <c r="TLM91" s="6"/>
      <c r="TLN91" s="6"/>
      <c r="TLO91" s="6"/>
      <c r="TLP91" s="6"/>
      <c r="TLQ91" s="6"/>
      <c r="TLR91" s="6"/>
      <c r="TLS91" s="6"/>
      <c r="TLT91" s="6"/>
      <c r="TLU91" s="6"/>
      <c r="TLV91" s="6"/>
      <c r="TLW91" s="6"/>
      <c r="TLX91" s="6"/>
      <c r="TLY91" s="6"/>
      <c r="TLZ91" s="6"/>
      <c r="TMA91" s="6"/>
      <c r="TMB91" s="6"/>
      <c r="TMC91" s="6"/>
      <c r="TMD91" s="6"/>
      <c r="TME91" s="6"/>
      <c r="TMF91" s="6"/>
      <c r="TMG91" s="6"/>
      <c r="TMH91" s="6"/>
      <c r="TMI91" s="6"/>
      <c r="TMJ91" s="6"/>
      <c r="TMK91" s="6"/>
      <c r="TML91" s="6"/>
      <c r="TMM91" s="6"/>
      <c r="TMN91" s="6"/>
      <c r="TMO91" s="6"/>
      <c r="TMP91" s="6"/>
      <c r="TMQ91" s="6"/>
      <c r="TMR91" s="6"/>
      <c r="TMS91" s="6"/>
      <c r="TMT91" s="6"/>
      <c r="TMU91" s="6"/>
      <c r="TMV91" s="6"/>
      <c r="TMW91" s="6"/>
      <c r="TMX91" s="6"/>
      <c r="TMY91" s="6"/>
      <c r="TMZ91" s="6"/>
      <c r="TNA91" s="6"/>
      <c r="TNB91" s="6"/>
      <c r="TNC91" s="6"/>
      <c r="TND91" s="6"/>
      <c r="TNE91" s="6"/>
      <c r="TNF91" s="6"/>
      <c r="TNG91" s="6"/>
      <c r="TNH91" s="6"/>
      <c r="TNI91" s="6"/>
      <c r="TNJ91" s="6"/>
      <c r="TNK91" s="6"/>
      <c r="TNL91" s="6"/>
      <c r="TNM91" s="6"/>
      <c r="TNN91" s="6"/>
      <c r="TNO91" s="6"/>
      <c r="TNP91" s="6"/>
      <c r="TNQ91" s="6"/>
      <c r="TNR91" s="6"/>
      <c r="TNS91" s="6"/>
      <c r="TNT91" s="6"/>
      <c r="TNU91" s="6"/>
      <c r="TNV91" s="6"/>
      <c r="TNW91" s="6"/>
      <c r="TNX91" s="6"/>
      <c r="TNY91" s="6"/>
      <c r="TNZ91" s="6"/>
      <c r="TOA91" s="6"/>
      <c r="TOB91" s="6"/>
      <c r="TOC91" s="6"/>
      <c r="TOD91" s="6"/>
      <c r="TOE91" s="6"/>
      <c r="TOF91" s="6"/>
      <c r="TOG91" s="6"/>
      <c r="TOH91" s="6"/>
      <c r="TOI91" s="6"/>
      <c r="TOJ91" s="6"/>
      <c r="TOK91" s="6"/>
      <c r="TOL91" s="6"/>
      <c r="TOM91" s="6"/>
      <c r="TON91" s="6"/>
      <c r="TOO91" s="6"/>
      <c r="TOP91" s="6"/>
      <c r="TOQ91" s="6"/>
      <c r="TOR91" s="6"/>
      <c r="TOS91" s="6"/>
      <c r="TOT91" s="6"/>
      <c r="TOU91" s="6"/>
      <c r="TOV91" s="6"/>
      <c r="TOW91" s="6"/>
      <c r="TOX91" s="6"/>
      <c r="TOY91" s="6"/>
      <c r="TOZ91" s="6"/>
      <c r="TPA91" s="6"/>
      <c r="TPB91" s="6"/>
      <c r="TPC91" s="6"/>
      <c r="TPD91" s="6"/>
      <c r="TPE91" s="6"/>
      <c r="TPF91" s="6"/>
      <c r="TPG91" s="6"/>
      <c r="TPH91" s="6"/>
      <c r="TPI91" s="6"/>
      <c r="TPJ91" s="6"/>
      <c r="TPK91" s="6"/>
      <c r="TPL91" s="6"/>
      <c r="TPM91" s="6"/>
      <c r="TPN91" s="6"/>
      <c r="TPO91" s="6"/>
      <c r="TPP91" s="6"/>
      <c r="TPQ91" s="6"/>
      <c r="TPR91" s="6"/>
      <c r="TPS91" s="6"/>
      <c r="TPT91" s="6"/>
      <c r="TPU91" s="6"/>
      <c r="TPV91" s="6"/>
      <c r="TPW91" s="6"/>
      <c r="TPX91" s="6"/>
      <c r="TPY91" s="6"/>
      <c r="TPZ91" s="6"/>
      <c r="TQA91" s="6"/>
      <c r="TQB91" s="6"/>
      <c r="TQC91" s="6"/>
      <c r="TQD91" s="6"/>
      <c r="TQE91" s="6"/>
      <c r="TQF91" s="6"/>
      <c r="TQG91" s="6"/>
      <c r="TQH91" s="6"/>
      <c r="TQI91" s="6"/>
      <c r="TQJ91" s="6"/>
      <c r="TQK91" s="6"/>
      <c r="TQL91" s="6"/>
      <c r="TQM91" s="6"/>
      <c r="TQN91" s="6"/>
      <c r="TQO91" s="6"/>
      <c r="TQP91" s="6"/>
      <c r="TQQ91" s="6"/>
      <c r="TQR91" s="6"/>
      <c r="TQS91" s="6"/>
      <c r="TQT91" s="6"/>
      <c r="TQU91" s="6"/>
      <c r="TQV91" s="6"/>
      <c r="TQW91" s="6"/>
      <c r="TQX91" s="6"/>
      <c r="TQY91" s="6"/>
      <c r="TQZ91" s="6"/>
      <c r="TRA91" s="6"/>
      <c r="TRB91" s="6"/>
      <c r="TRC91" s="6"/>
      <c r="TRD91" s="6"/>
      <c r="TRE91" s="6"/>
      <c r="TRF91" s="6"/>
      <c r="TRG91" s="6"/>
      <c r="TRH91" s="6"/>
      <c r="TRI91" s="6"/>
      <c r="TRJ91" s="6"/>
      <c r="TRK91" s="6"/>
      <c r="TRL91" s="6"/>
      <c r="TRM91" s="6"/>
      <c r="TRN91" s="6"/>
      <c r="TRO91" s="6"/>
      <c r="TRP91" s="6"/>
      <c r="TRQ91" s="6"/>
      <c r="TRR91" s="6"/>
      <c r="TRS91" s="6"/>
      <c r="TRT91" s="6"/>
      <c r="TRU91" s="6"/>
      <c r="TRV91" s="6"/>
      <c r="TRW91" s="6"/>
      <c r="TRX91" s="6"/>
      <c r="TRY91" s="6"/>
      <c r="TRZ91" s="6"/>
      <c r="TSA91" s="6"/>
      <c r="TSB91" s="6"/>
      <c r="TSC91" s="6"/>
      <c r="TSD91" s="6"/>
      <c r="TSE91" s="6"/>
      <c r="TSF91" s="6"/>
      <c r="TSG91" s="6"/>
      <c r="TSH91" s="6"/>
      <c r="TSI91" s="6"/>
      <c r="TSJ91" s="6"/>
      <c r="TSK91" s="6"/>
      <c r="TSL91" s="6"/>
      <c r="TSM91" s="6"/>
      <c r="TSN91" s="6"/>
      <c r="TSO91" s="6"/>
      <c r="TSP91" s="6"/>
      <c r="TSQ91" s="6"/>
      <c r="TSR91" s="6"/>
      <c r="TSS91" s="6"/>
      <c r="TST91" s="6"/>
      <c r="TSU91" s="6"/>
      <c r="TSV91" s="6"/>
      <c r="TSW91" s="6"/>
      <c r="TSX91" s="6"/>
      <c r="TSY91" s="6"/>
      <c r="TSZ91" s="6"/>
      <c r="TTA91" s="6"/>
      <c r="TTB91" s="6"/>
      <c r="TTC91" s="6"/>
      <c r="TTD91" s="6"/>
      <c r="TTE91" s="6"/>
      <c r="TTF91" s="6"/>
      <c r="TTG91" s="6"/>
      <c r="TTH91" s="6"/>
      <c r="TTI91" s="6"/>
      <c r="TTJ91" s="6"/>
      <c r="TTK91" s="6"/>
      <c r="TTL91" s="6"/>
      <c r="TTM91" s="6"/>
      <c r="TTN91" s="6"/>
      <c r="TTO91" s="6"/>
      <c r="TTP91" s="6"/>
      <c r="TTQ91" s="6"/>
      <c r="TTR91" s="6"/>
      <c r="TTS91" s="6"/>
      <c r="TTT91" s="6"/>
      <c r="TTU91" s="6"/>
      <c r="TTV91" s="6"/>
      <c r="TTW91" s="6"/>
      <c r="TTX91" s="6"/>
      <c r="TTY91" s="6"/>
      <c r="TTZ91" s="6"/>
      <c r="TUA91" s="6"/>
      <c r="TUB91" s="6"/>
      <c r="TUC91" s="6"/>
      <c r="TUD91" s="6"/>
      <c r="TUE91" s="6"/>
      <c r="TUF91" s="6"/>
      <c r="TUG91" s="6"/>
      <c r="TUH91" s="6"/>
      <c r="TUI91" s="6"/>
      <c r="TUJ91" s="6"/>
      <c r="TUK91" s="6"/>
      <c r="TUL91" s="6"/>
      <c r="TUM91" s="6"/>
      <c r="TUN91" s="6"/>
      <c r="TUO91" s="6"/>
      <c r="TUP91" s="6"/>
      <c r="TUQ91" s="6"/>
      <c r="TUR91" s="6"/>
      <c r="TUS91" s="6"/>
      <c r="TUT91" s="6"/>
      <c r="TUU91" s="6"/>
      <c r="TUV91" s="6"/>
      <c r="TUW91" s="6"/>
      <c r="TUX91" s="6"/>
      <c r="TUY91" s="6"/>
      <c r="TUZ91" s="6"/>
      <c r="TVA91" s="6"/>
      <c r="TVB91" s="6"/>
      <c r="TVC91" s="6"/>
      <c r="TVD91" s="6"/>
      <c r="TVE91" s="6"/>
      <c r="TVF91" s="6"/>
      <c r="TVG91" s="6"/>
      <c r="TVH91" s="6"/>
      <c r="TVI91" s="6"/>
      <c r="TVJ91" s="6"/>
      <c r="TVK91" s="6"/>
      <c r="TVL91" s="6"/>
      <c r="TVM91" s="6"/>
      <c r="TVN91" s="6"/>
      <c r="TVO91" s="6"/>
      <c r="TVP91" s="6"/>
      <c r="TVQ91" s="6"/>
      <c r="TVR91" s="6"/>
      <c r="TVS91" s="6"/>
      <c r="TVT91" s="6"/>
      <c r="TVU91" s="6"/>
      <c r="TVV91" s="6"/>
      <c r="TVW91" s="6"/>
      <c r="TVX91" s="6"/>
      <c r="TVY91" s="6"/>
      <c r="TVZ91" s="6"/>
      <c r="TWA91" s="6"/>
      <c r="TWB91" s="6"/>
      <c r="TWC91" s="6"/>
      <c r="TWD91" s="6"/>
      <c r="TWE91" s="6"/>
      <c r="TWF91" s="6"/>
      <c r="TWG91" s="6"/>
      <c r="TWH91" s="6"/>
      <c r="TWI91" s="6"/>
      <c r="TWJ91" s="6"/>
      <c r="TWK91" s="6"/>
      <c r="TWL91" s="6"/>
      <c r="TWM91" s="6"/>
      <c r="TWN91" s="6"/>
      <c r="TWO91" s="6"/>
      <c r="TWP91" s="6"/>
      <c r="TWQ91" s="6"/>
      <c r="TWR91" s="6"/>
      <c r="TWS91" s="6"/>
      <c r="TWT91" s="6"/>
      <c r="TWU91" s="6"/>
      <c r="TWV91" s="6"/>
      <c r="TWW91" s="6"/>
      <c r="TWX91" s="6"/>
      <c r="TWY91" s="6"/>
      <c r="TWZ91" s="6"/>
      <c r="TXA91" s="6"/>
      <c r="TXB91" s="6"/>
      <c r="TXC91" s="6"/>
      <c r="TXD91" s="6"/>
      <c r="TXE91" s="6"/>
      <c r="TXF91" s="6"/>
      <c r="TXG91" s="6"/>
      <c r="TXH91" s="6"/>
      <c r="TXI91" s="6"/>
      <c r="TXJ91" s="6"/>
      <c r="TXK91" s="6"/>
      <c r="TXL91" s="6"/>
      <c r="TXM91" s="6"/>
      <c r="TXN91" s="6"/>
      <c r="TXO91" s="6"/>
      <c r="TXP91" s="6"/>
      <c r="TXQ91" s="6"/>
      <c r="TXR91" s="6"/>
      <c r="TXS91" s="6"/>
      <c r="TXT91" s="6"/>
      <c r="TXU91" s="6"/>
      <c r="TXV91" s="6"/>
      <c r="TXW91" s="6"/>
      <c r="TXX91" s="6"/>
      <c r="TXY91" s="6"/>
      <c r="TXZ91" s="6"/>
      <c r="TYA91" s="6"/>
      <c r="TYB91" s="6"/>
      <c r="TYC91" s="6"/>
      <c r="TYD91" s="6"/>
      <c r="TYE91" s="6"/>
      <c r="TYF91" s="6"/>
      <c r="TYG91" s="6"/>
      <c r="TYH91" s="6"/>
      <c r="TYI91" s="6"/>
      <c r="TYJ91" s="6"/>
      <c r="TYK91" s="6"/>
      <c r="TYL91" s="6"/>
      <c r="TYM91" s="6"/>
      <c r="TYN91" s="6"/>
      <c r="TYO91" s="6"/>
      <c r="TYP91" s="6"/>
      <c r="TYQ91" s="6"/>
      <c r="TYR91" s="6"/>
      <c r="TYS91" s="6"/>
      <c r="TYT91" s="6"/>
      <c r="TYU91" s="6"/>
      <c r="TYV91" s="6"/>
      <c r="TYW91" s="6"/>
      <c r="TYX91" s="6"/>
      <c r="TYY91" s="6"/>
      <c r="TYZ91" s="6"/>
      <c r="TZA91" s="6"/>
      <c r="TZB91" s="6"/>
      <c r="TZC91" s="6"/>
      <c r="TZD91" s="6"/>
      <c r="TZE91" s="6"/>
      <c r="TZF91" s="6"/>
      <c r="TZG91" s="6"/>
      <c r="TZH91" s="6"/>
      <c r="TZI91" s="6"/>
      <c r="TZJ91" s="6"/>
      <c r="TZK91" s="6"/>
      <c r="TZL91" s="6"/>
      <c r="TZM91" s="6"/>
      <c r="TZN91" s="6"/>
      <c r="TZO91" s="6"/>
      <c r="TZP91" s="6"/>
      <c r="TZQ91" s="6"/>
      <c r="TZR91" s="6"/>
      <c r="TZS91" s="6"/>
      <c r="TZT91" s="6"/>
      <c r="TZU91" s="6"/>
      <c r="TZV91" s="6"/>
      <c r="TZW91" s="6"/>
      <c r="TZX91" s="6"/>
      <c r="TZY91" s="6"/>
      <c r="TZZ91" s="6"/>
      <c r="UAA91" s="6"/>
      <c r="UAB91" s="6"/>
      <c r="UAC91" s="6"/>
      <c r="UAD91" s="6"/>
      <c r="UAE91" s="6"/>
      <c r="UAF91" s="6"/>
      <c r="UAG91" s="6"/>
      <c r="UAH91" s="6"/>
      <c r="UAI91" s="6"/>
      <c r="UAJ91" s="6"/>
      <c r="UAK91" s="6"/>
      <c r="UAL91" s="6"/>
      <c r="UAM91" s="6"/>
      <c r="UAN91" s="6"/>
      <c r="UAO91" s="6"/>
      <c r="UAP91" s="6"/>
      <c r="UAQ91" s="6"/>
      <c r="UAR91" s="6"/>
      <c r="UAS91" s="6"/>
      <c r="UAT91" s="6"/>
      <c r="UAU91" s="6"/>
      <c r="UAV91" s="6"/>
      <c r="UAW91" s="6"/>
      <c r="UAX91" s="6"/>
      <c r="UAY91" s="6"/>
      <c r="UAZ91" s="6"/>
      <c r="UBA91" s="6"/>
      <c r="UBB91" s="6"/>
      <c r="UBC91" s="6"/>
      <c r="UBD91" s="6"/>
      <c r="UBE91" s="6"/>
      <c r="UBF91" s="6"/>
      <c r="UBG91" s="6"/>
      <c r="UBH91" s="6"/>
      <c r="UBI91" s="6"/>
      <c r="UBJ91" s="6"/>
      <c r="UBK91" s="6"/>
      <c r="UBL91" s="6"/>
      <c r="UBM91" s="6"/>
      <c r="UBN91" s="6"/>
      <c r="UBO91" s="6"/>
      <c r="UBP91" s="6"/>
      <c r="UBQ91" s="6"/>
      <c r="UBR91" s="6"/>
      <c r="UBS91" s="6"/>
      <c r="UBT91" s="6"/>
      <c r="UBU91" s="6"/>
      <c r="UBV91" s="6"/>
      <c r="UBW91" s="6"/>
      <c r="UBX91" s="6"/>
      <c r="UBY91" s="6"/>
      <c r="UBZ91" s="6"/>
      <c r="UCA91" s="6"/>
      <c r="UCB91" s="6"/>
      <c r="UCC91" s="6"/>
      <c r="UCD91" s="6"/>
      <c r="UCE91" s="6"/>
      <c r="UCF91" s="6"/>
      <c r="UCG91" s="6"/>
      <c r="UCH91" s="6"/>
      <c r="UCI91" s="6"/>
      <c r="UCJ91" s="6"/>
      <c r="UCK91" s="6"/>
      <c r="UCL91" s="6"/>
      <c r="UCM91" s="6"/>
      <c r="UCN91" s="6"/>
      <c r="UCO91" s="6"/>
      <c r="UCP91" s="6"/>
      <c r="UCQ91" s="6"/>
      <c r="UCR91" s="6"/>
      <c r="UCS91" s="6"/>
      <c r="UCT91" s="6"/>
      <c r="UCU91" s="6"/>
      <c r="UCV91" s="6"/>
      <c r="UCW91" s="6"/>
      <c r="UCX91" s="6"/>
      <c r="UCY91" s="6"/>
      <c r="UCZ91" s="6"/>
      <c r="UDA91" s="6"/>
      <c r="UDB91" s="6"/>
      <c r="UDC91" s="6"/>
      <c r="UDD91" s="6"/>
      <c r="UDE91" s="6"/>
      <c r="UDF91" s="6"/>
      <c r="UDG91" s="6"/>
      <c r="UDH91" s="6"/>
      <c r="UDI91" s="6"/>
      <c r="UDJ91" s="6"/>
      <c r="UDK91" s="6"/>
      <c r="UDL91" s="6"/>
      <c r="UDM91" s="6"/>
      <c r="UDN91" s="6"/>
      <c r="UDO91" s="6"/>
      <c r="UDP91" s="6"/>
      <c r="UDQ91" s="6"/>
      <c r="UDR91" s="6"/>
      <c r="UDS91" s="6"/>
      <c r="UDT91" s="6"/>
      <c r="UDU91" s="6"/>
      <c r="UDV91" s="6"/>
      <c r="UDW91" s="6"/>
      <c r="UDX91" s="6"/>
      <c r="UDY91" s="6"/>
      <c r="UDZ91" s="6"/>
      <c r="UEA91" s="6"/>
      <c r="UEB91" s="6"/>
      <c r="UEC91" s="6"/>
      <c r="UED91" s="6"/>
      <c r="UEE91" s="6"/>
      <c r="UEF91" s="6"/>
      <c r="UEG91" s="6"/>
      <c r="UEH91" s="6"/>
      <c r="UEI91" s="6"/>
      <c r="UEJ91" s="6"/>
      <c r="UEK91" s="6"/>
      <c r="UEL91" s="6"/>
      <c r="UEM91" s="6"/>
      <c r="UEN91" s="6"/>
      <c r="UEO91" s="6"/>
      <c r="UEP91" s="6"/>
      <c r="UEQ91" s="6"/>
      <c r="UER91" s="6"/>
      <c r="UES91" s="6"/>
      <c r="UET91" s="6"/>
      <c r="UEU91" s="6"/>
      <c r="UEV91" s="6"/>
      <c r="UEW91" s="6"/>
      <c r="UEX91" s="6"/>
      <c r="UEY91" s="6"/>
      <c r="UEZ91" s="6"/>
      <c r="UFA91" s="6"/>
      <c r="UFB91" s="6"/>
      <c r="UFC91" s="6"/>
      <c r="UFD91" s="6"/>
      <c r="UFE91" s="6"/>
      <c r="UFF91" s="6"/>
      <c r="UFG91" s="6"/>
      <c r="UFH91" s="6"/>
      <c r="UFI91" s="6"/>
      <c r="UFJ91" s="6"/>
      <c r="UFK91" s="6"/>
      <c r="UFL91" s="6"/>
      <c r="UFM91" s="6"/>
      <c r="UFN91" s="6"/>
      <c r="UFO91" s="6"/>
      <c r="UFP91" s="6"/>
      <c r="UFQ91" s="6"/>
      <c r="UFR91" s="6"/>
      <c r="UFS91" s="6"/>
      <c r="UFT91" s="6"/>
      <c r="UFU91" s="6"/>
      <c r="UFV91" s="6"/>
      <c r="UFW91" s="6"/>
      <c r="UFX91" s="6"/>
      <c r="UFY91" s="6"/>
      <c r="UFZ91" s="6"/>
      <c r="UGA91" s="6"/>
      <c r="UGB91" s="6"/>
      <c r="UGC91" s="6"/>
      <c r="UGD91" s="6"/>
      <c r="UGE91" s="6"/>
      <c r="UGF91" s="6"/>
      <c r="UGG91" s="6"/>
      <c r="UGH91" s="6"/>
      <c r="UGI91" s="6"/>
      <c r="UGJ91" s="6"/>
      <c r="UGK91" s="6"/>
      <c r="UGL91" s="6"/>
      <c r="UGM91" s="6"/>
      <c r="UGN91" s="6"/>
      <c r="UGO91" s="6"/>
      <c r="UGP91" s="6"/>
      <c r="UGQ91" s="6"/>
      <c r="UGR91" s="6"/>
      <c r="UGS91" s="6"/>
      <c r="UGT91" s="6"/>
      <c r="UGU91" s="6"/>
      <c r="UGV91" s="6"/>
      <c r="UGW91" s="6"/>
      <c r="UGX91" s="6"/>
      <c r="UGY91" s="6"/>
      <c r="UGZ91" s="6"/>
      <c r="UHA91" s="6"/>
      <c r="UHB91" s="6"/>
      <c r="UHC91" s="6"/>
      <c r="UHD91" s="6"/>
      <c r="UHE91" s="6"/>
      <c r="UHF91" s="6"/>
      <c r="UHG91" s="6"/>
      <c r="UHH91" s="6"/>
      <c r="UHI91" s="6"/>
      <c r="UHJ91" s="6"/>
      <c r="UHK91" s="6"/>
      <c r="UHL91" s="6"/>
      <c r="UHM91" s="6"/>
      <c r="UHN91" s="6"/>
      <c r="UHO91" s="6"/>
      <c r="UHP91" s="6"/>
      <c r="UHQ91" s="6"/>
      <c r="UHR91" s="6"/>
      <c r="UHS91" s="6"/>
      <c r="UHT91" s="6"/>
      <c r="UHU91" s="6"/>
      <c r="UHV91" s="6"/>
      <c r="UHW91" s="6"/>
      <c r="UHX91" s="6"/>
      <c r="UHY91" s="6"/>
      <c r="UHZ91" s="6"/>
      <c r="UIA91" s="6"/>
      <c r="UIB91" s="6"/>
      <c r="UIC91" s="6"/>
      <c r="UID91" s="6"/>
      <c r="UIE91" s="6"/>
      <c r="UIF91" s="6"/>
      <c r="UIG91" s="6"/>
      <c r="UIH91" s="6"/>
      <c r="UII91" s="6"/>
      <c r="UIJ91" s="6"/>
      <c r="UIK91" s="6"/>
      <c r="UIL91" s="6"/>
      <c r="UIM91" s="6"/>
      <c r="UIN91" s="6"/>
      <c r="UIO91" s="6"/>
      <c r="UIP91" s="6"/>
      <c r="UIQ91" s="6"/>
      <c r="UIR91" s="6"/>
      <c r="UIS91" s="6"/>
      <c r="UIT91" s="6"/>
      <c r="UIU91" s="6"/>
      <c r="UIV91" s="6"/>
      <c r="UIW91" s="6"/>
      <c r="UIX91" s="6"/>
      <c r="UIY91" s="6"/>
      <c r="UIZ91" s="6"/>
      <c r="UJA91" s="6"/>
      <c r="UJB91" s="6"/>
      <c r="UJC91" s="6"/>
      <c r="UJD91" s="6"/>
      <c r="UJE91" s="6"/>
      <c r="UJF91" s="6"/>
      <c r="UJG91" s="6"/>
      <c r="UJH91" s="6"/>
      <c r="UJI91" s="6"/>
      <c r="UJJ91" s="6"/>
      <c r="UJK91" s="6"/>
      <c r="UJL91" s="6"/>
      <c r="UJM91" s="6"/>
      <c r="UJN91" s="6"/>
      <c r="UJO91" s="6"/>
      <c r="UJP91" s="6"/>
      <c r="UJQ91" s="6"/>
      <c r="UJR91" s="6"/>
      <c r="UJS91" s="6"/>
      <c r="UJT91" s="6"/>
      <c r="UJU91" s="6"/>
      <c r="UJV91" s="6"/>
      <c r="UJW91" s="6"/>
      <c r="UJX91" s="6"/>
      <c r="UJY91" s="6"/>
      <c r="UJZ91" s="6"/>
      <c r="UKA91" s="6"/>
      <c r="UKB91" s="6"/>
      <c r="UKC91" s="6"/>
      <c r="UKD91" s="6"/>
      <c r="UKE91" s="6"/>
      <c r="UKF91" s="6"/>
      <c r="UKG91" s="6"/>
      <c r="UKH91" s="6"/>
      <c r="UKI91" s="6"/>
      <c r="UKJ91" s="6"/>
      <c r="UKK91" s="6"/>
      <c r="UKL91" s="6"/>
      <c r="UKM91" s="6"/>
      <c r="UKN91" s="6"/>
      <c r="UKO91" s="6"/>
      <c r="UKP91" s="6"/>
      <c r="UKQ91" s="6"/>
      <c r="UKR91" s="6"/>
      <c r="UKS91" s="6"/>
      <c r="UKT91" s="6"/>
      <c r="UKU91" s="6"/>
      <c r="UKV91" s="6"/>
      <c r="UKW91" s="6"/>
      <c r="UKX91" s="6"/>
      <c r="UKY91" s="6"/>
      <c r="UKZ91" s="6"/>
      <c r="ULA91" s="6"/>
      <c r="ULB91" s="6"/>
      <c r="ULC91" s="6"/>
      <c r="ULD91" s="6"/>
      <c r="ULE91" s="6"/>
      <c r="ULF91" s="6"/>
      <c r="ULG91" s="6"/>
      <c r="ULH91" s="6"/>
      <c r="ULI91" s="6"/>
      <c r="ULJ91" s="6"/>
      <c r="ULK91" s="6"/>
      <c r="ULL91" s="6"/>
      <c r="ULM91" s="6"/>
      <c r="ULN91" s="6"/>
      <c r="ULO91" s="6"/>
      <c r="ULP91" s="6"/>
      <c r="ULQ91" s="6"/>
      <c r="ULR91" s="6"/>
      <c r="ULS91" s="6"/>
      <c r="ULT91" s="6"/>
      <c r="ULU91" s="6"/>
      <c r="ULV91" s="6"/>
      <c r="ULW91" s="6"/>
      <c r="ULX91" s="6"/>
      <c r="ULY91" s="6"/>
      <c r="ULZ91" s="6"/>
      <c r="UMA91" s="6"/>
      <c r="UMB91" s="6"/>
      <c r="UMC91" s="6"/>
      <c r="UMD91" s="6"/>
      <c r="UME91" s="6"/>
      <c r="UMF91" s="6"/>
      <c r="UMG91" s="6"/>
      <c r="UMH91" s="6"/>
      <c r="UMI91" s="6"/>
      <c r="UMJ91" s="6"/>
      <c r="UMK91" s="6"/>
      <c r="UML91" s="6"/>
      <c r="UMM91" s="6"/>
      <c r="UMN91" s="6"/>
      <c r="UMO91" s="6"/>
      <c r="UMP91" s="6"/>
      <c r="UMQ91" s="6"/>
      <c r="UMR91" s="6"/>
      <c r="UMS91" s="6"/>
      <c r="UMT91" s="6"/>
      <c r="UMU91" s="6"/>
      <c r="UMV91" s="6"/>
      <c r="UMW91" s="6"/>
      <c r="UMX91" s="6"/>
      <c r="UMY91" s="6"/>
      <c r="UMZ91" s="6"/>
      <c r="UNA91" s="6"/>
      <c r="UNB91" s="6"/>
      <c r="UNC91" s="6"/>
      <c r="UND91" s="6"/>
      <c r="UNE91" s="6"/>
      <c r="UNF91" s="6"/>
      <c r="UNG91" s="6"/>
      <c r="UNH91" s="6"/>
      <c r="UNI91" s="6"/>
      <c r="UNJ91" s="6"/>
      <c r="UNK91" s="6"/>
      <c r="UNL91" s="6"/>
      <c r="UNM91" s="6"/>
      <c r="UNN91" s="6"/>
      <c r="UNO91" s="6"/>
      <c r="UNP91" s="6"/>
      <c r="UNQ91" s="6"/>
      <c r="UNR91" s="6"/>
      <c r="UNS91" s="6"/>
      <c r="UNT91" s="6"/>
      <c r="UNU91" s="6"/>
      <c r="UNV91" s="6"/>
      <c r="UNW91" s="6"/>
      <c r="UNX91" s="6"/>
      <c r="UNY91" s="6"/>
      <c r="UNZ91" s="6"/>
      <c r="UOA91" s="6"/>
      <c r="UOB91" s="6"/>
      <c r="UOC91" s="6"/>
      <c r="UOD91" s="6"/>
      <c r="UOE91" s="6"/>
      <c r="UOF91" s="6"/>
      <c r="UOG91" s="6"/>
      <c r="UOH91" s="6"/>
      <c r="UOI91" s="6"/>
      <c r="UOJ91" s="6"/>
      <c r="UOK91" s="6"/>
      <c r="UOL91" s="6"/>
      <c r="UOM91" s="6"/>
      <c r="UON91" s="6"/>
      <c r="UOO91" s="6"/>
      <c r="UOP91" s="6"/>
      <c r="UOQ91" s="6"/>
      <c r="UOR91" s="6"/>
      <c r="UOS91" s="6"/>
      <c r="UOT91" s="6"/>
      <c r="UOU91" s="6"/>
      <c r="UOV91" s="6"/>
      <c r="UOW91" s="6"/>
      <c r="UOX91" s="6"/>
      <c r="UOY91" s="6"/>
      <c r="UOZ91" s="6"/>
      <c r="UPA91" s="6"/>
      <c r="UPB91" s="6"/>
      <c r="UPC91" s="6"/>
      <c r="UPD91" s="6"/>
      <c r="UPE91" s="6"/>
      <c r="UPF91" s="6"/>
      <c r="UPG91" s="6"/>
      <c r="UPH91" s="6"/>
      <c r="UPI91" s="6"/>
      <c r="UPJ91" s="6"/>
      <c r="UPK91" s="6"/>
      <c r="UPL91" s="6"/>
      <c r="UPM91" s="6"/>
      <c r="UPN91" s="6"/>
      <c r="UPO91" s="6"/>
      <c r="UPP91" s="6"/>
      <c r="UPQ91" s="6"/>
      <c r="UPR91" s="6"/>
      <c r="UPS91" s="6"/>
      <c r="UPT91" s="6"/>
      <c r="UPU91" s="6"/>
      <c r="UPV91" s="6"/>
      <c r="UPW91" s="6"/>
      <c r="UPX91" s="6"/>
      <c r="UPY91" s="6"/>
      <c r="UPZ91" s="6"/>
      <c r="UQA91" s="6"/>
      <c r="UQB91" s="6"/>
      <c r="UQC91" s="6"/>
      <c r="UQD91" s="6"/>
      <c r="UQE91" s="6"/>
      <c r="UQF91" s="6"/>
      <c r="UQG91" s="6"/>
      <c r="UQH91" s="6"/>
      <c r="UQI91" s="6"/>
      <c r="UQJ91" s="6"/>
      <c r="UQK91" s="6"/>
      <c r="UQL91" s="6"/>
      <c r="UQM91" s="6"/>
      <c r="UQN91" s="6"/>
      <c r="UQO91" s="6"/>
      <c r="UQP91" s="6"/>
      <c r="UQQ91" s="6"/>
      <c r="UQR91" s="6"/>
      <c r="UQS91" s="6"/>
      <c r="UQT91" s="6"/>
      <c r="UQU91" s="6"/>
      <c r="UQV91" s="6"/>
      <c r="UQW91" s="6"/>
      <c r="UQX91" s="6"/>
      <c r="UQY91" s="6"/>
      <c r="UQZ91" s="6"/>
      <c r="URA91" s="6"/>
      <c r="URB91" s="6"/>
      <c r="URC91" s="6"/>
      <c r="URD91" s="6"/>
      <c r="URE91" s="6"/>
      <c r="URF91" s="6"/>
      <c r="URG91" s="6"/>
      <c r="URH91" s="6"/>
      <c r="URI91" s="6"/>
      <c r="URJ91" s="6"/>
      <c r="URK91" s="6"/>
      <c r="URL91" s="6"/>
      <c r="URM91" s="6"/>
      <c r="URN91" s="6"/>
      <c r="URO91" s="6"/>
      <c r="URP91" s="6"/>
      <c r="URQ91" s="6"/>
      <c r="URR91" s="6"/>
      <c r="URS91" s="6"/>
      <c r="URT91" s="6"/>
      <c r="URU91" s="6"/>
      <c r="URV91" s="6"/>
      <c r="URW91" s="6"/>
      <c r="URX91" s="6"/>
      <c r="URY91" s="6"/>
      <c r="URZ91" s="6"/>
      <c r="USA91" s="6"/>
      <c r="USB91" s="6"/>
      <c r="USC91" s="6"/>
      <c r="USD91" s="6"/>
      <c r="USE91" s="6"/>
      <c r="USF91" s="6"/>
      <c r="USG91" s="6"/>
      <c r="USH91" s="6"/>
      <c r="USI91" s="6"/>
      <c r="USJ91" s="6"/>
      <c r="USK91" s="6"/>
      <c r="USL91" s="6"/>
      <c r="USM91" s="6"/>
      <c r="USN91" s="6"/>
      <c r="USO91" s="6"/>
      <c r="USP91" s="6"/>
      <c r="USQ91" s="6"/>
      <c r="USR91" s="6"/>
      <c r="USS91" s="6"/>
      <c r="UST91" s="6"/>
      <c r="USU91" s="6"/>
      <c r="USV91" s="6"/>
      <c r="USW91" s="6"/>
      <c r="USX91" s="6"/>
      <c r="USY91" s="6"/>
      <c r="USZ91" s="6"/>
      <c r="UTA91" s="6"/>
      <c r="UTB91" s="6"/>
      <c r="UTC91" s="6"/>
      <c r="UTD91" s="6"/>
      <c r="UTE91" s="6"/>
      <c r="UTF91" s="6"/>
      <c r="UTG91" s="6"/>
      <c r="UTH91" s="6"/>
      <c r="UTI91" s="6"/>
      <c r="UTJ91" s="6"/>
      <c r="UTK91" s="6"/>
      <c r="UTL91" s="6"/>
      <c r="UTM91" s="6"/>
      <c r="UTN91" s="6"/>
      <c r="UTO91" s="6"/>
      <c r="UTP91" s="6"/>
      <c r="UTQ91" s="6"/>
      <c r="UTR91" s="6"/>
      <c r="UTS91" s="6"/>
      <c r="UTT91" s="6"/>
      <c r="UTU91" s="6"/>
      <c r="UTV91" s="6"/>
      <c r="UTW91" s="6"/>
      <c r="UTX91" s="6"/>
      <c r="UTY91" s="6"/>
      <c r="UTZ91" s="6"/>
      <c r="UUA91" s="6"/>
      <c r="UUB91" s="6"/>
      <c r="UUC91" s="6"/>
      <c r="UUD91" s="6"/>
      <c r="UUE91" s="6"/>
      <c r="UUF91" s="6"/>
      <c r="UUG91" s="6"/>
      <c r="UUH91" s="6"/>
      <c r="UUI91" s="6"/>
      <c r="UUJ91" s="6"/>
      <c r="UUK91" s="6"/>
      <c r="UUL91" s="6"/>
      <c r="UUM91" s="6"/>
      <c r="UUN91" s="6"/>
      <c r="UUO91" s="6"/>
      <c r="UUP91" s="6"/>
      <c r="UUQ91" s="6"/>
      <c r="UUR91" s="6"/>
      <c r="UUS91" s="6"/>
      <c r="UUT91" s="6"/>
      <c r="UUU91" s="6"/>
      <c r="UUV91" s="6"/>
      <c r="UUW91" s="6"/>
      <c r="UUX91" s="6"/>
      <c r="UUY91" s="6"/>
      <c r="UUZ91" s="6"/>
      <c r="UVA91" s="6"/>
      <c r="UVB91" s="6"/>
      <c r="UVC91" s="6"/>
      <c r="UVD91" s="6"/>
      <c r="UVE91" s="6"/>
      <c r="UVF91" s="6"/>
      <c r="UVG91" s="6"/>
      <c r="UVH91" s="6"/>
      <c r="UVI91" s="6"/>
      <c r="UVJ91" s="6"/>
      <c r="UVK91" s="6"/>
      <c r="UVL91" s="6"/>
      <c r="UVM91" s="6"/>
      <c r="UVN91" s="6"/>
      <c r="UVO91" s="6"/>
      <c r="UVP91" s="6"/>
      <c r="UVQ91" s="6"/>
      <c r="UVR91" s="6"/>
      <c r="UVS91" s="6"/>
      <c r="UVT91" s="6"/>
      <c r="UVU91" s="6"/>
      <c r="UVV91" s="6"/>
      <c r="UVW91" s="6"/>
      <c r="UVX91" s="6"/>
      <c r="UVY91" s="6"/>
      <c r="UVZ91" s="6"/>
      <c r="UWA91" s="6"/>
      <c r="UWB91" s="6"/>
      <c r="UWC91" s="6"/>
      <c r="UWD91" s="6"/>
      <c r="UWE91" s="6"/>
      <c r="UWF91" s="6"/>
      <c r="UWG91" s="6"/>
      <c r="UWH91" s="6"/>
      <c r="UWI91" s="6"/>
      <c r="UWJ91" s="6"/>
      <c r="UWK91" s="6"/>
      <c r="UWL91" s="6"/>
      <c r="UWM91" s="6"/>
      <c r="UWN91" s="6"/>
      <c r="UWO91" s="6"/>
      <c r="UWP91" s="6"/>
      <c r="UWQ91" s="6"/>
      <c r="UWR91" s="6"/>
      <c r="UWS91" s="6"/>
      <c r="UWT91" s="6"/>
      <c r="UWU91" s="6"/>
      <c r="UWV91" s="6"/>
      <c r="UWW91" s="6"/>
      <c r="UWX91" s="6"/>
      <c r="UWY91" s="6"/>
      <c r="UWZ91" s="6"/>
      <c r="UXA91" s="6"/>
      <c r="UXB91" s="6"/>
      <c r="UXC91" s="6"/>
      <c r="UXD91" s="6"/>
      <c r="UXE91" s="6"/>
      <c r="UXF91" s="6"/>
      <c r="UXG91" s="6"/>
      <c r="UXH91" s="6"/>
      <c r="UXI91" s="6"/>
      <c r="UXJ91" s="6"/>
      <c r="UXK91" s="6"/>
      <c r="UXL91" s="6"/>
      <c r="UXM91" s="6"/>
      <c r="UXN91" s="6"/>
      <c r="UXO91" s="6"/>
      <c r="UXP91" s="6"/>
      <c r="UXQ91" s="6"/>
      <c r="UXR91" s="6"/>
      <c r="UXS91" s="6"/>
      <c r="UXT91" s="6"/>
      <c r="UXU91" s="6"/>
      <c r="UXV91" s="6"/>
      <c r="UXW91" s="6"/>
      <c r="UXX91" s="6"/>
      <c r="UXY91" s="6"/>
      <c r="UXZ91" s="6"/>
      <c r="UYA91" s="6"/>
      <c r="UYB91" s="6"/>
      <c r="UYC91" s="6"/>
      <c r="UYD91" s="6"/>
      <c r="UYE91" s="6"/>
      <c r="UYF91" s="6"/>
      <c r="UYG91" s="6"/>
      <c r="UYH91" s="6"/>
      <c r="UYI91" s="6"/>
      <c r="UYJ91" s="6"/>
      <c r="UYK91" s="6"/>
      <c r="UYL91" s="6"/>
      <c r="UYM91" s="6"/>
      <c r="UYN91" s="6"/>
      <c r="UYO91" s="6"/>
      <c r="UYP91" s="6"/>
      <c r="UYQ91" s="6"/>
      <c r="UYR91" s="6"/>
      <c r="UYS91" s="6"/>
      <c r="UYT91" s="6"/>
      <c r="UYU91" s="6"/>
      <c r="UYV91" s="6"/>
      <c r="UYW91" s="6"/>
      <c r="UYX91" s="6"/>
      <c r="UYY91" s="6"/>
      <c r="UYZ91" s="6"/>
      <c r="UZA91" s="6"/>
      <c r="UZB91" s="6"/>
      <c r="UZC91" s="6"/>
      <c r="UZD91" s="6"/>
      <c r="UZE91" s="6"/>
      <c r="UZF91" s="6"/>
      <c r="UZG91" s="6"/>
      <c r="UZH91" s="6"/>
      <c r="UZI91" s="6"/>
      <c r="UZJ91" s="6"/>
      <c r="UZK91" s="6"/>
      <c r="UZL91" s="6"/>
      <c r="UZM91" s="6"/>
      <c r="UZN91" s="6"/>
      <c r="UZO91" s="6"/>
      <c r="UZP91" s="6"/>
      <c r="UZQ91" s="6"/>
      <c r="UZR91" s="6"/>
      <c r="UZS91" s="6"/>
      <c r="UZT91" s="6"/>
      <c r="UZU91" s="6"/>
      <c r="UZV91" s="6"/>
      <c r="UZW91" s="6"/>
      <c r="UZX91" s="6"/>
      <c r="UZY91" s="6"/>
      <c r="UZZ91" s="6"/>
      <c r="VAA91" s="6"/>
      <c r="VAB91" s="6"/>
      <c r="VAC91" s="6"/>
      <c r="VAD91" s="6"/>
      <c r="VAE91" s="6"/>
      <c r="VAF91" s="6"/>
      <c r="VAG91" s="6"/>
      <c r="VAH91" s="6"/>
      <c r="VAI91" s="6"/>
      <c r="VAJ91" s="6"/>
      <c r="VAK91" s="6"/>
      <c r="VAL91" s="6"/>
      <c r="VAM91" s="6"/>
      <c r="VAN91" s="6"/>
      <c r="VAO91" s="6"/>
      <c r="VAP91" s="6"/>
      <c r="VAQ91" s="6"/>
      <c r="VAR91" s="6"/>
      <c r="VAS91" s="6"/>
      <c r="VAT91" s="6"/>
      <c r="VAU91" s="6"/>
      <c r="VAV91" s="6"/>
      <c r="VAW91" s="6"/>
      <c r="VAX91" s="6"/>
      <c r="VAY91" s="6"/>
      <c r="VAZ91" s="6"/>
      <c r="VBA91" s="6"/>
      <c r="VBB91" s="6"/>
      <c r="VBC91" s="6"/>
      <c r="VBD91" s="6"/>
      <c r="VBE91" s="6"/>
      <c r="VBF91" s="6"/>
      <c r="VBG91" s="6"/>
      <c r="VBH91" s="6"/>
      <c r="VBI91" s="6"/>
      <c r="VBJ91" s="6"/>
      <c r="VBK91" s="6"/>
      <c r="VBL91" s="6"/>
      <c r="VBM91" s="6"/>
      <c r="VBN91" s="6"/>
      <c r="VBO91" s="6"/>
      <c r="VBP91" s="6"/>
      <c r="VBQ91" s="6"/>
      <c r="VBR91" s="6"/>
      <c r="VBS91" s="6"/>
      <c r="VBT91" s="6"/>
      <c r="VBU91" s="6"/>
      <c r="VBV91" s="6"/>
      <c r="VBW91" s="6"/>
      <c r="VBX91" s="6"/>
      <c r="VBY91" s="6"/>
      <c r="VBZ91" s="6"/>
      <c r="VCA91" s="6"/>
      <c r="VCB91" s="6"/>
      <c r="VCC91" s="6"/>
      <c r="VCD91" s="6"/>
      <c r="VCE91" s="6"/>
      <c r="VCF91" s="6"/>
      <c r="VCG91" s="6"/>
      <c r="VCH91" s="6"/>
      <c r="VCI91" s="6"/>
      <c r="VCJ91" s="6"/>
      <c r="VCK91" s="6"/>
      <c r="VCL91" s="6"/>
      <c r="VCM91" s="6"/>
      <c r="VCN91" s="6"/>
      <c r="VCO91" s="6"/>
      <c r="VCP91" s="6"/>
      <c r="VCQ91" s="6"/>
      <c r="VCR91" s="6"/>
      <c r="VCS91" s="6"/>
      <c r="VCT91" s="6"/>
      <c r="VCU91" s="6"/>
      <c r="VCV91" s="6"/>
      <c r="VCW91" s="6"/>
      <c r="VCX91" s="6"/>
      <c r="VCY91" s="6"/>
      <c r="VCZ91" s="6"/>
      <c r="VDA91" s="6"/>
      <c r="VDB91" s="6"/>
      <c r="VDC91" s="6"/>
      <c r="VDD91" s="6"/>
      <c r="VDE91" s="6"/>
      <c r="VDF91" s="6"/>
      <c r="VDG91" s="6"/>
      <c r="VDH91" s="6"/>
      <c r="VDI91" s="6"/>
      <c r="VDJ91" s="6"/>
      <c r="VDK91" s="6"/>
      <c r="VDL91" s="6"/>
      <c r="VDM91" s="6"/>
      <c r="VDN91" s="6"/>
      <c r="VDO91" s="6"/>
      <c r="VDP91" s="6"/>
      <c r="VDQ91" s="6"/>
      <c r="VDR91" s="6"/>
      <c r="VDS91" s="6"/>
      <c r="VDT91" s="6"/>
      <c r="VDU91" s="6"/>
      <c r="VDV91" s="6"/>
      <c r="VDW91" s="6"/>
      <c r="VDX91" s="6"/>
      <c r="VDY91" s="6"/>
      <c r="VDZ91" s="6"/>
      <c r="VEA91" s="6"/>
      <c r="VEB91" s="6"/>
      <c r="VEC91" s="6"/>
      <c r="VED91" s="6"/>
      <c r="VEE91" s="6"/>
      <c r="VEF91" s="6"/>
      <c r="VEG91" s="6"/>
      <c r="VEH91" s="6"/>
      <c r="VEI91" s="6"/>
      <c r="VEJ91" s="6"/>
      <c r="VEK91" s="6"/>
      <c r="VEL91" s="6"/>
      <c r="VEM91" s="6"/>
      <c r="VEN91" s="6"/>
      <c r="VEO91" s="6"/>
      <c r="VEP91" s="6"/>
      <c r="VEQ91" s="6"/>
      <c r="VER91" s="6"/>
      <c r="VES91" s="6"/>
      <c r="VET91" s="6"/>
      <c r="VEU91" s="6"/>
      <c r="VEV91" s="6"/>
      <c r="VEW91" s="6"/>
      <c r="VEX91" s="6"/>
      <c r="VEY91" s="6"/>
      <c r="VEZ91" s="6"/>
      <c r="VFA91" s="6"/>
      <c r="VFB91" s="6"/>
      <c r="VFC91" s="6"/>
      <c r="VFD91" s="6"/>
      <c r="VFE91" s="6"/>
      <c r="VFF91" s="6"/>
      <c r="VFG91" s="6"/>
      <c r="VFH91" s="6"/>
      <c r="VFI91" s="6"/>
      <c r="VFJ91" s="6"/>
      <c r="VFK91" s="6"/>
      <c r="VFL91" s="6"/>
      <c r="VFM91" s="6"/>
      <c r="VFN91" s="6"/>
      <c r="VFO91" s="6"/>
      <c r="VFP91" s="6"/>
      <c r="VFQ91" s="6"/>
      <c r="VFR91" s="6"/>
      <c r="VFS91" s="6"/>
      <c r="VFT91" s="6"/>
      <c r="VFU91" s="6"/>
      <c r="VFV91" s="6"/>
      <c r="VFW91" s="6"/>
      <c r="VFX91" s="6"/>
      <c r="VFY91" s="6"/>
      <c r="VFZ91" s="6"/>
      <c r="VGA91" s="6"/>
      <c r="VGB91" s="6"/>
      <c r="VGC91" s="6"/>
      <c r="VGD91" s="6"/>
      <c r="VGE91" s="6"/>
      <c r="VGF91" s="6"/>
      <c r="VGG91" s="6"/>
      <c r="VGH91" s="6"/>
      <c r="VGI91" s="6"/>
      <c r="VGJ91" s="6"/>
      <c r="VGK91" s="6"/>
      <c r="VGL91" s="6"/>
      <c r="VGM91" s="6"/>
      <c r="VGN91" s="6"/>
      <c r="VGO91" s="6"/>
      <c r="VGP91" s="6"/>
      <c r="VGQ91" s="6"/>
      <c r="VGR91" s="6"/>
      <c r="VGS91" s="6"/>
      <c r="VGT91" s="6"/>
      <c r="VGU91" s="6"/>
      <c r="VGV91" s="6"/>
      <c r="VGW91" s="6"/>
      <c r="VGX91" s="6"/>
      <c r="VGY91" s="6"/>
      <c r="VGZ91" s="6"/>
      <c r="VHA91" s="6"/>
      <c r="VHB91" s="6"/>
      <c r="VHC91" s="6"/>
      <c r="VHD91" s="6"/>
      <c r="VHE91" s="6"/>
      <c r="VHF91" s="6"/>
      <c r="VHG91" s="6"/>
      <c r="VHH91" s="6"/>
      <c r="VHI91" s="6"/>
      <c r="VHJ91" s="6"/>
      <c r="VHK91" s="6"/>
      <c r="VHL91" s="6"/>
      <c r="VHM91" s="6"/>
      <c r="VHN91" s="6"/>
      <c r="VHO91" s="6"/>
      <c r="VHP91" s="6"/>
      <c r="VHQ91" s="6"/>
      <c r="VHR91" s="6"/>
      <c r="VHS91" s="6"/>
      <c r="VHT91" s="6"/>
      <c r="VHU91" s="6"/>
      <c r="VHV91" s="6"/>
      <c r="VHW91" s="6"/>
      <c r="VHX91" s="6"/>
      <c r="VHY91" s="6"/>
      <c r="VHZ91" s="6"/>
      <c r="VIA91" s="6"/>
      <c r="VIB91" s="6"/>
      <c r="VIC91" s="6"/>
      <c r="VID91" s="6"/>
      <c r="VIE91" s="6"/>
      <c r="VIF91" s="6"/>
      <c r="VIG91" s="6"/>
      <c r="VIH91" s="6"/>
      <c r="VII91" s="6"/>
      <c r="VIJ91" s="6"/>
      <c r="VIK91" s="6"/>
      <c r="VIL91" s="6"/>
      <c r="VIM91" s="6"/>
      <c r="VIN91" s="6"/>
      <c r="VIO91" s="6"/>
      <c r="VIP91" s="6"/>
      <c r="VIQ91" s="6"/>
      <c r="VIR91" s="6"/>
      <c r="VIS91" s="6"/>
      <c r="VIT91" s="6"/>
      <c r="VIU91" s="6"/>
      <c r="VIV91" s="6"/>
      <c r="VIW91" s="6"/>
      <c r="VIX91" s="6"/>
      <c r="VIY91" s="6"/>
      <c r="VIZ91" s="6"/>
      <c r="VJA91" s="6"/>
      <c r="VJB91" s="6"/>
      <c r="VJC91" s="6"/>
      <c r="VJD91" s="6"/>
      <c r="VJE91" s="6"/>
      <c r="VJF91" s="6"/>
      <c r="VJG91" s="6"/>
      <c r="VJH91" s="6"/>
      <c r="VJI91" s="6"/>
      <c r="VJJ91" s="6"/>
      <c r="VJK91" s="6"/>
      <c r="VJL91" s="6"/>
      <c r="VJM91" s="6"/>
      <c r="VJN91" s="6"/>
      <c r="VJO91" s="6"/>
      <c r="VJP91" s="6"/>
      <c r="VJQ91" s="6"/>
      <c r="VJR91" s="6"/>
      <c r="VJS91" s="6"/>
      <c r="VJT91" s="6"/>
      <c r="VJU91" s="6"/>
      <c r="VJV91" s="6"/>
      <c r="VJW91" s="6"/>
      <c r="VJX91" s="6"/>
      <c r="VJY91" s="6"/>
      <c r="VJZ91" s="6"/>
      <c r="VKA91" s="6"/>
      <c r="VKB91" s="6"/>
      <c r="VKC91" s="6"/>
      <c r="VKD91" s="6"/>
      <c r="VKE91" s="6"/>
      <c r="VKF91" s="6"/>
      <c r="VKG91" s="6"/>
      <c r="VKH91" s="6"/>
      <c r="VKI91" s="6"/>
      <c r="VKJ91" s="6"/>
      <c r="VKK91" s="6"/>
      <c r="VKL91" s="6"/>
      <c r="VKM91" s="6"/>
      <c r="VKN91" s="6"/>
      <c r="VKO91" s="6"/>
      <c r="VKP91" s="6"/>
      <c r="VKQ91" s="6"/>
      <c r="VKR91" s="6"/>
      <c r="VKS91" s="6"/>
      <c r="VKT91" s="6"/>
      <c r="VKU91" s="6"/>
      <c r="VKV91" s="6"/>
      <c r="VKW91" s="6"/>
      <c r="VKX91" s="6"/>
      <c r="VKY91" s="6"/>
      <c r="VKZ91" s="6"/>
      <c r="VLA91" s="6"/>
      <c r="VLB91" s="6"/>
      <c r="VLC91" s="6"/>
      <c r="VLD91" s="6"/>
      <c r="VLE91" s="6"/>
      <c r="VLF91" s="6"/>
      <c r="VLG91" s="6"/>
      <c r="VLH91" s="6"/>
      <c r="VLI91" s="6"/>
      <c r="VLJ91" s="6"/>
      <c r="VLK91" s="6"/>
      <c r="VLL91" s="6"/>
      <c r="VLM91" s="6"/>
      <c r="VLN91" s="6"/>
      <c r="VLO91" s="6"/>
      <c r="VLP91" s="6"/>
      <c r="VLQ91" s="6"/>
      <c r="VLR91" s="6"/>
      <c r="VLS91" s="6"/>
      <c r="VLT91" s="6"/>
      <c r="VLU91" s="6"/>
      <c r="VLV91" s="6"/>
      <c r="VLW91" s="6"/>
      <c r="VLX91" s="6"/>
      <c r="VLY91" s="6"/>
      <c r="VLZ91" s="6"/>
      <c r="VMA91" s="6"/>
      <c r="VMB91" s="6"/>
      <c r="VMC91" s="6"/>
      <c r="VMD91" s="6"/>
      <c r="VME91" s="6"/>
      <c r="VMF91" s="6"/>
      <c r="VMG91" s="6"/>
      <c r="VMH91" s="6"/>
      <c r="VMI91" s="6"/>
      <c r="VMJ91" s="6"/>
      <c r="VMK91" s="6"/>
      <c r="VML91" s="6"/>
      <c r="VMM91" s="6"/>
      <c r="VMN91" s="6"/>
      <c r="VMO91" s="6"/>
      <c r="VMP91" s="6"/>
      <c r="VMQ91" s="6"/>
      <c r="VMR91" s="6"/>
      <c r="VMS91" s="6"/>
      <c r="VMT91" s="6"/>
      <c r="VMU91" s="6"/>
      <c r="VMV91" s="6"/>
      <c r="VMW91" s="6"/>
      <c r="VMX91" s="6"/>
      <c r="VMY91" s="6"/>
      <c r="VMZ91" s="6"/>
      <c r="VNA91" s="6"/>
      <c r="VNB91" s="6"/>
      <c r="VNC91" s="6"/>
      <c r="VND91" s="6"/>
      <c r="VNE91" s="6"/>
      <c r="VNF91" s="6"/>
      <c r="VNG91" s="6"/>
      <c r="VNH91" s="6"/>
      <c r="VNI91" s="6"/>
      <c r="VNJ91" s="6"/>
      <c r="VNK91" s="6"/>
      <c r="VNL91" s="6"/>
      <c r="VNM91" s="6"/>
      <c r="VNN91" s="6"/>
      <c r="VNO91" s="6"/>
      <c r="VNP91" s="6"/>
      <c r="VNQ91" s="6"/>
      <c r="VNR91" s="6"/>
      <c r="VNS91" s="6"/>
      <c r="VNT91" s="6"/>
      <c r="VNU91" s="6"/>
      <c r="VNV91" s="6"/>
      <c r="VNW91" s="6"/>
      <c r="VNX91" s="6"/>
      <c r="VNY91" s="6"/>
      <c r="VNZ91" s="6"/>
      <c r="VOA91" s="6"/>
      <c r="VOB91" s="6"/>
      <c r="VOC91" s="6"/>
      <c r="VOD91" s="6"/>
      <c r="VOE91" s="6"/>
      <c r="VOF91" s="6"/>
      <c r="VOG91" s="6"/>
      <c r="VOH91" s="6"/>
      <c r="VOI91" s="6"/>
      <c r="VOJ91" s="6"/>
      <c r="VOK91" s="6"/>
      <c r="VOL91" s="6"/>
      <c r="VOM91" s="6"/>
      <c r="VON91" s="6"/>
      <c r="VOO91" s="6"/>
      <c r="VOP91" s="6"/>
      <c r="VOQ91" s="6"/>
      <c r="VOR91" s="6"/>
      <c r="VOS91" s="6"/>
      <c r="VOT91" s="6"/>
      <c r="VOU91" s="6"/>
      <c r="VOV91" s="6"/>
      <c r="VOW91" s="6"/>
      <c r="VOX91" s="6"/>
      <c r="VOY91" s="6"/>
      <c r="VOZ91" s="6"/>
      <c r="VPA91" s="6"/>
      <c r="VPB91" s="6"/>
      <c r="VPC91" s="6"/>
      <c r="VPD91" s="6"/>
      <c r="VPE91" s="6"/>
      <c r="VPF91" s="6"/>
      <c r="VPG91" s="6"/>
      <c r="VPH91" s="6"/>
      <c r="VPI91" s="6"/>
      <c r="VPJ91" s="6"/>
      <c r="VPK91" s="6"/>
      <c r="VPL91" s="6"/>
      <c r="VPM91" s="6"/>
      <c r="VPN91" s="6"/>
      <c r="VPO91" s="6"/>
      <c r="VPP91" s="6"/>
      <c r="VPQ91" s="6"/>
      <c r="VPR91" s="6"/>
      <c r="VPS91" s="6"/>
      <c r="VPT91" s="6"/>
      <c r="VPU91" s="6"/>
      <c r="VPV91" s="6"/>
      <c r="VPW91" s="6"/>
      <c r="VPX91" s="6"/>
      <c r="VPY91" s="6"/>
      <c r="VPZ91" s="6"/>
      <c r="VQA91" s="6"/>
      <c r="VQB91" s="6"/>
      <c r="VQC91" s="6"/>
      <c r="VQD91" s="6"/>
      <c r="VQE91" s="6"/>
      <c r="VQF91" s="6"/>
      <c r="VQG91" s="6"/>
      <c r="VQH91" s="6"/>
      <c r="VQI91" s="6"/>
      <c r="VQJ91" s="6"/>
      <c r="VQK91" s="6"/>
      <c r="VQL91" s="6"/>
      <c r="VQM91" s="6"/>
      <c r="VQN91" s="6"/>
      <c r="VQO91" s="6"/>
      <c r="VQP91" s="6"/>
      <c r="VQQ91" s="6"/>
      <c r="VQR91" s="6"/>
      <c r="VQS91" s="6"/>
      <c r="VQT91" s="6"/>
      <c r="VQU91" s="6"/>
      <c r="VQV91" s="6"/>
      <c r="VQW91" s="6"/>
      <c r="VQX91" s="6"/>
      <c r="VQY91" s="6"/>
      <c r="VQZ91" s="6"/>
      <c r="VRA91" s="6"/>
      <c r="VRB91" s="6"/>
      <c r="VRC91" s="6"/>
      <c r="VRD91" s="6"/>
      <c r="VRE91" s="6"/>
      <c r="VRF91" s="6"/>
      <c r="VRG91" s="6"/>
      <c r="VRH91" s="6"/>
      <c r="VRI91" s="6"/>
      <c r="VRJ91" s="6"/>
      <c r="VRK91" s="6"/>
      <c r="VRL91" s="6"/>
      <c r="VRM91" s="6"/>
      <c r="VRN91" s="6"/>
      <c r="VRO91" s="6"/>
      <c r="VRP91" s="6"/>
      <c r="VRQ91" s="6"/>
      <c r="VRR91" s="6"/>
      <c r="VRS91" s="6"/>
      <c r="VRT91" s="6"/>
      <c r="VRU91" s="6"/>
      <c r="VRV91" s="6"/>
      <c r="VRW91" s="6"/>
      <c r="VRX91" s="6"/>
      <c r="VRY91" s="6"/>
      <c r="VRZ91" s="6"/>
      <c r="VSA91" s="6"/>
      <c r="VSB91" s="6"/>
      <c r="VSC91" s="6"/>
      <c r="VSD91" s="6"/>
      <c r="VSE91" s="6"/>
      <c r="VSF91" s="6"/>
      <c r="VSG91" s="6"/>
      <c r="VSH91" s="6"/>
      <c r="VSI91" s="6"/>
      <c r="VSJ91" s="6"/>
      <c r="VSK91" s="6"/>
      <c r="VSL91" s="6"/>
      <c r="VSM91" s="6"/>
      <c r="VSN91" s="6"/>
      <c r="VSO91" s="6"/>
      <c r="VSP91" s="6"/>
      <c r="VSQ91" s="6"/>
      <c r="VSR91" s="6"/>
      <c r="VSS91" s="6"/>
      <c r="VST91" s="6"/>
      <c r="VSU91" s="6"/>
      <c r="VSV91" s="6"/>
      <c r="VSW91" s="6"/>
      <c r="VSX91" s="6"/>
      <c r="VSY91" s="6"/>
      <c r="VSZ91" s="6"/>
      <c r="VTA91" s="6"/>
      <c r="VTB91" s="6"/>
      <c r="VTC91" s="6"/>
      <c r="VTD91" s="6"/>
      <c r="VTE91" s="6"/>
      <c r="VTF91" s="6"/>
      <c r="VTG91" s="6"/>
      <c r="VTH91" s="6"/>
      <c r="VTI91" s="6"/>
      <c r="VTJ91" s="6"/>
      <c r="VTK91" s="6"/>
      <c r="VTL91" s="6"/>
      <c r="VTM91" s="6"/>
      <c r="VTN91" s="6"/>
      <c r="VTO91" s="6"/>
      <c r="VTP91" s="6"/>
      <c r="VTQ91" s="6"/>
      <c r="VTR91" s="6"/>
      <c r="VTS91" s="6"/>
      <c r="VTT91" s="6"/>
      <c r="VTU91" s="6"/>
      <c r="VTV91" s="6"/>
      <c r="VTW91" s="6"/>
      <c r="VTX91" s="6"/>
      <c r="VTY91" s="6"/>
      <c r="VTZ91" s="6"/>
      <c r="VUA91" s="6"/>
      <c r="VUB91" s="6"/>
      <c r="VUC91" s="6"/>
      <c r="VUD91" s="6"/>
      <c r="VUE91" s="6"/>
      <c r="VUF91" s="6"/>
      <c r="VUG91" s="6"/>
      <c r="VUH91" s="6"/>
      <c r="VUI91" s="6"/>
      <c r="VUJ91" s="6"/>
      <c r="VUK91" s="6"/>
      <c r="VUL91" s="6"/>
      <c r="VUM91" s="6"/>
      <c r="VUN91" s="6"/>
      <c r="VUO91" s="6"/>
      <c r="VUP91" s="6"/>
      <c r="VUQ91" s="6"/>
      <c r="VUR91" s="6"/>
      <c r="VUS91" s="6"/>
      <c r="VUT91" s="6"/>
      <c r="VUU91" s="6"/>
      <c r="VUV91" s="6"/>
      <c r="VUW91" s="6"/>
      <c r="VUX91" s="6"/>
      <c r="VUY91" s="6"/>
      <c r="VUZ91" s="6"/>
      <c r="VVA91" s="6"/>
      <c r="VVB91" s="6"/>
      <c r="VVC91" s="6"/>
      <c r="VVD91" s="6"/>
      <c r="VVE91" s="6"/>
      <c r="VVF91" s="6"/>
      <c r="VVG91" s="6"/>
      <c r="VVH91" s="6"/>
      <c r="VVI91" s="6"/>
      <c r="VVJ91" s="6"/>
      <c r="VVK91" s="6"/>
      <c r="VVL91" s="6"/>
      <c r="VVM91" s="6"/>
      <c r="VVN91" s="6"/>
      <c r="VVO91" s="6"/>
      <c r="VVP91" s="6"/>
      <c r="VVQ91" s="6"/>
      <c r="VVR91" s="6"/>
      <c r="VVS91" s="6"/>
      <c r="VVT91" s="6"/>
      <c r="VVU91" s="6"/>
      <c r="VVV91" s="6"/>
      <c r="VVW91" s="6"/>
      <c r="VVX91" s="6"/>
      <c r="VVY91" s="6"/>
      <c r="VVZ91" s="6"/>
      <c r="VWA91" s="6"/>
      <c r="VWB91" s="6"/>
      <c r="VWC91" s="6"/>
      <c r="VWD91" s="6"/>
      <c r="VWE91" s="6"/>
      <c r="VWF91" s="6"/>
      <c r="VWG91" s="6"/>
      <c r="VWH91" s="6"/>
      <c r="VWI91" s="6"/>
      <c r="VWJ91" s="6"/>
      <c r="VWK91" s="6"/>
      <c r="VWL91" s="6"/>
      <c r="VWM91" s="6"/>
      <c r="VWN91" s="6"/>
      <c r="VWO91" s="6"/>
      <c r="VWP91" s="6"/>
      <c r="VWQ91" s="6"/>
      <c r="VWR91" s="6"/>
      <c r="VWS91" s="6"/>
      <c r="VWT91" s="6"/>
      <c r="VWU91" s="6"/>
      <c r="VWV91" s="6"/>
      <c r="VWW91" s="6"/>
      <c r="VWX91" s="6"/>
      <c r="VWY91" s="6"/>
      <c r="VWZ91" s="6"/>
      <c r="VXA91" s="6"/>
      <c r="VXB91" s="6"/>
      <c r="VXC91" s="6"/>
      <c r="VXD91" s="6"/>
      <c r="VXE91" s="6"/>
      <c r="VXF91" s="6"/>
      <c r="VXG91" s="6"/>
      <c r="VXH91" s="6"/>
      <c r="VXI91" s="6"/>
      <c r="VXJ91" s="6"/>
      <c r="VXK91" s="6"/>
      <c r="VXL91" s="6"/>
      <c r="VXM91" s="6"/>
      <c r="VXN91" s="6"/>
      <c r="VXO91" s="6"/>
      <c r="VXP91" s="6"/>
      <c r="VXQ91" s="6"/>
      <c r="VXR91" s="6"/>
      <c r="VXS91" s="6"/>
      <c r="VXT91" s="6"/>
      <c r="VXU91" s="6"/>
      <c r="VXV91" s="6"/>
      <c r="VXW91" s="6"/>
      <c r="VXX91" s="6"/>
      <c r="VXY91" s="6"/>
      <c r="VXZ91" s="6"/>
      <c r="VYA91" s="6"/>
      <c r="VYB91" s="6"/>
      <c r="VYC91" s="6"/>
      <c r="VYD91" s="6"/>
      <c r="VYE91" s="6"/>
      <c r="VYF91" s="6"/>
      <c r="VYG91" s="6"/>
      <c r="VYH91" s="6"/>
      <c r="VYI91" s="6"/>
      <c r="VYJ91" s="6"/>
      <c r="VYK91" s="6"/>
      <c r="VYL91" s="6"/>
      <c r="VYM91" s="6"/>
      <c r="VYN91" s="6"/>
      <c r="VYO91" s="6"/>
      <c r="VYP91" s="6"/>
      <c r="VYQ91" s="6"/>
      <c r="VYR91" s="6"/>
      <c r="VYS91" s="6"/>
      <c r="VYT91" s="6"/>
      <c r="VYU91" s="6"/>
      <c r="VYV91" s="6"/>
      <c r="VYW91" s="6"/>
      <c r="VYX91" s="6"/>
      <c r="VYY91" s="6"/>
      <c r="VYZ91" s="6"/>
      <c r="VZA91" s="6"/>
      <c r="VZB91" s="6"/>
      <c r="VZC91" s="6"/>
      <c r="VZD91" s="6"/>
      <c r="VZE91" s="6"/>
      <c r="VZF91" s="6"/>
      <c r="VZG91" s="6"/>
      <c r="VZH91" s="6"/>
      <c r="VZI91" s="6"/>
      <c r="VZJ91" s="6"/>
      <c r="VZK91" s="6"/>
      <c r="VZL91" s="6"/>
      <c r="VZM91" s="6"/>
      <c r="VZN91" s="6"/>
      <c r="VZO91" s="6"/>
      <c r="VZP91" s="6"/>
      <c r="VZQ91" s="6"/>
      <c r="VZR91" s="6"/>
      <c r="VZS91" s="6"/>
      <c r="VZT91" s="6"/>
      <c r="VZU91" s="6"/>
      <c r="VZV91" s="6"/>
      <c r="VZW91" s="6"/>
      <c r="VZX91" s="6"/>
      <c r="VZY91" s="6"/>
      <c r="VZZ91" s="6"/>
      <c r="WAA91" s="6"/>
      <c r="WAB91" s="6"/>
      <c r="WAC91" s="6"/>
      <c r="WAD91" s="6"/>
      <c r="WAE91" s="6"/>
      <c r="WAF91" s="6"/>
      <c r="WAG91" s="6"/>
      <c r="WAH91" s="6"/>
      <c r="WAI91" s="6"/>
      <c r="WAJ91" s="6"/>
      <c r="WAK91" s="6"/>
      <c r="WAL91" s="6"/>
      <c r="WAM91" s="6"/>
      <c r="WAN91" s="6"/>
      <c r="WAO91" s="6"/>
      <c r="WAP91" s="6"/>
      <c r="WAQ91" s="6"/>
      <c r="WAR91" s="6"/>
      <c r="WAS91" s="6"/>
      <c r="WAT91" s="6"/>
      <c r="WAU91" s="6"/>
      <c r="WAV91" s="6"/>
      <c r="WAW91" s="6"/>
      <c r="WAX91" s="6"/>
      <c r="WAY91" s="6"/>
      <c r="WAZ91" s="6"/>
      <c r="WBA91" s="6"/>
      <c r="WBB91" s="6"/>
      <c r="WBC91" s="6"/>
      <c r="WBD91" s="6"/>
      <c r="WBE91" s="6"/>
      <c r="WBF91" s="6"/>
      <c r="WBG91" s="6"/>
      <c r="WBH91" s="6"/>
      <c r="WBI91" s="6"/>
      <c r="WBJ91" s="6"/>
      <c r="WBK91" s="6"/>
      <c r="WBL91" s="6"/>
      <c r="WBM91" s="6"/>
      <c r="WBN91" s="6"/>
      <c r="WBO91" s="6"/>
      <c r="WBP91" s="6"/>
      <c r="WBQ91" s="6"/>
      <c r="WBR91" s="6"/>
      <c r="WBS91" s="6"/>
      <c r="WBT91" s="6"/>
      <c r="WBU91" s="6"/>
      <c r="WBV91" s="6"/>
      <c r="WBW91" s="6"/>
      <c r="WBX91" s="6"/>
      <c r="WBY91" s="6"/>
      <c r="WBZ91" s="6"/>
      <c r="WCA91" s="6"/>
      <c r="WCB91" s="6"/>
      <c r="WCC91" s="6"/>
      <c r="WCD91" s="6"/>
      <c r="WCE91" s="6"/>
      <c r="WCF91" s="6"/>
      <c r="WCG91" s="6"/>
      <c r="WCH91" s="6"/>
      <c r="WCI91" s="6"/>
      <c r="WCJ91" s="6"/>
      <c r="WCK91" s="6"/>
      <c r="WCL91" s="6"/>
      <c r="WCM91" s="6"/>
      <c r="WCN91" s="6"/>
      <c r="WCO91" s="6"/>
      <c r="WCP91" s="6"/>
      <c r="WCQ91" s="6"/>
      <c r="WCR91" s="6"/>
      <c r="WCS91" s="6"/>
      <c r="WCT91" s="6"/>
      <c r="WCU91" s="6"/>
      <c r="WCV91" s="6"/>
      <c r="WCW91" s="6"/>
      <c r="WCX91" s="6"/>
      <c r="WCY91" s="6"/>
      <c r="WCZ91" s="6"/>
      <c r="WDA91" s="6"/>
      <c r="WDB91" s="6"/>
      <c r="WDC91" s="6"/>
      <c r="WDD91" s="6"/>
      <c r="WDE91" s="6"/>
      <c r="WDF91" s="6"/>
      <c r="WDG91" s="6"/>
      <c r="WDH91" s="6"/>
      <c r="WDI91" s="6"/>
      <c r="WDJ91" s="6"/>
      <c r="WDK91" s="6"/>
      <c r="WDL91" s="6"/>
      <c r="WDM91" s="6"/>
      <c r="WDN91" s="6"/>
      <c r="WDO91" s="6"/>
      <c r="WDP91" s="6"/>
      <c r="WDQ91" s="6"/>
      <c r="WDR91" s="6"/>
      <c r="WDS91" s="6"/>
      <c r="WDT91" s="6"/>
      <c r="WDU91" s="6"/>
      <c r="WDV91" s="6"/>
      <c r="WDW91" s="6"/>
      <c r="WDX91" s="6"/>
      <c r="WDY91" s="6"/>
      <c r="WDZ91" s="6"/>
      <c r="WEA91" s="6"/>
      <c r="WEB91" s="6"/>
      <c r="WEC91" s="6"/>
      <c r="WED91" s="6"/>
      <c r="WEE91" s="6"/>
      <c r="WEF91" s="6"/>
      <c r="WEG91" s="6"/>
      <c r="WEH91" s="6"/>
      <c r="WEI91" s="6"/>
      <c r="WEJ91" s="6"/>
      <c r="WEK91" s="6"/>
      <c r="WEL91" s="6"/>
      <c r="WEM91" s="6"/>
      <c r="WEN91" s="6"/>
      <c r="WEO91" s="6"/>
      <c r="WEP91" s="6"/>
      <c r="WEQ91" s="6"/>
      <c r="WER91" s="6"/>
      <c r="WES91" s="6"/>
      <c r="WET91" s="6"/>
      <c r="WEU91" s="6"/>
      <c r="WEV91" s="6"/>
      <c r="WEW91" s="6"/>
      <c r="WEX91" s="6"/>
      <c r="WEY91" s="6"/>
      <c r="WEZ91" s="6"/>
      <c r="WFA91" s="6"/>
      <c r="WFB91" s="6"/>
      <c r="WFC91" s="6"/>
      <c r="WFD91" s="6"/>
      <c r="WFE91" s="6"/>
      <c r="WFF91" s="6"/>
      <c r="WFG91" s="6"/>
      <c r="WFH91" s="6"/>
      <c r="WFI91" s="6"/>
      <c r="WFJ91" s="6"/>
      <c r="WFK91" s="6"/>
      <c r="WFL91" s="6"/>
      <c r="WFM91" s="6"/>
      <c r="WFN91" s="6"/>
      <c r="WFO91" s="6"/>
      <c r="WFP91" s="6"/>
      <c r="WFQ91" s="6"/>
      <c r="WFR91" s="6"/>
      <c r="WFS91" s="6"/>
      <c r="WFT91" s="6"/>
      <c r="WFU91" s="6"/>
      <c r="WFV91" s="6"/>
      <c r="WFW91" s="6"/>
      <c r="WFX91" s="6"/>
      <c r="WFY91" s="6"/>
      <c r="WFZ91" s="6"/>
      <c r="WGA91" s="6"/>
      <c r="WGB91" s="6"/>
      <c r="WGC91" s="6"/>
      <c r="WGD91" s="6"/>
      <c r="WGE91" s="6"/>
      <c r="WGF91" s="6"/>
      <c r="WGG91" s="6"/>
      <c r="WGH91" s="6"/>
      <c r="WGI91" s="6"/>
      <c r="WGJ91" s="6"/>
      <c r="WGK91" s="6"/>
      <c r="WGL91" s="6"/>
      <c r="WGM91" s="6"/>
      <c r="WGN91" s="6"/>
      <c r="WGO91" s="6"/>
      <c r="WGP91" s="6"/>
      <c r="WGQ91" s="6"/>
      <c r="WGR91" s="6"/>
      <c r="WGS91" s="6"/>
      <c r="WGT91" s="6"/>
      <c r="WGU91" s="6"/>
      <c r="WGV91" s="6"/>
      <c r="WGW91" s="6"/>
      <c r="WGX91" s="6"/>
      <c r="WGY91" s="6"/>
      <c r="WGZ91" s="6"/>
      <c r="WHA91" s="6"/>
      <c r="WHB91" s="6"/>
      <c r="WHC91" s="6"/>
      <c r="WHD91" s="6"/>
      <c r="WHE91" s="6"/>
      <c r="WHF91" s="6"/>
      <c r="WHG91" s="6"/>
      <c r="WHH91" s="6"/>
      <c r="WHI91" s="6"/>
      <c r="WHJ91" s="6"/>
      <c r="WHK91" s="6"/>
      <c r="WHL91" s="6"/>
      <c r="WHM91" s="6"/>
      <c r="WHN91" s="6"/>
      <c r="WHO91" s="6"/>
      <c r="WHP91" s="6"/>
      <c r="WHQ91" s="6"/>
      <c r="WHR91" s="6"/>
      <c r="WHS91" s="6"/>
      <c r="WHT91" s="6"/>
      <c r="WHU91" s="6"/>
      <c r="WHV91" s="6"/>
      <c r="WHW91" s="6"/>
      <c r="WHX91" s="6"/>
      <c r="WHY91" s="6"/>
      <c r="WHZ91" s="6"/>
      <c r="WIA91" s="6"/>
      <c r="WIB91" s="6"/>
      <c r="WIC91" s="6"/>
      <c r="WID91" s="6"/>
      <c r="WIE91" s="6"/>
      <c r="WIF91" s="6"/>
      <c r="WIG91" s="6"/>
      <c r="WIH91" s="6"/>
      <c r="WII91" s="6"/>
      <c r="WIJ91" s="6"/>
      <c r="WIK91" s="6"/>
      <c r="WIL91" s="6"/>
      <c r="WIM91" s="6"/>
      <c r="WIN91" s="6"/>
      <c r="WIO91" s="6"/>
      <c r="WIP91" s="6"/>
      <c r="WIQ91" s="6"/>
      <c r="WIR91" s="6"/>
      <c r="WIS91" s="6"/>
      <c r="WIT91" s="6"/>
      <c r="WIU91" s="6"/>
      <c r="WIV91" s="6"/>
      <c r="WIW91" s="6"/>
      <c r="WIX91" s="6"/>
      <c r="WIY91" s="6"/>
      <c r="WIZ91" s="6"/>
      <c r="WJA91" s="6"/>
      <c r="WJB91" s="6"/>
      <c r="WJC91" s="6"/>
      <c r="WJD91" s="6"/>
      <c r="WJE91" s="6"/>
      <c r="WJF91" s="6"/>
      <c r="WJG91" s="6"/>
      <c r="WJH91" s="6"/>
      <c r="WJI91" s="6"/>
      <c r="WJJ91" s="6"/>
      <c r="WJK91" s="6"/>
      <c r="WJL91" s="6"/>
      <c r="WJM91" s="6"/>
      <c r="WJN91" s="6"/>
      <c r="WJO91" s="6"/>
      <c r="WJP91" s="6"/>
      <c r="WJQ91" s="6"/>
      <c r="WJR91" s="6"/>
      <c r="WJS91" s="6"/>
      <c r="WJT91" s="6"/>
      <c r="WJU91" s="6"/>
      <c r="WJV91" s="6"/>
      <c r="WJW91" s="6"/>
      <c r="WJX91" s="6"/>
      <c r="WJY91" s="6"/>
      <c r="WJZ91" s="6"/>
      <c r="WKA91" s="6"/>
      <c r="WKB91" s="6"/>
      <c r="WKC91" s="6"/>
      <c r="WKD91" s="6"/>
      <c r="WKE91" s="6"/>
      <c r="WKF91" s="6"/>
      <c r="WKG91" s="6"/>
      <c r="WKH91" s="6"/>
      <c r="WKI91" s="6"/>
      <c r="WKJ91" s="6"/>
      <c r="WKK91" s="6"/>
      <c r="WKL91" s="6"/>
      <c r="WKM91" s="6"/>
      <c r="WKN91" s="6"/>
      <c r="WKO91" s="6"/>
      <c r="WKP91" s="6"/>
      <c r="WKQ91" s="6"/>
      <c r="WKR91" s="6"/>
      <c r="WKS91" s="6"/>
      <c r="WKT91" s="6"/>
      <c r="WKU91" s="6"/>
      <c r="WKV91" s="6"/>
      <c r="WKW91" s="6"/>
      <c r="WKX91" s="6"/>
      <c r="WKY91" s="6"/>
      <c r="WKZ91" s="6"/>
      <c r="WLA91" s="6"/>
      <c r="WLB91" s="6"/>
      <c r="WLC91" s="6"/>
      <c r="WLD91" s="6"/>
      <c r="WLE91" s="6"/>
      <c r="WLF91" s="6"/>
      <c r="WLG91" s="6"/>
      <c r="WLH91" s="6"/>
      <c r="WLI91" s="6"/>
      <c r="WLJ91" s="6"/>
      <c r="WLK91" s="6"/>
      <c r="WLL91" s="6"/>
      <c r="WLM91" s="6"/>
      <c r="WLN91" s="6"/>
      <c r="WLO91" s="6"/>
      <c r="WLP91" s="6"/>
      <c r="WLQ91" s="6"/>
      <c r="WLR91" s="6"/>
      <c r="WLS91" s="6"/>
      <c r="WLT91" s="6"/>
      <c r="WLU91" s="6"/>
      <c r="WLV91" s="6"/>
      <c r="WLW91" s="6"/>
      <c r="WLX91" s="6"/>
      <c r="WLY91" s="6"/>
      <c r="WLZ91" s="6"/>
      <c r="WMA91" s="6"/>
      <c r="WMB91" s="6"/>
      <c r="WMC91" s="6"/>
      <c r="WMD91" s="6"/>
      <c r="WME91" s="6"/>
      <c r="WMF91" s="6"/>
      <c r="WMG91" s="6"/>
      <c r="WMH91" s="6"/>
      <c r="WMI91" s="6"/>
      <c r="WMJ91" s="6"/>
      <c r="WMK91" s="6"/>
      <c r="WML91" s="6"/>
      <c r="WMM91" s="6"/>
      <c r="WMN91" s="6"/>
      <c r="WMO91" s="6"/>
      <c r="WMP91" s="6"/>
      <c r="WMQ91" s="6"/>
      <c r="WMR91" s="6"/>
      <c r="WMS91" s="6"/>
      <c r="WMT91" s="6"/>
      <c r="WMU91" s="6"/>
      <c r="WMV91" s="6"/>
      <c r="WMW91" s="6"/>
      <c r="WMX91" s="6"/>
      <c r="WMY91" s="6"/>
      <c r="WMZ91" s="6"/>
      <c r="WNA91" s="6"/>
      <c r="WNB91" s="6"/>
      <c r="WNC91" s="6"/>
      <c r="WND91" s="6"/>
      <c r="WNE91" s="6"/>
      <c r="WNF91" s="6"/>
      <c r="WNG91" s="6"/>
      <c r="WNH91" s="6"/>
      <c r="WNI91" s="6"/>
      <c r="WNJ91" s="6"/>
      <c r="WNK91" s="6"/>
      <c r="WNL91" s="6"/>
      <c r="WNM91" s="6"/>
      <c r="WNN91" s="6"/>
      <c r="WNO91" s="6"/>
      <c r="WNP91" s="6"/>
      <c r="WNQ91" s="6"/>
      <c r="WNR91" s="6"/>
      <c r="WNS91" s="6"/>
      <c r="WNT91" s="6"/>
      <c r="WNU91" s="6"/>
      <c r="WNV91" s="6"/>
      <c r="WNW91" s="6"/>
      <c r="WNX91" s="6"/>
      <c r="WNY91" s="6"/>
      <c r="WNZ91" s="6"/>
      <c r="WOA91" s="6"/>
      <c r="WOB91" s="6"/>
      <c r="WOC91" s="6"/>
      <c r="WOD91" s="6"/>
      <c r="WOE91" s="6"/>
      <c r="WOF91" s="6"/>
      <c r="WOG91" s="6"/>
      <c r="WOH91" s="6"/>
      <c r="WOI91" s="6"/>
      <c r="WOJ91" s="6"/>
      <c r="WOK91" s="6"/>
      <c r="WOL91" s="6"/>
      <c r="WOM91" s="6"/>
      <c r="WON91" s="6"/>
      <c r="WOO91" s="6"/>
      <c r="WOP91" s="6"/>
      <c r="WOQ91" s="6"/>
      <c r="WOR91" s="6"/>
      <c r="WOS91" s="6"/>
      <c r="WOT91" s="6"/>
      <c r="WOU91" s="6"/>
      <c r="WOV91" s="6"/>
      <c r="WOW91" s="6"/>
      <c r="WOX91" s="6"/>
      <c r="WOY91" s="6"/>
      <c r="WOZ91" s="6"/>
      <c r="WPA91" s="6"/>
      <c r="WPB91" s="6"/>
      <c r="WPC91" s="6"/>
      <c r="WPD91" s="6"/>
      <c r="WPE91" s="6"/>
      <c r="WPF91" s="6"/>
      <c r="WPG91" s="6"/>
      <c r="WPH91" s="6"/>
      <c r="WPI91" s="6"/>
      <c r="WPJ91" s="6"/>
      <c r="WPK91" s="6"/>
      <c r="WPL91" s="6"/>
      <c r="WPM91" s="6"/>
      <c r="WPN91" s="6"/>
      <c r="WPO91" s="6"/>
      <c r="WPP91" s="6"/>
      <c r="WPQ91" s="6"/>
      <c r="WPR91" s="6"/>
      <c r="WPS91" s="6"/>
      <c r="WPT91" s="6"/>
      <c r="WPU91" s="6"/>
      <c r="WPV91" s="6"/>
      <c r="WPW91" s="6"/>
      <c r="WPX91" s="6"/>
      <c r="WPY91" s="6"/>
      <c r="WPZ91" s="6"/>
      <c r="WQA91" s="6"/>
      <c r="WQB91" s="6"/>
      <c r="WQC91" s="6"/>
      <c r="WQD91" s="6"/>
      <c r="WQE91" s="6"/>
      <c r="WQF91" s="6"/>
      <c r="WQG91" s="6"/>
      <c r="WQH91" s="6"/>
      <c r="WQI91" s="6"/>
      <c r="WQJ91" s="6"/>
      <c r="WQK91" s="6"/>
      <c r="WQL91" s="6"/>
      <c r="WQM91" s="6"/>
      <c r="WQN91" s="6"/>
      <c r="WQO91" s="6"/>
      <c r="WQP91" s="6"/>
      <c r="WQQ91" s="6"/>
      <c r="WQR91" s="6"/>
      <c r="WQS91" s="6"/>
      <c r="WQT91" s="6"/>
      <c r="WQU91" s="6"/>
      <c r="WQV91" s="6"/>
      <c r="WQW91" s="6"/>
      <c r="WQX91" s="6"/>
      <c r="WQY91" s="6"/>
      <c r="WQZ91" s="6"/>
      <c r="WRA91" s="6"/>
      <c r="WRB91" s="6"/>
      <c r="WRC91" s="6"/>
      <c r="WRD91" s="6"/>
      <c r="WRE91" s="6"/>
      <c r="WRF91" s="6"/>
      <c r="WRG91" s="6"/>
      <c r="WRH91" s="6"/>
      <c r="WRI91" s="6"/>
      <c r="WRJ91" s="6"/>
      <c r="WRK91" s="6"/>
      <c r="WRL91" s="6"/>
      <c r="WRM91" s="6"/>
      <c r="WRN91" s="6"/>
      <c r="WRO91" s="6"/>
      <c r="WRP91" s="6"/>
      <c r="WRQ91" s="6"/>
      <c r="WRR91" s="6"/>
      <c r="WRS91" s="6"/>
      <c r="WRT91" s="6"/>
      <c r="WRU91" s="6"/>
      <c r="WRV91" s="6"/>
      <c r="WRW91" s="6"/>
      <c r="WRX91" s="6"/>
      <c r="WRY91" s="6"/>
      <c r="WRZ91" s="6"/>
      <c r="WSA91" s="6"/>
      <c r="WSB91" s="6"/>
      <c r="WSC91" s="6"/>
      <c r="WSD91" s="6"/>
      <c r="WSE91" s="6"/>
      <c r="WSF91" s="6"/>
      <c r="WSG91" s="6"/>
      <c r="WSH91" s="6"/>
      <c r="WSI91" s="6"/>
      <c r="WSJ91" s="6"/>
      <c r="WSK91" s="6"/>
      <c r="WSL91" s="6"/>
      <c r="WSM91" s="6"/>
      <c r="WSN91" s="6"/>
      <c r="WSO91" s="6"/>
      <c r="WSP91" s="6"/>
      <c r="WSQ91" s="6"/>
      <c r="WSR91" s="6"/>
      <c r="WSS91" s="6"/>
      <c r="WST91" s="6"/>
      <c r="WSU91" s="6"/>
      <c r="WSV91" s="6"/>
      <c r="WSW91" s="6"/>
      <c r="WSX91" s="6"/>
      <c r="WSY91" s="6"/>
      <c r="WSZ91" s="6"/>
      <c r="WTA91" s="6"/>
      <c r="WTB91" s="6"/>
      <c r="WTC91" s="6"/>
      <c r="WTD91" s="6"/>
      <c r="WTE91" s="6"/>
      <c r="WTF91" s="6"/>
      <c r="WTG91" s="6"/>
      <c r="WTH91" s="6"/>
      <c r="WTI91" s="6"/>
      <c r="WTJ91" s="6"/>
      <c r="WTK91" s="6"/>
      <c r="WTL91" s="6"/>
      <c r="WTM91" s="6"/>
      <c r="WTN91" s="6"/>
      <c r="WTO91" s="6"/>
      <c r="WTP91" s="6"/>
      <c r="WTQ91" s="6"/>
      <c r="WTR91" s="6"/>
      <c r="WTS91" s="6"/>
      <c r="WTT91" s="6"/>
      <c r="WTU91" s="6"/>
      <c r="WTV91" s="6"/>
      <c r="WTW91" s="6"/>
      <c r="WTX91" s="6"/>
      <c r="WTY91" s="6"/>
      <c r="WTZ91" s="6"/>
      <c r="WUA91" s="6"/>
      <c r="WUB91" s="6"/>
      <c r="WUC91" s="6"/>
      <c r="WUD91" s="6"/>
      <c r="WUE91" s="6"/>
      <c r="WUF91" s="6"/>
      <c r="WUG91" s="6"/>
      <c r="WUH91" s="6"/>
      <c r="WUI91" s="6"/>
      <c r="WUJ91" s="6"/>
      <c r="WUK91" s="6"/>
      <c r="WUL91" s="6"/>
      <c r="WUM91" s="6"/>
      <c r="WUN91" s="6"/>
      <c r="WUO91" s="6"/>
      <c r="WUP91" s="6"/>
      <c r="WUQ91" s="6"/>
      <c r="WUR91" s="6"/>
      <c r="WUS91" s="6"/>
      <c r="WUT91" s="6"/>
      <c r="WUU91" s="6"/>
      <c r="WUV91" s="6"/>
      <c r="WUW91" s="6"/>
      <c r="WUX91" s="6"/>
      <c r="WUY91" s="6"/>
      <c r="WUZ91" s="6"/>
      <c r="WVA91" s="6"/>
      <c r="WVB91" s="6"/>
      <c r="WVC91" s="6"/>
      <c r="WVD91" s="6"/>
      <c r="WVE91" s="6"/>
      <c r="WVF91" s="6"/>
      <c r="WVG91" s="6"/>
      <c r="WVH91" s="6"/>
      <c r="WVI91" s="6"/>
      <c r="WVJ91" s="6"/>
      <c r="WVK91" s="6"/>
      <c r="WVL91" s="6"/>
      <c r="WVM91" s="6"/>
      <c r="WVN91" s="6"/>
      <c r="WVO91" s="6"/>
      <c r="WVP91" s="6"/>
      <c r="WVQ91" s="6"/>
      <c r="WVR91" s="6"/>
      <c r="WVS91" s="6"/>
      <c r="WVT91" s="6"/>
      <c r="WVU91" s="6"/>
      <c r="WVV91" s="6"/>
      <c r="WVW91" s="6"/>
      <c r="WVX91" s="6"/>
      <c r="WVY91" s="6"/>
      <c r="WVZ91" s="6"/>
      <c r="WWA91" s="6"/>
      <c r="WWB91" s="6"/>
      <c r="WWC91" s="6"/>
      <c r="WWD91" s="6"/>
      <c r="WWE91" s="6"/>
      <c r="WWF91" s="6"/>
      <c r="WWG91" s="6"/>
      <c r="WWH91" s="6"/>
      <c r="WWI91" s="6"/>
      <c r="WWJ91" s="6"/>
      <c r="WWK91" s="6"/>
      <c r="WWL91" s="6"/>
      <c r="WWM91" s="6"/>
      <c r="WWN91" s="6"/>
      <c r="WWO91" s="6"/>
      <c r="WWP91" s="6"/>
      <c r="WWQ91" s="6"/>
      <c r="WWR91" s="6"/>
      <c r="WWS91" s="6"/>
      <c r="WWT91" s="6"/>
      <c r="WWU91" s="6"/>
      <c r="WWV91" s="6"/>
      <c r="WWW91" s="6"/>
      <c r="WWX91" s="6"/>
      <c r="WWY91" s="6"/>
      <c r="WWZ91" s="6"/>
      <c r="WXA91" s="6"/>
      <c r="WXB91" s="6"/>
      <c r="WXC91" s="6"/>
      <c r="WXD91" s="6"/>
      <c r="WXE91" s="6"/>
      <c r="WXF91" s="6"/>
      <c r="WXG91" s="6"/>
      <c r="WXH91" s="6"/>
      <c r="WXI91" s="6"/>
      <c r="WXJ91" s="6"/>
      <c r="WXK91" s="6"/>
      <c r="WXL91" s="6"/>
      <c r="WXM91" s="6"/>
      <c r="WXN91" s="6"/>
      <c r="WXO91" s="6"/>
      <c r="WXP91" s="6"/>
      <c r="WXQ91" s="6"/>
      <c r="WXR91" s="6"/>
      <c r="WXS91" s="6"/>
      <c r="WXT91" s="6"/>
      <c r="WXU91" s="6"/>
      <c r="WXV91" s="6"/>
      <c r="WXW91" s="6"/>
      <c r="WXX91" s="6"/>
      <c r="WXY91" s="6"/>
      <c r="WXZ91" s="6"/>
      <c r="WYA91" s="6"/>
      <c r="WYB91" s="6"/>
      <c r="WYC91" s="6"/>
      <c r="WYD91" s="6"/>
      <c r="WYE91" s="6"/>
      <c r="WYF91" s="6"/>
      <c r="WYG91" s="6"/>
      <c r="WYH91" s="6"/>
      <c r="WYI91" s="6"/>
      <c r="WYJ91" s="6"/>
      <c r="WYK91" s="6"/>
      <c r="WYL91" s="6"/>
      <c r="WYM91" s="6"/>
      <c r="WYN91" s="6"/>
      <c r="WYO91" s="6"/>
      <c r="WYP91" s="6"/>
      <c r="WYQ91" s="6"/>
      <c r="WYR91" s="6"/>
      <c r="WYS91" s="6"/>
      <c r="WYT91" s="6"/>
      <c r="WYU91" s="6"/>
      <c r="WYV91" s="6"/>
      <c r="WYW91" s="6"/>
      <c r="WYX91" s="6"/>
      <c r="WYY91" s="6"/>
      <c r="WYZ91" s="6"/>
      <c r="WZA91" s="6"/>
      <c r="WZB91" s="6"/>
      <c r="WZC91" s="6"/>
      <c r="WZD91" s="6"/>
      <c r="WZE91" s="6"/>
      <c r="WZF91" s="6"/>
      <c r="WZG91" s="6"/>
      <c r="WZH91" s="6"/>
      <c r="WZI91" s="6"/>
      <c r="WZJ91" s="6"/>
      <c r="WZK91" s="6"/>
      <c r="WZL91" s="6"/>
      <c r="WZM91" s="6"/>
      <c r="WZN91" s="6"/>
      <c r="WZO91" s="6"/>
      <c r="WZP91" s="6"/>
      <c r="WZQ91" s="6"/>
      <c r="WZR91" s="6"/>
      <c r="WZS91" s="6"/>
      <c r="WZT91" s="6"/>
      <c r="WZU91" s="6"/>
      <c r="WZV91" s="6"/>
      <c r="WZW91" s="6"/>
      <c r="WZX91" s="6"/>
      <c r="WZY91" s="6"/>
      <c r="WZZ91" s="6"/>
      <c r="XAA91" s="6"/>
      <c r="XAB91" s="6"/>
      <c r="XAC91" s="6"/>
      <c r="XAD91" s="6"/>
      <c r="XAE91" s="6"/>
      <c r="XAF91" s="6"/>
      <c r="XAG91" s="6"/>
      <c r="XAH91" s="6"/>
      <c r="XAI91" s="6"/>
      <c r="XAJ91" s="6"/>
      <c r="XAK91" s="6"/>
      <c r="XAL91" s="6"/>
      <c r="XAM91" s="6"/>
      <c r="XAN91" s="6"/>
      <c r="XAO91" s="6"/>
      <c r="XAP91" s="6"/>
      <c r="XAQ91" s="6"/>
      <c r="XAR91" s="6"/>
      <c r="XAS91" s="6"/>
      <c r="XAT91" s="6"/>
      <c r="XAU91" s="6"/>
      <c r="XAV91" s="6"/>
      <c r="XAW91" s="6"/>
      <c r="XAX91" s="6"/>
      <c r="XAY91" s="6"/>
      <c r="XAZ91" s="6"/>
      <c r="XBA91" s="6"/>
      <c r="XBB91" s="6"/>
      <c r="XBC91" s="6"/>
      <c r="XBD91" s="6"/>
      <c r="XBE91" s="6"/>
      <c r="XBF91" s="6"/>
      <c r="XBG91" s="6"/>
      <c r="XBH91" s="6"/>
      <c r="XBI91" s="6"/>
      <c r="XBJ91" s="6"/>
      <c r="XBK91" s="6"/>
      <c r="XBL91" s="6"/>
      <c r="XBM91" s="6"/>
      <c r="XBN91" s="6"/>
      <c r="XBO91" s="6"/>
      <c r="XBP91" s="6"/>
      <c r="XBQ91" s="6"/>
      <c r="XBR91" s="6"/>
      <c r="XBS91" s="6"/>
      <c r="XBT91" s="6"/>
      <c r="XBU91" s="6"/>
      <c r="XBV91" s="6"/>
      <c r="XBW91" s="6"/>
      <c r="XBX91" s="6"/>
      <c r="XBY91" s="6"/>
      <c r="XBZ91" s="6"/>
      <c r="XCA91" s="6"/>
      <c r="XCB91" s="6"/>
      <c r="XCC91" s="6"/>
      <c r="XCD91" s="6"/>
      <c r="XCE91" s="6"/>
      <c r="XCF91" s="6"/>
      <c r="XCG91" s="6"/>
      <c r="XCH91" s="6"/>
      <c r="XCI91" s="6"/>
      <c r="XCJ91" s="6"/>
      <c r="XCK91" s="6"/>
      <c r="XCL91" s="6"/>
      <c r="XCM91" s="6"/>
      <c r="XCN91" s="6"/>
      <c r="XCO91" s="6"/>
      <c r="XCP91" s="6"/>
      <c r="XCQ91" s="6"/>
      <c r="XCR91" s="6"/>
      <c r="XCS91" s="6"/>
      <c r="XCT91" s="6"/>
      <c r="XCU91" s="6"/>
      <c r="XCV91" s="6"/>
      <c r="XCW91" s="6"/>
    </row>
    <row r="92" spans="1:16325" s="153" customFormat="1" hidden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  <c r="AA92" s="6"/>
      <c r="AB92" s="6"/>
      <c r="AC92" s="6"/>
      <c r="AD92" s="6"/>
      <c r="AE92" s="6"/>
      <c r="AF92" s="6"/>
      <c r="AG92" s="6"/>
      <c r="AH92" s="6"/>
      <c r="AI92" s="6"/>
      <c r="AJ92" s="6"/>
      <c r="AK92" s="6"/>
      <c r="AL92" s="6"/>
      <c r="AM92" s="6"/>
      <c r="AN92" s="6"/>
      <c r="AO92" s="6"/>
      <c r="AP92" s="6"/>
      <c r="AQ92" s="6"/>
      <c r="AR92" s="6"/>
      <c r="AS92" s="6"/>
      <c r="AT92" s="6"/>
      <c r="AU92" s="6"/>
      <c r="AV92" s="6"/>
      <c r="AW92" s="6"/>
      <c r="AX92" s="6"/>
      <c r="AY92" s="6"/>
      <c r="AZ92" s="6"/>
      <c r="BA92" s="6"/>
      <c r="BB92" s="6"/>
      <c r="BC92" s="6"/>
      <c r="BD92" s="6"/>
      <c r="BE92" s="6"/>
      <c r="BF92" s="6"/>
      <c r="BG92" s="6"/>
      <c r="BH92" s="6"/>
      <c r="BI92" s="6"/>
      <c r="BJ92" s="6"/>
      <c r="BK92" s="6"/>
      <c r="BL92" s="6"/>
      <c r="BM92" s="6"/>
      <c r="BN92" s="6"/>
      <c r="BO92" s="6"/>
      <c r="BP92" s="6"/>
      <c r="BQ92" s="6"/>
      <c r="BR92" s="6"/>
      <c r="BS92" s="6"/>
      <c r="BT92" s="6"/>
      <c r="BU92" s="6"/>
      <c r="BV92" s="6"/>
      <c r="BW92" s="6"/>
      <c r="BX92" s="6"/>
      <c r="BY92" s="6"/>
      <c r="BZ92" s="6"/>
      <c r="CA92" s="6"/>
      <c r="CB92" s="6"/>
      <c r="CC92" s="6"/>
      <c r="CD92" s="6"/>
      <c r="CE92" s="6"/>
      <c r="CF92" s="6"/>
      <c r="CG92" s="6"/>
      <c r="CH92" s="6"/>
      <c r="CI92" s="6"/>
      <c r="CJ92" s="6"/>
      <c r="CK92" s="6"/>
      <c r="CL92" s="6"/>
      <c r="CM92" s="6"/>
      <c r="CN92" s="6"/>
      <c r="CO92" s="6"/>
      <c r="CP92" s="6"/>
      <c r="CQ92" s="6"/>
      <c r="CR92" s="6"/>
      <c r="CS92" s="6"/>
      <c r="CT92" s="6"/>
      <c r="CU92" s="6"/>
      <c r="CV92" s="6"/>
      <c r="CW92" s="6"/>
      <c r="CX92" s="6"/>
      <c r="CY92" s="6"/>
      <c r="CZ92" s="6"/>
      <c r="DA92" s="6"/>
      <c r="DB92" s="6"/>
      <c r="DC92" s="6"/>
      <c r="DD92" s="6"/>
      <c r="DE92" s="6"/>
      <c r="DF92" s="6"/>
      <c r="DG92" s="6"/>
      <c r="DH92" s="6"/>
      <c r="DI92" s="6"/>
      <c r="DJ92" s="6"/>
      <c r="DK92" s="6"/>
      <c r="DL92" s="6"/>
      <c r="DM92" s="6"/>
      <c r="DN92" s="6"/>
      <c r="DO92" s="6"/>
      <c r="DP92" s="6"/>
      <c r="DQ92" s="6"/>
      <c r="DR92" s="6"/>
      <c r="DS92" s="6"/>
      <c r="DT92" s="6"/>
      <c r="DU92" s="6"/>
      <c r="DV92" s="6"/>
      <c r="DW92" s="6"/>
      <c r="DX92" s="6"/>
      <c r="DY92" s="6"/>
      <c r="DZ92" s="6"/>
      <c r="EA92" s="6"/>
      <c r="EB92" s="6"/>
      <c r="EC92" s="6"/>
      <c r="ED92" s="6"/>
      <c r="EE92" s="6"/>
      <c r="EF92" s="6"/>
      <c r="EG92" s="6"/>
      <c r="EH92" s="6"/>
      <c r="EI92" s="6"/>
      <c r="EJ92" s="6"/>
      <c r="EK92" s="6"/>
      <c r="EL92" s="6"/>
      <c r="EM92" s="6"/>
      <c r="EN92" s="6"/>
      <c r="EO92" s="6"/>
      <c r="EP92" s="6"/>
      <c r="EQ92" s="6"/>
      <c r="ER92" s="6"/>
      <c r="ES92" s="6"/>
      <c r="ET92" s="6"/>
      <c r="EU92" s="6"/>
      <c r="EV92" s="6"/>
      <c r="EW92" s="6"/>
      <c r="EX92" s="6"/>
      <c r="EY92" s="6"/>
      <c r="EZ92" s="6"/>
      <c r="FA92" s="6"/>
      <c r="FB92" s="6"/>
      <c r="FC92" s="6"/>
      <c r="FD92" s="6"/>
      <c r="FE92" s="6"/>
      <c r="FF92" s="6"/>
      <c r="FG92" s="6"/>
      <c r="FH92" s="6"/>
      <c r="FI92" s="6"/>
      <c r="FJ92" s="6"/>
      <c r="FK92" s="6"/>
      <c r="FL92" s="6"/>
      <c r="FM92" s="6"/>
      <c r="FN92" s="6"/>
      <c r="FO92" s="6"/>
      <c r="FP92" s="6"/>
      <c r="FQ92" s="6"/>
      <c r="FR92" s="6"/>
      <c r="FS92" s="6"/>
      <c r="FT92" s="6"/>
      <c r="FU92" s="6"/>
      <c r="FV92" s="6"/>
      <c r="FW92" s="6"/>
      <c r="FX92" s="6"/>
      <c r="FY92" s="6"/>
      <c r="FZ92" s="6"/>
      <c r="GA92" s="6"/>
      <c r="GB92" s="6"/>
      <c r="GC92" s="6"/>
      <c r="GD92" s="6"/>
      <c r="GE92" s="6"/>
      <c r="GF92" s="6"/>
      <c r="GG92" s="6"/>
      <c r="GH92" s="6"/>
      <c r="GI92" s="6"/>
      <c r="GJ92" s="6"/>
      <c r="GK92" s="6"/>
      <c r="GL92" s="6"/>
      <c r="GM92" s="6"/>
      <c r="GN92" s="6"/>
      <c r="GO92" s="6"/>
      <c r="GP92" s="6"/>
      <c r="GQ92" s="6"/>
      <c r="GR92" s="6"/>
      <c r="GS92" s="6"/>
      <c r="GT92" s="6"/>
      <c r="GU92" s="6"/>
      <c r="GV92" s="6"/>
      <c r="GW92" s="6"/>
      <c r="GX92" s="6"/>
      <c r="GY92" s="6"/>
      <c r="GZ92" s="6"/>
      <c r="HA92" s="6"/>
      <c r="HB92" s="6"/>
      <c r="HC92" s="6"/>
      <c r="HD92" s="6"/>
      <c r="HE92" s="6"/>
      <c r="HF92" s="6"/>
      <c r="HG92" s="6"/>
      <c r="HH92" s="6"/>
      <c r="HI92" s="6"/>
      <c r="HJ92" s="6"/>
      <c r="HK92" s="6"/>
      <c r="HL92" s="6"/>
      <c r="HM92" s="6"/>
      <c r="HN92" s="6"/>
      <c r="HO92" s="6"/>
      <c r="HP92" s="6"/>
      <c r="HQ92" s="6"/>
      <c r="HR92" s="6"/>
      <c r="HS92" s="6"/>
      <c r="HT92" s="6"/>
      <c r="HU92" s="6"/>
      <c r="HV92" s="6"/>
      <c r="HW92" s="6"/>
      <c r="HX92" s="6"/>
      <c r="HY92" s="6"/>
      <c r="HZ92" s="6"/>
      <c r="IA92" s="6"/>
      <c r="IB92" s="6"/>
      <c r="IC92" s="6"/>
      <c r="ID92" s="6"/>
      <c r="IE92" s="6"/>
      <c r="IF92" s="6"/>
      <c r="IG92" s="6"/>
      <c r="IH92" s="6"/>
      <c r="II92" s="6"/>
      <c r="IJ92" s="6"/>
      <c r="IK92" s="6"/>
      <c r="IL92" s="6"/>
      <c r="IM92" s="6"/>
      <c r="IN92" s="6"/>
      <c r="IO92" s="6"/>
      <c r="IP92" s="6"/>
      <c r="IQ92" s="6"/>
      <c r="IR92" s="6"/>
      <c r="IS92" s="6"/>
      <c r="IT92" s="6"/>
      <c r="IU92" s="6"/>
      <c r="IV92" s="6"/>
      <c r="IW92" s="6"/>
      <c r="IX92" s="6"/>
      <c r="IY92" s="6"/>
      <c r="IZ92" s="6"/>
      <c r="JA92" s="6"/>
      <c r="JB92" s="6"/>
      <c r="JC92" s="6"/>
      <c r="JD92" s="6"/>
      <c r="JE92" s="6"/>
      <c r="JF92" s="6"/>
      <c r="JG92" s="6"/>
      <c r="JH92" s="6"/>
      <c r="JI92" s="6"/>
      <c r="JJ92" s="6"/>
      <c r="JK92" s="6"/>
      <c r="JL92" s="6"/>
      <c r="JM92" s="6"/>
      <c r="JN92" s="6"/>
      <c r="JO92" s="6"/>
      <c r="JP92" s="6"/>
      <c r="JQ92" s="6"/>
      <c r="JR92" s="6"/>
      <c r="JS92" s="6"/>
      <c r="JT92" s="6"/>
      <c r="JU92" s="6"/>
      <c r="JV92" s="6"/>
      <c r="JW92" s="6"/>
      <c r="JX92" s="6"/>
      <c r="JY92" s="6"/>
      <c r="JZ92" s="6"/>
      <c r="KA92" s="6"/>
      <c r="KB92" s="6"/>
      <c r="KC92" s="6"/>
      <c r="KD92" s="6"/>
      <c r="KE92" s="6"/>
      <c r="KF92" s="6"/>
      <c r="KG92" s="6"/>
      <c r="KH92" s="6"/>
      <c r="KI92" s="6"/>
      <c r="KJ92" s="6"/>
      <c r="KK92" s="6"/>
      <c r="KL92" s="6"/>
      <c r="KM92" s="6"/>
      <c r="KN92" s="6"/>
      <c r="KO92" s="6"/>
      <c r="KP92" s="6"/>
      <c r="KQ92" s="6"/>
      <c r="KR92" s="6"/>
      <c r="KS92" s="6"/>
      <c r="KT92" s="6"/>
      <c r="KU92" s="6"/>
      <c r="KV92" s="6"/>
      <c r="KW92" s="6"/>
      <c r="KX92" s="6"/>
      <c r="KY92" s="6"/>
      <c r="KZ92" s="6"/>
      <c r="LA92" s="6"/>
      <c r="LB92" s="6"/>
      <c r="LC92" s="6"/>
      <c r="LD92" s="6"/>
      <c r="LE92" s="6"/>
      <c r="LF92" s="6"/>
      <c r="LG92" s="6"/>
      <c r="LH92" s="6"/>
      <c r="LI92" s="6"/>
      <c r="LJ92" s="6"/>
      <c r="LK92" s="6"/>
      <c r="LL92" s="6"/>
      <c r="LM92" s="6"/>
      <c r="LN92" s="6"/>
      <c r="LO92" s="6"/>
      <c r="LP92" s="6"/>
      <c r="LQ92" s="6"/>
      <c r="LR92" s="6"/>
      <c r="LS92" s="6"/>
      <c r="LT92" s="6"/>
      <c r="LU92" s="6"/>
      <c r="LV92" s="6"/>
      <c r="LW92" s="6"/>
      <c r="LX92" s="6"/>
      <c r="LY92" s="6"/>
      <c r="LZ92" s="6"/>
      <c r="MA92" s="6"/>
      <c r="MB92" s="6"/>
      <c r="MC92" s="6"/>
      <c r="MD92" s="6"/>
      <c r="ME92" s="6"/>
      <c r="MF92" s="6"/>
      <c r="MG92" s="6"/>
      <c r="MH92" s="6"/>
      <c r="MI92" s="6"/>
      <c r="MJ92" s="6"/>
      <c r="MK92" s="6"/>
      <c r="ML92" s="6"/>
      <c r="MM92" s="6"/>
      <c r="MN92" s="6"/>
      <c r="MO92" s="6"/>
      <c r="MP92" s="6"/>
      <c r="MQ92" s="6"/>
      <c r="MR92" s="6"/>
      <c r="MS92" s="6"/>
      <c r="MT92" s="6"/>
      <c r="MU92" s="6"/>
      <c r="MV92" s="6"/>
      <c r="MW92" s="6"/>
      <c r="MX92" s="6"/>
      <c r="MY92" s="6"/>
      <c r="MZ92" s="6"/>
      <c r="NA92" s="6"/>
      <c r="NB92" s="6"/>
      <c r="NC92" s="6"/>
      <c r="ND92" s="6"/>
      <c r="NE92" s="6"/>
      <c r="NF92" s="6"/>
      <c r="NG92" s="6"/>
      <c r="NH92" s="6"/>
      <c r="NI92" s="6"/>
      <c r="NJ92" s="6"/>
      <c r="NK92" s="6"/>
      <c r="NL92" s="6"/>
      <c r="NM92" s="6"/>
      <c r="NN92" s="6"/>
      <c r="NO92" s="6"/>
      <c r="NP92" s="6"/>
      <c r="NQ92" s="6"/>
      <c r="NR92" s="6"/>
      <c r="NS92" s="6"/>
      <c r="NT92" s="6"/>
      <c r="NU92" s="6"/>
      <c r="NV92" s="6"/>
      <c r="NW92" s="6"/>
      <c r="NX92" s="6"/>
      <c r="NY92" s="6"/>
      <c r="NZ92" s="6"/>
      <c r="OA92" s="6"/>
      <c r="OB92" s="6"/>
      <c r="OC92" s="6"/>
      <c r="OD92" s="6"/>
      <c r="OE92" s="6"/>
      <c r="OF92" s="6"/>
      <c r="OG92" s="6"/>
      <c r="OH92" s="6"/>
      <c r="OI92" s="6"/>
      <c r="OJ92" s="6"/>
      <c r="OK92" s="6"/>
      <c r="OL92" s="6"/>
      <c r="OM92" s="6"/>
      <c r="ON92" s="6"/>
      <c r="OO92" s="6"/>
      <c r="OP92" s="6"/>
      <c r="OQ92" s="6"/>
      <c r="OR92" s="6"/>
      <c r="OS92" s="6"/>
      <c r="OT92" s="6"/>
      <c r="OU92" s="6"/>
      <c r="OV92" s="6"/>
      <c r="OW92" s="6"/>
      <c r="OX92" s="6"/>
      <c r="OY92" s="6"/>
      <c r="OZ92" s="6"/>
      <c r="PA92" s="6"/>
      <c r="PB92" s="6"/>
      <c r="PC92" s="6"/>
      <c r="PD92" s="6"/>
      <c r="PE92" s="6"/>
      <c r="PF92" s="6"/>
      <c r="PG92" s="6"/>
      <c r="PH92" s="6"/>
      <c r="PI92" s="6"/>
      <c r="PJ92" s="6"/>
      <c r="PK92" s="6"/>
      <c r="PL92" s="6"/>
      <c r="PM92" s="6"/>
      <c r="PN92" s="6"/>
      <c r="PO92" s="6"/>
      <c r="PP92" s="6"/>
      <c r="PQ92" s="6"/>
      <c r="PR92" s="6"/>
      <c r="PS92" s="6"/>
      <c r="PT92" s="6"/>
      <c r="PU92" s="6"/>
      <c r="PV92" s="6"/>
      <c r="PW92" s="6"/>
      <c r="PX92" s="6"/>
      <c r="PY92" s="6"/>
      <c r="PZ92" s="6"/>
      <c r="QA92" s="6"/>
      <c r="QB92" s="6"/>
      <c r="QC92" s="6"/>
      <c r="QD92" s="6"/>
      <c r="QE92" s="6"/>
      <c r="QF92" s="6"/>
      <c r="QG92" s="6"/>
      <c r="QH92" s="6"/>
      <c r="QI92" s="6"/>
      <c r="QJ92" s="6"/>
      <c r="QK92" s="6"/>
      <c r="QL92" s="6"/>
      <c r="QM92" s="6"/>
      <c r="QN92" s="6"/>
      <c r="QO92" s="6"/>
      <c r="QP92" s="6"/>
      <c r="QQ92" s="6"/>
      <c r="QR92" s="6"/>
      <c r="QS92" s="6"/>
      <c r="QT92" s="6"/>
      <c r="QU92" s="6"/>
      <c r="QV92" s="6"/>
      <c r="QW92" s="6"/>
      <c r="QX92" s="6"/>
      <c r="QY92" s="6"/>
      <c r="QZ92" s="6"/>
      <c r="RA92" s="6"/>
      <c r="RB92" s="6"/>
      <c r="RC92" s="6"/>
      <c r="RD92" s="6"/>
      <c r="RE92" s="6"/>
      <c r="RF92" s="6"/>
      <c r="RG92" s="6"/>
      <c r="RH92" s="6"/>
      <c r="RI92" s="6"/>
      <c r="RJ92" s="6"/>
      <c r="RK92" s="6"/>
      <c r="RL92" s="6"/>
      <c r="RM92" s="6"/>
      <c r="RN92" s="6"/>
      <c r="RO92" s="6"/>
      <c r="RP92" s="6"/>
      <c r="RQ92" s="6"/>
      <c r="RR92" s="6"/>
      <c r="RS92" s="6"/>
      <c r="RT92" s="6"/>
      <c r="RU92" s="6"/>
      <c r="RV92" s="6"/>
      <c r="RW92" s="6"/>
      <c r="RX92" s="6"/>
      <c r="RY92" s="6"/>
      <c r="RZ92" s="6"/>
      <c r="SA92" s="6"/>
      <c r="SB92" s="6"/>
      <c r="SC92" s="6"/>
      <c r="SD92" s="6"/>
      <c r="SE92" s="6"/>
      <c r="SF92" s="6"/>
      <c r="SG92" s="6"/>
      <c r="SH92" s="6"/>
      <c r="SI92" s="6"/>
      <c r="SJ92" s="6"/>
      <c r="SK92" s="6"/>
      <c r="SL92" s="6"/>
      <c r="SM92" s="6"/>
      <c r="SN92" s="6"/>
      <c r="SO92" s="6"/>
      <c r="SP92" s="6"/>
      <c r="SQ92" s="6"/>
      <c r="SR92" s="6"/>
      <c r="SS92" s="6"/>
      <c r="ST92" s="6"/>
      <c r="SU92" s="6"/>
      <c r="SV92" s="6"/>
      <c r="SW92" s="6"/>
      <c r="SX92" s="6"/>
      <c r="SY92" s="6"/>
      <c r="SZ92" s="6"/>
      <c r="TA92" s="6"/>
      <c r="TB92" s="6"/>
      <c r="TC92" s="6"/>
      <c r="TD92" s="6"/>
      <c r="TE92" s="6"/>
      <c r="TF92" s="6"/>
      <c r="TG92" s="6"/>
      <c r="TH92" s="6"/>
      <c r="TI92" s="6"/>
      <c r="TJ92" s="6"/>
      <c r="TK92" s="6"/>
      <c r="TL92" s="6"/>
      <c r="TM92" s="6"/>
      <c r="TN92" s="6"/>
      <c r="TO92" s="6"/>
      <c r="TP92" s="6"/>
      <c r="TQ92" s="6"/>
      <c r="TR92" s="6"/>
      <c r="TS92" s="6"/>
      <c r="TT92" s="6"/>
      <c r="TU92" s="6"/>
      <c r="TV92" s="6"/>
      <c r="TW92" s="6"/>
      <c r="TX92" s="6"/>
      <c r="TY92" s="6"/>
      <c r="TZ92" s="6"/>
      <c r="UA92" s="6"/>
      <c r="UB92" s="6"/>
      <c r="UC92" s="6"/>
      <c r="UD92" s="6"/>
      <c r="UE92" s="6"/>
      <c r="UF92" s="6"/>
      <c r="UG92" s="6"/>
      <c r="UH92" s="6"/>
      <c r="UI92" s="6"/>
      <c r="UJ92" s="6"/>
      <c r="UK92" s="6"/>
      <c r="UL92" s="6"/>
      <c r="UM92" s="6"/>
      <c r="UN92" s="6"/>
      <c r="UO92" s="6"/>
      <c r="UP92" s="6"/>
      <c r="UQ92" s="6"/>
      <c r="UR92" s="6"/>
      <c r="US92" s="6"/>
      <c r="UT92" s="6"/>
      <c r="UU92" s="6"/>
      <c r="UV92" s="6"/>
      <c r="UW92" s="6"/>
      <c r="UX92" s="6"/>
      <c r="UY92" s="6"/>
      <c r="UZ92" s="6"/>
      <c r="VA92" s="6"/>
      <c r="VB92" s="6"/>
      <c r="VC92" s="6"/>
      <c r="VD92" s="6"/>
      <c r="VE92" s="6"/>
      <c r="VF92" s="6"/>
      <c r="VG92" s="6"/>
      <c r="VH92" s="6"/>
      <c r="VI92" s="6"/>
      <c r="VJ92" s="6"/>
      <c r="VK92" s="6"/>
      <c r="VL92" s="6"/>
      <c r="VM92" s="6"/>
      <c r="VN92" s="6"/>
      <c r="VO92" s="6"/>
      <c r="VP92" s="6"/>
      <c r="VQ92" s="6"/>
      <c r="VR92" s="6"/>
      <c r="VS92" s="6"/>
      <c r="VT92" s="6"/>
      <c r="VU92" s="6"/>
      <c r="VV92" s="6"/>
      <c r="VW92" s="6"/>
      <c r="VX92" s="6"/>
      <c r="VY92" s="6"/>
      <c r="VZ92" s="6"/>
      <c r="WA92" s="6"/>
      <c r="WB92" s="6"/>
      <c r="WC92" s="6"/>
      <c r="WD92" s="6"/>
      <c r="WE92" s="6"/>
      <c r="WF92" s="6"/>
      <c r="WG92" s="6"/>
      <c r="WH92" s="6"/>
      <c r="WI92" s="6"/>
      <c r="WJ92" s="6"/>
      <c r="WK92" s="6"/>
      <c r="WL92" s="6"/>
      <c r="WM92" s="6"/>
      <c r="WN92" s="6"/>
      <c r="WO92" s="6"/>
      <c r="WP92" s="6"/>
      <c r="WQ92" s="6"/>
      <c r="WR92" s="6"/>
      <c r="WS92" s="6"/>
      <c r="WT92" s="6"/>
      <c r="WU92" s="6"/>
      <c r="WV92" s="6"/>
      <c r="WW92" s="6"/>
      <c r="WX92" s="6"/>
      <c r="WY92" s="6"/>
      <c r="WZ92" s="6"/>
      <c r="XA92" s="6"/>
      <c r="XB92" s="6"/>
      <c r="XC92" s="6"/>
      <c r="XD92" s="6"/>
      <c r="XE92" s="6"/>
      <c r="XF92" s="6"/>
      <c r="XG92" s="6"/>
      <c r="XH92" s="6"/>
      <c r="XI92" s="6"/>
      <c r="XJ92" s="6"/>
      <c r="XK92" s="6"/>
      <c r="XL92" s="6"/>
      <c r="XM92" s="6"/>
      <c r="XN92" s="6"/>
      <c r="XO92" s="6"/>
      <c r="XP92" s="6"/>
      <c r="XQ92" s="6"/>
      <c r="XR92" s="6"/>
      <c r="XS92" s="6"/>
      <c r="XT92" s="6"/>
      <c r="XU92" s="6"/>
      <c r="XV92" s="6"/>
      <c r="XW92" s="6"/>
      <c r="XX92" s="6"/>
      <c r="XY92" s="6"/>
      <c r="XZ92" s="6"/>
      <c r="YA92" s="6"/>
      <c r="YB92" s="6"/>
      <c r="YC92" s="6"/>
      <c r="YD92" s="6"/>
      <c r="YE92" s="6"/>
      <c r="YF92" s="6"/>
      <c r="YG92" s="6"/>
      <c r="YH92" s="6"/>
      <c r="YI92" s="6"/>
      <c r="YJ92" s="6"/>
      <c r="YK92" s="6"/>
      <c r="YL92" s="6"/>
      <c r="YM92" s="6"/>
      <c r="YN92" s="6"/>
      <c r="YO92" s="6"/>
      <c r="YP92" s="6"/>
      <c r="YQ92" s="6"/>
      <c r="YR92" s="6"/>
      <c r="YS92" s="6"/>
      <c r="YT92" s="6"/>
      <c r="YU92" s="6"/>
      <c r="YV92" s="6"/>
      <c r="YW92" s="6"/>
      <c r="YX92" s="6"/>
      <c r="YY92" s="6"/>
      <c r="YZ92" s="6"/>
      <c r="ZA92" s="6"/>
      <c r="ZB92" s="6"/>
      <c r="ZC92" s="6"/>
      <c r="ZD92" s="6"/>
      <c r="ZE92" s="6"/>
      <c r="ZF92" s="6"/>
      <c r="ZG92" s="6"/>
      <c r="ZH92" s="6"/>
      <c r="ZI92" s="6"/>
      <c r="ZJ92" s="6"/>
      <c r="ZK92" s="6"/>
      <c r="ZL92" s="6"/>
      <c r="ZM92" s="6"/>
      <c r="ZN92" s="6"/>
      <c r="ZO92" s="6"/>
      <c r="ZP92" s="6"/>
      <c r="ZQ92" s="6"/>
      <c r="ZR92" s="6"/>
      <c r="ZS92" s="6"/>
      <c r="ZT92" s="6"/>
      <c r="ZU92" s="6"/>
      <c r="ZV92" s="6"/>
      <c r="ZW92" s="6"/>
      <c r="ZX92" s="6"/>
      <c r="ZY92" s="6"/>
      <c r="ZZ92" s="6"/>
      <c r="AAA92" s="6"/>
      <c r="AAB92" s="6"/>
      <c r="AAC92" s="6"/>
      <c r="AAD92" s="6"/>
      <c r="AAE92" s="6"/>
      <c r="AAF92" s="6"/>
      <c r="AAG92" s="6"/>
      <c r="AAH92" s="6"/>
      <c r="AAI92" s="6"/>
      <c r="AAJ92" s="6"/>
      <c r="AAK92" s="6"/>
      <c r="AAL92" s="6"/>
      <c r="AAM92" s="6"/>
      <c r="AAN92" s="6"/>
      <c r="AAO92" s="6"/>
      <c r="AAP92" s="6"/>
      <c r="AAQ92" s="6"/>
      <c r="AAR92" s="6"/>
      <c r="AAS92" s="6"/>
      <c r="AAT92" s="6"/>
      <c r="AAU92" s="6"/>
      <c r="AAV92" s="6"/>
      <c r="AAW92" s="6"/>
      <c r="AAX92" s="6"/>
      <c r="AAY92" s="6"/>
      <c r="AAZ92" s="6"/>
      <c r="ABA92" s="6"/>
      <c r="ABB92" s="6"/>
      <c r="ABC92" s="6"/>
      <c r="ABD92" s="6"/>
      <c r="ABE92" s="6"/>
      <c r="ABF92" s="6"/>
      <c r="ABG92" s="6"/>
      <c r="ABH92" s="6"/>
      <c r="ABI92" s="6"/>
      <c r="ABJ92" s="6"/>
      <c r="ABK92" s="6"/>
      <c r="ABL92" s="6"/>
      <c r="ABM92" s="6"/>
      <c r="ABN92" s="6"/>
      <c r="ABO92" s="6"/>
      <c r="ABP92" s="6"/>
      <c r="ABQ92" s="6"/>
      <c r="ABR92" s="6"/>
      <c r="ABS92" s="6"/>
      <c r="ABT92" s="6"/>
      <c r="ABU92" s="6"/>
      <c r="ABV92" s="6"/>
      <c r="ABW92" s="6"/>
      <c r="ABX92" s="6"/>
      <c r="ABY92" s="6"/>
      <c r="ABZ92" s="6"/>
      <c r="ACA92" s="6"/>
      <c r="ACB92" s="6"/>
      <c r="ACC92" s="6"/>
      <c r="ACD92" s="6"/>
      <c r="ACE92" s="6"/>
      <c r="ACF92" s="6"/>
      <c r="ACG92" s="6"/>
      <c r="ACH92" s="6"/>
      <c r="ACI92" s="6"/>
      <c r="ACJ92" s="6"/>
      <c r="ACK92" s="6"/>
      <c r="ACL92" s="6"/>
      <c r="ACM92" s="6"/>
      <c r="ACN92" s="6"/>
      <c r="ACO92" s="6"/>
      <c r="ACP92" s="6"/>
      <c r="ACQ92" s="6"/>
      <c r="ACR92" s="6"/>
      <c r="ACS92" s="6"/>
      <c r="ACT92" s="6"/>
      <c r="ACU92" s="6"/>
      <c r="ACV92" s="6"/>
      <c r="ACW92" s="6"/>
      <c r="ACX92" s="6"/>
      <c r="ACY92" s="6"/>
      <c r="ACZ92" s="6"/>
      <c r="ADA92" s="6"/>
      <c r="ADB92" s="6"/>
      <c r="ADC92" s="6"/>
      <c r="ADD92" s="6"/>
      <c r="ADE92" s="6"/>
      <c r="ADF92" s="6"/>
      <c r="ADG92" s="6"/>
      <c r="ADH92" s="6"/>
      <c r="ADI92" s="6"/>
      <c r="ADJ92" s="6"/>
      <c r="ADK92" s="6"/>
      <c r="ADL92" s="6"/>
      <c r="ADM92" s="6"/>
      <c r="ADN92" s="6"/>
      <c r="ADO92" s="6"/>
      <c r="ADP92" s="6"/>
      <c r="ADQ92" s="6"/>
      <c r="ADR92" s="6"/>
      <c r="ADS92" s="6"/>
      <c r="ADT92" s="6"/>
      <c r="ADU92" s="6"/>
      <c r="ADV92" s="6"/>
      <c r="ADW92" s="6"/>
      <c r="ADX92" s="6"/>
      <c r="ADY92" s="6"/>
      <c r="ADZ92" s="6"/>
      <c r="AEA92" s="6"/>
      <c r="AEB92" s="6"/>
      <c r="AEC92" s="6"/>
      <c r="AED92" s="6"/>
      <c r="AEE92" s="6"/>
      <c r="AEF92" s="6"/>
      <c r="AEG92" s="6"/>
      <c r="AEH92" s="6"/>
      <c r="AEI92" s="6"/>
      <c r="AEJ92" s="6"/>
      <c r="AEK92" s="6"/>
      <c r="AEL92" s="6"/>
      <c r="AEM92" s="6"/>
      <c r="AEN92" s="6"/>
      <c r="AEO92" s="6"/>
      <c r="AEP92" s="6"/>
      <c r="AEQ92" s="6"/>
      <c r="AER92" s="6"/>
      <c r="AES92" s="6"/>
      <c r="AET92" s="6"/>
      <c r="AEU92" s="6"/>
      <c r="AEV92" s="6"/>
      <c r="AEW92" s="6"/>
      <c r="AEX92" s="6"/>
      <c r="AEY92" s="6"/>
      <c r="AEZ92" s="6"/>
      <c r="AFA92" s="6"/>
      <c r="AFB92" s="6"/>
      <c r="AFC92" s="6"/>
      <c r="AFD92" s="6"/>
      <c r="AFE92" s="6"/>
      <c r="AFF92" s="6"/>
      <c r="AFG92" s="6"/>
      <c r="AFH92" s="6"/>
      <c r="AFI92" s="6"/>
      <c r="AFJ92" s="6"/>
      <c r="AFK92" s="6"/>
      <c r="AFL92" s="6"/>
      <c r="AFM92" s="6"/>
      <c r="AFN92" s="6"/>
      <c r="AFO92" s="6"/>
      <c r="AFP92" s="6"/>
      <c r="AFQ92" s="6"/>
      <c r="AFR92" s="6"/>
      <c r="AFS92" s="6"/>
      <c r="AFT92" s="6"/>
      <c r="AFU92" s="6"/>
      <c r="AFV92" s="6"/>
      <c r="AFW92" s="6"/>
      <c r="AFX92" s="6"/>
      <c r="AFY92" s="6"/>
      <c r="AFZ92" s="6"/>
      <c r="AGA92" s="6"/>
      <c r="AGB92" s="6"/>
      <c r="AGC92" s="6"/>
      <c r="AGD92" s="6"/>
      <c r="AGE92" s="6"/>
      <c r="AGF92" s="6"/>
      <c r="AGG92" s="6"/>
      <c r="AGH92" s="6"/>
      <c r="AGI92" s="6"/>
      <c r="AGJ92" s="6"/>
      <c r="AGK92" s="6"/>
      <c r="AGL92" s="6"/>
      <c r="AGM92" s="6"/>
      <c r="AGN92" s="6"/>
      <c r="AGO92" s="6"/>
      <c r="AGP92" s="6"/>
      <c r="AGQ92" s="6"/>
      <c r="AGR92" s="6"/>
      <c r="AGS92" s="6"/>
      <c r="AGT92" s="6"/>
      <c r="AGU92" s="6"/>
      <c r="AGV92" s="6"/>
      <c r="AGW92" s="6"/>
      <c r="AGX92" s="6"/>
      <c r="AGY92" s="6"/>
      <c r="AGZ92" s="6"/>
      <c r="AHA92" s="6"/>
      <c r="AHB92" s="6"/>
      <c r="AHC92" s="6"/>
      <c r="AHD92" s="6"/>
      <c r="AHE92" s="6"/>
      <c r="AHF92" s="6"/>
      <c r="AHG92" s="6"/>
      <c r="AHH92" s="6"/>
      <c r="AHI92" s="6"/>
      <c r="AHJ92" s="6"/>
      <c r="AHK92" s="6"/>
      <c r="AHL92" s="6"/>
      <c r="AHM92" s="6"/>
      <c r="AHN92" s="6"/>
      <c r="AHO92" s="6"/>
      <c r="AHP92" s="6"/>
      <c r="AHQ92" s="6"/>
      <c r="AHR92" s="6"/>
      <c r="AHS92" s="6"/>
      <c r="AHT92" s="6"/>
      <c r="AHU92" s="6"/>
      <c r="AHV92" s="6"/>
      <c r="AHW92" s="6"/>
      <c r="AHX92" s="6"/>
      <c r="AHY92" s="6"/>
      <c r="AHZ92" s="6"/>
      <c r="AIA92" s="6"/>
      <c r="AIB92" s="6"/>
      <c r="AIC92" s="6"/>
      <c r="AID92" s="6"/>
      <c r="AIE92" s="6"/>
      <c r="AIF92" s="6"/>
      <c r="AIG92" s="6"/>
      <c r="AIH92" s="6"/>
      <c r="AII92" s="6"/>
      <c r="AIJ92" s="6"/>
      <c r="AIK92" s="6"/>
      <c r="AIL92" s="6"/>
      <c r="AIM92" s="6"/>
      <c r="AIN92" s="6"/>
      <c r="AIO92" s="6"/>
      <c r="AIP92" s="6"/>
      <c r="AIQ92" s="6"/>
      <c r="AIR92" s="6"/>
      <c r="AIS92" s="6"/>
      <c r="AIT92" s="6"/>
      <c r="AIU92" s="6"/>
      <c r="AIV92" s="6"/>
      <c r="AIW92" s="6"/>
      <c r="AIX92" s="6"/>
      <c r="AIY92" s="6"/>
      <c r="AIZ92" s="6"/>
      <c r="AJA92" s="6"/>
      <c r="AJB92" s="6"/>
      <c r="AJC92" s="6"/>
      <c r="AJD92" s="6"/>
      <c r="AJE92" s="6"/>
      <c r="AJF92" s="6"/>
      <c r="AJG92" s="6"/>
      <c r="AJH92" s="6"/>
      <c r="AJI92" s="6"/>
      <c r="AJJ92" s="6"/>
      <c r="AJK92" s="6"/>
      <c r="AJL92" s="6"/>
      <c r="AJM92" s="6"/>
      <c r="AJN92" s="6"/>
      <c r="AJO92" s="6"/>
      <c r="AJP92" s="6"/>
      <c r="AJQ92" s="6"/>
      <c r="AJR92" s="6"/>
      <c r="AJS92" s="6"/>
      <c r="AJT92" s="6"/>
      <c r="AJU92" s="6"/>
      <c r="AJV92" s="6"/>
      <c r="AJW92" s="6"/>
      <c r="AJX92" s="6"/>
      <c r="AJY92" s="6"/>
      <c r="AJZ92" s="6"/>
      <c r="AKA92" s="6"/>
      <c r="AKB92" s="6"/>
      <c r="AKC92" s="6"/>
      <c r="AKD92" s="6"/>
      <c r="AKE92" s="6"/>
      <c r="AKF92" s="6"/>
      <c r="AKG92" s="6"/>
      <c r="AKH92" s="6"/>
      <c r="AKI92" s="6"/>
      <c r="AKJ92" s="6"/>
      <c r="AKK92" s="6"/>
      <c r="AKL92" s="6"/>
      <c r="AKM92" s="6"/>
      <c r="AKN92" s="6"/>
      <c r="AKO92" s="6"/>
      <c r="AKP92" s="6"/>
      <c r="AKQ92" s="6"/>
      <c r="AKR92" s="6"/>
      <c r="AKS92" s="6"/>
      <c r="AKT92" s="6"/>
      <c r="AKU92" s="6"/>
      <c r="AKV92" s="6"/>
      <c r="AKW92" s="6"/>
      <c r="AKX92" s="6"/>
      <c r="AKY92" s="6"/>
      <c r="AKZ92" s="6"/>
      <c r="ALA92" s="6"/>
      <c r="ALB92" s="6"/>
      <c r="ALC92" s="6"/>
      <c r="ALD92" s="6"/>
      <c r="ALE92" s="6"/>
      <c r="ALF92" s="6"/>
      <c r="ALG92" s="6"/>
      <c r="ALH92" s="6"/>
      <c r="ALI92" s="6"/>
      <c r="ALJ92" s="6"/>
      <c r="ALK92" s="6"/>
      <c r="ALL92" s="6"/>
      <c r="ALM92" s="6"/>
      <c r="ALN92" s="6"/>
      <c r="ALO92" s="6"/>
      <c r="ALP92" s="6"/>
      <c r="ALQ92" s="6"/>
      <c r="ALR92" s="6"/>
      <c r="ALS92" s="6"/>
      <c r="ALT92" s="6"/>
      <c r="ALU92" s="6"/>
      <c r="ALV92" s="6"/>
      <c r="ALW92" s="6"/>
      <c r="ALX92" s="6"/>
      <c r="ALY92" s="6"/>
      <c r="ALZ92" s="6"/>
      <c r="AMA92" s="6"/>
      <c r="AMB92" s="6"/>
      <c r="AMC92" s="6"/>
      <c r="AMD92" s="6"/>
      <c r="AME92" s="6"/>
      <c r="AMF92" s="6"/>
      <c r="AMG92" s="6"/>
      <c r="AMH92" s="6"/>
      <c r="AMI92" s="6"/>
      <c r="AMJ92" s="6"/>
      <c r="AMK92" s="6"/>
      <c r="AML92" s="6"/>
      <c r="AMM92" s="6"/>
      <c r="AMN92" s="6"/>
      <c r="AMO92" s="6"/>
      <c r="AMP92" s="6"/>
      <c r="AMQ92" s="6"/>
      <c r="AMR92" s="6"/>
      <c r="AMS92" s="6"/>
      <c r="AMT92" s="6"/>
      <c r="AMU92" s="6"/>
      <c r="AMV92" s="6"/>
      <c r="AMW92" s="6"/>
      <c r="AMX92" s="6"/>
      <c r="AMY92" s="6"/>
      <c r="AMZ92" s="6"/>
      <c r="ANA92" s="6"/>
      <c r="ANB92" s="6"/>
      <c r="ANC92" s="6"/>
      <c r="AND92" s="6"/>
      <c r="ANE92" s="6"/>
      <c r="ANF92" s="6"/>
      <c r="ANG92" s="6"/>
      <c r="ANH92" s="6"/>
      <c r="ANI92" s="6"/>
      <c r="ANJ92" s="6"/>
      <c r="ANK92" s="6"/>
      <c r="ANL92" s="6"/>
      <c r="ANM92" s="6"/>
      <c r="ANN92" s="6"/>
      <c r="ANO92" s="6"/>
      <c r="ANP92" s="6"/>
      <c r="ANQ92" s="6"/>
      <c r="ANR92" s="6"/>
      <c r="ANS92" s="6"/>
      <c r="ANT92" s="6"/>
      <c r="ANU92" s="6"/>
      <c r="ANV92" s="6"/>
      <c r="ANW92" s="6"/>
      <c r="ANX92" s="6"/>
      <c r="ANY92" s="6"/>
      <c r="ANZ92" s="6"/>
      <c r="AOA92" s="6"/>
      <c r="AOB92" s="6"/>
      <c r="AOC92" s="6"/>
      <c r="AOD92" s="6"/>
      <c r="AOE92" s="6"/>
      <c r="AOF92" s="6"/>
      <c r="AOG92" s="6"/>
      <c r="AOH92" s="6"/>
      <c r="AOI92" s="6"/>
      <c r="AOJ92" s="6"/>
      <c r="AOK92" s="6"/>
      <c r="AOL92" s="6"/>
      <c r="AOM92" s="6"/>
      <c r="AON92" s="6"/>
      <c r="AOO92" s="6"/>
      <c r="AOP92" s="6"/>
      <c r="AOQ92" s="6"/>
      <c r="AOR92" s="6"/>
      <c r="AOS92" s="6"/>
      <c r="AOT92" s="6"/>
      <c r="AOU92" s="6"/>
      <c r="AOV92" s="6"/>
      <c r="AOW92" s="6"/>
      <c r="AOX92" s="6"/>
      <c r="AOY92" s="6"/>
      <c r="AOZ92" s="6"/>
      <c r="APA92" s="6"/>
      <c r="APB92" s="6"/>
      <c r="APC92" s="6"/>
      <c r="APD92" s="6"/>
      <c r="APE92" s="6"/>
      <c r="APF92" s="6"/>
      <c r="APG92" s="6"/>
      <c r="APH92" s="6"/>
      <c r="API92" s="6"/>
      <c r="APJ92" s="6"/>
      <c r="APK92" s="6"/>
      <c r="APL92" s="6"/>
      <c r="APM92" s="6"/>
      <c r="APN92" s="6"/>
      <c r="APO92" s="6"/>
      <c r="APP92" s="6"/>
      <c r="APQ92" s="6"/>
      <c r="APR92" s="6"/>
      <c r="APS92" s="6"/>
      <c r="APT92" s="6"/>
      <c r="APU92" s="6"/>
      <c r="APV92" s="6"/>
      <c r="APW92" s="6"/>
      <c r="APX92" s="6"/>
      <c r="APY92" s="6"/>
      <c r="APZ92" s="6"/>
      <c r="AQA92" s="6"/>
      <c r="AQB92" s="6"/>
      <c r="AQC92" s="6"/>
      <c r="AQD92" s="6"/>
      <c r="AQE92" s="6"/>
      <c r="AQF92" s="6"/>
      <c r="AQG92" s="6"/>
      <c r="AQH92" s="6"/>
      <c r="AQI92" s="6"/>
      <c r="AQJ92" s="6"/>
      <c r="AQK92" s="6"/>
      <c r="AQL92" s="6"/>
      <c r="AQM92" s="6"/>
      <c r="AQN92" s="6"/>
      <c r="AQO92" s="6"/>
      <c r="AQP92" s="6"/>
      <c r="AQQ92" s="6"/>
      <c r="AQR92" s="6"/>
      <c r="AQS92" s="6"/>
      <c r="AQT92" s="6"/>
      <c r="AQU92" s="6"/>
      <c r="AQV92" s="6"/>
      <c r="AQW92" s="6"/>
      <c r="AQX92" s="6"/>
      <c r="AQY92" s="6"/>
      <c r="AQZ92" s="6"/>
      <c r="ARA92" s="6"/>
      <c r="ARB92" s="6"/>
      <c r="ARC92" s="6"/>
      <c r="ARD92" s="6"/>
      <c r="ARE92" s="6"/>
      <c r="ARF92" s="6"/>
      <c r="ARG92" s="6"/>
      <c r="ARH92" s="6"/>
      <c r="ARI92" s="6"/>
      <c r="ARJ92" s="6"/>
      <c r="ARK92" s="6"/>
      <c r="ARL92" s="6"/>
      <c r="ARM92" s="6"/>
      <c r="ARN92" s="6"/>
      <c r="ARO92" s="6"/>
      <c r="ARP92" s="6"/>
      <c r="ARQ92" s="6"/>
      <c r="ARR92" s="6"/>
      <c r="ARS92" s="6"/>
      <c r="ART92" s="6"/>
      <c r="ARU92" s="6"/>
      <c r="ARV92" s="6"/>
      <c r="ARW92" s="6"/>
      <c r="ARX92" s="6"/>
      <c r="ARY92" s="6"/>
      <c r="ARZ92" s="6"/>
      <c r="ASA92" s="6"/>
      <c r="ASB92" s="6"/>
      <c r="ASC92" s="6"/>
      <c r="ASD92" s="6"/>
      <c r="ASE92" s="6"/>
      <c r="ASF92" s="6"/>
      <c r="ASG92" s="6"/>
      <c r="ASH92" s="6"/>
      <c r="ASI92" s="6"/>
      <c r="ASJ92" s="6"/>
      <c r="ASK92" s="6"/>
      <c r="ASL92" s="6"/>
      <c r="ASM92" s="6"/>
      <c r="ASN92" s="6"/>
      <c r="ASO92" s="6"/>
      <c r="ASP92" s="6"/>
      <c r="ASQ92" s="6"/>
      <c r="ASR92" s="6"/>
      <c r="ASS92" s="6"/>
      <c r="AST92" s="6"/>
      <c r="ASU92" s="6"/>
      <c r="ASV92" s="6"/>
      <c r="ASW92" s="6"/>
      <c r="ASX92" s="6"/>
      <c r="ASY92" s="6"/>
      <c r="ASZ92" s="6"/>
      <c r="ATA92" s="6"/>
      <c r="ATB92" s="6"/>
      <c r="ATC92" s="6"/>
      <c r="ATD92" s="6"/>
      <c r="ATE92" s="6"/>
      <c r="ATF92" s="6"/>
      <c r="ATG92" s="6"/>
      <c r="ATH92" s="6"/>
      <c r="ATI92" s="6"/>
      <c r="ATJ92" s="6"/>
      <c r="ATK92" s="6"/>
      <c r="ATL92" s="6"/>
      <c r="ATM92" s="6"/>
      <c r="ATN92" s="6"/>
      <c r="ATO92" s="6"/>
      <c r="ATP92" s="6"/>
      <c r="ATQ92" s="6"/>
      <c r="ATR92" s="6"/>
      <c r="ATS92" s="6"/>
      <c r="ATT92" s="6"/>
      <c r="ATU92" s="6"/>
      <c r="ATV92" s="6"/>
      <c r="ATW92" s="6"/>
      <c r="ATX92" s="6"/>
      <c r="ATY92" s="6"/>
      <c r="ATZ92" s="6"/>
      <c r="AUA92" s="6"/>
      <c r="AUB92" s="6"/>
      <c r="AUC92" s="6"/>
      <c r="AUD92" s="6"/>
      <c r="AUE92" s="6"/>
      <c r="AUF92" s="6"/>
      <c r="AUG92" s="6"/>
      <c r="AUH92" s="6"/>
      <c r="AUI92" s="6"/>
      <c r="AUJ92" s="6"/>
      <c r="AUK92" s="6"/>
      <c r="AUL92" s="6"/>
      <c r="AUM92" s="6"/>
      <c r="AUN92" s="6"/>
      <c r="AUO92" s="6"/>
      <c r="AUP92" s="6"/>
      <c r="AUQ92" s="6"/>
      <c r="AUR92" s="6"/>
      <c r="AUS92" s="6"/>
      <c r="AUT92" s="6"/>
      <c r="AUU92" s="6"/>
      <c r="AUV92" s="6"/>
      <c r="AUW92" s="6"/>
      <c r="AUX92" s="6"/>
      <c r="AUY92" s="6"/>
      <c r="AUZ92" s="6"/>
      <c r="AVA92" s="6"/>
      <c r="AVB92" s="6"/>
      <c r="AVC92" s="6"/>
      <c r="AVD92" s="6"/>
      <c r="AVE92" s="6"/>
      <c r="AVF92" s="6"/>
      <c r="AVG92" s="6"/>
      <c r="AVH92" s="6"/>
      <c r="AVI92" s="6"/>
      <c r="AVJ92" s="6"/>
      <c r="AVK92" s="6"/>
      <c r="AVL92" s="6"/>
      <c r="AVM92" s="6"/>
      <c r="AVN92" s="6"/>
      <c r="AVO92" s="6"/>
      <c r="AVP92" s="6"/>
      <c r="AVQ92" s="6"/>
      <c r="AVR92" s="6"/>
      <c r="AVS92" s="6"/>
      <c r="AVT92" s="6"/>
      <c r="AVU92" s="6"/>
      <c r="AVV92" s="6"/>
      <c r="AVW92" s="6"/>
      <c r="AVX92" s="6"/>
      <c r="AVY92" s="6"/>
      <c r="AVZ92" s="6"/>
      <c r="AWA92" s="6"/>
      <c r="AWB92" s="6"/>
      <c r="AWC92" s="6"/>
      <c r="AWD92" s="6"/>
      <c r="AWE92" s="6"/>
      <c r="AWF92" s="6"/>
      <c r="AWG92" s="6"/>
      <c r="AWH92" s="6"/>
      <c r="AWI92" s="6"/>
      <c r="AWJ92" s="6"/>
      <c r="AWK92" s="6"/>
      <c r="AWL92" s="6"/>
      <c r="AWM92" s="6"/>
      <c r="AWN92" s="6"/>
      <c r="AWO92" s="6"/>
      <c r="AWP92" s="6"/>
      <c r="AWQ92" s="6"/>
      <c r="AWR92" s="6"/>
      <c r="AWS92" s="6"/>
      <c r="AWT92" s="6"/>
      <c r="AWU92" s="6"/>
      <c r="AWV92" s="6"/>
      <c r="AWW92" s="6"/>
      <c r="AWX92" s="6"/>
      <c r="AWY92" s="6"/>
      <c r="AWZ92" s="6"/>
      <c r="AXA92" s="6"/>
      <c r="AXB92" s="6"/>
      <c r="AXC92" s="6"/>
      <c r="AXD92" s="6"/>
      <c r="AXE92" s="6"/>
      <c r="AXF92" s="6"/>
      <c r="AXG92" s="6"/>
      <c r="AXH92" s="6"/>
      <c r="AXI92" s="6"/>
      <c r="AXJ92" s="6"/>
      <c r="AXK92" s="6"/>
      <c r="AXL92" s="6"/>
      <c r="AXM92" s="6"/>
      <c r="AXN92" s="6"/>
      <c r="AXO92" s="6"/>
      <c r="AXP92" s="6"/>
      <c r="AXQ92" s="6"/>
      <c r="AXR92" s="6"/>
      <c r="AXS92" s="6"/>
      <c r="AXT92" s="6"/>
      <c r="AXU92" s="6"/>
      <c r="AXV92" s="6"/>
      <c r="AXW92" s="6"/>
      <c r="AXX92" s="6"/>
      <c r="AXY92" s="6"/>
      <c r="AXZ92" s="6"/>
      <c r="AYA92" s="6"/>
      <c r="AYB92" s="6"/>
      <c r="AYC92" s="6"/>
      <c r="AYD92" s="6"/>
      <c r="AYE92" s="6"/>
      <c r="AYF92" s="6"/>
      <c r="AYG92" s="6"/>
      <c r="AYH92" s="6"/>
      <c r="AYI92" s="6"/>
      <c r="AYJ92" s="6"/>
      <c r="AYK92" s="6"/>
      <c r="AYL92" s="6"/>
      <c r="AYM92" s="6"/>
      <c r="AYN92" s="6"/>
      <c r="AYO92" s="6"/>
      <c r="AYP92" s="6"/>
      <c r="AYQ92" s="6"/>
      <c r="AYR92" s="6"/>
      <c r="AYS92" s="6"/>
      <c r="AYT92" s="6"/>
      <c r="AYU92" s="6"/>
      <c r="AYV92" s="6"/>
      <c r="AYW92" s="6"/>
      <c r="AYX92" s="6"/>
      <c r="AYY92" s="6"/>
      <c r="AYZ92" s="6"/>
      <c r="AZA92" s="6"/>
      <c r="AZB92" s="6"/>
      <c r="AZC92" s="6"/>
      <c r="AZD92" s="6"/>
      <c r="AZE92" s="6"/>
      <c r="AZF92" s="6"/>
      <c r="AZG92" s="6"/>
      <c r="AZH92" s="6"/>
      <c r="AZI92" s="6"/>
      <c r="AZJ92" s="6"/>
      <c r="AZK92" s="6"/>
      <c r="AZL92" s="6"/>
      <c r="AZM92" s="6"/>
      <c r="AZN92" s="6"/>
      <c r="AZO92" s="6"/>
      <c r="AZP92" s="6"/>
      <c r="AZQ92" s="6"/>
      <c r="AZR92" s="6"/>
      <c r="AZS92" s="6"/>
      <c r="AZT92" s="6"/>
      <c r="AZU92" s="6"/>
      <c r="AZV92" s="6"/>
      <c r="AZW92" s="6"/>
      <c r="AZX92" s="6"/>
      <c r="AZY92" s="6"/>
      <c r="AZZ92" s="6"/>
      <c r="BAA92" s="6"/>
      <c r="BAB92" s="6"/>
      <c r="BAC92" s="6"/>
      <c r="BAD92" s="6"/>
      <c r="BAE92" s="6"/>
      <c r="BAF92" s="6"/>
      <c r="BAG92" s="6"/>
      <c r="BAH92" s="6"/>
      <c r="BAI92" s="6"/>
      <c r="BAJ92" s="6"/>
      <c r="BAK92" s="6"/>
      <c r="BAL92" s="6"/>
      <c r="BAM92" s="6"/>
      <c r="BAN92" s="6"/>
      <c r="BAO92" s="6"/>
      <c r="BAP92" s="6"/>
      <c r="BAQ92" s="6"/>
      <c r="BAR92" s="6"/>
      <c r="BAS92" s="6"/>
      <c r="BAT92" s="6"/>
      <c r="BAU92" s="6"/>
      <c r="BAV92" s="6"/>
      <c r="BAW92" s="6"/>
      <c r="BAX92" s="6"/>
      <c r="BAY92" s="6"/>
      <c r="BAZ92" s="6"/>
      <c r="BBA92" s="6"/>
      <c r="BBB92" s="6"/>
      <c r="BBC92" s="6"/>
      <c r="BBD92" s="6"/>
      <c r="BBE92" s="6"/>
      <c r="BBF92" s="6"/>
      <c r="BBG92" s="6"/>
      <c r="BBH92" s="6"/>
      <c r="BBI92" s="6"/>
      <c r="BBJ92" s="6"/>
      <c r="BBK92" s="6"/>
      <c r="BBL92" s="6"/>
      <c r="BBM92" s="6"/>
      <c r="BBN92" s="6"/>
      <c r="BBO92" s="6"/>
      <c r="BBP92" s="6"/>
      <c r="BBQ92" s="6"/>
      <c r="BBR92" s="6"/>
      <c r="BBS92" s="6"/>
      <c r="BBT92" s="6"/>
      <c r="BBU92" s="6"/>
      <c r="BBV92" s="6"/>
      <c r="BBW92" s="6"/>
      <c r="BBX92" s="6"/>
      <c r="BBY92" s="6"/>
      <c r="BBZ92" s="6"/>
      <c r="BCA92" s="6"/>
      <c r="BCB92" s="6"/>
      <c r="BCC92" s="6"/>
      <c r="BCD92" s="6"/>
      <c r="BCE92" s="6"/>
      <c r="BCF92" s="6"/>
      <c r="BCG92" s="6"/>
      <c r="BCH92" s="6"/>
      <c r="BCI92" s="6"/>
      <c r="BCJ92" s="6"/>
      <c r="BCK92" s="6"/>
      <c r="BCL92" s="6"/>
      <c r="BCM92" s="6"/>
      <c r="BCN92" s="6"/>
      <c r="BCO92" s="6"/>
      <c r="BCP92" s="6"/>
      <c r="BCQ92" s="6"/>
      <c r="BCR92" s="6"/>
      <c r="BCS92" s="6"/>
      <c r="BCT92" s="6"/>
      <c r="BCU92" s="6"/>
      <c r="BCV92" s="6"/>
      <c r="BCW92" s="6"/>
      <c r="BCX92" s="6"/>
      <c r="BCY92" s="6"/>
      <c r="BCZ92" s="6"/>
      <c r="BDA92" s="6"/>
      <c r="BDB92" s="6"/>
      <c r="BDC92" s="6"/>
      <c r="BDD92" s="6"/>
      <c r="BDE92" s="6"/>
      <c r="BDF92" s="6"/>
      <c r="BDG92" s="6"/>
      <c r="BDH92" s="6"/>
      <c r="BDI92" s="6"/>
      <c r="BDJ92" s="6"/>
      <c r="BDK92" s="6"/>
      <c r="BDL92" s="6"/>
      <c r="BDM92" s="6"/>
      <c r="BDN92" s="6"/>
      <c r="BDO92" s="6"/>
      <c r="BDP92" s="6"/>
      <c r="BDQ92" s="6"/>
      <c r="BDR92" s="6"/>
      <c r="BDS92" s="6"/>
      <c r="BDT92" s="6"/>
      <c r="BDU92" s="6"/>
      <c r="BDV92" s="6"/>
      <c r="BDW92" s="6"/>
      <c r="BDX92" s="6"/>
      <c r="BDY92" s="6"/>
      <c r="BDZ92" s="6"/>
      <c r="BEA92" s="6"/>
      <c r="BEB92" s="6"/>
      <c r="BEC92" s="6"/>
      <c r="BED92" s="6"/>
      <c r="BEE92" s="6"/>
      <c r="BEF92" s="6"/>
      <c r="BEG92" s="6"/>
      <c r="BEH92" s="6"/>
      <c r="BEI92" s="6"/>
      <c r="BEJ92" s="6"/>
      <c r="BEK92" s="6"/>
      <c r="BEL92" s="6"/>
      <c r="BEM92" s="6"/>
      <c r="BEN92" s="6"/>
      <c r="BEO92" s="6"/>
      <c r="BEP92" s="6"/>
      <c r="BEQ92" s="6"/>
      <c r="BER92" s="6"/>
      <c r="BES92" s="6"/>
      <c r="BET92" s="6"/>
      <c r="BEU92" s="6"/>
      <c r="BEV92" s="6"/>
      <c r="BEW92" s="6"/>
      <c r="BEX92" s="6"/>
      <c r="BEY92" s="6"/>
      <c r="BEZ92" s="6"/>
      <c r="BFA92" s="6"/>
      <c r="BFB92" s="6"/>
      <c r="BFC92" s="6"/>
      <c r="BFD92" s="6"/>
      <c r="BFE92" s="6"/>
      <c r="BFF92" s="6"/>
      <c r="BFG92" s="6"/>
      <c r="BFH92" s="6"/>
      <c r="BFI92" s="6"/>
      <c r="BFJ92" s="6"/>
      <c r="BFK92" s="6"/>
      <c r="BFL92" s="6"/>
      <c r="BFM92" s="6"/>
      <c r="BFN92" s="6"/>
      <c r="BFO92" s="6"/>
      <c r="BFP92" s="6"/>
      <c r="BFQ92" s="6"/>
      <c r="BFR92" s="6"/>
      <c r="BFS92" s="6"/>
      <c r="BFT92" s="6"/>
      <c r="BFU92" s="6"/>
      <c r="BFV92" s="6"/>
      <c r="BFW92" s="6"/>
      <c r="BFX92" s="6"/>
      <c r="BFY92" s="6"/>
      <c r="BFZ92" s="6"/>
      <c r="BGA92" s="6"/>
      <c r="BGB92" s="6"/>
      <c r="BGC92" s="6"/>
      <c r="BGD92" s="6"/>
      <c r="BGE92" s="6"/>
      <c r="BGF92" s="6"/>
      <c r="BGG92" s="6"/>
      <c r="BGH92" s="6"/>
      <c r="BGI92" s="6"/>
      <c r="BGJ92" s="6"/>
      <c r="BGK92" s="6"/>
      <c r="BGL92" s="6"/>
      <c r="BGM92" s="6"/>
      <c r="BGN92" s="6"/>
      <c r="BGO92" s="6"/>
      <c r="BGP92" s="6"/>
      <c r="BGQ92" s="6"/>
      <c r="BGR92" s="6"/>
      <c r="BGS92" s="6"/>
      <c r="BGT92" s="6"/>
      <c r="BGU92" s="6"/>
      <c r="BGV92" s="6"/>
      <c r="BGW92" s="6"/>
      <c r="BGX92" s="6"/>
      <c r="BGY92" s="6"/>
      <c r="BGZ92" s="6"/>
      <c r="BHA92" s="6"/>
      <c r="BHB92" s="6"/>
      <c r="BHC92" s="6"/>
      <c r="BHD92" s="6"/>
      <c r="BHE92" s="6"/>
      <c r="BHF92" s="6"/>
      <c r="BHG92" s="6"/>
      <c r="BHH92" s="6"/>
      <c r="BHI92" s="6"/>
      <c r="BHJ92" s="6"/>
      <c r="BHK92" s="6"/>
      <c r="BHL92" s="6"/>
      <c r="BHM92" s="6"/>
      <c r="BHN92" s="6"/>
      <c r="BHO92" s="6"/>
      <c r="BHP92" s="6"/>
      <c r="BHQ92" s="6"/>
      <c r="BHR92" s="6"/>
      <c r="BHS92" s="6"/>
      <c r="BHT92" s="6"/>
      <c r="BHU92" s="6"/>
      <c r="BHV92" s="6"/>
      <c r="BHW92" s="6"/>
      <c r="BHX92" s="6"/>
      <c r="BHY92" s="6"/>
      <c r="BHZ92" s="6"/>
      <c r="BIA92" s="6"/>
      <c r="BIB92" s="6"/>
      <c r="BIC92" s="6"/>
      <c r="BID92" s="6"/>
      <c r="BIE92" s="6"/>
      <c r="BIF92" s="6"/>
      <c r="BIG92" s="6"/>
      <c r="BIH92" s="6"/>
      <c r="BII92" s="6"/>
      <c r="BIJ92" s="6"/>
      <c r="BIK92" s="6"/>
      <c r="BIL92" s="6"/>
      <c r="BIM92" s="6"/>
      <c r="BIN92" s="6"/>
      <c r="BIO92" s="6"/>
      <c r="BIP92" s="6"/>
      <c r="BIQ92" s="6"/>
      <c r="BIR92" s="6"/>
      <c r="BIS92" s="6"/>
      <c r="BIT92" s="6"/>
      <c r="BIU92" s="6"/>
      <c r="BIV92" s="6"/>
      <c r="BIW92" s="6"/>
      <c r="BIX92" s="6"/>
      <c r="BIY92" s="6"/>
      <c r="BIZ92" s="6"/>
      <c r="BJA92" s="6"/>
      <c r="BJB92" s="6"/>
      <c r="BJC92" s="6"/>
      <c r="BJD92" s="6"/>
      <c r="BJE92" s="6"/>
      <c r="BJF92" s="6"/>
      <c r="BJG92" s="6"/>
      <c r="BJH92" s="6"/>
      <c r="BJI92" s="6"/>
      <c r="BJJ92" s="6"/>
      <c r="BJK92" s="6"/>
      <c r="BJL92" s="6"/>
      <c r="BJM92" s="6"/>
      <c r="BJN92" s="6"/>
      <c r="BJO92" s="6"/>
      <c r="BJP92" s="6"/>
      <c r="BJQ92" s="6"/>
      <c r="BJR92" s="6"/>
      <c r="BJS92" s="6"/>
      <c r="BJT92" s="6"/>
      <c r="BJU92" s="6"/>
      <c r="BJV92" s="6"/>
      <c r="BJW92" s="6"/>
      <c r="BJX92" s="6"/>
      <c r="BJY92" s="6"/>
      <c r="BJZ92" s="6"/>
      <c r="BKA92" s="6"/>
      <c r="BKB92" s="6"/>
      <c r="BKC92" s="6"/>
      <c r="BKD92" s="6"/>
      <c r="BKE92" s="6"/>
      <c r="BKF92" s="6"/>
      <c r="BKG92" s="6"/>
      <c r="BKH92" s="6"/>
      <c r="BKI92" s="6"/>
      <c r="BKJ92" s="6"/>
      <c r="BKK92" s="6"/>
      <c r="BKL92" s="6"/>
      <c r="BKM92" s="6"/>
      <c r="BKN92" s="6"/>
      <c r="BKO92" s="6"/>
      <c r="BKP92" s="6"/>
      <c r="BKQ92" s="6"/>
      <c r="BKR92" s="6"/>
      <c r="BKS92" s="6"/>
      <c r="BKT92" s="6"/>
      <c r="BKU92" s="6"/>
      <c r="BKV92" s="6"/>
      <c r="BKW92" s="6"/>
      <c r="BKX92" s="6"/>
      <c r="BKY92" s="6"/>
      <c r="BKZ92" s="6"/>
      <c r="BLA92" s="6"/>
      <c r="BLB92" s="6"/>
      <c r="BLC92" s="6"/>
      <c r="BLD92" s="6"/>
      <c r="BLE92" s="6"/>
      <c r="BLF92" s="6"/>
      <c r="BLG92" s="6"/>
      <c r="BLH92" s="6"/>
      <c r="BLI92" s="6"/>
      <c r="BLJ92" s="6"/>
      <c r="BLK92" s="6"/>
      <c r="BLL92" s="6"/>
      <c r="BLM92" s="6"/>
      <c r="BLN92" s="6"/>
      <c r="BLO92" s="6"/>
      <c r="BLP92" s="6"/>
      <c r="BLQ92" s="6"/>
      <c r="BLR92" s="6"/>
      <c r="BLS92" s="6"/>
      <c r="BLT92" s="6"/>
      <c r="BLU92" s="6"/>
      <c r="BLV92" s="6"/>
      <c r="BLW92" s="6"/>
      <c r="BLX92" s="6"/>
      <c r="BLY92" s="6"/>
      <c r="BLZ92" s="6"/>
      <c r="BMA92" s="6"/>
      <c r="BMB92" s="6"/>
      <c r="BMC92" s="6"/>
      <c r="BMD92" s="6"/>
      <c r="BME92" s="6"/>
      <c r="BMF92" s="6"/>
      <c r="BMG92" s="6"/>
      <c r="BMH92" s="6"/>
      <c r="BMI92" s="6"/>
      <c r="BMJ92" s="6"/>
      <c r="BMK92" s="6"/>
      <c r="BML92" s="6"/>
      <c r="BMM92" s="6"/>
      <c r="BMN92" s="6"/>
      <c r="BMO92" s="6"/>
      <c r="BMP92" s="6"/>
      <c r="BMQ92" s="6"/>
      <c r="BMR92" s="6"/>
      <c r="BMS92" s="6"/>
      <c r="BMT92" s="6"/>
      <c r="BMU92" s="6"/>
      <c r="BMV92" s="6"/>
      <c r="BMW92" s="6"/>
      <c r="BMX92" s="6"/>
      <c r="BMY92" s="6"/>
      <c r="BMZ92" s="6"/>
      <c r="BNA92" s="6"/>
      <c r="BNB92" s="6"/>
      <c r="BNC92" s="6"/>
      <c r="BND92" s="6"/>
      <c r="BNE92" s="6"/>
      <c r="BNF92" s="6"/>
      <c r="BNG92" s="6"/>
      <c r="BNH92" s="6"/>
      <c r="BNI92" s="6"/>
      <c r="BNJ92" s="6"/>
      <c r="BNK92" s="6"/>
      <c r="BNL92" s="6"/>
      <c r="BNM92" s="6"/>
      <c r="BNN92" s="6"/>
      <c r="BNO92" s="6"/>
      <c r="BNP92" s="6"/>
      <c r="BNQ92" s="6"/>
      <c r="BNR92" s="6"/>
      <c r="BNS92" s="6"/>
      <c r="BNT92" s="6"/>
      <c r="BNU92" s="6"/>
      <c r="BNV92" s="6"/>
      <c r="BNW92" s="6"/>
      <c r="BNX92" s="6"/>
      <c r="BNY92" s="6"/>
      <c r="BNZ92" s="6"/>
      <c r="BOA92" s="6"/>
      <c r="BOB92" s="6"/>
      <c r="BOC92" s="6"/>
      <c r="BOD92" s="6"/>
      <c r="BOE92" s="6"/>
      <c r="BOF92" s="6"/>
      <c r="BOG92" s="6"/>
      <c r="BOH92" s="6"/>
      <c r="BOI92" s="6"/>
      <c r="BOJ92" s="6"/>
      <c r="BOK92" s="6"/>
      <c r="BOL92" s="6"/>
      <c r="BOM92" s="6"/>
      <c r="BON92" s="6"/>
      <c r="BOO92" s="6"/>
      <c r="BOP92" s="6"/>
      <c r="BOQ92" s="6"/>
      <c r="BOR92" s="6"/>
      <c r="BOS92" s="6"/>
      <c r="BOT92" s="6"/>
      <c r="BOU92" s="6"/>
      <c r="BOV92" s="6"/>
      <c r="BOW92" s="6"/>
      <c r="BOX92" s="6"/>
      <c r="BOY92" s="6"/>
      <c r="BOZ92" s="6"/>
      <c r="BPA92" s="6"/>
      <c r="BPB92" s="6"/>
      <c r="BPC92" s="6"/>
      <c r="BPD92" s="6"/>
      <c r="BPE92" s="6"/>
      <c r="BPF92" s="6"/>
      <c r="BPG92" s="6"/>
      <c r="BPH92" s="6"/>
      <c r="BPI92" s="6"/>
      <c r="BPJ92" s="6"/>
      <c r="BPK92" s="6"/>
      <c r="BPL92" s="6"/>
      <c r="BPM92" s="6"/>
      <c r="BPN92" s="6"/>
      <c r="BPO92" s="6"/>
      <c r="BPP92" s="6"/>
      <c r="BPQ92" s="6"/>
      <c r="BPR92" s="6"/>
      <c r="BPS92" s="6"/>
      <c r="BPT92" s="6"/>
      <c r="BPU92" s="6"/>
      <c r="BPV92" s="6"/>
      <c r="BPW92" s="6"/>
      <c r="BPX92" s="6"/>
      <c r="BPY92" s="6"/>
      <c r="BPZ92" s="6"/>
      <c r="BQA92" s="6"/>
      <c r="BQB92" s="6"/>
      <c r="BQC92" s="6"/>
      <c r="BQD92" s="6"/>
      <c r="BQE92" s="6"/>
      <c r="BQF92" s="6"/>
      <c r="BQG92" s="6"/>
      <c r="BQH92" s="6"/>
      <c r="BQI92" s="6"/>
      <c r="BQJ92" s="6"/>
      <c r="BQK92" s="6"/>
      <c r="BQL92" s="6"/>
      <c r="BQM92" s="6"/>
      <c r="BQN92" s="6"/>
      <c r="BQO92" s="6"/>
      <c r="BQP92" s="6"/>
      <c r="BQQ92" s="6"/>
      <c r="BQR92" s="6"/>
      <c r="BQS92" s="6"/>
      <c r="BQT92" s="6"/>
      <c r="BQU92" s="6"/>
      <c r="BQV92" s="6"/>
      <c r="BQW92" s="6"/>
      <c r="BQX92" s="6"/>
      <c r="BQY92" s="6"/>
      <c r="BQZ92" s="6"/>
      <c r="BRA92" s="6"/>
      <c r="BRB92" s="6"/>
      <c r="BRC92" s="6"/>
      <c r="BRD92" s="6"/>
      <c r="BRE92" s="6"/>
      <c r="BRF92" s="6"/>
      <c r="BRG92" s="6"/>
      <c r="BRH92" s="6"/>
      <c r="BRI92" s="6"/>
      <c r="BRJ92" s="6"/>
      <c r="BRK92" s="6"/>
      <c r="BRL92" s="6"/>
      <c r="BRM92" s="6"/>
      <c r="BRN92" s="6"/>
      <c r="BRO92" s="6"/>
      <c r="BRP92" s="6"/>
      <c r="BRQ92" s="6"/>
      <c r="BRR92" s="6"/>
      <c r="BRS92" s="6"/>
      <c r="BRT92" s="6"/>
      <c r="BRU92" s="6"/>
      <c r="BRV92" s="6"/>
      <c r="BRW92" s="6"/>
      <c r="BRX92" s="6"/>
      <c r="BRY92" s="6"/>
      <c r="BRZ92" s="6"/>
      <c r="BSA92" s="6"/>
      <c r="BSB92" s="6"/>
      <c r="BSC92" s="6"/>
      <c r="BSD92" s="6"/>
      <c r="BSE92" s="6"/>
      <c r="BSF92" s="6"/>
      <c r="BSG92" s="6"/>
      <c r="BSH92" s="6"/>
      <c r="BSI92" s="6"/>
      <c r="BSJ92" s="6"/>
      <c r="BSK92" s="6"/>
      <c r="BSL92" s="6"/>
      <c r="BSM92" s="6"/>
      <c r="BSN92" s="6"/>
      <c r="BSO92" s="6"/>
      <c r="BSP92" s="6"/>
      <c r="BSQ92" s="6"/>
      <c r="BSR92" s="6"/>
      <c r="BSS92" s="6"/>
      <c r="BST92" s="6"/>
      <c r="BSU92" s="6"/>
      <c r="BSV92" s="6"/>
      <c r="BSW92" s="6"/>
      <c r="BSX92" s="6"/>
      <c r="BSY92" s="6"/>
      <c r="BSZ92" s="6"/>
      <c r="BTA92" s="6"/>
      <c r="BTB92" s="6"/>
      <c r="BTC92" s="6"/>
      <c r="BTD92" s="6"/>
      <c r="BTE92" s="6"/>
      <c r="BTF92" s="6"/>
      <c r="BTG92" s="6"/>
      <c r="BTH92" s="6"/>
      <c r="BTI92" s="6"/>
      <c r="BTJ92" s="6"/>
      <c r="BTK92" s="6"/>
      <c r="BTL92" s="6"/>
      <c r="BTM92" s="6"/>
      <c r="BTN92" s="6"/>
      <c r="BTO92" s="6"/>
      <c r="BTP92" s="6"/>
      <c r="BTQ92" s="6"/>
      <c r="BTR92" s="6"/>
      <c r="BTS92" s="6"/>
      <c r="BTT92" s="6"/>
      <c r="BTU92" s="6"/>
      <c r="BTV92" s="6"/>
      <c r="BTW92" s="6"/>
      <c r="BTX92" s="6"/>
      <c r="BTY92" s="6"/>
      <c r="BTZ92" s="6"/>
      <c r="BUA92" s="6"/>
      <c r="BUB92" s="6"/>
      <c r="BUC92" s="6"/>
      <c r="BUD92" s="6"/>
      <c r="BUE92" s="6"/>
      <c r="BUF92" s="6"/>
      <c r="BUG92" s="6"/>
      <c r="BUH92" s="6"/>
      <c r="BUI92" s="6"/>
      <c r="BUJ92" s="6"/>
      <c r="BUK92" s="6"/>
      <c r="BUL92" s="6"/>
      <c r="BUM92" s="6"/>
      <c r="BUN92" s="6"/>
      <c r="BUO92" s="6"/>
      <c r="BUP92" s="6"/>
      <c r="BUQ92" s="6"/>
      <c r="BUR92" s="6"/>
      <c r="BUS92" s="6"/>
      <c r="BUT92" s="6"/>
      <c r="BUU92" s="6"/>
      <c r="BUV92" s="6"/>
      <c r="BUW92" s="6"/>
      <c r="BUX92" s="6"/>
      <c r="BUY92" s="6"/>
      <c r="BUZ92" s="6"/>
      <c r="BVA92" s="6"/>
      <c r="BVB92" s="6"/>
      <c r="BVC92" s="6"/>
      <c r="BVD92" s="6"/>
      <c r="BVE92" s="6"/>
      <c r="BVF92" s="6"/>
      <c r="BVG92" s="6"/>
      <c r="BVH92" s="6"/>
      <c r="BVI92" s="6"/>
      <c r="BVJ92" s="6"/>
      <c r="BVK92" s="6"/>
      <c r="BVL92" s="6"/>
      <c r="BVM92" s="6"/>
      <c r="BVN92" s="6"/>
      <c r="BVO92" s="6"/>
      <c r="BVP92" s="6"/>
      <c r="BVQ92" s="6"/>
      <c r="BVR92" s="6"/>
      <c r="BVS92" s="6"/>
      <c r="BVT92" s="6"/>
      <c r="BVU92" s="6"/>
      <c r="BVV92" s="6"/>
      <c r="BVW92" s="6"/>
      <c r="BVX92" s="6"/>
      <c r="BVY92" s="6"/>
      <c r="BVZ92" s="6"/>
      <c r="BWA92" s="6"/>
      <c r="BWB92" s="6"/>
      <c r="BWC92" s="6"/>
      <c r="BWD92" s="6"/>
      <c r="BWE92" s="6"/>
      <c r="BWF92" s="6"/>
      <c r="BWG92" s="6"/>
      <c r="BWH92" s="6"/>
      <c r="BWI92" s="6"/>
      <c r="BWJ92" s="6"/>
      <c r="BWK92" s="6"/>
      <c r="BWL92" s="6"/>
      <c r="BWM92" s="6"/>
      <c r="BWN92" s="6"/>
      <c r="BWO92" s="6"/>
      <c r="BWP92" s="6"/>
      <c r="BWQ92" s="6"/>
      <c r="BWR92" s="6"/>
      <c r="BWS92" s="6"/>
      <c r="BWT92" s="6"/>
      <c r="BWU92" s="6"/>
      <c r="BWV92" s="6"/>
      <c r="BWW92" s="6"/>
      <c r="BWX92" s="6"/>
      <c r="BWY92" s="6"/>
      <c r="BWZ92" s="6"/>
      <c r="BXA92" s="6"/>
      <c r="BXB92" s="6"/>
      <c r="BXC92" s="6"/>
      <c r="BXD92" s="6"/>
      <c r="BXE92" s="6"/>
      <c r="BXF92" s="6"/>
      <c r="BXG92" s="6"/>
      <c r="BXH92" s="6"/>
      <c r="BXI92" s="6"/>
      <c r="BXJ92" s="6"/>
      <c r="BXK92" s="6"/>
      <c r="BXL92" s="6"/>
      <c r="BXM92" s="6"/>
      <c r="BXN92" s="6"/>
      <c r="BXO92" s="6"/>
      <c r="BXP92" s="6"/>
      <c r="BXQ92" s="6"/>
      <c r="BXR92" s="6"/>
      <c r="BXS92" s="6"/>
      <c r="BXT92" s="6"/>
      <c r="BXU92" s="6"/>
      <c r="BXV92" s="6"/>
      <c r="BXW92" s="6"/>
      <c r="BXX92" s="6"/>
      <c r="BXY92" s="6"/>
      <c r="BXZ92" s="6"/>
      <c r="BYA92" s="6"/>
      <c r="BYB92" s="6"/>
      <c r="BYC92" s="6"/>
      <c r="BYD92" s="6"/>
      <c r="BYE92" s="6"/>
      <c r="BYF92" s="6"/>
      <c r="BYG92" s="6"/>
      <c r="BYH92" s="6"/>
      <c r="BYI92" s="6"/>
      <c r="BYJ92" s="6"/>
      <c r="BYK92" s="6"/>
      <c r="BYL92" s="6"/>
      <c r="BYM92" s="6"/>
      <c r="BYN92" s="6"/>
      <c r="BYO92" s="6"/>
      <c r="BYP92" s="6"/>
      <c r="BYQ92" s="6"/>
      <c r="BYR92" s="6"/>
      <c r="BYS92" s="6"/>
      <c r="BYT92" s="6"/>
      <c r="BYU92" s="6"/>
      <c r="BYV92" s="6"/>
      <c r="BYW92" s="6"/>
      <c r="BYX92" s="6"/>
      <c r="BYY92" s="6"/>
      <c r="BYZ92" s="6"/>
      <c r="BZA92" s="6"/>
      <c r="BZB92" s="6"/>
      <c r="BZC92" s="6"/>
      <c r="BZD92" s="6"/>
      <c r="BZE92" s="6"/>
      <c r="BZF92" s="6"/>
      <c r="BZG92" s="6"/>
      <c r="BZH92" s="6"/>
      <c r="BZI92" s="6"/>
      <c r="BZJ92" s="6"/>
      <c r="BZK92" s="6"/>
      <c r="BZL92" s="6"/>
      <c r="BZM92" s="6"/>
      <c r="BZN92" s="6"/>
      <c r="BZO92" s="6"/>
      <c r="BZP92" s="6"/>
      <c r="BZQ92" s="6"/>
      <c r="BZR92" s="6"/>
      <c r="BZS92" s="6"/>
      <c r="BZT92" s="6"/>
      <c r="BZU92" s="6"/>
      <c r="BZV92" s="6"/>
      <c r="BZW92" s="6"/>
      <c r="BZX92" s="6"/>
      <c r="BZY92" s="6"/>
      <c r="BZZ92" s="6"/>
      <c r="CAA92" s="6"/>
      <c r="CAB92" s="6"/>
      <c r="CAC92" s="6"/>
      <c r="CAD92" s="6"/>
      <c r="CAE92" s="6"/>
      <c r="CAF92" s="6"/>
      <c r="CAG92" s="6"/>
      <c r="CAH92" s="6"/>
      <c r="CAI92" s="6"/>
      <c r="CAJ92" s="6"/>
      <c r="CAK92" s="6"/>
      <c r="CAL92" s="6"/>
      <c r="CAM92" s="6"/>
      <c r="CAN92" s="6"/>
      <c r="CAO92" s="6"/>
      <c r="CAP92" s="6"/>
      <c r="CAQ92" s="6"/>
      <c r="CAR92" s="6"/>
      <c r="CAS92" s="6"/>
      <c r="CAT92" s="6"/>
      <c r="CAU92" s="6"/>
      <c r="CAV92" s="6"/>
      <c r="CAW92" s="6"/>
      <c r="CAX92" s="6"/>
      <c r="CAY92" s="6"/>
      <c r="CAZ92" s="6"/>
      <c r="CBA92" s="6"/>
      <c r="CBB92" s="6"/>
      <c r="CBC92" s="6"/>
      <c r="CBD92" s="6"/>
      <c r="CBE92" s="6"/>
      <c r="CBF92" s="6"/>
      <c r="CBG92" s="6"/>
      <c r="CBH92" s="6"/>
      <c r="CBI92" s="6"/>
      <c r="CBJ92" s="6"/>
      <c r="CBK92" s="6"/>
      <c r="CBL92" s="6"/>
      <c r="CBM92" s="6"/>
      <c r="CBN92" s="6"/>
      <c r="CBO92" s="6"/>
      <c r="CBP92" s="6"/>
      <c r="CBQ92" s="6"/>
      <c r="CBR92" s="6"/>
      <c r="CBS92" s="6"/>
      <c r="CBT92" s="6"/>
      <c r="CBU92" s="6"/>
      <c r="CBV92" s="6"/>
      <c r="CBW92" s="6"/>
      <c r="CBX92" s="6"/>
      <c r="CBY92" s="6"/>
      <c r="CBZ92" s="6"/>
      <c r="CCA92" s="6"/>
      <c r="CCB92" s="6"/>
      <c r="CCC92" s="6"/>
      <c r="CCD92" s="6"/>
      <c r="CCE92" s="6"/>
      <c r="CCF92" s="6"/>
      <c r="CCG92" s="6"/>
      <c r="CCH92" s="6"/>
      <c r="CCI92" s="6"/>
      <c r="CCJ92" s="6"/>
      <c r="CCK92" s="6"/>
      <c r="CCL92" s="6"/>
      <c r="CCM92" s="6"/>
      <c r="CCN92" s="6"/>
      <c r="CCO92" s="6"/>
      <c r="CCP92" s="6"/>
      <c r="CCQ92" s="6"/>
      <c r="CCR92" s="6"/>
      <c r="CCS92" s="6"/>
      <c r="CCT92" s="6"/>
      <c r="CCU92" s="6"/>
      <c r="CCV92" s="6"/>
      <c r="CCW92" s="6"/>
      <c r="CCX92" s="6"/>
      <c r="CCY92" s="6"/>
      <c r="CCZ92" s="6"/>
      <c r="CDA92" s="6"/>
      <c r="CDB92" s="6"/>
      <c r="CDC92" s="6"/>
      <c r="CDD92" s="6"/>
      <c r="CDE92" s="6"/>
      <c r="CDF92" s="6"/>
      <c r="CDG92" s="6"/>
      <c r="CDH92" s="6"/>
      <c r="CDI92" s="6"/>
      <c r="CDJ92" s="6"/>
      <c r="CDK92" s="6"/>
      <c r="CDL92" s="6"/>
      <c r="CDM92" s="6"/>
      <c r="CDN92" s="6"/>
      <c r="CDO92" s="6"/>
      <c r="CDP92" s="6"/>
      <c r="CDQ92" s="6"/>
      <c r="CDR92" s="6"/>
      <c r="CDS92" s="6"/>
      <c r="CDT92" s="6"/>
      <c r="CDU92" s="6"/>
      <c r="CDV92" s="6"/>
      <c r="CDW92" s="6"/>
      <c r="CDX92" s="6"/>
      <c r="CDY92" s="6"/>
      <c r="CDZ92" s="6"/>
      <c r="CEA92" s="6"/>
      <c r="CEB92" s="6"/>
      <c r="CEC92" s="6"/>
      <c r="CED92" s="6"/>
      <c r="CEE92" s="6"/>
      <c r="CEF92" s="6"/>
      <c r="CEG92" s="6"/>
      <c r="CEH92" s="6"/>
      <c r="CEI92" s="6"/>
      <c r="CEJ92" s="6"/>
      <c r="CEK92" s="6"/>
      <c r="CEL92" s="6"/>
      <c r="CEM92" s="6"/>
      <c r="CEN92" s="6"/>
      <c r="CEO92" s="6"/>
      <c r="CEP92" s="6"/>
      <c r="CEQ92" s="6"/>
      <c r="CER92" s="6"/>
      <c r="CES92" s="6"/>
      <c r="CET92" s="6"/>
      <c r="CEU92" s="6"/>
      <c r="CEV92" s="6"/>
      <c r="CEW92" s="6"/>
      <c r="CEX92" s="6"/>
      <c r="CEY92" s="6"/>
      <c r="CEZ92" s="6"/>
      <c r="CFA92" s="6"/>
      <c r="CFB92" s="6"/>
      <c r="CFC92" s="6"/>
      <c r="CFD92" s="6"/>
      <c r="CFE92" s="6"/>
      <c r="CFF92" s="6"/>
      <c r="CFG92" s="6"/>
      <c r="CFH92" s="6"/>
      <c r="CFI92" s="6"/>
      <c r="CFJ92" s="6"/>
      <c r="CFK92" s="6"/>
      <c r="CFL92" s="6"/>
      <c r="CFM92" s="6"/>
      <c r="CFN92" s="6"/>
      <c r="CFO92" s="6"/>
      <c r="CFP92" s="6"/>
      <c r="CFQ92" s="6"/>
      <c r="CFR92" s="6"/>
      <c r="CFS92" s="6"/>
      <c r="CFT92" s="6"/>
      <c r="CFU92" s="6"/>
      <c r="CFV92" s="6"/>
      <c r="CFW92" s="6"/>
      <c r="CFX92" s="6"/>
      <c r="CFY92" s="6"/>
      <c r="CFZ92" s="6"/>
      <c r="CGA92" s="6"/>
      <c r="CGB92" s="6"/>
      <c r="CGC92" s="6"/>
      <c r="CGD92" s="6"/>
      <c r="CGE92" s="6"/>
      <c r="CGF92" s="6"/>
      <c r="CGG92" s="6"/>
      <c r="CGH92" s="6"/>
      <c r="CGI92" s="6"/>
      <c r="CGJ92" s="6"/>
      <c r="CGK92" s="6"/>
      <c r="CGL92" s="6"/>
      <c r="CGM92" s="6"/>
      <c r="CGN92" s="6"/>
      <c r="CGO92" s="6"/>
      <c r="CGP92" s="6"/>
      <c r="CGQ92" s="6"/>
      <c r="CGR92" s="6"/>
      <c r="CGS92" s="6"/>
      <c r="CGT92" s="6"/>
      <c r="CGU92" s="6"/>
      <c r="CGV92" s="6"/>
      <c r="CGW92" s="6"/>
      <c r="CGX92" s="6"/>
      <c r="CGY92" s="6"/>
      <c r="CGZ92" s="6"/>
      <c r="CHA92" s="6"/>
      <c r="CHB92" s="6"/>
      <c r="CHC92" s="6"/>
      <c r="CHD92" s="6"/>
      <c r="CHE92" s="6"/>
      <c r="CHF92" s="6"/>
      <c r="CHG92" s="6"/>
      <c r="CHH92" s="6"/>
      <c r="CHI92" s="6"/>
      <c r="CHJ92" s="6"/>
      <c r="CHK92" s="6"/>
      <c r="CHL92" s="6"/>
      <c r="CHM92" s="6"/>
      <c r="CHN92" s="6"/>
      <c r="CHO92" s="6"/>
      <c r="CHP92" s="6"/>
      <c r="CHQ92" s="6"/>
      <c r="CHR92" s="6"/>
      <c r="CHS92" s="6"/>
      <c r="CHT92" s="6"/>
      <c r="CHU92" s="6"/>
      <c r="CHV92" s="6"/>
      <c r="CHW92" s="6"/>
      <c r="CHX92" s="6"/>
      <c r="CHY92" s="6"/>
      <c r="CHZ92" s="6"/>
      <c r="CIA92" s="6"/>
      <c r="CIB92" s="6"/>
      <c r="CIC92" s="6"/>
      <c r="CID92" s="6"/>
      <c r="CIE92" s="6"/>
      <c r="CIF92" s="6"/>
      <c r="CIG92" s="6"/>
      <c r="CIH92" s="6"/>
      <c r="CII92" s="6"/>
      <c r="CIJ92" s="6"/>
      <c r="CIK92" s="6"/>
      <c r="CIL92" s="6"/>
      <c r="CIM92" s="6"/>
      <c r="CIN92" s="6"/>
      <c r="CIO92" s="6"/>
      <c r="CIP92" s="6"/>
      <c r="CIQ92" s="6"/>
      <c r="CIR92" s="6"/>
      <c r="CIS92" s="6"/>
      <c r="CIT92" s="6"/>
      <c r="CIU92" s="6"/>
      <c r="CIV92" s="6"/>
      <c r="CIW92" s="6"/>
      <c r="CIX92" s="6"/>
      <c r="CIY92" s="6"/>
      <c r="CIZ92" s="6"/>
      <c r="CJA92" s="6"/>
      <c r="CJB92" s="6"/>
      <c r="CJC92" s="6"/>
      <c r="CJD92" s="6"/>
      <c r="CJE92" s="6"/>
      <c r="CJF92" s="6"/>
      <c r="CJG92" s="6"/>
      <c r="CJH92" s="6"/>
      <c r="CJI92" s="6"/>
      <c r="CJJ92" s="6"/>
      <c r="CJK92" s="6"/>
      <c r="CJL92" s="6"/>
      <c r="CJM92" s="6"/>
      <c r="CJN92" s="6"/>
      <c r="CJO92" s="6"/>
      <c r="CJP92" s="6"/>
      <c r="CJQ92" s="6"/>
      <c r="CJR92" s="6"/>
      <c r="CJS92" s="6"/>
      <c r="CJT92" s="6"/>
      <c r="CJU92" s="6"/>
      <c r="CJV92" s="6"/>
      <c r="CJW92" s="6"/>
      <c r="CJX92" s="6"/>
      <c r="CJY92" s="6"/>
      <c r="CJZ92" s="6"/>
      <c r="CKA92" s="6"/>
      <c r="CKB92" s="6"/>
      <c r="CKC92" s="6"/>
      <c r="CKD92" s="6"/>
      <c r="CKE92" s="6"/>
      <c r="CKF92" s="6"/>
      <c r="CKG92" s="6"/>
      <c r="CKH92" s="6"/>
      <c r="CKI92" s="6"/>
      <c r="CKJ92" s="6"/>
      <c r="CKK92" s="6"/>
      <c r="CKL92" s="6"/>
      <c r="CKM92" s="6"/>
      <c r="CKN92" s="6"/>
      <c r="CKO92" s="6"/>
      <c r="CKP92" s="6"/>
      <c r="CKQ92" s="6"/>
      <c r="CKR92" s="6"/>
      <c r="CKS92" s="6"/>
      <c r="CKT92" s="6"/>
      <c r="CKU92" s="6"/>
      <c r="CKV92" s="6"/>
      <c r="CKW92" s="6"/>
      <c r="CKX92" s="6"/>
      <c r="CKY92" s="6"/>
      <c r="CKZ92" s="6"/>
      <c r="CLA92" s="6"/>
      <c r="CLB92" s="6"/>
      <c r="CLC92" s="6"/>
      <c r="CLD92" s="6"/>
      <c r="CLE92" s="6"/>
      <c r="CLF92" s="6"/>
      <c r="CLG92" s="6"/>
      <c r="CLH92" s="6"/>
      <c r="CLI92" s="6"/>
      <c r="CLJ92" s="6"/>
      <c r="CLK92" s="6"/>
      <c r="CLL92" s="6"/>
      <c r="CLM92" s="6"/>
      <c r="CLN92" s="6"/>
      <c r="CLO92" s="6"/>
      <c r="CLP92" s="6"/>
      <c r="CLQ92" s="6"/>
      <c r="CLR92" s="6"/>
      <c r="CLS92" s="6"/>
      <c r="CLT92" s="6"/>
      <c r="CLU92" s="6"/>
      <c r="CLV92" s="6"/>
      <c r="CLW92" s="6"/>
      <c r="CLX92" s="6"/>
      <c r="CLY92" s="6"/>
      <c r="CLZ92" s="6"/>
      <c r="CMA92" s="6"/>
      <c r="CMB92" s="6"/>
      <c r="CMC92" s="6"/>
      <c r="CMD92" s="6"/>
      <c r="CME92" s="6"/>
      <c r="CMF92" s="6"/>
      <c r="CMG92" s="6"/>
      <c r="CMH92" s="6"/>
      <c r="CMI92" s="6"/>
      <c r="CMJ92" s="6"/>
      <c r="CMK92" s="6"/>
      <c r="CML92" s="6"/>
      <c r="CMM92" s="6"/>
      <c r="CMN92" s="6"/>
      <c r="CMO92" s="6"/>
      <c r="CMP92" s="6"/>
      <c r="CMQ92" s="6"/>
      <c r="CMR92" s="6"/>
      <c r="CMS92" s="6"/>
      <c r="CMT92" s="6"/>
      <c r="CMU92" s="6"/>
      <c r="CMV92" s="6"/>
      <c r="CMW92" s="6"/>
      <c r="CMX92" s="6"/>
      <c r="CMY92" s="6"/>
      <c r="CMZ92" s="6"/>
      <c r="CNA92" s="6"/>
      <c r="CNB92" s="6"/>
      <c r="CNC92" s="6"/>
      <c r="CND92" s="6"/>
      <c r="CNE92" s="6"/>
      <c r="CNF92" s="6"/>
      <c r="CNG92" s="6"/>
      <c r="CNH92" s="6"/>
      <c r="CNI92" s="6"/>
      <c r="CNJ92" s="6"/>
      <c r="CNK92" s="6"/>
      <c r="CNL92" s="6"/>
      <c r="CNM92" s="6"/>
      <c r="CNN92" s="6"/>
      <c r="CNO92" s="6"/>
      <c r="CNP92" s="6"/>
      <c r="CNQ92" s="6"/>
      <c r="CNR92" s="6"/>
      <c r="CNS92" s="6"/>
      <c r="CNT92" s="6"/>
      <c r="CNU92" s="6"/>
      <c r="CNV92" s="6"/>
      <c r="CNW92" s="6"/>
      <c r="CNX92" s="6"/>
      <c r="CNY92" s="6"/>
      <c r="CNZ92" s="6"/>
      <c r="COA92" s="6"/>
      <c r="COB92" s="6"/>
      <c r="COC92" s="6"/>
      <c r="COD92" s="6"/>
      <c r="COE92" s="6"/>
      <c r="COF92" s="6"/>
      <c r="COG92" s="6"/>
      <c r="COH92" s="6"/>
      <c r="COI92" s="6"/>
      <c r="COJ92" s="6"/>
      <c r="COK92" s="6"/>
      <c r="COL92" s="6"/>
      <c r="COM92" s="6"/>
      <c r="CON92" s="6"/>
      <c r="COO92" s="6"/>
      <c r="COP92" s="6"/>
      <c r="COQ92" s="6"/>
      <c r="COR92" s="6"/>
      <c r="COS92" s="6"/>
      <c r="COT92" s="6"/>
      <c r="COU92" s="6"/>
      <c r="COV92" s="6"/>
      <c r="COW92" s="6"/>
      <c r="COX92" s="6"/>
      <c r="COY92" s="6"/>
      <c r="COZ92" s="6"/>
      <c r="CPA92" s="6"/>
      <c r="CPB92" s="6"/>
      <c r="CPC92" s="6"/>
      <c r="CPD92" s="6"/>
      <c r="CPE92" s="6"/>
      <c r="CPF92" s="6"/>
      <c r="CPG92" s="6"/>
      <c r="CPH92" s="6"/>
      <c r="CPI92" s="6"/>
      <c r="CPJ92" s="6"/>
      <c r="CPK92" s="6"/>
      <c r="CPL92" s="6"/>
      <c r="CPM92" s="6"/>
      <c r="CPN92" s="6"/>
      <c r="CPO92" s="6"/>
      <c r="CPP92" s="6"/>
      <c r="CPQ92" s="6"/>
      <c r="CPR92" s="6"/>
      <c r="CPS92" s="6"/>
      <c r="CPT92" s="6"/>
      <c r="CPU92" s="6"/>
      <c r="CPV92" s="6"/>
      <c r="CPW92" s="6"/>
      <c r="CPX92" s="6"/>
      <c r="CPY92" s="6"/>
      <c r="CPZ92" s="6"/>
      <c r="CQA92" s="6"/>
      <c r="CQB92" s="6"/>
      <c r="CQC92" s="6"/>
      <c r="CQD92" s="6"/>
      <c r="CQE92" s="6"/>
      <c r="CQF92" s="6"/>
      <c r="CQG92" s="6"/>
      <c r="CQH92" s="6"/>
      <c r="CQI92" s="6"/>
      <c r="CQJ92" s="6"/>
      <c r="CQK92" s="6"/>
      <c r="CQL92" s="6"/>
      <c r="CQM92" s="6"/>
      <c r="CQN92" s="6"/>
      <c r="CQO92" s="6"/>
      <c r="CQP92" s="6"/>
      <c r="CQQ92" s="6"/>
      <c r="CQR92" s="6"/>
      <c r="CQS92" s="6"/>
      <c r="CQT92" s="6"/>
      <c r="CQU92" s="6"/>
      <c r="CQV92" s="6"/>
      <c r="CQW92" s="6"/>
      <c r="CQX92" s="6"/>
      <c r="CQY92" s="6"/>
      <c r="CQZ92" s="6"/>
      <c r="CRA92" s="6"/>
      <c r="CRB92" s="6"/>
      <c r="CRC92" s="6"/>
      <c r="CRD92" s="6"/>
      <c r="CRE92" s="6"/>
      <c r="CRF92" s="6"/>
      <c r="CRG92" s="6"/>
      <c r="CRH92" s="6"/>
      <c r="CRI92" s="6"/>
      <c r="CRJ92" s="6"/>
      <c r="CRK92" s="6"/>
      <c r="CRL92" s="6"/>
      <c r="CRM92" s="6"/>
      <c r="CRN92" s="6"/>
      <c r="CRO92" s="6"/>
      <c r="CRP92" s="6"/>
      <c r="CRQ92" s="6"/>
      <c r="CRR92" s="6"/>
      <c r="CRS92" s="6"/>
      <c r="CRT92" s="6"/>
      <c r="CRU92" s="6"/>
      <c r="CRV92" s="6"/>
      <c r="CRW92" s="6"/>
      <c r="CRX92" s="6"/>
      <c r="CRY92" s="6"/>
      <c r="CRZ92" s="6"/>
      <c r="CSA92" s="6"/>
      <c r="CSB92" s="6"/>
      <c r="CSC92" s="6"/>
      <c r="CSD92" s="6"/>
      <c r="CSE92" s="6"/>
      <c r="CSF92" s="6"/>
      <c r="CSG92" s="6"/>
      <c r="CSH92" s="6"/>
      <c r="CSI92" s="6"/>
      <c r="CSJ92" s="6"/>
      <c r="CSK92" s="6"/>
      <c r="CSL92" s="6"/>
      <c r="CSM92" s="6"/>
      <c r="CSN92" s="6"/>
      <c r="CSO92" s="6"/>
      <c r="CSP92" s="6"/>
      <c r="CSQ92" s="6"/>
      <c r="CSR92" s="6"/>
      <c r="CSS92" s="6"/>
      <c r="CST92" s="6"/>
      <c r="CSU92" s="6"/>
      <c r="CSV92" s="6"/>
      <c r="CSW92" s="6"/>
      <c r="CSX92" s="6"/>
      <c r="CSY92" s="6"/>
      <c r="CSZ92" s="6"/>
      <c r="CTA92" s="6"/>
      <c r="CTB92" s="6"/>
      <c r="CTC92" s="6"/>
      <c r="CTD92" s="6"/>
      <c r="CTE92" s="6"/>
      <c r="CTF92" s="6"/>
      <c r="CTG92" s="6"/>
      <c r="CTH92" s="6"/>
      <c r="CTI92" s="6"/>
      <c r="CTJ92" s="6"/>
      <c r="CTK92" s="6"/>
      <c r="CTL92" s="6"/>
      <c r="CTM92" s="6"/>
      <c r="CTN92" s="6"/>
      <c r="CTO92" s="6"/>
      <c r="CTP92" s="6"/>
      <c r="CTQ92" s="6"/>
      <c r="CTR92" s="6"/>
      <c r="CTS92" s="6"/>
      <c r="CTT92" s="6"/>
      <c r="CTU92" s="6"/>
      <c r="CTV92" s="6"/>
      <c r="CTW92" s="6"/>
      <c r="CTX92" s="6"/>
      <c r="CTY92" s="6"/>
      <c r="CTZ92" s="6"/>
      <c r="CUA92" s="6"/>
      <c r="CUB92" s="6"/>
      <c r="CUC92" s="6"/>
      <c r="CUD92" s="6"/>
      <c r="CUE92" s="6"/>
      <c r="CUF92" s="6"/>
      <c r="CUG92" s="6"/>
      <c r="CUH92" s="6"/>
      <c r="CUI92" s="6"/>
      <c r="CUJ92" s="6"/>
      <c r="CUK92" s="6"/>
      <c r="CUL92" s="6"/>
      <c r="CUM92" s="6"/>
      <c r="CUN92" s="6"/>
      <c r="CUO92" s="6"/>
      <c r="CUP92" s="6"/>
      <c r="CUQ92" s="6"/>
      <c r="CUR92" s="6"/>
      <c r="CUS92" s="6"/>
      <c r="CUT92" s="6"/>
      <c r="CUU92" s="6"/>
      <c r="CUV92" s="6"/>
      <c r="CUW92" s="6"/>
      <c r="CUX92" s="6"/>
      <c r="CUY92" s="6"/>
      <c r="CUZ92" s="6"/>
      <c r="CVA92" s="6"/>
      <c r="CVB92" s="6"/>
      <c r="CVC92" s="6"/>
      <c r="CVD92" s="6"/>
      <c r="CVE92" s="6"/>
      <c r="CVF92" s="6"/>
      <c r="CVG92" s="6"/>
      <c r="CVH92" s="6"/>
      <c r="CVI92" s="6"/>
      <c r="CVJ92" s="6"/>
      <c r="CVK92" s="6"/>
      <c r="CVL92" s="6"/>
      <c r="CVM92" s="6"/>
      <c r="CVN92" s="6"/>
      <c r="CVO92" s="6"/>
      <c r="CVP92" s="6"/>
      <c r="CVQ92" s="6"/>
      <c r="CVR92" s="6"/>
      <c r="CVS92" s="6"/>
      <c r="CVT92" s="6"/>
      <c r="CVU92" s="6"/>
      <c r="CVV92" s="6"/>
      <c r="CVW92" s="6"/>
      <c r="CVX92" s="6"/>
      <c r="CVY92" s="6"/>
      <c r="CVZ92" s="6"/>
      <c r="CWA92" s="6"/>
      <c r="CWB92" s="6"/>
      <c r="CWC92" s="6"/>
      <c r="CWD92" s="6"/>
      <c r="CWE92" s="6"/>
      <c r="CWF92" s="6"/>
      <c r="CWG92" s="6"/>
      <c r="CWH92" s="6"/>
      <c r="CWI92" s="6"/>
      <c r="CWJ92" s="6"/>
      <c r="CWK92" s="6"/>
      <c r="CWL92" s="6"/>
      <c r="CWM92" s="6"/>
      <c r="CWN92" s="6"/>
      <c r="CWO92" s="6"/>
      <c r="CWP92" s="6"/>
      <c r="CWQ92" s="6"/>
      <c r="CWR92" s="6"/>
      <c r="CWS92" s="6"/>
      <c r="CWT92" s="6"/>
      <c r="CWU92" s="6"/>
      <c r="CWV92" s="6"/>
      <c r="CWW92" s="6"/>
      <c r="CWX92" s="6"/>
      <c r="CWY92" s="6"/>
      <c r="CWZ92" s="6"/>
      <c r="CXA92" s="6"/>
      <c r="CXB92" s="6"/>
      <c r="CXC92" s="6"/>
      <c r="CXD92" s="6"/>
      <c r="CXE92" s="6"/>
      <c r="CXF92" s="6"/>
      <c r="CXG92" s="6"/>
      <c r="CXH92" s="6"/>
      <c r="CXI92" s="6"/>
      <c r="CXJ92" s="6"/>
      <c r="CXK92" s="6"/>
      <c r="CXL92" s="6"/>
      <c r="CXM92" s="6"/>
      <c r="CXN92" s="6"/>
      <c r="CXO92" s="6"/>
      <c r="CXP92" s="6"/>
      <c r="CXQ92" s="6"/>
      <c r="CXR92" s="6"/>
      <c r="CXS92" s="6"/>
      <c r="CXT92" s="6"/>
      <c r="CXU92" s="6"/>
      <c r="CXV92" s="6"/>
      <c r="CXW92" s="6"/>
      <c r="CXX92" s="6"/>
      <c r="CXY92" s="6"/>
      <c r="CXZ92" s="6"/>
      <c r="CYA92" s="6"/>
      <c r="CYB92" s="6"/>
      <c r="CYC92" s="6"/>
      <c r="CYD92" s="6"/>
      <c r="CYE92" s="6"/>
      <c r="CYF92" s="6"/>
      <c r="CYG92" s="6"/>
      <c r="CYH92" s="6"/>
      <c r="CYI92" s="6"/>
      <c r="CYJ92" s="6"/>
      <c r="CYK92" s="6"/>
      <c r="CYL92" s="6"/>
      <c r="CYM92" s="6"/>
      <c r="CYN92" s="6"/>
      <c r="CYO92" s="6"/>
      <c r="CYP92" s="6"/>
      <c r="CYQ92" s="6"/>
      <c r="CYR92" s="6"/>
      <c r="CYS92" s="6"/>
      <c r="CYT92" s="6"/>
      <c r="CYU92" s="6"/>
      <c r="CYV92" s="6"/>
      <c r="CYW92" s="6"/>
      <c r="CYX92" s="6"/>
      <c r="CYY92" s="6"/>
      <c r="CYZ92" s="6"/>
      <c r="CZA92" s="6"/>
      <c r="CZB92" s="6"/>
      <c r="CZC92" s="6"/>
      <c r="CZD92" s="6"/>
      <c r="CZE92" s="6"/>
      <c r="CZF92" s="6"/>
      <c r="CZG92" s="6"/>
      <c r="CZH92" s="6"/>
      <c r="CZI92" s="6"/>
      <c r="CZJ92" s="6"/>
      <c r="CZK92" s="6"/>
      <c r="CZL92" s="6"/>
      <c r="CZM92" s="6"/>
      <c r="CZN92" s="6"/>
      <c r="CZO92" s="6"/>
      <c r="CZP92" s="6"/>
      <c r="CZQ92" s="6"/>
      <c r="CZR92" s="6"/>
      <c r="CZS92" s="6"/>
      <c r="CZT92" s="6"/>
      <c r="CZU92" s="6"/>
      <c r="CZV92" s="6"/>
      <c r="CZW92" s="6"/>
      <c r="CZX92" s="6"/>
      <c r="CZY92" s="6"/>
      <c r="CZZ92" s="6"/>
      <c r="DAA92" s="6"/>
      <c r="DAB92" s="6"/>
      <c r="DAC92" s="6"/>
      <c r="DAD92" s="6"/>
      <c r="DAE92" s="6"/>
      <c r="DAF92" s="6"/>
      <c r="DAG92" s="6"/>
      <c r="DAH92" s="6"/>
      <c r="DAI92" s="6"/>
      <c r="DAJ92" s="6"/>
      <c r="DAK92" s="6"/>
      <c r="DAL92" s="6"/>
      <c r="DAM92" s="6"/>
      <c r="DAN92" s="6"/>
      <c r="DAO92" s="6"/>
      <c r="DAP92" s="6"/>
      <c r="DAQ92" s="6"/>
      <c r="DAR92" s="6"/>
      <c r="DAS92" s="6"/>
      <c r="DAT92" s="6"/>
      <c r="DAU92" s="6"/>
      <c r="DAV92" s="6"/>
      <c r="DAW92" s="6"/>
      <c r="DAX92" s="6"/>
      <c r="DAY92" s="6"/>
      <c r="DAZ92" s="6"/>
      <c r="DBA92" s="6"/>
      <c r="DBB92" s="6"/>
      <c r="DBC92" s="6"/>
      <c r="DBD92" s="6"/>
      <c r="DBE92" s="6"/>
      <c r="DBF92" s="6"/>
      <c r="DBG92" s="6"/>
      <c r="DBH92" s="6"/>
      <c r="DBI92" s="6"/>
      <c r="DBJ92" s="6"/>
      <c r="DBK92" s="6"/>
      <c r="DBL92" s="6"/>
      <c r="DBM92" s="6"/>
      <c r="DBN92" s="6"/>
      <c r="DBO92" s="6"/>
      <c r="DBP92" s="6"/>
      <c r="DBQ92" s="6"/>
      <c r="DBR92" s="6"/>
      <c r="DBS92" s="6"/>
      <c r="DBT92" s="6"/>
      <c r="DBU92" s="6"/>
      <c r="DBV92" s="6"/>
      <c r="DBW92" s="6"/>
      <c r="DBX92" s="6"/>
      <c r="DBY92" s="6"/>
      <c r="DBZ92" s="6"/>
      <c r="DCA92" s="6"/>
      <c r="DCB92" s="6"/>
      <c r="DCC92" s="6"/>
      <c r="DCD92" s="6"/>
      <c r="DCE92" s="6"/>
      <c r="DCF92" s="6"/>
      <c r="DCG92" s="6"/>
      <c r="DCH92" s="6"/>
      <c r="DCI92" s="6"/>
      <c r="DCJ92" s="6"/>
      <c r="DCK92" s="6"/>
      <c r="DCL92" s="6"/>
      <c r="DCM92" s="6"/>
      <c r="DCN92" s="6"/>
      <c r="DCO92" s="6"/>
      <c r="DCP92" s="6"/>
      <c r="DCQ92" s="6"/>
      <c r="DCR92" s="6"/>
      <c r="DCS92" s="6"/>
      <c r="DCT92" s="6"/>
      <c r="DCU92" s="6"/>
      <c r="DCV92" s="6"/>
      <c r="DCW92" s="6"/>
      <c r="DCX92" s="6"/>
      <c r="DCY92" s="6"/>
      <c r="DCZ92" s="6"/>
      <c r="DDA92" s="6"/>
      <c r="DDB92" s="6"/>
      <c r="DDC92" s="6"/>
      <c r="DDD92" s="6"/>
      <c r="DDE92" s="6"/>
      <c r="DDF92" s="6"/>
      <c r="DDG92" s="6"/>
      <c r="DDH92" s="6"/>
      <c r="DDI92" s="6"/>
      <c r="DDJ92" s="6"/>
      <c r="DDK92" s="6"/>
      <c r="DDL92" s="6"/>
      <c r="DDM92" s="6"/>
      <c r="DDN92" s="6"/>
      <c r="DDO92" s="6"/>
      <c r="DDP92" s="6"/>
      <c r="DDQ92" s="6"/>
      <c r="DDR92" s="6"/>
      <c r="DDS92" s="6"/>
      <c r="DDT92" s="6"/>
      <c r="DDU92" s="6"/>
      <c r="DDV92" s="6"/>
      <c r="DDW92" s="6"/>
      <c r="DDX92" s="6"/>
      <c r="DDY92" s="6"/>
      <c r="DDZ92" s="6"/>
      <c r="DEA92" s="6"/>
      <c r="DEB92" s="6"/>
      <c r="DEC92" s="6"/>
      <c r="DED92" s="6"/>
      <c r="DEE92" s="6"/>
      <c r="DEF92" s="6"/>
      <c r="DEG92" s="6"/>
      <c r="DEH92" s="6"/>
      <c r="DEI92" s="6"/>
      <c r="DEJ92" s="6"/>
      <c r="DEK92" s="6"/>
      <c r="DEL92" s="6"/>
      <c r="DEM92" s="6"/>
      <c r="DEN92" s="6"/>
      <c r="DEO92" s="6"/>
      <c r="DEP92" s="6"/>
      <c r="DEQ92" s="6"/>
      <c r="DER92" s="6"/>
      <c r="DES92" s="6"/>
      <c r="DET92" s="6"/>
      <c r="DEU92" s="6"/>
      <c r="DEV92" s="6"/>
      <c r="DEW92" s="6"/>
      <c r="DEX92" s="6"/>
      <c r="DEY92" s="6"/>
      <c r="DEZ92" s="6"/>
      <c r="DFA92" s="6"/>
      <c r="DFB92" s="6"/>
      <c r="DFC92" s="6"/>
      <c r="DFD92" s="6"/>
      <c r="DFE92" s="6"/>
      <c r="DFF92" s="6"/>
      <c r="DFG92" s="6"/>
      <c r="DFH92" s="6"/>
      <c r="DFI92" s="6"/>
      <c r="DFJ92" s="6"/>
      <c r="DFK92" s="6"/>
      <c r="DFL92" s="6"/>
      <c r="DFM92" s="6"/>
      <c r="DFN92" s="6"/>
      <c r="DFO92" s="6"/>
      <c r="DFP92" s="6"/>
      <c r="DFQ92" s="6"/>
      <c r="DFR92" s="6"/>
      <c r="DFS92" s="6"/>
      <c r="DFT92" s="6"/>
      <c r="DFU92" s="6"/>
      <c r="DFV92" s="6"/>
      <c r="DFW92" s="6"/>
      <c r="DFX92" s="6"/>
      <c r="DFY92" s="6"/>
      <c r="DFZ92" s="6"/>
      <c r="DGA92" s="6"/>
      <c r="DGB92" s="6"/>
      <c r="DGC92" s="6"/>
      <c r="DGD92" s="6"/>
      <c r="DGE92" s="6"/>
      <c r="DGF92" s="6"/>
      <c r="DGG92" s="6"/>
      <c r="DGH92" s="6"/>
      <c r="DGI92" s="6"/>
      <c r="DGJ92" s="6"/>
      <c r="DGK92" s="6"/>
      <c r="DGL92" s="6"/>
      <c r="DGM92" s="6"/>
      <c r="DGN92" s="6"/>
      <c r="DGO92" s="6"/>
      <c r="DGP92" s="6"/>
      <c r="DGQ92" s="6"/>
      <c r="DGR92" s="6"/>
      <c r="DGS92" s="6"/>
      <c r="DGT92" s="6"/>
      <c r="DGU92" s="6"/>
      <c r="DGV92" s="6"/>
      <c r="DGW92" s="6"/>
      <c r="DGX92" s="6"/>
      <c r="DGY92" s="6"/>
      <c r="DGZ92" s="6"/>
      <c r="DHA92" s="6"/>
      <c r="DHB92" s="6"/>
      <c r="DHC92" s="6"/>
      <c r="DHD92" s="6"/>
      <c r="DHE92" s="6"/>
      <c r="DHF92" s="6"/>
      <c r="DHG92" s="6"/>
      <c r="DHH92" s="6"/>
      <c r="DHI92" s="6"/>
      <c r="DHJ92" s="6"/>
      <c r="DHK92" s="6"/>
      <c r="DHL92" s="6"/>
      <c r="DHM92" s="6"/>
      <c r="DHN92" s="6"/>
      <c r="DHO92" s="6"/>
      <c r="DHP92" s="6"/>
      <c r="DHQ92" s="6"/>
      <c r="DHR92" s="6"/>
      <c r="DHS92" s="6"/>
      <c r="DHT92" s="6"/>
      <c r="DHU92" s="6"/>
      <c r="DHV92" s="6"/>
      <c r="DHW92" s="6"/>
      <c r="DHX92" s="6"/>
      <c r="DHY92" s="6"/>
      <c r="DHZ92" s="6"/>
      <c r="DIA92" s="6"/>
      <c r="DIB92" s="6"/>
      <c r="DIC92" s="6"/>
      <c r="DID92" s="6"/>
      <c r="DIE92" s="6"/>
      <c r="DIF92" s="6"/>
      <c r="DIG92" s="6"/>
      <c r="DIH92" s="6"/>
      <c r="DII92" s="6"/>
      <c r="DIJ92" s="6"/>
      <c r="DIK92" s="6"/>
      <c r="DIL92" s="6"/>
      <c r="DIM92" s="6"/>
      <c r="DIN92" s="6"/>
      <c r="DIO92" s="6"/>
      <c r="DIP92" s="6"/>
      <c r="DIQ92" s="6"/>
      <c r="DIR92" s="6"/>
      <c r="DIS92" s="6"/>
      <c r="DIT92" s="6"/>
      <c r="DIU92" s="6"/>
      <c r="DIV92" s="6"/>
      <c r="DIW92" s="6"/>
      <c r="DIX92" s="6"/>
      <c r="DIY92" s="6"/>
      <c r="DIZ92" s="6"/>
      <c r="DJA92" s="6"/>
      <c r="DJB92" s="6"/>
      <c r="DJC92" s="6"/>
      <c r="DJD92" s="6"/>
      <c r="DJE92" s="6"/>
      <c r="DJF92" s="6"/>
      <c r="DJG92" s="6"/>
      <c r="DJH92" s="6"/>
      <c r="DJI92" s="6"/>
      <c r="DJJ92" s="6"/>
      <c r="DJK92" s="6"/>
      <c r="DJL92" s="6"/>
      <c r="DJM92" s="6"/>
      <c r="DJN92" s="6"/>
      <c r="DJO92" s="6"/>
      <c r="DJP92" s="6"/>
      <c r="DJQ92" s="6"/>
      <c r="DJR92" s="6"/>
      <c r="DJS92" s="6"/>
      <c r="DJT92" s="6"/>
      <c r="DJU92" s="6"/>
      <c r="DJV92" s="6"/>
      <c r="DJW92" s="6"/>
      <c r="DJX92" s="6"/>
      <c r="DJY92" s="6"/>
      <c r="DJZ92" s="6"/>
      <c r="DKA92" s="6"/>
      <c r="DKB92" s="6"/>
      <c r="DKC92" s="6"/>
      <c r="DKD92" s="6"/>
      <c r="DKE92" s="6"/>
      <c r="DKF92" s="6"/>
      <c r="DKG92" s="6"/>
      <c r="DKH92" s="6"/>
      <c r="DKI92" s="6"/>
      <c r="DKJ92" s="6"/>
      <c r="DKK92" s="6"/>
      <c r="DKL92" s="6"/>
      <c r="DKM92" s="6"/>
      <c r="DKN92" s="6"/>
      <c r="DKO92" s="6"/>
      <c r="DKP92" s="6"/>
      <c r="DKQ92" s="6"/>
      <c r="DKR92" s="6"/>
      <c r="DKS92" s="6"/>
      <c r="DKT92" s="6"/>
      <c r="DKU92" s="6"/>
      <c r="DKV92" s="6"/>
      <c r="DKW92" s="6"/>
      <c r="DKX92" s="6"/>
      <c r="DKY92" s="6"/>
      <c r="DKZ92" s="6"/>
      <c r="DLA92" s="6"/>
      <c r="DLB92" s="6"/>
      <c r="DLC92" s="6"/>
      <c r="DLD92" s="6"/>
      <c r="DLE92" s="6"/>
      <c r="DLF92" s="6"/>
      <c r="DLG92" s="6"/>
      <c r="DLH92" s="6"/>
      <c r="DLI92" s="6"/>
      <c r="DLJ92" s="6"/>
      <c r="DLK92" s="6"/>
      <c r="DLL92" s="6"/>
      <c r="DLM92" s="6"/>
      <c r="DLN92" s="6"/>
      <c r="DLO92" s="6"/>
      <c r="DLP92" s="6"/>
      <c r="DLQ92" s="6"/>
      <c r="DLR92" s="6"/>
      <c r="DLS92" s="6"/>
      <c r="DLT92" s="6"/>
      <c r="DLU92" s="6"/>
      <c r="DLV92" s="6"/>
      <c r="DLW92" s="6"/>
      <c r="DLX92" s="6"/>
      <c r="DLY92" s="6"/>
      <c r="DLZ92" s="6"/>
      <c r="DMA92" s="6"/>
      <c r="DMB92" s="6"/>
      <c r="DMC92" s="6"/>
      <c r="DMD92" s="6"/>
      <c r="DME92" s="6"/>
      <c r="DMF92" s="6"/>
      <c r="DMG92" s="6"/>
      <c r="DMH92" s="6"/>
      <c r="DMI92" s="6"/>
      <c r="DMJ92" s="6"/>
      <c r="DMK92" s="6"/>
      <c r="DML92" s="6"/>
      <c r="DMM92" s="6"/>
      <c r="DMN92" s="6"/>
      <c r="DMO92" s="6"/>
      <c r="DMP92" s="6"/>
      <c r="DMQ92" s="6"/>
      <c r="DMR92" s="6"/>
      <c r="DMS92" s="6"/>
      <c r="DMT92" s="6"/>
      <c r="DMU92" s="6"/>
      <c r="DMV92" s="6"/>
      <c r="DMW92" s="6"/>
      <c r="DMX92" s="6"/>
      <c r="DMY92" s="6"/>
      <c r="DMZ92" s="6"/>
      <c r="DNA92" s="6"/>
      <c r="DNB92" s="6"/>
      <c r="DNC92" s="6"/>
      <c r="DND92" s="6"/>
      <c r="DNE92" s="6"/>
      <c r="DNF92" s="6"/>
      <c r="DNG92" s="6"/>
      <c r="DNH92" s="6"/>
      <c r="DNI92" s="6"/>
      <c r="DNJ92" s="6"/>
      <c r="DNK92" s="6"/>
      <c r="DNL92" s="6"/>
      <c r="DNM92" s="6"/>
      <c r="DNN92" s="6"/>
      <c r="DNO92" s="6"/>
      <c r="DNP92" s="6"/>
      <c r="DNQ92" s="6"/>
      <c r="DNR92" s="6"/>
      <c r="DNS92" s="6"/>
      <c r="DNT92" s="6"/>
      <c r="DNU92" s="6"/>
      <c r="DNV92" s="6"/>
      <c r="DNW92" s="6"/>
      <c r="DNX92" s="6"/>
      <c r="DNY92" s="6"/>
      <c r="DNZ92" s="6"/>
      <c r="DOA92" s="6"/>
      <c r="DOB92" s="6"/>
      <c r="DOC92" s="6"/>
      <c r="DOD92" s="6"/>
      <c r="DOE92" s="6"/>
      <c r="DOF92" s="6"/>
      <c r="DOG92" s="6"/>
      <c r="DOH92" s="6"/>
      <c r="DOI92" s="6"/>
      <c r="DOJ92" s="6"/>
      <c r="DOK92" s="6"/>
      <c r="DOL92" s="6"/>
      <c r="DOM92" s="6"/>
      <c r="DON92" s="6"/>
      <c r="DOO92" s="6"/>
      <c r="DOP92" s="6"/>
      <c r="DOQ92" s="6"/>
      <c r="DOR92" s="6"/>
      <c r="DOS92" s="6"/>
      <c r="DOT92" s="6"/>
      <c r="DOU92" s="6"/>
      <c r="DOV92" s="6"/>
      <c r="DOW92" s="6"/>
      <c r="DOX92" s="6"/>
      <c r="DOY92" s="6"/>
      <c r="DOZ92" s="6"/>
      <c r="DPA92" s="6"/>
      <c r="DPB92" s="6"/>
      <c r="DPC92" s="6"/>
      <c r="DPD92" s="6"/>
      <c r="DPE92" s="6"/>
      <c r="DPF92" s="6"/>
      <c r="DPG92" s="6"/>
      <c r="DPH92" s="6"/>
      <c r="DPI92" s="6"/>
      <c r="DPJ92" s="6"/>
      <c r="DPK92" s="6"/>
      <c r="DPL92" s="6"/>
      <c r="DPM92" s="6"/>
      <c r="DPN92" s="6"/>
      <c r="DPO92" s="6"/>
      <c r="DPP92" s="6"/>
      <c r="DPQ92" s="6"/>
      <c r="DPR92" s="6"/>
      <c r="DPS92" s="6"/>
      <c r="DPT92" s="6"/>
      <c r="DPU92" s="6"/>
      <c r="DPV92" s="6"/>
      <c r="DPW92" s="6"/>
      <c r="DPX92" s="6"/>
      <c r="DPY92" s="6"/>
      <c r="DPZ92" s="6"/>
      <c r="DQA92" s="6"/>
      <c r="DQB92" s="6"/>
      <c r="DQC92" s="6"/>
      <c r="DQD92" s="6"/>
      <c r="DQE92" s="6"/>
      <c r="DQF92" s="6"/>
      <c r="DQG92" s="6"/>
      <c r="DQH92" s="6"/>
      <c r="DQI92" s="6"/>
      <c r="DQJ92" s="6"/>
      <c r="DQK92" s="6"/>
      <c r="DQL92" s="6"/>
      <c r="DQM92" s="6"/>
      <c r="DQN92" s="6"/>
      <c r="DQO92" s="6"/>
      <c r="DQP92" s="6"/>
      <c r="DQQ92" s="6"/>
      <c r="DQR92" s="6"/>
      <c r="DQS92" s="6"/>
      <c r="DQT92" s="6"/>
      <c r="DQU92" s="6"/>
      <c r="DQV92" s="6"/>
      <c r="DQW92" s="6"/>
      <c r="DQX92" s="6"/>
      <c r="DQY92" s="6"/>
      <c r="DQZ92" s="6"/>
      <c r="DRA92" s="6"/>
      <c r="DRB92" s="6"/>
      <c r="DRC92" s="6"/>
      <c r="DRD92" s="6"/>
      <c r="DRE92" s="6"/>
      <c r="DRF92" s="6"/>
      <c r="DRG92" s="6"/>
      <c r="DRH92" s="6"/>
      <c r="DRI92" s="6"/>
      <c r="DRJ92" s="6"/>
      <c r="DRK92" s="6"/>
      <c r="DRL92" s="6"/>
      <c r="DRM92" s="6"/>
      <c r="DRN92" s="6"/>
      <c r="DRO92" s="6"/>
      <c r="DRP92" s="6"/>
      <c r="DRQ92" s="6"/>
      <c r="DRR92" s="6"/>
      <c r="DRS92" s="6"/>
      <c r="DRT92" s="6"/>
      <c r="DRU92" s="6"/>
      <c r="DRV92" s="6"/>
      <c r="DRW92" s="6"/>
      <c r="DRX92" s="6"/>
      <c r="DRY92" s="6"/>
      <c r="DRZ92" s="6"/>
      <c r="DSA92" s="6"/>
      <c r="DSB92" s="6"/>
      <c r="DSC92" s="6"/>
      <c r="DSD92" s="6"/>
      <c r="DSE92" s="6"/>
      <c r="DSF92" s="6"/>
      <c r="DSG92" s="6"/>
      <c r="DSH92" s="6"/>
      <c r="DSI92" s="6"/>
      <c r="DSJ92" s="6"/>
      <c r="DSK92" s="6"/>
      <c r="DSL92" s="6"/>
      <c r="DSM92" s="6"/>
      <c r="DSN92" s="6"/>
      <c r="DSO92" s="6"/>
      <c r="DSP92" s="6"/>
      <c r="DSQ92" s="6"/>
      <c r="DSR92" s="6"/>
      <c r="DSS92" s="6"/>
      <c r="DST92" s="6"/>
      <c r="DSU92" s="6"/>
      <c r="DSV92" s="6"/>
      <c r="DSW92" s="6"/>
      <c r="DSX92" s="6"/>
      <c r="DSY92" s="6"/>
      <c r="DSZ92" s="6"/>
      <c r="DTA92" s="6"/>
      <c r="DTB92" s="6"/>
      <c r="DTC92" s="6"/>
      <c r="DTD92" s="6"/>
      <c r="DTE92" s="6"/>
      <c r="DTF92" s="6"/>
      <c r="DTG92" s="6"/>
      <c r="DTH92" s="6"/>
      <c r="DTI92" s="6"/>
      <c r="DTJ92" s="6"/>
      <c r="DTK92" s="6"/>
      <c r="DTL92" s="6"/>
      <c r="DTM92" s="6"/>
      <c r="DTN92" s="6"/>
      <c r="DTO92" s="6"/>
      <c r="DTP92" s="6"/>
      <c r="DTQ92" s="6"/>
      <c r="DTR92" s="6"/>
      <c r="DTS92" s="6"/>
      <c r="DTT92" s="6"/>
      <c r="DTU92" s="6"/>
      <c r="DTV92" s="6"/>
      <c r="DTW92" s="6"/>
      <c r="DTX92" s="6"/>
      <c r="DTY92" s="6"/>
      <c r="DTZ92" s="6"/>
      <c r="DUA92" s="6"/>
      <c r="DUB92" s="6"/>
      <c r="DUC92" s="6"/>
      <c r="DUD92" s="6"/>
      <c r="DUE92" s="6"/>
      <c r="DUF92" s="6"/>
      <c r="DUG92" s="6"/>
      <c r="DUH92" s="6"/>
      <c r="DUI92" s="6"/>
      <c r="DUJ92" s="6"/>
      <c r="DUK92" s="6"/>
      <c r="DUL92" s="6"/>
      <c r="DUM92" s="6"/>
      <c r="DUN92" s="6"/>
      <c r="DUO92" s="6"/>
      <c r="DUP92" s="6"/>
      <c r="DUQ92" s="6"/>
      <c r="DUR92" s="6"/>
      <c r="DUS92" s="6"/>
      <c r="DUT92" s="6"/>
      <c r="DUU92" s="6"/>
      <c r="DUV92" s="6"/>
      <c r="DUW92" s="6"/>
      <c r="DUX92" s="6"/>
      <c r="DUY92" s="6"/>
      <c r="DUZ92" s="6"/>
      <c r="DVA92" s="6"/>
      <c r="DVB92" s="6"/>
      <c r="DVC92" s="6"/>
      <c r="DVD92" s="6"/>
      <c r="DVE92" s="6"/>
      <c r="DVF92" s="6"/>
      <c r="DVG92" s="6"/>
      <c r="DVH92" s="6"/>
      <c r="DVI92" s="6"/>
      <c r="DVJ92" s="6"/>
      <c r="DVK92" s="6"/>
      <c r="DVL92" s="6"/>
      <c r="DVM92" s="6"/>
      <c r="DVN92" s="6"/>
      <c r="DVO92" s="6"/>
      <c r="DVP92" s="6"/>
      <c r="DVQ92" s="6"/>
      <c r="DVR92" s="6"/>
      <c r="DVS92" s="6"/>
      <c r="DVT92" s="6"/>
      <c r="DVU92" s="6"/>
      <c r="DVV92" s="6"/>
      <c r="DVW92" s="6"/>
      <c r="DVX92" s="6"/>
      <c r="DVY92" s="6"/>
      <c r="DVZ92" s="6"/>
      <c r="DWA92" s="6"/>
      <c r="DWB92" s="6"/>
      <c r="DWC92" s="6"/>
      <c r="DWD92" s="6"/>
      <c r="DWE92" s="6"/>
      <c r="DWF92" s="6"/>
      <c r="DWG92" s="6"/>
      <c r="DWH92" s="6"/>
      <c r="DWI92" s="6"/>
      <c r="DWJ92" s="6"/>
      <c r="DWK92" s="6"/>
      <c r="DWL92" s="6"/>
      <c r="DWM92" s="6"/>
      <c r="DWN92" s="6"/>
      <c r="DWO92" s="6"/>
      <c r="DWP92" s="6"/>
      <c r="DWQ92" s="6"/>
      <c r="DWR92" s="6"/>
      <c r="DWS92" s="6"/>
      <c r="DWT92" s="6"/>
      <c r="DWU92" s="6"/>
      <c r="DWV92" s="6"/>
      <c r="DWW92" s="6"/>
      <c r="DWX92" s="6"/>
      <c r="DWY92" s="6"/>
      <c r="DWZ92" s="6"/>
      <c r="DXA92" s="6"/>
      <c r="DXB92" s="6"/>
      <c r="DXC92" s="6"/>
      <c r="DXD92" s="6"/>
      <c r="DXE92" s="6"/>
      <c r="DXF92" s="6"/>
      <c r="DXG92" s="6"/>
      <c r="DXH92" s="6"/>
      <c r="DXI92" s="6"/>
      <c r="DXJ92" s="6"/>
      <c r="DXK92" s="6"/>
      <c r="DXL92" s="6"/>
      <c r="DXM92" s="6"/>
      <c r="DXN92" s="6"/>
      <c r="DXO92" s="6"/>
      <c r="DXP92" s="6"/>
      <c r="DXQ92" s="6"/>
      <c r="DXR92" s="6"/>
      <c r="DXS92" s="6"/>
      <c r="DXT92" s="6"/>
      <c r="DXU92" s="6"/>
      <c r="DXV92" s="6"/>
      <c r="DXW92" s="6"/>
      <c r="DXX92" s="6"/>
      <c r="DXY92" s="6"/>
      <c r="DXZ92" s="6"/>
      <c r="DYA92" s="6"/>
      <c r="DYB92" s="6"/>
      <c r="DYC92" s="6"/>
      <c r="DYD92" s="6"/>
      <c r="DYE92" s="6"/>
      <c r="DYF92" s="6"/>
      <c r="DYG92" s="6"/>
      <c r="DYH92" s="6"/>
      <c r="DYI92" s="6"/>
      <c r="DYJ92" s="6"/>
      <c r="DYK92" s="6"/>
      <c r="DYL92" s="6"/>
      <c r="DYM92" s="6"/>
      <c r="DYN92" s="6"/>
      <c r="DYO92" s="6"/>
      <c r="DYP92" s="6"/>
      <c r="DYQ92" s="6"/>
      <c r="DYR92" s="6"/>
      <c r="DYS92" s="6"/>
      <c r="DYT92" s="6"/>
      <c r="DYU92" s="6"/>
      <c r="DYV92" s="6"/>
      <c r="DYW92" s="6"/>
      <c r="DYX92" s="6"/>
      <c r="DYY92" s="6"/>
      <c r="DYZ92" s="6"/>
      <c r="DZA92" s="6"/>
      <c r="DZB92" s="6"/>
      <c r="DZC92" s="6"/>
      <c r="DZD92" s="6"/>
      <c r="DZE92" s="6"/>
      <c r="DZF92" s="6"/>
      <c r="DZG92" s="6"/>
      <c r="DZH92" s="6"/>
      <c r="DZI92" s="6"/>
      <c r="DZJ92" s="6"/>
      <c r="DZK92" s="6"/>
      <c r="DZL92" s="6"/>
      <c r="DZM92" s="6"/>
      <c r="DZN92" s="6"/>
      <c r="DZO92" s="6"/>
      <c r="DZP92" s="6"/>
      <c r="DZQ92" s="6"/>
      <c r="DZR92" s="6"/>
      <c r="DZS92" s="6"/>
      <c r="DZT92" s="6"/>
      <c r="DZU92" s="6"/>
      <c r="DZV92" s="6"/>
      <c r="DZW92" s="6"/>
      <c r="DZX92" s="6"/>
      <c r="DZY92" s="6"/>
      <c r="DZZ92" s="6"/>
      <c r="EAA92" s="6"/>
      <c r="EAB92" s="6"/>
      <c r="EAC92" s="6"/>
      <c r="EAD92" s="6"/>
      <c r="EAE92" s="6"/>
      <c r="EAF92" s="6"/>
      <c r="EAG92" s="6"/>
      <c r="EAH92" s="6"/>
      <c r="EAI92" s="6"/>
      <c r="EAJ92" s="6"/>
      <c r="EAK92" s="6"/>
      <c r="EAL92" s="6"/>
      <c r="EAM92" s="6"/>
      <c r="EAN92" s="6"/>
      <c r="EAO92" s="6"/>
      <c r="EAP92" s="6"/>
      <c r="EAQ92" s="6"/>
      <c r="EAR92" s="6"/>
      <c r="EAS92" s="6"/>
      <c r="EAT92" s="6"/>
      <c r="EAU92" s="6"/>
      <c r="EAV92" s="6"/>
      <c r="EAW92" s="6"/>
      <c r="EAX92" s="6"/>
      <c r="EAY92" s="6"/>
      <c r="EAZ92" s="6"/>
      <c r="EBA92" s="6"/>
      <c r="EBB92" s="6"/>
      <c r="EBC92" s="6"/>
      <c r="EBD92" s="6"/>
      <c r="EBE92" s="6"/>
      <c r="EBF92" s="6"/>
      <c r="EBG92" s="6"/>
      <c r="EBH92" s="6"/>
      <c r="EBI92" s="6"/>
      <c r="EBJ92" s="6"/>
      <c r="EBK92" s="6"/>
      <c r="EBL92" s="6"/>
      <c r="EBM92" s="6"/>
      <c r="EBN92" s="6"/>
      <c r="EBO92" s="6"/>
      <c r="EBP92" s="6"/>
      <c r="EBQ92" s="6"/>
      <c r="EBR92" s="6"/>
      <c r="EBS92" s="6"/>
      <c r="EBT92" s="6"/>
      <c r="EBU92" s="6"/>
      <c r="EBV92" s="6"/>
      <c r="EBW92" s="6"/>
      <c r="EBX92" s="6"/>
      <c r="EBY92" s="6"/>
      <c r="EBZ92" s="6"/>
      <c r="ECA92" s="6"/>
      <c r="ECB92" s="6"/>
      <c r="ECC92" s="6"/>
      <c r="ECD92" s="6"/>
      <c r="ECE92" s="6"/>
      <c r="ECF92" s="6"/>
      <c r="ECG92" s="6"/>
      <c r="ECH92" s="6"/>
      <c r="ECI92" s="6"/>
      <c r="ECJ92" s="6"/>
      <c r="ECK92" s="6"/>
      <c r="ECL92" s="6"/>
      <c r="ECM92" s="6"/>
      <c r="ECN92" s="6"/>
      <c r="ECO92" s="6"/>
      <c r="ECP92" s="6"/>
      <c r="ECQ92" s="6"/>
      <c r="ECR92" s="6"/>
      <c r="ECS92" s="6"/>
      <c r="ECT92" s="6"/>
      <c r="ECU92" s="6"/>
      <c r="ECV92" s="6"/>
      <c r="ECW92" s="6"/>
      <c r="ECX92" s="6"/>
      <c r="ECY92" s="6"/>
      <c r="ECZ92" s="6"/>
      <c r="EDA92" s="6"/>
      <c r="EDB92" s="6"/>
      <c r="EDC92" s="6"/>
      <c r="EDD92" s="6"/>
      <c r="EDE92" s="6"/>
      <c r="EDF92" s="6"/>
      <c r="EDG92" s="6"/>
      <c r="EDH92" s="6"/>
      <c r="EDI92" s="6"/>
      <c r="EDJ92" s="6"/>
      <c r="EDK92" s="6"/>
      <c r="EDL92" s="6"/>
      <c r="EDM92" s="6"/>
      <c r="EDN92" s="6"/>
      <c r="EDO92" s="6"/>
      <c r="EDP92" s="6"/>
      <c r="EDQ92" s="6"/>
      <c r="EDR92" s="6"/>
      <c r="EDS92" s="6"/>
      <c r="EDT92" s="6"/>
      <c r="EDU92" s="6"/>
      <c r="EDV92" s="6"/>
      <c r="EDW92" s="6"/>
      <c r="EDX92" s="6"/>
      <c r="EDY92" s="6"/>
      <c r="EDZ92" s="6"/>
      <c r="EEA92" s="6"/>
      <c r="EEB92" s="6"/>
      <c r="EEC92" s="6"/>
      <c r="EED92" s="6"/>
      <c r="EEE92" s="6"/>
      <c r="EEF92" s="6"/>
      <c r="EEG92" s="6"/>
      <c r="EEH92" s="6"/>
      <c r="EEI92" s="6"/>
      <c r="EEJ92" s="6"/>
      <c r="EEK92" s="6"/>
      <c r="EEL92" s="6"/>
      <c r="EEM92" s="6"/>
      <c r="EEN92" s="6"/>
      <c r="EEO92" s="6"/>
      <c r="EEP92" s="6"/>
      <c r="EEQ92" s="6"/>
      <c r="EER92" s="6"/>
      <c r="EES92" s="6"/>
      <c r="EET92" s="6"/>
      <c r="EEU92" s="6"/>
      <c r="EEV92" s="6"/>
      <c r="EEW92" s="6"/>
      <c r="EEX92" s="6"/>
      <c r="EEY92" s="6"/>
      <c r="EEZ92" s="6"/>
      <c r="EFA92" s="6"/>
      <c r="EFB92" s="6"/>
      <c r="EFC92" s="6"/>
      <c r="EFD92" s="6"/>
      <c r="EFE92" s="6"/>
      <c r="EFF92" s="6"/>
      <c r="EFG92" s="6"/>
      <c r="EFH92" s="6"/>
      <c r="EFI92" s="6"/>
      <c r="EFJ92" s="6"/>
      <c r="EFK92" s="6"/>
      <c r="EFL92" s="6"/>
      <c r="EFM92" s="6"/>
      <c r="EFN92" s="6"/>
      <c r="EFO92" s="6"/>
      <c r="EFP92" s="6"/>
      <c r="EFQ92" s="6"/>
      <c r="EFR92" s="6"/>
      <c r="EFS92" s="6"/>
      <c r="EFT92" s="6"/>
      <c r="EFU92" s="6"/>
      <c r="EFV92" s="6"/>
      <c r="EFW92" s="6"/>
      <c r="EFX92" s="6"/>
      <c r="EFY92" s="6"/>
      <c r="EFZ92" s="6"/>
      <c r="EGA92" s="6"/>
      <c r="EGB92" s="6"/>
      <c r="EGC92" s="6"/>
      <c r="EGD92" s="6"/>
      <c r="EGE92" s="6"/>
      <c r="EGF92" s="6"/>
      <c r="EGG92" s="6"/>
      <c r="EGH92" s="6"/>
      <c r="EGI92" s="6"/>
      <c r="EGJ92" s="6"/>
      <c r="EGK92" s="6"/>
      <c r="EGL92" s="6"/>
      <c r="EGM92" s="6"/>
      <c r="EGN92" s="6"/>
      <c r="EGO92" s="6"/>
      <c r="EGP92" s="6"/>
      <c r="EGQ92" s="6"/>
      <c r="EGR92" s="6"/>
      <c r="EGS92" s="6"/>
      <c r="EGT92" s="6"/>
      <c r="EGU92" s="6"/>
      <c r="EGV92" s="6"/>
      <c r="EGW92" s="6"/>
      <c r="EGX92" s="6"/>
      <c r="EGY92" s="6"/>
      <c r="EGZ92" s="6"/>
      <c r="EHA92" s="6"/>
      <c r="EHB92" s="6"/>
      <c r="EHC92" s="6"/>
      <c r="EHD92" s="6"/>
      <c r="EHE92" s="6"/>
      <c r="EHF92" s="6"/>
      <c r="EHG92" s="6"/>
      <c r="EHH92" s="6"/>
      <c r="EHI92" s="6"/>
      <c r="EHJ92" s="6"/>
      <c r="EHK92" s="6"/>
      <c r="EHL92" s="6"/>
      <c r="EHM92" s="6"/>
      <c r="EHN92" s="6"/>
      <c r="EHO92" s="6"/>
      <c r="EHP92" s="6"/>
      <c r="EHQ92" s="6"/>
      <c r="EHR92" s="6"/>
      <c r="EHS92" s="6"/>
      <c r="EHT92" s="6"/>
      <c r="EHU92" s="6"/>
      <c r="EHV92" s="6"/>
      <c r="EHW92" s="6"/>
      <c r="EHX92" s="6"/>
      <c r="EHY92" s="6"/>
      <c r="EHZ92" s="6"/>
      <c r="EIA92" s="6"/>
      <c r="EIB92" s="6"/>
      <c r="EIC92" s="6"/>
      <c r="EID92" s="6"/>
      <c r="EIE92" s="6"/>
      <c r="EIF92" s="6"/>
      <c r="EIG92" s="6"/>
      <c r="EIH92" s="6"/>
      <c r="EII92" s="6"/>
      <c r="EIJ92" s="6"/>
      <c r="EIK92" s="6"/>
      <c r="EIL92" s="6"/>
      <c r="EIM92" s="6"/>
      <c r="EIN92" s="6"/>
      <c r="EIO92" s="6"/>
      <c r="EIP92" s="6"/>
      <c r="EIQ92" s="6"/>
      <c r="EIR92" s="6"/>
      <c r="EIS92" s="6"/>
      <c r="EIT92" s="6"/>
      <c r="EIU92" s="6"/>
      <c r="EIV92" s="6"/>
      <c r="EIW92" s="6"/>
      <c r="EIX92" s="6"/>
      <c r="EIY92" s="6"/>
      <c r="EIZ92" s="6"/>
      <c r="EJA92" s="6"/>
      <c r="EJB92" s="6"/>
      <c r="EJC92" s="6"/>
      <c r="EJD92" s="6"/>
      <c r="EJE92" s="6"/>
      <c r="EJF92" s="6"/>
      <c r="EJG92" s="6"/>
      <c r="EJH92" s="6"/>
      <c r="EJI92" s="6"/>
      <c r="EJJ92" s="6"/>
      <c r="EJK92" s="6"/>
      <c r="EJL92" s="6"/>
      <c r="EJM92" s="6"/>
      <c r="EJN92" s="6"/>
      <c r="EJO92" s="6"/>
      <c r="EJP92" s="6"/>
      <c r="EJQ92" s="6"/>
      <c r="EJR92" s="6"/>
      <c r="EJS92" s="6"/>
      <c r="EJT92" s="6"/>
      <c r="EJU92" s="6"/>
      <c r="EJV92" s="6"/>
      <c r="EJW92" s="6"/>
      <c r="EJX92" s="6"/>
      <c r="EJY92" s="6"/>
      <c r="EJZ92" s="6"/>
      <c r="EKA92" s="6"/>
      <c r="EKB92" s="6"/>
      <c r="EKC92" s="6"/>
      <c r="EKD92" s="6"/>
      <c r="EKE92" s="6"/>
      <c r="EKF92" s="6"/>
      <c r="EKG92" s="6"/>
      <c r="EKH92" s="6"/>
      <c r="EKI92" s="6"/>
      <c r="EKJ92" s="6"/>
      <c r="EKK92" s="6"/>
      <c r="EKL92" s="6"/>
      <c r="EKM92" s="6"/>
      <c r="EKN92" s="6"/>
      <c r="EKO92" s="6"/>
      <c r="EKP92" s="6"/>
      <c r="EKQ92" s="6"/>
      <c r="EKR92" s="6"/>
      <c r="EKS92" s="6"/>
      <c r="EKT92" s="6"/>
      <c r="EKU92" s="6"/>
      <c r="EKV92" s="6"/>
      <c r="EKW92" s="6"/>
      <c r="EKX92" s="6"/>
      <c r="EKY92" s="6"/>
      <c r="EKZ92" s="6"/>
      <c r="ELA92" s="6"/>
      <c r="ELB92" s="6"/>
      <c r="ELC92" s="6"/>
      <c r="ELD92" s="6"/>
      <c r="ELE92" s="6"/>
      <c r="ELF92" s="6"/>
      <c r="ELG92" s="6"/>
      <c r="ELH92" s="6"/>
      <c r="ELI92" s="6"/>
      <c r="ELJ92" s="6"/>
      <c r="ELK92" s="6"/>
      <c r="ELL92" s="6"/>
      <c r="ELM92" s="6"/>
      <c r="ELN92" s="6"/>
      <c r="ELO92" s="6"/>
      <c r="ELP92" s="6"/>
      <c r="ELQ92" s="6"/>
      <c r="ELR92" s="6"/>
      <c r="ELS92" s="6"/>
      <c r="ELT92" s="6"/>
      <c r="ELU92" s="6"/>
      <c r="ELV92" s="6"/>
      <c r="ELW92" s="6"/>
      <c r="ELX92" s="6"/>
      <c r="ELY92" s="6"/>
      <c r="ELZ92" s="6"/>
      <c r="EMA92" s="6"/>
      <c r="EMB92" s="6"/>
      <c r="EMC92" s="6"/>
      <c r="EMD92" s="6"/>
      <c r="EME92" s="6"/>
      <c r="EMF92" s="6"/>
      <c r="EMG92" s="6"/>
      <c r="EMH92" s="6"/>
      <c r="EMI92" s="6"/>
      <c r="EMJ92" s="6"/>
      <c r="EMK92" s="6"/>
      <c r="EML92" s="6"/>
      <c r="EMM92" s="6"/>
      <c r="EMN92" s="6"/>
      <c r="EMO92" s="6"/>
      <c r="EMP92" s="6"/>
      <c r="EMQ92" s="6"/>
      <c r="EMR92" s="6"/>
      <c r="EMS92" s="6"/>
      <c r="EMT92" s="6"/>
      <c r="EMU92" s="6"/>
      <c r="EMV92" s="6"/>
      <c r="EMW92" s="6"/>
      <c r="EMX92" s="6"/>
      <c r="EMY92" s="6"/>
      <c r="EMZ92" s="6"/>
      <c r="ENA92" s="6"/>
      <c r="ENB92" s="6"/>
      <c r="ENC92" s="6"/>
      <c r="END92" s="6"/>
      <c r="ENE92" s="6"/>
      <c r="ENF92" s="6"/>
      <c r="ENG92" s="6"/>
      <c r="ENH92" s="6"/>
      <c r="ENI92" s="6"/>
      <c r="ENJ92" s="6"/>
      <c r="ENK92" s="6"/>
      <c r="ENL92" s="6"/>
      <c r="ENM92" s="6"/>
      <c r="ENN92" s="6"/>
      <c r="ENO92" s="6"/>
      <c r="ENP92" s="6"/>
      <c r="ENQ92" s="6"/>
      <c r="ENR92" s="6"/>
      <c r="ENS92" s="6"/>
      <c r="ENT92" s="6"/>
      <c r="ENU92" s="6"/>
      <c r="ENV92" s="6"/>
      <c r="ENW92" s="6"/>
      <c r="ENX92" s="6"/>
      <c r="ENY92" s="6"/>
      <c r="ENZ92" s="6"/>
      <c r="EOA92" s="6"/>
      <c r="EOB92" s="6"/>
      <c r="EOC92" s="6"/>
      <c r="EOD92" s="6"/>
      <c r="EOE92" s="6"/>
      <c r="EOF92" s="6"/>
      <c r="EOG92" s="6"/>
      <c r="EOH92" s="6"/>
      <c r="EOI92" s="6"/>
      <c r="EOJ92" s="6"/>
      <c r="EOK92" s="6"/>
      <c r="EOL92" s="6"/>
      <c r="EOM92" s="6"/>
      <c r="EON92" s="6"/>
      <c r="EOO92" s="6"/>
      <c r="EOP92" s="6"/>
      <c r="EOQ92" s="6"/>
      <c r="EOR92" s="6"/>
      <c r="EOS92" s="6"/>
      <c r="EOT92" s="6"/>
      <c r="EOU92" s="6"/>
      <c r="EOV92" s="6"/>
      <c r="EOW92" s="6"/>
      <c r="EOX92" s="6"/>
      <c r="EOY92" s="6"/>
      <c r="EOZ92" s="6"/>
      <c r="EPA92" s="6"/>
      <c r="EPB92" s="6"/>
      <c r="EPC92" s="6"/>
      <c r="EPD92" s="6"/>
      <c r="EPE92" s="6"/>
      <c r="EPF92" s="6"/>
      <c r="EPG92" s="6"/>
      <c r="EPH92" s="6"/>
      <c r="EPI92" s="6"/>
      <c r="EPJ92" s="6"/>
      <c r="EPK92" s="6"/>
      <c r="EPL92" s="6"/>
      <c r="EPM92" s="6"/>
      <c r="EPN92" s="6"/>
      <c r="EPO92" s="6"/>
      <c r="EPP92" s="6"/>
      <c r="EPQ92" s="6"/>
      <c r="EPR92" s="6"/>
      <c r="EPS92" s="6"/>
      <c r="EPT92" s="6"/>
      <c r="EPU92" s="6"/>
      <c r="EPV92" s="6"/>
      <c r="EPW92" s="6"/>
      <c r="EPX92" s="6"/>
      <c r="EPY92" s="6"/>
      <c r="EPZ92" s="6"/>
      <c r="EQA92" s="6"/>
      <c r="EQB92" s="6"/>
      <c r="EQC92" s="6"/>
      <c r="EQD92" s="6"/>
      <c r="EQE92" s="6"/>
      <c r="EQF92" s="6"/>
      <c r="EQG92" s="6"/>
      <c r="EQH92" s="6"/>
      <c r="EQI92" s="6"/>
      <c r="EQJ92" s="6"/>
      <c r="EQK92" s="6"/>
      <c r="EQL92" s="6"/>
      <c r="EQM92" s="6"/>
      <c r="EQN92" s="6"/>
      <c r="EQO92" s="6"/>
      <c r="EQP92" s="6"/>
      <c r="EQQ92" s="6"/>
      <c r="EQR92" s="6"/>
      <c r="EQS92" s="6"/>
      <c r="EQT92" s="6"/>
      <c r="EQU92" s="6"/>
      <c r="EQV92" s="6"/>
      <c r="EQW92" s="6"/>
      <c r="EQX92" s="6"/>
      <c r="EQY92" s="6"/>
      <c r="EQZ92" s="6"/>
      <c r="ERA92" s="6"/>
      <c r="ERB92" s="6"/>
      <c r="ERC92" s="6"/>
      <c r="ERD92" s="6"/>
      <c r="ERE92" s="6"/>
      <c r="ERF92" s="6"/>
      <c r="ERG92" s="6"/>
      <c r="ERH92" s="6"/>
      <c r="ERI92" s="6"/>
      <c r="ERJ92" s="6"/>
      <c r="ERK92" s="6"/>
      <c r="ERL92" s="6"/>
      <c r="ERM92" s="6"/>
      <c r="ERN92" s="6"/>
      <c r="ERO92" s="6"/>
      <c r="ERP92" s="6"/>
      <c r="ERQ92" s="6"/>
      <c r="ERR92" s="6"/>
      <c r="ERS92" s="6"/>
      <c r="ERT92" s="6"/>
      <c r="ERU92" s="6"/>
      <c r="ERV92" s="6"/>
      <c r="ERW92" s="6"/>
      <c r="ERX92" s="6"/>
      <c r="ERY92" s="6"/>
      <c r="ERZ92" s="6"/>
      <c r="ESA92" s="6"/>
      <c r="ESB92" s="6"/>
      <c r="ESC92" s="6"/>
      <c r="ESD92" s="6"/>
      <c r="ESE92" s="6"/>
      <c r="ESF92" s="6"/>
      <c r="ESG92" s="6"/>
      <c r="ESH92" s="6"/>
      <c r="ESI92" s="6"/>
      <c r="ESJ92" s="6"/>
      <c r="ESK92" s="6"/>
      <c r="ESL92" s="6"/>
      <c r="ESM92" s="6"/>
      <c r="ESN92" s="6"/>
      <c r="ESO92" s="6"/>
      <c r="ESP92" s="6"/>
      <c r="ESQ92" s="6"/>
      <c r="ESR92" s="6"/>
      <c r="ESS92" s="6"/>
      <c r="EST92" s="6"/>
      <c r="ESU92" s="6"/>
      <c r="ESV92" s="6"/>
      <c r="ESW92" s="6"/>
      <c r="ESX92" s="6"/>
      <c r="ESY92" s="6"/>
      <c r="ESZ92" s="6"/>
      <c r="ETA92" s="6"/>
      <c r="ETB92" s="6"/>
      <c r="ETC92" s="6"/>
      <c r="ETD92" s="6"/>
      <c r="ETE92" s="6"/>
      <c r="ETF92" s="6"/>
      <c r="ETG92" s="6"/>
      <c r="ETH92" s="6"/>
      <c r="ETI92" s="6"/>
      <c r="ETJ92" s="6"/>
      <c r="ETK92" s="6"/>
      <c r="ETL92" s="6"/>
      <c r="ETM92" s="6"/>
      <c r="ETN92" s="6"/>
      <c r="ETO92" s="6"/>
      <c r="ETP92" s="6"/>
      <c r="ETQ92" s="6"/>
      <c r="ETR92" s="6"/>
      <c r="ETS92" s="6"/>
      <c r="ETT92" s="6"/>
      <c r="ETU92" s="6"/>
      <c r="ETV92" s="6"/>
      <c r="ETW92" s="6"/>
      <c r="ETX92" s="6"/>
      <c r="ETY92" s="6"/>
      <c r="ETZ92" s="6"/>
      <c r="EUA92" s="6"/>
      <c r="EUB92" s="6"/>
      <c r="EUC92" s="6"/>
      <c r="EUD92" s="6"/>
      <c r="EUE92" s="6"/>
      <c r="EUF92" s="6"/>
      <c r="EUG92" s="6"/>
      <c r="EUH92" s="6"/>
      <c r="EUI92" s="6"/>
      <c r="EUJ92" s="6"/>
      <c r="EUK92" s="6"/>
      <c r="EUL92" s="6"/>
      <c r="EUM92" s="6"/>
      <c r="EUN92" s="6"/>
      <c r="EUO92" s="6"/>
      <c r="EUP92" s="6"/>
      <c r="EUQ92" s="6"/>
      <c r="EUR92" s="6"/>
      <c r="EUS92" s="6"/>
      <c r="EUT92" s="6"/>
      <c r="EUU92" s="6"/>
      <c r="EUV92" s="6"/>
      <c r="EUW92" s="6"/>
      <c r="EUX92" s="6"/>
      <c r="EUY92" s="6"/>
      <c r="EUZ92" s="6"/>
      <c r="EVA92" s="6"/>
      <c r="EVB92" s="6"/>
      <c r="EVC92" s="6"/>
      <c r="EVD92" s="6"/>
      <c r="EVE92" s="6"/>
      <c r="EVF92" s="6"/>
      <c r="EVG92" s="6"/>
      <c r="EVH92" s="6"/>
      <c r="EVI92" s="6"/>
      <c r="EVJ92" s="6"/>
      <c r="EVK92" s="6"/>
      <c r="EVL92" s="6"/>
      <c r="EVM92" s="6"/>
      <c r="EVN92" s="6"/>
      <c r="EVO92" s="6"/>
      <c r="EVP92" s="6"/>
      <c r="EVQ92" s="6"/>
      <c r="EVR92" s="6"/>
      <c r="EVS92" s="6"/>
      <c r="EVT92" s="6"/>
      <c r="EVU92" s="6"/>
      <c r="EVV92" s="6"/>
      <c r="EVW92" s="6"/>
      <c r="EVX92" s="6"/>
      <c r="EVY92" s="6"/>
      <c r="EVZ92" s="6"/>
      <c r="EWA92" s="6"/>
      <c r="EWB92" s="6"/>
      <c r="EWC92" s="6"/>
      <c r="EWD92" s="6"/>
      <c r="EWE92" s="6"/>
      <c r="EWF92" s="6"/>
      <c r="EWG92" s="6"/>
      <c r="EWH92" s="6"/>
      <c r="EWI92" s="6"/>
      <c r="EWJ92" s="6"/>
      <c r="EWK92" s="6"/>
      <c r="EWL92" s="6"/>
      <c r="EWM92" s="6"/>
      <c r="EWN92" s="6"/>
      <c r="EWO92" s="6"/>
      <c r="EWP92" s="6"/>
      <c r="EWQ92" s="6"/>
      <c r="EWR92" s="6"/>
      <c r="EWS92" s="6"/>
      <c r="EWT92" s="6"/>
      <c r="EWU92" s="6"/>
      <c r="EWV92" s="6"/>
      <c r="EWW92" s="6"/>
      <c r="EWX92" s="6"/>
      <c r="EWY92" s="6"/>
      <c r="EWZ92" s="6"/>
      <c r="EXA92" s="6"/>
      <c r="EXB92" s="6"/>
      <c r="EXC92" s="6"/>
      <c r="EXD92" s="6"/>
      <c r="EXE92" s="6"/>
      <c r="EXF92" s="6"/>
      <c r="EXG92" s="6"/>
      <c r="EXH92" s="6"/>
      <c r="EXI92" s="6"/>
      <c r="EXJ92" s="6"/>
      <c r="EXK92" s="6"/>
      <c r="EXL92" s="6"/>
      <c r="EXM92" s="6"/>
      <c r="EXN92" s="6"/>
      <c r="EXO92" s="6"/>
      <c r="EXP92" s="6"/>
      <c r="EXQ92" s="6"/>
      <c r="EXR92" s="6"/>
      <c r="EXS92" s="6"/>
      <c r="EXT92" s="6"/>
      <c r="EXU92" s="6"/>
      <c r="EXV92" s="6"/>
      <c r="EXW92" s="6"/>
      <c r="EXX92" s="6"/>
      <c r="EXY92" s="6"/>
      <c r="EXZ92" s="6"/>
      <c r="EYA92" s="6"/>
      <c r="EYB92" s="6"/>
      <c r="EYC92" s="6"/>
      <c r="EYD92" s="6"/>
      <c r="EYE92" s="6"/>
      <c r="EYF92" s="6"/>
      <c r="EYG92" s="6"/>
      <c r="EYH92" s="6"/>
      <c r="EYI92" s="6"/>
      <c r="EYJ92" s="6"/>
      <c r="EYK92" s="6"/>
      <c r="EYL92" s="6"/>
      <c r="EYM92" s="6"/>
      <c r="EYN92" s="6"/>
      <c r="EYO92" s="6"/>
      <c r="EYP92" s="6"/>
      <c r="EYQ92" s="6"/>
      <c r="EYR92" s="6"/>
      <c r="EYS92" s="6"/>
      <c r="EYT92" s="6"/>
      <c r="EYU92" s="6"/>
      <c r="EYV92" s="6"/>
      <c r="EYW92" s="6"/>
      <c r="EYX92" s="6"/>
      <c r="EYY92" s="6"/>
      <c r="EYZ92" s="6"/>
      <c r="EZA92" s="6"/>
      <c r="EZB92" s="6"/>
      <c r="EZC92" s="6"/>
      <c r="EZD92" s="6"/>
      <c r="EZE92" s="6"/>
      <c r="EZF92" s="6"/>
      <c r="EZG92" s="6"/>
      <c r="EZH92" s="6"/>
      <c r="EZI92" s="6"/>
      <c r="EZJ92" s="6"/>
      <c r="EZK92" s="6"/>
      <c r="EZL92" s="6"/>
      <c r="EZM92" s="6"/>
      <c r="EZN92" s="6"/>
      <c r="EZO92" s="6"/>
      <c r="EZP92" s="6"/>
      <c r="EZQ92" s="6"/>
      <c r="EZR92" s="6"/>
      <c r="EZS92" s="6"/>
      <c r="EZT92" s="6"/>
      <c r="EZU92" s="6"/>
      <c r="EZV92" s="6"/>
      <c r="EZW92" s="6"/>
      <c r="EZX92" s="6"/>
      <c r="EZY92" s="6"/>
      <c r="EZZ92" s="6"/>
      <c r="FAA92" s="6"/>
      <c r="FAB92" s="6"/>
      <c r="FAC92" s="6"/>
      <c r="FAD92" s="6"/>
      <c r="FAE92" s="6"/>
      <c r="FAF92" s="6"/>
      <c r="FAG92" s="6"/>
      <c r="FAH92" s="6"/>
      <c r="FAI92" s="6"/>
      <c r="FAJ92" s="6"/>
      <c r="FAK92" s="6"/>
      <c r="FAL92" s="6"/>
      <c r="FAM92" s="6"/>
      <c r="FAN92" s="6"/>
      <c r="FAO92" s="6"/>
      <c r="FAP92" s="6"/>
      <c r="FAQ92" s="6"/>
      <c r="FAR92" s="6"/>
      <c r="FAS92" s="6"/>
      <c r="FAT92" s="6"/>
      <c r="FAU92" s="6"/>
      <c r="FAV92" s="6"/>
      <c r="FAW92" s="6"/>
      <c r="FAX92" s="6"/>
      <c r="FAY92" s="6"/>
      <c r="FAZ92" s="6"/>
      <c r="FBA92" s="6"/>
      <c r="FBB92" s="6"/>
      <c r="FBC92" s="6"/>
      <c r="FBD92" s="6"/>
      <c r="FBE92" s="6"/>
      <c r="FBF92" s="6"/>
      <c r="FBG92" s="6"/>
      <c r="FBH92" s="6"/>
      <c r="FBI92" s="6"/>
      <c r="FBJ92" s="6"/>
      <c r="FBK92" s="6"/>
      <c r="FBL92" s="6"/>
      <c r="FBM92" s="6"/>
      <c r="FBN92" s="6"/>
      <c r="FBO92" s="6"/>
      <c r="FBP92" s="6"/>
      <c r="FBQ92" s="6"/>
      <c r="FBR92" s="6"/>
      <c r="FBS92" s="6"/>
      <c r="FBT92" s="6"/>
      <c r="FBU92" s="6"/>
      <c r="FBV92" s="6"/>
      <c r="FBW92" s="6"/>
      <c r="FBX92" s="6"/>
      <c r="FBY92" s="6"/>
      <c r="FBZ92" s="6"/>
      <c r="FCA92" s="6"/>
      <c r="FCB92" s="6"/>
      <c r="FCC92" s="6"/>
      <c r="FCD92" s="6"/>
      <c r="FCE92" s="6"/>
      <c r="FCF92" s="6"/>
      <c r="FCG92" s="6"/>
      <c r="FCH92" s="6"/>
      <c r="FCI92" s="6"/>
      <c r="FCJ92" s="6"/>
      <c r="FCK92" s="6"/>
      <c r="FCL92" s="6"/>
      <c r="FCM92" s="6"/>
      <c r="FCN92" s="6"/>
      <c r="FCO92" s="6"/>
      <c r="FCP92" s="6"/>
      <c r="FCQ92" s="6"/>
      <c r="FCR92" s="6"/>
      <c r="FCS92" s="6"/>
      <c r="FCT92" s="6"/>
      <c r="FCU92" s="6"/>
      <c r="FCV92" s="6"/>
      <c r="FCW92" s="6"/>
      <c r="FCX92" s="6"/>
      <c r="FCY92" s="6"/>
      <c r="FCZ92" s="6"/>
      <c r="FDA92" s="6"/>
      <c r="FDB92" s="6"/>
      <c r="FDC92" s="6"/>
      <c r="FDD92" s="6"/>
      <c r="FDE92" s="6"/>
      <c r="FDF92" s="6"/>
      <c r="FDG92" s="6"/>
      <c r="FDH92" s="6"/>
      <c r="FDI92" s="6"/>
      <c r="FDJ92" s="6"/>
      <c r="FDK92" s="6"/>
      <c r="FDL92" s="6"/>
      <c r="FDM92" s="6"/>
      <c r="FDN92" s="6"/>
      <c r="FDO92" s="6"/>
      <c r="FDP92" s="6"/>
      <c r="FDQ92" s="6"/>
      <c r="FDR92" s="6"/>
      <c r="FDS92" s="6"/>
      <c r="FDT92" s="6"/>
      <c r="FDU92" s="6"/>
      <c r="FDV92" s="6"/>
      <c r="FDW92" s="6"/>
      <c r="FDX92" s="6"/>
      <c r="FDY92" s="6"/>
      <c r="FDZ92" s="6"/>
      <c r="FEA92" s="6"/>
      <c r="FEB92" s="6"/>
      <c r="FEC92" s="6"/>
      <c r="FED92" s="6"/>
      <c r="FEE92" s="6"/>
      <c r="FEF92" s="6"/>
      <c r="FEG92" s="6"/>
      <c r="FEH92" s="6"/>
      <c r="FEI92" s="6"/>
      <c r="FEJ92" s="6"/>
      <c r="FEK92" s="6"/>
      <c r="FEL92" s="6"/>
      <c r="FEM92" s="6"/>
      <c r="FEN92" s="6"/>
      <c r="FEO92" s="6"/>
      <c r="FEP92" s="6"/>
      <c r="FEQ92" s="6"/>
      <c r="FER92" s="6"/>
      <c r="FES92" s="6"/>
      <c r="FET92" s="6"/>
      <c r="FEU92" s="6"/>
      <c r="FEV92" s="6"/>
      <c r="FEW92" s="6"/>
      <c r="FEX92" s="6"/>
      <c r="FEY92" s="6"/>
      <c r="FEZ92" s="6"/>
      <c r="FFA92" s="6"/>
      <c r="FFB92" s="6"/>
      <c r="FFC92" s="6"/>
      <c r="FFD92" s="6"/>
      <c r="FFE92" s="6"/>
      <c r="FFF92" s="6"/>
      <c r="FFG92" s="6"/>
      <c r="FFH92" s="6"/>
      <c r="FFI92" s="6"/>
      <c r="FFJ92" s="6"/>
      <c r="FFK92" s="6"/>
      <c r="FFL92" s="6"/>
      <c r="FFM92" s="6"/>
      <c r="FFN92" s="6"/>
      <c r="FFO92" s="6"/>
      <c r="FFP92" s="6"/>
      <c r="FFQ92" s="6"/>
      <c r="FFR92" s="6"/>
      <c r="FFS92" s="6"/>
      <c r="FFT92" s="6"/>
      <c r="FFU92" s="6"/>
      <c r="FFV92" s="6"/>
      <c r="FFW92" s="6"/>
      <c r="FFX92" s="6"/>
      <c r="FFY92" s="6"/>
      <c r="FFZ92" s="6"/>
      <c r="FGA92" s="6"/>
      <c r="FGB92" s="6"/>
      <c r="FGC92" s="6"/>
      <c r="FGD92" s="6"/>
      <c r="FGE92" s="6"/>
      <c r="FGF92" s="6"/>
      <c r="FGG92" s="6"/>
      <c r="FGH92" s="6"/>
      <c r="FGI92" s="6"/>
      <c r="FGJ92" s="6"/>
      <c r="FGK92" s="6"/>
      <c r="FGL92" s="6"/>
      <c r="FGM92" s="6"/>
      <c r="FGN92" s="6"/>
      <c r="FGO92" s="6"/>
      <c r="FGP92" s="6"/>
      <c r="FGQ92" s="6"/>
      <c r="FGR92" s="6"/>
      <c r="FGS92" s="6"/>
      <c r="FGT92" s="6"/>
      <c r="FGU92" s="6"/>
      <c r="FGV92" s="6"/>
      <c r="FGW92" s="6"/>
      <c r="FGX92" s="6"/>
      <c r="FGY92" s="6"/>
      <c r="FGZ92" s="6"/>
      <c r="FHA92" s="6"/>
      <c r="FHB92" s="6"/>
      <c r="FHC92" s="6"/>
      <c r="FHD92" s="6"/>
      <c r="FHE92" s="6"/>
      <c r="FHF92" s="6"/>
      <c r="FHG92" s="6"/>
      <c r="FHH92" s="6"/>
      <c r="FHI92" s="6"/>
      <c r="FHJ92" s="6"/>
      <c r="FHK92" s="6"/>
      <c r="FHL92" s="6"/>
      <c r="FHM92" s="6"/>
      <c r="FHN92" s="6"/>
      <c r="FHO92" s="6"/>
      <c r="FHP92" s="6"/>
      <c r="FHQ92" s="6"/>
      <c r="FHR92" s="6"/>
      <c r="FHS92" s="6"/>
      <c r="FHT92" s="6"/>
      <c r="FHU92" s="6"/>
      <c r="FHV92" s="6"/>
      <c r="FHW92" s="6"/>
      <c r="FHX92" s="6"/>
      <c r="FHY92" s="6"/>
      <c r="FHZ92" s="6"/>
      <c r="FIA92" s="6"/>
      <c r="FIB92" s="6"/>
      <c r="FIC92" s="6"/>
      <c r="FID92" s="6"/>
      <c r="FIE92" s="6"/>
      <c r="FIF92" s="6"/>
      <c r="FIG92" s="6"/>
      <c r="FIH92" s="6"/>
      <c r="FII92" s="6"/>
      <c r="FIJ92" s="6"/>
      <c r="FIK92" s="6"/>
      <c r="FIL92" s="6"/>
      <c r="FIM92" s="6"/>
      <c r="FIN92" s="6"/>
      <c r="FIO92" s="6"/>
      <c r="FIP92" s="6"/>
      <c r="FIQ92" s="6"/>
      <c r="FIR92" s="6"/>
      <c r="FIS92" s="6"/>
      <c r="FIT92" s="6"/>
      <c r="FIU92" s="6"/>
      <c r="FIV92" s="6"/>
      <c r="FIW92" s="6"/>
      <c r="FIX92" s="6"/>
      <c r="FIY92" s="6"/>
      <c r="FIZ92" s="6"/>
      <c r="FJA92" s="6"/>
      <c r="FJB92" s="6"/>
      <c r="FJC92" s="6"/>
      <c r="FJD92" s="6"/>
      <c r="FJE92" s="6"/>
      <c r="FJF92" s="6"/>
      <c r="FJG92" s="6"/>
      <c r="FJH92" s="6"/>
      <c r="FJI92" s="6"/>
      <c r="FJJ92" s="6"/>
      <c r="FJK92" s="6"/>
      <c r="FJL92" s="6"/>
      <c r="FJM92" s="6"/>
      <c r="FJN92" s="6"/>
      <c r="FJO92" s="6"/>
      <c r="FJP92" s="6"/>
      <c r="FJQ92" s="6"/>
      <c r="FJR92" s="6"/>
      <c r="FJS92" s="6"/>
      <c r="FJT92" s="6"/>
      <c r="FJU92" s="6"/>
      <c r="FJV92" s="6"/>
      <c r="FJW92" s="6"/>
      <c r="FJX92" s="6"/>
      <c r="FJY92" s="6"/>
      <c r="FJZ92" s="6"/>
      <c r="FKA92" s="6"/>
      <c r="FKB92" s="6"/>
      <c r="FKC92" s="6"/>
      <c r="FKD92" s="6"/>
      <c r="FKE92" s="6"/>
      <c r="FKF92" s="6"/>
      <c r="FKG92" s="6"/>
      <c r="FKH92" s="6"/>
      <c r="FKI92" s="6"/>
      <c r="FKJ92" s="6"/>
      <c r="FKK92" s="6"/>
      <c r="FKL92" s="6"/>
      <c r="FKM92" s="6"/>
      <c r="FKN92" s="6"/>
      <c r="FKO92" s="6"/>
      <c r="FKP92" s="6"/>
      <c r="FKQ92" s="6"/>
      <c r="FKR92" s="6"/>
      <c r="FKS92" s="6"/>
      <c r="FKT92" s="6"/>
      <c r="FKU92" s="6"/>
      <c r="FKV92" s="6"/>
      <c r="FKW92" s="6"/>
      <c r="FKX92" s="6"/>
      <c r="FKY92" s="6"/>
      <c r="FKZ92" s="6"/>
      <c r="FLA92" s="6"/>
      <c r="FLB92" s="6"/>
      <c r="FLC92" s="6"/>
      <c r="FLD92" s="6"/>
      <c r="FLE92" s="6"/>
      <c r="FLF92" s="6"/>
      <c r="FLG92" s="6"/>
      <c r="FLH92" s="6"/>
      <c r="FLI92" s="6"/>
      <c r="FLJ92" s="6"/>
      <c r="FLK92" s="6"/>
      <c r="FLL92" s="6"/>
      <c r="FLM92" s="6"/>
      <c r="FLN92" s="6"/>
      <c r="FLO92" s="6"/>
      <c r="FLP92" s="6"/>
      <c r="FLQ92" s="6"/>
      <c r="FLR92" s="6"/>
      <c r="FLS92" s="6"/>
      <c r="FLT92" s="6"/>
      <c r="FLU92" s="6"/>
      <c r="FLV92" s="6"/>
      <c r="FLW92" s="6"/>
      <c r="FLX92" s="6"/>
      <c r="FLY92" s="6"/>
      <c r="FLZ92" s="6"/>
      <c r="FMA92" s="6"/>
      <c r="FMB92" s="6"/>
      <c r="FMC92" s="6"/>
      <c r="FMD92" s="6"/>
      <c r="FME92" s="6"/>
      <c r="FMF92" s="6"/>
      <c r="FMG92" s="6"/>
      <c r="FMH92" s="6"/>
      <c r="FMI92" s="6"/>
      <c r="FMJ92" s="6"/>
      <c r="FMK92" s="6"/>
      <c r="FML92" s="6"/>
      <c r="FMM92" s="6"/>
      <c r="FMN92" s="6"/>
      <c r="FMO92" s="6"/>
      <c r="FMP92" s="6"/>
      <c r="FMQ92" s="6"/>
      <c r="FMR92" s="6"/>
      <c r="FMS92" s="6"/>
      <c r="FMT92" s="6"/>
      <c r="FMU92" s="6"/>
      <c r="FMV92" s="6"/>
      <c r="FMW92" s="6"/>
      <c r="FMX92" s="6"/>
      <c r="FMY92" s="6"/>
      <c r="FMZ92" s="6"/>
      <c r="FNA92" s="6"/>
      <c r="FNB92" s="6"/>
      <c r="FNC92" s="6"/>
      <c r="FND92" s="6"/>
      <c r="FNE92" s="6"/>
      <c r="FNF92" s="6"/>
      <c r="FNG92" s="6"/>
      <c r="FNH92" s="6"/>
      <c r="FNI92" s="6"/>
      <c r="FNJ92" s="6"/>
      <c r="FNK92" s="6"/>
      <c r="FNL92" s="6"/>
      <c r="FNM92" s="6"/>
      <c r="FNN92" s="6"/>
      <c r="FNO92" s="6"/>
      <c r="FNP92" s="6"/>
      <c r="FNQ92" s="6"/>
      <c r="FNR92" s="6"/>
      <c r="FNS92" s="6"/>
      <c r="FNT92" s="6"/>
      <c r="FNU92" s="6"/>
      <c r="FNV92" s="6"/>
      <c r="FNW92" s="6"/>
      <c r="FNX92" s="6"/>
      <c r="FNY92" s="6"/>
      <c r="FNZ92" s="6"/>
      <c r="FOA92" s="6"/>
      <c r="FOB92" s="6"/>
      <c r="FOC92" s="6"/>
      <c r="FOD92" s="6"/>
      <c r="FOE92" s="6"/>
      <c r="FOF92" s="6"/>
      <c r="FOG92" s="6"/>
      <c r="FOH92" s="6"/>
      <c r="FOI92" s="6"/>
      <c r="FOJ92" s="6"/>
      <c r="FOK92" s="6"/>
      <c r="FOL92" s="6"/>
      <c r="FOM92" s="6"/>
      <c r="FON92" s="6"/>
      <c r="FOO92" s="6"/>
      <c r="FOP92" s="6"/>
      <c r="FOQ92" s="6"/>
      <c r="FOR92" s="6"/>
      <c r="FOS92" s="6"/>
      <c r="FOT92" s="6"/>
      <c r="FOU92" s="6"/>
      <c r="FOV92" s="6"/>
      <c r="FOW92" s="6"/>
      <c r="FOX92" s="6"/>
      <c r="FOY92" s="6"/>
      <c r="FOZ92" s="6"/>
      <c r="FPA92" s="6"/>
      <c r="FPB92" s="6"/>
      <c r="FPC92" s="6"/>
      <c r="FPD92" s="6"/>
      <c r="FPE92" s="6"/>
      <c r="FPF92" s="6"/>
      <c r="FPG92" s="6"/>
      <c r="FPH92" s="6"/>
      <c r="FPI92" s="6"/>
      <c r="FPJ92" s="6"/>
      <c r="FPK92" s="6"/>
      <c r="FPL92" s="6"/>
      <c r="FPM92" s="6"/>
      <c r="FPN92" s="6"/>
      <c r="FPO92" s="6"/>
      <c r="FPP92" s="6"/>
      <c r="FPQ92" s="6"/>
      <c r="FPR92" s="6"/>
      <c r="FPS92" s="6"/>
      <c r="FPT92" s="6"/>
      <c r="FPU92" s="6"/>
      <c r="FPV92" s="6"/>
      <c r="FPW92" s="6"/>
      <c r="FPX92" s="6"/>
      <c r="FPY92" s="6"/>
      <c r="FPZ92" s="6"/>
      <c r="FQA92" s="6"/>
      <c r="FQB92" s="6"/>
      <c r="FQC92" s="6"/>
      <c r="FQD92" s="6"/>
      <c r="FQE92" s="6"/>
      <c r="FQF92" s="6"/>
      <c r="FQG92" s="6"/>
      <c r="FQH92" s="6"/>
      <c r="FQI92" s="6"/>
      <c r="FQJ92" s="6"/>
      <c r="FQK92" s="6"/>
      <c r="FQL92" s="6"/>
      <c r="FQM92" s="6"/>
      <c r="FQN92" s="6"/>
      <c r="FQO92" s="6"/>
      <c r="FQP92" s="6"/>
      <c r="FQQ92" s="6"/>
      <c r="FQR92" s="6"/>
      <c r="FQS92" s="6"/>
      <c r="FQT92" s="6"/>
      <c r="FQU92" s="6"/>
      <c r="FQV92" s="6"/>
      <c r="FQW92" s="6"/>
      <c r="FQX92" s="6"/>
      <c r="FQY92" s="6"/>
      <c r="FQZ92" s="6"/>
      <c r="FRA92" s="6"/>
      <c r="FRB92" s="6"/>
      <c r="FRC92" s="6"/>
      <c r="FRD92" s="6"/>
      <c r="FRE92" s="6"/>
      <c r="FRF92" s="6"/>
      <c r="FRG92" s="6"/>
      <c r="FRH92" s="6"/>
      <c r="FRI92" s="6"/>
      <c r="FRJ92" s="6"/>
      <c r="FRK92" s="6"/>
      <c r="FRL92" s="6"/>
      <c r="FRM92" s="6"/>
      <c r="FRN92" s="6"/>
      <c r="FRO92" s="6"/>
      <c r="FRP92" s="6"/>
      <c r="FRQ92" s="6"/>
      <c r="FRR92" s="6"/>
      <c r="FRS92" s="6"/>
      <c r="FRT92" s="6"/>
      <c r="FRU92" s="6"/>
      <c r="FRV92" s="6"/>
      <c r="FRW92" s="6"/>
      <c r="FRX92" s="6"/>
      <c r="FRY92" s="6"/>
      <c r="FRZ92" s="6"/>
      <c r="FSA92" s="6"/>
      <c r="FSB92" s="6"/>
      <c r="FSC92" s="6"/>
      <c r="FSD92" s="6"/>
      <c r="FSE92" s="6"/>
      <c r="FSF92" s="6"/>
      <c r="FSG92" s="6"/>
      <c r="FSH92" s="6"/>
      <c r="FSI92" s="6"/>
      <c r="FSJ92" s="6"/>
      <c r="FSK92" s="6"/>
      <c r="FSL92" s="6"/>
      <c r="FSM92" s="6"/>
      <c r="FSN92" s="6"/>
      <c r="FSO92" s="6"/>
      <c r="FSP92" s="6"/>
      <c r="FSQ92" s="6"/>
      <c r="FSR92" s="6"/>
      <c r="FSS92" s="6"/>
      <c r="FST92" s="6"/>
      <c r="FSU92" s="6"/>
      <c r="FSV92" s="6"/>
      <c r="FSW92" s="6"/>
      <c r="FSX92" s="6"/>
      <c r="FSY92" s="6"/>
      <c r="FSZ92" s="6"/>
      <c r="FTA92" s="6"/>
      <c r="FTB92" s="6"/>
      <c r="FTC92" s="6"/>
      <c r="FTD92" s="6"/>
      <c r="FTE92" s="6"/>
      <c r="FTF92" s="6"/>
      <c r="FTG92" s="6"/>
      <c r="FTH92" s="6"/>
      <c r="FTI92" s="6"/>
      <c r="FTJ92" s="6"/>
      <c r="FTK92" s="6"/>
      <c r="FTL92" s="6"/>
      <c r="FTM92" s="6"/>
      <c r="FTN92" s="6"/>
      <c r="FTO92" s="6"/>
      <c r="FTP92" s="6"/>
      <c r="FTQ92" s="6"/>
      <c r="FTR92" s="6"/>
      <c r="FTS92" s="6"/>
      <c r="FTT92" s="6"/>
      <c r="FTU92" s="6"/>
      <c r="FTV92" s="6"/>
      <c r="FTW92" s="6"/>
      <c r="FTX92" s="6"/>
      <c r="FTY92" s="6"/>
      <c r="FTZ92" s="6"/>
      <c r="FUA92" s="6"/>
      <c r="FUB92" s="6"/>
      <c r="FUC92" s="6"/>
      <c r="FUD92" s="6"/>
      <c r="FUE92" s="6"/>
      <c r="FUF92" s="6"/>
      <c r="FUG92" s="6"/>
      <c r="FUH92" s="6"/>
      <c r="FUI92" s="6"/>
      <c r="FUJ92" s="6"/>
      <c r="FUK92" s="6"/>
      <c r="FUL92" s="6"/>
      <c r="FUM92" s="6"/>
      <c r="FUN92" s="6"/>
      <c r="FUO92" s="6"/>
      <c r="FUP92" s="6"/>
      <c r="FUQ92" s="6"/>
      <c r="FUR92" s="6"/>
      <c r="FUS92" s="6"/>
      <c r="FUT92" s="6"/>
      <c r="FUU92" s="6"/>
      <c r="FUV92" s="6"/>
      <c r="FUW92" s="6"/>
      <c r="FUX92" s="6"/>
      <c r="FUY92" s="6"/>
      <c r="FUZ92" s="6"/>
      <c r="FVA92" s="6"/>
      <c r="FVB92" s="6"/>
      <c r="FVC92" s="6"/>
      <c r="FVD92" s="6"/>
      <c r="FVE92" s="6"/>
      <c r="FVF92" s="6"/>
      <c r="FVG92" s="6"/>
      <c r="FVH92" s="6"/>
      <c r="FVI92" s="6"/>
      <c r="FVJ92" s="6"/>
      <c r="FVK92" s="6"/>
      <c r="FVL92" s="6"/>
      <c r="FVM92" s="6"/>
      <c r="FVN92" s="6"/>
      <c r="FVO92" s="6"/>
      <c r="FVP92" s="6"/>
      <c r="FVQ92" s="6"/>
      <c r="FVR92" s="6"/>
      <c r="FVS92" s="6"/>
      <c r="FVT92" s="6"/>
      <c r="FVU92" s="6"/>
      <c r="FVV92" s="6"/>
      <c r="FVW92" s="6"/>
      <c r="FVX92" s="6"/>
      <c r="FVY92" s="6"/>
      <c r="FVZ92" s="6"/>
      <c r="FWA92" s="6"/>
      <c r="FWB92" s="6"/>
      <c r="FWC92" s="6"/>
      <c r="FWD92" s="6"/>
      <c r="FWE92" s="6"/>
      <c r="FWF92" s="6"/>
      <c r="FWG92" s="6"/>
      <c r="FWH92" s="6"/>
      <c r="FWI92" s="6"/>
      <c r="FWJ92" s="6"/>
      <c r="FWK92" s="6"/>
      <c r="FWL92" s="6"/>
      <c r="FWM92" s="6"/>
      <c r="FWN92" s="6"/>
      <c r="FWO92" s="6"/>
      <c r="FWP92" s="6"/>
      <c r="FWQ92" s="6"/>
      <c r="FWR92" s="6"/>
      <c r="FWS92" s="6"/>
      <c r="FWT92" s="6"/>
      <c r="FWU92" s="6"/>
      <c r="FWV92" s="6"/>
      <c r="FWW92" s="6"/>
      <c r="FWX92" s="6"/>
      <c r="FWY92" s="6"/>
      <c r="FWZ92" s="6"/>
      <c r="FXA92" s="6"/>
      <c r="FXB92" s="6"/>
      <c r="FXC92" s="6"/>
      <c r="FXD92" s="6"/>
      <c r="FXE92" s="6"/>
      <c r="FXF92" s="6"/>
      <c r="FXG92" s="6"/>
      <c r="FXH92" s="6"/>
      <c r="FXI92" s="6"/>
      <c r="FXJ92" s="6"/>
      <c r="FXK92" s="6"/>
      <c r="FXL92" s="6"/>
      <c r="FXM92" s="6"/>
      <c r="FXN92" s="6"/>
      <c r="FXO92" s="6"/>
      <c r="FXP92" s="6"/>
      <c r="FXQ92" s="6"/>
      <c r="FXR92" s="6"/>
      <c r="FXS92" s="6"/>
      <c r="FXT92" s="6"/>
      <c r="FXU92" s="6"/>
      <c r="FXV92" s="6"/>
      <c r="FXW92" s="6"/>
      <c r="FXX92" s="6"/>
      <c r="FXY92" s="6"/>
      <c r="FXZ92" s="6"/>
      <c r="FYA92" s="6"/>
      <c r="FYB92" s="6"/>
      <c r="FYC92" s="6"/>
      <c r="FYD92" s="6"/>
      <c r="FYE92" s="6"/>
      <c r="FYF92" s="6"/>
      <c r="FYG92" s="6"/>
      <c r="FYH92" s="6"/>
      <c r="FYI92" s="6"/>
      <c r="FYJ92" s="6"/>
      <c r="FYK92" s="6"/>
      <c r="FYL92" s="6"/>
      <c r="FYM92" s="6"/>
      <c r="FYN92" s="6"/>
      <c r="FYO92" s="6"/>
      <c r="FYP92" s="6"/>
      <c r="FYQ92" s="6"/>
      <c r="FYR92" s="6"/>
      <c r="FYS92" s="6"/>
      <c r="FYT92" s="6"/>
      <c r="FYU92" s="6"/>
      <c r="FYV92" s="6"/>
      <c r="FYW92" s="6"/>
      <c r="FYX92" s="6"/>
      <c r="FYY92" s="6"/>
      <c r="FYZ92" s="6"/>
      <c r="FZA92" s="6"/>
      <c r="FZB92" s="6"/>
      <c r="FZC92" s="6"/>
      <c r="FZD92" s="6"/>
      <c r="FZE92" s="6"/>
      <c r="FZF92" s="6"/>
      <c r="FZG92" s="6"/>
      <c r="FZH92" s="6"/>
      <c r="FZI92" s="6"/>
      <c r="FZJ92" s="6"/>
      <c r="FZK92" s="6"/>
      <c r="FZL92" s="6"/>
      <c r="FZM92" s="6"/>
      <c r="FZN92" s="6"/>
      <c r="FZO92" s="6"/>
      <c r="FZP92" s="6"/>
      <c r="FZQ92" s="6"/>
      <c r="FZR92" s="6"/>
      <c r="FZS92" s="6"/>
      <c r="FZT92" s="6"/>
      <c r="FZU92" s="6"/>
      <c r="FZV92" s="6"/>
      <c r="FZW92" s="6"/>
      <c r="FZX92" s="6"/>
      <c r="FZY92" s="6"/>
      <c r="FZZ92" s="6"/>
      <c r="GAA92" s="6"/>
      <c r="GAB92" s="6"/>
      <c r="GAC92" s="6"/>
      <c r="GAD92" s="6"/>
      <c r="GAE92" s="6"/>
      <c r="GAF92" s="6"/>
      <c r="GAG92" s="6"/>
      <c r="GAH92" s="6"/>
      <c r="GAI92" s="6"/>
      <c r="GAJ92" s="6"/>
      <c r="GAK92" s="6"/>
      <c r="GAL92" s="6"/>
      <c r="GAM92" s="6"/>
      <c r="GAN92" s="6"/>
      <c r="GAO92" s="6"/>
      <c r="GAP92" s="6"/>
      <c r="GAQ92" s="6"/>
      <c r="GAR92" s="6"/>
      <c r="GAS92" s="6"/>
      <c r="GAT92" s="6"/>
      <c r="GAU92" s="6"/>
      <c r="GAV92" s="6"/>
      <c r="GAW92" s="6"/>
      <c r="GAX92" s="6"/>
      <c r="GAY92" s="6"/>
      <c r="GAZ92" s="6"/>
      <c r="GBA92" s="6"/>
      <c r="GBB92" s="6"/>
      <c r="GBC92" s="6"/>
      <c r="GBD92" s="6"/>
      <c r="GBE92" s="6"/>
      <c r="GBF92" s="6"/>
      <c r="GBG92" s="6"/>
      <c r="GBH92" s="6"/>
      <c r="GBI92" s="6"/>
      <c r="GBJ92" s="6"/>
      <c r="GBK92" s="6"/>
      <c r="GBL92" s="6"/>
      <c r="GBM92" s="6"/>
      <c r="GBN92" s="6"/>
      <c r="GBO92" s="6"/>
      <c r="GBP92" s="6"/>
      <c r="GBQ92" s="6"/>
      <c r="GBR92" s="6"/>
      <c r="GBS92" s="6"/>
      <c r="GBT92" s="6"/>
      <c r="GBU92" s="6"/>
      <c r="GBV92" s="6"/>
      <c r="GBW92" s="6"/>
      <c r="GBX92" s="6"/>
      <c r="GBY92" s="6"/>
      <c r="GBZ92" s="6"/>
      <c r="GCA92" s="6"/>
      <c r="GCB92" s="6"/>
      <c r="GCC92" s="6"/>
      <c r="GCD92" s="6"/>
      <c r="GCE92" s="6"/>
      <c r="GCF92" s="6"/>
      <c r="GCG92" s="6"/>
      <c r="GCH92" s="6"/>
      <c r="GCI92" s="6"/>
      <c r="GCJ92" s="6"/>
      <c r="GCK92" s="6"/>
      <c r="GCL92" s="6"/>
      <c r="GCM92" s="6"/>
      <c r="GCN92" s="6"/>
      <c r="GCO92" s="6"/>
      <c r="GCP92" s="6"/>
      <c r="GCQ92" s="6"/>
      <c r="GCR92" s="6"/>
      <c r="GCS92" s="6"/>
      <c r="GCT92" s="6"/>
      <c r="GCU92" s="6"/>
      <c r="GCV92" s="6"/>
      <c r="GCW92" s="6"/>
      <c r="GCX92" s="6"/>
      <c r="GCY92" s="6"/>
      <c r="GCZ92" s="6"/>
      <c r="GDA92" s="6"/>
      <c r="GDB92" s="6"/>
      <c r="GDC92" s="6"/>
      <c r="GDD92" s="6"/>
      <c r="GDE92" s="6"/>
      <c r="GDF92" s="6"/>
      <c r="GDG92" s="6"/>
      <c r="GDH92" s="6"/>
      <c r="GDI92" s="6"/>
      <c r="GDJ92" s="6"/>
      <c r="GDK92" s="6"/>
      <c r="GDL92" s="6"/>
      <c r="GDM92" s="6"/>
      <c r="GDN92" s="6"/>
      <c r="GDO92" s="6"/>
      <c r="GDP92" s="6"/>
      <c r="GDQ92" s="6"/>
      <c r="GDR92" s="6"/>
      <c r="GDS92" s="6"/>
      <c r="GDT92" s="6"/>
      <c r="GDU92" s="6"/>
      <c r="GDV92" s="6"/>
      <c r="GDW92" s="6"/>
      <c r="GDX92" s="6"/>
      <c r="GDY92" s="6"/>
      <c r="GDZ92" s="6"/>
      <c r="GEA92" s="6"/>
      <c r="GEB92" s="6"/>
      <c r="GEC92" s="6"/>
      <c r="GED92" s="6"/>
      <c r="GEE92" s="6"/>
      <c r="GEF92" s="6"/>
      <c r="GEG92" s="6"/>
      <c r="GEH92" s="6"/>
      <c r="GEI92" s="6"/>
      <c r="GEJ92" s="6"/>
      <c r="GEK92" s="6"/>
      <c r="GEL92" s="6"/>
      <c r="GEM92" s="6"/>
      <c r="GEN92" s="6"/>
      <c r="GEO92" s="6"/>
      <c r="GEP92" s="6"/>
      <c r="GEQ92" s="6"/>
      <c r="GER92" s="6"/>
      <c r="GES92" s="6"/>
      <c r="GET92" s="6"/>
      <c r="GEU92" s="6"/>
      <c r="GEV92" s="6"/>
      <c r="GEW92" s="6"/>
      <c r="GEX92" s="6"/>
      <c r="GEY92" s="6"/>
      <c r="GEZ92" s="6"/>
      <c r="GFA92" s="6"/>
      <c r="GFB92" s="6"/>
      <c r="GFC92" s="6"/>
      <c r="GFD92" s="6"/>
      <c r="GFE92" s="6"/>
      <c r="GFF92" s="6"/>
      <c r="GFG92" s="6"/>
      <c r="GFH92" s="6"/>
      <c r="GFI92" s="6"/>
      <c r="GFJ92" s="6"/>
      <c r="GFK92" s="6"/>
      <c r="GFL92" s="6"/>
      <c r="GFM92" s="6"/>
      <c r="GFN92" s="6"/>
      <c r="GFO92" s="6"/>
      <c r="GFP92" s="6"/>
      <c r="GFQ92" s="6"/>
      <c r="GFR92" s="6"/>
      <c r="GFS92" s="6"/>
      <c r="GFT92" s="6"/>
      <c r="GFU92" s="6"/>
      <c r="GFV92" s="6"/>
      <c r="GFW92" s="6"/>
      <c r="GFX92" s="6"/>
      <c r="GFY92" s="6"/>
      <c r="GFZ92" s="6"/>
      <c r="GGA92" s="6"/>
      <c r="GGB92" s="6"/>
      <c r="GGC92" s="6"/>
      <c r="GGD92" s="6"/>
      <c r="GGE92" s="6"/>
      <c r="GGF92" s="6"/>
      <c r="GGG92" s="6"/>
      <c r="GGH92" s="6"/>
      <c r="GGI92" s="6"/>
      <c r="GGJ92" s="6"/>
      <c r="GGK92" s="6"/>
      <c r="GGL92" s="6"/>
      <c r="GGM92" s="6"/>
      <c r="GGN92" s="6"/>
      <c r="GGO92" s="6"/>
      <c r="GGP92" s="6"/>
      <c r="GGQ92" s="6"/>
      <c r="GGR92" s="6"/>
      <c r="GGS92" s="6"/>
      <c r="GGT92" s="6"/>
      <c r="GGU92" s="6"/>
      <c r="GGV92" s="6"/>
      <c r="GGW92" s="6"/>
      <c r="GGX92" s="6"/>
      <c r="GGY92" s="6"/>
      <c r="GGZ92" s="6"/>
      <c r="GHA92" s="6"/>
      <c r="GHB92" s="6"/>
      <c r="GHC92" s="6"/>
      <c r="GHD92" s="6"/>
      <c r="GHE92" s="6"/>
      <c r="GHF92" s="6"/>
      <c r="GHG92" s="6"/>
      <c r="GHH92" s="6"/>
      <c r="GHI92" s="6"/>
      <c r="GHJ92" s="6"/>
      <c r="GHK92" s="6"/>
      <c r="GHL92" s="6"/>
      <c r="GHM92" s="6"/>
      <c r="GHN92" s="6"/>
      <c r="GHO92" s="6"/>
      <c r="GHP92" s="6"/>
      <c r="GHQ92" s="6"/>
      <c r="GHR92" s="6"/>
      <c r="GHS92" s="6"/>
      <c r="GHT92" s="6"/>
      <c r="GHU92" s="6"/>
      <c r="GHV92" s="6"/>
      <c r="GHW92" s="6"/>
      <c r="GHX92" s="6"/>
      <c r="GHY92" s="6"/>
      <c r="GHZ92" s="6"/>
      <c r="GIA92" s="6"/>
      <c r="GIB92" s="6"/>
      <c r="GIC92" s="6"/>
      <c r="GID92" s="6"/>
      <c r="GIE92" s="6"/>
      <c r="GIF92" s="6"/>
      <c r="GIG92" s="6"/>
      <c r="GIH92" s="6"/>
      <c r="GII92" s="6"/>
      <c r="GIJ92" s="6"/>
      <c r="GIK92" s="6"/>
      <c r="GIL92" s="6"/>
      <c r="GIM92" s="6"/>
      <c r="GIN92" s="6"/>
      <c r="GIO92" s="6"/>
      <c r="GIP92" s="6"/>
      <c r="GIQ92" s="6"/>
      <c r="GIR92" s="6"/>
      <c r="GIS92" s="6"/>
      <c r="GIT92" s="6"/>
      <c r="GIU92" s="6"/>
      <c r="GIV92" s="6"/>
      <c r="GIW92" s="6"/>
      <c r="GIX92" s="6"/>
      <c r="GIY92" s="6"/>
      <c r="GIZ92" s="6"/>
      <c r="GJA92" s="6"/>
      <c r="GJB92" s="6"/>
      <c r="GJC92" s="6"/>
      <c r="GJD92" s="6"/>
      <c r="GJE92" s="6"/>
      <c r="GJF92" s="6"/>
      <c r="GJG92" s="6"/>
      <c r="GJH92" s="6"/>
      <c r="GJI92" s="6"/>
      <c r="GJJ92" s="6"/>
      <c r="GJK92" s="6"/>
      <c r="GJL92" s="6"/>
      <c r="GJM92" s="6"/>
      <c r="GJN92" s="6"/>
      <c r="GJO92" s="6"/>
      <c r="GJP92" s="6"/>
      <c r="GJQ92" s="6"/>
      <c r="GJR92" s="6"/>
      <c r="GJS92" s="6"/>
      <c r="GJT92" s="6"/>
      <c r="GJU92" s="6"/>
      <c r="GJV92" s="6"/>
      <c r="GJW92" s="6"/>
      <c r="GJX92" s="6"/>
      <c r="GJY92" s="6"/>
      <c r="GJZ92" s="6"/>
      <c r="GKA92" s="6"/>
      <c r="GKB92" s="6"/>
      <c r="GKC92" s="6"/>
      <c r="GKD92" s="6"/>
      <c r="GKE92" s="6"/>
      <c r="GKF92" s="6"/>
      <c r="GKG92" s="6"/>
      <c r="GKH92" s="6"/>
      <c r="GKI92" s="6"/>
      <c r="GKJ92" s="6"/>
      <c r="GKK92" s="6"/>
      <c r="GKL92" s="6"/>
      <c r="GKM92" s="6"/>
      <c r="GKN92" s="6"/>
      <c r="GKO92" s="6"/>
      <c r="GKP92" s="6"/>
      <c r="GKQ92" s="6"/>
      <c r="GKR92" s="6"/>
      <c r="GKS92" s="6"/>
      <c r="GKT92" s="6"/>
      <c r="GKU92" s="6"/>
      <c r="GKV92" s="6"/>
      <c r="GKW92" s="6"/>
      <c r="GKX92" s="6"/>
      <c r="GKY92" s="6"/>
      <c r="GKZ92" s="6"/>
      <c r="GLA92" s="6"/>
      <c r="GLB92" s="6"/>
      <c r="GLC92" s="6"/>
      <c r="GLD92" s="6"/>
      <c r="GLE92" s="6"/>
      <c r="GLF92" s="6"/>
      <c r="GLG92" s="6"/>
      <c r="GLH92" s="6"/>
      <c r="GLI92" s="6"/>
      <c r="GLJ92" s="6"/>
      <c r="GLK92" s="6"/>
      <c r="GLL92" s="6"/>
      <c r="GLM92" s="6"/>
      <c r="GLN92" s="6"/>
      <c r="GLO92" s="6"/>
      <c r="GLP92" s="6"/>
      <c r="GLQ92" s="6"/>
      <c r="GLR92" s="6"/>
      <c r="GLS92" s="6"/>
      <c r="GLT92" s="6"/>
      <c r="GLU92" s="6"/>
      <c r="GLV92" s="6"/>
      <c r="GLW92" s="6"/>
      <c r="GLX92" s="6"/>
      <c r="GLY92" s="6"/>
      <c r="GLZ92" s="6"/>
      <c r="GMA92" s="6"/>
      <c r="GMB92" s="6"/>
      <c r="GMC92" s="6"/>
      <c r="GMD92" s="6"/>
      <c r="GME92" s="6"/>
      <c r="GMF92" s="6"/>
      <c r="GMG92" s="6"/>
      <c r="GMH92" s="6"/>
      <c r="GMI92" s="6"/>
      <c r="GMJ92" s="6"/>
      <c r="GMK92" s="6"/>
      <c r="GML92" s="6"/>
      <c r="GMM92" s="6"/>
      <c r="GMN92" s="6"/>
      <c r="GMO92" s="6"/>
      <c r="GMP92" s="6"/>
      <c r="GMQ92" s="6"/>
      <c r="GMR92" s="6"/>
      <c r="GMS92" s="6"/>
      <c r="GMT92" s="6"/>
      <c r="GMU92" s="6"/>
      <c r="GMV92" s="6"/>
      <c r="GMW92" s="6"/>
      <c r="GMX92" s="6"/>
      <c r="GMY92" s="6"/>
      <c r="GMZ92" s="6"/>
      <c r="GNA92" s="6"/>
      <c r="GNB92" s="6"/>
      <c r="GNC92" s="6"/>
      <c r="GND92" s="6"/>
      <c r="GNE92" s="6"/>
      <c r="GNF92" s="6"/>
      <c r="GNG92" s="6"/>
      <c r="GNH92" s="6"/>
      <c r="GNI92" s="6"/>
      <c r="GNJ92" s="6"/>
      <c r="GNK92" s="6"/>
      <c r="GNL92" s="6"/>
      <c r="GNM92" s="6"/>
      <c r="GNN92" s="6"/>
      <c r="GNO92" s="6"/>
      <c r="GNP92" s="6"/>
      <c r="GNQ92" s="6"/>
      <c r="GNR92" s="6"/>
      <c r="GNS92" s="6"/>
      <c r="GNT92" s="6"/>
      <c r="GNU92" s="6"/>
      <c r="GNV92" s="6"/>
      <c r="GNW92" s="6"/>
      <c r="GNX92" s="6"/>
      <c r="GNY92" s="6"/>
      <c r="GNZ92" s="6"/>
      <c r="GOA92" s="6"/>
      <c r="GOB92" s="6"/>
      <c r="GOC92" s="6"/>
      <c r="GOD92" s="6"/>
      <c r="GOE92" s="6"/>
      <c r="GOF92" s="6"/>
      <c r="GOG92" s="6"/>
      <c r="GOH92" s="6"/>
      <c r="GOI92" s="6"/>
      <c r="GOJ92" s="6"/>
      <c r="GOK92" s="6"/>
      <c r="GOL92" s="6"/>
      <c r="GOM92" s="6"/>
      <c r="GON92" s="6"/>
      <c r="GOO92" s="6"/>
      <c r="GOP92" s="6"/>
      <c r="GOQ92" s="6"/>
      <c r="GOR92" s="6"/>
      <c r="GOS92" s="6"/>
      <c r="GOT92" s="6"/>
      <c r="GOU92" s="6"/>
      <c r="GOV92" s="6"/>
      <c r="GOW92" s="6"/>
      <c r="GOX92" s="6"/>
      <c r="GOY92" s="6"/>
      <c r="GOZ92" s="6"/>
      <c r="GPA92" s="6"/>
      <c r="GPB92" s="6"/>
      <c r="GPC92" s="6"/>
      <c r="GPD92" s="6"/>
      <c r="GPE92" s="6"/>
      <c r="GPF92" s="6"/>
      <c r="GPG92" s="6"/>
      <c r="GPH92" s="6"/>
      <c r="GPI92" s="6"/>
      <c r="GPJ92" s="6"/>
      <c r="GPK92" s="6"/>
      <c r="GPL92" s="6"/>
      <c r="GPM92" s="6"/>
      <c r="GPN92" s="6"/>
      <c r="GPO92" s="6"/>
      <c r="GPP92" s="6"/>
      <c r="GPQ92" s="6"/>
      <c r="GPR92" s="6"/>
      <c r="GPS92" s="6"/>
      <c r="GPT92" s="6"/>
      <c r="GPU92" s="6"/>
      <c r="GPV92" s="6"/>
      <c r="GPW92" s="6"/>
      <c r="GPX92" s="6"/>
      <c r="GPY92" s="6"/>
      <c r="GPZ92" s="6"/>
      <c r="GQA92" s="6"/>
      <c r="GQB92" s="6"/>
      <c r="GQC92" s="6"/>
      <c r="GQD92" s="6"/>
      <c r="GQE92" s="6"/>
      <c r="GQF92" s="6"/>
      <c r="GQG92" s="6"/>
      <c r="GQH92" s="6"/>
      <c r="GQI92" s="6"/>
      <c r="GQJ92" s="6"/>
      <c r="GQK92" s="6"/>
      <c r="GQL92" s="6"/>
      <c r="GQM92" s="6"/>
      <c r="GQN92" s="6"/>
      <c r="GQO92" s="6"/>
      <c r="GQP92" s="6"/>
      <c r="GQQ92" s="6"/>
      <c r="GQR92" s="6"/>
      <c r="GQS92" s="6"/>
      <c r="GQT92" s="6"/>
      <c r="GQU92" s="6"/>
      <c r="GQV92" s="6"/>
      <c r="GQW92" s="6"/>
      <c r="GQX92" s="6"/>
      <c r="GQY92" s="6"/>
      <c r="GQZ92" s="6"/>
      <c r="GRA92" s="6"/>
      <c r="GRB92" s="6"/>
      <c r="GRC92" s="6"/>
      <c r="GRD92" s="6"/>
      <c r="GRE92" s="6"/>
      <c r="GRF92" s="6"/>
      <c r="GRG92" s="6"/>
      <c r="GRH92" s="6"/>
      <c r="GRI92" s="6"/>
      <c r="GRJ92" s="6"/>
      <c r="GRK92" s="6"/>
      <c r="GRL92" s="6"/>
      <c r="GRM92" s="6"/>
      <c r="GRN92" s="6"/>
      <c r="GRO92" s="6"/>
      <c r="GRP92" s="6"/>
      <c r="GRQ92" s="6"/>
      <c r="GRR92" s="6"/>
      <c r="GRS92" s="6"/>
      <c r="GRT92" s="6"/>
      <c r="GRU92" s="6"/>
      <c r="GRV92" s="6"/>
      <c r="GRW92" s="6"/>
      <c r="GRX92" s="6"/>
      <c r="GRY92" s="6"/>
      <c r="GRZ92" s="6"/>
      <c r="GSA92" s="6"/>
      <c r="GSB92" s="6"/>
      <c r="GSC92" s="6"/>
      <c r="GSD92" s="6"/>
      <c r="GSE92" s="6"/>
      <c r="GSF92" s="6"/>
      <c r="GSG92" s="6"/>
      <c r="GSH92" s="6"/>
      <c r="GSI92" s="6"/>
      <c r="GSJ92" s="6"/>
      <c r="GSK92" s="6"/>
      <c r="GSL92" s="6"/>
      <c r="GSM92" s="6"/>
      <c r="GSN92" s="6"/>
      <c r="GSO92" s="6"/>
      <c r="GSP92" s="6"/>
      <c r="GSQ92" s="6"/>
      <c r="GSR92" s="6"/>
      <c r="GSS92" s="6"/>
      <c r="GST92" s="6"/>
      <c r="GSU92" s="6"/>
      <c r="GSV92" s="6"/>
      <c r="GSW92" s="6"/>
      <c r="GSX92" s="6"/>
      <c r="GSY92" s="6"/>
      <c r="GSZ92" s="6"/>
      <c r="GTA92" s="6"/>
      <c r="GTB92" s="6"/>
      <c r="GTC92" s="6"/>
      <c r="GTD92" s="6"/>
      <c r="GTE92" s="6"/>
      <c r="GTF92" s="6"/>
      <c r="GTG92" s="6"/>
      <c r="GTH92" s="6"/>
      <c r="GTI92" s="6"/>
      <c r="GTJ92" s="6"/>
      <c r="GTK92" s="6"/>
      <c r="GTL92" s="6"/>
      <c r="GTM92" s="6"/>
      <c r="GTN92" s="6"/>
      <c r="GTO92" s="6"/>
      <c r="GTP92" s="6"/>
      <c r="GTQ92" s="6"/>
      <c r="GTR92" s="6"/>
      <c r="GTS92" s="6"/>
      <c r="GTT92" s="6"/>
      <c r="GTU92" s="6"/>
      <c r="GTV92" s="6"/>
      <c r="GTW92" s="6"/>
      <c r="GTX92" s="6"/>
      <c r="GTY92" s="6"/>
      <c r="GTZ92" s="6"/>
      <c r="GUA92" s="6"/>
      <c r="GUB92" s="6"/>
      <c r="GUC92" s="6"/>
      <c r="GUD92" s="6"/>
      <c r="GUE92" s="6"/>
      <c r="GUF92" s="6"/>
      <c r="GUG92" s="6"/>
      <c r="GUH92" s="6"/>
      <c r="GUI92" s="6"/>
      <c r="GUJ92" s="6"/>
      <c r="GUK92" s="6"/>
      <c r="GUL92" s="6"/>
      <c r="GUM92" s="6"/>
      <c r="GUN92" s="6"/>
      <c r="GUO92" s="6"/>
      <c r="GUP92" s="6"/>
      <c r="GUQ92" s="6"/>
      <c r="GUR92" s="6"/>
      <c r="GUS92" s="6"/>
      <c r="GUT92" s="6"/>
      <c r="GUU92" s="6"/>
      <c r="GUV92" s="6"/>
      <c r="GUW92" s="6"/>
      <c r="GUX92" s="6"/>
      <c r="GUY92" s="6"/>
      <c r="GUZ92" s="6"/>
      <c r="GVA92" s="6"/>
      <c r="GVB92" s="6"/>
      <c r="GVC92" s="6"/>
      <c r="GVD92" s="6"/>
      <c r="GVE92" s="6"/>
      <c r="GVF92" s="6"/>
      <c r="GVG92" s="6"/>
      <c r="GVH92" s="6"/>
      <c r="GVI92" s="6"/>
      <c r="GVJ92" s="6"/>
      <c r="GVK92" s="6"/>
      <c r="GVL92" s="6"/>
      <c r="GVM92" s="6"/>
      <c r="GVN92" s="6"/>
      <c r="GVO92" s="6"/>
      <c r="GVP92" s="6"/>
      <c r="GVQ92" s="6"/>
      <c r="GVR92" s="6"/>
      <c r="GVS92" s="6"/>
      <c r="GVT92" s="6"/>
      <c r="GVU92" s="6"/>
      <c r="GVV92" s="6"/>
      <c r="GVW92" s="6"/>
      <c r="GVX92" s="6"/>
      <c r="GVY92" s="6"/>
      <c r="GVZ92" s="6"/>
      <c r="GWA92" s="6"/>
      <c r="GWB92" s="6"/>
      <c r="GWC92" s="6"/>
      <c r="GWD92" s="6"/>
      <c r="GWE92" s="6"/>
      <c r="GWF92" s="6"/>
      <c r="GWG92" s="6"/>
      <c r="GWH92" s="6"/>
      <c r="GWI92" s="6"/>
      <c r="GWJ92" s="6"/>
      <c r="GWK92" s="6"/>
      <c r="GWL92" s="6"/>
      <c r="GWM92" s="6"/>
      <c r="GWN92" s="6"/>
      <c r="GWO92" s="6"/>
      <c r="GWP92" s="6"/>
      <c r="GWQ92" s="6"/>
      <c r="GWR92" s="6"/>
      <c r="GWS92" s="6"/>
      <c r="GWT92" s="6"/>
      <c r="GWU92" s="6"/>
      <c r="GWV92" s="6"/>
      <c r="GWW92" s="6"/>
      <c r="GWX92" s="6"/>
      <c r="GWY92" s="6"/>
      <c r="GWZ92" s="6"/>
      <c r="GXA92" s="6"/>
      <c r="GXB92" s="6"/>
      <c r="GXC92" s="6"/>
      <c r="GXD92" s="6"/>
      <c r="GXE92" s="6"/>
      <c r="GXF92" s="6"/>
      <c r="GXG92" s="6"/>
      <c r="GXH92" s="6"/>
      <c r="GXI92" s="6"/>
      <c r="GXJ92" s="6"/>
      <c r="GXK92" s="6"/>
      <c r="GXL92" s="6"/>
      <c r="GXM92" s="6"/>
      <c r="GXN92" s="6"/>
      <c r="GXO92" s="6"/>
      <c r="GXP92" s="6"/>
      <c r="GXQ92" s="6"/>
      <c r="GXR92" s="6"/>
      <c r="GXS92" s="6"/>
      <c r="GXT92" s="6"/>
      <c r="GXU92" s="6"/>
      <c r="GXV92" s="6"/>
      <c r="GXW92" s="6"/>
      <c r="GXX92" s="6"/>
      <c r="GXY92" s="6"/>
      <c r="GXZ92" s="6"/>
      <c r="GYA92" s="6"/>
      <c r="GYB92" s="6"/>
      <c r="GYC92" s="6"/>
      <c r="GYD92" s="6"/>
      <c r="GYE92" s="6"/>
      <c r="GYF92" s="6"/>
      <c r="GYG92" s="6"/>
      <c r="GYH92" s="6"/>
      <c r="GYI92" s="6"/>
      <c r="GYJ92" s="6"/>
      <c r="GYK92" s="6"/>
      <c r="GYL92" s="6"/>
      <c r="GYM92" s="6"/>
      <c r="GYN92" s="6"/>
      <c r="GYO92" s="6"/>
      <c r="GYP92" s="6"/>
      <c r="GYQ92" s="6"/>
      <c r="GYR92" s="6"/>
      <c r="GYS92" s="6"/>
      <c r="GYT92" s="6"/>
      <c r="GYU92" s="6"/>
      <c r="GYV92" s="6"/>
      <c r="GYW92" s="6"/>
      <c r="GYX92" s="6"/>
      <c r="GYY92" s="6"/>
      <c r="GYZ92" s="6"/>
      <c r="GZA92" s="6"/>
      <c r="GZB92" s="6"/>
      <c r="GZC92" s="6"/>
      <c r="GZD92" s="6"/>
      <c r="GZE92" s="6"/>
      <c r="GZF92" s="6"/>
      <c r="GZG92" s="6"/>
      <c r="GZH92" s="6"/>
      <c r="GZI92" s="6"/>
      <c r="GZJ92" s="6"/>
      <c r="GZK92" s="6"/>
      <c r="GZL92" s="6"/>
      <c r="GZM92" s="6"/>
      <c r="GZN92" s="6"/>
      <c r="GZO92" s="6"/>
      <c r="GZP92" s="6"/>
      <c r="GZQ92" s="6"/>
      <c r="GZR92" s="6"/>
      <c r="GZS92" s="6"/>
      <c r="GZT92" s="6"/>
      <c r="GZU92" s="6"/>
      <c r="GZV92" s="6"/>
      <c r="GZW92" s="6"/>
      <c r="GZX92" s="6"/>
      <c r="GZY92" s="6"/>
      <c r="GZZ92" s="6"/>
      <c r="HAA92" s="6"/>
      <c r="HAB92" s="6"/>
      <c r="HAC92" s="6"/>
      <c r="HAD92" s="6"/>
      <c r="HAE92" s="6"/>
      <c r="HAF92" s="6"/>
      <c r="HAG92" s="6"/>
      <c r="HAH92" s="6"/>
      <c r="HAI92" s="6"/>
      <c r="HAJ92" s="6"/>
      <c r="HAK92" s="6"/>
      <c r="HAL92" s="6"/>
      <c r="HAM92" s="6"/>
      <c r="HAN92" s="6"/>
      <c r="HAO92" s="6"/>
      <c r="HAP92" s="6"/>
      <c r="HAQ92" s="6"/>
      <c r="HAR92" s="6"/>
      <c r="HAS92" s="6"/>
      <c r="HAT92" s="6"/>
      <c r="HAU92" s="6"/>
      <c r="HAV92" s="6"/>
      <c r="HAW92" s="6"/>
      <c r="HAX92" s="6"/>
      <c r="HAY92" s="6"/>
      <c r="HAZ92" s="6"/>
      <c r="HBA92" s="6"/>
      <c r="HBB92" s="6"/>
      <c r="HBC92" s="6"/>
      <c r="HBD92" s="6"/>
      <c r="HBE92" s="6"/>
      <c r="HBF92" s="6"/>
      <c r="HBG92" s="6"/>
      <c r="HBH92" s="6"/>
      <c r="HBI92" s="6"/>
      <c r="HBJ92" s="6"/>
      <c r="HBK92" s="6"/>
      <c r="HBL92" s="6"/>
      <c r="HBM92" s="6"/>
      <c r="HBN92" s="6"/>
      <c r="HBO92" s="6"/>
      <c r="HBP92" s="6"/>
      <c r="HBQ92" s="6"/>
      <c r="HBR92" s="6"/>
      <c r="HBS92" s="6"/>
      <c r="HBT92" s="6"/>
      <c r="HBU92" s="6"/>
      <c r="HBV92" s="6"/>
      <c r="HBW92" s="6"/>
      <c r="HBX92" s="6"/>
      <c r="HBY92" s="6"/>
      <c r="HBZ92" s="6"/>
      <c r="HCA92" s="6"/>
      <c r="HCB92" s="6"/>
      <c r="HCC92" s="6"/>
      <c r="HCD92" s="6"/>
      <c r="HCE92" s="6"/>
      <c r="HCF92" s="6"/>
      <c r="HCG92" s="6"/>
      <c r="HCH92" s="6"/>
      <c r="HCI92" s="6"/>
      <c r="HCJ92" s="6"/>
      <c r="HCK92" s="6"/>
      <c r="HCL92" s="6"/>
      <c r="HCM92" s="6"/>
      <c r="HCN92" s="6"/>
      <c r="HCO92" s="6"/>
      <c r="HCP92" s="6"/>
      <c r="HCQ92" s="6"/>
      <c r="HCR92" s="6"/>
      <c r="HCS92" s="6"/>
      <c r="HCT92" s="6"/>
      <c r="HCU92" s="6"/>
      <c r="HCV92" s="6"/>
      <c r="HCW92" s="6"/>
      <c r="HCX92" s="6"/>
      <c r="HCY92" s="6"/>
      <c r="HCZ92" s="6"/>
      <c r="HDA92" s="6"/>
      <c r="HDB92" s="6"/>
      <c r="HDC92" s="6"/>
      <c r="HDD92" s="6"/>
      <c r="HDE92" s="6"/>
      <c r="HDF92" s="6"/>
      <c r="HDG92" s="6"/>
      <c r="HDH92" s="6"/>
      <c r="HDI92" s="6"/>
      <c r="HDJ92" s="6"/>
      <c r="HDK92" s="6"/>
      <c r="HDL92" s="6"/>
      <c r="HDM92" s="6"/>
      <c r="HDN92" s="6"/>
      <c r="HDO92" s="6"/>
      <c r="HDP92" s="6"/>
      <c r="HDQ92" s="6"/>
      <c r="HDR92" s="6"/>
      <c r="HDS92" s="6"/>
      <c r="HDT92" s="6"/>
      <c r="HDU92" s="6"/>
      <c r="HDV92" s="6"/>
      <c r="HDW92" s="6"/>
      <c r="HDX92" s="6"/>
      <c r="HDY92" s="6"/>
      <c r="HDZ92" s="6"/>
      <c r="HEA92" s="6"/>
      <c r="HEB92" s="6"/>
      <c r="HEC92" s="6"/>
      <c r="HED92" s="6"/>
      <c r="HEE92" s="6"/>
      <c r="HEF92" s="6"/>
      <c r="HEG92" s="6"/>
      <c r="HEH92" s="6"/>
      <c r="HEI92" s="6"/>
      <c r="HEJ92" s="6"/>
      <c r="HEK92" s="6"/>
      <c r="HEL92" s="6"/>
      <c r="HEM92" s="6"/>
      <c r="HEN92" s="6"/>
      <c r="HEO92" s="6"/>
      <c r="HEP92" s="6"/>
      <c r="HEQ92" s="6"/>
      <c r="HER92" s="6"/>
      <c r="HES92" s="6"/>
      <c r="HET92" s="6"/>
      <c r="HEU92" s="6"/>
      <c r="HEV92" s="6"/>
      <c r="HEW92" s="6"/>
      <c r="HEX92" s="6"/>
      <c r="HEY92" s="6"/>
      <c r="HEZ92" s="6"/>
      <c r="HFA92" s="6"/>
      <c r="HFB92" s="6"/>
      <c r="HFC92" s="6"/>
      <c r="HFD92" s="6"/>
      <c r="HFE92" s="6"/>
      <c r="HFF92" s="6"/>
      <c r="HFG92" s="6"/>
      <c r="HFH92" s="6"/>
      <c r="HFI92" s="6"/>
      <c r="HFJ92" s="6"/>
      <c r="HFK92" s="6"/>
      <c r="HFL92" s="6"/>
      <c r="HFM92" s="6"/>
      <c r="HFN92" s="6"/>
      <c r="HFO92" s="6"/>
      <c r="HFP92" s="6"/>
      <c r="HFQ92" s="6"/>
      <c r="HFR92" s="6"/>
      <c r="HFS92" s="6"/>
      <c r="HFT92" s="6"/>
      <c r="HFU92" s="6"/>
      <c r="HFV92" s="6"/>
      <c r="HFW92" s="6"/>
      <c r="HFX92" s="6"/>
      <c r="HFY92" s="6"/>
      <c r="HFZ92" s="6"/>
      <c r="HGA92" s="6"/>
      <c r="HGB92" s="6"/>
      <c r="HGC92" s="6"/>
      <c r="HGD92" s="6"/>
      <c r="HGE92" s="6"/>
      <c r="HGF92" s="6"/>
      <c r="HGG92" s="6"/>
      <c r="HGH92" s="6"/>
      <c r="HGI92" s="6"/>
      <c r="HGJ92" s="6"/>
      <c r="HGK92" s="6"/>
      <c r="HGL92" s="6"/>
      <c r="HGM92" s="6"/>
      <c r="HGN92" s="6"/>
      <c r="HGO92" s="6"/>
      <c r="HGP92" s="6"/>
      <c r="HGQ92" s="6"/>
      <c r="HGR92" s="6"/>
      <c r="HGS92" s="6"/>
      <c r="HGT92" s="6"/>
      <c r="HGU92" s="6"/>
      <c r="HGV92" s="6"/>
      <c r="HGW92" s="6"/>
      <c r="HGX92" s="6"/>
      <c r="HGY92" s="6"/>
      <c r="HGZ92" s="6"/>
      <c r="HHA92" s="6"/>
      <c r="HHB92" s="6"/>
      <c r="HHC92" s="6"/>
      <c r="HHD92" s="6"/>
      <c r="HHE92" s="6"/>
      <c r="HHF92" s="6"/>
      <c r="HHG92" s="6"/>
      <c r="HHH92" s="6"/>
      <c r="HHI92" s="6"/>
      <c r="HHJ92" s="6"/>
      <c r="HHK92" s="6"/>
      <c r="HHL92" s="6"/>
      <c r="HHM92" s="6"/>
      <c r="HHN92" s="6"/>
      <c r="HHO92" s="6"/>
      <c r="HHP92" s="6"/>
      <c r="HHQ92" s="6"/>
      <c r="HHR92" s="6"/>
      <c r="HHS92" s="6"/>
      <c r="HHT92" s="6"/>
      <c r="HHU92" s="6"/>
      <c r="HHV92" s="6"/>
      <c r="HHW92" s="6"/>
      <c r="HHX92" s="6"/>
      <c r="HHY92" s="6"/>
      <c r="HHZ92" s="6"/>
      <c r="HIA92" s="6"/>
      <c r="HIB92" s="6"/>
      <c r="HIC92" s="6"/>
      <c r="HID92" s="6"/>
      <c r="HIE92" s="6"/>
      <c r="HIF92" s="6"/>
      <c r="HIG92" s="6"/>
      <c r="HIH92" s="6"/>
      <c r="HII92" s="6"/>
      <c r="HIJ92" s="6"/>
      <c r="HIK92" s="6"/>
      <c r="HIL92" s="6"/>
      <c r="HIM92" s="6"/>
      <c r="HIN92" s="6"/>
      <c r="HIO92" s="6"/>
      <c r="HIP92" s="6"/>
      <c r="HIQ92" s="6"/>
      <c r="HIR92" s="6"/>
      <c r="HIS92" s="6"/>
      <c r="HIT92" s="6"/>
      <c r="HIU92" s="6"/>
      <c r="HIV92" s="6"/>
      <c r="HIW92" s="6"/>
      <c r="HIX92" s="6"/>
      <c r="HIY92" s="6"/>
      <c r="HIZ92" s="6"/>
      <c r="HJA92" s="6"/>
      <c r="HJB92" s="6"/>
      <c r="HJC92" s="6"/>
      <c r="HJD92" s="6"/>
      <c r="HJE92" s="6"/>
      <c r="HJF92" s="6"/>
      <c r="HJG92" s="6"/>
      <c r="HJH92" s="6"/>
      <c r="HJI92" s="6"/>
      <c r="HJJ92" s="6"/>
      <c r="HJK92" s="6"/>
      <c r="HJL92" s="6"/>
      <c r="HJM92" s="6"/>
      <c r="HJN92" s="6"/>
      <c r="HJO92" s="6"/>
      <c r="HJP92" s="6"/>
      <c r="HJQ92" s="6"/>
      <c r="HJR92" s="6"/>
      <c r="HJS92" s="6"/>
      <c r="HJT92" s="6"/>
      <c r="HJU92" s="6"/>
      <c r="HJV92" s="6"/>
      <c r="HJW92" s="6"/>
      <c r="HJX92" s="6"/>
      <c r="HJY92" s="6"/>
      <c r="HJZ92" s="6"/>
      <c r="HKA92" s="6"/>
      <c r="HKB92" s="6"/>
      <c r="HKC92" s="6"/>
      <c r="HKD92" s="6"/>
      <c r="HKE92" s="6"/>
      <c r="HKF92" s="6"/>
      <c r="HKG92" s="6"/>
      <c r="HKH92" s="6"/>
      <c r="HKI92" s="6"/>
      <c r="HKJ92" s="6"/>
      <c r="HKK92" s="6"/>
      <c r="HKL92" s="6"/>
      <c r="HKM92" s="6"/>
      <c r="HKN92" s="6"/>
      <c r="HKO92" s="6"/>
      <c r="HKP92" s="6"/>
      <c r="HKQ92" s="6"/>
      <c r="HKR92" s="6"/>
      <c r="HKS92" s="6"/>
      <c r="HKT92" s="6"/>
      <c r="HKU92" s="6"/>
      <c r="HKV92" s="6"/>
      <c r="HKW92" s="6"/>
      <c r="HKX92" s="6"/>
      <c r="HKY92" s="6"/>
      <c r="HKZ92" s="6"/>
      <c r="HLA92" s="6"/>
      <c r="HLB92" s="6"/>
      <c r="HLC92" s="6"/>
      <c r="HLD92" s="6"/>
      <c r="HLE92" s="6"/>
      <c r="HLF92" s="6"/>
      <c r="HLG92" s="6"/>
      <c r="HLH92" s="6"/>
      <c r="HLI92" s="6"/>
      <c r="HLJ92" s="6"/>
      <c r="HLK92" s="6"/>
      <c r="HLL92" s="6"/>
      <c r="HLM92" s="6"/>
      <c r="HLN92" s="6"/>
      <c r="HLO92" s="6"/>
      <c r="HLP92" s="6"/>
      <c r="HLQ92" s="6"/>
      <c r="HLR92" s="6"/>
      <c r="HLS92" s="6"/>
      <c r="HLT92" s="6"/>
      <c r="HLU92" s="6"/>
      <c r="HLV92" s="6"/>
      <c r="HLW92" s="6"/>
      <c r="HLX92" s="6"/>
      <c r="HLY92" s="6"/>
      <c r="HLZ92" s="6"/>
      <c r="HMA92" s="6"/>
      <c r="HMB92" s="6"/>
      <c r="HMC92" s="6"/>
      <c r="HMD92" s="6"/>
      <c r="HME92" s="6"/>
      <c r="HMF92" s="6"/>
      <c r="HMG92" s="6"/>
      <c r="HMH92" s="6"/>
      <c r="HMI92" s="6"/>
      <c r="HMJ92" s="6"/>
      <c r="HMK92" s="6"/>
      <c r="HML92" s="6"/>
      <c r="HMM92" s="6"/>
      <c r="HMN92" s="6"/>
      <c r="HMO92" s="6"/>
      <c r="HMP92" s="6"/>
      <c r="HMQ92" s="6"/>
      <c r="HMR92" s="6"/>
      <c r="HMS92" s="6"/>
      <c r="HMT92" s="6"/>
      <c r="HMU92" s="6"/>
      <c r="HMV92" s="6"/>
      <c r="HMW92" s="6"/>
      <c r="HMX92" s="6"/>
      <c r="HMY92" s="6"/>
      <c r="HMZ92" s="6"/>
      <c r="HNA92" s="6"/>
      <c r="HNB92" s="6"/>
      <c r="HNC92" s="6"/>
      <c r="HND92" s="6"/>
      <c r="HNE92" s="6"/>
      <c r="HNF92" s="6"/>
      <c r="HNG92" s="6"/>
      <c r="HNH92" s="6"/>
      <c r="HNI92" s="6"/>
      <c r="HNJ92" s="6"/>
      <c r="HNK92" s="6"/>
      <c r="HNL92" s="6"/>
      <c r="HNM92" s="6"/>
      <c r="HNN92" s="6"/>
      <c r="HNO92" s="6"/>
      <c r="HNP92" s="6"/>
      <c r="HNQ92" s="6"/>
      <c r="HNR92" s="6"/>
      <c r="HNS92" s="6"/>
      <c r="HNT92" s="6"/>
      <c r="HNU92" s="6"/>
      <c r="HNV92" s="6"/>
      <c r="HNW92" s="6"/>
      <c r="HNX92" s="6"/>
      <c r="HNY92" s="6"/>
      <c r="HNZ92" s="6"/>
      <c r="HOA92" s="6"/>
      <c r="HOB92" s="6"/>
      <c r="HOC92" s="6"/>
      <c r="HOD92" s="6"/>
      <c r="HOE92" s="6"/>
      <c r="HOF92" s="6"/>
      <c r="HOG92" s="6"/>
      <c r="HOH92" s="6"/>
      <c r="HOI92" s="6"/>
      <c r="HOJ92" s="6"/>
      <c r="HOK92" s="6"/>
      <c r="HOL92" s="6"/>
      <c r="HOM92" s="6"/>
      <c r="HON92" s="6"/>
      <c r="HOO92" s="6"/>
      <c r="HOP92" s="6"/>
      <c r="HOQ92" s="6"/>
      <c r="HOR92" s="6"/>
      <c r="HOS92" s="6"/>
      <c r="HOT92" s="6"/>
      <c r="HOU92" s="6"/>
      <c r="HOV92" s="6"/>
      <c r="HOW92" s="6"/>
      <c r="HOX92" s="6"/>
      <c r="HOY92" s="6"/>
      <c r="HOZ92" s="6"/>
      <c r="HPA92" s="6"/>
      <c r="HPB92" s="6"/>
      <c r="HPC92" s="6"/>
      <c r="HPD92" s="6"/>
      <c r="HPE92" s="6"/>
      <c r="HPF92" s="6"/>
      <c r="HPG92" s="6"/>
      <c r="HPH92" s="6"/>
      <c r="HPI92" s="6"/>
      <c r="HPJ92" s="6"/>
      <c r="HPK92" s="6"/>
      <c r="HPL92" s="6"/>
      <c r="HPM92" s="6"/>
      <c r="HPN92" s="6"/>
      <c r="HPO92" s="6"/>
      <c r="HPP92" s="6"/>
      <c r="HPQ92" s="6"/>
      <c r="HPR92" s="6"/>
      <c r="HPS92" s="6"/>
      <c r="HPT92" s="6"/>
      <c r="HPU92" s="6"/>
      <c r="HPV92" s="6"/>
      <c r="HPW92" s="6"/>
      <c r="HPX92" s="6"/>
      <c r="HPY92" s="6"/>
      <c r="HPZ92" s="6"/>
      <c r="HQA92" s="6"/>
      <c r="HQB92" s="6"/>
      <c r="HQC92" s="6"/>
      <c r="HQD92" s="6"/>
      <c r="HQE92" s="6"/>
      <c r="HQF92" s="6"/>
      <c r="HQG92" s="6"/>
      <c r="HQH92" s="6"/>
      <c r="HQI92" s="6"/>
      <c r="HQJ92" s="6"/>
      <c r="HQK92" s="6"/>
      <c r="HQL92" s="6"/>
      <c r="HQM92" s="6"/>
      <c r="HQN92" s="6"/>
      <c r="HQO92" s="6"/>
      <c r="HQP92" s="6"/>
      <c r="HQQ92" s="6"/>
      <c r="HQR92" s="6"/>
      <c r="HQS92" s="6"/>
      <c r="HQT92" s="6"/>
      <c r="HQU92" s="6"/>
      <c r="HQV92" s="6"/>
      <c r="HQW92" s="6"/>
      <c r="HQX92" s="6"/>
      <c r="HQY92" s="6"/>
      <c r="HQZ92" s="6"/>
      <c r="HRA92" s="6"/>
      <c r="HRB92" s="6"/>
      <c r="HRC92" s="6"/>
      <c r="HRD92" s="6"/>
      <c r="HRE92" s="6"/>
      <c r="HRF92" s="6"/>
      <c r="HRG92" s="6"/>
      <c r="HRH92" s="6"/>
      <c r="HRI92" s="6"/>
      <c r="HRJ92" s="6"/>
      <c r="HRK92" s="6"/>
      <c r="HRL92" s="6"/>
      <c r="HRM92" s="6"/>
      <c r="HRN92" s="6"/>
      <c r="HRO92" s="6"/>
      <c r="HRP92" s="6"/>
      <c r="HRQ92" s="6"/>
      <c r="HRR92" s="6"/>
      <c r="HRS92" s="6"/>
      <c r="HRT92" s="6"/>
      <c r="HRU92" s="6"/>
      <c r="HRV92" s="6"/>
      <c r="HRW92" s="6"/>
      <c r="HRX92" s="6"/>
      <c r="HRY92" s="6"/>
      <c r="HRZ92" s="6"/>
      <c r="HSA92" s="6"/>
      <c r="HSB92" s="6"/>
      <c r="HSC92" s="6"/>
      <c r="HSD92" s="6"/>
      <c r="HSE92" s="6"/>
      <c r="HSF92" s="6"/>
      <c r="HSG92" s="6"/>
      <c r="HSH92" s="6"/>
      <c r="HSI92" s="6"/>
      <c r="HSJ92" s="6"/>
      <c r="HSK92" s="6"/>
      <c r="HSL92" s="6"/>
      <c r="HSM92" s="6"/>
      <c r="HSN92" s="6"/>
      <c r="HSO92" s="6"/>
      <c r="HSP92" s="6"/>
      <c r="HSQ92" s="6"/>
      <c r="HSR92" s="6"/>
      <c r="HSS92" s="6"/>
      <c r="HST92" s="6"/>
      <c r="HSU92" s="6"/>
      <c r="HSV92" s="6"/>
      <c r="HSW92" s="6"/>
      <c r="HSX92" s="6"/>
      <c r="HSY92" s="6"/>
      <c r="HSZ92" s="6"/>
      <c r="HTA92" s="6"/>
      <c r="HTB92" s="6"/>
      <c r="HTC92" s="6"/>
      <c r="HTD92" s="6"/>
      <c r="HTE92" s="6"/>
      <c r="HTF92" s="6"/>
      <c r="HTG92" s="6"/>
      <c r="HTH92" s="6"/>
      <c r="HTI92" s="6"/>
      <c r="HTJ92" s="6"/>
      <c r="HTK92" s="6"/>
      <c r="HTL92" s="6"/>
      <c r="HTM92" s="6"/>
      <c r="HTN92" s="6"/>
      <c r="HTO92" s="6"/>
      <c r="HTP92" s="6"/>
      <c r="HTQ92" s="6"/>
      <c r="HTR92" s="6"/>
      <c r="HTS92" s="6"/>
      <c r="HTT92" s="6"/>
      <c r="HTU92" s="6"/>
      <c r="HTV92" s="6"/>
      <c r="HTW92" s="6"/>
      <c r="HTX92" s="6"/>
      <c r="HTY92" s="6"/>
      <c r="HTZ92" s="6"/>
      <c r="HUA92" s="6"/>
      <c r="HUB92" s="6"/>
      <c r="HUC92" s="6"/>
      <c r="HUD92" s="6"/>
      <c r="HUE92" s="6"/>
      <c r="HUF92" s="6"/>
      <c r="HUG92" s="6"/>
      <c r="HUH92" s="6"/>
      <c r="HUI92" s="6"/>
      <c r="HUJ92" s="6"/>
      <c r="HUK92" s="6"/>
      <c r="HUL92" s="6"/>
      <c r="HUM92" s="6"/>
      <c r="HUN92" s="6"/>
      <c r="HUO92" s="6"/>
      <c r="HUP92" s="6"/>
      <c r="HUQ92" s="6"/>
      <c r="HUR92" s="6"/>
      <c r="HUS92" s="6"/>
      <c r="HUT92" s="6"/>
      <c r="HUU92" s="6"/>
      <c r="HUV92" s="6"/>
      <c r="HUW92" s="6"/>
      <c r="HUX92" s="6"/>
      <c r="HUY92" s="6"/>
      <c r="HUZ92" s="6"/>
      <c r="HVA92" s="6"/>
      <c r="HVB92" s="6"/>
      <c r="HVC92" s="6"/>
      <c r="HVD92" s="6"/>
      <c r="HVE92" s="6"/>
      <c r="HVF92" s="6"/>
      <c r="HVG92" s="6"/>
      <c r="HVH92" s="6"/>
      <c r="HVI92" s="6"/>
      <c r="HVJ92" s="6"/>
      <c r="HVK92" s="6"/>
      <c r="HVL92" s="6"/>
      <c r="HVM92" s="6"/>
      <c r="HVN92" s="6"/>
      <c r="HVO92" s="6"/>
      <c r="HVP92" s="6"/>
      <c r="HVQ92" s="6"/>
      <c r="HVR92" s="6"/>
      <c r="HVS92" s="6"/>
      <c r="HVT92" s="6"/>
      <c r="HVU92" s="6"/>
      <c r="HVV92" s="6"/>
      <c r="HVW92" s="6"/>
      <c r="HVX92" s="6"/>
      <c r="HVY92" s="6"/>
      <c r="HVZ92" s="6"/>
      <c r="HWA92" s="6"/>
      <c r="HWB92" s="6"/>
      <c r="HWC92" s="6"/>
      <c r="HWD92" s="6"/>
      <c r="HWE92" s="6"/>
      <c r="HWF92" s="6"/>
      <c r="HWG92" s="6"/>
      <c r="HWH92" s="6"/>
      <c r="HWI92" s="6"/>
      <c r="HWJ92" s="6"/>
      <c r="HWK92" s="6"/>
      <c r="HWL92" s="6"/>
      <c r="HWM92" s="6"/>
      <c r="HWN92" s="6"/>
      <c r="HWO92" s="6"/>
      <c r="HWP92" s="6"/>
      <c r="HWQ92" s="6"/>
      <c r="HWR92" s="6"/>
      <c r="HWS92" s="6"/>
      <c r="HWT92" s="6"/>
      <c r="HWU92" s="6"/>
      <c r="HWV92" s="6"/>
      <c r="HWW92" s="6"/>
      <c r="HWX92" s="6"/>
      <c r="HWY92" s="6"/>
      <c r="HWZ92" s="6"/>
      <c r="HXA92" s="6"/>
      <c r="HXB92" s="6"/>
      <c r="HXC92" s="6"/>
      <c r="HXD92" s="6"/>
      <c r="HXE92" s="6"/>
      <c r="HXF92" s="6"/>
      <c r="HXG92" s="6"/>
      <c r="HXH92" s="6"/>
      <c r="HXI92" s="6"/>
      <c r="HXJ92" s="6"/>
      <c r="HXK92" s="6"/>
      <c r="HXL92" s="6"/>
      <c r="HXM92" s="6"/>
      <c r="HXN92" s="6"/>
      <c r="HXO92" s="6"/>
      <c r="HXP92" s="6"/>
      <c r="HXQ92" s="6"/>
      <c r="HXR92" s="6"/>
      <c r="HXS92" s="6"/>
      <c r="HXT92" s="6"/>
      <c r="HXU92" s="6"/>
      <c r="HXV92" s="6"/>
      <c r="HXW92" s="6"/>
      <c r="HXX92" s="6"/>
      <c r="HXY92" s="6"/>
      <c r="HXZ92" s="6"/>
      <c r="HYA92" s="6"/>
      <c r="HYB92" s="6"/>
      <c r="HYC92" s="6"/>
      <c r="HYD92" s="6"/>
      <c r="HYE92" s="6"/>
      <c r="HYF92" s="6"/>
      <c r="HYG92" s="6"/>
      <c r="HYH92" s="6"/>
      <c r="HYI92" s="6"/>
      <c r="HYJ92" s="6"/>
      <c r="HYK92" s="6"/>
      <c r="HYL92" s="6"/>
      <c r="HYM92" s="6"/>
      <c r="HYN92" s="6"/>
      <c r="HYO92" s="6"/>
      <c r="HYP92" s="6"/>
      <c r="HYQ92" s="6"/>
      <c r="HYR92" s="6"/>
      <c r="HYS92" s="6"/>
      <c r="HYT92" s="6"/>
      <c r="HYU92" s="6"/>
      <c r="HYV92" s="6"/>
      <c r="HYW92" s="6"/>
      <c r="HYX92" s="6"/>
      <c r="HYY92" s="6"/>
      <c r="HYZ92" s="6"/>
      <c r="HZA92" s="6"/>
      <c r="HZB92" s="6"/>
      <c r="HZC92" s="6"/>
      <c r="HZD92" s="6"/>
      <c r="HZE92" s="6"/>
      <c r="HZF92" s="6"/>
      <c r="HZG92" s="6"/>
      <c r="HZH92" s="6"/>
      <c r="HZI92" s="6"/>
      <c r="HZJ92" s="6"/>
      <c r="HZK92" s="6"/>
      <c r="HZL92" s="6"/>
      <c r="HZM92" s="6"/>
      <c r="HZN92" s="6"/>
      <c r="HZO92" s="6"/>
      <c r="HZP92" s="6"/>
      <c r="HZQ92" s="6"/>
      <c r="HZR92" s="6"/>
      <c r="HZS92" s="6"/>
      <c r="HZT92" s="6"/>
      <c r="HZU92" s="6"/>
      <c r="HZV92" s="6"/>
      <c r="HZW92" s="6"/>
      <c r="HZX92" s="6"/>
      <c r="HZY92" s="6"/>
      <c r="HZZ92" s="6"/>
      <c r="IAA92" s="6"/>
      <c r="IAB92" s="6"/>
      <c r="IAC92" s="6"/>
      <c r="IAD92" s="6"/>
      <c r="IAE92" s="6"/>
      <c r="IAF92" s="6"/>
      <c r="IAG92" s="6"/>
      <c r="IAH92" s="6"/>
      <c r="IAI92" s="6"/>
      <c r="IAJ92" s="6"/>
      <c r="IAK92" s="6"/>
      <c r="IAL92" s="6"/>
      <c r="IAM92" s="6"/>
      <c r="IAN92" s="6"/>
      <c r="IAO92" s="6"/>
      <c r="IAP92" s="6"/>
      <c r="IAQ92" s="6"/>
      <c r="IAR92" s="6"/>
      <c r="IAS92" s="6"/>
      <c r="IAT92" s="6"/>
      <c r="IAU92" s="6"/>
      <c r="IAV92" s="6"/>
      <c r="IAW92" s="6"/>
      <c r="IAX92" s="6"/>
      <c r="IAY92" s="6"/>
      <c r="IAZ92" s="6"/>
      <c r="IBA92" s="6"/>
      <c r="IBB92" s="6"/>
      <c r="IBC92" s="6"/>
      <c r="IBD92" s="6"/>
      <c r="IBE92" s="6"/>
      <c r="IBF92" s="6"/>
      <c r="IBG92" s="6"/>
      <c r="IBH92" s="6"/>
      <c r="IBI92" s="6"/>
      <c r="IBJ92" s="6"/>
      <c r="IBK92" s="6"/>
      <c r="IBL92" s="6"/>
      <c r="IBM92" s="6"/>
      <c r="IBN92" s="6"/>
      <c r="IBO92" s="6"/>
      <c r="IBP92" s="6"/>
      <c r="IBQ92" s="6"/>
      <c r="IBR92" s="6"/>
      <c r="IBS92" s="6"/>
      <c r="IBT92" s="6"/>
      <c r="IBU92" s="6"/>
      <c r="IBV92" s="6"/>
      <c r="IBW92" s="6"/>
      <c r="IBX92" s="6"/>
      <c r="IBY92" s="6"/>
      <c r="IBZ92" s="6"/>
      <c r="ICA92" s="6"/>
      <c r="ICB92" s="6"/>
      <c r="ICC92" s="6"/>
      <c r="ICD92" s="6"/>
      <c r="ICE92" s="6"/>
      <c r="ICF92" s="6"/>
      <c r="ICG92" s="6"/>
      <c r="ICH92" s="6"/>
      <c r="ICI92" s="6"/>
      <c r="ICJ92" s="6"/>
      <c r="ICK92" s="6"/>
      <c r="ICL92" s="6"/>
      <c r="ICM92" s="6"/>
      <c r="ICN92" s="6"/>
      <c r="ICO92" s="6"/>
      <c r="ICP92" s="6"/>
      <c r="ICQ92" s="6"/>
      <c r="ICR92" s="6"/>
      <c r="ICS92" s="6"/>
      <c r="ICT92" s="6"/>
      <c r="ICU92" s="6"/>
      <c r="ICV92" s="6"/>
      <c r="ICW92" s="6"/>
      <c r="ICX92" s="6"/>
      <c r="ICY92" s="6"/>
      <c r="ICZ92" s="6"/>
      <c r="IDA92" s="6"/>
      <c r="IDB92" s="6"/>
      <c r="IDC92" s="6"/>
      <c r="IDD92" s="6"/>
      <c r="IDE92" s="6"/>
      <c r="IDF92" s="6"/>
      <c r="IDG92" s="6"/>
      <c r="IDH92" s="6"/>
      <c r="IDI92" s="6"/>
      <c r="IDJ92" s="6"/>
      <c r="IDK92" s="6"/>
      <c r="IDL92" s="6"/>
      <c r="IDM92" s="6"/>
      <c r="IDN92" s="6"/>
      <c r="IDO92" s="6"/>
      <c r="IDP92" s="6"/>
      <c r="IDQ92" s="6"/>
      <c r="IDR92" s="6"/>
      <c r="IDS92" s="6"/>
      <c r="IDT92" s="6"/>
      <c r="IDU92" s="6"/>
      <c r="IDV92" s="6"/>
      <c r="IDW92" s="6"/>
      <c r="IDX92" s="6"/>
      <c r="IDY92" s="6"/>
      <c r="IDZ92" s="6"/>
      <c r="IEA92" s="6"/>
      <c r="IEB92" s="6"/>
      <c r="IEC92" s="6"/>
      <c r="IED92" s="6"/>
      <c r="IEE92" s="6"/>
      <c r="IEF92" s="6"/>
      <c r="IEG92" s="6"/>
      <c r="IEH92" s="6"/>
      <c r="IEI92" s="6"/>
      <c r="IEJ92" s="6"/>
      <c r="IEK92" s="6"/>
      <c r="IEL92" s="6"/>
      <c r="IEM92" s="6"/>
      <c r="IEN92" s="6"/>
      <c r="IEO92" s="6"/>
      <c r="IEP92" s="6"/>
      <c r="IEQ92" s="6"/>
      <c r="IER92" s="6"/>
      <c r="IES92" s="6"/>
      <c r="IET92" s="6"/>
      <c r="IEU92" s="6"/>
      <c r="IEV92" s="6"/>
      <c r="IEW92" s="6"/>
      <c r="IEX92" s="6"/>
      <c r="IEY92" s="6"/>
      <c r="IEZ92" s="6"/>
      <c r="IFA92" s="6"/>
      <c r="IFB92" s="6"/>
      <c r="IFC92" s="6"/>
      <c r="IFD92" s="6"/>
      <c r="IFE92" s="6"/>
      <c r="IFF92" s="6"/>
      <c r="IFG92" s="6"/>
      <c r="IFH92" s="6"/>
      <c r="IFI92" s="6"/>
      <c r="IFJ92" s="6"/>
      <c r="IFK92" s="6"/>
      <c r="IFL92" s="6"/>
      <c r="IFM92" s="6"/>
      <c r="IFN92" s="6"/>
      <c r="IFO92" s="6"/>
      <c r="IFP92" s="6"/>
      <c r="IFQ92" s="6"/>
      <c r="IFR92" s="6"/>
      <c r="IFS92" s="6"/>
      <c r="IFT92" s="6"/>
      <c r="IFU92" s="6"/>
      <c r="IFV92" s="6"/>
      <c r="IFW92" s="6"/>
      <c r="IFX92" s="6"/>
      <c r="IFY92" s="6"/>
      <c r="IFZ92" s="6"/>
      <c r="IGA92" s="6"/>
      <c r="IGB92" s="6"/>
      <c r="IGC92" s="6"/>
      <c r="IGD92" s="6"/>
      <c r="IGE92" s="6"/>
      <c r="IGF92" s="6"/>
      <c r="IGG92" s="6"/>
      <c r="IGH92" s="6"/>
      <c r="IGI92" s="6"/>
      <c r="IGJ92" s="6"/>
      <c r="IGK92" s="6"/>
      <c r="IGL92" s="6"/>
      <c r="IGM92" s="6"/>
      <c r="IGN92" s="6"/>
      <c r="IGO92" s="6"/>
      <c r="IGP92" s="6"/>
      <c r="IGQ92" s="6"/>
      <c r="IGR92" s="6"/>
      <c r="IGS92" s="6"/>
      <c r="IGT92" s="6"/>
      <c r="IGU92" s="6"/>
      <c r="IGV92" s="6"/>
      <c r="IGW92" s="6"/>
      <c r="IGX92" s="6"/>
      <c r="IGY92" s="6"/>
      <c r="IGZ92" s="6"/>
      <c r="IHA92" s="6"/>
      <c r="IHB92" s="6"/>
      <c r="IHC92" s="6"/>
      <c r="IHD92" s="6"/>
      <c r="IHE92" s="6"/>
      <c r="IHF92" s="6"/>
      <c r="IHG92" s="6"/>
      <c r="IHH92" s="6"/>
      <c r="IHI92" s="6"/>
      <c r="IHJ92" s="6"/>
      <c r="IHK92" s="6"/>
      <c r="IHL92" s="6"/>
      <c r="IHM92" s="6"/>
      <c r="IHN92" s="6"/>
      <c r="IHO92" s="6"/>
      <c r="IHP92" s="6"/>
      <c r="IHQ92" s="6"/>
      <c r="IHR92" s="6"/>
      <c r="IHS92" s="6"/>
      <c r="IHT92" s="6"/>
      <c r="IHU92" s="6"/>
      <c r="IHV92" s="6"/>
      <c r="IHW92" s="6"/>
      <c r="IHX92" s="6"/>
      <c r="IHY92" s="6"/>
      <c r="IHZ92" s="6"/>
      <c r="IIA92" s="6"/>
      <c r="IIB92" s="6"/>
      <c r="IIC92" s="6"/>
      <c r="IID92" s="6"/>
      <c r="IIE92" s="6"/>
      <c r="IIF92" s="6"/>
      <c r="IIG92" s="6"/>
      <c r="IIH92" s="6"/>
      <c r="III92" s="6"/>
      <c r="IIJ92" s="6"/>
      <c r="IIK92" s="6"/>
      <c r="IIL92" s="6"/>
      <c r="IIM92" s="6"/>
      <c r="IIN92" s="6"/>
      <c r="IIO92" s="6"/>
      <c r="IIP92" s="6"/>
      <c r="IIQ92" s="6"/>
      <c r="IIR92" s="6"/>
      <c r="IIS92" s="6"/>
      <c r="IIT92" s="6"/>
      <c r="IIU92" s="6"/>
      <c r="IIV92" s="6"/>
      <c r="IIW92" s="6"/>
      <c r="IIX92" s="6"/>
      <c r="IIY92" s="6"/>
      <c r="IIZ92" s="6"/>
      <c r="IJA92" s="6"/>
      <c r="IJB92" s="6"/>
      <c r="IJC92" s="6"/>
      <c r="IJD92" s="6"/>
      <c r="IJE92" s="6"/>
      <c r="IJF92" s="6"/>
      <c r="IJG92" s="6"/>
      <c r="IJH92" s="6"/>
      <c r="IJI92" s="6"/>
      <c r="IJJ92" s="6"/>
      <c r="IJK92" s="6"/>
      <c r="IJL92" s="6"/>
      <c r="IJM92" s="6"/>
      <c r="IJN92" s="6"/>
      <c r="IJO92" s="6"/>
      <c r="IJP92" s="6"/>
      <c r="IJQ92" s="6"/>
      <c r="IJR92" s="6"/>
      <c r="IJS92" s="6"/>
      <c r="IJT92" s="6"/>
      <c r="IJU92" s="6"/>
      <c r="IJV92" s="6"/>
      <c r="IJW92" s="6"/>
      <c r="IJX92" s="6"/>
      <c r="IJY92" s="6"/>
      <c r="IJZ92" s="6"/>
      <c r="IKA92" s="6"/>
      <c r="IKB92" s="6"/>
      <c r="IKC92" s="6"/>
      <c r="IKD92" s="6"/>
      <c r="IKE92" s="6"/>
      <c r="IKF92" s="6"/>
      <c r="IKG92" s="6"/>
      <c r="IKH92" s="6"/>
      <c r="IKI92" s="6"/>
      <c r="IKJ92" s="6"/>
      <c r="IKK92" s="6"/>
      <c r="IKL92" s="6"/>
      <c r="IKM92" s="6"/>
      <c r="IKN92" s="6"/>
      <c r="IKO92" s="6"/>
      <c r="IKP92" s="6"/>
      <c r="IKQ92" s="6"/>
      <c r="IKR92" s="6"/>
      <c r="IKS92" s="6"/>
      <c r="IKT92" s="6"/>
      <c r="IKU92" s="6"/>
      <c r="IKV92" s="6"/>
      <c r="IKW92" s="6"/>
      <c r="IKX92" s="6"/>
      <c r="IKY92" s="6"/>
      <c r="IKZ92" s="6"/>
      <c r="ILA92" s="6"/>
      <c r="ILB92" s="6"/>
      <c r="ILC92" s="6"/>
      <c r="ILD92" s="6"/>
      <c r="ILE92" s="6"/>
      <c r="ILF92" s="6"/>
      <c r="ILG92" s="6"/>
      <c r="ILH92" s="6"/>
      <c r="ILI92" s="6"/>
      <c r="ILJ92" s="6"/>
      <c r="ILK92" s="6"/>
      <c r="ILL92" s="6"/>
      <c r="ILM92" s="6"/>
      <c r="ILN92" s="6"/>
      <c r="ILO92" s="6"/>
      <c r="ILP92" s="6"/>
      <c r="ILQ92" s="6"/>
      <c r="ILR92" s="6"/>
      <c r="ILS92" s="6"/>
      <c r="ILT92" s="6"/>
      <c r="ILU92" s="6"/>
      <c r="ILV92" s="6"/>
      <c r="ILW92" s="6"/>
      <c r="ILX92" s="6"/>
      <c r="ILY92" s="6"/>
      <c r="ILZ92" s="6"/>
      <c r="IMA92" s="6"/>
      <c r="IMB92" s="6"/>
      <c r="IMC92" s="6"/>
      <c r="IMD92" s="6"/>
      <c r="IME92" s="6"/>
      <c r="IMF92" s="6"/>
      <c r="IMG92" s="6"/>
      <c r="IMH92" s="6"/>
      <c r="IMI92" s="6"/>
      <c r="IMJ92" s="6"/>
      <c r="IMK92" s="6"/>
      <c r="IML92" s="6"/>
      <c r="IMM92" s="6"/>
      <c r="IMN92" s="6"/>
      <c r="IMO92" s="6"/>
      <c r="IMP92" s="6"/>
      <c r="IMQ92" s="6"/>
      <c r="IMR92" s="6"/>
      <c r="IMS92" s="6"/>
      <c r="IMT92" s="6"/>
      <c r="IMU92" s="6"/>
      <c r="IMV92" s="6"/>
      <c r="IMW92" s="6"/>
      <c r="IMX92" s="6"/>
      <c r="IMY92" s="6"/>
      <c r="IMZ92" s="6"/>
      <c r="INA92" s="6"/>
      <c r="INB92" s="6"/>
      <c r="INC92" s="6"/>
      <c r="IND92" s="6"/>
      <c r="INE92" s="6"/>
      <c r="INF92" s="6"/>
      <c r="ING92" s="6"/>
      <c r="INH92" s="6"/>
      <c r="INI92" s="6"/>
      <c r="INJ92" s="6"/>
      <c r="INK92" s="6"/>
      <c r="INL92" s="6"/>
      <c r="INM92" s="6"/>
      <c r="INN92" s="6"/>
      <c r="INO92" s="6"/>
      <c r="INP92" s="6"/>
      <c r="INQ92" s="6"/>
      <c r="INR92" s="6"/>
      <c r="INS92" s="6"/>
      <c r="INT92" s="6"/>
      <c r="INU92" s="6"/>
      <c r="INV92" s="6"/>
      <c r="INW92" s="6"/>
      <c r="INX92" s="6"/>
      <c r="INY92" s="6"/>
      <c r="INZ92" s="6"/>
      <c r="IOA92" s="6"/>
      <c r="IOB92" s="6"/>
      <c r="IOC92" s="6"/>
      <c r="IOD92" s="6"/>
      <c r="IOE92" s="6"/>
      <c r="IOF92" s="6"/>
      <c r="IOG92" s="6"/>
      <c r="IOH92" s="6"/>
      <c r="IOI92" s="6"/>
      <c r="IOJ92" s="6"/>
      <c r="IOK92" s="6"/>
      <c r="IOL92" s="6"/>
      <c r="IOM92" s="6"/>
      <c r="ION92" s="6"/>
      <c r="IOO92" s="6"/>
      <c r="IOP92" s="6"/>
      <c r="IOQ92" s="6"/>
      <c r="IOR92" s="6"/>
      <c r="IOS92" s="6"/>
      <c r="IOT92" s="6"/>
      <c r="IOU92" s="6"/>
      <c r="IOV92" s="6"/>
      <c r="IOW92" s="6"/>
      <c r="IOX92" s="6"/>
      <c r="IOY92" s="6"/>
      <c r="IOZ92" s="6"/>
      <c r="IPA92" s="6"/>
      <c r="IPB92" s="6"/>
      <c r="IPC92" s="6"/>
      <c r="IPD92" s="6"/>
      <c r="IPE92" s="6"/>
      <c r="IPF92" s="6"/>
      <c r="IPG92" s="6"/>
      <c r="IPH92" s="6"/>
      <c r="IPI92" s="6"/>
      <c r="IPJ92" s="6"/>
      <c r="IPK92" s="6"/>
      <c r="IPL92" s="6"/>
      <c r="IPM92" s="6"/>
      <c r="IPN92" s="6"/>
      <c r="IPO92" s="6"/>
      <c r="IPP92" s="6"/>
      <c r="IPQ92" s="6"/>
      <c r="IPR92" s="6"/>
      <c r="IPS92" s="6"/>
      <c r="IPT92" s="6"/>
      <c r="IPU92" s="6"/>
      <c r="IPV92" s="6"/>
      <c r="IPW92" s="6"/>
      <c r="IPX92" s="6"/>
      <c r="IPY92" s="6"/>
      <c r="IPZ92" s="6"/>
      <c r="IQA92" s="6"/>
      <c r="IQB92" s="6"/>
      <c r="IQC92" s="6"/>
      <c r="IQD92" s="6"/>
      <c r="IQE92" s="6"/>
      <c r="IQF92" s="6"/>
      <c r="IQG92" s="6"/>
      <c r="IQH92" s="6"/>
      <c r="IQI92" s="6"/>
      <c r="IQJ92" s="6"/>
      <c r="IQK92" s="6"/>
      <c r="IQL92" s="6"/>
      <c r="IQM92" s="6"/>
      <c r="IQN92" s="6"/>
      <c r="IQO92" s="6"/>
      <c r="IQP92" s="6"/>
      <c r="IQQ92" s="6"/>
      <c r="IQR92" s="6"/>
      <c r="IQS92" s="6"/>
      <c r="IQT92" s="6"/>
      <c r="IQU92" s="6"/>
      <c r="IQV92" s="6"/>
      <c r="IQW92" s="6"/>
      <c r="IQX92" s="6"/>
      <c r="IQY92" s="6"/>
      <c r="IQZ92" s="6"/>
      <c r="IRA92" s="6"/>
      <c r="IRB92" s="6"/>
      <c r="IRC92" s="6"/>
      <c r="IRD92" s="6"/>
      <c r="IRE92" s="6"/>
      <c r="IRF92" s="6"/>
      <c r="IRG92" s="6"/>
      <c r="IRH92" s="6"/>
      <c r="IRI92" s="6"/>
      <c r="IRJ92" s="6"/>
      <c r="IRK92" s="6"/>
      <c r="IRL92" s="6"/>
      <c r="IRM92" s="6"/>
      <c r="IRN92" s="6"/>
      <c r="IRO92" s="6"/>
      <c r="IRP92" s="6"/>
      <c r="IRQ92" s="6"/>
      <c r="IRR92" s="6"/>
      <c r="IRS92" s="6"/>
      <c r="IRT92" s="6"/>
      <c r="IRU92" s="6"/>
      <c r="IRV92" s="6"/>
      <c r="IRW92" s="6"/>
      <c r="IRX92" s="6"/>
      <c r="IRY92" s="6"/>
      <c r="IRZ92" s="6"/>
      <c r="ISA92" s="6"/>
      <c r="ISB92" s="6"/>
      <c r="ISC92" s="6"/>
      <c r="ISD92" s="6"/>
      <c r="ISE92" s="6"/>
      <c r="ISF92" s="6"/>
      <c r="ISG92" s="6"/>
      <c r="ISH92" s="6"/>
      <c r="ISI92" s="6"/>
      <c r="ISJ92" s="6"/>
      <c r="ISK92" s="6"/>
      <c r="ISL92" s="6"/>
      <c r="ISM92" s="6"/>
      <c r="ISN92" s="6"/>
      <c r="ISO92" s="6"/>
      <c r="ISP92" s="6"/>
      <c r="ISQ92" s="6"/>
      <c r="ISR92" s="6"/>
      <c r="ISS92" s="6"/>
      <c r="IST92" s="6"/>
      <c r="ISU92" s="6"/>
      <c r="ISV92" s="6"/>
      <c r="ISW92" s="6"/>
      <c r="ISX92" s="6"/>
      <c r="ISY92" s="6"/>
      <c r="ISZ92" s="6"/>
      <c r="ITA92" s="6"/>
      <c r="ITB92" s="6"/>
      <c r="ITC92" s="6"/>
      <c r="ITD92" s="6"/>
      <c r="ITE92" s="6"/>
      <c r="ITF92" s="6"/>
      <c r="ITG92" s="6"/>
      <c r="ITH92" s="6"/>
      <c r="ITI92" s="6"/>
      <c r="ITJ92" s="6"/>
      <c r="ITK92" s="6"/>
      <c r="ITL92" s="6"/>
      <c r="ITM92" s="6"/>
      <c r="ITN92" s="6"/>
      <c r="ITO92" s="6"/>
      <c r="ITP92" s="6"/>
      <c r="ITQ92" s="6"/>
      <c r="ITR92" s="6"/>
      <c r="ITS92" s="6"/>
      <c r="ITT92" s="6"/>
      <c r="ITU92" s="6"/>
      <c r="ITV92" s="6"/>
      <c r="ITW92" s="6"/>
      <c r="ITX92" s="6"/>
      <c r="ITY92" s="6"/>
      <c r="ITZ92" s="6"/>
      <c r="IUA92" s="6"/>
      <c r="IUB92" s="6"/>
      <c r="IUC92" s="6"/>
      <c r="IUD92" s="6"/>
      <c r="IUE92" s="6"/>
      <c r="IUF92" s="6"/>
      <c r="IUG92" s="6"/>
      <c r="IUH92" s="6"/>
      <c r="IUI92" s="6"/>
      <c r="IUJ92" s="6"/>
      <c r="IUK92" s="6"/>
      <c r="IUL92" s="6"/>
      <c r="IUM92" s="6"/>
      <c r="IUN92" s="6"/>
      <c r="IUO92" s="6"/>
      <c r="IUP92" s="6"/>
      <c r="IUQ92" s="6"/>
      <c r="IUR92" s="6"/>
      <c r="IUS92" s="6"/>
      <c r="IUT92" s="6"/>
      <c r="IUU92" s="6"/>
      <c r="IUV92" s="6"/>
      <c r="IUW92" s="6"/>
      <c r="IUX92" s="6"/>
      <c r="IUY92" s="6"/>
      <c r="IUZ92" s="6"/>
      <c r="IVA92" s="6"/>
      <c r="IVB92" s="6"/>
      <c r="IVC92" s="6"/>
      <c r="IVD92" s="6"/>
      <c r="IVE92" s="6"/>
      <c r="IVF92" s="6"/>
      <c r="IVG92" s="6"/>
      <c r="IVH92" s="6"/>
      <c r="IVI92" s="6"/>
      <c r="IVJ92" s="6"/>
      <c r="IVK92" s="6"/>
      <c r="IVL92" s="6"/>
      <c r="IVM92" s="6"/>
      <c r="IVN92" s="6"/>
      <c r="IVO92" s="6"/>
      <c r="IVP92" s="6"/>
      <c r="IVQ92" s="6"/>
      <c r="IVR92" s="6"/>
      <c r="IVS92" s="6"/>
      <c r="IVT92" s="6"/>
      <c r="IVU92" s="6"/>
      <c r="IVV92" s="6"/>
      <c r="IVW92" s="6"/>
      <c r="IVX92" s="6"/>
      <c r="IVY92" s="6"/>
      <c r="IVZ92" s="6"/>
      <c r="IWA92" s="6"/>
      <c r="IWB92" s="6"/>
      <c r="IWC92" s="6"/>
      <c r="IWD92" s="6"/>
      <c r="IWE92" s="6"/>
      <c r="IWF92" s="6"/>
      <c r="IWG92" s="6"/>
      <c r="IWH92" s="6"/>
      <c r="IWI92" s="6"/>
      <c r="IWJ92" s="6"/>
      <c r="IWK92" s="6"/>
      <c r="IWL92" s="6"/>
      <c r="IWM92" s="6"/>
      <c r="IWN92" s="6"/>
      <c r="IWO92" s="6"/>
      <c r="IWP92" s="6"/>
      <c r="IWQ92" s="6"/>
      <c r="IWR92" s="6"/>
      <c r="IWS92" s="6"/>
      <c r="IWT92" s="6"/>
      <c r="IWU92" s="6"/>
      <c r="IWV92" s="6"/>
      <c r="IWW92" s="6"/>
      <c r="IWX92" s="6"/>
      <c r="IWY92" s="6"/>
      <c r="IWZ92" s="6"/>
      <c r="IXA92" s="6"/>
      <c r="IXB92" s="6"/>
      <c r="IXC92" s="6"/>
      <c r="IXD92" s="6"/>
      <c r="IXE92" s="6"/>
      <c r="IXF92" s="6"/>
      <c r="IXG92" s="6"/>
      <c r="IXH92" s="6"/>
      <c r="IXI92" s="6"/>
      <c r="IXJ92" s="6"/>
      <c r="IXK92" s="6"/>
      <c r="IXL92" s="6"/>
      <c r="IXM92" s="6"/>
      <c r="IXN92" s="6"/>
      <c r="IXO92" s="6"/>
      <c r="IXP92" s="6"/>
      <c r="IXQ92" s="6"/>
      <c r="IXR92" s="6"/>
      <c r="IXS92" s="6"/>
      <c r="IXT92" s="6"/>
      <c r="IXU92" s="6"/>
      <c r="IXV92" s="6"/>
      <c r="IXW92" s="6"/>
      <c r="IXX92" s="6"/>
      <c r="IXY92" s="6"/>
      <c r="IXZ92" s="6"/>
      <c r="IYA92" s="6"/>
      <c r="IYB92" s="6"/>
      <c r="IYC92" s="6"/>
      <c r="IYD92" s="6"/>
      <c r="IYE92" s="6"/>
      <c r="IYF92" s="6"/>
      <c r="IYG92" s="6"/>
      <c r="IYH92" s="6"/>
      <c r="IYI92" s="6"/>
      <c r="IYJ92" s="6"/>
      <c r="IYK92" s="6"/>
      <c r="IYL92" s="6"/>
      <c r="IYM92" s="6"/>
      <c r="IYN92" s="6"/>
      <c r="IYO92" s="6"/>
      <c r="IYP92" s="6"/>
      <c r="IYQ92" s="6"/>
      <c r="IYR92" s="6"/>
      <c r="IYS92" s="6"/>
      <c r="IYT92" s="6"/>
      <c r="IYU92" s="6"/>
      <c r="IYV92" s="6"/>
      <c r="IYW92" s="6"/>
      <c r="IYX92" s="6"/>
      <c r="IYY92" s="6"/>
      <c r="IYZ92" s="6"/>
      <c r="IZA92" s="6"/>
      <c r="IZB92" s="6"/>
      <c r="IZC92" s="6"/>
      <c r="IZD92" s="6"/>
      <c r="IZE92" s="6"/>
      <c r="IZF92" s="6"/>
      <c r="IZG92" s="6"/>
      <c r="IZH92" s="6"/>
      <c r="IZI92" s="6"/>
      <c r="IZJ92" s="6"/>
      <c r="IZK92" s="6"/>
      <c r="IZL92" s="6"/>
      <c r="IZM92" s="6"/>
      <c r="IZN92" s="6"/>
      <c r="IZO92" s="6"/>
      <c r="IZP92" s="6"/>
      <c r="IZQ92" s="6"/>
      <c r="IZR92" s="6"/>
      <c r="IZS92" s="6"/>
      <c r="IZT92" s="6"/>
      <c r="IZU92" s="6"/>
      <c r="IZV92" s="6"/>
      <c r="IZW92" s="6"/>
      <c r="IZX92" s="6"/>
      <c r="IZY92" s="6"/>
      <c r="IZZ92" s="6"/>
      <c r="JAA92" s="6"/>
      <c r="JAB92" s="6"/>
      <c r="JAC92" s="6"/>
      <c r="JAD92" s="6"/>
      <c r="JAE92" s="6"/>
      <c r="JAF92" s="6"/>
      <c r="JAG92" s="6"/>
      <c r="JAH92" s="6"/>
      <c r="JAI92" s="6"/>
      <c r="JAJ92" s="6"/>
      <c r="JAK92" s="6"/>
      <c r="JAL92" s="6"/>
      <c r="JAM92" s="6"/>
      <c r="JAN92" s="6"/>
      <c r="JAO92" s="6"/>
      <c r="JAP92" s="6"/>
      <c r="JAQ92" s="6"/>
      <c r="JAR92" s="6"/>
      <c r="JAS92" s="6"/>
      <c r="JAT92" s="6"/>
      <c r="JAU92" s="6"/>
      <c r="JAV92" s="6"/>
      <c r="JAW92" s="6"/>
      <c r="JAX92" s="6"/>
      <c r="JAY92" s="6"/>
      <c r="JAZ92" s="6"/>
      <c r="JBA92" s="6"/>
      <c r="JBB92" s="6"/>
      <c r="JBC92" s="6"/>
      <c r="JBD92" s="6"/>
      <c r="JBE92" s="6"/>
      <c r="JBF92" s="6"/>
      <c r="JBG92" s="6"/>
      <c r="JBH92" s="6"/>
      <c r="JBI92" s="6"/>
      <c r="JBJ92" s="6"/>
      <c r="JBK92" s="6"/>
      <c r="JBL92" s="6"/>
      <c r="JBM92" s="6"/>
      <c r="JBN92" s="6"/>
      <c r="JBO92" s="6"/>
      <c r="JBP92" s="6"/>
      <c r="JBQ92" s="6"/>
      <c r="JBR92" s="6"/>
      <c r="JBS92" s="6"/>
      <c r="JBT92" s="6"/>
      <c r="JBU92" s="6"/>
      <c r="JBV92" s="6"/>
      <c r="JBW92" s="6"/>
      <c r="JBX92" s="6"/>
      <c r="JBY92" s="6"/>
      <c r="JBZ92" s="6"/>
      <c r="JCA92" s="6"/>
      <c r="JCB92" s="6"/>
      <c r="JCC92" s="6"/>
      <c r="JCD92" s="6"/>
      <c r="JCE92" s="6"/>
      <c r="JCF92" s="6"/>
      <c r="JCG92" s="6"/>
      <c r="JCH92" s="6"/>
      <c r="JCI92" s="6"/>
      <c r="JCJ92" s="6"/>
      <c r="JCK92" s="6"/>
      <c r="JCL92" s="6"/>
      <c r="JCM92" s="6"/>
      <c r="JCN92" s="6"/>
      <c r="JCO92" s="6"/>
      <c r="JCP92" s="6"/>
      <c r="JCQ92" s="6"/>
      <c r="JCR92" s="6"/>
      <c r="JCS92" s="6"/>
      <c r="JCT92" s="6"/>
      <c r="JCU92" s="6"/>
      <c r="JCV92" s="6"/>
      <c r="JCW92" s="6"/>
      <c r="JCX92" s="6"/>
      <c r="JCY92" s="6"/>
      <c r="JCZ92" s="6"/>
      <c r="JDA92" s="6"/>
      <c r="JDB92" s="6"/>
      <c r="JDC92" s="6"/>
      <c r="JDD92" s="6"/>
      <c r="JDE92" s="6"/>
      <c r="JDF92" s="6"/>
      <c r="JDG92" s="6"/>
      <c r="JDH92" s="6"/>
      <c r="JDI92" s="6"/>
      <c r="JDJ92" s="6"/>
      <c r="JDK92" s="6"/>
      <c r="JDL92" s="6"/>
      <c r="JDM92" s="6"/>
      <c r="JDN92" s="6"/>
      <c r="JDO92" s="6"/>
      <c r="JDP92" s="6"/>
      <c r="JDQ92" s="6"/>
      <c r="JDR92" s="6"/>
      <c r="JDS92" s="6"/>
      <c r="JDT92" s="6"/>
      <c r="JDU92" s="6"/>
      <c r="JDV92" s="6"/>
      <c r="JDW92" s="6"/>
      <c r="JDX92" s="6"/>
      <c r="JDY92" s="6"/>
      <c r="JDZ92" s="6"/>
      <c r="JEA92" s="6"/>
      <c r="JEB92" s="6"/>
      <c r="JEC92" s="6"/>
      <c r="JED92" s="6"/>
      <c r="JEE92" s="6"/>
      <c r="JEF92" s="6"/>
      <c r="JEG92" s="6"/>
      <c r="JEH92" s="6"/>
      <c r="JEI92" s="6"/>
      <c r="JEJ92" s="6"/>
      <c r="JEK92" s="6"/>
      <c r="JEL92" s="6"/>
      <c r="JEM92" s="6"/>
      <c r="JEN92" s="6"/>
      <c r="JEO92" s="6"/>
      <c r="JEP92" s="6"/>
      <c r="JEQ92" s="6"/>
      <c r="JER92" s="6"/>
      <c r="JES92" s="6"/>
      <c r="JET92" s="6"/>
      <c r="JEU92" s="6"/>
      <c r="JEV92" s="6"/>
      <c r="JEW92" s="6"/>
      <c r="JEX92" s="6"/>
      <c r="JEY92" s="6"/>
      <c r="JEZ92" s="6"/>
      <c r="JFA92" s="6"/>
      <c r="JFB92" s="6"/>
      <c r="JFC92" s="6"/>
      <c r="JFD92" s="6"/>
      <c r="JFE92" s="6"/>
      <c r="JFF92" s="6"/>
      <c r="JFG92" s="6"/>
      <c r="JFH92" s="6"/>
      <c r="JFI92" s="6"/>
      <c r="JFJ92" s="6"/>
      <c r="JFK92" s="6"/>
      <c r="JFL92" s="6"/>
      <c r="JFM92" s="6"/>
      <c r="JFN92" s="6"/>
      <c r="JFO92" s="6"/>
      <c r="JFP92" s="6"/>
      <c r="JFQ92" s="6"/>
      <c r="JFR92" s="6"/>
      <c r="JFS92" s="6"/>
      <c r="JFT92" s="6"/>
      <c r="JFU92" s="6"/>
      <c r="JFV92" s="6"/>
      <c r="JFW92" s="6"/>
      <c r="JFX92" s="6"/>
      <c r="JFY92" s="6"/>
      <c r="JFZ92" s="6"/>
      <c r="JGA92" s="6"/>
      <c r="JGB92" s="6"/>
      <c r="JGC92" s="6"/>
      <c r="JGD92" s="6"/>
      <c r="JGE92" s="6"/>
      <c r="JGF92" s="6"/>
      <c r="JGG92" s="6"/>
      <c r="JGH92" s="6"/>
      <c r="JGI92" s="6"/>
      <c r="JGJ92" s="6"/>
      <c r="JGK92" s="6"/>
      <c r="JGL92" s="6"/>
      <c r="JGM92" s="6"/>
      <c r="JGN92" s="6"/>
      <c r="JGO92" s="6"/>
      <c r="JGP92" s="6"/>
      <c r="JGQ92" s="6"/>
      <c r="JGR92" s="6"/>
      <c r="JGS92" s="6"/>
      <c r="JGT92" s="6"/>
      <c r="JGU92" s="6"/>
      <c r="JGV92" s="6"/>
      <c r="JGW92" s="6"/>
      <c r="JGX92" s="6"/>
      <c r="JGY92" s="6"/>
      <c r="JGZ92" s="6"/>
      <c r="JHA92" s="6"/>
      <c r="JHB92" s="6"/>
      <c r="JHC92" s="6"/>
      <c r="JHD92" s="6"/>
      <c r="JHE92" s="6"/>
      <c r="JHF92" s="6"/>
      <c r="JHG92" s="6"/>
      <c r="JHH92" s="6"/>
      <c r="JHI92" s="6"/>
      <c r="JHJ92" s="6"/>
      <c r="JHK92" s="6"/>
      <c r="JHL92" s="6"/>
      <c r="JHM92" s="6"/>
      <c r="JHN92" s="6"/>
      <c r="JHO92" s="6"/>
      <c r="JHP92" s="6"/>
      <c r="JHQ92" s="6"/>
      <c r="JHR92" s="6"/>
      <c r="JHS92" s="6"/>
      <c r="JHT92" s="6"/>
      <c r="JHU92" s="6"/>
      <c r="JHV92" s="6"/>
      <c r="JHW92" s="6"/>
      <c r="JHX92" s="6"/>
      <c r="JHY92" s="6"/>
      <c r="JHZ92" s="6"/>
      <c r="JIA92" s="6"/>
      <c r="JIB92" s="6"/>
      <c r="JIC92" s="6"/>
      <c r="JID92" s="6"/>
      <c r="JIE92" s="6"/>
      <c r="JIF92" s="6"/>
      <c r="JIG92" s="6"/>
      <c r="JIH92" s="6"/>
      <c r="JII92" s="6"/>
      <c r="JIJ92" s="6"/>
      <c r="JIK92" s="6"/>
      <c r="JIL92" s="6"/>
      <c r="JIM92" s="6"/>
      <c r="JIN92" s="6"/>
      <c r="JIO92" s="6"/>
      <c r="JIP92" s="6"/>
      <c r="JIQ92" s="6"/>
      <c r="JIR92" s="6"/>
      <c r="JIS92" s="6"/>
      <c r="JIT92" s="6"/>
      <c r="JIU92" s="6"/>
      <c r="JIV92" s="6"/>
      <c r="JIW92" s="6"/>
      <c r="JIX92" s="6"/>
      <c r="JIY92" s="6"/>
      <c r="JIZ92" s="6"/>
      <c r="JJA92" s="6"/>
      <c r="JJB92" s="6"/>
      <c r="JJC92" s="6"/>
      <c r="JJD92" s="6"/>
      <c r="JJE92" s="6"/>
      <c r="JJF92" s="6"/>
      <c r="JJG92" s="6"/>
      <c r="JJH92" s="6"/>
      <c r="JJI92" s="6"/>
      <c r="JJJ92" s="6"/>
      <c r="JJK92" s="6"/>
      <c r="JJL92" s="6"/>
      <c r="JJM92" s="6"/>
      <c r="JJN92" s="6"/>
      <c r="JJO92" s="6"/>
      <c r="JJP92" s="6"/>
      <c r="JJQ92" s="6"/>
      <c r="JJR92" s="6"/>
      <c r="JJS92" s="6"/>
      <c r="JJT92" s="6"/>
      <c r="JJU92" s="6"/>
      <c r="JJV92" s="6"/>
      <c r="JJW92" s="6"/>
      <c r="JJX92" s="6"/>
      <c r="JJY92" s="6"/>
      <c r="JJZ92" s="6"/>
      <c r="JKA92" s="6"/>
      <c r="JKB92" s="6"/>
      <c r="JKC92" s="6"/>
      <c r="JKD92" s="6"/>
      <c r="JKE92" s="6"/>
      <c r="JKF92" s="6"/>
      <c r="JKG92" s="6"/>
      <c r="JKH92" s="6"/>
      <c r="JKI92" s="6"/>
      <c r="JKJ92" s="6"/>
      <c r="JKK92" s="6"/>
      <c r="JKL92" s="6"/>
      <c r="JKM92" s="6"/>
      <c r="JKN92" s="6"/>
      <c r="JKO92" s="6"/>
      <c r="JKP92" s="6"/>
      <c r="JKQ92" s="6"/>
      <c r="JKR92" s="6"/>
      <c r="JKS92" s="6"/>
      <c r="JKT92" s="6"/>
      <c r="JKU92" s="6"/>
      <c r="JKV92" s="6"/>
      <c r="JKW92" s="6"/>
      <c r="JKX92" s="6"/>
      <c r="JKY92" s="6"/>
      <c r="JKZ92" s="6"/>
      <c r="JLA92" s="6"/>
      <c r="JLB92" s="6"/>
      <c r="JLC92" s="6"/>
      <c r="JLD92" s="6"/>
      <c r="JLE92" s="6"/>
      <c r="JLF92" s="6"/>
      <c r="JLG92" s="6"/>
      <c r="JLH92" s="6"/>
      <c r="JLI92" s="6"/>
      <c r="JLJ92" s="6"/>
      <c r="JLK92" s="6"/>
      <c r="JLL92" s="6"/>
      <c r="JLM92" s="6"/>
      <c r="JLN92" s="6"/>
      <c r="JLO92" s="6"/>
      <c r="JLP92" s="6"/>
      <c r="JLQ92" s="6"/>
      <c r="JLR92" s="6"/>
      <c r="JLS92" s="6"/>
      <c r="JLT92" s="6"/>
      <c r="JLU92" s="6"/>
      <c r="JLV92" s="6"/>
      <c r="JLW92" s="6"/>
      <c r="JLX92" s="6"/>
      <c r="JLY92" s="6"/>
      <c r="JLZ92" s="6"/>
      <c r="JMA92" s="6"/>
      <c r="JMB92" s="6"/>
      <c r="JMC92" s="6"/>
      <c r="JMD92" s="6"/>
      <c r="JME92" s="6"/>
      <c r="JMF92" s="6"/>
      <c r="JMG92" s="6"/>
      <c r="JMH92" s="6"/>
      <c r="JMI92" s="6"/>
      <c r="JMJ92" s="6"/>
      <c r="JMK92" s="6"/>
      <c r="JML92" s="6"/>
      <c r="JMM92" s="6"/>
      <c r="JMN92" s="6"/>
      <c r="JMO92" s="6"/>
      <c r="JMP92" s="6"/>
      <c r="JMQ92" s="6"/>
      <c r="JMR92" s="6"/>
      <c r="JMS92" s="6"/>
      <c r="JMT92" s="6"/>
      <c r="JMU92" s="6"/>
      <c r="JMV92" s="6"/>
      <c r="JMW92" s="6"/>
      <c r="JMX92" s="6"/>
      <c r="JMY92" s="6"/>
      <c r="JMZ92" s="6"/>
      <c r="JNA92" s="6"/>
      <c r="JNB92" s="6"/>
      <c r="JNC92" s="6"/>
      <c r="JND92" s="6"/>
      <c r="JNE92" s="6"/>
      <c r="JNF92" s="6"/>
      <c r="JNG92" s="6"/>
      <c r="JNH92" s="6"/>
      <c r="JNI92" s="6"/>
      <c r="JNJ92" s="6"/>
      <c r="JNK92" s="6"/>
      <c r="JNL92" s="6"/>
      <c r="JNM92" s="6"/>
      <c r="JNN92" s="6"/>
      <c r="JNO92" s="6"/>
      <c r="JNP92" s="6"/>
      <c r="JNQ92" s="6"/>
      <c r="JNR92" s="6"/>
      <c r="JNS92" s="6"/>
      <c r="JNT92" s="6"/>
      <c r="JNU92" s="6"/>
      <c r="JNV92" s="6"/>
      <c r="JNW92" s="6"/>
      <c r="JNX92" s="6"/>
      <c r="JNY92" s="6"/>
      <c r="JNZ92" s="6"/>
      <c r="JOA92" s="6"/>
      <c r="JOB92" s="6"/>
      <c r="JOC92" s="6"/>
      <c r="JOD92" s="6"/>
      <c r="JOE92" s="6"/>
      <c r="JOF92" s="6"/>
      <c r="JOG92" s="6"/>
      <c r="JOH92" s="6"/>
      <c r="JOI92" s="6"/>
      <c r="JOJ92" s="6"/>
      <c r="JOK92" s="6"/>
      <c r="JOL92" s="6"/>
      <c r="JOM92" s="6"/>
      <c r="JON92" s="6"/>
      <c r="JOO92" s="6"/>
      <c r="JOP92" s="6"/>
      <c r="JOQ92" s="6"/>
      <c r="JOR92" s="6"/>
      <c r="JOS92" s="6"/>
      <c r="JOT92" s="6"/>
      <c r="JOU92" s="6"/>
      <c r="JOV92" s="6"/>
      <c r="JOW92" s="6"/>
      <c r="JOX92" s="6"/>
      <c r="JOY92" s="6"/>
      <c r="JOZ92" s="6"/>
      <c r="JPA92" s="6"/>
      <c r="JPB92" s="6"/>
      <c r="JPC92" s="6"/>
      <c r="JPD92" s="6"/>
      <c r="JPE92" s="6"/>
      <c r="JPF92" s="6"/>
      <c r="JPG92" s="6"/>
      <c r="JPH92" s="6"/>
      <c r="JPI92" s="6"/>
      <c r="JPJ92" s="6"/>
      <c r="JPK92" s="6"/>
      <c r="JPL92" s="6"/>
      <c r="JPM92" s="6"/>
      <c r="JPN92" s="6"/>
      <c r="JPO92" s="6"/>
      <c r="JPP92" s="6"/>
      <c r="JPQ92" s="6"/>
      <c r="JPR92" s="6"/>
      <c r="JPS92" s="6"/>
      <c r="JPT92" s="6"/>
      <c r="JPU92" s="6"/>
      <c r="JPV92" s="6"/>
      <c r="JPW92" s="6"/>
      <c r="JPX92" s="6"/>
      <c r="JPY92" s="6"/>
      <c r="JPZ92" s="6"/>
      <c r="JQA92" s="6"/>
      <c r="JQB92" s="6"/>
      <c r="JQC92" s="6"/>
      <c r="JQD92" s="6"/>
      <c r="JQE92" s="6"/>
      <c r="JQF92" s="6"/>
      <c r="JQG92" s="6"/>
      <c r="JQH92" s="6"/>
      <c r="JQI92" s="6"/>
      <c r="JQJ92" s="6"/>
      <c r="JQK92" s="6"/>
      <c r="JQL92" s="6"/>
      <c r="JQM92" s="6"/>
      <c r="JQN92" s="6"/>
      <c r="JQO92" s="6"/>
      <c r="JQP92" s="6"/>
      <c r="JQQ92" s="6"/>
      <c r="JQR92" s="6"/>
      <c r="JQS92" s="6"/>
      <c r="JQT92" s="6"/>
      <c r="JQU92" s="6"/>
      <c r="JQV92" s="6"/>
      <c r="JQW92" s="6"/>
      <c r="JQX92" s="6"/>
      <c r="JQY92" s="6"/>
      <c r="JQZ92" s="6"/>
      <c r="JRA92" s="6"/>
      <c r="JRB92" s="6"/>
      <c r="JRC92" s="6"/>
      <c r="JRD92" s="6"/>
      <c r="JRE92" s="6"/>
      <c r="JRF92" s="6"/>
      <c r="JRG92" s="6"/>
      <c r="JRH92" s="6"/>
      <c r="JRI92" s="6"/>
      <c r="JRJ92" s="6"/>
      <c r="JRK92" s="6"/>
      <c r="JRL92" s="6"/>
      <c r="JRM92" s="6"/>
      <c r="JRN92" s="6"/>
      <c r="JRO92" s="6"/>
      <c r="JRP92" s="6"/>
      <c r="JRQ92" s="6"/>
      <c r="JRR92" s="6"/>
      <c r="JRS92" s="6"/>
      <c r="JRT92" s="6"/>
      <c r="JRU92" s="6"/>
      <c r="JRV92" s="6"/>
      <c r="JRW92" s="6"/>
      <c r="JRX92" s="6"/>
      <c r="JRY92" s="6"/>
      <c r="JRZ92" s="6"/>
      <c r="JSA92" s="6"/>
      <c r="JSB92" s="6"/>
      <c r="JSC92" s="6"/>
      <c r="JSD92" s="6"/>
      <c r="JSE92" s="6"/>
      <c r="JSF92" s="6"/>
      <c r="JSG92" s="6"/>
      <c r="JSH92" s="6"/>
      <c r="JSI92" s="6"/>
      <c r="JSJ92" s="6"/>
      <c r="JSK92" s="6"/>
      <c r="JSL92" s="6"/>
      <c r="JSM92" s="6"/>
      <c r="JSN92" s="6"/>
      <c r="JSO92" s="6"/>
      <c r="JSP92" s="6"/>
      <c r="JSQ92" s="6"/>
      <c r="JSR92" s="6"/>
      <c r="JSS92" s="6"/>
      <c r="JST92" s="6"/>
      <c r="JSU92" s="6"/>
      <c r="JSV92" s="6"/>
      <c r="JSW92" s="6"/>
      <c r="JSX92" s="6"/>
      <c r="JSY92" s="6"/>
      <c r="JSZ92" s="6"/>
      <c r="JTA92" s="6"/>
      <c r="JTB92" s="6"/>
      <c r="JTC92" s="6"/>
      <c r="JTD92" s="6"/>
      <c r="JTE92" s="6"/>
      <c r="JTF92" s="6"/>
      <c r="JTG92" s="6"/>
      <c r="JTH92" s="6"/>
      <c r="JTI92" s="6"/>
      <c r="JTJ92" s="6"/>
      <c r="JTK92" s="6"/>
      <c r="JTL92" s="6"/>
      <c r="JTM92" s="6"/>
      <c r="JTN92" s="6"/>
      <c r="JTO92" s="6"/>
      <c r="JTP92" s="6"/>
      <c r="JTQ92" s="6"/>
      <c r="JTR92" s="6"/>
      <c r="JTS92" s="6"/>
      <c r="JTT92" s="6"/>
      <c r="JTU92" s="6"/>
      <c r="JTV92" s="6"/>
      <c r="JTW92" s="6"/>
      <c r="JTX92" s="6"/>
      <c r="JTY92" s="6"/>
      <c r="JTZ92" s="6"/>
      <c r="JUA92" s="6"/>
      <c r="JUB92" s="6"/>
      <c r="JUC92" s="6"/>
      <c r="JUD92" s="6"/>
      <c r="JUE92" s="6"/>
      <c r="JUF92" s="6"/>
      <c r="JUG92" s="6"/>
      <c r="JUH92" s="6"/>
      <c r="JUI92" s="6"/>
      <c r="JUJ92" s="6"/>
      <c r="JUK92" s="6"/>
      <c r="JUL92" s="6"/>
      <c r="JUM92" s="6"/>
      <c r="JUN92" s="6"/>
      <c r="JUO92" s="6"/>
      <c r="JUP92" s="6"/>
      <c r="JUQ92" s="6"/>
      <c r="JUR92" s="6"/>
      <c r="JUS92" s="6"/>
      <c r="JUT92" s="6"/>
      <c r="JUU92" s="6"/>
      <c r="JUV92" s="6"/>
      <c r="JUW92" s="6"/>
      <c r="JUX92" s="6"/>
      <c r="JUY92" s="6"/>
      <c r="JUZ92" s="6"/>
      <c r="JVA92" s="6"/>
      <c r="JVB92" s="6"/>
      <c r="JVC92" s="6"/>
      <c r="JVD92" s="6"/>
      <c r="JVE92" s="6"/>
      <c r="JVF92" s="6"/>
      <c r="JVG92" s="6"/>
      <c r="JVH92" s="6"/>
      <c r="JVI92" s="6"/>
      <c r="JVJ92" s="6"/>
      <c r="JVK92" s="6"/>
      <c r="JVL92" s="6"/>
      <c r="JVM92" s="6"/>
      <c r="JVN92" s="6"/>
      <c r="JVO92" s="6"/>
      <c r="JVP92" s="6"/>
      <c r="JVQ92" s="6"/>
      <c r="JVR92" s="6"/>
      <c r="JVS92" s="6"/>
      <c r="JVT92" s="6"/>
      <c r="JVU92" s="6"/>
      <c r="JVV92" s="6"/>
      <c r="JVW92" s="6"/>
      <c r="JVX92" s="6"/>
      <c r="JVY92" s="6"/>
      <c r="JVZ92" s="6"/>
      <c r="JWA92" s="6"/>
      <c r="JWB92" s="6"/>
      <c r="JWC92" s="6"/>
      <c r="JWD92" s="6"/>
      <c r="JWE92" s="6"/>
      <c r="JWF92" s="6"/>
      <c r="JWG92" s="6"/>
      <c r="JWH92" s="6"/>
      <c r="JWI92" s="6"/>
      <c r="JWJ92" s="6"/>
      <c r="JWK92" s="6"/>
      <c r="JWL92" s="6"/>
      <c r="JWM92" s="6"/>
      <c r="JWN92" s="6"/>
      <c r="JWO92" s="6"/>
      <c r="JWP92" s="6"/>
      <c r="JWQ92" s="6"/>
      <c r="JWR92" s="6"/>
      <c r="JWS92" s="6"/>
      <c r="JWT92" s="6"/>
      <c r="JWU92" s="6"/>
      <c r="JWV92" s="6"/>
      <c r="JWW92" s="6"/>
      <c r="JWX92" s="6"/>
      <c r="JWY92" s="6"/>
      <c r="JWZ92" s="6"/>
      <c r="JXA92" s="6"/>
      <c r="JXB92" s="6"/>
      <c r="JXC92" s="6"/>
      <c r="JXD92" s="6"/>
      <c r="JXE92" s="6"/>
      <c r="JXF92" s="6"/>
      <c r="JXG92" s="6"/>
      <c r="JXH92" s="6"/>
      <c r="JXI92" s="6"/>
      <c r="JXJ92" s="6"/>
      <c r="JXK92" s="6"/>
      <c r="JXL92" s="6"/>
      <c r="JXM92" s="6"/>
      <c r="JXN92" s="6"/>
      <c r="JXO92" s="6"/>
      <c r="JXP92" s="6"/>
      <c r="JXQ92" s="6"/>
      <c r="JXR92" s="6"/>
      <c r="JXS92" s="6"/>
      <c r="JXT92" s="6"/>
      <c r="JXU92" s="6"/>
      <c r="JXV92" s="6"/>
      <c r="JXW92" s="6"/>
      <c r="JXX92" s="6"/>
      <c r="JXY92" s="6"/>
      <c r="JXZ92" s="6"/>
      <c r="JYA92" s="6"/>
      <c r="JYB92" s="6"/>
      <c r="JYC92" s="6"/>
      <c r="JYD92" s="6"/>
      <c r="JYE92" s="6"/>
      <c r="JYF92" s="6"/>
      <c r="JYG92" s="6"/>
      <c r="JYH92" s="6"/>
      <c r="JYI92" s="6"/>
      <c r="JYJ92" s="6"/>
      <c r="JYK92" s="6"/>
      <c r="JYL92" s="6"/>
      <c r="JYM92" s="6"/>
      <c r="JYN92" s="6"/>
      <c r="JYO92" s="6"/>
      <c r="JYP92" s="6"/>
      <c r="JYQ92" s="6"/>
      <c r="JYR92" s="6"/>
      <c r="JYS92" s="6"/>
      <c r="JYT92" s="6"/>
      <c r="JYU92" s="6"/>
      <c r="JYV92" s="6"/>
      <c r="JYW92" s="6"/>
      <c r="JYX92" s="6"/>
      <c r="JYY92" s="6"/>
      <c r="JYZ92" s="6"/>
      <c r="JZA92" s="6"/>
      <c r="JZB92" s="6"/>
      <c r="JZC92" s="6"/>
      <c r="JZD92" s="6"/>
      <c r="JZE92" s="6"/>
      <c r="JZF92" s="6"/>
      <c r="JZG92" s="6"/>
      <c r="JZH92" s="6"/>
      <c r="JZI92" s="6"/>
      <c r="JZJ92" s="6"/>
      <c r="JZK92" s="6"/>
      <c r="JZL92" s="6"/>
      <c r="JZM92" s="6"/>
      <c r="JZN92" s="6"/>
      <c r="JZO92" s="6"/>
      <c r="JZP92" s="6"/>
      <c r="JZQ92" s="6"/>
      <c r="JZR92" s="6"/>
      <c r="JZS92" s="6"/>
      <c r="JZT92" s="6"/>
      <c r="JZU92" s="6"/>
      <c r="JZV92" s="6"/>
      <c r="JZW92" s="6"/>
      <c r="JZX92" s="6"/>
      <c r="JZY92" s="6"/>
      <c r="JZZ92" s="6"/>
      <c r="KAA92" s="6"/>
      <c r="KAB92" s="6"/>
      <c r="KAC92" s="6"/>
      <c r="KAD92" s="6"/>
      <c r="KAE92" s="6"/>
      <c r="KAF92" s="6"/>
      <c r="KAG92" s="6"/>
      <c r="KAH92" s="6"/>
      <c r="KAI92" s="6"/>
      <c r="KAJ92" s="6"/>
      <c r="KAK92" s="6"/>
      <c r="KAL92" s="6"/>
      <c r="KAM92" s="6"/>
      <c r="KAN92" s="6"/>
      <c r="KAO92" s="6"/>
      <c r="KAP92" s="6"/>
      <c r="KAQ92" s="6"/>
      <c r="KAR92" s="6"/>
      <c r="KAS92" s="6"/>
      <c r="KAT92" s="6"/>
      <c r="KAU92" s="6"/>
      <c r="KAV92" s="6"/>
      <c r="KAW92" s="6"/>
      <c r="KAX92" s="6"/>
      <c r="KAY92" s="6"/>
      <c r="KAZ92" s="6"/>
      <c r="KBA92" s="6"/>
      <c r="KBB92" s="6"/>
      <c r="KBC92" s="6"/>
      <c r="KBD92" s="6"/>
      <c r="KBE92" s="6"/>
      <c r="KBF92" s="6"/>
      <c r="KBG92" s="6"/>
      <c r="KBH92" s="6"/>
      <c r="KBI92" s="6"/>
      <c r="KBJ92" s="6"/>
      <c r="KBK92" s="6"/>
      <c r="KBL92" s="6"/>
      <c r="KBM92" s="6"/>
      <c r="KBN92" s="6"/>
      <c r="KBO92" s="6"/>
      <c r="KBP92" s="6"/>
      <c r="KBQ92" s="6"/>
      <c r="KBR92" s="6"/>
      <c r="KBS92" s="6"/>
      <c r="KBT92" s="6"/>
      <c r="KBU92" s="6"/>
      <c r="KBV92" s="6"/>
      <c r="KBW92" s="6"/>
      <c r="KBX92" s="6"/>
      <c r="KBY92" s="6"/>
      <c r="KBZ92" s="6"/>
      <c r="KCA92" s="6"/>
      <c r="KCB92" s="6"/>
      <c r="KCC92" s="6"/>
      <c r="KCD92" s="6"/>
      <c r="KCE92" s="6"/>
      <c r="KCF92" s="6"/>
      <c r="KCG92" s="6"/>
      <c r="KCH92" s="6"/>
      <c r="KCI92" s="6"/>
      <c r="KCJ92" s="6"/>
      <c r="KCK92" s="6"/>
      <c r="KCL92" s="6"/>
      <c r="KCM92" s="6"/>
      <c r="KCN92" s="6"/>
      <c r="KCO92" s="6"/>
      <c r="KCP92" s="6"/>
      <c r="KCQ92" s="6"/>
      <c r="KCR92" s="6"/>
      <c r="KCS92" s="6"/>
      <c r="KCT92" s="6"/>
      <c r="KCU92" s="6"/>
      <c r="KCV92" s="6"/>
      <c r="KCW92" s="6"/>
      <c r="KCX92" s="6"/>
      <c r="KCY92" s="6"/>
      <c r="KCZ92" s="6"/>
      <c r="KDA92" s="6"/>
      <c r="KDB92" s="6"/>
      <c r="KDC92" s="6"/>
      <c r="KDD92" s="6"/>
      <c r="KDE92" s="6"/>
      <c r="KDF92" s="6"/>
      <c r="KDG92" s="6"/>
      <c r="KDH92" s="6"/>
      <c r="KDI92" s="6"/>
      <c r="KDJ92" s="6"/>
      <c r="KDK92" s="6"/>
      <c r="KDL92" s="6"/>
      <c r="KDM92" s="6"/>
      <c r="KDN92" s="6"/>
      <c r="KDO92" s="6"/>
      <c r="KDP92" s="6"/>
      <c r="KDQ92" s="6"/>
      <c r="KDR92" s="6"/>
      <c r="KDS92" s="6"/>
      <c r="KDT92" s="6"/>
      <c r="KDU92" s="6"/>
      <c r="KDV92" s="6"/>
      <c r="KDW92" s="6"/>
      <c r="KDX92" s="6"/>
      <c r="KDY92" s="6"/>
      <c r="KDZ92" s="6"/>
      <c r="KEA92" s="6"/>
      <c r="KEB92" s="6"/>
      <c r="KEC92" s="6"/>
      <c r="KED92" s="6"/>
      <c r="KEE92" s="6"/>
      <c r="KEF92" s="6"/>
      <c r="KEG92" s="6"/>
      <c r="KEH92" s="6"/>
      <c r="KEI92" s="6"/>
      <c r="KEJ92" s="6"/>
      <c r="KEK92" s="6"/>
      <c r="KEL92" s="6"/>
      <c r="KEM92" s="6"/>
      <c r="KEN92" s="6"/>
      <c r="KEO92" s="6"/>
      <c r="KEP92" s="6"/>
      <c r="KEQ92" s="6"/>
      <c r="KER92" s="6"/>
      <c r="KES92" s="6"/>
      <c r="KET92" s="6"/>
      <c r="KEU92" s="6"/>
      <c r="KEV92" s="6"/>
      <c r="KEW92" s="6"/>
      <c r="KEX92" s="6"/>
      <c r="KEY92" s="6"/>
      <c r="KEZ92" s="6"/>
      <c r="KFA92" s="6"/>
      <c r="KFB92" s="6"/>
      <c r="KFC92" s="6"/>
      <c r="KFD92" s="6"/>
      <c r="KFE92" s="6"/>
      <c r="KFF92" s="6"/>
      <c r="KFG92" s="6"/>
      <c r="KFH92" s="6"/>
      <c r="KFI92" s="6"/>
      <c r="KFJ92" s="6"/>
      <c r="KFK92" s="6"/>
      <c r="KFL92" s="6"/>
      <c r="KFM92" s="6"/>
      <c r="KFN92" s="6"/>
      <c r="KFO92" s="6"/>
      <c r="KFP92" s="6"/>
      <c r="KFQ92" s="6"/>
      <c r="KFR92" s="6"/>
      <c r="KFS92" s="6"/>
      <c r="KFT92" s="6"/>
      <c r="KFU92" s="6"/>
      <c r="KFV92" s="6"/>
      <c r="KFW92" s="6"/>
      <c r="KFX92" s="6"/>
      <c r="KFY92" s="6"/>
      <c r="KFZ92" s="6"/>
      <c r="KGA92" s="6"/>
      <c r="KGB92" s="6"/>
      <c r="KGC92" s="6"/>
      <c r="KGD92" s="6"/>
      <c r="KGE92" s="6"/>
      <c r="KGF92" s="6"/>
      <c r="KGG92" s="6"/>
      <c r="KGH92" s="6"/>
      <c r="KGI92" s="6"/>
      <c r="KGJ92" s="6"/>
      <c r="KGK92" s="6"/>
      <c r="KGL92" s="6"/>
      <c r="KGM92" s="6"/>
      <c r="KGN92" s="6"/>
      <c r="KGO92" s="6"/>
      <c r="KGP92" s="6"/>
      <c r="KGQ92" s="6"/>
      <c r="KGR92" s="6"/>
      <c r="KGS92" s="6"/>
      <c r="KGT92" s="6"/>
      <c r="KGU92" s="6"/>
      <c r="KGV92" s="6"/>
      <c r="KGW92" s="6"/>
      <c r="KGX92" s="6"/>
      <c r="KGY92" s="6"/>
      <c r="KGZ92" s="6"/>
      <c r="KHA92" s="6"/>
      <c r="KHB92" s="6"/>
      <c r="KHC92" s="6"/>
      <c r="KHD92" s="6"/>
      <c r="KHE92" s="6"/>
      <c r="KHF92" s="6"/>
      <c r="KHG92" s="6"/>
      <c r="KHH92" s="6"/>
      <c r="KHI92" s="6"/>
      <c r="KHJ92" s="6"/>
      <c r="KHK92" s="6"/>
      <c r="KHL92" s="6"/>
      <c r="KHM92" s="6"/>
      <c r="KHN92" s="6"/>
      <c r="KHO92" s="6"/>
      <c r="KHP92" s="6"/>
      <c r="KHQ92" s="6"/>
      <c r="KHR92" s="6"/>
      <c r="KHS92" s="6"/>
      <c r="KHT92" s="6"/>
      <c r="KHU92" s="6"/>
      <c r="KHV92" s="6"/>
      <c r="KHW92" s="6"/>
      <c r="KHX92" s="6"/>
      <c r="KHY92" s="6"/>
      <c r="KHZ92" s="6"/>
      <c r="KIA92" s="6"/>
      <c r="KIB92" s="6"/>
      <c r="KIC92" s="6"/>
      <c r="KID92" s="6"/>
      <c r="KIE92" s="6"/>
      <c r="KIF92" s="6"/>
      <c r="KIG92" s="6"/>
      <c r="KIH92" s="6"/>
      <c r="KII92" s="6"/>
      <c r="KIJ92" s="6"/>
      <c r="KIK92" s="6"/>
      <c r="KIL92" s="6"/>
      <c r="KIM92" s="6"/>
      <c r="KIN92" s="6"/>
      <c r="KIO92" s="6"/>
      <c r="KIP92" s="6"/>
      <c r="KIQ92" s="6"/>
      <c r="KIR92" s="6"/>
      <c r="KIS92" s="6"/>
      <c r="KIT92" s="6"/>
      <c r="KIU92" s="6"/>
      <c r="KIV92" s="6"/>
      <c r="KIW92" s="6"/>
      <c r="KIX92" s="6"/>
      <c r="KIY92" s="6"/>
      <c r="KIZ92" s="6"/>
      <c r="KJA92" s="6"/>
      <c r="KJB92" s="6"/>
      <c r="KJC92" s="6"/>
      <c r="KJD92" s="6"/>
      <c r="KJE92" s="6"/>
      <c r="KJF92" s="6"/>
      <c r="KJG92" s="6"/>
      <c r="KJH92" s="6"/>
      <c r="KJI92" s="6"/>
      <c r="KJJ92" s="6"/>
      <c r="KJK92" s="6"/>
      <c r="KJL92" s="6"/>
      <c r="KJM92" s="6"/>
      <c r="KJN92" s="6"/>
      <c r="KJO92" s="6"/>
      <c r="KJP92" s="6"/>
      <c r="KJQ92" s="6"/>
      <c r="KJR92" s="6"/>
      <c r="KJS92" s="6"/>
      <c r="KJT92" s="6"/>
      <c r="KJU92" s="6"/>
      <c r="KJV92" s="6"/>
      <c r="KJW92" s="6"/>
      <c r="KJX92" s="6"/>
      <c r="KJY92" s="6"/>
      <c r="KJZ92" s="6"/>
      <c r="KKA92" s="6"/>
      <c r="KKB92" s="6"/>
      <c r="KKC92" s="6"/>
      <c r="KKD92" s="6"/>
      <c r="KKE92" s="6"/>
      <c r="KKF92" s="6"/>
      <c r="KKG92" s="6"/>
      <c r="KKH92" s="6"/>
      <c r="KKI92" s="6"/>
      <c r="KKJ92" s="6"/>
      <c r="KKK92" s="6"/>
      <c r="KKL92" s="6"/>
      <c r="KKM92" s="6"/>
      <c r="KKN92" s="6"/>
      <c r="KKO92" s="6"/>
      <c r="KKP92" s="6"/>
      <c r="KKQ92" s="6"/>
      <c r="KKR92" s="6"/>
      <c r="KKS92" s="6"/>
      <c r="KKT92" s="6"/>
      <c r="KKU92" s="6"/>
      <c r="KKV92" s="6"/>
      <c r="KKW92" s="6"/>
      <c r="KKX92" s="6"/>
      <c r="KKY92" s="6"/>
      <c r="KKZ92" s="6"/>
      <c r="KLA92" s="6"/>
      <c r="KLB92" s="6"/>
      <c r="KLC92" s="6"/>
      <c r="KLD92" s="6"/>
      <c r="KLE92" s="6"/>
      <c r="KLF92" s="6"/>
      <c r="KLG92" s="6"/>
      <c r="KLH92" s="6"/>
      <c r="KLI92" s="6"/>
      <c r="KLJ92" s="6"/>
      <c r="KLK92" s="6"/>
      <c r="KLL92" s="6"/>
      <c r="KLM92" s="6"/>
      <c r="KLN92" s="6"/>
      <c r="KLO92" s="6"/>
      <c r="KLP92" s="6"/>
      <c r="KLQ92" s="6"/>
      <c r="KLR92" s="6"/>
      <c r="KLS92" s="6"/>
      <c r="KLT92" s="6"/>
      <c r="KLU92" s="6"/>
      <c r="KLV92" s="6"/>
      <c r="KLW92" s="6"/>
      <c r="KLX92" s="6"/>
      <c r="KLY92" s="6"/>
      <c r="KLZ92" s="6"/>
      <c r="KMA92" s="6"/>
      <c r="KMB92" s="6"/>
      <c r="KMC92" s="6"/>
      <c r="KMD92" s="6"/>
      <c r="KME92" s="6"/>
      <c r="KMF92" s="6"/>
      <c r="KMG92" s="6"/>
      <c r="KMH92" s="6"/>
      <c r="KMI92" s="6"/>
      <c r="KMJ92" s="6"/>
      <c r="KMK92" s="6"/>
      <c r="KML92" s="6"/>
      <c r="KMM92" s="6"/>
      <c r="KMN92" s="6"/>
      <c r="KMO92" s="6"/>
      <c r="KMP92" s="6"/>
      <c r="KMQ92" s="6"/>
      <c r="KMR92" s="6"/>
      <c r="KMS92" s="6"/>
      <c r="KMT92" s="6"/>
      <c r="KMU92" s="6"/>
      <c r="KMV92" s="6"/>
      <c r="KMW92" s="6"/>
      <c r="KMX92" s="6"/>
      <c r="KMY92" s="6"/>
      <c r="KMZ92" s="6"/>
      <c r="KNA92" s="6"/>
      <c r="KNB92" s="6"/>
      <c r="KNC92" s="6"/>
      <c r="KND92" s="6"/>
      <c r="KNE92" s="6"/>
      <c r="KNF92" s="6"/>
      <c r="KNG92" s="6"/>
      <c r="KNH92" s="6"/>
      <c r="KNI92" s="6"/>
      <c r="KNJ92" s="6"/>
      <c r="KNK92" s="6"/>
      <c r="KNL92" s="6"/>
      <c r="KNM92" s="6"/>
      <c r="KNN92" s="6"/>
      <c r="KNO92" s="6"/>
      <c r="KNP92" s="6"/>
      <c r="KNQ92" s="6"/>
      <c r="KNR92" s="6"/>
      <c r="KNS92" s="6"/>
      <c r="KNT92" s="6"/>
      <c r="KNU92" s="6"/>
      <c r="KNV92" s="6"/>
      <c r="KNW92" s="6"/>
      <c r="KNX92" s="6"/>
      <c r="KNY92" s="6"/>
      <c r="KNZ92" s="6"/>
      <c r="KOA92" s="6"/>
      <c r="KOB92" s="6"/>
      <c r="KOC92" s="6"/>
      <c r="KOD92" s="6"/>
      <c r="KOE92" s="6"/>
      <c r="KOF92" s="6"/>
      <c r="KOG92" s="6"/>
      <c r="KOH92" s="6"/>
      <c r="KOI92" s="6"/>
      <c r="KOJ92" s="6"/>
      <c r="KOK92" s="6"/>
      <c r="KOL92" s="6"/>
      <c r="KOM92" s="6"/>
      <c r="KON92" s="6"/>
      <c r="KOO92" s="6"/>
      <c r="KOP92" s="6"/>
      <c r="KOQ92" s="6"/>
      <c r="KOR92" s="6"/>
      <c r="KOS92" s="6"/>
      <c r="KOT92" s="6"/>
      <c r="KOU92" s="6"/>
      <c r="KOV92" s="6"/>
      <c r="KOW92" s="6"/>
      <c r="KOX92" s="6"/>
      <c r="KOY92" s="6"/>
      <c r="KOZ92" s="6"/>
      <c r="KPA92" s="6"/>
      <c r="KPB92" s="6"/>
      <c r="KPC92" s="6"/>
      <c r="KPD92" s="6"/>
      <c r="KPE92" s="6"/>
      <c r="KPF92" s="6"/>
      <c r="KPG92" s="6"/>
      <c r="KPH92" s="6"/>
      <c r="KPI92" s="6"/>
      <c r="KPJ92" s="6"/>
      <c r="KPK92" s="6"/>
      <c r="KPL92" s="6"/>
      <c r="KPM92" s="6"/>
      <c r="KPN92" s="6"/>
      <c r="KPO92" s="6"/>
      <c r="KPP92" s="6"/>
      <c r="KPQ92" s="6"/>
      <c r="KPR92" s="6"/>
      <c r="KPS92" s="6"/>
      <c r="KPT92" s="6"/>
      <c r="KPU92" s="6"/>
      <c r="KPV92" s="6"/>
      <c r="KPW92" s="6"/>
      <c r="KPX92" s="6"/>
      <c r="KPY92" s="6"/>
      <c r="KPZ92" s="6"/>
      <c r="KQA92" s="6"/>
      <c r="KQB92" s="6"/>
      <c r="KQC92" s="6"/>
      <c r="KQD92" s="6"/>
      <c r="KQE92" s="6"/>
      <c r="KQF92" s="6"/>
      <c r="KQG92" s="6"/>
      <c r="KQH92" s="6"/>
      <c r="KQI92" s="6"/>
      <c r="KQJ92" s="6"/>
      <c r="KQK92" s="6"/>
      <c r="KQL92" s="6"/>
      <c r="KQM92" s="6"/>
      <c r="KQN92" s="6"/>
      <c r="KQO92" s="6"/>
      <c r="KQP92" s="6"/>
      <c r="KQQ92" s="6"/>
      <c r="KQR92" s="6"/>
      <c r="KQS92" s="6"/>
      <c r="KQT92" s="6"/>
      <c r="KQU92" s="6"/>
      <c r="KQV92" s="6"/>
      <c r="KQW92" s="6"/>
      <c r="KQX92" s="6"/>
      <c r="KQY92" s="6"/>
      <c r="KQZ92" s="6"/>
      <c r="KRA92" s="6"/>
      <c r="KRB92" s="6"/>
      <c r="KRC92" s="6"/>
      <c r="KRD92" s="6"/>
      <c r="KRE92" s="6"/>
      <c r="KRF92" s="6"/>
      <c r="KRG92" s="6"/>
      <c r="KRH92" s="6"/>
      <c r="KRI92" s="6"/>
      <c r="KRJ92" s="6"/>
      <c r="KRK92" s="6"/>
      <c r="KRL92" s="6"/>
      <c r="KRM92" s="6"/>
      <c r="KRN92" s="6"/>
      <c r="KRO92" s="6"/>
      <c r="KRP92" s="6"/>
      <c r="KRQ92" s="6"/>
      <c r="KRR92" s="6"/>
      <c r="KRS92" s="6"/>
      <c r="KRT92" s="6"/>
      <c r="KRU92" s="6"/>
      <c r="KRV92" s="6"/>
      <c r="KRW92" s="6"/>
      <c r="KRX92" s="6"/>
      <c r="KRY92" s="6"/>
      <c r="KRZ92" s="6"/>
      <c r="KSA92" s="6"/>
      <c r="KSB92" s="6"/>
      <c r="KSC92" s="6"/>
      <c r="KSD92" s="6"/>
      <c r="KSE92" s="6"/>
      <c r="KSF92" s="6"/>
      <c r="KSG92" s="6"/>
      <c r="KSH92" s="6"/>
      <c r="KSI92" s="6"/>
      <c r="KSJ92" s="6"/>
      <c r="KSK92" s="6"/>
      <c r="KSL92" s="6"/>
      <c r="KSM92" s="6"/>
      <c r="KSN92" s="6"/>
      <c r="KSO92" s="6"/>
      <c r="KSP92" s="6"/>
      <c r="KSQ92" s="6"/>
      <c r="KSR92" s="6"/>
      <c r="KSS92" s="6"/>
      <c r="KST92" s="6"/>
      <c r="KSU92" s="6"/>
      <c r="KSV92" s="6"/>
      <c r="KSW92" s="6"/>
      <c r="KSX92" s="6"/>
      <c r="KSY92" s="6"/>
      <c r="KSZ92" s="6"/>
      <c r="KTA92" s="6"/>
      <c r="KTB92" s="6"/>
      <c r="KTC92" s="6"/>
      <c r="KTD92" s="6"/>
      <c r="KTE92" s="6"/>
      <c r="KTF92" s="6"/>
      <c r="KTG92" s="6"/>
      <c r="KTH92" s="6"/>
      <c r="KTI92" s="6"/>
      <c r="KTJ92" s="6"/>
      <c r="KTK92" s="6"/>
      <c r="KTL92" s="6"/>
      <c r="KTM92" s="6"/>
      <c r="KTN92" s="6"/>
      <c r="KTO92" s="6"/>
      <c r="KTP92" s="6"/>
      <c r="KTQ92" s="6"/>
      <c r="KTR92" s="6"/>
      <c r="KTS92" s="6"/>
      <c r="KTT92" s="6"/>
      <c r="KTU92" s="6"/>
      <c r="KTV92" s="6"/>
      <c r="KTW92" s="6"/>
      <c r="KTX92" s="6"/>
      <c r="KTY92" s="6"/>
      <c r="KTZ92" s="6"/>
      <c r="KUA92" s="6"/>
      <c r="KUB92" s="6"/>
      <c r="KUC92" s="6"/>
      <c r="KUD92" s="6"/>
      <c r="KUE92" s="6"/>
      <c r="KUF92" s="6"/>
      <c r="KUG92" s="6"/>
      <c r="KUH92" s="6"/>
      <c r="KUI92" s="6"/>
      <c r="KUJ92" s="6"/>
      <c r="KUK92" s="6"/>
      <c r="KUL92" s="6"/>
      <c r="KUM92" s="6"/>
      <c r="KUN92" s="6"/>
      <c r="KUO92" s="6"/>
      <c r="KUP92" s="6"/>
      <c r="KUQ92" s="6"/>
      <c r="KUR92" s="6"/>
      <c r="KUS92" s="6"/>
      <c r="KUT92" s="6"/>
      <c r="KUU92" s="6"/>
      <c r="KUV92" s="6"/>
      <c r="KUW92" s="6"/>
      <c r="KUX92" s="6"/>
      <c r="KUY92" s="6"/>
      <c r="KUZ92" s="6"/>
      <c r="KVA92" s="6"/>
      <c r="KVB92" s="6"/>
      <c r="KVC92" s="6"/>
      <c r="KVD92" s="6"/>
      <c r="KVE92" s="6"/>
      <c r="KVF92" s="6"/>
      <c r="KVG92" s="6"/>
      <c r="KVH92" s="6"/>
      <c r="KVI92" s="6"/>
      <c r="KVJ92" s="6"/>
      <c r="KVK92" s="6"/>
      <c r="KVL92" s="6"/>
      <c r="KVM92" s="6"/>
      <c r="KVN92" s="6"/>
      <c r="KVO92" s="6"/>
      <c r="KVP92" s="6"/>
      <c r="KVQ92" s="6"/>
      <c r="KVR92" s="6"/>
      <c r="KVS92" s="6"/>
      <c r="KVT92" s="6"/>
      <c r="KVU92" s="6"/>
      <c r="KVV92" s="6"/>
      <c r="KVW92" s="6"/>
      <c r="KVX92" s="6"/>
      <c r="KVY92" s="6"/>
      <c r="KVZ92" s="6"/>
      <c r="KWA92" s="6"/>
      <c r="KWB92" s="6"/>
      <c r="KWC92" s="6"/>
      <c r="KWD92" s="6"/>
      <c r="KWE92" s="6"/>
      <c r="KWF92" s="6"/>
      <c r="KWG92" s="6"/>
      <c r="KWH92" s="6"/>
      <c r="KWI92" s="6"/>
      <c r="KWJ92" s="6"/>
      <c r="KWK92" s="6"/>
      <c r="KWL92" s="6"/>
      <c r="KWM92" s="6"/>
      <c r="KWN92" s="6"/>
      <c r="KWO92" s="6"/>
      <c r="KWP92" s="6"/>
      <c r="KWQ92" s="6"/>
      <c r="KWR92" s="6"/>
      <c r="KWS92" s="6"/>
      <c r="KWT92" s="6"/>
      <c r="KWU92" s="6"/>
      <c r="KWV92" s="6"/>
      <c r="KWW92" s="6"/>
      <c r="KWX92" s="6"/>
      <c r="KWY92" s="6"/>
      <c r="KWZ92" s="6"/>
      <c r="KXA92" s="6"/>
      <c r="KXB92" s="6"/>
      <c r="KXC92" s="6"/>
      <c r="KXD92" s="6"/>
      <c r="KXE92" s="6"/>
      <c r="KXF92" s="6"/>
      <c r="KXG92" s="6"/>
      <c r="KXH92" s="6"/>
      <c r="KXI92" s="6"/>
      <c r="KXJ92" s="6"/>
      <c r="KXK92" s="6"/>
      <c r="KXL92" s="6"/>
      <c r="KXM92" s="6"/>
      <c r="KXN92" s="6"/>
      <c r="KXO92" s="6"/>
      <c r="KXP92" s="6"/>
      <c r="KXQ92" s="6"/>
      <c r="KXR92" s="6"/>
      <c r="KXS92" s="6"/>
      <c r="KXT92" s="6"/>
      <c r="KXU92" s="6"/>
      <c r="KXV92" s="6"/>
      <c r="KXW92" s="6"/>
      <c r="KXX92" s="6"/>
      <c r="KXY92" s="6"/>
      <c r="KXZ92" s="6"/>
      <c r="KYA92" s="6"/>
      <c r="KYB92" s="6"/>
      <c r="KYC92" s="6"/>
      <c r="KYD92" s="6"/>
      <c r="KYE92" s="6"/>
      <c r="KYF92" s="6"/>
      <c r="KYG92" s="6"/>
      <c r="KYH92" s="6"/>
      <c r="KYI92" s="6"/>
      <c r="KYJ92" s="6"/>
      <c r="KYK92" s="6"/>
      <c r="KYL92" s="6"/>
      <c r="KYM92" s="6"/>
      <c r="KYN92" s="6"/>
      <c r="KYO92" s="6"/>
      <c r="KYP92" s="6"/>
      <c r="KYQ92" s="6"/>
      <c r="KYR92" s="6"/>
      <c r="KYS92" s="6"/>
      <c r="KYT92" s="6"/>
      <c r="KYU92" s="6"/>
      <c r="KYV92" s="6"/>
      <c r="KYW92" s="6"/>
      <c r="KYX92" s="6"/>
      <c r="KYY92" s="6"/>
      <c r="KYZ92" s="6"/>
      <c r="KZA92" s="6"/>
      <c r="KZB92" s="6"/>
      <c r="KZC92" s="6"/>
      <c r="KZD92" s="6"/>
      <c r="KZE92" s="6"/>
      <c r="KZF92" s="6"/>
      <c r="KZG92" s="6"/>
      <c r="KZH92" s="6"/>
      <c r="KZI92" s="6"/>
      <c r="KZJ92" s="6"/>
      <c r="KZK92" s="6"/>
      <c r="KZL92" s="6"/>
      <c r="KZM92" s="6"/>
      <c r="KZN92" s="6"/>
      <c r="KZO92" s="6"/>
      <c r="KZP92" s="6"/>
      <c r="KZQ92" s="6"/>
      <c r="KZR92" s="6"/>
      <c r="KZS92" s="6"/>
      <c r="KZT92" s="6"/>
      <c r="KZU92" s="6"/>
      <c r="KZV92" s="6"/>
      <c r="KZW92" s="6"/>
      <c r="KZX92" s="6"/>
      <c r="KZY92" s="6"/>
      <c r="KZZ92" s="6"/>
      <c r="LAA92" s="6"/>
      <c r="LAB92" s="6"/>
      <c r="LAC92" s="6"/>
      <c r="LAD92" s="6"/>
      <c r="LAE92" s="6"/>
      <c r="LAF92" s="6"/>
      <c r="LAG92" s="6"/>
      <c r="LAH92" s="6"/>
      <c r="LAI92" s="6"/>
      <c r="LAJ92" s="6"/>
      <c r="LAK92" s="6"/>
      <c r="LAL92" s="6"/>
      <c r="LAM92" s="6"/>
      <c r="LAN92" s="6"/>
      <c r="LAO92" s="6"/>
      <c r="LAP92" s="6"/>
      <c r="LAQ92" s="6"/>
      <c r="LAR92" s="6"/>
      <c r="LAS92" s="6"/>
      <c r="LAT92" s="6"/>
      <c r="LAU92" s="6"/>
      <c r="LAV92" s="6"/>
      <c r="LAW92" s="6"/>
      <c r="LAX92" s="6"/>
      <c r="LAY92" s="6"/>
      <c r="LAZ92" s="6"/>
      <c r="LBA92" s="6"/>
      <c r="LBB92" s="6"/>
      <c r="LBC92" s="6"/>
      <c r="LBD92" s="6"/>
      <c r="LBE92" s="6"/>
      <c r="LBF92" s="6"/>
      <c r="LBG92" s="6"/>
      <c r="LBH92" s="6"/>
      <c r="LBI92" s="6"/>
      <c r="LBJ92" s="6"/>
      <c r="LBK92" s="6"/>
      <c r="LBL92" s="6"/>
      <c r="LBM92" s="6"/>
      <c r="LBN92" s="6"/>
      <c r="LBO92" s="6"/>
      <c r="LBP92" s="6"/>
      <c r="LBQ92" s="6"/>
      <c r="LBR92" s="6"/>
      <c r="LBS92" s="6"/>
      <c r="LBT92" s="6"/>
      <c r="LBU92" s="6"/>
      <c r="LBV92" s="6"/>
      <c r="LBW92" s="6"/>
      <c r="LBX92" s="6"/>
      <c r="LBY92" s="6"/>
      <c r="LBZ92" s="6"/>
      <c r="LCA92" s="6"/>
      <c r="LCB92" s="6"/>
      <c r="LCC92" s="6"/>
      <c r="LCD92" s="6"/>
      <c r="LCE92" s="6"/>
      <c r="LCF92" s="6"/>
      <c r="LCG92" s="6"/>
      <c r="LCH92" s="6"/>
      <c r="LCI92" s="6"/>
      <c r="LCJ92" s="6"/>
      <c r="LCK92" s="6"/>
      <c r="LCL92" s="6"/>
      <c r="LCM92" s="6"/>
      <c r="LCN92" s="6"/>
      <c r="LCO92" s="6"/>
      <c r="LCP92" s="6"/>
      <c r="LCQ92" s="6"/>
      <c r="LCR92" s="6"/>
      <c r="LCS92" s="6"/>
      <c r="LCT92" s="6"/>
      <c r="LCU92" s="6"/>
      <c r="LCV92" s="6"/>
      <c r="LCW92" s="6"/>
      <c r="LCX92" s="6"/>
      <c r="LCY92" s="6"/>
      <c r="LCZ92" s="6"/>
      <c r="LDA92" s="6"/>
      <c r="LDB92" s="6"/>
      <c r="LDC92" s="6"/>
      <c r="LDD92" s="6"/>
      <c r="LDE92" s="6"/>
      <c r="LDF92" s="6"/>
      <c r="LDG92" s="6"/>
      <c r="LDH92" s="6"/>
      <c r="LDI92" s="6"/>
      <c r="LDJ92" s="6"/>
      <c r="LDK92" s="6"/>
      <c r="LDL92" s="6"/>
      <c r="LDM92" s="6"/>
      <c r="LDN92" s="6"/>
      <c r="LDO92" s="6"/>
      <c r="LDP92" s="6"/>
      <c r="LDQ92" s="6"/>
      <c r="LDR92" s="6"/>
      <c r="LDS92" s="6"/>
      <c r="LDT92" s="6"/>
      <c r="LDU92" s="6"/>
      <c r="LDV92" s="6"/>
      <c r="LDW92" s="6"/>
      <c r="LDX92" s="6"/>
      <c r="LDY92" s="6"/>
      <c r="LDZ92" s="6"/>
      <c r="LEA92" s="6"/>
      <c r="LEB92" s="6"/>
      <c r="LEC92" s="6"/>
      <c r="LED92" s="6"/>
      <c r="LEE92" s="6"/>
      <c r="LEF92" s="6"/>
      <c r="LEG92" s="6"/>
      <c r="LEH92" s="6"/>
      <c r="LEI92" s="6"/>
      <c r="LEJ92" s="6"/>
      <c r="LEK92" s="6"/>
      <c r="LEL92" s="6"/>
      <c r="LEM92" s="6"/>
      <c r="LEN92" s="6"/>
      <c r="LEO92" s="6"/>
      <c r="LEP92" s="6"/>
      <c r="LEQ92" s="6"/>
      <c r="LER92" s="6"/>
      <c r="LES92" s="6"/>
      <c r="LET92" s="6"/>
      <c r="LEU92" s="6"/>
      <c r="LEV92" s="6"/>
      <c r="LEW92" s="6"/>
      <c r="LEX92" s="6"/>
      <c r="LEY92" s="6"/>
      <c r="LEZ92" s="6"/>
      <c r="LFA92" s="6"/>
      <c r="LFB92" s="6"/>
      <c r="LFC92" s="6"/>
      <c r="LFD92" s="6"/>
      <c r="LFE92" s="6"/>
      <c r="LFF92" s="6"/>
      <c r="LFG92" s="6"/>
      <c r="LFH92" s="6"/>
      <c r="LFI92" s="6"/>
      <c r="LFJ92" s="6"/>
      <c r="LFK92" s="6"/>
      <c r="LFL92" s="6"/>
      <c r="LFM92" s="6"/>
      <c r="LFN92" s="6"/>
      <c r="LFO92" s="6"/>
      <c r="LFP92" s="6"/>
      <c r="LFQ92" s="6"/>
      <c r="LFR92" s="6"/>
      <c r="LFS92" s="6"/>
      <c r="LFT92" s="6"/>
      <c r="LFU92" s="6"/>
      <c r="LFV92" s="6"/>
      <c r="LFW92" s="6"/>
      <c r="LFX92" s="6"/>
      <c r="LFY92" s="6"/>
      <c r="LFZ92" s="6"/>
      <c r="LGA92" s="6"/>
      <c r="LGB92" s="6"/>
      <c r="LGC92" s="6"/>
      <c r="LGD92" s="6"/>
      <c r="LGE92" s="6"/>
      <c r="LGF92" s="6"/>
      <c r="LGG92" s="6"/>
      <c r="LGH92" s="6"/>
      <c r="LGI92" s="6"/>
      <c r="LGJ92" s="6"/>
      <c r="LGK92" s="6"/>
      <c r="LGL92" s="6"/>
      <c r="LGM92" s="6"/>
      <c r="LGN92" s="6"/>
      <c r="LGO92" s="6"/>
      <c r="LGP92" s="6"/>
      <c r="LGQ92" s="6"/>
      <c r="LGR92" s="6"/>
      <c r="LGS92" s="6"/>
      <c r="LGT92" s="6"/>
      <c r="LGU92" s="6"/>
      <c r="LGV92" s="6"/>
      <c r="LGW92" s="6"/>
      <c r="LGX92" s="6"/>
      <c r="LGY92" s="6"/>
      <c r="LGZ92" s="6"/>
      <c r="LHA92" s="6"/>
      <c r="LHB92" s="6"/>
      <c r="LHC92" s="6"/>
      <c r="LHD92" s="6"/>
      <c r="LHE92" s="6"/>
      <c r="LHF92" s="6"/>
      <c r="LHG92" s="6"/>
      <c r="LHH92" s="6"/>
      <c r="LHI92" s="6"/>
      <c r="LHJ92" s="6"/>
      <c r="LHK92" s="6"/>
      <c r="LHL92" s="6"/>
      <c r="LHM92" s="6"/>
      <c r="LHN92" s="6"/>
      <c r="LHO92" s="6"/>
      <c r="LHP92" s="6"/>
      <c r="LHQ92" s="6"/>
      <c r="LHR92" s="6"/>
      <c r="LHS92" s="6"/>
      <c r="LHT92" s="6"/>
      <c r="LHU92" s="6"/>
      <c r="LHV92" s="6"/>
      <c r="LHW92" s="6"/>
      <c r="LHX92" s="6"/>
      <c r="LHY92" s="6"/>
      <c r="LHZ92" s="6"/>
      <c r="LIA92" s="6"/>
      <c r="LIB92" s="6"/>
      <c r="LIC92" s="6"/>
      <c r="LID92" s="6"/>
      <c r="LIE92" s="6"/>
      <c r="LIF92" s="6"/>
      <c r="LIG92" s="6"/>
      <c r="LIH92" s="6"/>
      <c r="LII92" s="6"/>
      <c r="LIJ92" s="6"/>
      <c r="LIK92" s="6"/>
      <c r="LIL92" s="6"/>
      <c r="LIM92" s="6"/>
      <c r="LIN92" s="6"/>
      <c r="LIO92" s="6"/>
      <c r="LIP92" s="6"/>
      <c r="LIQ92" s="6"/>
      <c r="LIR92" s="6"/>
      <c r="LIS92" s="6"/>
      <c r="LIT92" s="6"/>
      <c r="LIU92" s="6"/>
      <c r="LIV92" s="6"/>
      <c r="LIW92" s="6"/>
      <c r="LIX92" s="6"/>
      <c r="LIY92" s="6"/>
      <c r="LIZ92" s="6"/>
      <c r="LJA92" s="6"/>
      <c r="LJB92" s="6"/>
      <c r="LJC92" s="6"/>
      <c r="LJD92" s="6"/>
      <c r="LJE92" s="6"/>
      <c r="LJF92" s="6"/>
      <c r="LJG92" s="6"/>
      <c r="LJH92" s="6"/>
      <c r="LJI92" s="6"/>
      <c r="LJJ92" s="6"/>
      <c r="LJK92" s="6"/>
      <c r="LJL92" s="6"/>
      <c r="LJM92" s="6"/>
      <c r="LJN92" s="6"/>
      <c r="LJO92" s="6"/>
      <c r="LJP92" s="6"/>
      <c r="LJQ92" s="6"/>
      <c r="LJR92" s="6"/>
      <c r="LJS92" s="6"/>
      <c r="LJT92" s="6"/>
      <c r="LJU92" s="6"/>
      <c r="LJV92" s="6"/>
      <c r="LJW92" s="6"/>
      <c r="LJX92" s="6"/>
      <c r="LJY92" s="6"/>
      <c r="LJZ92" s="6"/>
      <c r="LKA92" s="6"/>
      <c r="LKB92" s="6"/>
      <c r="LKC92" s="6"/>
      <c r="LKD92" s="6"/>
      <c r="LKE92" s="6"/>
      <c r="LKF92" s="6"/>
      <c r="LKG92" s="6"/>
      <c r="LKH92" s="6"/>
      <c r="LKI92" s="6"/>
      <c r="LKJ92" s="6"/>
      <c r="LKK92" s="6"/>
      <c r="LKL92" s="6"/>
      <c r="LKM92" s="6"/>
      <c r="LKN92" s="6"/>
      <c r="LKO92" s="6"/>
      <c r="LKP92" s="6"/>
      <c r="LKQ92" s="6"/>
      <c r="LKR92" s="6"/>
      <c r="LKS92" s="6"/>
      <c r="LKT92" s="6"/>
      <c r="LKU92" s="6"/>
      <c r="LKV92" s="6"/>
      <c r="LKW92" s="6"/>
      <c r="LKX92" s="6"/>
      <c r="LKY92" s="6"/>
      <c r="LKZ92" s="6"/>
      <c r="LLA92" s="6"/>
      <c r="LLB92" s="6"/>
      <c r="LLC92" s="6"/>
      <c r="LLD92" s="6"/>
      <c r="LLE92" s="6"/>
      <c r="LLF92" s="6"/>
      <c r="LLG92" s="6"/>
      <c r="LLH92" s="6"/>
      <c r="LLI92" s="6"/>
      <c r="LLJ92" s="6"/>
      <c r="LLK92" s="6"/>
      <c r="LLL92" s="6"/>
      <c r="LLM92" s="6"/>
      <c r="LLN92" s="6"/>
      <c r="LLO92" s="6"/>
      <c r="LLP92" s="6"/>
      <c r="LLQ92" s="6"/>
      <c r="LLR92" s="6"/>
      <c r="LLS92" s="6"/>
      <c r="LLT92" s="6"/>
      <c r="LLU92" s="6"/>
      <c r="LLV92" s="6"/>
      <c r="LLW92" s="6"/>
      <c r="LLX92" s="6"/>
      <c r="LLY92" s="6"/>
      <c r="LLZ92" s="6"/>
      <c r="LMA92" s="6"/>
      <c r="LMB92" s="6"/>
      <c r="LMC92" s="6"/>
      <c r="LMD92" s="6"/>
      <c r="LME92" s="6"/>
      <c r="LMF92" s="6"/>
      <c r="LMG92" s="6"/>
      <c r="LMH92" s="6"/>
      <c r="LMI92" s="6"/>
      <c r="LMJ92" s="6"/>
      <c r="LMK92" s="6"/>
      <c r="LML92" s="6"/>
      <c r="LMM92" s="6"/>
      <c r="LMN92" s="6"/>
      <c r="LMO92" s="6"/>
      <c r="LMP92" s="6"/>
      <c r="LMQ92" s="6"/>
      <c r="LMR92" s="6"/>
      <c r="LMS92" s="6"/>
      <c r="LMT92" s="6"/>
      <c r="LMU92" s="6"/>
      <c r="LMV92" s="6"/>
      <c r="LMW92" s="6"/>
      <c r="LMX92" s="6"/>
      <c r="LMY92" s="6"/>
      <c r="LMZ92" s="6"/>
      <c r="LNA92" s="6"/>
      <c r="LNB92" s="6"/>
      <c r="LNC92" s="6"/>
      <c r="LND92" s="6"/>
      <c r="LNE92" s="6"/>
      <c r="LNF92" s="6"/>
      <c r="LNG92" s="6"/>
      <c r="LNH92" s="6"/>
      <c r="LNI92" s="6"/>
      <c r="LNJ92" s="6"/>
      <c r="LNK92" s="6"/>
      <c r="LNL92" s="6"/>
      <c r="LNM92" s="6"/>
      <c r="LNN92" s="6"/>
      <c r="LNO92" s="6"/>
      <c r="LNP92" s="6"/>
      <c r="LNQ92" s="6"/>
      <c r="LNR92" s="6"/>
      <c r="LNS92" s="6"/>
      <c r="LNT92" s="6"/>
      <c r="LNU92" s="6"/>
      <c r="LNV92" s="6"/>
      <c r="LNW92" s="6"/>
      <c r="LNX92" s="6"/>
      <c r="LNY92" s="6"/>
      <c r="LNZ92" s="6"/>
      <c r="LOA92" s="6"/>
      <c r="LOB92" s="6"/>
      <c r="LOC92" s="6"/>
      <c r="LOD92" s="6"/>
      <c r="LOE92" s="6"/>
      <c r="LOF92" s="6"/>
      <c r="LOG92" s="6"/>
      <c r="LOH92" s="6"/>
      <c r="LOI92" s="6"/>
      <c r="LOJ92" s="6"/>
      <c r="LOK92" s="6"/>
      <c r="LOL92" s="6"/>
      <c r="LOM92" s="6"/>
      <c r="LON92" s="6"/>
      <c r="LOO92" s="6"/>
      <c r="LOP92" s="6"/>
      <c r="LOQ92" s="6"/>
      <c r="LOR92" s="6"/>
      <c r="LOS92" s="6"/>
      <c r="LOT92" s="6"/>
      <c r="LOU92" s="6"/>
      <c r="LOV92" s="6"/>
      <c r="LOW92" s="6"/>
      <c r="LOX92" s="6"/>
      <c r="LOY92" s="6"/>
      <c r="LOZ92" s="6"/>
      <c r="LPA92" s="6"/>
      <c r="LPB92" s="6"/>
      <c r="LPC92" s="6"/>
      <c r="LPD92" s="6"/>
      <c r="LPE92" s="6"/>
      <c r="LPF92" s="6"/>
      <c r="LPG92" s="6"/>
      <c r="LPH92" s="6"/>
      <c r="LPI92" s="6"/>
      <c r="LPJ92" s="6"/>
      <c r="LPK92" s="6"/>
      <c r="LPL92" s="6"/>
      <c r="LPM92" s="6"/>
      <c r="LPN92" s="6"/>
      <c r="LPO92" s="6"/>
      <c r="LPP92" s="6"/>
      <c r="LPQ92" s="6"/>
      <c r="LPR92" s="6"/>
      <c r="LPS92" s="6"/>
      <c r="LPT92" s="6"/>
      <c r="LPU92" s="6"/>
      <c r="LPV92" s="6"/>
      <c r="LPW92" s="6"/>
      <c r="LPX92" s="6"/>
      <c r="LPY92" s="6"/>
      <c r="LPZ92" s="6"/>
      <c r="LQA92" s="6"/>
      <c r="LQB92" s="6"/>
      <c r="LQC92" s="6"/>
      <c r="LQD92" s="6"/>
      <c r="LQE92" s="6"/>
      <c r="LQF92" s="6"/>
      <c r="LQG92" s="6"/>
      <c r="LQH92" s="6"/>
      <c r="LQI92" s="6"/>
      <c r="LQJ92" s="6"/>
      <c r="LQK92" s="6"/>
      <c r="LQL92" s="6"/>
      <c r="LQM92" s="6"/>
      <c r="LQN92" s="6"/>
      <c r="LQO92" s="6"/>
      <c r="LQP92" s="6"/>
      <c r="LQQ92" s="6"/>
      <c r="LQR92" s="6"/>
      <c r="LQS92" s="6"/>
      <c r="LQT92" s="6"/>
      <c r="LQU92" s="6"/>
      <c r="LQV92" s="6"/>
      <c r="LQW92" s="6"/>
      <c r="LQX92" s="6"/>
      <c r="LQY92" s="6"/>
      <c r="LQZ92" s="6"/>
      <c r="LRA92" s="6"/>
      <c r="LRB92" s="6"/>
      <c r="LRC92" s="6"/>
      <c r="LRD92" s="6"/>
      <c r="LRE92" s="6"/>
      <c r="LRF92" s="6"/>
      <c r="LRG92" s="6"/>
      <c r="LRH92" s="6"/>
      <c r="LRI92" s="6"/>
      <c r="LRJ92" s="6"/>
      <c r="LRK92" s="6"/>
      <c r="LRL92" s="6"/>
      <c r="LRM92" s="6"/>
      <c r="LRN92" s="6"/>
      <c r="LRO92" s="6"/>
      <c r="LRP92" s="6"/>
      <c r="LRQ92" s="6"/>
      <c r="LRR92" s="6"/>
      <c r="LRS92" s="6"/>
      <c r="LRT92" s="6"/>
      <c r="LRU92" s="6"/>
      <c r="LRV92" s="6"/>
      <c r="LRW92" s="6"/>
      <c r="LRX92" s="6"/>
      <c r="LRY92" s="6"/>
      <c r="LRZ92" s="6"/>
      <c r="LSA92" s="6"/>
      <c r="LSB92" s="6"/>
      <c r="LSC92" s="6"/>
      <c r="LSD92" s="6"/>
      <c r="LSE92" s="6"/>
      <c r="LSF92" s="6"/>
      <c r="LSG92" s="6"/>
      <c r="LSH92" s="6"/>
      <c r="LSI92" s="6"/>
      <c r="LSJ92" s="6"/>
      <c r="LSK92" s="6"/>
      <c r="LSL92" s="6"/>
      <c r="LSM92" s="6"/>
      <c r="LSN92" s="6"/>
      <c r="LSO92" s="6"/>
      <c r="LSP92" s="6"/>
      <c r="LSQ92" s="6"/>
      <c r="LSR92" s="6"/>
      <c r="LSS92" s="6"/>
      <c r="LST92" s="6"/>
      <c r="LSU92" s="6"/>
      <c r="LSV92" s="6"/>
      <c r="LSW92" s="6"/>
      <c r="LSX92" s="6"/>
      <c r="LSY92" s="6"/>
      <c r="LSZ92" s="6"/>
      <c r="LTA92" s="6"/>
      <c r="LTB92" s="6"/>
      <c r="LTC92" s="6"/>
      <c r="LTD92" s="6"/>
      <c r="LTE92" s="6"/>
      <c r="LTF92" s="6"/>
      <c r="LTG92" s="6"/>
      <c r="LTH92" s="6"/>
      <c r="LTI92" s="6"/>
      <c r="LTJ92" s="6"/>
      <c r="LTK92" s="6"/>
      <c r="LTL92" s="6"/>
      <c r="LTM92" s="6"/>
      <c r="LTN92" s="6"/>
      <c r="LTO92" s="6"/>
      <c r="LTP92" s="6"/>
      <c r="LTQ92" s="6"/>
      <c r="LTR92" s="6"/>
      <c r="LTS92" s="6"/>
      <c r="LTT92" s="6"/>
      <c r="LTU92" s="6"/>
      <c r="LTV92" s="6"/>
      <c r="LTW92" s="6"/>
      <c r="LTX92" s="6"/>
      <c r="LTY92" s="6"/>
      <c r="LTZ92" s="6"/>
      <c r="LUA92" s="6"/>
      <c r="LUB92" s="6"/>
      <c r="LUC92" s="6"/>
      <c r="LUD92" s="6"/>
      <c r="LUE92" s="6"/>
      <c r="LUF92" s="6"/>
      <c r="LUG92" s="6"/>
      <c r="LUH92" s="6"/>
      <c r="LUI92" s="6"/>
      <c r="LUJ92" s="6"/>
      <c r="LUK92" s="6"/>
      <c r="LUL92" s="6"/>
      <c r="LUM92" s="6"/>
      <c r="LUN92" s="6"/>
      <c r="LUO92" s="6"/>
      <c r="LUP92" s="6"/>
      <c r="LUQ92" s="6"/>
      <c r="LUR92" s="6"/>
      <c r="LUS92" s="6"/>
      <c r="LUT92" s="6"/>
      <c r="LUU92" s="6"/>
      <c r="LUV92" s="6"/>
      <c r="LUW92" s="6"/>
      <c r="LUX92" s="6"/>
      <c r="LUY92" s="6"/>
      <c r="LUZ92" s="6"/>
      <c r="LVA92" s="6"/>
      <c r="LVB92" s="6"/>
      <c r="LVC92" s="6"/>
      <c r="LVD92" s="6"/>
      <c r="LVE92" s="6"/>
      <c r="LVF92" s="6"/>
      <c r="LVG92" s="6"/>
      <c r="LVH92" s="6"/>
      <c r="LVI92" s="6"/>
      <c r="LVJ92" s="6"/>
      <c r="LVK92" s="6"/>
      <c r="LVL92" s="6"/>
      <c r="LVM92" s="6"/>
      <c r="LVN92" s="6"/>
      <c r="LVO92" s="6"/>
      <c r="LVP92" s="6"/>
      <c r="LVQ92" s="6"/>
      <c r="LVR92" s="6"/>
      <c r="LVS92" s="6"/>
      <c r="LVT92" s="6"/>
      <c r="LVU92" s="6"/>
      <c r="LVV92" s="6"/>
      <c r="LVW92" s="6"/>
      <c r="LVX92" s="6"/>
      <c r="LVY92" s="6"/>
      <c r="LVZ92" s="6"/>
      <c r="LWA92" s="6"/>
      <c r="LWB92" s="6"/>
      <c r="LWC92" s="6"/>
      <c r="LWD92" s="6"/>
      <c r="LWE92" s="6"/>
      <c r="LWF92" s="6"/>
      <c r="LWG92" s="6"/>
      <c r="LWH92" s="6"/>
      <c r="LWI92" s="6"/>
      <c r="LWJ92" s="6"/>
      <c r="LWK92" s="6"/>
      <c r="LWL92" s="6"/>
      <c r="LWM92" s="6"/>
      <c r="LWN92" s="6"/>
      <c r="LWO92" s="6"/>
      <c r="LWP92" s="6"/>
      <c r="LWQ92" s="6"/>
      <c r="LWR92" s="6"/>
      <c r="LWS92" s="6"/>
      <c r="LWT92" s="6"/>
      <c r="LWU92" s="6"/>
      <c r="LWV92" s="6"/>
      <c r="LWW92" s="6"/>
      <c r="LWX92" s="6"/>
      <c r="LWY92" s="6"/>
      <c r="LWZ92" s="6"/>
      <c r="LXA92" s="6"/>
      <c r="LXB92" s="6"/>
      <c r="LXC92" s="6"/>
      <c r="LXD92" s="6"/>
      <c r="LXE92" s="6"/>
      <c r="LXF92" s="6"/>
      <c r="LXG92" s="6"/>
      <c r="LXH92" s="6"/>
      <c r="LXI92" s="6"/>
      <c r="LXJ92" s="6"/>
      <c r="LXK92" s="6"/>
      <c r="LXL92" s="6"/>
      <c r="LXM92" s="6"/>
      <c r="LXN92" s="6"/>
      <c r="LXO92" s="6"/>
      <c r="LXP92" s="6"/>
      <c r="LXQ92" s="6"/>
      <c r="LXR92" s="6"/>
      <c r="LXS92" s="6"/>
      <c r="LXT92" s="6"/>
      <c r="LXU92" s="6"/>
      <c r="LXV92" s="6"/>
      <c r="LXW92" s="6"/>
      <c r="LXX92" s="6"/>
      <c r="LXY92" s="6"/>
      <c r="LXZ92" s="6"/>
      <c r="LYA92" s="6"/>
      <c r="LYB92" s="6"/>
      <c r="LYC92" s="6"/>
      <c r="LYD92" s="6"/>
      <c r="LYE92" s="6"/>
      <c r="LYF92" s="6"/>
      <c r="LYG92" s="6"/>
      <c r="LYH92" s="6"/>
      <c r="LYI92" s="6"/>
      <c r="LYJ92" s="6"/>
      <c r="LYK92" s="6"/>
      <c r="LYL92" s="6"/>
      <c r="LYM92" s="6"/>
      <c r="LYN92" s="6"/>
      <c r="LYO92" s="6"/>
      <c r="LYP92" s="6"/>
      <c r="LYQ92" s="6"/>
      <c r="LYR92" s="6"/>
      <c r="LYS92" s="6"/>
      <c r="LYT92" s="6"/>
      <c r="LYU92" s="6"/>
      <c r="LYV92" s="6"/>
      <c r="LYW92" s="6"/>
      <c r="LYX92" s="6"/>
      <c r="LYY92" s="6"/>
      <c r="LYZ92" s="6"/>
      <c r="LZA92" s="6"/>
      <c r="LZB92" s="6"/>
      <c r="LZC92" s="6"/>
      <c r="LZD92" s="6"/>
      <c r="LZE92" s="6"/>
      <c r="LZF92" s="6"/>
      <c r="LZG92" s="6"/>
      <c r="LZH92" s="6"/>
      <c r="LZI92" s="6"/>
      <c r="LZJ92" s="6"/>
      <c r="LZK92" s="6"/>
      <c r="LZL92" s="6"/>
      <c r="LZM92" s="6"/>
      <c r="LZN92" s="6"/>
      <c r="LZO92" s="6"/>
      <c r="LZP92" s="6"/>
      <c r="LZQ92" s="6"/>
      <c r="LZR92" s="6"/>
      <c r="LZS92" s="6"/>
      <c r="LZT92" s="6"/>
      <c r="LZU92" s="6"/>
      <c r="LZV92" s="6"/>
      <c r="LZW92" s="6"/>
      <c r="LZX92" s="6"/>
      <c r="LZY92" s="6"/>
      <c r="LZZ92" s="6"/>
      <c r="MAA92" s="6"/>
      <c r="MAB92" s="6"/>
      <c r="MAC92" s="6"/>
      <c r="MAD92" s="6"/>
      <c r="MAE92" s="6"/>
      <c r="MAF92" s="6"/>
      <c r="MAG92" s="6"/>
      <c r="MAH92" s="6"/>
      <c r="MAI92" s="6"/>
      <c r="MAJ92" s="6"/>
      <c r="MAK92" s="6"/>
      <c r="MAL92" s="6"/>
      <c r="MAM92" s="6"/>
      <c r="MAN92" s="6"/>
      <c r="MAO92" s="6"/>
      <c r="MAP92" s="6"/>
      <c r="MAQ92" s="6"/>
      <c r="MAR92" s="6"/>
      <c r="MAS92" s="6"/>
      <c r="MAT92" s="6"/>
      <c r="MAU92" s="6"/>
      <c r="MAV92" s="6"/>
      <c r="MAW92" s="6"/>
      <c r="MAX92" s="6"/>
      <c r="MAY92" s="6"/>
      <c r="MAZ92" s="6"/>
      <c r="MBA92" s="6"/>
      <c r="MBB92" s="6"/>
      <c r="MBC92" s="6"/>
      <c r="MBD92" s="6"/>
      <c r="MBE92" s="6"/>
      <c r="MBF92" s="6"/>
      <c r="MBG92" s="6"/>
      <c r="MBH92" s="6"/>
      <c r="MBI92" s="6"/>
      <c r="MBJ92" s="6"/>
      <c r="MBK92" s="6"/>
      <c r="MBL92" s="6"/>
      <c r="MBM92" s="6"/>
      <c r="MBN92" s="6"/>
      <c r="MBO92" s="6"/>
      <c r="MBP92" s="6"/>
      <c r="MBQ92" s="6"/>
      <c r="MBR92" s="6"/>
      <c r="MBS92" s="6"/>
      <c r="MBT92" s="6"/>
      <c r="MBU92" s="6"/>
      <c r="MBV92" s="6"/>
      <c r="MBW92" s="6"/>
      <c r="MBX92" s="6"/>
      <c r="MBY92" s="6"/>
      <c r="MBZ92" s="6"/>
      <c r="MCA92" s="6"/>
      <c r="MCB92" s="6"/>
      <c r="MCC92" s="6"/>
      <c r="MCD92" s="6"/>
      <c r="MCE92" s="6"/>
      <c r="MCF92" s="6"/>
      <c r="MCG92" s="6"/>
      <c r="MCH92" s="6"/>
      <c r="MCI92" s="6"/>
      <c r="MCJ92" s="6"/>
      <c r="MCK92" s="6"/>
      <c r="MCL92" s="6"/>
      <c r="MCM92" s="6"/>
      <c r="MCN92" s="6"/>
      <c r="MCO92" s="6"/>
      <c r="MCP92" s="6"/>
      <c r="MCQ92" s="6"/>
      <c r="MCR92" s="6"/>
      <c r="MCS92" s="6"/>
      <c r="MCT92" s="6"/>
      <c r="MCU92" s="6"/>
      <c r="MCV92" s="6"/>
      <c r="MCW92" s="6"/>
      <c r="MCX92" s="6"/>
      <c r="MCY92" s="6"/>
      <c r="MCZ92" s="6"/>
      <c r="MDA92" s="6"/>
      <c r="MDB92" s="6"/>
      <c r="MDC92" s="6"/>
      <c r="MDD92" s="6"/>
      <c r="MDE92" s="6"/>
      <c r="MDF92" s="6"/>
      <c r="MDG92" s="6"/>
      <c r="MDH92" s="6"/>
      <c r="MDI92" s="6"/>
      <c r="MDJ92" s="6"/>
      <c r="MDK92" s="6"/>
      <c r="MDL92" s="6"/>
      <c r="MDM92" s="6"/>
      <c r="MDN92" s="6"/>
      <c r="MDO92" s="6"/>
      <c r="MDP92" s="6"/>
      <c r="MDQ92" s="6"/>
      <c r="MDR92" s="6"/>
      <c r="MDS92" s="6"/>
      <c r="MDT92" s="6"/>
      <c r="MDU92" s="6"/>
      <c r="MDV92" s="6"/>
      <c r="MDW92" s="6"/>
      <c r="MDX92" s="6"/>
      <c r="MDY92" s="6"/>
      <c r="MDZ92" s="6"/>
      <c r="MEA92" s="6"/>
      <c r="MEB92" s="6"/>
      <c r="MEC92" s="6"/>
      <c r="MED92" s="6"/>
      <c r="MEE92" s="6"/>
      <c r="MEF92" s="6"/>
      <c r="MEG92" s="6"/>
      <c r="MEH92" s="6"/>
      <c r="MEI92" s="6"/>
      <c r="MEJ92" s="6"/>
      <c r="MEK92" s="6"/>
      <c r="MEL92" s="6"/>
      <c r="MEM92" s="6"/>
      <c r="MEN92" s="6"/>
      <c r="MEO92" s="6"/>
      <c r="MEP92" s="6"/>
      <c r="MEQ92" s="6"/>
      <c r="MER92" s="6"/>
      <c r="MES92" s="6"/>
      <c r="MET92" s="6"/>
      <c r="MEU92" s="6"/>
      <c r="MEV92" s="6"/>
      <c r="MEW92" s="6"/>
      <c r="MEX92" s="6"/>
      <c r="MEY92" s="6"/>
      <c r="MEZ92" s="6"/>
      <c r="MFA92" s="6"/>
      <c r="MFB92" s="6"/>
      <c r="MFC92" s="6"/>
      <c r="MFD92" s="6"/>
      <c r="MFE92" s="6"/>
      <c r="MFF92" s="6"/>
      <c r="MFG92" s="6"/>
      <c r="MFH92" s="6"/>
      <c r="MFI92" s="6"/>
      <c r="MFJ92" s="6"/>
      <c r="MFK92" s="6"/>
      <c r="MFL92" s="6"/>
      <c r="MFM92" s="6"/>
      <c r="MFN92" s="6"/>
      <c r="MFO92" s="6"/>
      <c r="MFP92" s="6"/>
      <c r="MFQ92" s="6"/>
      <c r="MFR92" s="6"/>
      <c r="MFS92" s="6"/>
      <c r="MFT92" s="6"/>
      <c r="MFU92" s="6"/>
      <c r="MFV92" s="6"/>
      <c r="MFW92" s="6"/>
      <c r="MFX92" s="6"/>
      <c r="MFY92" s="6"/>
      <c r="MFZ92" s="6"/>
      <c r="MGA92" s="6"/>
      <c r="MGB92" s="6"/>
      <c r="MGC92" s="6"/>
      <c r="MGD92" s="6"/>
      <c r="MGE92" s="6"/>
      <c r="MGF92" s="6"/>
      <c r="MGG92" s="6"/>
      <c r="MGH92" s="6"/>
      <c r="MGI92" s="6"/>
      <c r="MGJ92" s="6"/>
      <c r="MGK92" s="6"/>
      <c r="MGL92" s="6"/>
      <c r="MGM92" s="6"/>
      <c r="MGN92" s="6"/>
      <c r="MGO92" s="6"/>
      <c r="MGP92" s="6"/>
      <c r="MGQ92" s="6"/>
      <c r="MGR92" s="6"/>
      <c r="MGS92" s="6"/>
      <c r="MGT92" s="6"/>
      <c r="MGU92" s="6"/>
      <c r="MGV92" s="6"/>
      <c r="MGW92" s="6"/>
      <c r="MGX92" s="6"/>
      <c r="MGY92" s="6"/>
      <c r="MGZ92" s="6"/>
      <c r="MHA92" s="6"/>
      <c r="MHB92" s="6"/>
      <c r="MHC92" s="6"/>
      <c r="MHD92" s="6"/>
      <c r="MHE92" s="6"/>
      <c r="MHF92" s="6"/>
      <c r="MHG92" s="6"/>
      <c r="MHH92" s="6"/>
      <c r="MHI92" s="6"/>
      <c r="MHJ92" s="6"/>
      <c r="MHK92" s="6"/>
      <c r="MHL92" s="6"/>
      <c r="MHM92" s="6"/>
      <c r="MHN92" s="6"/>
      <c r="MHO92" s="6"/>
      <c r="MHP92" s="6"/>
      <c r="MHQ92" s="6"/>
      <c r="MHR92" s="6"/>
      <c r="MHS92" s="6"/>
      <c r="MHT92" s="6"/>
      <c r="MHU92" s="6"/>
      <c r="MHV92" s="6"/>
      <c r="MHW92" s="6"/>
      <c r="MHX92" s="6"/>
      <c r="MHY92" s="6"/>
      <c r="MHZ92" s="6"/>
      <c r="MIA92" s="6"/>
      <c r="MIB92" s="6"/>
      <c r="MIC92" s="6"/>
      <c r="MID92" s="6"/>
      <c r="MIE92" s="6"/>
      <c r="MIF92" s="6"/>
      <c r="MIG92" s="6"/>
      <c r="MIH92" s="6"/>
      <c r="MII92" s="6"/>
      <c r="MIJ92" s="6"/>
      <c r="MIK92" s="6"/>
      <c r="MIL92" s="6"/>
      <c r="MIM92" s="6"/>
      <c r="MIN92" s="6"/>
      <c r="MIO92" s="6"/>
      <c r="MIP92" s="6"/>
      <c r="MIQ92" s="6"/>
      <c r="MIR92" s="6"/>
      <c r="MIS92" s="6"/>
      <c r="MIT92" s="6"/>
      <c r="MIU92" s="6"/>
      <c r="MIV92" s="6"/>
      <c r="MIW92" s="6"/>
      <c r="MIX92" s="6"/>
      <c r="MIY92" s="6"/>
      <c r="MIZ92" s="6"/>
      <c r="MJA92" s="6"/>
      <c r="MJB92" s="6"/>
      <c r="MJC92" s="6"/>
      <c r="MJD92" s="6"/>
      <c r="MJE92" s="6"/>
      <c r="MJF92" s="6"/>
      <c r="MJG92" s="6"/>
      <c r="MJH92" s="6"/>
      <c r="MJI92" s="6"/>
      <c r="MJJ92" s="6"/>
      <c r="MJK92" s="6"/>
      <c r="MJL92" s="6"/>
      <c r="MJM92" s="6"/>
      <c r="MJN92" s="6"/>
      <c r="MJO92" s="6"/>
      <c r="MJP92" s="6"/>
      <c r="MJQ92" s="6"/>
      <c r="MJR92" s="6"/>
      <c r="MJS92" s="6"/>
      <c r="MJT92" s="6"/>
      <c r="MJU92" s="6"/>
      <c r="MJV92" s="6"/>
      <c r="MJW92" s="6"/>
      <c r="MJX92" s="6"/>
      <c r="MJY92" s="6"/>
      <c r="MJZ92" s="6"/>
      <c r="MKA92" s="6"/>
      <c r="MKB92" s="6"/>
      <c r="MKC92" s="6"/>
      <c r="MKD92" s="6"/>
      <c r="MKE92" s="6"/>
      <c r="MKF92" s="6"/>
      <c r="MKG92" s="6"/>
      <c r="MKH92" s="6"/>
      <c r="MKI92" s="6"/>
      <c r="MKJ92" s="6"/>
      <c r="MKK92" s="6"/>
      <c r="MKL92" s="6"/>
      <c r="MKM92" s="6"/>
      <c r="MKN92" s="6"/>
      <c r="MKO92" s="6"/>
      <c r="MKP92" s="6"/>
      <c r="MKQ92" s="6"/>
      <c r="MKR92" s="6"/>
      <c r="MKS92" s="6"/>
      <c r="MKT92" s="6"/>
      <c r="MKU92" s="6"/>
      <c r="MKV92" s="6"/>
      <c r="MKW92" s="6"/>
      <c r="MKX92" s="6"/>
      <c r="MKY92" s="6"/>
      <c r="MKZ92" s="6"/>
      <c r="MLA92" s="6"/>
      <c r="MLB92" s="6"/>
      <c r="MLC92" s="6"/>
      <c r="MLD92" s="6"/>
      <c r="MLE92" s="6"/>
      <c r="MLF92" s="6"/>
      <c r="MLG92" s="6"/>
      <c r="MLH92" s="6"/>
      <c r="MLI92" s="6"/>
      <c r="MLJ92" s="6"/>
      <c r="MLK92" s="6"/>
      <c r="MLL92" s="6"/>
      <c r="MLM92" s="6"/>
      <c r="MLN92" s="6"/>
      <c r="MLO92" s="6"/>
      <c r="MLP92" s="6"/>
      <c r="MLQ92" s="6"/>
      <c r="MLR92" s="6"/>
      <c r="MLS92" s="6"/>
      <c r="MLT92" s="6"/>
      <c r="MLU92" s="6"/>
      <c r="MLV92" s="6"/>
      <c r="MLW92" s="6"/>
      <c r="MLX92" s="6"/>
      <c r="MLY92" s="6"/>
      <c r="MLZ92" s="6"/>
      <c r="MMA92" s="6"/>
      <c r="MMB92" s="6"/>
      <c r="MMC92" s="6"/>
      <c r="MMD92" s="6"/>
      <c r="MME92" s="6"/>
      <c r="MMF92" s="6"/>
      <c r="MMG92" s="6"/>
      <c r="MMH92" s="6"/>
      <c r="MMI92" s="6"/>
      <c r="MMJ92" s="6"/>
      <c r="MMK92" s="6"/>
      <c r="MML92" s="6"/>
      <c r="MMM92" s="6"/>
      <c r="MMN92" s="6"/>
      <c r="MMO92" s="6"/>
      <c r="MMP92" s="6"/>
      <c r="MMQ92" s="6"/>
      <c r="MMR92" s="6"/>
      <c r="MMS92" s="6"/>
      <c r="MMT92" s="6"/>
      <c r="MMU92" s="6"/>
      <c r="MMV92" s="6"/>
      <c r="MMW92" s="6"/>
      <c r="MMX92" s="6"/>
      <c r="MMY92" s="6"/>
      <c r="MMZ92" s="6"/>
      <c r="MNA92" s="6"/>
      <c r="MNB92" s="6"/>
      <c r="MNC92" s="6"/>
      <c r="MND92" s="6"/>
      <c r="MNE92" s="6"/>
      <c r="MNF92" s="6"/>
      <c r="MNG92" s="6"/>
      <c r="MNH92" s="6"/>
      <c r="MNI92" s="6"/>
      <c r="MNJ92" s="6"/>
      <c r="MNK92" s="6"/>
      <c r="MNL92" s="6"/>
      <c r="MNM92" s="6"/>
      <c r="MNN92" s="6"/>
      <c r="MNO92" s="6"/>
      <c r="MNP92" s="6"/>
      <c r="MNQ92" s="6"/>
      <c r="MNR92" s="6"/>
      <c r="MNS92" s="6"/>
      <c r="MNT92" s="6"/>
      <c r="MNU92" s="6"/>
      <c r="MNV92" s="6"/>
      <c r="MNW92" s="6"/>
      <c r="MNX92" s="6"/>
      <c r="MNY92" s="6"/>
      <c r="MNZ92" s="6"/>
      <c r="MOA92" s="6"/>
      <c r="MOB92" s="6"/>
      <c r="MOC92" s="6"/>
      <c r="MOD92" s="6"/>
      <c r="MOE92" s="6"/>
      <c r="MOF92" s="6"/>
      <c r="MOG92" s="6"/>
      <c r="MOH92" s="6"/>
      <c r="MOI92" s="6"/>
      <c r="MOJ92" s="6"/>
      <c r="MOK92" s="6"/>
      <c r="MOL92" s="6"/>
      <c r="MOM92" s="6"/>
      <c r="MON92" s="6"/>
      <c r="MOO92" s="6"/>
      <c r="MOP92" s="6"/>
      <c r="MOQ92" s="6"/>
      <c r="MOR92" s="6"/>
      <c r="MOS92" s="6"/>
      <c r="MOT92" s="6"/>
      <c r="MOU92" s="6"/>
      <c r="MOV92" s="6"/>
      <c r="MOW92" s="6"/>
      <c r="MOX92" s="6"/>
      <c r="MOY92" s="6"/>
      <c r="MOZ92" s="6"/>
      <c r="MPA92" s="6"/>
      <c r="MPB92" s="6"/>
      <c r="MPC92" s="6"/>
      <c r="MPD92" s="6"/>
      <c r="MPE92" s="6"/>
      <c r="MPF92" s="6"/>
      <c r="MPG92" s="6"/>
      <c r="MPH92" s="6"/>
      <c r="MPI92" s="6"/>
      <c r="MPJ92" s="6"/>
      <c r="MPK92" s="6"/>
      <c r="MPL92" s="6"/>
      <c r="MPM92" s="6"/>
      <c r="MPN92" s="6"/>
      <c r="MPO92" s="6"/>
      <c r="MPP92" s="6"/>
      <c r="MPQ92" s="6"/>
      <c r="MPR92" s="6"/>
      <c r="MPS92" s="6"/>
      <c r="MPT92" s="6"/>
      <c r="MPU92" s="6"/>
      <c r="MPV92" s="6"/>
      <c r="MPW92" s="6"/>
      <c r="MPX92" s="6"/>
      <c r="MPY92" s="6"/>
      <c r="MPZ92" s="6"/>
      <c r="MQA92" s="6"/>
      <c r="MQB92" s="6"/>
      <c r="MQC92" s="6"/>
      <c r="MQD92" s="6"/>
      <c r="MQE92" s="6"/>
      <c r="MQF92" s="6"/>
      <c r="MQG92" s="6"/>
      <c r="MQH92" s="6"/>
      <c r="MQI92" s="6"/>
      <c r="MQJ92" s="6"/>
      <c r="MQK92" s="6"/>
      <c r="MQL92" s="6"/>
      <c r="MQM92" s="6"/>
      <c r="MQN92" s="6"/>
      <c r="MQO92" s="6"/>
      <c r="MQP92" s="6"/>
      <c r="MQQ92" s="6"/>
      <c r="MQR92" s="6"/>
      <c r="MQS92" s="6"/>
      <c r="MQT92" s="6"/>
      <c r="MQU92" s="6"/>
      <c r="MQV92" s="6"/>
      <c r="MQW92" s="6"/>
      <c r="MQX92" s="6"/>
      <c r="MQY92" s="6"/>
      <c r="MQZ92" s="6"/>
      <c r="MRA92" s="6"/>
      <c r="MRB92" s="6"/>
      <c r="MRC92" s="6"/>
      <c r="MRD92" s="6"/>
      <c r="MRE92" s="6"/>
      <c r="MRF92" s="6"/>
      <c r="MRG92" s="6"/>
      <c r="MRH92" s="6"/>
      <c r="MRI92" s="6"/>
      <c r="MRJ92" s="6"/>
      <c r="MRK92" s="6"/>
      <c r="MRL92" s="6"/>
      <c r="MRM92" s="6"/>
      <c r="MRN92" s="6"/>
      <c r="MRO92" s="6"/>
      <c r="MRP92" s="6"/>
      <c r="MRQ92" s="6"/>
      <c r="MRR92" s="6"/>
      <c r="MRS92" s="6"/>
      <c r="MRT92" s="6"/>
      <c r="MRU92" s="6"/>
      <c r="MRV92" s="6"/>
      <c r="MRW92" s="6"/>
      <c r="MRX92" s="6"/>
      <c r="MRY92" s="6"/>
      <c r="MRZ92" s="6"/>
      <c r="MSA92" s="6"/>
      <c r="MSB92" s="6"/>
      <c r="MSC92" s="6"/>
      <c r="MSD92" s="6"/>
      <c r="MSE92" s="6"/>
      <c r="MSF92" s="6"/>
      <c r="MSG92" s="6"/>
      <c r="MSH92" s="6"/>
      <c r="MSI92" s="6"/>
      <c r="MSJ92" s="6"/>
      <c r="MSK92" s="6"/>
      <c r="MSL92" s="6"/>
      <c r="MSM92" s="6"/>
      <c r="MSN92" s="6"/>
      <c r="MSO92" s="6"/>
      <c r="MSP92" s="6"/>
      <c r="MSQ92" s="6"/>
      <c r="MSR92" s="6"/>
      <c r="MSS92" s="6"/>
      <c r="MST92" s="6"/>
      <c r="MSU92" s="6"/>
      <c r="MSV92" s="6"/>
      <c r="MSW92" s="6"/>
      <c r="MSX92" s="6"/>
      <c r="MSY92" s="6"/>
      <c r="MSZ92" s="6"/>
      <c r="MTA92" s="6"/>
      <c r="MTB92" s="6"/>
      <c r="MTC92" s="6"/>
      <c r="MTD92" s="6"/>
      <c r="MTE92" s="6"/>
      <c r="MTF92" s="6"/>
      <c r="MTG92" s="6"/>
      <c r="MTH92" s="6"/>
      <c r="MTI92" s="6"/>
      <c r="MTJ92" s="6"/>
      <c r="MTK92" s="6"/>
      <c r="MTL92" s="6"/>
      <c r="MTM92" s="6"/>
      <c r="MTN92" s="6"/>
      <c r="MTO92" s="6"/>
      <c r="MTP92" s="6"/>
      <c r="MTQ92" s="6"/>
      <c r="MTR92" s="6"/>
      <c r="MTS92" s="6"/>
      <c r="MTT92" s="6"/>
      <c r="MTU92" s="6"/>
      <c r="MTV92" s="6"/>
      <c r="MTW92" s="6"/>
      <c r="MTX92" s="6"/>
      <c r="MTY92" s="6"/>
      <c r="MTZ92" s="6"/>
      <c r="MUA92" s="6"/>
      <c r="MUB92" s="6"/>
      <c r="MUC92" s="6"/>
      <c r="MUD92" s="6"/>
      <c r="MUE92" s="6"/>
      <c r="MUF92" s="6"/>
      <c r="MUG92" s="6"/>
      <c r="MUH92" s="6"/>
      <c r="MUI92" s="6"/>
      <c r="MUJ92" s="6"/>
      <c r="MUK92" s="6"/>
      <c r="MUL92" s="6"/>
      <c r="MUM92" s="6"/>
      <c r="MUN92" s="6"/>
      <c r="MUO92" s="6"/>
      <c r="MUP92" s="6"/>
      <c r="MUQ92" s="6"/>
      <c r="MUR92" s="6"/>
      <c r="MUS92" s="6"/>
      <c r="MUT92" s="6"/>
      <c r="MUU92" s="6"/>
      <c r="MUV92" s="6"/>
      <c r="MUW92" s="6"/>
      <c r="MUX92" s="6"/>
      <c r="MUY92" s="6"/>
      <c r="MUZ92" s="6"/>
      <c r="MVA92" s="6"/>
      <c r="MVB92" s="6"/>
      <c r="MVC92" s="6"/>
      <c r="MVD92" s="6"/>
      <c r="MVE92" s="6"/>
      <c r="MVF92" s="6"/>
      <c r="MVG92" s="6"/>
      <c r="MVH92" s="6"/>
      <c r="MVI92" s="6"/>
      <c r="MVJ92" s="6"/>
      <c r="MVK92" s="6"/>
      <c r="MVL92" s="6"/>
      <c r="MVM92" s="6"/>
      <c r="MVN92" s="6"/>
      <c r="MVO92" s="6"/>
      <c r="MVP92" s="6"/>
      <c r="MVQ92" s="6"/>
      <c r="MVR92" s="6"/>
      <c r="MVS92" s="6"/>
      <c r="MVT92" s="6"/>
      <c r="MVU92" s="6"/>
      <c r="MVV92" s="6"/>
      <c r="MVW92" s="6"/>
      <c r="MVX92" s="6"/>
      <c r="MVY92" s="6"/>
      <c r="MVZ92" s="6"/>
      <c r="MWA92" s="6"/>
      <c r="MWB92" s="6"/>
      <c r="MWC92" s="6"/>
      <c r="MWD92" s="6"/>
      <c r="MWE92" s="6"/>
      <c r="MWF92" s="6"/>
      <c r="MWG92" s="6"/>
      <c r="MWH92" s="6"/>
      <c r="MWI92" s="6"/>
      <c r="MWJ92" s="6"/>
      <c r="MWK92" s="6"/>
      <c r="MWL92" s="6"/>
      <c r="MWM92" s="6"/>
      <c r="MWN92" s="6"/>
      <c r="MWO92" s="6"/>
      <c r="MWP92" s="6"/>
      <c r="MWQ92" s="6"/>
      <c r="MWR92" s="6"/>
      <c r="MWS92" s="6"/>
      <c r="MWT92" s="6"/>
      <c r="MWU92" s="6"/>
      <c r="MWV92" s="6"/>
      <c r="MWW92" s="6"/>
      <c r="MWX92" s="6"/>
      <c r="MWY92" s="6"/>
      <c r="MWZ92" s="6"/>
      <c r="MXA92" s="6"/>
      <c r="MXB92" s="6"/>
      <c r="MXC92" s="6"/>
      <c r="MXD92" s="6"/>
      <c r="MXE92" s="6"/>
      <c r="MXF92" s="6"/>
      <c r="MXG92" s="6"/>
      <c r="MXH92" s="6"/>
      <c r="MXI92" s="6"/>
      <c r="MXJ92" s="6"/>
      <c r="MXK92" s="6"/>
      <c r="MXL92" s="6"/>
      <c r="MXM92" s="6"/>
      <c r="MXN92" s="6"/>
      <c r="MXO92" s="6"/>
      <c r="MXP92" s="6"/>
      <c r="MXQ92" s="6"/>
      <c r="MXR92" s="6"/>
      <c r="MXS92" s="6"/>
      <c r="MXT92" s="6"/>
      <c r="MXU92" s="6"/>
      <c r="MXV92" s="6"/>
      <c r="MXW92" s="6"/>
      <c r="MXX92" s="6"/>
      <c r="MXY92" s="6"/>
      <c r="MXZ92" s="6"/>
      <c r="MYA92" s="6"/>
      <c r="MYB92" s="6"/>
      <c r="MYC92" s="6"/>
      <c r="MYD92" s="6"/>
      <c r="MYE92" s="6"/>
      <c r="MYF92" s="6"/>
      <c r="MYG92" s="6"/>
      <c r="MYH92" s="6"/>
      <c r="MYI92" s="6"/>
      <c r="MYJ92" s="6"/>
      <c r="MYK92" s="6"/>
      <c r="MYL92" s="6"/>
      <c r="MYM92" s="6"/>
      <c r="MYN92" s="6"/>
      <c r="MYO92" s="6"/>
      <c r="MYP92" s="6"/>
      <c r="MYQ92" s="6"/>
      <c r="MYR92" s="6"/>
      <c r="MYS92" s="6"/>
      <c r="MYT92" s="6"/>
      <c r="MYU92" s="6"/>
      <c r="MYV92" s="6"/>
      <c r="MYW92" s="6"/>
      <c r="MYX92" s="6"/>
      <c r="MYY92" s="6"/>
      <c r="MYZ92" s="6"/>
      <c r="MZA92" s="6"/>
      <c r="MZB92" s="6"/>
      <c r="MZC92" s="6"/>
      <c r="MZD92" s="6"/>
      <c r="MZE92" s="6"/>
      <c r="MZF92" s="6"/>
      <c r="MZG92" s="6"/>
      <c r="MZH92" s="6"/>
      <c r="MZI92" s="6"/>
      <c r="MZJ92" s="6"/>
      <c r="MZK92" s="6"/>
      <c r="MZL92" s="6"/>
      <c r="MZM92" s="6"/>
      <c r="MZN92" s="6"/>
      <c r="MZO92" s="6"/>
      <c r="MZP92" s="6"/>
      <c r="MZQ92" s="6"/>
      <c r="MZR92" s="6"/>
      <c r="MZS92" s="6"/>
      <c r="MZT92" s="6"/>
      <c r="MZU92" s="6"/>
      <c r="MZV92" s="6"/>
      <c r="MZW92" s="6"/>
      <c r="MZX92" s="6"/>
      <c r="MZY92" s="6"/>
      <c r="MZZ92" s="6"/>
      <c r="NAA92" s="6"/>
      <c r="NAB92" s="6"/>
      <c r="NAC92" s="6"/>
      <c r="NAD92" s="6"/>
      <c r="NAE92" s="6"/>
      <c r="NAF92" s="6"/>
      <c r="NAG92" s="6"/>
      <c r="NAH92" s="6"/>
      <c r="NAI92" s="6"/>
      <c r="NAJ92" s="6"/>
      <c r="NAK92" s="6"/>
      <c r="NAL92" s="6"/>
      <c r="NAM92" s="6"/>
      <c r="NAN92" s="6"/>
      <c r="NAO92" s="6"/>
      <c r="NAP92" s="6"/>
      <c r="NAQ92" s="6"/>
      <c r="NAR92" s="6"/>
      <c r="NAS92" s="6"/>
      <c r="NAT92" s="6"/>
      <c r="NAU92" s="6"/>
      <c r="NAV92" s="6"/>
      <c r="NAW92" s="6"/>
      <c r="NAX92" s="6"/>
      <c r="NAY92" s="6"/>
      <c r="NAZ92" s="6"/>
      <c r="NBA92" s="6"/>
      <c r="NBB92" s="6"/>
      <c r="NBC92" s="6"/>
      <c r="NBD92" s="6"/>
      <c r="NBE92" s="6"/>
      <c r="NBF92" s="6"/>
      <c r="NBG92" s="6"/>
      <c r="NBH92" s="6"/>
      <c r="NBI92" s="6"/>
      <c r="NBJ92" s="6"/>
      <c r="NBK92" s="6"/>
      <c r="NBL92" s="6"/>
      <c r="NBM92" s="6"/>
      <c r="NBN92" s="6"/>
      <c r="NBO92" s="6"/>
      <c r="NBP92" s="6"/>
      <c r="NBQ92" s="6"/>
      <c r="NBR92" s="6"/>
      <c r="NBS92" s="6"/>
      <c r="NBT92" s="6"/>
      <c r="NBU92" s="6"/>
      <c r="NBV92" s="6"/>
      <c r="NBW92" s="6"/>
      <c r="NBX92" s="6"/>
      <c r="NBY92" s="6"/>
      <c r="NBZ92" s="6"/>
      <c r="NCA92" s="6"/>
      <c r="NCB92" s="6"/>
      <c r="NCC92" s="6"/>
      <c r="NCD92" s="6"/>
      <c r="NCE92" s="6"/>
      <c r="NCF92" s="6"/>
      <c r="NCG92" s="6"/>
      <c r="NCH92" s="6"/>
      <c r="NCI92" s="6"/>
      <c r="NCJ92" s="6"/>
      <c r="NCK92" s="6"/>
      <c r="NCL92" s="6"/>
      <c r="NCM92" s="6"/>
      <c r="NCN92" s="6"/>
      <c r="NCO92" s="6"/>
      <c r="NCP92" s="6"/>
      <c r="NCQ92" s="6"/>
      <c r="NCR92" s="6"/>
      <c r="NCS92" s="6"/>
      <c r="NCT92" s="6"/>
      <c r="NCU92" s="6"/>
      <c r="NCV92" s="6"/>
      <c r="NCW92" s="6"/>
      <c r="NCX92" s="6"/>
      <c r="NCY92" s="6"/>
      <c r="NCZ92" s="6"/>
      <c r="NDA92" s="6"/>
      <c r="NDB92" s="6"/>
      <c r="NDC92" s="6"/>
      <c r="NDD92" s="6"/>
      <c r="NDE92" s="6"/>
      <c r="NDF92" s="6"/>
      <c r="NDG92" s="6"/>
      <c r="NDH92" s="6"/>
      <c r="NDI92" s="6"/>
      <c r="NDJ92" s="6"/>
      <c r="NDK92" s="6"/>
      <c r="NDL92" s="6"/>
      <c r="NDM92" s="6"/>
      <c r="NDN92" s="6"/>
      <c r="NDO92" s="6"/>
      <c r="NDP92" s="6"/>
      <c r="NDQ92" s="6"/>
      <c r="NDR92" s="6"/>
      <c r="NDS92" s="6"/>
      <c r="NDT92" s="6"/>
      <c r="NDU92" s="6"/>
      <c r="NDV92" s="6"/>
      <c r="NDW92" s="6"/>
      <c r="NDX92" s="6"/>
      <c r="NDY92" s="6"/>
      <c r="NDZ92" s="6"/>
      <c r="NEA92" s="6"/>
      <c r="NEB92" s="6"/>
      <c r="NEC92" s="6"/>
      <c r="NED92" s="6"/>
      <c r="NEE92" s="6"/>
      <c r="NEF92" s="6"/>
      <c r="NEG92" s="6"/>
      <c r="NEH92" s="6"/>
      <c r="NEI92" s="6"/>
      <c r="NEJ92" s="6"/>
      <c r="NEK92" s="6"/>
      <c r="NEL92" s="6"/>
      <c r="NEM92" s="6"/>
      <c r="NEN92" s="6"/>
      <c r="NEO92" s="6"/>
      <c r="NEP92" s="6"/>
      <c r="NEQ92" s="6"/>
      <c r="NER92" s="6"/>
      <c r="NES92" s="6"/>
      <c r="NET92" s="6"/>
      <c r="NEU92" s="6"/>
      <c r="NEV92" s="6"/>
      <c r="NEW92" s="6"/>
      <c r="NEX92" s="6"/>
      <c r="NEY92" s="6"/>
      <c r="NEZ92" s="6"/>
      <c r="NFA92" s="6"/>
      <c r="NFB92" s="6"/>
      <c r="NFC92" s="6"/>
      <c r="NFD92" s="6"/>
      <c r="NFE92" s="6"/>
      <c r="NFF92" s="6"/>
      <c r="NFG92" s="6"/>
      <c r="NFH92" s="6"/>
      <c r="NFI92" s="6"/>
      <c r="NFJ92" s="6"/>
      <c r="NFK92" s="6"/>
      <c r="NFL92" s="6"/>
      <c r="NFM92" s="6"/>
      <c r="NFN92" s="6"/>
      <c r="NFO92" s="6"/>
      <c r="NFP92" s="6"/>
      <c r="NFQ92" s="6"/>
      <c r="NFR92" s="6"/>
      <c r="NFS92" s="6"/>
      <c r="NFT92" s="6"/>
      <c r="NFU92" s="6"/>
      <c r="NFV92" s="6"/>
      <c r="NFW92" s="6"/>
      <c r="NFX92" s="6"/>
      <c r="NFY92" s="6"/>
      <c r="NFZ92" s="6"/>
      <c r="NGA92" s="6"/>
      <c r="NGB92" s="6"/>
      <c r="NGC92" s="6"/>
      <c r="NGD92" s="6"/>
      <c r="NGE92" s="6"/>
      <c r="NGF92" s="6"/>
      <c r="NGG92" s="6"/>
      <c r="NGH92" s="6"/>
      <c r="NGI92" s="6"/>
      <c r="NGJ92" s="6"/>
      <c r="NGK92" s="6"/>
      <c r="NGL92" s="6"/>
      <c r="NGM92" s="6"/>
      <c r="NGN92" s="6"/>
      <c r="NGO92" s="6"/>
      <c r="NGP92" s="6"/>
      <c r="NGQ92" s="6"/>
      <c r="NGR92" s="6"/>
      <c r="NGS92" s="6"/>
      <c r="NGT92" s="6"/>
      <c r="NGU92" s="6"/>
      <c r="NGV92" s="6"/>
      <c r="NGW92" s="6"/>
      <c r="NGX92" s="6"/>
      <c r="NGY92" s="6"/>
      <c r="NGZ92" s="6"/>
      <c r="NHA92" s="6"/>
      <c r="NHB92" s="6"/>
      <c r="NHC92" s="6"/>
      <c r="NHD92" s="6"/>
      <c r="NHE92" s="6"/>
      <c r="NHF92" s="6"/>
      <c r="NHG92" s="6"/>
      <c r="NHH92" s="6"/>
      <c r="NHI92" s="6"/>
      <c r="NHJ92" s="6"/>
      <c r="NHK92" s="6"/>
      <c r="NHL92" s="6"/>
      <c r="NHM92" s="6"/>
      <c r="NHN92" s="6"/>
      <c r="NHO92" s="6"/>
      <c r="NHP92" s="6"/>
      <c r="NHQ92" s="6"/>
      <c r="NHR92" s="6"/>
      <c r="NHS92" s="6"/>
      <c r="NHT92" s="6"/>
      <c r="NHU92" s="6"/>
      <c r="NHV92" s="6"/>
      <c r="NHW92" s="6"/>
      <c r="NHX92" s="6"/>
      <c r="NHY92" s="6"/>
      <c r="NHZ92" s="6"/>
      <c r="NIA92" s="6"/>
      <c r="NIB92" s="6"/>
      <c r="NIC92" s="6"/>
      <c r="NID92" s="6"/>
      <c r="NIE92" s="6"/>
      <c r="NIF92" s="6"/>
      <c r="NIG92" s="6"/>
      <c r="NIH92" s="6"/>
      <c r="NII92" s="6"/>
      <c r="NIJ92" s="6"/>
      <c r="NIK92" s="6"/>
      <c r="NIL92" s="6"/>
      <c r="NIM92" s="6"/>
      <c r="NIN92" s="6"/>
      <c r="NIO92" s="6"/>
      <c r="NIP92" s="6"/>
      <c r="NIQ92" s="6"/>
      <c r="NIR92" s="6"/>
      <c r="NIS92" s="6"/>
      <c r="NIT92" s="6"/>
      <c r="NIU92" s="6"/>
      <c r="NIV92" s="6"/>
      <c r="NIW92" s="6"/>
      <c r="NIX92" s="6"/>
      <c r="NIY92" s="6"/>
      <c r="NIZ92" s="6"/>
      <c r="NJA92" s="6"/>
      <c r="NJB92" s="6"/>
      <c r="NJC92" s="6"/>
      <c r="NJD92" s="6"/>
      <c r="NJE92" s="6"/>
      <c r="NJF92" s="6"/>
      <c r="NJG92" s="6"/>
      <c r="NJH92" s="6"/>
      <c r="NJI92" s="6"/>
      <c r="NJJ92" s="6"/>
      <c r="NJK92" s="6"/>
      <c r="NJL92" s="6"/>
      <c r="NJM92" s="6"/>
      <c r="NJN92" s="6"/>
      <c r="NJO92" s="6"/>
      <c r="NJP92" s="6"/>
      <c r="NJQ92" s="6"/>
      <c r="NJR92" s="6"/>
      <c r="NJS92" s="6"/>
      <c r="NJT92" s="6"/>
      <c r="NJU92" s="6"/>
      <c r="NJV92" s="6"/>
      <c r="NJW92" s="6"/>
      <c r="NJX92" s="6"/>
      <c r="NJY92" s="6"/>
      <c r="NJZ92" s="6"/>
      <c r="NKA92" s="6"/>
      <c r="NKB92" s="6"/>
      <c r="NKC92" s="6"/>
      <c r="NKD92" s="6"/>
      <c r="NKE92" s="6"/>
      <c r="NKF92" s="6"/>
      <c r="NKG92" s="6"/>
      <c r="NKH92" s="6"/>
      <c r="NKI92" s="6"/>
      <c r="NKJ92" s="6"/>
      <c r="NKK92" s="6"/>
      <c r="NKL92" s="6"/>
      <c r="NKM92" s="6"/>
      <c r="NKN92" s="6"/>
      <c r="NKO92" s="6"/>
      <c r="NKP92" s="6"/>
      <c r="NKQ92" s="6"/>
      <c r="NKR92" s="6"/>
      <c r="NKS92" s="6"/>
      <c r="NKT92" s="6"/>
      <c r="NKU92" s="6"/>
      <c r="NKV92" s="6"/>
      <c r="NKW92" s="6"/>
      <c r="NKX92" s="6"/>
      <c r="NKY92" s="6"/>
      <c r="NKZ92" s="6"/>
      <c r="NLA92" s="6"/>
      <c r="NLB92" s="6"/>
      <c r="NLC92" s="6"/>
      <c r="NLD92" s="6"/>
      <c r="NLE92" s="6"/>
      <c r="NLF92" s="6"/>
      <c r="NLG92" s="6"/>
      <c r="NLH92" s="6"/>
      <c r="NLI92" s="6"/>
      <c r="NLJ92" s="6"/>
      <c r="NLK92" s="6"/>
      <c r="NLL92" s="6"/>
      <c r="NLM92" s="6"/>
      <c r="NLN92" s="6"/>
      <c r="NLO92" s="6"/>
      <c r="NLP92" s="6"/>
      <c r="NLQ92" s="6"/>
      <c r="NLR92" s="6"/>
      <c r="NLS92" s="6"/>
      <c r="NLT92" s="6"/>
      <c r="NLU92" s="6"/>
      <c r="NLV92" s="6"/>
      <c r="NLW92" s="6"/>
      <c r="NLX92" s="6"/>
      <c r="NLY92" s="6"/>
      <c r="NLZ92" s="6"/>
      <c r="NMA92" s="6"/>
      <c r="NMB92" s="6"/>
      <c r="NMC92" s="6"/>
      <c r="NMD92" s="6"/>
      <c r="NME92" s="6"/>
      <c r="NMF92" s="6"/>
      <c r="NMG92" s="6"/>
      <c r="NMH92" s="6"/>
      <c r="NMI92" s="6"/>
      <c r="NMJ92" s="6"/>
      <c r="NMK92" s="6"/>
      <c r="NML92" s="6"/>
      <c r="NMM92" s="6"/>
      <c r="NMN92" s="6"/>
      <c r="NMO92" s="6"/>
      <c r="NMP92" s="6"/>
      <c r="NMQ92" s="6"/>
      <c r="NMR92" s="6"/>
      <c r="NMS92" s="6"/>
      <c r="NMT92" s="6"/>
      <c r="NMU92" s="6"/>
      <c r="NMV92" s="6"/>
      <c r="NMW92" s="6"/>
      <c r="NMX92" s="6"/>
      <c r="NMY92" s="6"/>
      <c r="NMZ92" s="6"/>
      <c r="NNA92" s="6"/>
      <c r="NNB92" s="6"/>
      <c r="NNC92" s="6"/>
      <c r="NND92" s="6"/>
      <c r="NNE92" s="6"/>
      <c r="NNF92" s="6"/>
      <c r="NNG92" s="6"/>
      <c r="NNH92" s="6"/>
      <c r="NNI92" s="6"/>
      <c r="NNJ92" s="6"/>
      <c r="NNK92" s="6"/>
      <c r="NNL92" s="6"/>
      <c r="NNM92" s="6"/>
      <c r="NNN92" s="6"/>
      <c r="NNO92" s="6"/>
      <c r="NNP92" s="6"/>
      <c r="NNQ92" s="6"/>
      <c r="NNR92" s="6"/>
      <c r="NNS92" s="6"/>
      <c r="NNT92" s="6"/>
      <c r="NNU92" s="6"/>
      <c r="NNV92" s="6"/>
      <c r="NNW92" s="6"/>
      <c r="NNX92" s="6"/>
      <c r="NNY92" s="6"/>
      <c r="NNZ92" s="6"/>
      <c r="NOA92" s="6"/>
      <c r="NOB92" s="6"/>
      <c r="NOC92" s="6"/>
      <c r="NOD92" s="6"/>
      <c r="NOE92" s="6"/>
      <c r="NOF92" s="6"/>
      <c r="NOG92" s="6"/>
      <c r="NOH92" s="6"/>
      <c r="NOI92" s="6"/>
      <c r="NOJ92" s="6"/>
      <c r="NOK92" s="6"/>
      <c r="NOL92" s="6"/>
      <c r="NOM92" s="6"/>
      <c r="NON92" s="6"/>
      <c r="NOO92" s="6"/>
      <c r="NOP92" s="6"/>
      <c r="NOQ92" s="6"/>
      <c r="NOR92" s="6"/>
      <c r="NOS92" s="6"/>
      <c r="NOT92" s="6"/>
      <c r="NOU92" s="6"/>
      <c r="NOV92" s="6"/>
      <c r="NOW92" s="6"/>
      <c r="NOX92" s="6"/>
      <c r="NOY92" s="6"/>
      <c r="NOZ92" s="6"/>
      <c r="NPA92" s="6"/>
      <c r="NPB92" s="6"/>
      <c r="NPC92" s="6"/>
      <c r="NPD92" s="6"/>
      <c r="NPE92" s="6"/>
      <c r="NPF92" s="6"/>
      <c r="NPG92" s="6"/>
      <c r="NPH92" s="6"/>
      <c r="NPI92" s="6"/>
      <c r="NPJ92" s="6"/>
      <c r="NPK92" s="6"/>
      <c r="NPL92" s="6"/>
      <c r="NPM92" s="6"/>
      <c r="NPN92" s="6"/>
      <c r="NPO92" s="6"/>
      <c r="NPP92" s="6"/>
      <c r="NPQ92" s="6"/>
      <c r="NPR92" s="6"/>
      <c r="NPS92" s="6"/>
      <c r="NPT92" s="6"/>
      <c r="NPU92" s="6"/>
      <c r="NPV92" s="6"/>
      <c r="NPW92" s="6"/>
      <c r="NPX92" s="6"/>
      <c r="NPY92" s="6"/>
      <c r="NPZ92" s="6"/>
      <c r="NQA92" s="6"/>
      <c r="NQB92" s="6"/>
      <c r="NQC92" s="6"/>
      <c r="NQD92" s="6"/>
      <c r="NQE92" s="6"/>
      <c r="NQF92" s="6"/>
      <c r="NQG92" s="6"/>
      <c r="NQH92" s="6"/>
      <c r="NQI92" s="6"/>
      <c r="NQJ92" s="6"/>
      <c r="NQK92" s="6"/>
      <c r="NQL92" s="6"/>
      <c r="NQM92" s="6"/>
      <c r="NQN92" s="6"/>
      <c r="NQO92" s="6"/>
      <c r="NQP92" s="6"/>
      <c r="NQQ92" s="6"/>
      <c r="NQR92" s="6"/>
      <c r="NQS92" s="6"/>
      <c r="NQT92" s="6"/>
      <c r="NQU92" s="6"/>
      <c r="NQV92" s="6"/>
      <c r="NQW92" s="6"/>
      <c r="NQX92" s="6"/>
      <c r="NQY92" s="6"/>
      <c r="NQZ92" s="6"/>
      <c r="NRA92" s="6"/>
      <c r="NRB92" s="6"/>
      <c r="NRC92" s="6"/>
      <c r="NRD92" s="6"/>
      <c r="NRE92" s="6"/>
      <c r="NRF92" s="6"/>
      <c r="NRG92" s="6"/>
      <c r="NRH92" s="6"/>
      <c r="NRI92" s="6"/>
      <c r="NRJ92" s="6"/>
      <c r="NRK92" s="6"/>
      <c r="NRL92" s="6"/>
      <c r="NRM92" s="6"/>
      <c r="NRN92" s="6"/>
      <c r="NRO92" s="6"/>
      <c r="NRP92" s="6"/>
      <c r="NRQ92" s="6"/>
      <c r="NRR92" s="6"/>
      <c r="NRS92" s="6"/>
      <c r="NRT92" s="6"/>
      <c r="NRU92" s="6"/>
      <c r="NRV92" s="6"/>
      <c r="NRW92" s="6"/>
      <c r="NRX92" s="6"/>
      <c r="NRY92" s="6"/>
      <c r="NRZ92" s="6"/>
      <c r="NSA92" s="6"/>
      <c r="NSB92" s="6"/>
      <c r="NSC92" s="6"/>
      <c r="NSD92" s="6"/>
      <c r="NSE92" s="6"/>
      <c r="NSF92" s="6"/>
      <c r="NSG92" s="6"/>
      <c r="NSH92" s="6"/>
      <c r="NSI92" s="6"/>
      <c r="NSJ92" s="6"/>
      <c r="NSK92" s="6"/>
      <c r="NSL92" s="6"/>
      <c r="NSM92" s="6"/>
      <c r="NSN92" s="6"/>
      <c r="NSO92" s="6"/>
      <c r="NSP92" s="6"/>
      <c r="NSQ92" s="6"/>
      <c r="NSR92" s="6"/>
      <c r="NSS92" s="6"/>
      <c r="NST92" s="6"/>
      <c r="NSU92" s="6"/>
      <c r="NSV92" s="6"/>
      <c r="NSW92" s="6"/>
      <c r="NSX92" s="6"/>
      <c r="NSY92" s="6"/>
      <c r="NSZ92" s="6"/>
      <c r="NTA92" s="6"/>
      <c r="NTB92" s="6"/>
      <c r="NTC92" s="6"/>
      <c r="NTD92" s="6"/>
      <c r="NTE92" s="6"/>
      <c r="NTF92" s="6"/>
      <c r="NTG92" s="6"/>
      <c r="NTH92" s="6"/>
      <c r="NTI92" s="6"/>
      <c r="NTJ92" s="6"/>
      <c r="NTK92" s="6"/>
      <c r="NTL92" s="6"/>
      <c r="NTM92" s="6"/>
      <c r="NTN92" s="6"/>
      <c r="NTO92" s="6"/>
      <c r="NTP92" s="6"/>
      <c r="NTQ92" s="6"/>
      <c r="NTR92" s="6"/>
      <c r="NTS92" s="6"/>
      <c r="NTT92" s="6"/>
      <c r="NTU92" s="6"/>
      <c r="NTV92" s="6"/>
      <c r="NTW92" s="6"/>
      <c r="NTX92" s="6"/>
      <c r="NTY92" s="6"/>
      <c r="NTZ92" s="6"/>
      <c r="NUA92" s="6"/>
      <c r="NUB92" s="6"/>
      <c r="NUC92" s="6"/>
      <c r="NUD92" s="6"/>
      <c r="NUE92" s="6"/>
      <c r="NUF92" s="6"/>
      <c r="NUG92" s="6"/>
      <c r="NUH92" s="6"/>
      <c r="NUI92" s="6"/>
      <c r="NUJ92" s="6"/>
      <c r="NUK92" s="6"/>
      <c r="NUL92" s="6"/>
      <c r="NUM92" s="6"/>
      <c r="NUN92" s="6"/>
      <c r="NUO92" s="6"/>
      <c r="NUP92" s="6"/>
      <c r="NUQ92" s="6"/>
      <c r="NUR92" s="6"/>
      <c r="NUS92" s="6"/>
      <c r="NUT92" s="6"/>
      <c r="NUU92" s="6"/>
      <c r="NUV92" s="6"/>
      <c r="NUW92" s="6"/>
      <c r="NUX92" s="6"/>
      <c r="NUY92" s="6"/>
      <c r="NUZ92" s="6"/>
      <c r="NVA92" s="6"/>
      <c r="NVB92" s="6"/>
      <c r="NVC92" s="6"/>
      <c r="NVD92" s="6"/>
      <c r="NVE92" s="6"/>
      <c r="NVF92" s="6"/>
      <c r="NVG92" s="6"/>
      <c r="NVH92" s="6"/>
      <c r="NVI92" s="6"/>
      <c r="NVJ92" s="6"/>
      <c r="NVK92" s="6"/>
      <c r="NVL92" s="6"/>
      <c r="NVM92" s="6"/>
      <c r="NVN92" s="6"/>
      <c r="NVO92" s="6"/>
      <c r="NVP92" s="6"/>
      <c r="NVQ92" s="6"/>
      <c r="NVR92" s="6"/>
      <c r="NVS92" s="6"/>
      <c r="NVT92" s="6"/>
      <c r="NVU92" s="6"/>
      <c r="NVV92" s="6"/>
      <c r="NVW92" s="6"/>
      <c r="NVX92" s="6"/>
      <c r="NVY92" s="6"/>
      <c r="NVZ92" s="6"/>
      <c r="NWA92" s="6"/>
      <c r="NWB92" s="6"/>
      <c r="NWC92" s="6"/>
      <c r="NWD92" s="6"/>
      <c r="NWE92" s="6"/>
      <c r="NWF92" s="6"/>
      <c r="NWG92" s="6"/>
      <c r="NWH92" s="6"/>
      <c r="NWI92" s="6"/>
      <c r="NWJ92" s="6"/>
      <c r="NWK92" s="6"/>
      <c r="NWL92" s="6"/>
      <c r="NWM92" s="6"/>
      <c r="NWN92" s="6"/>
      <c r="NWO92" s="6"/>
      <c r="NWP92" s="6"/>
      <c r="NWQ92" s="6"/>
      <c r="NWR92" s="6"/>
      <c r="NWS92" s="6"/>
      <c r="NWT92" s="6"/>
      <c r="NWU92" s="6"/>
      <c r="NWV92" s="6"/>
      <c r="NWW92" s="6"/>
      <c r="NWX92" s="6"/>
      <c r="NWY92" s="6"/>
      <c r="NWZ92" s="6"/>
      <c r="NXA92" s="6"/>
      <c r="NXB92" s="6"/>
      <c r="NXC92" s="6"/>
      <c r="NXD92" s="6"/>
      <c r="NXE92" s="6"/>
      <c r="NXF92" s="6"/>
      <c r="NXG92" s="6"/>
      <c r="NXH92" s="6"/>
      <c r="NXI92" s="6"/>
      <c r="NXJ92" s="6"/>
      <c r="NXK92" s="6"/>
      <c r="NXL92" s="6"/>
      <c r="NXM92" s="6"/>
      <c r="NXN92" s="6"/>
      <c r="NXO92" s="6"/>
      <c r="NXP92" s="6"/>
      <c r="NXQ92" s="6"/>
      <c r="NXR92" s="6"/>
      <c r="NXS92" s="6"/>
      <c r="NXT92" s="6"/>
      <c r="NXU92" s="6"/>
      <c r="NXV92" s="6"/>
      <c r="NXW92" s="6"/>
      <c r="NXX92" s="6"/>
      <c r="NXY92" s="6"/>
      <c r="NXZ92" s="6"/>
      <c r="NYA92" s="6"/>
      <c r="NYB92" s="6"/>
      <c r="NYC92" s="6"/>
      <c r="NYD92" s="6"/>
      <c r="NYE92" s="6"/>
      <c r="NYF92" s="6"/>
      <c r="NYG92" s="6"/>
      <c r="NYH92" s="6"/>
      <c r="NYI92" s="6"/>
      <c r="NYJ92" s="6"/>
      <c r="NYK92" s="6"/>
      <c r="NYL92" s="6"/>
      <c r="NYM92" s="6"/>
      <c r="NYN92" s="6"/>
      <c r="NYO92" s="6"/>
      <c r="NYP92" s="6"/>
      <c r="NYQ92" s="6"/>
      <c r="NYR92" s="6"/>
      <c r="NYS92" s="6"/>
      <c r="NYT92" s="6"/>
      <c r="NYU92" s="6"/>
      <c r="NYV92" s="6"/>
      <c r="NYW92" s="6"/>
      <c r="NYX92" s="6"/>
      <c r="NYY92" s="6"/>
      <c r="NYZ92" s="6"/>
      <c r="NZA92" s="6"/>
      <c r="NZB92" s="6"/>
      <c r="NZC92" s="6"/>
      <c r="NZD92" s="6"/>
      <c r="NZE92" s="6"/>
      <c r="NZF92" s="6"/>
      <c r="NZG92" s="6"/>
      <c r="NZH92" s="6"/>
      <c r="NZI92" s="6"/>
      <c r="NZJ92" s="6"/>
      <c r="NZK92" s="6"/>
      <c r="NZL92" s="6"/>
      <c r="NZM92" s="6"/>
      <c r="NZN92" s="6"/>
      <c r="NZO92" s="6"/>
      <c r="NZP92" s="6"/>
      <c r="NZQ92" s="6"/>
      <c r="NZR92" s="6"/>
      <c r="NZS92" s="6"/>
      <c r="NZT92" s="6"/>
      <c r="NZU92" s="6"/>
      <c r="NZV92" s="6"/>
      <c r="NZW92" s="6"/>
      <c r="NZX92" s="6"/>
      <c r="NZY92" s="6"/>
      <c r="NZZ92" s="6"/>
      <c r="OAA92" s="6"/>
      <c r="OAB92" s="6"/>
      <c r="OAC92" s="6"/>
      <c r="OAD92" s="6"/>
      <c r="OAE92" s="6"/>
      <c r="OAF92" s="6"/>
      <c r="OAG92" s="6"/>
      <c r="OAH92" s="6"/>
      <c r="OAI92" s="6"/>
      <c r="OAJ92" s="6"/>
      <c r="OAK92" s="6"/>
      <c r="OAL92" s="6"/>
      <c r="OAM92" s="6"/>
      <c r="OAN92" s="6"/>
      <c r="OAO92" s="6"/>
      <c r="OAP92" s="6"/>
      <c r="OAQ92" s="6"/>
      <c r="OAR92" s="6"/>
      <c r="OAS92" s="6"/>
      <c r="OAT92" s="6"/>
      <c r="OAU92" s="6"/>
      <c r="OAV92" s="6"/>
      <c r="OAW92" s="6"/>
      <c r="OAX92" s="6"/>
      <c r="OAY92" s="6"/>
      <c r="OAZ92" s="6"/>
      <c r="OBA92" s="6"/>
      <c r="OBB92" s="6"/>
      <c r="OBC92" s="6"/>
      <c r="OBD92" s="6"/>
      <c r="OBE92" s="6"/>
      <c r="OBF92" s="6"/>
      <c r="OBG92" s="6"/>
      <c r="OBH92" s="6"/>
      <c r="OBI92" s="6"/>
      <c r="OBJ92" s="6"/>
      <c r="OBK92" s="6"/>
      <c r="OBL92" s="6"/>
      <c r="OBM92" s="6"/>
      <c r="OBN92" s="6"/>
      <c r="OBO92" s="6"/>
      <c r="OBP92" s="6"/>
      <c r="OBQ92" s="6"/>
      <c r="OBR92" s="6"/>
      <c r="OBS92" s="6"/>
      <c r="OBT92" s="6"/>
      <c r="OBU92" s="6"/>
      <c r="OBV92" s="6"/>
      <c r="OBW92" s="6"/>
      <c r="OBX92" s="6"/>
      <c r="OBY92" s="6"/>
      <c r="OBZ92" s="6"/>
      <c r="OCA92" s="6"/>
      <c r="OCB92" s="6"/>
      <c r="OCC92" s="6"/>
      <c r="OCD92" s="6"/>
      <c r="OCE92" s="6"/>
      <c r="OCF92" s="6"/>
      <c r="OCG92" s="6"/>
      <c r="OCH92" s="6"/>
      <c r="OCI92" s="6"/>
      <c r="OCJ92" s="6"/>
      <c r="OCK92" s="6"/>
      <c r="OCL92" s="6"/>
      <c r="OCM92" s="6"/>
      <c r="OCN92" s="6"/>
      <c r="OCO92" s="6"/>
      <c r="OCP92" s="6"/>
      <c r="OCQ92" s="6"/>
      <c r="OCR92" s="6"/>
      <c r="OCS92" s="6"/>
      <c r="OCT92" s="6"/>
      <c r="OCU92" s="6"/>
      <c r="OCV92" s="6"/>
      <c r="OCW92" s="6"/>
      <c r="OCX92" s="6"/>
      <c r="OCY92" s="6"/>
      <c r="OCZ92" s="6"/>
      <c r="ODA92" s="6"/>
      <c r="ODB92" s="6"/>
      <c r="ODC92" s="6"/>
      <c r="ODD92" s="6"/>
      <c r="ODE92" s="6"/>
      <c r="ODF92" s="6"/>
      <c r="ODG92" s="6"/>
      <c r="ODH92" s="6"/>
      <c r="ODI92" s="6"/>
      <c r="ODJ92" s="6"/>
      <c r="ODK92" s="6"/>
      <c r="ODL92" s="6"/>
      <c r="ODM92" s="6"/>
      <c r="ODN92" s="6"/>
      <c r="ODO92" s="6"/>
      <c r="ODP92" s="6"/>
      <c r="ODQ92" s="6"/>
      <c r="ODR92" s="6"/>
      <c r="ODS92" s="6"/>
      <c r="ODT92" s="6"/>
      <c r="ODU92" s="6"/>
      <c r="ODV92" s="6"/>
      <c r="ODW92" s="6"/>
      <c r="ODX92" s="6"/>
      <c r="ODY92" s="6"/>
      <c r="ODZ92" s="6"/>
      <c r="OEA92" s="6"/>
      <c r="OEB92" s="6"/>
      <c r="OEC92" s="6"/>
      <c r="OED92" s="6"/>
      <c r="OEE92" s="6"/>
      <c r="OEF92" s="6"/>
      <c r="OEG92" s="6"/>
      <c r="OEH92" s="6"/>
      <c r="OEI92" s="6"/>
      <c r="OEJ92" s="6"/>
      <c r="OEK92" s="6"/>
      <c r="OEL92" s="6"/>
      <c r="OEM92" s="6"/>
      <c r="OEN92" s="6"/>
      <c r="OEO92" s="6"/>
      <c r="OEP92" s="6"/>
      <c r="OEQ92" s="6"/>
      <c r="OER92" s="6"/>
      <c r="OES92" s="6"/>
      <c r="OET92" s="6"/>
      <c r="OEU92" s="6"/>
      <c r="OEV92" s="6"/>
      <c r="OEW92" s="6"/>
      <c r="OEX92" s="6"/>
      <c r="OEY92" s="6"/>
      <c r="OEZ92" s="6"/>
      <c r="OFA92" s="6"/>
      <c r="OFB92" s="6"/>
      <c r="OFC92" s="6"/>
      <c r="OFD92" s="6"/>
      <c r="OFE92" s="6"/>
      <c r="OFF92" s="6"/>
      <c r="OFG92" s="6"/>
      <c r="OFH92" s="6"/>
      <c r="OFI92" s="6"/>
      <c r="OFJ92" s="6"/>
      <c r="OFK92" s="6"/>
      <c r="OFL92" s="6"/>
      <c r="OFM92" s="6"/>
      <c r="OFN92" s="6"/>
      <c r="OFO92" s="6"/>
      <c r="OFP92" s="6"/>
      <c r="OFQ92" s="6"/>
      <c r="OFR92" s="6"/>
      <c r="OFS92" s="6"/>
      <c r="OFT92" s="6"/>
      <c r="OFU92" s="6"/>
      <c r="OFV92" s="6"/>
      <c r="OFW92" s="6"/>
      <c r="OFX92" s="6"/>
      <c r="OFY92" s="6"/>
      <c r="OFZ92" s="6"/>
      <c r="OGA92" s="6"/>
      <c r="OGB92" s="6"/>
      <c r="OGC92" s="6"/>
      <c r="OGD92" s="6"/>
      <c r="OGE92" s="6"/>
      <c r="OGF92" s="6"/>
      <c r="OGG92" s="6"/>
      <c r="OGH92" s="6"/>
      <c r="OGI92" s="6"/>
      <c r="OGJ92" s="6"/>
      <c r="OGK92" s="6"/>
      <c r="OGL92" s="6"/>
      <c r="OGM92" s="6"/>
      <c r="OGN92" s="6"/>
      <c r="OGO92" s="6"/>
      <c r="OGP92" s="6"/>
      <c r="OGQ92" s="6"/>
      <c r="OGR92" s="6"/>
      <c r="OGS92" s="6"/>
      <c r="OGT92" s="6"/>
      <c r="OGU92" s="6"/>
      <c r="OGV92" s="6"/>
      <c r="OGW92" s="6"/>
      <c r="OGX92" s="6"/>
      <c r="OGY92" s="6"/>
      <c r="OGZ92" s="6"/>
      <c r="OHA92" s="6"/>
      <c r="OHB92" s="6"/>
      <c r="OHC92" s="6"/>
      <c r="OHD92" s="6"/>
      <c r="OHE92" s="6"/>
      <c r="OHF92" s="6"/>
      <c r="OHG92" s="6"/>
      <c r="OHH92" s="6"/>
      <c r="OHI92" s="6"/>
      <c r="OHJ92" s="6"/>
      <c r="OHK92" s="6"/>
      <c r="OHL92" s="6"/>
      <c r="OHM92" s="6"/>
      <c r="OHN92" s="6"/>
      <c r="OHO92" s="6"/>
      <c r="OHP92" s="6"/>
      <c r="OHQ92" s="6"/>
      <c r="OHR92" s="6"/>
      <c r="OHS92" s="6"/>
      <c r="OHT92" s="6"/>
      <c r="OHU92" s="6"/>
      <c r="OHV92" s="6"/>
      <c r="OHW92" s="6"/>
      <c r="OHX92" s="6"/>
      <c r="OHY92" s="6"/>
      <c r="OHZ92" s="6"/>
      <c r="OIA92" s="6"/>
      <c r="OIB92" s="6"/>
      <c r="OIC92" s="6"/>
      <c r="OID92" s="6"/>
      <c r="OIE92" s="6"/>
      <c r="OIF92" s="6"/>
      <c r="OIG92" s="6"/>
      <c r="OIH92" s="6"/>
      <c r="OII92" s="6"/>
      <c r="OIJ92" s="6"/>
      <c r="OIK92" s="6"/>
      <c r="OIL92" s="6"/>
      <c r="OIM92" s="6"/>
      <c r="OIN92" s="6"/>
      <c r="OIO92" s="6"/>
      <c r="OIP92" s="6"/>
      <c r="OIQ92" s="6"/>
      <c r="OIR92" s="6"/>
      <c r="OIS92" s="6"/>
      <c r="OIT92" s="6"/>
      <c r="OIU92" s="6"/>
      <c r="OIV92" s="6"/>
      <c r="OIW92" s="6"/>
      <c r="OIX92" s="6"/>
      <c r="OIY92" s="6"/>
      <c r="OIZ92" s="6"/>
      <c r="OJA92" s="6"/>
      <c r="OJB92" s="6"/>
      <c r="OJC92" s="6"/>
      <c r="OJD92" s="6"/>
      <c r="OJE92" s="6"/>
      <c r="OJF92" s="6"/>
      <c r="OJG92" s="6"/>
      <c r="OJH92" s="6"/>
      <c r="OJI92" s="6"/>
      <c r="OJJ92" s="6"/>
      <c r="OJK92" s="6"/>
      <c r="OJL92" s="6"/>
      <c r="OJM92" s="6"/>
      <c r="OJN92" s="6"/>
      <c r="OJO92" s="6"/>
      <c r="OJP92" s="6"/>
      <c r="OJQ92" s="6"/>
      <c r="OJR92" s="6"/>
      <c r="OJS92" s="6"/>
      <c r="OJT92" s="6"/>
      <c r="OJU92" s="6"/>
      <c r="OJV92" s="6"/>
      <c r="OJW92" s="6"/>
      <c r="OJX92" s="6"/>
      <c r="OJY92" s="6"/>
      <c r="OJZ92" s="6"/>
      <c r="OKA92" s="6"/>
      <c r="OKB92" s="6"/>
      <c r="OKC92" s="6"/>
      <c r="OKD92" s="6"/>
      <c r="OKE92" s="6"/>
      <c r="OKF92" s="6"/>
      <c r="OKG92" s="6"/>
      <c r="OKH92" s="6"/>
      <c r="OKI92" s="6"/>
      <c r="OKJ92" s="6"/>
      <c r="OKK92" s="6"/>
      <c r="OKL92" s="6"/>
      <c r="OKM92" s="6"/>
      <c r="OKN92" s="6"/>
      <c r="OKO92" s="6"/>
      <c r="OKP92" s="6"/>
      <c r="OKQ92" s="6"/>
      <c r="OKR92" s="6"/>
      <c r="OKS92" s="6"/>
      <c r="OKT92" s="6"/>
      <c r="OKU92" s="6"/>
      <c r="OKV92" s="6"/>
      <c r="OKW92" s="6"/>
      <c r="OKX92" s="6"/>
      <c r="OKY92" s="6"/>
      <c r="OKZ92" s="6"/>
      <c r="OLA92" s="6"/>
      <c r="OLB92" s="6"/>
      <c r="OLC92" s="6"/>
      <c r="OLD92" s="6"/>
      <c r="OLE92" s="6"/>
      <c r="OLF92" s="6"/>
      <c r="OLG92" s="6"/>
      <c r="OLH92" s="6"/>
      <c r="OLI92" s="6"/>
      <c r="OLJ92" s="6"/>
      <c r="OLK92" s="6"/>
      <c r="OLL92" s="6"/>
      <c r="OLM92" s="6"/>
      <c r="OLN92" s="6"/>
      <c r="OLO92" s="6"/>
      <c r="OLP92" s="6"/>
      <c r="OLQ92" s="6"/>
      <c r="OLR92" s="6"/>
      <c r="OLS92" s="6"/>
      <c r="OLT92" s="6"/>
      <c r="OLU92" s="6"/>
      <c r="OLV92" s="6"/>
      <c r="OLW92" s="6"/>
      <c r="OLX92" s="6"/>
      <c r="OLY92" s="6"/>
      <c r="OLZ92" s="6"/>
      <c r="OMA92" s="6"/>
      <c r="OMB92" s="6"/>
      <c r="OMC92" s="6"/>
      <c r="OMD92" s="6"/>
      <c r="OME92" s="6"/>
      <c r="OMF92" s="6"/>
      <c r="OMG92" s="6"/>
      <c r="OMH92" s="6"/>
      <c r="OMI92" s="6"/>
      <c r="OMJ92" s="6"/>
      <c r="OMK92" s="6"/>
      <c r="OML92" s="6"/>
      <c r="OMM92" s="6"/>
      <c r="OMN92" s="6"/>
      <c r="OMO92" s="6"/>
      <c r="OMP92" s="6"/>
      <c r="OMQ92" s="6"/>
      <c r="OMR92" s="6"/>
      <c r="OMS92" s="6"/>
      <c r="OMT92" s="6"/>
      <c r="OMU92" s="6"/>
      <c r="OMV92" s="6"/>
      <c r="OMW92" s="6"/>
      <c r="OMX92" s="6"/>
      <c r="OMY92" s="6"/>
      <c r="OMZ92" s="6"/>
      <c r="ONA92" s="6"/>
      <c r="ONB92" s="6"/>
      <c r="ONC92" s="6"/>
      <c r="OND92" s="6"/>
      <c r="ONE92" s="6"/>
      <c r="ONF92" s="6"/>
      <c r="ONG92" s="6"/>
      <c r="ONH92" s="6"/>
      <c r="ONI92" s="6"/>
      <c r="ONJ92" s="6"/>
      <c r="ONK92" s="6"/>
      <c r="ONL92" s="6"/>
      <c r="ONM92" s="6"/>
      <c r="ONN92" s="6"/>
      <c r="ONO92" s="6"/>
      <c r="ONP92" s="6"/>
      <c r="ONQ92" s="6"/>
      <c r="ONR92" s="6"/>
      <c r="ONS92" s="6"/>
      <c r="ONT92" s="6"/>
      <c r="ONU92" s="6"/>
      <c r="ONV92" s="6"/>
      <c r="ONW92" s="6"/>
      <c r="ONX92" s="6"/>
      <c r="ONY92" s="6"/>
      <c r="ONZ92" s="6"/>
      <c r="OOA92" s="6"/>
      <c r="OOB92" s="6"/>
      <c r="OOC92" s="6"/>
      <c r="OOD92" s="6"/>
      <c r="OOE92" s="6"/>
      <c r="OOF92" s="6"/>
      <c r="OOG92" s="6"/>
      <c r="OOH92" s="6"/>
      <c r="OOI92" s="6"/>
      <c r="OOJ92" s="6"/>
      <c r="OOK92" s="6"/>
      <c r="OOL92" s="6"/>
      <c r="OOM92" s="6"/>
      <c r="OON92" s="6"/>
      <c r="OOO92" s="6"/>
      <c r="OOP92" s="6"/>
      <c r="OOQ92" s="6"/>
      <c r="OOR92" s="6"/>
      <c r="OOS92" s="6"/>
      <c r="OOT92" s="6"/>
      <c r="OOU92" s="6"/>
      <c r="OOV92" s="6"/>
      <c r="OOW92" s="6"/>
      <c r="OOX92" s="6"/>
      <c r="OOY92" s="6"/>
      <c r="OOZ92" s="6"/>
      <c r="OPA92" s="6"/>
      <c r="OPB92" s="6"/>
      <c r="OPC92" s="6"/>
      <c r="OPD92" s="6"/>
      <c r="OPE92" s="6"/>
      <c r="OPF92" s="6"/>
      <c r="OPG92" s="6"/>
      <c r="OPH92" s="6"/>
      <c r="OPI92" s="6"/>
      <c r="OPJ92" s="6"/>
      <c r="OPK92" s="6"/>
      <c r="OPL92" s="6"/>
      <c r="OPM92" s="6"/>
      <c r="OPN92" s="6"/>
      <c r="OPO92" s="6"/>
      <c r="OPP92" s="6"/>
      <c r="OPQ92" s="6"/>
      <c r="OPR92" s="6"/>
      <c r="OPS92" s="6"/>
      <c r="OPT92" s="6"/>
      <c r="OPU92" s="6"/>
      <c r="OPV92" s="6"/>
      <c r="OPW92" s="6"/>
      <c r="OPX92" s="6"/>
      <c r="OPY92" s="6"/>
      <c r="OPZ92" s="6"/>
      <c r="OQA92" s="6"/>
      <c r="OQB92" s="6"/>
      <c r="OQC92" s="6"/>
      <c r="OQD92" s="6"/>
      <c r="OQE92" s="6"/>
      <c r="OQF92" s="6"/>
      <c r="OQG92" s="6"/>
      <c r="OQH92" s="6"/>
      <c r="OQI92" s="6"/>
      <c r="OQJ92" s="6"/>
      <c r="OQK92" s="6"/>
      <c r="OQL92" s="6"/>
      <c r="OQM92" s="6"/>
      <c r="OQN92" s="6"/>
      <c r="OQO92" s="6"/>
      <c r="OQP92" s="6"/>
      <c r="OQQ92" s="6"/>
      <c r="OQR92" s="6"/>
      <c r="OQS92" s="6"/>
      <c r="OQT92" s="6"/>
      <c r="OQU92" s="6"/>
      <c r="OQV92" s="6"/>
      <c r="OQW92" s="6"/>
      <c r="OQX92" s="6"/>
      <c r="OQY92" s="6"/>
      <c r="OQZ92" s="6"/>
      <c r="ORA92" s="6"/>
      <c r="ORB92" s="6"/>
      <c r="ORC92" s="6"/>
      <c r="ORD92" s="6"/>
      <c r="ORE92" s="6"/>
      <c r="ORF92" s="6"/>
      <c r="ORG92" s="6"/>
      <c r="ORH92" s="6"/>
      <c r="ORI92" s="6"/>
      <c r="ORJ92" s="6"/>
      <c r="ORK92" s="6"/>
      <c r="ORL92" s="6"/>
      <c r="ORM92" s="6"/>
      <c r="ORN92" s="6"/>
      <c r="ORO92" s="6"/>
      <c r="ORP92" s="6"/>
      <c r="ORQ92" s="6"/>
      <c r="ORR92" s="6"/>
      <c r="ORS92" s="6"/>
      <c r="ORT92" s="6"/>
      <c r="ORU92" s="6"/>
      <c r="ORV92" s="6"/>
      <c r="ORW92" s="6"/>
      <c r="ORX92" s="6"/>
      <c r="ORY92" s="6"/>
      <c r="ORZ92" s="6"/>
      <c r="OSA92" s="6"/>
      <c r="OSB92" s="6"/>
      <c r="OSC92" s="6"/>
      <c r="OSD92" s="6"/>
      <c r="OSE92" s="6"/>
      <c r="OSF92" s="6"/>
      <c r="OSG92" s="6"/>
      <c r="OSH92" s="6"/>
      <c r="OSI92" s="6"/>
      <c r="OSJ92" s="6"/>
      <c r="OSK92" s="6"/>
      <c r="OSL92" s="6"/>
      <c r="OSM92" s="6"/>
      <c r="OSN92" s="6"/>
      <c r="OSO92" s="6"/>
      <c r="OSP92" s="6"/>
      <c r="OSQ92" s="6"/>
      <c r="OSR92" s="6"/>
      <c r="OSS92" s="6"/>
      <c r="OST92" s="6"/>
      <c r="OSU92" s="6"/>
      <c r="OSV92" s="6"/>
      <c r="OSW92" s="6"/>
      <c r="OSX92" s="6"/>
      <c r="OSY92" s="6"/>
      <c r="OSZ92" s="6"/>
      <c r="OTA92" s="6"/>
      <c r="OTB92" s="6"/>
      <c r="OTC92" s="6"/>
      <c r="OTD92" s="6"/>
      <c r="OTE92" s="6"/>
      <c r="OTF92" s="6"/>
      <c r="OTG92" s="6"/>
      <c r="OTH92" s="6"/>
      <c r="OTI92" s="6"/>
      <c r="OTJ92" s="6"/>
      <c r="OTK92" s="6"/>
      <c r="OTL92" s="6"/>
      <c r="OTM92" s="6"/>
      <c r="OTN92" s="6"/>
      <c r="OTO92" s="6"/>
      <c r="OTP92" s="6"/>
      <c r="OTQ92" s="6"/>
      <c r="OTR92" s="6"/>
      <c r="OTS92" s="6"/>
      <c r="OTT92" s="6"/>
      <c r="OTU92" s="6"/>
      <c r="OTV92" s="6"/>
      <c r="OTW92" s="6"/>
      <c r="OTX92" s="6"/>
      <c r="OTY92" s="6"/>
      <c r="OTZ92" s="6"/>
      <c r="OUA92" s="6"/>
      <c r="OUB92" s="6"/>
      <c r="OUC92" s="6"/>
      <c r="OUD92" s="6"/>
      <c r="OUE92" s="6"/>
      <c r="OUF92" s="6"/>
      <c r="OUG92" s="6"/>
      <c r="OUH92" s="6"/>
      <c r="OUI92" s="6"/>
      <c r="OUJ92" s="6"/>
      <c r="OUK92" s="6"/>
      <c r="OUL92" s="6"/>
      <c r="OUM92" s="6"/>
      <c r="OUN92" s="6"/>
      <c r="OUO92" s="6"/>
      <c r="OUP92" s="6"/>
      <c r="OUQ92" s="6"/>
      <c r="OUR92" s="6"/>
      <c r="OUS92" s="6"/>
      <c r="OUT92" s="6"/>
      <c r="OUU92" s="6"/>
      <c r="OUV92" s="6"/>
      <c r="OUW92" s="6"/>
      <c r="OUX92" s="6"/>
      <c r="OUY92" s="6"/>
      <c r="OUZ92" s="6"/>
      <c r="OVA92" s="6"/>
      <c r="OVB92" s="6"/>
      <c r="OVC92" s="6"/>
      <c r="OVD92" s="6"/>
      <c r="OVE92" s="6"/>
      <c r="OVF92" s="6"/>
      <c r="OVG92" s="6"/>
      <c r="OVH92" s="6"/>
      <c r="OVI92" s="6"/>
      <c r="OVJ92" s="6"/>
      <c r="OVK92" s="6"/>
      <c r="OVL92" s="6"/>
      <c r="OVM92" s="6"/>
      <c r="OVN92" s="6"/>
      <c r="OVO92" s="6"/>
      <c r="OVP92" s="6"/>
      <c r="OVQ92" s="6"/>
      <c r="OVR92" s="6"/>
      <c r="OVS92" s="6"/>
      <c r="OVT92" s="6"/>
      <c r="OVU92" s="6"/>
      <c r="OVV92" s="6"/>
      <c r="OVW92" s="6"/>
      <c r="OVX92" s="6"/>
      <c r="OVY92" s="6"/>
      <c r="OVZ92" s="6"/>
      <c r="OWA92" s="6"/>
      <c r="OWB92" s="6"/>
      <c r="OWC92" s="6"/>
      <c r="OWD92" s="6"/>
      <c r="OWE92" s="6"/>
      <c r="OWF92" s="6"/>
      <c r="OWG92" s="6"/>
      <c r="OWH92" s="6"/>
      <c r="OWI92" s="6"/>
      <c r="OWJ92" s="6"/>
      <c r="OWK92" s="6"/>
      <c r="OWL92" s="6"/>
      <c r="OWM92" s="6"/>
      <c r="OWN92" s="6"/>
      <c r="OWO92" s="6"/>
      <c r="OWP92" s="6"/>
      <c r="OWQ92" s="6"/>
      <c r="OWR92" s="6"/>
      <c r="OWS92" s="6"/>
      <c r="OWT92" s="6"/>
      <c r="OWU92" s="6"/>
      <c r="OWV92" s="6"/>
      <c r="OWW92" s="6"/>
      <c r="OWX92" s="6"/>
      <c r="OWY92" s="6"/>
      <c r="OWZ92" s="6"/>
      <c r="OXA92" s="6"/>
      <c r="OXB92" s="6"/>
      <c r="OXC92" s="6"/>
      <c r="OXD92" s="6"/>
      <c r="OXE92" s="6"/>
      <c r="OXF92" s="6"/>
      <c r="OXG92" s="6"/>
      <c r="OXH92" s="6"/>
      <c r="OXI92" s="6"/>
      <c r="OXJ92" s="6"/>
      <c r="OXK92" s="6"/>
      <c r="OXL92" s="6"/>
      <c r="OXM92" s="6"/>
      <c r="OXN92" s="6"/>
      <c r="OXO92" s="6"/>
      <c r="OXP92" s="6"/>
      <c r="OXQ92" s="6"/>
      <c r="OXR92" s="6"/>
      <c r="OXS92" s="6"/>
      <c r="OXT92" s="6"/>
      <c r="OXU92" s="6"/>
      <c r="OXV92" s="6"/>
      <c r="OXW92" s="6"/>
      <c r="OXX92" s="6"/>
      <c r="OXY92" s="6"/>
      <c r="OXZ92" s="6"/>
      <c r="OYA92" s="6"/>
      <c r="OYB92" s="6"/>
      <c r="OYC92" s="6"/>
      <c r="OYD92" s="6"/>
      <c r="OYE92" s="6"/>
      <c r="OYF92" s="6"/>
      <c r="OYG92" s="6"/>
      <c r="OYH92" s="6"/>
      <c r="OYI92" s="6"/>
      <c r="OYJ92" s="6"/>
      <c r="OYK92" s="6"/>
      <c r="OYL92" s="6"/>
      <c r="OYM92" s="6"/>
      <c r="OYN92" s="6"/>
      <c r="OYO92" s="6"/>
      <c r="OYP92" s="6"/>
      <c r="OYQ92" s="6"/>
      <c r="OYR92" s="6"/>
      <c r="OYS92" s="6"/>
      <c r="OYT92" s="6"/>
      <c r="OYU92" s="6"/>
      <c r="OYV92" s="6"/>
      <c r="OYW92" s="6"/>
      <c r="OYX92" s="6"/>
      <c r="OYY92" s="6"/>
      <c r="OYZ92" s="6"/>
      <c r="OZA92" s="6"/>
      <c r="OZB92" s="6"/>
      <c r="OZC92" s="6"/>
      <c r="OZD92" s="6"/>
      <c r="OZE92" s="6"/>
      <c r="OZF92" s="6"/>
      <c r="OZG92" s="6"/>
      <c r="OZH92" s="6"/>
      <c r="OZI92" s="6"/>
      <c r="OZJ92" s="6"/>
      <c r="OZK92" s="6"/>
      <c r="OZL92" s="6"/>
      <c r="OZM92" s="6"/>
      <c r="OZN92" s="6"/>
      <c r="OZO92" s="6"/>
      <c r="OZP92" s="6"/>
      <c r="OZQ92" s="6"/>
      <c r="OZR92" s="6"/>
      <c r="OZS92" s="6"/>
      <c r="OZT92" s="6"/>
      <c r="OZU92" s="6"/>
      <c r="OZV92" s="6"/>
      <c r="OZW92" s="6"/>
      <c r="OZX92" s="6"/>
      <c r="OZY92" s="6"/>
      <c r="OZZ92" s="6"/>
      <c r="PAA92" s="6"/>
      <c r="PAB92" s="6"/>
      <c r="PAC92" s="6"/>
      <c r="PAD92" s="6"/>
      <c r="PAE92" s="6"/>
      <c r="PAF92" s="6"/>
      <c r="PAG92" s="6"/>
      <c r="PAH92" s="6"/>
      <c r="PAI92" s="6"/>
      <c r="PAJ92" s="6"/>
      <c r="PAK92" s="6"/>
      <c r="PAL92" s="6"/>
      <c r="PAM92" s="6"/>
      <c r="PAN92" s="6"/>
      <c r="PAO92" s="6"/>
      <c r="PAP92" s="6"/>
      <c r="PAQ92" s="6"/>
      <c r="PAR92" s="6"/>
      <c r="PAS92" s="6"/>
      <c r="PAT92" s="6"/>
      <c r="PAU92" s="6"/>
      <c r="PAV92" s="6"/>
      <c r="PAW92" s="6"/>
      <c r="PAX92" s="6"/>
      <c r="PAY92" s="6"/>
      <c r="PAZ92" s="6"/>
      <c r="PBA92" s="6"/>
      <c r="PBB92" s="6"/>
      <c r="PBC92" s="6"/>
      <c r="PBD92" s="6"/>
      <c r="PBE92" s="6"/>
      <c r="PBF92" s="6"/>
      <c r="PBG92" s="6"/>
      <c r="PBH92" s="6"/>
      <c r="PBI92" s="6"/>
      <c r="PBJ92" s="6"/>
      <c r="PBK92" s="6"/>
      <c r="PBL92" s="6"/>
      <c r="PBM92" s="6"/>
      <c r="PBN92" s="6"/>
      <c r="PBO92" s="6"/>
      <c r="PBP92" s="6"/>
      <c r="PBQ92" s="6"/>
      <c r="PBR92" s="6"/>
      <c r="PBS92" s="6"/>
      <c r="PBT92" s="6"/>
      <c r="PBU92" s="6"/>
      <c r="PBV92" s="6"/>
      <c r="PBW92" s="6"/>
      <c r="PBX92" s="6"/>
      <c r="PBY92" s="6"/>
      <c r="PBZ92" s="6"/>
      <c r="PCA92" s="6"/>
      <c r="PCB92" s="6"/>
      <c r="PCC92" s="6"/>
      <c r="PCD92" s="6"/>
      <c r="PCE92" s="6"/>
      <c r="PCF92" s="6"/>
      <c r="PCG92" s="6"/>
      <c r="PCH92" s="6"/>
      <c r="PCI92" s="6"/>
      <c r="PCJ92" s="6"/>
      <c r="PCK92" s="6"/>
      <c r="PCL92" s="6"/>
      <c r="PCM92" s="6"/>
      <c r="PCN92" s="6"/>
      <c r="PCO92" s="6"/>
      <c r="PCP92" s="6"/>
      <c r="PCQ92" s="6"/>
      <c r="PCR92" s="6"/>
      <c r="PCS92" s="6"/>
      <c r="PCT92" s="6"/>
      <c r="PCU92" s="6"/>
      <c r="PCV92" s="6"/>
      <c r="PCW92" s="6"/>
      <c r="PCX92" s="6"/>
      <c r="PCY92" s="6"/>
      <c r="PCZ92" s="6"/>
      <c r="PDA92" s="6"/>
      <c r="PDB92" s="6"/>
      <c r="PDC92" s="6"/>
      <c r="PDD92" s="6"/>
      <c r="PDE92" s="6"/>
      <c r="PDF92" s="6"/>
      <c r="PDG92" s="6"/>
      <c r="PDH92" s="6"/>
      <c r="PDI92" s="6"/>
      <c r="PDJ92" s="6"/>
      <c r="PDK92" s="6"/>
      <c r="PDL92" s="6"/>
      <c r="PDM92" s="6"/>
      <c r="PDN92" s="6"/>
      <c r="PDO92" s="6"/>
      <c r="PDP92" s="6"/>
      <c r="PDQ92" s="6"/>
      <c r="PDR92" s="6"/>
      <c r="PDS92" s="6"/>
      <c r="PDT92" s="6"/>
      <c r="PDU92" s="6"/>
      <c r="PDV92" s="6"/>
      <c r="PDW92" s="6"/>
      <c r="PDX92" s="6"/>
      <c r="PDY92" s="6"/>
      <c r="PDZ92" s="6"/>
      <c r="PEA92" s="6"/>
      <c r="PEB92" s="6"/>
      <c r="PEC92" s="6"/>
      <c r="PED92" s="6"/>
      <c r="PEE92" s="6"/>
      <c r="PEF92" s="6"/>
      <c r="PEG92" s="6"/>
      <c r="PEH92" s="6"/>
      <c r="PEI92" s="6"/>
      <c r="PEJ92" s="6"/>
      <c r="PEK92" s="6"/>
      <c r="PEL92" s="6"/>
      <c r="PEM92" s="6"/>
      <c r="PEN92" s="6"/>
      <c r="PEO92" s="6"/>
      <c r="PEP92" s="6"/>
      <c r="PEQ92" s="6"/>
      <c r="PER92" s="6"/>
      <c r="PES92" s="6"/>
      <c r="PET92" s="6"/>
      <c r="PEU92" s="6"/>
      <c r="PEV92" s="6"/>
      <c r="PEW92" s="6"/>
      <c r="PEX92" s="6"/>
      <c r="PEY92" s="6"/>
      <c r="PEZ92" s="6"/>
      <c r="PFA92" s="6"/>
      <c r="PFB92" s="6"/>
      <c r="PFC92" s="6"/>
      <c r="PFD92" s="6"/>
      <c r="PFE92" s="6"/>
      <c r="PFF92" s="6"/>
      <c r="PFG92" s="6"/>
      <c r="PFH92" s="6"/>
      <c r="PFI92" s="6"/>
      <c r="PFJ92" s="6"/>
      <c r="PFK92" s="6"/>
      <c r="PFL92" s="6"/>
      <c r="PFM92" s="6"/>
      <c r="PFN92" s="6"/>
      <c r="PFO92" s="6"/>
      <c r="PFP92" s="6"/>
      <c r="PFQ92" s="6"/>
      <c r="PFR92" s="6"/>
      <c r="PFS92" s="6"/>
      <c r="PFT92" s="6"/>
      <c r="PFU92" s="6"/>
      <c r="PFV92" s="6"/>
      <c r="PFW92" s="6"/>
      <c r="PFX92" s="6"/>
      <c r="PFY92" s="6"/>
      <c r="PFZ92" s="6"/>
      <c r="PGA92" s="6"/>
      <c r="PGB92" s="6"/>
      <c r="PGC92" s="6"/>
      <c r="PGD92" s="6"/>
      <c r="PGE92" s="6"/>
      <c r="PGF92" s="6"/>
      <c r="PGG92" s="6"/>
      <c r="PGH92" s="6"/>
      <c r="PGI92" s="6"/>
      <c r="PGJ92" s="6"/>
      <c r="PGK92" s="6"/>
      <c r="PGL92" s="6"/>
      <c r="PGM92" s="6"/>
      <c r="PGN92" s="6"/>
      <c r="PGO92" s="6"/>
      <c r="PGP92" s="6"/>
      <c r="PGQ92" s="6"/>
      <c r="PGR92" s="6"/>
      <c r="PGS92" s="6"/>
      <c r="PGT92" s="6"/>
      <c r="PGU92" s="6"/>
      <c r="PGV92" s="6"/>
      <c r="PGW92" s="6"/>
      <c r="PGX92" s="6"/>
      <c r="PGY92" s="6"/>
      <c r="PGZ92" s="6"/>
      <c r="PHA92" s="6"/>
      <c r="PHB92" s="6"/>
      <c r="PHC92" s="6"/>
      <c r="PHD92" s="6"/>
      <c r="PHE92" s="6"/>
      <c r="PHF92" s="6"/>
      <c r="PHG92" s="6"/>
      <c r="PHH92" s="6"/>
      <c r="PHI92" s="6"/>
      <c r="PHJ92" s="6"/>
      <c r="PHK92" s="6"/>
      <c r="PHL92" s="6"/>
      <c r="PHM92" s="6"/>
      <c r="PHN92" s="6"/>
      <c r="PHO92" s="6"/>
      <c r="PHP92" s="6"/>
      <c r="PHQ92" s="6"/>
      <c r="PHR92" s="6"/>
      <c r="PHS92" s="6"/>
      <c r="PHT92" s="6"/>
      <c r="PHU92" s="6"/>
      <c r="PHV92" s="6"/>
      <c r="PHW92" s="6"/>
      <c r="PHX92" s="6"/>
      <c r="PHY92" s="6"/>
      <c r="PHZ92" s="6"/>
      <c r="PIA92" s="6"/>
      <c r="PIB92" s="6"/>
      <c r="PIC92" s="6"/>
      <c r="PID92" s="6"/>
      <c r="PIE92" s="6"/>
      <c r="PIF92" s="6"/>
      <c r="PIG92" s="6"/>
      <c r="PIH92" s="6"/>
      <c r="PII92" s="6"/>
      <c r="PIJ92" s="6"/>
      <c r="PIK92" s="6"/>
      <c r="PIL92" s="6"/>
      <c r="PIM92" s="6"/>
      <c r="PIN92" s="6"/>
      <c r="PIO92" s="6"/>
      <c r="PIP92" s="6"/>
      <c r="PIQ92" s="6"/>
      <c r="PIR92" s="6"/>
      <c r="PIS92" s="6"/>
      <c r="PIT92" s="6"/>
      <c r="PIU92" s="6"/>
      <c r="PIV92" s="6"/>
      <c r="PIW92" s="6"/>
      <c r="PIX92" s="6"/>
      <c r="PIY92" s="6"/>
      <c r="PIZ92" s="6"/>
      <c r="PJA92" s="6"/>
      <c r="PJB92" s="6"/>
      <c r="PJC92" s="6"/>
      <c r="PJD92" s="6"/>
      <c r="PJE92" s="6"/>
      <c r="PJF92" s="6"/>
      <c r="PJG92" s="6"/>
      <c r="PJH92" s="6"/>
      <c r="PJI92" s="6"/>
      <c r="PJJ92" s="6"/>
      <c r="PJK92" s="6"/>
      <c r="PJL92" s="6"/>
      <c r="PJM92" s="6"/>
      <c r="PJN92" s="6"/>
      <c r="PJO92" s="6"/>
      <c r="PJP92" s="6"/>
      <c r="PJQ92" s="6"/>
      <c r="PJR92" s="6"/>
      <c r="PJS92" s="6"/>
      <c r="PJT92" s="6"/>
      <c r="PJU92" s="6"/>
      <c r="PJV92" s="6"/>
      <c r="PJW92" s="6"/>
      <c r="PJX92" s="6"/>
      <c r="PJY92" s="6"/>
      <c r="PJZ92" s="6"/>
      <c r="PKA92" s="6"/>
      <c r="PKB92" s="6"/>
      <c r="PKC92" s="6"/>
      <c r="PKD92" s="6"/>
      <c r="PKE92" s="6"/>
      <c r="PKF92" s="6"/>
      <c r="PKG92" s="6"/>
      <c r="PKH92" s="6"/>
      <c r="PKI92" s="6"/>
      <c r="PKJ92" s="6"/>
      <c r="PKK92" s="6"/>
      <c r="PKL92" s="6"/>
      <c r="PKM92" s="6"/>
      <c r="PKN92" s="6"/>
      <c r="PKO92" s="6"/>
      <c r="PKP92" s="6"/>
      <c r="PKQ92" s="6"/>
      <c r="PKR92" s="6"/>
      <c r="PKS92" s="6"/>
      <c r="PKT92" s="6"/>
      <c r="PKU92" s="6"/>
      <c r="PKV92" s="6"/>
      <c r="PKW92" s="6"/>
      <c r="PKX92" s="6"/>
      <c r="PKY92" s="6"/>
      <c r="PKZ92" s="6"/>
      <c r="PLA92" s="6"/>
      <c r="PLB92" s="6"/>
      <c r="PLC92" s="6"/>
      <c r="PLD92" s="6"/>
      <c r="PLE92" s="6"/>
      <c r="PLF92" s="6"/>
      <c r="PLG92" s="6"/>
      <c r="PLH92" s="6"/>
      <c r="PLI92" s="6"/>
      <c r="PLJ92" s="6"/>
      <c r="PLK92" s="6"/>
      <c r="PLL92" s="6"/>
      <c r="PLM92" s="6"/>
      <c r="PLN92" s="6"/>
      <c r="PLO92" s="6"/>
      <c r="PLP92" s="6"/>
      <c r="PLQ92" s="6"/>
      <c r="PLR92" s="6"/>
      <c r="PLS92" s="6"/>
      <c r="PLT92" s="6"/>
      <c r="PLU92" s="6"/>
      <c r="PLV92" s="6"/>
      <c r="PLW92" s="6"/>
      <c r="PLX92" s="6"/>
      <c r="PLY92" s="6"/>
      <c r="PLZ92" s="6"/>
      <c r="PMA92" s="6"/>
      <c r="PMB92" s="6"/>
      <c r="PMC92" s="6"/>
      <c r="PMD92" s="6"/>
      <c r="PME92" s="6"/>
      <c r="PMF92" s="6"/>
      <c r="PMG92" s="6"/>
      <c r="PMH92" s="6"/>
      <c r="PMI92" s="6"/>
      <c r="PMJ92" s="6"/>
      <c r="PMK92" s="6"/>
      <c r="PML92" s="6"/>
      <c r="PMM92" s="6"/>
      <c r="PMN92" s="6"/>
      <c r="PMO92" s="6"/>
      <c r="PMP92" s="6"/>
      <c r="PMQ92" s="6"/>
      <c r="PMR92" s="6"/>
      <c r="PMS92" s="6"/>
      <c r="PMT92" s="6"/>
      <c r="PMU92" s="6"/>
      <c r="PMV92" s="6"/>
      <c r="PMW92" s="6"/>
      <c r="PMX92" s="6"/>
      <c r="PMY92" s="6"/>
      <c r="PMZ92" s="6"/>
      <c r="PNA92" s="6"/>
      <c r="PNB92" s="6"/>
      <c r="PNC92" s="6"/>
      <c r="PND92" s="6"/>
      <c r="PNE92" s="6"/>
      <c r="PNF92" s="6"/>
      <c r="PNG92" s="6"/>
      <c r="PNH92" s="6"/>
      <c r="PNI92" s="6"/>
      <c r="PNJ92" s="6"/>
      <c r="PNK92" s="6"/>
      <c r="PNL92" s="6"/>
      <c r="PNM92" s="6"/>
      <c r="PNN92" s="6"/>
      <c r="PNO92" s="6"/>
      <c r="PNP92" s="6"/>
      <c r="PNQ92" s="6"/>
      <c r="PNR92" s="6"/>
      <c r="PNS92" s="6"/>
      <c r="PNT92" s="6"/>
      <c r="PNU92" s="6"/>
      <c r="PNV92" s="6"/>
      <c r="PNW92" s="6"/>
      <c r="PNX92" s="6"/>
      <c r="PNY92" s="6"/>
      <c r="PNZ92" s="6"/>
      <c r="POA92" s="6"/>
      <c r="POB92" s="6"/>
      <c r="POC92" s="6"/>
      <c r="POD92" s="6"/>
      <c r="POE92" s="6"/>
      <c r="POF92" s="6"/>
      <c r="POG92" s="6"/>
      <c r="POH92" s="6"/>
      <c r="POI92" s="6"/>
      <c r="POJ92" s="6"/>
      <c r="POK92" s="6"/>
      <c r="POL92" s="6"/>
      <c r="POM92" s="6"/>
      <c r="PON92" s="6"/>
      <c r="POO92" s="6"/>
      <c r="POP92" s="6"/>
      <c r="POQ92" s="6"/>
      <c r="POR92" s="6"/>
      <c r="POS92" s="6"/>
      <c r="POT92" s="6"/>
      <c r="POU92" s="6"/>
      <c r="POV92" s="6"/>
      <c r="POW92" s="6"/>
      <c r="POX92" s="6"/>
      <c r="POY92" s="6"/>
      <c r="POZ92" s="6"/>
      <c r="PPA92" s="6"/>
      <c r="PPB92" s="6"/>
      <c r="PPC92" s="6"/>
      <c r="PPD92" s="6"/>
      <c r="PPE92" s="6"/>
      <c r="PPF92" s="6"/>
      <c r="PPG92" s="6"/>
      <c r="PPH92" s="6"/>
      <c r="PPI92" s="6"/>
      <c r="PPJ92" s="6"/>
      <c r="PPK92" s="6"/>
      <c r="PPL92" s="6"/>
      <c r="PPM92" s="6"/>
      <c r="PPN92" s="6"/>
      <c r="PPO92" s="6"/>
      <c r="PPP92" s="6"/>
      <c r="PPQ92" s="6"/>
      <c r="PPR92" s="6"/>
      <c r="PPS92" s="6"/>
      <c r="PPT92" s="6"/>
      <c r="PPU92" s="6"/>
      <c r="PPV92" s="6"/>
      <c r="PPW92" s="6"/>
      <c r="PPX92" s="6"/>
      <c r="PPY92" s="6"/>
      <c r="PPZ92" s="6"/>
      <c r="PQA92" s="6"/>
      <c r="PQB92" s="6"/>
      <c r="PQC92" s="6"/>
      <c r="PQD92" s="6"/>
      <c r="PQE92" s="6"/>
      <c r="PQF92" s="6"/>
      <c r="PQG92" s="6"/>
      <c r="PQH92" s="6"/>
      <c r="PQI92" s="6"/>
      <c r="PQJ92" s="6"/>
      <c r="PQK92" s="6"/>
      <c r="PQL92" s="6"/>
      <c r="PQM92" s="6"/>
      <c r="PQN92" s="6"/>
      <c r="PQO92" s="6"/>
      <c r="PQP92" s="6"/>
      <c r="PQQ92" s="6"/>
      <c r="PQR92" s="6"/>
      <c r="PQS92" s="6"/>
      <c r="PQT92" s="6"/>
      <c r="PQU92" s="6"/>
      <c r="PQV92" s="6"/>
      <c r="PQW92" s="6"/>
      <c r="PQX92" s="6"/>
      <c r="PQY92" s="6"/>
      <c r="PQZ92" s="6"/>
      <c r="PRA92" s="6"/>
      <c r="PRB92" s="6"/>
      <c r="PRC92" s="6"/>
      <c r="PRD92" s="6"/>
      <c r="PRE92" s="6"/>
      <c r="PRF92" s="6"/>
      <c r="PRG92" s="6"/>
      <c r="PRH92" s="6"/>
      <c r="PRI92" s="6"/>
      <c r="PRJ92" s="6"/>
      <c r="PRK92" s="6"/>
      <c r="PRL92" s="6"/>
      <c r="PRM92" s="6"/>
      <c r="PRN92" s="6"/>
      <c r="PRO92" s="6"/>
      <c r="PRP92" s="6"/>
      <c r="PRQ92" s="6"/>
      <c r="PRR92" s="6"/>
      <c r="PRS92" s="6"/>
      <c r="PRT92" s="6"/>
      <c r="PRU92" s="6"/>
      <c r="PRV92" s="6"/>
      <c r="PRW92" s="6"/>
      <c r="PRX92" s="6"/>
      <c r="PRY92" s="6"/>
      <c r="PRZ92" s="6"/>
      <c r="PSA92" s="6"/>
      <c r="PSB92" s="6"/>
      <c r="PSC92" s="6"/>
      <c r="PSD92" s="6"/>
      <c r="PSE92" s="6"/>
      <c r="PSF92" s="6"/>
      <c r="PSG92" s="6"/>
      <c r="PSH92" s="6"/>
      <c r="PSI92" s="6"/>
      <c r="PSJ92" s="6"/>
      <c r="PSK92" s="6"/>
      <c r="PSL92" s="6"/>
      <c r="PSM92" s="6"/>
      <c r="PSN92" s="6"/>
      <c r="PSO92" s="6"/>
      <c r="PSP92" s="6"/>
      <c r="PSQ92" s="6"/>
      <c r="PSR92" s="6"/>
      <c r="PSS92" s="6"/>
      <c r="PST92" s="6"/>
      <c r="PSU92" s="6"/>
      <c r="PSV92" s="6"/>
      <c r="PSW92" s="6"/>
      <c r="PSX92" s="6"/>
      <c r="PSY92" s="6"/>
      <c r="PSZ92" s="6"/>
      <c r="PTA92" s="6"/>
      <c r="PTB92" s="6"/>
      <c r="PTC92" s="6"/>
      <c r="PTD92" s="6"/>
      <c r="PTE92" s="6"/>
      <c r="PTF92" s="6"/>
      <c r="PTG92" s="6"/>
      <c r="PTH92" s="6"/>
      <c r="PTI92" s="6"/>
      <c r="PTJ92" s="6"/>
      <c r="PTK92" s="6"/>
      <c r="PTL92" s="6"/>
      <c r="PTM92" s="6"/>
      <c r="PTN92" s="6"/>
      <c r="PTO92" s="6"/>
      <c r="PTP92" s="6"/>
      <c r="PTQ92" s="6"/>
      <c r="PTR92" s="6"/>
      <c r="PTS92" s="6"/>
      <c r="PTT92" s="6"/>
      <c r="PTU92" s="6"/>
      <c r="PTV92" s="6"/>
      <c r="PTW92" s="6"/>
      <c r="PTX92" s="6"/>
      <c r="PTY92" s="6"/>
      <c r="PTZ92" s="6"/>
      <c r="PUA92" s="6"/>
      <c r="PUB92" s="6"/>
      <c r="PUC92" s="6"/>
      <c r="PUD92" s="6"/>
      <c r="PUE92" s="6"/>
      <c r="PUF92" s="6"/>
      <c r="PUG92" s="6"/>
      <c r="PUH92" s="6"/>
      <c r="PUI92" s="6"/>
      <c r="PUJ92" s="6"/>
      <c r="PUK92" s="6"/>
      <c r="PUL92" s="6"/>
      <c r="PUM92" s="6"/>
      <c r="PUN92" s="6"/>
      <c r="PUO92" s="6"/>
      <c r="PUP92" s="6"/>
      <c r="PUQ92" s="6"/>
      <c r="PUR92" s="6"/>
      <c r="PUS92" s="6"/>
      <c r="PUT92" s="6"/>
      <c r="PUU92" s="6"/>
      <c r="PUV92" s="6"/>
      <c r="PUW92" s="6"/>
      <c r="PUX92" s="6"/>
      <c r="PUY92" s="6"/>
      <c r="PUZ92" s="6"/>
      <c r="PVA92" s="6"/>
      <c r="PVB92" s="6"/>
      <c r="PVC92" s="6"/>
      <c r="PVD92" s="6"/>
      <c r="PVE92" s="6"/>
      <c r="PVF92" s="6"/>
      <c r="PVG92" s="6"/>
      <c r="PVH92" s="6"/>
      <c r="PVI92" s="6"/>
      <c r="PVJ92" s="6"/>
      <c r="PVK92" s="6"/>
      <c r="PVL92" s="6"/>
      <c r="PVM92" s="6"/>
      <c r="PVN92" s="6"/>
      <c r="PVO92" s="6"/>
      <c r="PVP92" s="6"/>
      <c r="PVQ92" s="6"/>
      <c r="PVR92" s="6"/>
      <c r="PVS92" s="6"/>
      <c r="PVT92" s="6"/>
      <c r="PVU92" s="6"/>
      <c r="PVV92" s="6"/>
      <c r="PVW92" s="6"/>
      <c r="PVX92" s="6"/>
      <c r="PVY92" s="6"/>
      <c r="PVZ92" s="6"/>
      <c r="PWA92" s="6"/>
      <c r="PWB92" s="6"/>
      <c r="PWC92" s="6"/>
      <c r="PWD92" s="6"/>
      <c r="PWE92" s="6"/>
      <c r="PWF92" s="6"/>
      <c r="PWG92" s="6"/>
      <c r="PWH92" s="6"/>
      <c r="PWI92" s="6"/>
      <c r="PWJ92" s="6"/>
      <c r="PWK92" s="6"/>
      <c r="PWL92" s="6"/>
      <c r="PWM92" s="6"/>
      <c r="PWN92" s="6"/>
      <c r="PWO92" s="6"/>
      <c r="PWP92" s="6"/>
      <c r="PWQ92" s="6"/>
      <c r="PWR92" s="6"/>
      <c r="PWS92" s="6"/>
      <c r="PWT92" s="6"/>
      <c r="PWU92" s="6"/>
      <c r="PWV92" s="6"/>
      <c r="PWW92" s="6"/>
      <c r="PWX92" s="6"/>
      <c r="PWY92" s="6"/>
      <c r="PWZ92" s="6"/>
      <c r="PXA92" s="6"/>
      <c r="PXB92" s="6"/>
      <c r="PXC92" s="6"/>
      <c r="PXD92" s="6"/>
      <c r="PXE92" s="6"/>
      <c r="PXF92" s="6"/>
      <c r="PXG92" s="6"/>
      <c r="PXH92" s="6"/>
      <c r="PXI92" s="6"/>
      <c r="PXJ92" s="6"/>
      <c r="PXK92" s="6"/>
      <c r="PXL92" s="6"/>
      <c r="PXM92" s="6"/>
      <c r="PXN92" s="6"/>
      <c r="PXO92" s="6"/>
      <c r="PXP92" s="6"/>
      <c r="PXQ92" s="6"/>
      <c r="PXR92" s="6"/>
      <c r="PXS92" s="6"/>
      <c r="PXT92" s="6"/>
      <c r="PXU92" s="6"/>
      <c r="PXV92" s="6"/>
      <c r="PXW92" s="6"/>
      <c r="PXX92" s="6"/>
      <c r="PXY92" s="6"/>
      <c r="PXZ92" s="6"/>
      <c r="PYA92" s="6"/>
      <c r="PYB92" s="6"/>
      <c r="PYC92" s="6"/>
      <c r="PYD92" s="6"/>
      <c r="PYE92" s="6"/>
      <c r="PYF92" s="6"/>
      <c r="PYG92" s="6"/>
      <c r="PYH92" s="6"/>
      <c r="PYI92" s="6"/>
      <c r="PYJ92" s="6"/>
      <c r="PYK92" s="6"/>
      <c r="PYL92" s="6"/>
      <c r="PYM92" s="6"/>
      <c r="PYN92" s="6"/>
      <c r="PYO92" s="6"/>
      <c r="PYP92" s="6"/>
      <c r="PYQ92" s="6"/>
      <c r="PYR92" s="6"/>
      <c r="PYS92" s="6"/>
      <c r="PYT92" s="6"/>
      <c r="PYU92" s="6"/>
      <c r="PYV92" s="6"/>
      <c r="PYW92" s="6"/>
      <c r="PYX92" s="6"/>
      <c r="PYY92" s="6"/>
      <c r="PYZ92" s="6"/>
      <c r="PZA92" s="6"/>
      <c r="PZB92" s="6"/>
      <c r="PZC92" s="6"/>
      <c r="PZD92" s="6"/>
      <c r="PZE92" s="6"/>
      <c r="PZF92" s="6"/>
      <c r="PZG92" s="6"/>
      <c r="PZH92" s="6"/>
      <c r="PZI92" s="6"/>
      <c r="PZJ92" s="6"/>
      <c r="PZK92" s="6"/>
      <c r="PZL92" s="6"/>
      <c r="PZM92" s="6"/>
      <c r="PZN92" s="6"/>
      <c r="PZO92" s="6"/>
      <c r="PZP92" s="6"/>
      <c r="PZQ92" s="6"/>
      <c r="PZR92" s="6"/>
      <c r="PZS92" s="6"/>
      <c r="PZT92" s="6"/>
      <c r="PZU92" s="6"/>
      <c r="PZV92" s="6"/>
      <c r="PZW92" s="6"/>
      <c r="PZX92" s="6"/>
      <c r="PZY92" s="6"/>
      <c r="PZZ92" s="6"/>
      <c r="QAA92" s="6"/>
      <c r="QAB92" s="6"/>
      <c r="QAC92" s="6"/>
      <c r="QAD92" s="6"/>
      <c r="QAE92" s="6"/>
      <c r="QAF92" s="6"/>
      <c r="QAG92" s="6"/>
      <c r="QAH92" s="6"/>
      <c r="QAI92" s="6"/>
      <c r="QAJ92" s="6"/>
      <c r="QAK92" s="6"/>
      <c r="QAL92" s="6"/>
      <c r="QAM92" s="6"/>
      <c r="QAN92" s="6"/>
      <c r="QAO92" s="6"/>
      <c r="QAP92" s="6"/>
      <c r="QAQ92" s="6"/>
      <c r="QAR92" s="6"/>
      <c r="QAS92" s="6"/>
      <c r="QAT92" s="6"/>
      <c r="QAU92" s="6"/>
      <c r="QAV92" s="6"/>
      <c r="QAW92" s="6"/>
      <c r="QAX92" s="6"/>
      <c r="QAY92" s="6"/>
      <c r="QAZ92" s="6"/>
      <c r="QBA92" s="6"/>
      <c r="QBB92" s="6"/>
      <c r="QBC92" s="6"/>
      <c r="QBD92" s="6"/>
      <c r="QBE92" s="6"/>
      <c r="QBF92" s="6"/>
      <c r="QBG92" s="6"/>
      <c r="QBH92" s="6"/>
      <c r="QBI92" s="6"/>
      <c r="QBJ92" s="6"/>
      <c r="QBK92" s="6"/>
      <c r="QBL92" s="6"/>
      <c r="QBM92" s="6"/>
      <c r="QBN92" s="6"/>
      <c r="QBO92" s="6"/>
      <c r="QBP92" s="6"/>
      <c r="QBQ92" s="6"/>
      <c r="QBR92" s="6"/>
      <c r="QBS92" s="6"/>
      <c r="QBT92" s="6"/>
      <c r="QBU92" s="6"/>
      <c r="QBV92" s="6"/>
      <c r="QBW92" s="6"/>
      <c r="QBX92" s="6"/>
      <c r="QBY92" s="6"/>
      <c r="QBZ92" s="6"/>
      <c r="QCA92" s="6"/>
      <c r="QCB92" s="6"/>
      <c r="QCC92" s="6"/>
      <c r="QCD92" s="6"/>
      <c r="QCE92" s="6"/>
      <c r="QCF92" s="6"/>
      <c r="QCG92" s="6"/>
      <c r="QCH92" s="6"/>
      <c r="QCI92" s="6"/>
      <c r="QCJ92" s="6"/>
      <c r="QCK92" s="6"/>
      <c r="QCL92" s="6"/>
      <c r="QCM92" s="6"/>
      <c r="QCN92" s="6"/>
      <c r="QCO92" s="6"/>
      <c r="QCP92" s="6"/>
      <c r="QCQ92" s="6"/>
      <c r="QCR92" s="6"/>
      <c r="QCS92" s="6"/>
      <c r="QCT92" s="6"/>
      <c r="QCU92" s="6"/>
      <c r="QCV92" s="6"/>
      <c r="QCW92" s="6"/>
      <c r="QCX92" s="6"/>
      <c r="QCY92" s="6"/>
      <c r="QCZ92" s="6"/>
      <c r="QDA92" s="6"/>
      <c r="QDB92" s="6"/>
      <c r="QDC92" s="6"/>
      <c r="QDD92" s="6"/>
      <c r="QDE92" s="6"/>
      <c r="QDF92" s="6"/>
      <c r="QDG92" s="6"/>
      <c r="QDH92" s="6"/>
      <c r="QDI92" s="6"/>
      <c r="QDJ92" s="6"/>
      <c r="QDK92" s="6"/>
      <c r="QDL92" s="6"/>
      <c r="QDM92" s="6"/>
      <c r="QDN92" s="6"/>
      <c r="QDO92" s="6"/>
      <c r="QDP92" s="6"/>
      <c r="QDQ92" s="6"/>
      <c r="QDR92" s="6"/>
      <c r="QDS92" s="6"/>
      <c r="QDT92" s="6"/>
      <c r="QDU92" s="6"/>
      <c r="QDV92" s="6"/>
      <c r="QDW92" s="6"/>
      <c r="QDX92" s="6"/>
      <c r="QDY92" s="6"/>
      <c r="QDZ92" s="6"/>
      <c r="QEA92" s="6"/>
      <c r="QEB92" s="6"/>
      <c r="QEC92" s="6"/>
      <c r="QED92" s="6"/>
      <c r="QEE92" s="6"/>
      <c r="QEF92" s="6"/>
      <c r="QEG92" s="6"/>
      <c r="QEH92" s="6"/>
      <c r="QEI92" s="6"/>
      <c r="QEJ92" s="6"/>
      <c r="QEK92" s="6"/>
      <c r="QEL92" s="6"/>
      <c r="QEM92" s="6"/>
      <c r="QEN92" s="6"/>
      <c r="QEO92" s="6"/>
      <c r="QEP92" s="6"/>
      <c r="QEQ92" s="6"/>
      <c r="QER92" s="6"/>
      <c r="QES92" s="6"/>
      <c r="QET92" s="6"/>
      <c r="QEU92" s="6"/>
      <c r="QEV92" s="6"/>
      <c r="QEW92" s="6"/>
      <c r="QEX92" s="6"/>
      <c r="QEY92" s="6"/>
      <c r="QEZ92" s="6"/>
      <c r="QFA92" s="6"/>
      <c r="QFB92" s="6"/>
      <c r="QFC92" s="6"/>
      <c r="QFD92" s="6"/>
      <c r="QFE92" s="6"/>
      <c r="QFF92" s="6"/>
      <c r="QFG92" s="6"/>
      <c r="QFH92" s="6"/>
      <c r="QFI92" s="6"/>
      <c r="QFJ92" s="6"/>
      <c r="QFK92" s="6"/>
      <c r="QFL92" s="6"/>
      <c r="QFM92" s="6"/>
      <c r="QFN92" s="6"/>
      <c r="QFO92" s="6"/>
      <c r="QFP92" s="6"/>
      <c r="QFQ92" s="6"/>
      <c r="QFR92" s="6"/>
      <c r="QFS92" s="6"/>
      <c r="QFT92" s="6"/>
      <c r="QFU92" s="6"/>
      <c r="QFV92" s="6"/>
      <c r="QFW92" s="6"/>
      <c r="QFX92" s="6"/>
      <c r="QFY92" s="6"/>
      <c r="QFZ92" s="6"/>
      <c r="QGA92" s="6"/>
      <c r="QGB92" s="6"/>
      <c r="QGC92" s="6"/>
      <c r="QGD92" s="6"/>
      <c r="QGE92" s="6"/>
      <c r="QGF92" s="6"/>
      <c r="QGG92" s="6"/>
      <c r="QGH92" s="6"/>
      <c r="QGI92" s="6"/>
      <c r="QGJ92" s="6"/>
      <c r="QGK92" s="6"/>
      <c r="QGL92" s="6"/>
      <c r="QGM92" s="6"/>
      <c r="QGN92" s="6"/>
      <c r="QGO92" s="6"/>
      <c r="QGP92" s="6"/>
      <c r="QGQ92" s="6"/>
      <c r="QGR92" s="6"/>
      <c r="QGS92" s="6"/>
      <c r="QGT92" s="6"/>
      <c r="QGU92" s="6"/>
      <c r="QGV92" s="6"/>
      <c r="QGW92" s="6"/>
      <c r="QGX92" s="6"/>
      <c r="QGY92" s="6"/>
      <c r="QGZ92" s="6"/>
      <c r="QHA92" s="6"/>
      <c r="QHB92" s="6"/>
      <c r="QHC92" s="6"/>
      <c r="QHD92" s="6"/>
      <c r="QHE92" s="6"/>
      <c r="QHF92" s="6"/>
      <c r="QHG92" s="6"/>
      <c r="QHH92" s="6"/>
      <c r="QHI92" s="6"/>
      <c r="QHJ92" s="6"/>
      <c r="QHK92" s="6"/>
      <c r="QHL92" s="6"/>
      <c r="QHM92" s="6"/>
      <c r="QHN92" s="6"/>
      <c r="QHO92" s="6"/>
      <c r="QHP92" s="6"/>
      <c r="QHQ92" s="6"/>
      <c r="QHR92" s="6"/>
      <c r="QHS92" s="6"/>
      <c r="QHT92" s="6"/>
      <c r="QHU92" s="6"/>
      <c r="QHV92" s="6"/>
      <c r="QHW92" s="6"/>
      <c r="QHX92" s="6"/>
      <c r="QHY92" s="6"/>
      <c r="QHZ92" s="6"/>
      <c r="QIA92" s="6"/>
      <c r="QIB92" s="6"/>
      <c r="QIC92" s="6"/>
      <c r="QID92" s="6"/>
      <c r="QIE92" s="6"/>
      <c r="QIF92" s="6"/>
      <c r="QIG92" s="6"/>
      <c r="QIH92" s="6"/>
      <c r="QII92" s="6"/>
      <c r="QIJ92" s="6"/>
      <c r="QIK92" s="6"/>
      <c r="QIL92" s="6"/>
      <c r="QIM92" s="6"/>
      <c r="QIN92" s="6"/>
      <c r="QIO92" s="6"/>
      <c r="QIP92" s="6"/>
      <c r="QIQ92" s="6"/>
      <c r="QIR92" s="6"/>
      <c r="QIS92" s="6"/>
      <c r="QIT92" s="6"/>
      <c r="QIU92" s="6"/>
      <c r="QIV92" s="6"/>
      <c r="QIW92" s="6"/>
      <c r="QIX92" s="6"/>
      <c r="QIY92" s="6"/>
      <c r="QIZ92" s="6"/>
      <c r="QJA92" s="6"/>
      <c r="QJB92" s="6"/>
      <c r="QJC92" s="6"/>
      <c r="QJD92" s="6"/>
      <c r="QJE92" s="6"/>
      <c r="QJF92" s="6"/>
      <c r="QJG92" s="6"/>
      <c r="QJH92" s="6"/>
      <c r="QJI92" s="6"/>
      <c r="QJJ92" s="6"/>
      <c r="QJK92" s="6"/>
      <c r="QJL92" s="6"/>
      <c r="QJM92" s="6"/>
      <c r="QJN92" s="6"/>
      <c r="QJO92" s="6"/>
      <c r="QJP92" s="6"/>
      <c r="QJQ92" s="6"/>
      <c r="QJR92" s="6"/>
      <c r="QJS92" s="6"/>
      <c r="QJT92" s="6"/>
      <c r="QJU92" s="6"/>
      <c r="QJV92" s="6"/>
      <c r="QJW92" s="6"/>
      <c r="QJX92" s="6"/>
      <c r="QJY92" s="6"/>
      <c r="QJZ92" s="6"/>
      <c r="QKA92" s="6"/>
      <c r="QKB92" s="6"/>
      <c r="QKC92" s="6"/>
      <c r="QKD92" s="6"/>
      <c r="QKE92" s="6"/>
      <c r="QKF92" s="6"/>
      <c r="QKG92" s="6"/>
      <c r="QKH92" s="6"/>
      <c r="QKI92" s="6"/>
      <c r="QKJ92" s="6"/>
      <c r="QKK92" s="6"/>
      <c r="QKL92" s="6"/>
      <c r="QKM92" s="6"/>
      <c r="QKN92" s="6"/>
      <c r="QKO92" s="6"/>
      <c r="QKP92" s="6"/>
      <c r="QKQ92" s="6"/>
      <c r="QKR92" s="6"/>
      <c r="QKS92" s="6"/>
      <c r="QKT92" s="6"/>
      <c r="QKU92" s="6"/>
      <c r="QKV92" s="6"/>
      <c r="QKW92" s="6"/>
      <c r="QKX92" s="6"/>
      <c r="QKY92" s="6"/>
      <c r="QKZ92" s="6"/>
      <c r="QLA92" s="6"/>
      <c r="QLB92" s="6"/>
      <c r="QLC92" s="6"/>
      <c r="QLD92" s="6"/>
      <c r="QLE92" s="6"/>
      <c r="QLF92" s="6"/>
      <c r="QLG92" s="6"/>
      <c r="QLH92" s="6"/>
      <c r="QLI92" s="6"/>
      <c r="QLJ92" s="6"/>
      <c r="QLK92" s="6"/>
      <c r="QLL92" s="6"/>
      <c r="QLM92" s="6"/>
      <c r="QLN92" s="6"/>
      <c r="QLO92" s="6"/>
      <c r="QLP92" s="6"/>
      <c r="QLQ92" s="6"/>
      <c r="QLR92" s="6"/>
      <c r="QLS92" s="6"/>
      <c r="QLT92" s="6"/>
      <c r="QLU92" s="6"/>
      <c r="QLV92" s="6"/>
      <c r="QLW92" s="6"/>
      <c r="QLX92" s="6"/>
      <c r="QLY92" s="6"/>
      <c r="QLZ92" s="6"/>
      <c r="QMA92" s="6"/>
      <c r="QMB92" s="6"/>
      <c r="QMC92" s="6"/>
      <c r="QMD92" s="6"/>
      <c r="QME92" s="6"/>
      <c r="QMF92" s="6"/>
      <c r="QMG92" s="6"/>
      <c r="QMH92" s="6"/>
      <c r="QMI92" s="6"/>
      <c r="QMJ92" s="6"/>
      <c r="QMK92" s="6"/>
      <c r="QML92" s="6"/>
      <c r="QMM92" s="6"/>
      <c r="QMN92" s="6"/>
      <c r="QMO92" s="6"/>
      <c r="QMP92" s="6"/>
      <c r="QMQ92" s="6"/>
      <c r="QMR92" s="6"/>
      <c r="QMS92" s="6"/>
      <c r="QMT92" s="6"/>
      <c r="QMU92" s="6"/>
      <c r="QMV92" s="6"/>
      <c r="QMW92" s="6"/>
      <c r="QMX92" s="6"/>
      <c r="QMY92" s="6"/>
      <c r="QMZ92" s="6"/>
      <c r="QNA92" s="6"/>
      <c r="QNB92" s="6"/>
      <c r="QNC92" s="6"/>
      <c r="QND92" s="6"/>
      <c r="QNE92" s="6"/>
      <c r="QNF92" s="6"/>
      <c r="QNG92" s="6"/>
      <c r="QNH92" s="6"/>
      <c r="QNI92" s="6"/>
      <c r="QNJ92" s="6"/>
      <c r="QNK92" s="6"/>
      <c r="QNL92" s="6"/>
      <c r="QNM92" s="6"/>
      <c r="QNN92" s="6"/>
      <c r="QNO92" s="6"/>
      <c r="QNP92" s="6"/>
      <c r="QNQ92" s="6"/>
      <c r="QNR92" s="6"/>
      <c r="QNS92" s="6"/>
      <c r="QNT92" s="6"/>
      <c r="QNU92" s="6"/>
      <c r="QNV92" s="6"/>
      <c r="QNW92" s="6"/>
      <c r="QNX92" s="6"/>
      <c r="QNY92" s="6"/>
      <c r="QNZ92" s="6"/>
      <c r="QOA92" s="6"/>
      <c r="QOB92" s="6"/>
      <c r="QOC92" s="6"/>
      <c r="QOD92" s="6"/>
      <c r="QOE92" s="6"/>
      <c r="QOF92" s="6"/>
      <c r="QOG92" s="6"/>
      <c r="QOH92" s="6"/>
      <c r="QOI92" s="6"/>
      <c r="QOJ92" s="6"/>
      <c r="QOK92" s="6"/>
      <c r="QOL92" s="6"/>
      <c r="QOM92" s="6"/>
      <c r="QON92" s="6"/>
      <c r="QOO92" s="6"/>
      <c r="QOP92" s="6"/>
      <c r="QOQ92" s="6"/>
      <c r="QOR92" s="6"/>
      <c r="QOS92" s="6"/>
      <c r="QOT92" s="6"/>
      <c r="QOU92" s="6"/>
      <c r="QOV92" s="6"/>
      <c r="QOW92" s="6"/>
      <c r="QOX92" s="6"/>
      <c r="QOY92" s="6"/>
      <c r="QOZ92" s="6"/>
      <c r="QPA92" s="6"/>
      <c r="QPB92" s="6"/>
      <c r="QPC92" s="6"/>
      <c r="QPD92" s="6"/>
      <c r="QPE92" s="6"/>
      <c r="QPF92" s="6"/>
      <c r="QPG92" s="6"/>
      <c r="QPH92" s="6"/>
      <c r="QPI92" s="6"/>
      <c r="QPJ92" s="6"/>
      <c r="QPK92" s="6"/>
      <c r="QPL92" s="6"/>
      <c r="QPM92" s="6"/>
      <c r="QPN92" s="6"/>
      <c r="QPO92" s="6"/>
      <c r="QPP92" s="6"/>
      <c r="QPQ92" s="6"/>
      <c r="QPR92" s="6"/>
      <c r="QPS92" s="6"/>
      <c r="QPT92" s="6"/>
      <c r="QPU92" s="6"/>
      <c r="QPV92" s="6"/>
      <c r="QPW92" s="6"/>
      <c r="QPX92" s="6"/>
      <c r="QPY92" s="6"/>
      <c r="QPZ92" s="6"/>
      <c r="QQA92" s="6"/>
      <c r="QQB92" s="6"/>
      <c r="QQC92" s="6"/>
      <c r="QQD92" s="6"/>
      <c r="QQE92" s="6"/>
      <c r="QQF92" s="6"/>
      <c r="QQG92" s="6"/>
      <c r="QQH92" s="6"/>
      <c r="QQI92" s="6"/>
      <c r="QQJ92" s="6"/>
      <c r="QQK92" s="6"/>
      <c r="QQL92" s="6"/>
      <c r="QQM92" s="6"/>
      <c r="QQN92" s="6"/>
      <c r="QQO92" s="6"/>
      <c r="QQP92" s="6"/>
      <c r="QQQ92" s="6"/>
      <c r="QQR92" s="6"/>
      <c r="QQS92" s="6"/>
      <c r="QQT92" s="6"/>
      <c r="QQU92" s="6"/>
      <c r="QQV92" s="6"/>
      <c r="QQW92" s="6"/>
      <c r="QQX92" s="6"/>
      <c r="QQY92" s="6"/>
      <c r="QQZ92" s="6"/>
      <c r="QRA92" s="6"/>
      <c r="QRB92" s="6"/>
      <c r="QRC92" s="6"/>
      <c r="QRD92" s="6"/>
      <c r="QRE92" s="6"/>
      <c r="QRF92" s="6"/>
      <c r="QRG92" s="6"/>
      <c r="QRH92" s="6"/>
      <c r="QRI92" s="6"/>
      <c r="QRJ92" s="6"/>
      <c r="QRK92" s="6"/>
      <c r="QRL92" s="6"/>
      <c r="QRM92" s="6"/>
      <c r="QRN92" s="6"/>
      <c r="QRO92" s="6"/>
      <c r="QRP92" s="6"/>
      <c r="QRQ92" s="6"/>
      <c r="QRR92" s="6"/>
      <c r="QRS92" s="6"/>
      <c r="QRT92" s="6"/>
      <c r="QRU92" s="6"/>
      <c r="QRV92" s="6"/>
      <c r="QRW92" s="6"/>
      <c r="QRX92" s="6"/>
      <c r="QRY92" s="6"/>
      <c r="QRZ92" s="6"/>
      <c r="QSA92" s="6"/>
      <c r="QSB92" s="6"/>
      <c r="QSC92" s="6"/>
      <c r="QSD92" s="6"/>
      <c r="QSE92" s="6"/>
      <c r="QSF92" s="6"/>
      <c r="QSG92" s="6"/>
      <c r="QSH92" s="6"/>
      <c r="QSI92" s="6"/>
      <c r="QSJ92" s="6"/>
      <c r="QSK92" s="6"/>
      <c r="QSL92" s="6"/>
      <c r="QSM92" s="6"/>
      <c r="QSN92" s="6"/>
      <c r="QSO92" s="6"/>
      <c r="QSP92" s="6"/>
      <c r="QSQ92" s="6"/>
      <c r="QSR92" s="6"/>
      <c r="QSS92" s="6"/>
      <c r="QST92" s="6"/>
      <c r="QSU92" s="6"/>
      <c r="QSV92" s="6"/>
      <c r="QSW92" s="6"/>
      <c r="QSX92" s="6"/>
      <c r="QSY92" s="6"/>
      <c r="QSZ92" s="6"/>
      <c r="QTA92" s="6"/>
      <c r="QTB92" s="6"/>
      <c r="QTC92" s="6"/>
      <c r="QTD92" s="6"/>
      <c r="QTE92" s="6"/>
      <c r="QTF92" s="6"/>
      <c r="QTG92" s="6"/>
      <c r="QTH92" s="6"/>
      <c r="QTI92" s="6"/>
      <c r="QTJ92" s="6"/>
      <c r="QTK92" s="6"/>
      <c r="QTL92" s="6"/>
      <c r="QTM92" s="6"/>
      <c r="QTN92" s="6"/>
      <c r="QTO92" s="6"/>
      <c r="QTP92" s="6"/>
      <c r="QTQ92" s="6"/>
      <c r="QTR92" s="6"/>
      <c r="QTS92" s="6"/>
      <c r="QTT92" s="6"/>
      <c r="QTU92" s="6"/>
      <c r="QTV92" s="6"/>
      <c r="QTW92" s="6"/>
      <c r="QTX92" s="6"/>
      <c r="QTY92" s="6"/>
      <c r="QTZ92" s="6"/>
      <c r="QUA92" s="6"/>
      <c r="QUB92" s="6"/>
      <c r="QUC92" s="6"/>
      <c r="QUD92" s="6"/>
      <c r="QUE92" s="6"/>
      <c r="QUF92" s="6"/>
      <c r="QUG92" s="6"/>
      <c r="QUH92" s="6"/>
      <c r="QUI92" s="6"/>
      <c r="QUJ92" s="6"/>
      <c r="QUK92" s="6"/>
      <c r="QUL92" s="6"/>
      <c r="QUM92" s="6"/>
      <c r="QUN92" s="6"/>
      <c r="QUO92" s="6"/>
      <c r="QUP92" s="6"/>
      <c r="QUQ92" s="6"/>
      <c r="QUR92" s="6"/>
      <c r="QUS92" s="6"/>
      <c r="QUT92" s="6"/>
      <c r="QUU92" s="6"/>
      <c r="QUV92" s="6"/>
      <c r="QUW92" s="6"/>
      <c r="QUX92" s="6"/>
      <c r="QUY92" s="6"/>
      <c r="QUZ92" s="6"/>
      <c r="QVA92" s="6"/>
      <c r="QVB92" s="6"/>
      <c r="QVC92" s="6"/>
      <c r="QVD92" s="6"/>
      <c r="QVE92" s="6"/>
      <c r="QVF92" s="6"/>
      <c r="QVG92" s="6"/>
      <c r="QVH92" s="6"/>
      <c r="QVI92" s="6"/>
      <c r="QVJ92" s="6"/>
      <c r="QVK92" s="6"/>
      <c r="QVL92" s="6"/>
      <c r="QVM92" s="6"/>
      <c r="QVN92" s="6"/>
      <c r="QVO92" s="6"/>
      <c r="QVP92" s="6"/>
      <c r="QVQ92" s="6"/>
      <c r="QVR92" s="6"/>
      <c r="QVS92" s="6"/>
      <c r="QVT92" s="6"/>
      <c r="QVU92" s="6"/>
      <c r="QVV92" s="6"/>
      <c r="QVW92" s="6"/>
      <c r="QVX92" s="6"/>
      <c r="QVY92" s="6"/>
      <c r="QVZ92" s="6"/>
      <c r="QWA92" s="6"/>
      <c r="QWB92" s="6"/>
      <c r="QWC92" s="6"/>
      <c r="QWD92" s="6"/>
      <c r="QWE92" s="6"/>
      <c r="QWF92" s="6"/>
      <c r="QWG92" s="6"/>
      <c r="QWH92" s="6"/>
      <c r="QWI92" s="6"/>
      <c r="QWJ92" s="6"/>
      <c r="QWK92" s="6"/>
      <c r="QWL92" s="6"/>
      <c r="QWM92" s="6"/>
      <c r="QWN92" s="6"/>
      <c r="QWO92" s="6"/>
      <c r="QWP92" s="6"/>
      <c r="QWQ92" s="6"/>
      <c r="QWR92" s="6"/>
      <c r="QWS92" s="6"/>
      <c r="QWT92" s="6"/>
      <c r="QWU92" s="6"/>
      <c r="QWV92" s="6"/>
      <c r="QWW92" s="6"/>
      <c r="QWX92" s="6"/>
      <c r="QWY92" s="6"/>
      <c r="QWZ92" s="6"/>
      <c r="QXA92" s="6"/>
      <c r="QXB92" s="6"/>
      <c r="QXC92" s="6"/>
      <c r="QXD92" s="6"/>
      <c r="QXE92" s="6"/>
      <c r="QXF92" s="6"/>
      <c r="QXG92" s="6"/>
      <c r="QXH92" s="6"/>
      <c r="QXI92" s="6"/>
      <c r="QXJ92" s="6"/>
      <c r="QXK92" s="6"/>
      <c r="QXL92" s="6"/>
      <c r="QXM92" s="6"/>
      <c r="QXN92" s="6"/>
      <c r="QXO92" s="6"/>
      <c r="QXP92" s="6"/>
      <c r="QXQ92" s="6"/>
      <c r="QXR92" s="6"/>
      <c r="QXS92" s="6"/>
      <c r="QXT92" s="6"/>
      <c r="QXU92" s="6"/>
      <c r="QXV92" s="6"/>
      <c r="QXW92" s="6"/>
      <c r="QXX92" s="6"/>
      <c r="QXY92" s="6"/>
      <c r="QXZ92" s="6"/>
      <c r="QYA92" s="6"/>
      <c r="QYB92" s="6"/>
      <c r="QYC92" s="6"/>
      <c r="QYD92" s="6"/>
      <c r="QYE92" s="6"/>
      <c r="QYF92" s="6"/>
      <c r="QYG92" s="6"/>
      <c r="QYH92" s="6"/>
      <c r="QYI92" s="6"/>
      <c r="QYJ92" s="6"/>
      <c r="QYK92" s="6"/>
      <c r="QYL92" s="6"/>
      <c r="QYM92" s="6"/>
      <c r="QYN92" s="6"/>
      <c r="QYO92" s="6"/>
      <c r="QYP92" s="6"/>
      <c r="QYQ92" s="6"/>
      <c r="QYR92" s="6"/>
      <c r="QYS92" s="6"/>
      <c r="QYT92" s="6"/>
      <c r="QYU92" s="6"/>
      <c r="QYV92" s="6"/>
      <c r="QYW92" s="6"/>
      <c r="QYX92" s="6"/>
      <c r="QYY92" s="6"/>
      <c r="QYZ92" s="6"/>
      <c r="QZA92" s="6"/>
      <c r="QZB92" s="6"/>
      <c r="QZC92" s="6"/>
      <c r="QZD92" s="6"/>
      <c r="QZE92" s="6"/>
      <c r="QZF92" s="6"/>
      <c r="QZG92" s="6"/>
      <c r="QZH92" s="6"/>
      <c r="QZI92" s="6"/>
      <c r="QZJ92" s="6"/>
      <c r="QZK92" s="6"/>
      <c r="QZL92" s="6"/>
      <c r="QZM92" s="6"/>
      <c r="QZN92" s="6"/>
      <c r="QZO92" s="6"/>
      <c r="QZP92" s="6"/>
      <c r="QZQ92" s="6"/>
      <c r="QZR92" s="6"/>
      <c r="QZS92" s="6"/>
      <c r="QZT92" s="6"/>
      <c r="QZU92" s="6"/>
      <c r="QZV92" s="6"/>
      <c r="QZW92" s="6"/>
      <c r="QZX92" s="6"/>
      <c r="QZY92" s="6"/>
      <c r="QZZ92" s="6"/>
      <c r="RAA92" s="6"/>
      <c r="RAB92" s="6"/>
      <c r="RAC92" s="6"/>
      <c r="RAD92" s="6"/>
      <c r="RAE92" s="6"/>
      <c r="RAF92" s="6"/>
      <c r="RAG92" s="6"/>
      <c r="RAH92" s="6"/>
      <c r="RAI92" s="6"/>
      <c r="RAJ92" s="6"/>
      <c r="RAK92" s="6"/>
      <c r="RAL92" s="6"/>
      <c r="RAM92" s="6"/>
      <c r="RAN92" s="6"/>
      <c r="RAO92" s="6"/>
      <c r="RAP92" s="6"/>
      <c r="RAQ92" s="6"/>
      <c r="RAR92" s="6"/>
      <c r="RAS92" s="6"/>
      <c r="RAT92" s="6"/>
      <c r="RAU92" s="6"/>
      <c r="RAV92" s="6"/>
      <c r="RAW92" s="6"/>
      <c r="RAX92" s="6"/>
      <c r="RAY92" s="6"/>
      <c r="RAZ92" s="6"/>
      <c r="RBA92" s="6"/>
      <c r="RBB92" s="6"/>
      <c r="RBC92" s="6"/>
      <c r="RBD92" s="6"/>
      <c r="RBE92" s="6"/>
      <c r="RBF92" s="6"/>
      <c r="RBG92" s="6"/>
      <c r="RBH92" s="6"/>
      <c r="RBI92" s="6"/>
      <c r="RBJ92" s="6"/>
      <c r="RBK92" s="6"/>
      <c r="RBL92" s="6"/>
      <c r="RBM92" s="6"/>
      <c r="RBN92" s="6"/>
      <c r="RBO92" s="6"/>
      <c r="RBP92" s="6"/>
      <c r="RBQ92" s="6"/>
      <c r="RBR92" s="6"/>
      <c r="RBS92" s="6"/>
      <c r="RBT92" s="6"/>
      <c r="RBU92" s="6"/>
      <c r="RBV92" s="6"/>
      <c r="RBW92" s="6"/>
      <c r="RBX92" s="6"/>
      <c r="RBY92" s="6"/>
      <c r="RBZ92" s="6"/>
      <c r="RCA92" s="6"/>
      <c r="RCB92" s="6"/>
      <c r="RCC92" s="6"/>
      <c r="RCD92" s="6"/>
      <c r="RCE92" s="6"/>
      <c r="RCF92" s="6"/>
      <c r="RCG92" s="6"/>
      <c r="RCH92" s="6"/>
      <c r="RCI92" s="6"/>
      <c r="RCJ92" s="6"/>
      <c r="RCK92" s="6"/>
      <c r="RCL92" s="6"/>
      <c r="RCM92" s="6"/>
      <c r="RCN92" s="6"/>
      <c r="RCO92" s="6"/>
      <c r="RCP92" s="6"/>
      <c r="RCQ92" s="6"/>
      <c r="RCR92" s="6"/>
      <c r="RCS92" s="6"/>
      <c r="RCT92" s="6"/>
      <c r="RCU92" s="6"/>
      <c r="RCV92" s="6"/>
      <c r="RCW92" s="6"/>
      <c r="RCX92" s="6"/>
      <c r="RCY92" s="6"/>
      <c r="RCZ92" s="6"/>
      <c r="RDA92" s="6"/>
      <c r="RDB92" s="6"/>
      <c r="RDC92" s="6"/>
      <c r="RDD92" s="6"/>
      <c r="RDE92" s="6"/>
      <c r="RDF92" s="6"/>
      <c r="RDG92" s="6"/>
      <c r="RDH92" s="6"/>
      <c r="RDI92" s="6"/>
      <c r="RDJ92" s="6"/>
      <c r="RDK92" s="6"/>
      <c r="RDL92" s="6"/>
      <c r="RDM92" s="6"/>
      <c r="RDN92" s="6"/>
      <c r="RDO92" s="6"/>
      <c r="RDP92" s="6"/>
      <c r="RDQ92" s="6"/>
      <c r="RDR92" s="6"/>
      <c r="RDS92" s="6"/>
      <c r="RDT92" s="6"/>
      <c r="RDU92" s="6"/>
      <c r="RDV92" s="6"/>
      <c r="RDW92" s="6"/>
      <c r="RDX92" s="6"/>
      <c r="RDY92" s="6"/>
      <c r="RDZ92" s="6"/>
      <c r="REA92" s="6"/>
      <c r="REB92" s="6"/>
      <c r="REC92" s="6"/>
      <c r="RED92" s="6"/>
      <c r="REE92" s="6"/>
      <c r="REF92" s="6"/>
      <c r="REG92" s="6"/>
      <c r="REH92" s="6"/>
      <c r="REI92" s="6"/>
      <c r="REJ92" s="6"/>
      <c r="REK92" s="6"/>
      <c r="REL92" s="6"/>
      <c r="REM92" s="6"/>
      <c r="REN92" s="6"/>
      <c r="REO92" s="6"/>
      <c r="REP92" s="6"/>
      <c r="REQ92" s="6"/>
      <c r="RER92" s="6"/>
      <c r="RES92" s="6"/>
      <c r="RET92" s="6"/>
      <c r="REU92" s="6"/>
      <c r="REV92" s="6"/>
      <c r="REW92" s="6"/>
      <c r="REX92" s="6"/>
      <c r="REY92" s="6"/>
      <c r="REZ92" s="6"/>
      <c r="RFA92" s="6"/>
      <c r="RFB92" s="6"/>
      <c r="RFC92" s="6"/>
      <c r="RFD92" s="6"/>
      <c r="RFE92" s="6"/>
      <c r="RFF92" s="6"/>
      <c r="RFG92" s="6"/>
      <c r="RFH92" s="6"/>
      <c r="RFI92" s="6"/>
      <c r="RFJ92" s="6"/>
      <c r="RFK92" s="6"/>
      <c r="RFL92" s="6"/>
      <c r="RFM92" s="6"/>
      <c r="RFN92" s="6"/>
      <c r="RFO92" s="6"/>
      <c r="RFP92" s="6"/>
      <c r="RFQ92" s="6"/>
      <c r="RFR92" s="6"/>
      <c r="RFS92" s="6"/>
      <c r="RFT92" s="6"/>
      <c r="RFU92" s="6"/>
      <c r="RFV92" s="6"/>
      <c r="RFW92" s="6"/>
      <c r="RFX92" s="6"/>
      <c r="RFY92" s="6"/>
      <c r="RFZ92" s="6"/>
      <c r="RGA92" s="6"/>
      <c r="RGB92" s="6"/>
      <c r="RGC92" s="6"/>
      <c r="RGD92" s="6"/>
      <c r="RGE92" s="6"/>
      <c r="RGF92" s="6"/>
      <c r="RGG92" s="6"/>
      <c r="RGH92" s="6"/>
      <c r="RGI92" s="6"/>
      <c r="RGJ92" s="6"/>
      <c r="RGK92" s="6"/>
      <c r="RGL92" s="6"/>
      <c r="RGM92" s="6"/>
      <c r="RGN92" s="6"/>
      <c r="RGO92" s="6"/>
      <c r="RGP92" s="6"/>
      <c r="RGQ92" s="6"/>
      <c r="RGR92" s="6"/>
      <c r="RGS92" s="6"/>
      <c r="RGT92" s="6"/>
      <c r="RGU92" s="6"/>
      <c r="RGV92" s="6"/>
      <c r="RGW92" s="6"/>
      <c r="RGX92" s="6"/>
      <c r="RGY92" s="6"/>
      <c r="RGZ92" s="6"/>
      <c r="RHA92" s="6"/>
      <c r="RHB92" s="6"/>
      <c r="RHC92" s="6"/>
      <c r="RHD92" s="6"/>
      <c r="RHE92" s="6"/>
      <c r="RHF92" s="6"/>
      <c r="RHG92" s="6"/>
      <c r="RHH92" s="6"/>
      <c r="RHI92" s="6"/>
      <c r="RHJ92" s="6"/>
      <c r="RHK92" s="6"/>
      <c r="RHL92" s="6"/>
      <c r="RHM92" s="6"/>
      <c r="RHN92" s="6"/>
      <c r="RHO92" s="6"/>
      <c r="RHP92" s="6"/>
      <c r="RHQ92" s="6"/>
      <c r="RHR92" s="6"/>
      <c r="RHS92" s="6"/>
      <c r="RHT92" s="6"/>
      <c r="RHU92" s="6"/>
      <c r="RHV92" s="6"/>
      <c r="RHW92" s="6"/>
      <c r="RHX92" s="6"/>
      <c r="RHY92" s="6"/>
      <c r="RHZ92" s="6"/>
      <c r="RIA92" s="6"/>
      <c r="RIB92" s="6"/>
      <c r="RIC92" s="6"/>
      <c r="RID92" s="6"/>
      <c r="RIE92" s="6"/>
      <c r="RIF92" s="6"/>
      <c r="RIG92" s="6"/>
      <c r="RIH92" s="6"/>
      <c r="RII92" s="6"/>
      <c r="RIJ92" s="6"/>
      <c r="RIK92" s="6"/>
      <c r="RIL92" s="6"/>
      <c r="RIM92" s="6"/>
      <c r="RIN92" s="6"/>
      <c r="RIO92" s="6"/>
      <c r="RIP92" s="6"/>
      <c r="RIQ92" s="6"/>
      <c r="RIR92" s="6"/>
      <c r="RIS92" s="6"/>
      <c r="RIT92" s="6"/>
      <c r="RIU92" s="6"/>
      <c r="RIV92" s="6"/>
      <c r="RIW92" s="6"/>
      <c r="RIX92" s="6"/>
      <c r="RIY92" s="6"/>
      <c r="RIZ92" s="6"/>
      <c r="RJA92" s="6"/>
      <c r="RJB92" s="6"/>
      <c r="RJC92" s="6"/>
      <c r="RJD92" s="6"/>
      <c r="RJE92" s="6"/>
      <c r="RJF92" s="6"/>
      <c r="RJG92" s="6"/>
      <c r="RJH92" s="6"/>
      <c r="RJI92" s="6"/>
      <c r="RJJ92" s="6"/>
      <c r="RJK92" s="6"/>
      <c r="RJL92" s="6"/>
      <c r="RJM92" s="6"/>
      <c r="RJN92" s="6"/>
      <c r="RJO92" s="6"/>
      <c r="RJP92" s="6"/>
      <c r="RJQ92" s="6"/>
      <c r="RJR92" s="6"/>
      <c r="RJS92" s="6"/>
      <c r="RJT92" s="6"/>
      <c r="RJU92" s="6"/>
      <c r="RJV92" s="6"/>
      <c r="RJW92" s="6"/>
      <c r="RJX92" s="6"/>
      <c r="RJY92" s="6"/>
      <c r="RJZ92" s="6"/>
      <c r="RKA92" s="6"/>
      <c r="RKB92" s="6"/>
      <c r="RKC92" s="6"/>
      <c r="RKD92" s="6"/>
      <c r="RKE92" s="6"/>
      <c r="RKF92" s="6"/>
      <c r="RKG92" s="6"/>
      <c r="RKH92" s="6"/>
      <c r="RKI92" s="6"/>
      <c r="RKJ92" s="6"/>
      <c r="RKK92" s="6"/>
      <c r="RKL92" s="6"/>
      <c r="RKM92" s="6"/>
      <c r="RKN92" s="6"/>
      <c r="RKO92" s="6"/>
      <c r="RKP92" s="6"/>
      <c r="RKQ92" s="6"/>
      <c r="RKR92" s="6"/>
      <c r="RKS92" s="6"/>
      <c r="RKT92" s="6"/>
      <c r="RKU92" s="6"/>
      <c r="RKV92" s="6"/>
      <c r="RKW92" s="6"/>
      <c r="RKX92" s="6"/>
      <c r="RKY92" s="6"/>
      <c r="RKZ92" s="6"/>
      <c r="RLA92" s="6"/>
      <c r="RLB92" s="6"/>
      <c r="RLC92" s="6"/>
      <c r="RLD92" s="6"/>
      <c r="RLE92" s="6"/>
      <c r="RLF92" s="6"/>
      <c r="RLG92" s="6"/>
      <c r="RLH92" s="6"/>
      <c r="RLI92" s="6"/>
      <c r="RLJ92" s="6"/>
      <c r="RLK92" s="6"/>
      <c r="RLL92" s="6"/>
      <c r="RLM92" s="6"/>
      <c r="RLN92" s="6"/>
      <c r="RLO92" s="6"/>
      <c r="RLP92" s="6"/>
      <c r="RLQ92" s="6"/>
      <c r="RLR92" s="6"/>
      <c r="RLS92" s="6"/>
      <c r="RLT92" s="6"/>
      <c r="RLU92" s="6"/>
      <c r="RLV92" s="6"/>
      <c r="RLW92" s="6"/>
      <c r="RLX92" s="6"/>
      <c r="RLY92" s="6"/>
      <c r="RLZ92" s="6"/>
      <c r="RMA92" s="6"/>
      <c r="RMB92" s="6"/>
      <c r="RMC92" s="6"/>
      <c r="RMD92" s="6"/>
      <c r="RME92" s="6"/>
      <c r="RMF92" s="6"/>
      <c r="RMG92" s="6"/>
      <c r="RMH92" s="6"/>
      <c r="RMI92" s="6"/>
      <c r="RMJ92" s="6"/>
      <c r="RMK92" s="6"/>
      <c r="RML92" s="6"/>
      <c r="RMM92" s="6"/>
      <c r="RMN92" s="6"/>
      <c r="RMO92" s="6"/>
      <c r="RMP92" s="6"/>
      <c r="RMQ92" s="6"/>
      <c r="RMR92" s="6"/>
      <c r="RMS92" s="6"/>
      <c r="RMT92" s="6"/>
      <c r="RMU92" s="6"/>
      <c r="RMV92" s="6"/>
      <c r="RMW92" s="6"/>
      <c r="RMX92" s="6"/>
      <c r="RMY92" s="6"/>
      <c r="RMZ92" s="6"/>
      <c r="RNA92" s="6"/>
      <c r="RNB92" s="6"/>
      <c r="RNC92" s="6"/>
      <c r="RND92" s="6"/>
      <c r="RNE92" s="6"/>
      <c r="RNF92" s="6"/>
      <c r="RNG92" s="6"/>
      <c r="RNH92" s="6"/>
      <c r="RNI92" s="6"/>
      <c r="RNJ92" s="6"/>
      <c r="RNK92" s="6"/>
      <c r="RNL92" s="6"/>
      <c r="RNM92" s="6"/>
      <c r="RNN92" s="6"/>
      <c r="RNO92" s="6"/>
      <c r="RNP92" s="6"/>
      <c r="RNQ92" s="6"/>
      <c r="RNR92" s="6"/>
      <c r="RNS92" s="6"/>
      <c r="RNT92" s="6"/>
      <c r="RNU92" s="6"/>
      <c r="RNV92" s="6"/>
      <c r="RNW92" s="6"/>
      <c r="RNX92" s="6"/>
      <c r="RNY92" s="6"/>
      <c r="RNZ92" s="6"/>
      <c r="ROA92" s="6"/>
      <c r="ROB92" s="6"/>
      <c r="ROC92" s="6"/>
      <c r="ROD92" s="6"/>
      <c r="ROE92" s="6"/>
      <c r="ROF92" s="6"/>
      <c r="ROG92" s="6"/>
      <c r="ROH92" s="6"/>
      <c r="ROI92" s="6"/>
      <c r="ROJ92" s="6"/>
      <c r="ROK92" s="6"/>
      <c r="ROL92" s="6"/>
      <c r="ROM92" s="6"/>
      <c r="RON92" s="6"/>
      <c r="ROO92" s="6"/>
      <c r="ROP92" s="6"/>
      <c r="ROQ92" s="6"/>
      <c r="ROR92" s="6"/>
      <c r="ROS92" s="6"/>
      <c r="ROT92" s="6"/>
      <c r="ROU92" s="6"/>
      <c r="ROV92" s="6"/>
      <c r="ROW92" s="6"/>
      <c r="ROX92" s="6"/>
      <c r="ROY92" s="6"/>
      <c r="ROZ92" s="6"/>
      <c r="RPA92" s="6"/>
      <c r="RPB92" s="6"/>
      <c r="RPC92" s="6"/>
      <c r="RPD92" s="6"/>
      <c r="RPE92" s="6"/>
      <c r="RPF92" s="6"/>
      <c r="RPG92" s="6"/>
      <c r="RPH92" s="6"/>
      <c r="RPI92" s="6"/>
      <c r="RPJ92" s="6"/>
      <c r="RPK92" s="6"/>
      <c r="RPL92" s="6"/>
      <c r="RPM92" s="6"/>
      <c r="RPN92" s="6"/>
      <c r="RPO92" s="6"/>
      <c r="RPP92" s="6"/>
      <c r="RPQ92" s="6"/>
      <c r="RPR92" s="6"/>
      <c r="RPS92" s="6"/>
      <c r="RPT92" s="6"/>
      <c r="RPU92" s="6"/>
      <c r="RPV92" s="6"/>
      <c r="RPW92" s="6"/>
      <c r="RPX92" s="6"/>
      <c r="RPY92" s="6"/>
      <c r="RPZ92" s="6"/>
      <c r="RQA92" s="6"/>
      <c r="RQB92" s="6"/>
      <c r="RQC92" s="6"/>
      <c r="RQD92" s="6"/>
      <c r="RQE92" s="6"/>
      <c r="RQF92" s="6"/>
      <c r="RQG92" s="6"/>
      <c r="RQH92" s="6"/>
      <c r="RQI92" s="6"/>
      <c r="RQJ92" s="6"/>
      <c r="RQK92" s="6"/>
      <c r="RQL92" s="6"/>
      <c r="RQM92" s="6"/>
      <c r="RQN92" s="6"/>
      <c r="RQO92" s="6"/>
      <c r="RQP92" s="6"/>
      <c r="RQQ92" s="6"/>
      <c r="RQR92" s="6"/>
      <c r="RQS92" s="6"/>
      <c r="RQT92" s="6"/>
      <c r="RQU92" s="6"/>
      <c r="RQV92" s="6"/>
      <c r="RQW92" s="6"/>
      <c r="RQX92" s="6"/>
      <c r="RQY92" s="6"/>
      <c r="RQZ92" s="6"/>
      <c r="RRA92" s="6"/>
      <c r="RRB92" s="6"/>
      <c r="RRC92" s="6"/>
      <c r="RRD92" s="6"/>
      <c r="RRE92" s="6"/>
      <c r="RRF92" s="6"/>
      <c r="RRG92" s="6"/>
      <c r="RRH92" s="6"/>
      <c r="RRI92" s="6"/>
      <c r="RRJ92" s="6"/>
      <c r="RRK92" s="6"/>
      <c r="RRL92" s="6"/>
      <c r="RRM92" s="6"/>
      <c r="RRN92" s="6"/>
      <c r="RRO92" s="6"/>
      <c r="RRP92" s="6"/>
      <c r="RRQ92" s="6"/>
      <c r="RRR92" s="6"/>
      <c r="RRS92" s="6"/>
      <c r="RRT92" s="6"/>
      <c r="RRU92" s="6"/>
      <c r="RRV92" s="6"/>
      <c r="RRW92" s="6"/>
      <c r="RRX92" s="6"/>
      <c r="RRY92" s="6"/>
      <c r="RRZ92" s="6"/>
      <c r="RSA92" s="6"/>
      <c r="RSB92" s="6"/>
      <c r="RSC92" s="6"/>
      <c r="RSD92" s="6"/>
      <c r="RSE92" s="6"/>
      <c r="RSF92" s="6"/>
      <c r="RSG92" s="6"/>
      <c r="RSH92" s="6"/>
      <c r="RSI92" s="6"/>
      <c r="RSJ92" s="6"/>
      <c r="RSK92" s="6"/>
      <c r="RSL92" s="6"/>
      <c r="RSM92" s="6"/>
      <c r="RSN92" s="6"/>
      <c r="RSO92" s="6"/>
      <c r="RSP92" s="6"/>
      <c r="RSQ92" s="6"/>
      <c r="RSR92" s="6"/>
      <c r="RSS92" s="6"/>
      <c r="RST92" s="6"/>
      <c r="RSU92" s="6"/>
      <c r="RSV92" s="6"/>
      <c r="RSW92" s="6"/>
      <c r="RSX92" s="6"/>
      <c r="RSY92" s="6"/>
      <c r="RSZ92" s="6"/>
      <c r="RTA92" s="6"/>
      <c r="RTB92" s="6"/>
      <c r="RTC92" s="6"/>
      <c r="RTD92" s="6"/>
      <c r="RTE92" s="6"/>
      <c r="RTF92" s="6"/>
      <c r="RTG92" s="6"/>
      <c r="RTH92" s="6"/>
      <c r="RTI92" s="6"/>
      <c r="RTJ92" s="6"/>
      <c r="RTK92" s="6"/>
      <c r="RTL92" s="6"/>
      <c r="RTM92" s="6"/>
      <c r="RTN92" s="6"/>
      <c r="RTO92" s="6"/>
      <c r="RTP92" s="6"/>
      <c r="RTQ92" s="6"/>
      <c r="RTR92" s="6"/>
      <c r="RTS92" s="6"/>
      <c r="RTT92" s="6"/>
      <c r="RTU92" s="6"/>
      <c r="RTV92" s="6"/>
      <c r="RTW92" s="6"/>
      <c r="RTX92" s="6"/>
      <c r="RTY92" s="6"/>
      <c r="RTZ92" s="6"/>
      <c r="RUA92" s="6"/>
      <c r="RUB92" s="6"/>
      <c r="RUC92" s="6"/>
      <c r="RUD92" s="6"/>
      <c r="RUE92" s="6"/>
      <c r="RUF92" s="6"/>
      <c r="RUG92" s="6"/>
      <c r="RUH92" s="6"/>
      <c r="RUI92" s="6"/>
      <c r="RUJ92" s="6"/>
      <c r="RUK92" s="6"/>
      <c r="RUL92" s="6"/>
      <c r="RUM92" s="6"/>
      <c r="RUN92" s="6"/>
      <c r="RUO92" s="6"/>
      <c r="RUP92" s="6"/>
      <c r="RUQ92" s="6"/>
      <c r="RUR92" s="6"/>
      <c r="RUS92" s="6"/>
      <c r="RUT92" s="6"/>
      <c r="RUU92" s="6"/>
      <c r="RUV92" s="6"/>
      <c r="RUW92" s="6"/>
      <c r="RUX92" s="6"/>
      <c r="RUY92" s="6"/>
      <c r="RUZ92" s="6"/>
      <c r="RVA92" s="6"/>
      <c r="RVB92" s="6"/>
      <c r="RVC92" s="6"/>
      <c r="RVD92" s="6"/>
      <c r="RVE92" s="6"/>
      <c r="RVF92" s="6"/>
      <c r="RVG92" s="6"/>
      <c r="RVH92" s="6"/>
      <c r="RVI92" s="6"/>
      <c r="RVJ92" s="6"/>
      <c r="RVK92" s="6"/>
      <c r="RVL92" s="6"/>
      <c r="RVM92" s="6"/>
      <c r="RVN92" s="6"/>
      <c r="RVO92" s="6"/>
      <c r="RVP92" s="6"/>
      <c r="RVQ92" s="6"/>
      <c r="RVR92" s="6"/>
      <c r="RVS92" s="6"/>
      <c r="RVT92" s="6"/>
      <c r="RVU92" s="6"/>
      <c r="RVV92" s="6"/>
      <c r="RVW92" s="6"/>
      <c r="RVX92" s="6"/>
      <c r="RVY92" s="6"/>
      <c r="RVZ92" s="6"/>
      <c r="RWA92" s="6"/>
      <c r="RWB92" s="6"/>
      <c r="RWC92" s="6"/>
      <c r="RWD92" s="6"/>
      <c r="RWE92" s="6"/>
      <c r="RWF92" s="6"/>
      <c r="RWG92" s="6"/>
      <c r="RWH92" s="6"/>
      <c r="RWI92" s="6"/>
      <c r="RWJ92" s="6"/>
      <c r="RWK92" s="6"/>
      <c r="RWL92" s="6"/>
      <c r="RWM92" s="6"/>
      <c r="RWN92" s="6"/>
      <c r="RWO92" s="6"/>
      <c r="RWP92" s="6"/>
      <c r="RWQ92" s="6"/>
      <c r="RWR92" s="6"/>
      <c r="RWS92" s="6"/>
      <c r="RWT92" s="6"/>
      <c r="RWU92" s="6"/>
      <c r="RWV92" s="6"/>
      <c r="RWW92" s="6"/>
      <c r="RWX92" s="6"/>
      <c r="RWY92" s="6"/>
      <c r="RWZ92" s="6"/>
      <c r="RXA92" s="6"/>
      <c r="RXB92" s="6"/>
      <c r="RXC92" s="6"/>
      <c r="RXD92" s="6"/>
      <c r="RXE92" s="6"/>
      <c r="RXF92" s="6"/>
      <c r="RXG92" s="6"/>
      <c r="RXH92" s="6"/>
      <c r="RXI92" s="6"/>
      <c r="RXJ92" s="6"/>
      <c r="RXK92" s="6"/>
      <c r="RXL92" s="6"/>
      <c r="RXM92" s="6"/>
      <c r="RXN92" s="6"/>
      <c r="RXO92" s="6"/>
      <c r="RXP92" s="6"/>
      <c r="RXQ92" s="6"/>
      <c r="RXR92" s="6"/>
      <c r="RXS92" s="6"/>
      <c r="RXT92" s="6"/>
      <c r="RXU92" s="6"/>
      <c r="RXV92" s="6"/>
      <c r="RXW92" s="6"/>
      <c r="RXX92" s="6"/>
      <c r="RXY92" s="6"/>
      <c r="RXZ92" s="6"/>
      <c r="RYA92" s="6"/>
      <c r="RYB92" s="6"/>
      <c r="RYC92" s="6"/>
      <c r="RYD92" s="6"/>
      <c r="RYE92" s="6"/>
      <c r="RYF92" s="6"/>
      <c r="RYG92" s="6"/>
      <c r="RYH92" s="6"/>
      <c r="RYI92" s="6"/>
      <c r="RYJ92" s="6"/>
      <c r="RYK92" s="6"/>
      <c r="RYL92" s="6"/>
      <c r="RYM92" s="6"/>
      <c r="RYN92" s="6"/>
      <c r="RYO92" s="6"/>
      <c r="RYP92" s="6"/>
      <c r="RYQ92" s="6"/>
      <c r="RYR92" s="6"/>
      <c r="RYS92" s="6"/>
      <c r="RYT92" s="6"/>
      <c r="RYU92" s="6"/>
      <c r="RYV92" s="6"/>
      <c r="RYW92" s="6"/>
      <c r="RYX92" s="6"/>
      <c r="RYY92" s="6"/>
      <c r="RYZ92" s="6"/>
      <c r="RZA92" s="6"/>
      <c r="RZB92" s="6"/>
      <c r="RZC92" s="6"/>
      <c r="RZD92" s="6"/>
      <c r="RZE92" s="6"/>
      <c r="RZF92" s="6"/>
      <c r="RZG92" s="6"/>
      <c r="RZH92" s="6"/>
      <c r="RZI92" s="6"/>
      <c r="RZJ92" s="6"/>
      <c r="RZK92" s="6"/>
      <c r="RZL92" s="6"/>
      <c r="RZM92" s="6"/>
      <c r="RZN92" s="6"/>
      <c r="RZO92" s="6"/>
      <c r="RZP92" s="6"/>
      <c r="RZQ92" s="6"/>
      <c r="RZR92" s="6"/>
      <c r="RZS92" s="6"/>
      <c r="RZT92" s="6"/>
      <c r="RZU92" s="6"/>
      <c r="RZV92" s="6"/>
      <c r="RZW92" s="6"/>
      <c r="RZX92" s="6"/>
      <c r="RZY92" s="6"/>
      <c r="RZZ92" s="6"/>
      <c r="SAA92" s="6"/>
      <c r="SAB92" s="6"/>
      <c r="SAC92" s="6"/>
      <c r="SAD92" s="6"/>
      <c r="SAE92" s="6"/>
      <c r="SAF92" s="6"/>
      <c r="SAG92" s="6"/>
      <c r="SAH92" s="6"/>
      <c r="SAI92" s="6"/>
      <c r="SAJ92" s="6"/>
      <c r="SAK92" s="6"/>
      <c r="SAL92" s="6"/>
      <c r="SAM92" s="6"/>
      <c r="SAN92" s="6"/>
      <c r="SAO92" s="6"/>
      <c r="SAP92" s="6"/>
      <c r="SAQ92" s="6"/>
      <c r="SAR92" s="6"/>
      <c r="SAS92" s="6"/>
      <c r="SAT92" s="6"/>
      <c r="SAU92" s="6"/>
      <c r="SAV92" s="6"/>
      <c r="SAW92" s="6"/>
      <c r="SAX92" s="6"/>
      <c r="SAY92" s="6"/>
      <c r="SAZ92" s="6"/>
      <c r="SBA92" s="6"/>
      <c r="SBB92" s="6"/>
      <c r="SBC92" s="6"/>
      <c r="SBD92" s="6"/>
      <c r="SBE92" s="6"/>
      <c r="SBF92" s="6"/>
      <c r="SBG92" s="6"/>
      <c r="SBH92" s="6"/>
      <c r="SBI92" s="6"/>
      <c r="SBJ92" s="6"/>
      <c r="SBK92" s="6"/>
      <c r="SBL92" s="6"/>
      <c r="SBM92" s="6"/>
      <c r="SBN92" s="6"/>
      <c r="SBO92" s="6"/>
      <c r="SBP92" s="6"/>
      <c r="SBQ92" s="6"/>
      <c r="SBR92" s="6"/>
      <c r="SBS92" s="6"/>
      <c r="SBT92" s="6"/>
      <c r="SBU92" s="6"/>
      <c r="SBV92" s="6"/>
      <c r="SBW92" s="6"/>
      <c r="SBX92" s="6"/>
      <c r="SBY92" s="6"/>
      <c r="SBZ92" s="6"/>
      <c r="SCA92" s="6"/>
      <c r="SCB92" s="6"/>
      <c r="SCC92" s="6"/>
      <c r="SCD92" s="6"/>
      <c r="SCE92" s="6"/>
      <c r="SCF92" s="6"/>
      <c r="SCG92" s="6"/>
      <c r="SCH92" s="6"/>
      <c r="SCI92" s="6"/>
      <c r="SCJ92" s="6"/>
      <c r="SCK92" s="6"/>
      <c r="SCL92" s="6"/>
      <c r="SCM92" s="6"/>
      <c r="SCN92" s="6"/>
      <c r="SCO92" s="6"/>
      <c r="SCP92" s="6"/>
      <c r="SCQ92" s="6"/>
      <c r="SCR92" s="6"/>
      <c r="SCS92" s="6"/>
      <c r="SCT92" s="6"/>
      <c r="SCU92" s="6"/>
      <c r="SCV92" s="6"/>
      <c r="SCW92" s="6"/>
      <c r="SCX92" s="6"/>
      <c r="SCY92" s="6"/>
      <c r="SCZ92" s="6"/>
      <c r="SDA92" s="6"/>
      <c r="SDB92" s="6"/>
      <c r="SDC92" s="6"/>
      <c r="SDD92" s="6"/>
      <c r="SDE92" s="6"/>
      <c r="SDF92" s="6"/>
      <c r="SDG92" s="6"/>
      <c r="SDH92" s="6"/>
      <c r="SDI92" s="6"/>
      <c r="SDJ92" s="6"/>
      <c r="SDK92" s="6"/>
      <c r="SDL92" s="6"/>
      <c r="SDM92" s="6"/>
      <c r="SDN92" s="6"/>
      <c r="SDO92" s="6"/>
      <c r="SDP92" s="6"/>
      <c r="SDQ92" s="6"/>
      <c r="SDR92" s="6"/>
      <c r="SDS92" s="6"/>
      <c r="SDT92" s="6"/>
      <c r="SDU92" s="6"/>
      <c r="SDV92" s="6"/>
      <c r="SDW92" s="6"/>
      <c r="SDX92" s="6"/>
      <c r="SDY92" s="6"/>
      <c r="SDZ92" s="6"/>
      <c r="SEA92" s="6"/>
      <c r="SEB92" s="6"/>
      <c r="SEC92" s="6"/>
      <c r="SED92" s="6"/>
      <c r="SEE92" s="6"/>
      <c r="SEF92" s="6"/>
      <c r="SEG92" s="6"/>
      <c r="SEH92" s="6"/>
      <c r="SEI92" s="6"/>
      <c r="SEJ92" s="6"/>
      <c r="SEK92" s="6"/>
      <c r="SEL92" s="6"/>
      <c r="SEM92" s="6"/>
      <c r="SEN92" s="6"/>
      <c r="SEO92" s="6"/>
      <c r="SEP92" s="6"/>
      <c r="SEQ92" s="6"/>
      <c r="SER92" s="6"/>
      <c r="SES92" s="6"/>
      <c r="SET92" s="6"/>
      <c r="SEU92" s="6"/>
      <c r="SEV92" s="6"/>
      <c r="SEW92" s="6"/>
      <c r="SEX92" s="6"/>
      <c r="SEY92" s="6"/>
      <c r="SEZ92" s="6"/>
      <c r="SFA92" s="6"/>
      <c r="SFB92" s="6"/>
      <c r="SFC92" s="6"/>
      <c r="SFD92" s="6"/>
      <c r="SFE92" s="6"/>
      <c r="SFF92" s="6"/>
      <c r="SFG92" s="6"/>
      <c r="SFH92" s="6"/>
      <c r="SFI92" s="6"/>
      <c r="SFJ92" s="6"/>
      <c r="SFK92" s="6"/>
      <c r="SFL92" s="6"/>
      <c r="SFM92" s="6"/>
      <c r="SFN92" s="6"/>
      <c r="SFO92" s="6"/>
      <c r="SFP92" s="6"/>
      <c r="SFQ92" s="6"/>
      <c r="SFR92" s="6"/>
      <c r="SFS92" s="6"/>
      <c r="SFT92" s="6"/>
      <c r="SFU92" s="6"/>
      <c r="SFV92" s="6"/>
      <c r="SFW92" s="6"/>
      <c r="SFX92" s="6"/>
      <c r="SFY92" s="6"/>
      <c r="SFZ92" s="6"/>
      <c r="SGA92" s="6"/>
      <c r="SGB92" s="6"/>
      <c r="SGC92" s="6"/>
      <c r="SGD92" s="6"/>
      <c r="SGE92" s="6"/>
      <c r="SGF92" s="6"/>
      <c r="SGG92" s="6"/>
      <c r="SGH92" s="6"/>
      <c r="SGI92" s="6"/>
      <c r="SGJ92" s="6"/>
      <c r="SGK92" s="6"/>
      <c r="SGL92" s="6"/>
      <c r="SGM92" s="6"/>
      <c r="SGN92" s="6"/>
      <c r="SGO92" s="6"/>
      <c r="SGP92" s="6"/>
      <c r="SGQ92" s="6"/>
      <c r="SGR92" s="6"/>
      <c r="SGS92" s="6"/>
      <c r="SGT92" s="6"/>
      <c r="SGU92" s="6"/>
      <c r="SGV92" s="6"/>
      <c r="SGW92" s="6"/>
      <c r="SGX92" s="6"/>
      <c r="SGY92" s="6"/>
      <c r="SGZ92" s="6"/>
      <c r="SHA92" s="6"/>
      <c r="SHB92" s="6"/>
      <c r="SHC92" s="6"/>
      <c r="SHD92" s="6"/>
      <c r="SHE92" s="6"/>
      <c r="SHF92" s="6"/>
      <c r="SHG92" s="6"/>
      <c r="SHH92" s="6"/>
      <c r="SHI92" s="6"/>
      <c r="SHJ92" s="6"/>
      <c r="SHK92" s="6"/>
      <c r="SHL92" s="6"/>
      <c r="SHM92" s="6"/>
      <c r="SHN92" s="6"/>
      <c r="SHO92" s="6"/>
      <c r="SHP92" s="6"/>
      <c r="SHQ92" s="6"/>
      <c r="SHR92" s="6"/>
      <c r="SHS92" s="6"/>
      <c r="SHT92" s="6"/>
      <c r="SHU92" s="6"/>
      <c r="SHV92" s="6"/>
      <c r="SHW92" s="6"/>
      <c r="SHX92" s="6"/>
      <c r="SHY92" s="6"/>
      <c r="SHZ92" s="6"/>
      <c r="SIA92" s="6"/>
      <c r="SIB92" s="6"/>
      <c r="SIC92" s="6"/>
      <c r="SID92" s="6"/>
      <c r="SIE92" s="6"/>
      <c r="SIF92" s="6"/>
      <c r="SIG92" s="6"/>
      <c r="SIH92" s="6"/>
      <c r="SII92" s="6"/>
      <c r="SIJ92" s="6"/>
      <c r="SIK92" s="6"/>
      <c r="SIL92" s="6"/>
      <c r="SIM92" s="6"/>
      <c r="SIN92" s="6"/>
      <c r="SIO92" s="6"/>
      <c r="SIP92" s="6"/>
      <c r="SIQ92" s="6"/>
      <c r="SIR92" s="6"/>
      <c r="SIS92" s="6"/>
      <c r="SIT92" s="6"/>
      <c r="SIU92" s="6"/>
      <c r="SIV92" s="6"/>
      <c r="SIW92" s="6"/>
      <c r="SIX92" s="6"/>
      <c r="SIY92" s="6"/>
      <c r="SIZ92" s="6"/>
      <c r="SJA92" s="6"/>
      <c r="SJB92" s="6"/>
      <c r="SJC92" s="6"/>
      <c r="SJD92" s="6"/>
      <c r="SJE92" s="6"/>
      <c r="SJF92" s="6"/>
      <c r="SJG92" s="6"/>
      <c r="SJH92" s="6"/>
      <c r="SJI92" s="6"/>
      <c r="SJJ92" s="6"/>
      <c r="SJK92" s="6"/>
      <c r="SJL92" s="6"/>
      <c r="SJM92" s="6"/>
      <c r="SJN92" s="6"/>
      <c r="SJO92" s="6"/>
      <c r="SJP92" s="6"/>
      <c r="SJQ92" s="6"/>
      <c r="SJR92" s="6"/>
      <c r="SJS92" s="6"/>
      <c r="SJT92" s="6"/>
      <c r="SJU92" s="6"/>
      <c r="SJV92" s="6"/>
      <c r="SJW92" s="6"/>
      <c r="SJX92" s="6"/>
      <c r="SJY92" s="6"/>
      <c r="SJZ92" s="6"/>
      <c r="SKA92" s="6"/>
      <c r="SKB92" s="6"/>
      <c r="SKC92" s="6"/>
      <c r="SKD92" s="6"/>
      <c r="SKE92" s="6"/>
      <c r="SKF92" s="6"/>
      <c r="SKG92" s="6"/>
      <c r="SKH92" s="6"/>
      <c r="SKI92" s="6"/>
      <c r="SKJ92" s="6"/>
      <c r="SKK92" s="6"/>
      <c r="SKL92" s="6"/>
      <c r="SKM92" s="6"/>
      <c r="SKN92" s="6"/>
      <c r="SKO92" s="6"/>
      <c r="SKP92" s="6"/>
      <c r="SKQ92" s="6"/>
      <c r="SKR92" s="6"/>
      <c r="SKS92" s="6"/>
      <c r="SKT92" s="6"/>
      <c r="SKU92" s="6"/>
      <c r="SKV92" s="6"/>
      <c r="SKW92" s="6"/>
      <c r="SKX92" s="6"/>
      <c r="SKY92" s="6"/>
      <c r="SKZ92" s="6"/>
      <c r="SLA92" s="6"/>
      <c r="SLB92" s="6"/>
      <c r="SLC92" s="6"/>
      <c r="SLD92" s="6"/>
      <c r="SLE92" s="6"/>
      <c r="SLF92" s="6"/>
      <c r="SLG92" s="6"/>
      <c r="SLH92" s="6"/>
      <c r="SLI92" s="6"/>
      <c r="SLJ92" s="6"/>
      <c r="SLK92" s="6"/>
      <c r="SLL92" s="6"/>
      <c r="SLM92" s="6"/>
      <c r="SLN92" s="6"/>
      <c r="SLO92" s="6"/>
      <c r="SLP92" s="6"/>
      <c r="SLQ92" s="6"/>
      <c r="SLR92" s="6"/>
      <c r="SLS92" s="6"/>
      <c r="SLT92" s="6"/>
      <c r="SLU92" s="6"/>
      <c r="SLV92" s="6"/>
      <c r="SLW92" s="6"/>
      <c r="SLX92" s="6"/>
      <c r="SLY92" s="6"/>
      <c r="SLZ92" s="6"/>
      <c r="SMA92" s="6"/>
      <c r="SMB92" s="6"/>
      <c r="SMC92" s="6"/>
      <c r="SMD92" s="6"/>
      <c r="SME92" s="6"/>
      <c r="SMF92" s="6"/>
      <c r="SMG92" s="6"/>
      <c r="SMH92" s="6"/>
      <c r="SMI92" s="6"/>
      <c r="SMJ92" s="6"/>
      <c r="SMK92" s="6"/>
      <c r="SML92" s="6"/>
      <c r="SMM92" s="6"/>
      <c r="SMN92" s="6"/>
      <c r="SMO92" s="6"/>
      <c r="SMP92" s="6"/>
      <c r="SMQ92" s="6"/>
      <c r="SMR92" s="6"/>
      <c r="SMS92" s="6"/>
      <c r="SMT92" s="6"/>
      <c r="SMU92" s="6"/>
      <c r="SMV92" s="6"/>
      <c r="SMW92" s="6"/>
      <c r="SMX92" s="6"/>
      <c r="SMY92" s="6"/>
      <c r="SMZ92" s="6"/>
      <c r="SNA92" s="6"/>
      <c r="SNB92" s="6"/>
      <c r="SNC92" s="6"/>
      <c r="SND92" s="6"/>
      <c r="SNE92" s="6"/>
      <c r="SNF92" s="6"/>
      <c r="SNG92" s="6"/>
      <c r="SNH92" s="6"/>
      <c r="SNI92" s="6"/>
      <c r="SNJ92" s="6"/>
      <c r="SNK92" s="6"/>
      <c r="SNL92" s="6"/>
      <c r="SNM92" s="6"/>
      <c r="SNN92" s="6"/>
      <c r="SNO92" s="6"/>
      <c r="SNP92" s="6"/>
      <c r="SNQ92" s="6"/>
      <c r="SNR92" s="6"/>
      <c r="SNS92" s="6"/>
      <c r="SNT92" s="6"/>
      <c r="SNU92" s="6"/>
      <c r="SNV92" s="6"/>
      <c r="SNW92" s="6"/>
      <c r="SNX92" s="6"/>
      <c r="SNY92" s="6"/>
      <c r="SNZ92" s="6"/>
      <c r="SOA92" s="6"/>
      <c r="SOB92" s="6"/>
      <c r="SOC92" s="6"/>
      <c r="SOD92" s="6"/>
      <c r="SOE92" s="6"/>
      <c r="SOF92" s="6"/>
      <c r="SOG92" s="6"/>
      <c r="SOH92" s="6"/>
      <c r="SOI92" s="6"/>
      <c r="SOJ92" s="6"/>
      <c r="SOK92" s="6"/>
      <c r="SOL92" s="6"/>
      <c r="SOM92" s="6"/>
      <c r="SON92" s="6"/>
      <c r="SOO92" s="6"/>
      <c r="SOP92" s="6"/>
      <c r="SOQ92" s="6"/>
      <c r="SOR92" s="6"/>
      <c r="SOS92" s="6"/>
      <c r="SOT92" s="6"/>
      <c r="SOU92" s="6"/>
      <c r="SOV92" s="6"/>
      <c r="SOW92" s="6"/>
      <c r="SOX92" s="6"/>
      <c r="SOY92" s="6"/>
      <c r="SOZ92" s="6"/>
      <c r="SPA92" s="6"/>
      <c r="SPB92" s="6"/>
      <c r="SPC92" s="6"/>
      <c r="SPD92" s="6"/>
      <c r="SPE92" s="6"/>
      <c r="SPF92" s="6"/>
      <c r="SPG92" s="6"/>
      <c r="SPH92" s="6"/>
      <c r="SPI92" s="6"/>
      <c r="SPJ92" s="6"/>
      <c r="SPK92" s="6"/>
      <c r="SPL92" s="6"/>
      <c r="SPM92" s="6"/>
      <c r="SPN92" s="6"/>
      <c r="SPO92" s="6"/>
      <c r="SPP92" s="6"/>
      <c r="SPQ92" s="6"/>
      <c r="SPR92" s="6"/>
      <c r="SPS92" s="6"/>
      <c r="SPT92" s="6"/>
      <c r="SPU92" s="6"/>
      <c r="SPV92" s="6"/>
      <c r="SPW92" s="6"/>
      <c r="SPX92" s="6"/>
      <c r="SPY92" s="6"/>
      <c r="SPZ92" s="6"/>
      <c r="SQA92" s="6"/>
      <c r="SQB92" s="6"/>
      <c r="SQC92" s="6"/>
      <c r="SQD92" s="6"/>
      <c r="SQE92" s="6"/>
      <c r="SQF92" s="6"/>
      <c r="SQG92" s="6"/>
      <c r="SQH92" s="6"/>
      <c r="SQI92" s="6"/>
      <c r="SQJ92" s="6"/>
      <c r="SQK92" s="6"/>
      <c r="SQL92" s="6"/>
      <c r="SQM92" s="6"/>
      <c r="SQN92" s="6"/>
      <c r="SQO92" s="6"/>
      <c r="SQP92" s="6"/>
      <c r="SQQ92" s="6"/>
      <c r="SQR92" s="6"/>
      <c r="SQS92" s="6"/>
      <c r="SQT92" s="6"/>
      <c r="SQU92" s="6"/>
      <c r="SQV92" s="6"/>
      <c r="SQW92" s="6"/>
      <c r="SQX92" s="6"/>
      <c r="SQY92" s="6"/>
      <c r="SQZ92" s="6"/>
      <c r="SRA92" s="6"/>
      <c r="SRB92" s="6"/>
      <c r="SRC92" s="6"/>
      <c r="SRD92" s="6"/>
      <c r="SRE92" s="6"/>
      <c r="SRF92" s="6"/>
      <c r="SRG92" s="6"/>
      <c r="SRH92" s="6"/>
      <c r="SRI92" s="6"/>
      <c r="SRJ92" s="6"/>
      <c r="SRK92" s="6"/>
      <c r="SRL92" s="6"/>
      <c r="SRM92" s="6"/>
      <c r="SRN92" s="6"/>
      <c r="SRO92" s="6"/>
      <c r="SRP92" s="6"/>
      <c r="SRQ92" s="6"/>
      <c r="SRR92" s="6"/>
      <c r="SRS92" s="6"/>
      <c r="SRT92" s="6"/>
      <c r="SRU92" s="6"/>
      <c r="SRV92" s="6"/>
      <c r="SRW92" s="6"/>
      <c r="SRX92" s="6"/>
      <c r="SRY92" s="6"/>
      <c r="SRZ92" s="6"/>
      <c r="SSA92" s="6"/>
      <c r="SSB92" s="6"/>
      <c r="SSC92" s="6"/>
      <c r="SSD92" s="6"/>
      <c r="SSE92" s="6"/>
      <c r="SSF92" s="6"/>
      <c r="SSG92" s="6"/>
      <c r="SSH92" s="6"/>
      <c r="SSI92" s="6"/>
      <c r="SSJ92" s="6"/>
      <c r="SSK92" s="6"/>
      <c r="SSL92" s="6"/>
      <c r="SSM92" s="6"/>
      <c r="SSN92" s="6"/>
      <c r="SSO92" s="6"/>
      <c r="SSP92" s="6"/>
      <c r="SSQ92" s="6"/>
      <c r="SSR92" s="6"/>
      <c r="SSS92" s="6"/>
      <c r="SST92" s="6"/>
      <c r="SSU92" s="6"/>
      <c r="SSV92" s="6"/>
      <c r="SSW92" s="6"/>
      <c r="SSX92" s="6"/>
      <c r="SSY92" s="6"/>
      <c r="SSZ92" s="6"/>
      <c r="STA92" s="6"/>
      <c r="STB92" s="6"/>
      <c r="STC92" s="6"/>
      <c r="STD92" s="6"/>
      <c r="STE92" s="6"/>
      <c r="STF92" s="6"/>
      <c r="STG92" s="6"/>
      <c r="STH92" s="6"/>
      <c r="STI92" s="6"/>
      <c r="STJ92" s="6"/>
      <c r="STK92" s="6"/>
      <c r="STL92" s="6"/>
      <c r="STM92" s="6"/>
      <c r="STN92" s="6"/>
      <c r="STO92" s="6"/>
      <c r="STP92" s="6"/>
      <c r="STQ92" s="6"/>
      <c r="STR92" s="6"/>
      <c r="STS92" s="6"/>
      <c r="STT92" s="6"/>
      <c r="STU92" s="6"/>
      <c r="STV92" s="6"/>
      <c r="STW92" s="6"/>
      <c r="STX92" s="6"/>
      <c r="STY92" s="6"/>
      <c r="STZ92" s="6"/>
      <c r="SUA92" s="6"/>
      <c r="SUB92" s="6"/>
      <c r="SUC92" s="6"/>
      <c r="SUD92" s="6"/>
      <c r="SUE92" s="6"/>
      <c r="SUF92" s="6"/>
      <c r="SUG92" s="6"/>
      <c r="SUH92" s="6"/>
      <c r="SUI92" s="6"/>
      <c r="SUJ92" s="6"/>
      <c r="SUK92" s="6"/>
      <c r="SUL92" s="6"/>
      <c r="SUM92" s="6"/>
      <c r="SUN92" s="6"/>
      <c r="SUO92" s="6"/>
      <c r="SUP92" s="6"/>
      <c r="SUQ92" s="6"/>
      <c r="SUR92" s="6"/>
      <c r="SUS92" s="6"/>
      <c r="SUT92" s="6"/>
      <c r="SUU92" s="6"/>
      <c r="SUV92" s="6"/>
      <c r="SUW92" s="6"/>
      <c r="SUX92" s="6"/>
      <c r="SUY92" s="6"/>
      <c r="SUZ92" s="6"/>
      <c r="SVA92" s="6"/>
      <c r="SVB92" s="6"/>
      <c r="SVC92" s="6"/>
      <c r="SVD92" s="6"/>
      <c r="SVE92" s="6"/>
      <c r="SVF92" s="6"/>
      <c r="SVG92" s="6"/>
      <c r="SVH92" s="6"/>
      <c r="SVI92" s="6"/>
      <c r="SVJ92" s="6"/>
      <c r="SVK92" s="6"/>
      <c r="SVL92" s="6"/>
      <c r="SVM92" s="6"/>
      <c r="SVN92" s="6"/>
      <c r="SVO92" s="6"/>
      <c r="SVP92" s="6"/>
      <c r="SVQ92" s="6"/>
      <c r="SVR92" s="6"/>
      <c r="SVS92" s="6"/>
      <c r="SVT92" s="6"/>
      <c r="SVU92" s="6"/>
      <c r="SVV92" s="6"/>
      <c r="SVW92" s="6"/>
      <c r="SVX92" s="6"/>
      <c r="SVY92" s="6"/>
      <c r="SVZ92" s="6"/>
      <c r="SWA92" s="6"/>
      <c r="SWB92" s="6"/>
      <c r="SWC92" s="6"/>
      <c r="SWD92" s="6"/>
      <c r="SWE92" s="6"/>
      <c r="SWF92" s="6"/>
      <c r="SWG92" s="6"/>
      <c r="SWH92" s="6"/>
      <c r="SWI92" s="6"/>
      <c r="SWJ92" s="6"/>
      <c r="SWK92" s="6"/>
      <c r="SWL92" s="6"/>
      <c r="SWM92" s="6"/>
      <c r="SWN92" s="6"/>
      <c r="SWO92" s="6"/>
      <c r="SWP92" s="6"/>
      <c r="SWQ92" s="6"/>
      <c r="SWR92" s="6"/>
      <c r="SWS92" s="6"/>
      <c r="SWT92" s="6"/>
      <c r="SWU92" s="6"/>
      <c r="SWV92" s="6"/>
      <c r="SWW92" s="6"/>
      <c r="SWX92" s="6"/>
      <c r="SWY92" s="6"/>
      <c r="SWZ92" s="6"/>
      <c r="SXA92" s="6"/>
      <c r="SXB92" s="6"/>
      <c r="SXC92" s="6"/>
      <c r="SXD92" s="6"/>
      <c r="SXE92" s="6"/>
      <c r="SXF92" s="6"/>
      <c r="SXG92" s="6"/>
      <c r="SXH92" s="6"/>
      <c r="SXI92" s="6"/>
      <c r="SXJ92" s="6"/>
      <c r="SXK92" s="6"/>
      <c r="SXL92" s="6"/>
      <c r="SXM92" s="6"/>
      <c r="SXN92" s="6"/>
      <c r="SXO92" s="6"/>
      <c r="SXP92" s="6"/>
      <c r="SXQ92" s="6"/>
      <c r="SXR92" s="6"/>
      <c r="SXS92" s="6"/>
      <c r="SXT92" s="6"/>
      <c r="SXU92" s="6"/>
      <c r="SXV92" s="6"/>
      <c r="SXW92" s="6"/>
      <c r="SXX92" s="6"/>
      <c r="SXY92" s="6"/>
      <c r="SXZ92" s="6"/>
      <c r="SYA92" s="6"/>
      <c r="SYB92" s="6"/>
      <c r="SYC92" s="6"/>
      <c r="SYD92" s="6"/>
      <c r="SYE92" s="6"/>
      <c r="SYF92" s="6"/>
      <c r="SYG92" s="6"/>
      <c r="SYH92" s="6"/>
      <c r="SYI92" s="6"/>
      <c r="SYJ92" s="6"/>
      <c r="SYK92" s="6"/>
      <c r="SYL92" s="6"/>
      <c r="SYM92" s="6"/>
      <c r="SYN92" s="6"/>
      <c r="SYO92" s="6"/>
      <c r="SYP92" s="6"/>
      <c r="SYQ92" s="6"/>
      <c r="SYR92" s="6"/>
      <c r="SYS92" s="6"/>
      <c r="SYT92" s="6"/>
      <c r="SYU92" s="6"/>
      <c r="SYV92" s="6"/>
      <c r="SYW92" s="6"/>
      <c r="SYX92" s="6"/>
      <c r="SYY92" s="6"/>
      <c r="SYZ92" s="6"/>
      <c r="SZA92" s="6"/>
      <c r="SZB92" s="6"/>
      <c r="SZC92" s="6"/>
      <c r="SZD92" s="6"/>
      <c r="SZE92" s="6"/>
      <c r="SZF92" s="6"/>
      <c r="SZG92" s="6"/>
      <c r="SZH92" s="6"/>
      <c r="SZI92" s="6"/>
      <c r="SZJ92" s="6"/>
      <c r="SZK92" s="6"/>
      <c r="SZL92" s="6"/>
      <c r="SZM92" s="6"/>
      <c r="SZN92" s="6"/>
      <c r="SZO92" s="6"/>
      <c r="SZP92" s="6"/>
      <c r="SZQ92" s="6"/>
      <c r="SZR92" s="6"/>
      <c r="SZS92" s="6"/>
      <c r="SZT92" s="6"/>
      <c r="SZU92" s="6"/>
      <c r="SZV92" s="6"/>
      <c r="SZW92" s="6"/>
      <c r="SZX92" s="6"/>
      <c r="SZY92" s="6"/>
      <c r="SZZ92" s="6"/>
      <c r="TAA92" s="6"/>
      <c r="TAB92" s="6"/>
      <c r="TAC92" s="6"/>
      <c r="TAD92" s="6"/>
      <c r="TAE92" s="6"/>
      <c r="TAF92" s="6"/>
      <c r="TAG92" s="6"/>
      <c r="TAH92" s="6"/>
      <c r="TAI92" s="6"/>
      <c r="TAJ92" s="6"/>
      <c r="TAK92" s="6"/>
      <c r="TAL92" s="6"/>
      <c r="TAM92" s="6"/>
      <c r="TAN92" s="6"/>
      <c r="TAO92" s="6"/>
      <c r="TAP92" s="6"/>
      <c r="TAQ92" s="6"/>
      <c r="TAR92" s="6"/>
      <c r="TAS92" s="6"/>
      <c r="TAT92" s="6"/>
      <c r="TAU92" s="6"/>
      <c r="TAV92" s="6"/>
      <c r="TAW92" s="6"/>
      <c r="TAX92" s="6"/>
      <c r="TAY92" s="6"/>
      <c r="TAZ92" s="6"/>
      <c r="TBA92" s="6"/>
      <c r="TBB92" s="6"/>
      <c r="TBC92" s="6"/>
      <c r="TBD92" s="6"/>
      <c r="TBE92" s="6"/>
      <c r="TBF92" s="6"/>
      <c r="TBG92" s="6"/>
      <c r="TBH92" s="6"/>
      <c r="TBI92" s="6"/>
      <c r="TBJ92" s="6"/>
      <c r="TBK92" s="6"/>
      <c r="TBL92" s="6"/>
      <c r="TBM92" s="6"/>
      <c r="TBN92" s="6"/>
      <c r="TBO92" s="6"/>
      <c r="TBP92" s="6"/>
      <c r="TBQ92" s="6"/>
      <c r="TBR92" s="6"/>
      <c r="TBS92" s="6"/>
      <c r="TBT92" s="6"/>
      <c r="TBU92" s="6"/>
      <c r="TBV92" s="6"/>
      <c r="TBW92" s="6"/>
      <c r="TBX92" s="6"/>
      <c r="TBY92" s="6"/>
      <c r="TBZ92" s="6"/>
      <c r="TCA92" s="6"/>
      <c r="TCB92" s="6"/>
      <c r="TCC92" s="6"/>
      <c r="TCD92" s="6"/>
      <c r="TCE92" s="6"/>
      <c r="TCF92" s="6"/>
      <c r="TCG92" s="6"/>
      <c r="TCH92" s="6"/>
      <c r="TCI92" s="6"/>
      <c r="TCJ92" s="6"/>
      <c r="TCK92" s="6"/>
      <c r="TCL92" s="6"/>
      <c r="TCM92" s="6"/>
      <c r="TCN92" s="6"/>
      <c r="TCO92" s="6"/>
      <c r="TCP92" s="6"/>
      <c r="TCQ92" s="6"/>
      <c r="TCR92" s="6"/>
      <c r="TCS92" s="6"/>
      <c r="TCT92" s="6"/>
      <c r="TCU92" s="6"/>
      <c r="TCV92" s="6"/>
      <c r="TCW92" s="6"/>
      <c r="TCX92" s="6"/>
      <c r="TCY92" s="6"/>
      <c r="TCZ92" s="6"/>
      <c r="TDA92" s="6"/>
      <c r="TDB92" s="6"/>
      <c r="TDC92" s="6"/>
      <c r="TDD92" s="6"/>
      <c r="TDE92" s="6"/>
      <c r="TDF92" s="6"/>
      <c r="TDG92" s="6"/>
      <c r="TDH92" s="6"/>
      <c r="TDI92" s="6"/>
      <c r="TDJ92" s="6"/>
      <c r="TDK92" s="6"/>
      <c r="TDL92" s="6"/>
      <c r="TDM92" s="6"/>
      <c r="TDN92" s="6"/>
      <c r="TDO92" s="6"/>
      <c r="TDP92" s="6"/>
      <c r="TDQ92" s="6"/>
      <c r="TDR92" s="6"/>
      <c r="TDS92" s="6"/>
      <c r="TDT92" s="6"/>
      <c r="TDU92" s="6"/>
      <c r="TDV92" s="6"/>
      <c r="TDW92" s="6"/>
      <c r="TDX92" s="6"/>
      <c r="TDY92" s="6"/>
      <c r="TDZ92" s="6"/>
      <c r="TEA92" s="6"/>
      <c r="TEB92" s="6"/>
      <c r="TEC92" s="6"/>
      <c r="TED92" s="6"/>
      <c r="TEE92" s="6"/>
      <c r="TEF92" s="6"/>
      <c r="TEG92" s="6"/>
      <c r="TEH92" s="6"/>
      <c r="TEI92" s="6"/>
      <c r="TEJ92" s="6"/>
      <c r="TEK92" s="6"/>
      <c r="TEL92" s="6"/>
      <c r="TEM92" s="6"/>
      <c r="TEN92" s="6"/>
      <c r="TEO92" s="6"/>
      <c r="TEP92" s="6"/>
      <c r="TEQ92" s="6"/>
      <c r="TER92" s="6"/>
      <c r="TES92" s="6"/>
      <c r="TET92" s="6"/>
      <c r="TEU92" s="6"/>
      <c r="TEV92" s="6"/>
      <c r="TEW92" s="6"/>
      <c r="TEX92" s="6"/>
      <c r="TEY92" s="6"/>
      <c r="TEZ92" s="6"/>
      <c r="TFA92" s="6"/>
      <c r="TFB92" s="6"/>
      <c r="TFC92" s="6"/>
      <c r="TFD92" s="6"/>
      <c r="TFE92" s="6"/>
      <c r="TFF92" s="6"/>
      <c r="TFG92" s="6"/>
      <c r="TFH92" s="6"/>
      <c r="TFI92" s="6"/>
      <c r="TFJ92" s="6"/>
      <c r="TFK92" s="6"/>
      <c r="TFL92" s="6"/>
      <c r="TFM92" s="6"/>
      <c r="TFN92" s="6"/>
      <c r="TFO92" s="6"/>
      <c r="TFP92" s="6"/>
      <c r="TFQ92" s="6"/>
      <c r="TFR92" s="6"/>
      <c r="TFS92" s="6"/>
      <c r="TFT92" s="6"/>
      <c r="TFU92" s="6"/>
      <c r="TFV92" s="6"/>
      <c r="TFW92" s="6"/>
      <c r="TFX92" s="6"/>
      <c r="TFY92" s="6"/>
      <c r="TFZ92" s="6"/>
      <c r="TGA92" s="6"/>
      <c r="TGB92" s="6"/>
      <c r="TGC92" s="6"/>
      <c r="TGD92" s="6"/>
      <c r="TGE92" s="6"/>
      <c r="TGF92" s="6"/>
      <c r="TGG92" s="6"/>
      <c r="TGH92" s="6"/>
      <c r="TGI92" s="6"/>
      <c r="TGJ92" s="6"/>
      <c r="TGK92" s="6"/>
      <c r="TGL92" s="6"/>
      <c r="TGM92" s="6"/>
      <c r="TGN92" s="6"/>
      <c r="TGO92" s="6"/>
      <c r="TGP92" s="6"/>
      <c r="TGQ92" s="6"/>
      <c r="TGR92" s="6"/>
      <c r="TGS92" s="6"/>
      <c r="TGT92" s="6"/>
      <c r="TGU92" s="6"/>
      <c r="TGV92" s="6"/>
      <c r="TGW92" s="6"/>
      <c r="TGX92" s="6"/>
      <c r="TGY92" s="6"/>
      <c r="TGZ92" s="6"/>
      <c r="THA92" s="6"/>
      <c r="THB92" s="6"/>
      <c r="THC92" s="6"/>
      <c r="THD92" s="6"/>
      <c r="THE92" s="6"/>
      <c r="THF92" s="6"/>
      <c r="THG92" s="6"/>
      <c r="THH92" s="6"/>
      <c r="THI92" s="6"/>
      <c r="THJ92" s="6"/>
      <c r="THK92" s="6"/>
      <c r="THL92" s="6"/>
      <c r="THM92" s="6"/>
      <c r="THN92" s="6"/>
      <c r="THO92" s="6"/>
      <c r="THP92" s="6"/>
      <c r="THQ92" s="6"/>
      <c r="THR92" s="6"/>
      <c r="THS92" s="6"/>
      <c r="THT92" s="6"/>
      <c r="THU92" s="6"/>
      <c r="THV92" s="6"/>
      <c r="THW92" s="6"/>
      <c r="THX92" s="6"/>
      <c r="THY92" s="6"/>
      <c r="THZ92" s="6"/>
      <c r="TIA92" s="6"/>
      <c r="TIB92" s="6"/>
      <c r="TIC92" s="6"/>
      <c r="TID92" s="6"/>
      <c r="TIE92" s="6"/>
      <c r="TIF92" s="6"/>
      <c r="TIG92" s="6"/>
      <c r="TIH92" s="6"/>
      <c r="TII92" s="6"/>
      <c r="TIJ92" s="6"/>
      <c r="TIK92" s="6"/>
      <c r="TIL92" s="6"/>
      <c r="TIM92" s="6"/>
      <c r="TIN92" s="6"/>
      <c r="TIO92" s="6"/>
      <c r="TIP92" s="6"/>
      <c r="TIQ92" s="6"/>
      <c r="TIR92" s="6"/>
      <c r="TIS92" s="6"/>
      <c r="TIT92" s="6"/>
      <c r="TIU92" s="6"/>
      <c r="TIV92" s="6"/>
      <c r="TIW92" s="6"/>
      <c r="TIX92" s="6"/>
      <c r="TIY92" s="6"/>
      <c r="TIZ92" s="6"/>
      <c r="TJA92" s="6"/>
      <c r="TJB92" s="6"/>
      <c r="TJC92" s="6"/>
      <c r="TJD92" s="6"/>
      <c r="TJE92" s="6"/>
      <c r="TJF92" s="6"/>
      <c r="TJG92" s="6"/>
      <c r="TJH92" s="6"/>
      <c r="TJI92" s="6"/>
      <c r="TJJ92" s="6"/>
      <c r="TJK92" s="6"/>
      <c r="TJL92" s="6"/>
      <c r="TJM92" s="6"/>
      <c r="TJN92" s="6"/>
      <c r="TJO92" s="6"/>
      <c r="TJP92" s="6"/>
      <c r="TJQ92" s="6"/>
      <c r="TJR92" s="6"/>
      <c r="TJS92" s="6"/>
      <c r="TJT92" s="6"/>
      <c r="TJU92" s="6"/>
      <c r="TJV92" s="6"/>
      <c r="TJW92" s="6"/>
      <c r="TJX92" s="6"/>
      <c r="TJY92" s="6"/>
      <c r="TJZ92" s="6"/>
      <c r="TKA92" s="6"/>
      <c r="TKB92" s="6"/>
      <c r="TKC92" s="6"/>
      <c r="TKD92" s="6"/>
      <c r="TKE92" s="6"/>
      <c r="TKF92" s="6"/>
      <c r="TKG92" s="6"/>
      <c r="TKH92" s="6"/>
      <c r="TKI92" s="6"/>
      <c r="TKJ92" s="6"/>
      <c r="TKK92" s="6"/>
      <c r="TKL92" s="6"/>
      <c r="TKM92" s="6"/>
      <c r="TKN92" s="6"/>
      <c r="TKO92" s="6"/>
      <c r="TKP92" s="6"/>
      <c r="TKQ92" s="6"/>
      <c r="TKR92" s="6"/>
      <c r="TKS92" s="6"/>
      <c r="TKT92" s="6"/>
      <c r="TKU92" s="6"/>
      <c r="TKV92" s="6"/>
      <c r="TKW92" s="6"/>
      <c r="TKX92" s="6"/>
      <c r="TKY92" s="6"/>
      <c r="TKZ92" s="6"/>
      <c r="TLA92" s="6"/>
      <c r="TLB92" s="6"/>
      <c r="TLC92" s="6"/>
      <c r="TLD92" s="6"/>
      <c r="TLE92" s="6"/>
      <c r="TLF92" s="6"/>
      <c r="TLG92" s="6"/>
      <c r="TLH92" s="6"/>
      <c r="TLI92" s="6"/>
      <c r="TLJ92" s="6"/>
      <c r="TLK92" s="6"/>
      <c r="TLL92" s="6"/>
      <c r="TLM92" s="6"/>
      <c r="TLN92" s="6"/>
      <c r="TLO92" s="6"/>
      <c r="TLP92" s="6"/>
      <c r="TLQ92" s="6"/>
      <c r="TLR92" s="6"/>
      <c r="TLS92" s="6"/>
      <c r="TLT92" s="6"/>
      <c r="TLU92" s="6"/>
      <c r="TLV92" s="6"/>
      <c r="TLW92" s="6"/>
      <c r="TLX92" s="6"/>
      <c r="TLY92" s="6"/>
      <c r="TLZ92" s="6"/>
      <c r="TMA92" s="6"/>
      <c r="TMB92" s="6"/>
      <c r="TMC92" s="6"/>
      <c r="TMD92" s="6"/>
      <c r="TME92" s="6"/>
      <c r="TMF92" s="6"/>
      <c r="TMG92" s="6"/>
      <c r="TMH92" s="6"/>
      <c r="TMI92" s="6"/>
      <c r="TMJ92" s="6"/>
      <c r="TMK92" s="6"/>
      <c r="TML92" s="6"/>
      <c r="TMM92" s="6"/>
      <c r="TMN92" s="6"/>
      <c r="TMO92" s="6"/>
      <c r="TMP92" s="6"/>
      <c r="TMQ92" s="6"/>
      <c r="TMR92" s="6"/>
      <c r="TMS92" s="6"/>
      <c r="TMT92" s="6"/>
      <c r="TMU92" s="6"/>
      <c r="TMV92" s="6"/>
      <c r="TMW92" s="6"/>
      <c r="TMX92" s="6"/>
      <c r="TMY92" s="6"/>
      <c r="TMZ92" s="6"/>
      <c r="TNA92" s="6"/>
      <c r="TNB92" s="6"/>
      <c r="TNC92" s="6"/>
      <c r="TND92" s="6"/>
      <c r="TNE92" s="6"/>
      <c r="TNF92" s="6"/>
      <c r="TNG92" s="6"/>
      <c r="TNH92" s="6"/>
      <c r="TNI92" s="6"/>
      <c r="TNJ92" s="6"/>
      <c r="TNK92" s="6"/>
      <c r="TNL92" s="6"/>
      <c r="TNM92" s="6"/>
      <c r="TNN92" s="6"/>
      <c r="TNO92" s="6"/>
      <c r="TNP92" s="6"/>
      <c r="TNQ92" s="6"/>
      <c r="TNR92" s="6"/>
      <c r="TNS92" s="6"/>
      <c r="TNT92" s="6"/>
      <c r="TNU92" s="6"/>
      <c r="TNV92" s="6"/>
      <c r="TNW92" s="6"/>
      <c r="TNX92" s="6"/>
      <c r="TNY92" s="6"/>
      <c r="TNZ92" s="6"/>
      <c r="TOA92" s="6"/>
      <c r="TOB92" s="6"/>
      <c r="TOC92" s="6"/>
      <c r="TOD92" s="6"/>
      <c r="TOE92" s="6"/>
      <c r="TOF92" s="6"/>
      <c r="TOG92" s="6"/>
      <c r="TOH92" s="6"/>
      <c r="TOI92" s="6"/>
      <c r="TOJ92" s="6"/>
      <c r="TOK92" s="6"/>
      <c r="TOL92" s="6"/>
      <c r="TOM92" s="6"/>
      <c r="TON92" s="6"/>
      <c r="TOO92" s="6"/>
      <c r="TOP92" s="6"/>
      <c r="TOQ92" s="6"/>
      <c r="TOR92" s="6"/>
      <c r="TOS92" s="6"/>
      <c r="TOT92" s="6"/>
      <c r="TOU92" s="6"/>
      <c r="TOV92" s="6"/>
      <c r="TOW92" s="6"/>
      <c r="TOX92" s="6"/>
      <c r="TOY92" s="6"/>
      <c r="TOZ92" s="6"/>
      <c r="TPA92" s="6"/>
      <c r="TPB92" s="6"/>
      <c r="TPC92" s="6"/>
      <c r="TPD92" s="6"/>
      <c r="TPE92" s="6"/>
      <c r="TPF92" s="6"/>
      <c r="TPG92" s="6"/>
      <c r="TPH92" s="6"/>
      <c r="TPI92" s="6"/>
      <c r="TPJ92" s="6"/>
      <c r="TPK92" s="6"/>
      <c r="TPL92" s="6"/>
      <c r="TPM92" s="6"/>
      <c r="TPN92" s="6"/>
      <c r="TPO92" s="6"/>
      <c r="TPP92" s="6"/>
      <c r="TPQ92" s="6"/>
      <c r="TPR92" s="6"/>
      <c r="TPS92" s="6"/>
      <c r="TPT92" s="6"/>
      <c r="TPU92" s="6"/>
      <c r="TPV92" s="6"/>
      <c r="TPW92" s="6"/>
      <c r="TPX92" s="6"/>
      <c r="TPY92" s="6"/>
      <c r="TPZ92" s="6"/>
      <c r="TQA92" s="6"/>
      <c r="TQB92" s="6"/>
      <c r="TQC92" s="6"/>
      <c r="TQD92" s="6"/>
      <c r="TQE92" s="6"/>
      <c r="TQF92" s="6"/>
      <c r="TQG92" s="6"/>
      <c r="TQH92" s="6"/>
      <c r="TQI92" s="6"/>
      <c r="TQJ92" s="6"/>
      <c r="TQK92" s="6"/>
      <c r="TQL92" s="6"/>
      <c r="TQM92" s="6"/>
      <c r="TQN92" s="6"/>
      <c r="TQO92" s="6"/>
      <c r="TQP92" s="6"/>
      <c r="TQQ92" s="6"/>
      <c r="TQR92" s="6"/>
      <c r="TQS92" s="6"/>
      <c r="TQT92" s="6"/>
      <c r="TQU92" s="6"/>
      <c r="TQV92" s="6"/>
      <c r="TQW92" s="6"/>
      <c r="TQX92" s="6"/>
      <c r="TQY92" s="6"/>
      <c r="TQZ92" s="6"/>
      <c r="TRA92" s="6"/>
      <c r="TRB92" s="6"/>
      <c r="TRC92" s="6"/>
      <c r="TRD92" s="6"/>
      <c r="TRE92" s="6"/>
      <c r="TRF92" s="6"/>
      <c r="TRG92" s="6"/>
      <c r="TRH92" s="6"/>
      <c r="TRI92" s="6"/>
      <c r="TRJ92" s="6"/>
      <c r="TRK92" s="6"/>
      <c r="TRL92" s="6"/>
      <c r="TRM92" s="6"/>
      <c r="TRN92" s="6"/>
      <c r="TRO92" s="6"/>
      <c r="TRP92" s="6"/>
      <c r="TRQ92" s="6"/>
      <c r="TRR92" s="6"/>
      <c r="TRS92" s="6"/>
      <c r="TRT92" s="6"/>
      <c r="TRU92" s="6"/>
      <c r="TRV92" s="6"/>
      <c r="TRW92" s="6"/>
      <c r="TRX92" s="6"/>
      <c r="TRY92" s="6"/>
      <c r="TRZ92" s="6"/>
      <c r="TSA92" s="6"/>
      <c r="TSB92" s="6"/>
      <c r="TSC92" s="6"/>
      <c r="TSD92" s="6"/>
      <c r="TSE92" s="6"/>
      <c r="TSF92" s="6"/>
      <c r="TSG92" s="6"/>
      <c r="TSH92" s="6"/>
      <c r="TSI92" s="6"/>
      <c r="TSJ92" s="6"/>
      <c r="TSK92" s="6"/>
      <c r="TSL92" s="6"/>
      <c r="TSM92" s="6"/>
      <c r="TSN92" s="6"/>
      <c r="TSO92" s="6"/>
      <c r="TSP92" s="6"/>
      <c r="TSQ92" s="6"/>
      <c r="TSR92" s="6"/>
      <c r="TSS92" s="6"/>
      <c r="TST92" s="6"/>
      <c r="TSU92" s="6"/>
      <c r="TSV92" s="6"/>
      <c r="TSW92" s="6"/>
      <c r="TSX92" s="6"/>
      <c r="TSY92" s="6"/>
      <c r="TSZ92" s="6"/>
      <c r="TTA92" s="6"/>
      <c r="TTB92" s="6"/>
      <c r="TTC92" s="6"/>
      <c r="TTD92" s="6"/>
      <c r="TTE92" s="6"/>
      <c r="TTF92" s="6"/>
      <c r="TTG92" s="6"/>
      <c r="TTH92" s="6"/>
      <c r="TTI92" s="6"/>
      <c r="TTJ92" s="6"/>
      <c r="TTK92" s="6"/>
      <c r="TTL92" s="6"/>
      <c r="TTM92" s="6"/>
      <c r="TTN92" s="6"/>
      <c r="TTO92" s="6"/>
      <c r="TTP92" s="6"/>
      <c r="TTQ92" s="6"/>
      <c r="TTR92" s="6"/>
      <c r="TTS92" s="6"/>
      <c r="TTT92" s="6"/>
      <c r="TTU92" s="6"/>
      <c r="TTV92" s="6"/>
      <c r="TTW92" s="6"/>
      <c r="TTX92" s="6"/>
      <c r="TTY92" s="6"/>
      <c r="TTZ92" s="6"/>
      <c r="TUA92" s="6"/>
      <c r="TUB92" s="6"/>
      <c r="TUC92" s="6"/>
      <c r="TUD92" s="6"/>
      <c r="TUE92" s="6"/>
      <c r="TUF92" s="6"/>
      <c r="TUG92" s="6"/>
      <c r="TUH92" s="6"/>
      <c r="TUI92" s="6"/>
      <c r="TUJ92" s="6"/>
      <c r="TUK92" s="6"/>
      <c r="TUL92" s="6"/>
      <c r="TUM92" s="6"/>
      <c r="TUN92" s="6"/>
      <c r="TUO92" s="6"/>
      <c r="TUP92" s="6"/>
      <c r="TUQ92" s="6"/>
      <c r="TUR92" s="6"/>
      <c r="TUS92" s="6"/>
      <c r="TUT92" s="6"/>
      <c r="TUU92" s="6"/>
      <c r="TUV92" s="6"/>
      <c r="TUW92" s="6"/>
      <c r="TUX92" s="6"/>
      <c r="TUY92" s="6"/>
      <c r="TUZ92" s="6"/>
      <c r="TVA92" s="6"/>
      <c r="TVB92" s="6"/>
      <c r="TVC92" s="6"/>
      <c r="TVD92" s="6"/>
      <c r="TVE92" s="6"/>
      <c r="TVF92" s="6"/>
      <c r="TVG92" s="6"/>
      <c r="TVH92" s="6"/>
      <c r="TVI92" s="6"/>
      <c r="TVJ92" s="6"/>
      <c r="TVK92" s="6"/>
      <c r="TVL92" s="6"/>
      <c r="TVM92" s="6"/>
      <c r="TVN92" s="6"/>
      <c r="TVO92" s="6"/>
      <c r="TVP92" s="6"/>
      <c r="TVQ92" s="6"/>
      <c r="TVR92" s="6"/>
      <c r="TVS92" s="6"/>
      <c r="TVT92" s="6"/>
      <c r="TVU92" s="6"/>
      <c r="TVV92" s="6"/>
      <c r="TVW92" s="6"/>
      <c r="TVX92" s="6"/>
      <c r="TVY92" s="6"/>
      <c r="TVZ92" s="6"/>
      <c r="TWA92" s="6"/>
      <c r="TWB92" s="6"/>
      <c r="TWC92" s="6"/>
      <c r="TWD92" s="6"/>
      <c r="TWE92" s="6"/>
      <c r="TWF92" s="6"/>
      <c r="TWG92" s="6"/>
      <c r="TWH92" s="6"/>
      <c r="TWI92" s="6"/>
      <c r="TWJ92" s="6"/>
      <c r="TWK92" s="6"/>
      <c r="TWL92" s="6"/>
      <c r="TWM92" s="6"/>
      <c r="TWN92" s="6"/>
      <c r="TWO92" s="6"/>
      <c r="TWP92" s="6"/>
      <c r="TWQ92" s="6"/>
      <c r="TWR92" s="6"/>
      <c r="TWS92" s="6"/>
      <c r="TWT92" s="6"/>
      <c r="TWU92" s="6"/>
      <c r="TWV92" s="6"/>
      <c r="TWW92" s="6"/>
      <c r="TWX92" s="6"/>
      <c r="TWY92" s="6"/>
      <c r="TWZ92" s="6"/>
      <c r="TXA92" s="6"/>
      <c r="TXB92" s="6"/>
      <c r="TXC92" s="6"/>
      <c r="TXD92" s="6"/>
      <c r="TXE92" s="6"/>
      <c r="TXF92" s="6"/>
      <c r="TXG92" s="6"/>
      <c r="TXH92" s="6"/>
      <c r="TXI92" s="6"/>
      <c r="TXJ92" s="6"/>
      <c r="TXK92" s="6"/>
      <c r="TXL92" s="6"/>
      <c r="TXM92" s="6"/>
      <c r="TXN92" s="6"/>
      <c r="TXO92" s="6"/>
      <c r="TXP92" s="6"/>
      <c r="TXQ92" s="6"/>
      <c r="TXR92" s="6"/>
      <c r="TXS92" s="6"/>
      <c r="TXT92" s="6"/>
      <c r="TXU92" s="6"/>
      <c r="TXV92" s="6"/>
      <c r="TXW92" s="6"/>
      <c r="TXX92" s="6"/>
      <c r="TXY92" s="6"/>
      <c r="TXZ92" s="6"/>
      <c r="TYA92" s="6"/>
      <c r="TYB92" s="6"/>
      <c r="TYC92" s="6"/>
      <c r="TYD92" s="6"/>
      <c r="TYE92" s="6"/>
      <c r="TYF92" s="6"/>
      <c r="TYG92" s="6"/>
      <c r="TYH92" s="6"/>
      <c r="TYI92" s="6"/>
      <c r="TYJ92" s="6"/>
      <c r="TYK92" s="6"/>
      <c r="TYL92" s="6"/>
      <c r="TYM92" s="6"/>
      <c r="TYN92" s="6"/>
      <c r="TYO92" s="6"/>
      <c r="TYP92" s="6"/>
      <c r="TYQ92" s="6"/>
      <c r="TYR92" s="6"/>
      <c r="TYS92" s="6"/>
      <c r="TYT92" s="6"/>
      <c r="TYU92" s="6"/>
      <c r="TYV92" s="6"/>
      <c r="TYW92" s="6"/>
      <c r="TYX92" s="6"/>
      <c r="TYY92" s="6"/>
      <c r="TYZ92" s="6"/>
      <c r="TZA92" s="6"/>
      <c r="TZB92" s="6"/>
      <c r="TZC92" s="6"/>
      <c r="TZD92" s="6"/>
      <c r="TZE92" s="6"/>
      <c r="TZF92" s="6"/>
      <c r="TZG92" s="6"/>
      <c r="TZH92" s="6"/>
      <c r="TZI92" s="6"/>
      <c r="TZJ92" s="6"/>
      <c r="TZK92" s="6"/>
      <c r="TZL92" s="6"/>
      <c r="TZM92" s="6"/>
      <c r="TZN92" s="6"/>
      <c r="TZO92" s="6"/>
      <c r="TZP92" s="6"/>
      <c r="TZQ92" s="6"/>
      <c r="TZR92" s="6"/>
      <c r="TZS92" s="6"/>
      <c r="TZT92" s="6"/>
      <c r="TZU92" s="6"/>
      <c r="TZV92" s="6"/>
      <c r="TZW92" s="6"/>
      <c r="TZX92" s="6"/>
      <c r="TZY92" s="6"/>
      <c r="TZZ92" s="6"/>
      <c r="UAA92" s="6"/>
      <c r="UAB92" s="6"/>
      <c r="UAC92" s="6"/>
      <c r="UAD92" s="6"/>
      <c r="UAE92" s="6"/>
      <c r="UAF92" s="6"/>
      <c r="UAG92" s="6"/>
      <c r="UAH92" s="6"/>
      <c r="UAI92" s="6"/>
      <c r="UAJ92" s="6"/>
      <c r="UAK92" s="6"/>
      <c r="UAL92" s="6"/>
      <c r="UAM92" s="6"/>
      <c r="UAN92" s="6"/>
      <c r="UAO92" s="6"/>
      <c r="UAP92" s="6"/>
      <c r="UAQ92" s="6"/>
      <c r="UAR92" s="6"/>
      <c r="UAS92" s="6"/>
      <c r="UAT92" s="6"/>
      <c r="UAU92" s="6"/>
      <c r="UAV92" s="6"/>
      <c r="UAW92" s="6"/>
      <c r="UAX92" s="6"/>
      <c r="UAY92" s="6"/>
      <c r="UAZ92" s="6"/>
      <c r="UBA92" s="6"/>
      <c r="UBB92" s="6"/>
      <c r="UBC92" s="6"/>
      <c r="UBD92" s="6"/>
      <c r="UBE92" s="6"/>
      <c r="UBF92" s="6"/>
      <c r="UBG92" s="6"/>
      <c r="UBH92" s="6"/>
      <c r="UBI92" s="6"/>
      <c r="UBJ92" s="6"/>
      <c r="UBK92" s="6"/>
      <c r="UBL92" s="6"/>
      <c r="UBM92" s="6"/>
      <c r="UBN92" s="6"/>
      <c r="UBO92" s="6"/>
      <c r="UBP92" s="6"/>
      <c r="UBQ92" s="6"/>
      <c r="UBR92" s="6"/>
      <c r="UBS92" s="6"/>
      <c r="UBT92" s="6"/>
      <c r="UBU92" s="6"/>
      <c r="UBV92" s="6"/>
      <c r="UBW92" s="6"/>
      <c r="UBX92" s="6"/>
      <c r="UBY92" s="6"/>
      <c r="UBZ92" s="6"/>
      <c r="UCA92" s="6"/>
      <c r="UCB92" s="6"/>
      <c r="UCC92" s="6"/>
      <c r="UCD92" s="6"/>
      <c r="UCE92" s="6"/>
      <c r="UCF92" s="6"/>
      <c r="UCG92" s="6"/>
      <c r="UCH92" s="6"/>
      <c r="UCI92" s="6"/>
      <c r="UCJ92" s="6"/>
      <c r="UCK92" s="6"/>
      <c r="UCL92" s="6"/>
      <c r="UCM92" s="6"/>
      <c r="UCN92" s="6"/>
      <c r="UCO92" s="6"/>
      <c r="UCP92" s="6"/>
      <c r="UCQ92" s="6"/>
      <c r="UCR92" s="6"/>
      <c r="UCS92" s="6"/>
      <c r="UCT92" s="6"/>
      <c r="UCU92" s="6"/>
      <c r="UCV92" s="6"/>
      <c r="UCW92" s="6"/>
      <c r="UCX92" s="6"/>
      <c r="UCY92" s="6"/>
      <c r="UCZ92" s="6"/>
      <c r="UDA92" s="6"/>
      <c r="UDB92" s="6"/>
      <c r="UDC92" s="6"/>
      <c r="UDD92" s="6"/>
      <c r="UDE92" s="6"/>
      <c r="UDF92" s="6"/>
      <c r="UDG92" s="6"/>
      <c r="UDH92" s="6"/>
      <c r="UDI92" s="6"/>
      <c r="UDJ92" s="6"/>
      <c r="UDK92" s="6"/>
      <c r="UDL92" s="6"/>
      <c r="UDM92" s="6"/>
      <c r="UDN92" s="6"/>
      <c r="UDO92" s="6"/>
      <c r="UDP92" s="6"/>
      <c r="UDQ92" s="6"/>
      <c r="UDR92" s="6"/>
      <c r="UDS92" s="6"/>
      <c r="UDT92" s="6"/>
      <c r="UDU92" s="6"/>
      <c r="UDV92" s="6"/>
      <c r="UDW92" s="6"/>
      <c r="UDX92" s="6"/>
      <c r="UDY92" s="6"/>
      <c r="UDZ92" s="6"/>
      <c r="UEA92" s="6"/>
      <c r="UEB92" s="6"/>
      <c r="UEC92" s="6"/>
      <c r="UED92" s="6"/>
      <c r="UEE92" s="6"/>
      <c r="UEF92" s="6"/>
      <c r="UEG92" s="6"/>
      <c r="UEH92" s="6"/>
      <c r="UEI92" s="6"/>
      <c r="UEJ92" s="6"/>
      <c r="UEK92" s="6"/>
      <c r="UEL92" s="6"/>
      <c r="UEM92" s="6"/>
      <c r="UEN92" s="6"/>
      <c r="UEO92" s="6"/>
      <c r="UEP92" s="6"/>
      <c r="UEQ92" s="6"/>
      <c r="UER92" s="6"/>
      <c r="UES92" s="6"/>
      <c r="UET92" s="6"/>
      <c r="UEU92" s="6"/>
      <c r="UEV92" s="6"/>
      <c r="UEW92" s="6"/>
      <c r="UEX92" s="6"/>
      <c r="UEY92" s="6"/>
      <c r="UEZ92" s="6"/>
      <c r="UFA92" s="6"/>
      <c r="UFB92" s="6"/>
      <c r="UFC92" s="6"/>
      <c r="UFD92" s="6"/>
      <c r="UFE92" s="6"/>
      <c r="UFF92" s="6"/>
      <c r="UFG92" s="6"/>
      <c r="UFH92" s="6"/>
      <c r="UFI92" s="6"/>
      <c r="UFJ92" s="6"/>
      <c r="UFK92" s="6"/>
      <c r="UFL92" s="6"/>
      <c r="UFM92" s="6"/>
      <c r="UFN92" s="6"/>
      <c r="UFO92" s="6"/>
      <c r="UFP92" s="6"/>
      <c r="UFQ92" s="6"/>
      <c r="UFR92" s="6"/>
      <c r="UFS92" s="6"/>
      <c r="UFT92" s="6"/>
      <c r="UFU92" s="6"/>
      <c r="UFV92" s="6"/>
      <c r="UFW92" s="6"/>
      <c r="UFX92" s="6"/>
      <c r="UFY92" s="6"/>
      <c r="UFZ92" s="6"/>
      <c r="UGA92" s="6"/>
      <c r="UGB92" s="6"/>
      <c r="UGC92" s="6"/>
      <c r="UGD92" s="6"/>
      <c r="UGE92" s="6"/>
      <c r="UGF92" s="6"/>
      <c r="UGG92" s="6"/>
      <c r="UGH92" s="6"/>
      <c r="UGI92" s="6"/>
      <c r="UGJ92" s="6"/>
      <c r="UGK92" s="6"/>
      <c r="UGL92" s="6"/>
      <c r="UGM92" s="6"/>
      <c r="UGN92" s="6"/>
      <c r="UGO92" s="6"/>
      <c r="UGP92" s="6"/>
      <c r="UGQ92" s="6"/>
      <c r="UGR92" s="6"/>
      <c r="UGS92" s="6"/>
      <c r="UGT92" s="6"/>
      <c r="UGU92" s="6"/>
      <c r="UGV92" s="6"/>
      <c r="UGW92" s="6"/>
      <c r="UGX92" s="6"/>
      <c r="UGY92" s="6"/>
      <c r="UGZ92" s="6"/>
      <c r="UHA92" s="6"/>
      <c r="UHB92" s="6"/>
      <c r="UHC92" s="6"/>
      <c r="UHD92" s="6"/>
      <c r="UHE92" s="6"/>
      <c r="UHF92" s="6"/>
      <c r="UHG92" s="6"/>
      <c r="UHH92" s="6"/>
      <c r="UHI92" s="6"/>
      <c r="UHJ92" s="6"/>
      <c r="UHK92" s="6"/>
      <c r="UHL92" s="6"/>
      <c r="UHM92" s="6"/>
      <c r="UHN92" s="6"/>
      <c r="UHO92" s="6"/>
      <c r="UHP92" s="6"/>
      <c r="UHQ92" s="6"/>
      <c r="UHR92" s="6"/>
      <c r="UHS92" s="6"/>
      <c r="UHT92" s="6"/>
      <c r="UHU92" s="6"/>
      <c r="UHV92" s="6"/>
      <c r="UHW92" s="6"/>
      <c r="UHX92" s="6"/>
      <c r="UHY92" s="6"/>
      <c r="UHZ92" s="6"/>
      <c r="UIA92" s="6"/>
      <c r="UIB92" s="6"/>
      <c r="UIC92" s="6"/>
      <c r="UID92" s="6"/>
      <c r="UIE92" s="6"/>
      <c r="UIF92" s="6"/>
      <c r="UIG92" s="6"/>
      <c r="UIH92" s="6"/>
      <c r="UII92" s="6"/>
      <c r="UIJ92" s="6"/>
      <c r="UIK92" s="6"/>
      <c r="UIL92" s="6"/>
      <c r="UIM92" s="6"/>
      <c r="UIN92" s="6"/>
      <c r="UIO92" s="6"/>
      <c r="UIP92" s="6"/>
      <c r="UIQ92" s="6"/>
      <c r="UIR92" s="6"/>
      <c r="UIS92" s="6"/>
      <c r="UIT92" s="6"/>
      <c r="UIU92" s="6"/>
      <c r="UIV92" s="6"/>
      <c r="UIW92" s="6"/>
      <c r="UIX92" s="6"/>
      <c r="UIY92" s="6"/>
      <c r="UIZ92" s="6"/>
      <c r="UJA92" s="6"/>
      <c r="UJB92" s="6"/>
      <c r="UJC92" s="6"/>
      <c r="UJD92" s="6"/>
      <c r="UJE92" s="6"/>
      <c r="UJF92" s="6"/>
      <c r="UJG92" s="6"/>
      <c r="UJH92" s="6"/>
      <c r="UJI92" s="6"/>
      <c r="UJJ92" s="6"/>
      <c r="UJK92" s="6"/>
      <c r="UJL92" s="6"/>
      <c r="UJM92" s="6"/>
      <c r="UJN92" s="6"/>
      <c r="UJO92" s="6"/>
      <c r="UJP92" s="6"/>
      <c r="UJQ92" s="6"/>
      <c r="UJR92" s="6"/>
      <c r="UJS92" s="6"/>
      <c r="UJT92" s="6"/>
      <c r="UJU92" s="6"/>
      <c r="UJV92" s="6"/>
      <c r="UJW92" s="6"/>
      <c r="UJX92" s="6"/>
      <c r="UJY92" s="6"/>
      <c r="UJZ92" s="6"/>
      <c r="UKA92" s="6"/>
      <c r="UKB92" s="6"/>
      <c r="UKC92" s="6"/>
      <c r="UKD92" s="6"/>
      <c r="UKE92" s="6"/>
      <c r="UKF92" s="6"/>
      <c r="UKG92" s="6"/>
      <c r="UKH92" s="6"/>
      <c r="UKI92" s="6"/>
      <c r="UKJ92" s="6"/>
      <c r="UKK92" s="6"/>
      <c r="UKL92" s="6"/>
      <c r="UKM92" s="6"/>
      <c r="UKN92" s="6"/>
      <c r="UKO92" s="6"/>
      <c r="UKP92" s="6"/>
      <c r="UKQ92" s="6"/>
      <c r="UKR92" s="6"/>
      <c r="UKS92" s="6"/>
      <c r="UKT92" s="6"/>
      <c r="UKU92" s="6"/>
      <c r="UKV92" s="6"/>
      <c r="UKW92" s="6"/>
      <c r="UKX92" s="6"/>
      <c r="UKY92" s="6"/>
      <c r="UKZ92" s="6"/>
      <c r="ULA92" s="6"/>
      <c r="ULB92" s="6"/>
      <c r="ULC92" s="6"/>
      <c r="ULD92" s="6"/>
      <c r="ULE92" s="6"/>
      <c r="ULF92" s="6"/>
      <c r="ULG92" s="6"/>
      <c r="ULH92" s="6"/>
      <c r="ULI92" s="6"/>
      <c r="ULJ92" s="6"/>
      <c r="ULK92" s="6"/>
      <c r="ULL92" s="6"/>
      <c r="ULM92" s="6"/>
      <c r="ULN92" s="6"/>
      <c r="ULO92" s="6"/>
      <c r="ULP92" s="6"/>
      <c r="ULQ92" s="6"/>
      <c r="ULR92" s="6"/>
      <c r="ULS92" s="6"/>
      <c r="ULT92" s="6"/>
      <c r="ULU92" s="6"/>
      <c r="ULV92" s="6"/>
      <c r="ULW92" s="6"/>
      <c r="ULX92" s="6"/>
      <c r="ULY92" s="6"/>
      <c r="ULZ92" s="6"/>
      <c r="UMA92" s="6"/>
      <c r="UMB92" s="6"/>
      <c r="UMC92" s="6"/>
      <c r="UMD92" s="6"/>
      <c r="UME92" s="6"/>
      <c r="UMF92" s="6"/>
      <c r="UMG92" s="6"/>
      <c r="UMH92" s="6"/>
      <c r="UMI92" s="6"/>
      <c r="UMJ92" s="6"/>
      <c r="UMK92" s="6"/>
      <c r="UML92" s="6"/>
      <c r="UMM92" s="6"/>
      <c r="UMN92" s="6"/>
      <c r="UMO92" s="6"/>
      <c r="UMP92" s="6"/>
      <c r="UMQ92" s="6"/>
      <c r="UMR92" s="6"/>
      <c r="UMS92" s="6"/>
      <c r="UMT92" s="6"/>
      <c r="UMU92" s="6"/>
      <c r="UMV92" s="6"/>
      <c r="UMW92" s="6"/>
      <c r="UMX92" s="6"/>
      <c r="UMY92" s="6"/>
      <c r="UMZ92" s="6"/>
      <c r="UNA92" s="6"/>
      <c r="UNB92" s="6"/>
      <c r="UNC92" s="6"/>
      <c r="UND92" s="6"/>
      <c r="UNE92" s="6"/>
      <c r="UNF92" s="6"/>
      <c r="UNG92" s="6"/>
      <c r="UNH92" s="6"/>
      <c r="UNI92" s="6"/>
      <c r="UNJ92" s="6"/>
      <c r="UNK92" s="6"/>
      <c r="UNL92" s="6"/>
      <c r="UNM92" s="6"/>
      <c r="UNN92" s="6"/>
      <c r="UNO92" s="6"/>
      <c r="UNP92" s="6"/>
      <c r="UNQ92" s="6"/>
      <c r="UNR92" s="6"/>
      <c r="UNS92" s="6"/>
      <c r="UNT92" s="6"/>
      <c r="UNU92" s="6"/>
      <c r="UNV92" s="6"/>
      <c r="UNW92" s="6"/>
      <c r="UNX92" s="6"/>
      <c r="UNY92" s="6"/>
      <c r="UNZ92" s="6"/>
      <c r="UOA92" s="6"/>
      <c r="UOB92" s="6"/>
      <c r="UOC92" s="6"/>
      <c r="UOD92" s="6"/>
      <c r="UOE92" s="6"/>
      <c r="UOF92" s="6"/>
      <c r="UOG92" s="6"/>
      <c r="UOH92" s="6"/>
      <c r="UOI92" s="6"/>
      <c r="UOJ92" s="6"/>
      <c r="UOK92" s="6"/>
      <c r="UOL92" s="6"/>
      <c r="UOM92" s="6"/>
      <c r="UON92" s="6"/>
      <c r="UOO92" s="6"/>
      <c r="UOP92" s="6"/>
      <c r="UOQ92" s="6"/>
      <c r="UOR92" s="6"/>
      <c r="UOS92" s="6"/>
      <c r="UOT92" s="6"/>
      <c r="UOU92" s="6"/>
      <c r="UOV92" s="6"/>
      <c r="UOW92" s="6"/>
      <c r="UOX92" s="6"/>
      <c r="UOY92" s="6"/>
      <c r="UOZ92" s="6"/>
      <c r="UPA92" s="6"/>
      <c r="UPB92" s="6"/>
      <c r="UPC92" s="6"/>
      <c r="UPD92" s="6"/>
      <c r="UPE92" s="6"/>
      <c r="UPF92" s="6"/>
      <c r="UPG92" s="6"/>
      <c r="UPH92" s="6"/>
      <c r="UPI92" s="6"/>
      <c r="UPJ92" s="6"/>
      <c r="UPK92" s="6"/>
      <c r="UPL92" s="6"/>
      <c r="UPM92" s="6"/>
      <c r="UPN92" s="6"/>
      <c r="UPO92" s="6"/>
      <c r="UPP92" s="6"/>
      <c r="UPQ92" s="6"/>
      <c r="UPR92" s="6"/>
      <c r="UPS92" s="6"/>
      <c r="UPT92" s="6"/>
      <c r="UPU92" s="6"/>
      <c r="UPV92" s="6"/>
      <c r="UPW92" s="6"/>
      <c r="UPX92" s="6"/>
      <c r="UPY92" s="6"/>
      <c r="UPZ92" s="6"/>
      <c r="UQA92" s="6"/>
      <c r="UQB92" s="6"/>
      <c r="UQC92" s="6"/>
      <c r="UQD92" s="6"/>
      <c r="UQE92" s="6"/>
      <c r="UQF92" s="6"/>
      <c r="UQG92" s="6"/>
      <c r="UQH92" s="6"/>
      <c r="UQI92" s="6"/>
      <c r="UQJ92" s="6"/>
      <c r="UQK92" s="6"/>
      <c r="UQL92" s="6"/>
      <c r="UQM92" s="6"/>
      <c r="UQN92" s="6"/>
      <c r="UQO92" s="6"/>
      <c r="UQP92" s="6"/>
      <c r="UQQ92" s="6"/>
      <c r="UQR92" s="6"/>
      <c r="UQS92" s="6"/>
      <c r="UQT92" s="6"/>
      <c r="UQU92" s="6"/>
      <c r="UQV92" s="6"/>
      <c r="UQW92" s="6"/>
      <c r="UQX92" s="6"/>
      <c r="UQY92" s="6"/>
      <c r="UQZ92" s="6"/>
      <c r="URA92" s="6"/>
      <c r="URB92" s="6"/>
      <c r="URC92" s="6"/>
      <c r="URD92" s="6"/>
      <c r="URE92" s="6"/>
      <c r="URF92" s="6"/>
      <c r="URG92" s="6"/>
      <c r="URH92" s="6"/>
      <c r="URI92" s="6"/>
      <c r="URJ92" s="6"/>
      <c r="URK92" s="6"/>
      <c r="URL92" s="6"/>
      <c r="URM92" s="6"/>
      <c r="URN92" s="6"/>
      <c r="URO92" s="6"/>
      <c r="URP92" s="6"/>
      <c r="URQ92" s="6"/>
      <c r="URR92" s="6"/>
      <c r="URS92" s="6"/>
      <c r="URT92" s="6"/>
      <c r="URU92" s="6"/>
      <c r="URV92" s="6"/>
      <c r="URW92" s="6"/>
      <c r="URX92" s="6"/>
      <c r="URY92" s="6"/>
      <c r="URZ92" s="6"/>
      <c r="USA92" s="6"/>
      <c r="USB92" s="6"/>
      <c r="USC92" s="6"/>
      <c r="USD92" s="6"/>
      <c r="USE92" s="6"/>
      <c r="USF92" s="6"/>
      <c r="USG92" s="6"/>
      <c r="USH92" s="6"/>
      <c r="USI92" s="6"/>
      <c r="USJ92" s="6"/>
      <c r="USK92" s="6"/>
      <c r="USL92" s="6"/>
      <c r="USM92" s="6"/>
      <c r="USN92" s="6"/>
      <c r="USO92" s="6"/>
      <c r="USP92" s="6"/>
      <c r="USQ92" s="6"/>
      <c r="USR92" s="6"/>
      <c r="USS92" s="6"/>
      <c r="UST92" s="6"/>
      <c r="USU92" s="6"/>
      <c r="USV92" s="6"/>
      <c r="USW92" s="6"/>
      <c r="USX92" s="6"/>
      <c r="USY92" s="6"/>
      <c r="USZ92" s="6"/>
      <c r="UTA92" s="6"/>
      <c r="UTB92" s="6"/>
      <c r="UTC92" s="6"/>
      <c r="UTD92" s="6"/>
      <c r="UTE92" s="6"/>
      <c r="UTF92" s="6"/>
      <c r="UTG92" s="6"/>
      <c r="UTH92" s="6"/>
      <c r="UTI92" s="6"/>
      <c r="UTJ92" s="6"/>
      <c r="UTK92" s="6"/>
      <c r="UTL92" s="6"/>
      <c r="UTM92" s="6"/>
      <c r="UTN92" s="6"/>
      <c r="UTO92" s="6"/>
      <c r="UTP92" s="6"/>
      <c r="UTQ92" s="6"/>
      <c r="UTR92" s="6"/>
      <c r="UTS92" s="6"/>
      <c r="UTT92" s="6"/>
      <c r="UTU92" s="6"/>
      <c r="UTV92" s="6"/>
      <c r="UTW92" s="6"/>
      <c r="UTX92" s="6"/>
      <c r="UTY92" s="6"/>
      <c r="UTZ92" s="6"/>
      <c r="UUA92" s="6"/>
      <c r="UUB92" s="6"/>
      <c r="UUC92" s="6"/>
      <c r="UUD92" s="6"/>
      <c r="UUE92" s="6"/>
      <c r="UUF92" s="6"/>
      <c r="UUG92" s="6"/>
      <c r="UUH92" s="6"/>
      <c r="UUI92" s="6"/>
      <c r="UUJ92" s="6"/>
      <c r="UUK92" s="6"/>
      <c r="UUL92" s="6"/>
      <c r="UUM92" s="6"/>
      <c r="UUN92" s="6"/>
      <c r="UUO92" s="6"/>
      <c r="UUP92" s="6"/>
      <c r="UUQ92" s="6"/>
      <c r="UUR92" s="6"/>
      <c r="UUS92" s="6"/>
      <c r="UUT92" s="6"/>
      <c r="UUU92" s="6"/>
      <c r="UUV92" s="6"/>
      <c r="UUW92" s="6"/>
      <c r="UUX92" s="6"/>
      <c r="UUY92" s="6"/>
      <c r="UUZ92" s="6"/>
      <c r="UVA92" s="6"/>
      <c r="UVB92" s="6"/>
      <c r="UVC92" s="6"/>
      <c r="UVD92" s="6"/>
      <c r="UVE92" s="6"/>
      <c r="UVF92" s="6"/>
      <c r="UVG92" s="6"/>
      <c r="UVH92" s="6"/>
      <c r="UVI92" s="6"/>
      <c r="UVJ92" s="6"/>
      <c r="UVK92" s="6"/>
      <c r="UVL92" s="6"/>
      <c r="UVM92" s="6"/>
      <c r="UVN92" s="6"/>
      <c r="UVO92" s="6"/>
      <c r="UVP92" s="6"/>
      <c r="UVQ92" s="6"/>
      <c r="UVR92" s="6"/>
      <c r="UVS92" s="6"/>
      <c r="UVT92" s="6"/>
      <c r="UVU92" s="6"/>
      <c r="UVV92" s="6"/>
      <c r="UVW92" s="6"/>
      <c r="UVX92" s="6"/>
      <c r="UVY92" s="6"/>
      <c r="UVZ92" s="6"/>
      <c r="UWA92" s="6"/>
      <c r="UWB92" s="6"/>
      <c r="UWC92" s="6"/>
      <c r="UWD92" s="6"/>
      <c r="UWE92" s="6"/>
      <c r="UWF92" s="6"/>
      <c r="UWG92" s="6"/>
      <c r="UWH92" s="6"/>
      <c r="UWI92" s="6"/>
      <c r="UWJ92" s="6"/>
      <c r="UWK92" s="6"/>
      <c r="UWL92" s="6"/>
      <c r="UWM92" s="6"/>
      <c r="UWN92" s="6"/>
      <c r="UWO92" s="6"/>
      <c r="UWP92" s="6"/>
      <c r="UWQ92" s="6"/>
      <c r="UWR92" s="6"/>
      <c r="UWS92" s="6"/>
      <c r="UWT92" s="6"/>
      <c r="UWU92" s="6"/>
      <c r="UWV92" s="6"/>
      <c r="UWW92" s="6"/>
      <c r="UWX92" s="6"/>
      <c r="UWY92" s="6"/>
      <c r="UWZ92" s="6"/>
      <c r="UXA92" s="6"/>
      <c r="UXB92" s="6"/>
      <c r="UXC92" s="6"/>
      <c r="UXD92" s="6"/>
      <c r="UXE92" s="6"/>
      <c r="UXF92" s="6"/>
      <c r="UXG92" s="6"/>
      <c r="UXH92" s="6"/>
      <c r="UXI92" s="6"/>
      <c r="UXJ92" s="6"/>
      <c r="UXK92" s="6"/>
      <c r="UXL92" s="6"/>
      <c r="UXM92" s="6"/>
      <c r="UXN92" s="6"/>
      <c r="UXO92" s="6"/>
      <c r="UXP92" s="6"/>
      <c r="UXQ92" s="6"/>
      <c r="UXR92" s="6"/>
      <c r="UXS92" s="6"/>
      <c r="UXT92" s="6"/>
      <c r="UXU92" s="6"/>
      <c r="UXV92" s="6"/>
      <c r="UXW92" s="6"/>
      <c r="UXX92" s="6"/>
      <c r="UXY92" s="6"/>
      <c r="UXZ92" s="6"/>
      <c r="UYA92" s="6"/>
      <c r="UYB92" s="6"/>
      <c r="UYC92" s="6"/>
      <c r="UYD92" s="6"/>
      <c r="UYE92" s="6"/>
      <c r="UYF92" s="6"/>
      <c r="UYG92" s="6"/>
      <c r="UYH92" s="6"/>
      <c r="UYI92" s="6"/>
      <c r="UYJ92" s="6"/>
      <c r="UYK92" s="6"/>
      <c r="UYL92" s="6"/>
      <c r="UYM92" s="6"/>
      <c r="UYN92" s="6"/>
      <c r="UYO92" s="6"/>
      <c r="UYP92" s="6"/>
      <c r="UYQ92" s="6"/>
      <c r="UYR92" s="6"/>
      <c r="UYS92" s="6"/>
      <c r="UYT92" s="6"/>
      <c r="UYU92" s="6"/>
      <c r="UYV92" s="6"/>
      <c r="UYW92" s="6"/>
      <c r="UYX92" s="6"/>
      <c r="UYY92" s="6"/>
      <c r="UYZ92" s="6"/>
      <c r="UZA92" s="6"/>
      <c r="UZB92" s="6"/>
      <c r="UZC92" s="6"/>
      <c r="UZD92" s="6"/>
      <c r="UZE92" s="6"/>
      <c r="UZF92" s="6"/>
      <c r="UZG92" s="6"/>
      <c r="UZH92" s="6"/>
      <c r="UZI92" s="6"/>
      <c r="UZJ92" s="6"/>
      <c r="UZK92" s="6"/>
      <c r="UZL92" s="6"/>
      <c r="UZM92" s="6"/>
      <c r="UZN92" s="6"/>
      <c r="UZO92" s="6"/>
      <c r="UZP92" s="6"/>
      <c r="UZQ92" s="6"/>
      <c r="UZR92" s="6"/>
      <c r="UZS92" s="6"/>
      <c r="UZT92" s="6"/>
      <c r="UZU92" s="6"/>
      <c r="UZV92" s="6"/>
      <c r="UZW92" s="6"/>
      <c r="UZX92" s="6"/>
      <c r="UZY92" s="6"/>
      <c r="UZZ92" s="6"/>
      <c r="VAA92" s="6"/>
      <c r="VAB92" s="6"/>
      <c r="VAC92" s="6"/>
      <c r="VAD92" s="6"/>
      <c r="VAE92" s="6"/>
      <c r="VAF92" s="6"/>
      <c r="VAG92" s="6"/>
      <c r="VAH92" s="6"/>
      <c r="VAI92" s="6"/>
      <c r="VAJ92" s="6"/>
      <c r="VAK92" s="6"/>
      <c r="VAL92" s="6"/>
      <c r="VAM92" s="6"/>
      <c r="VAN92" s="6"/>
      <c r="VAO92" s="6"/>
      <c r="VAP92" s="6"/>
      <c r="VAQ92" s="6"/>
      <c r="VAR92" s="6"/>
      <c r="VAS92" s="6"/>
      <c r="VAT92" s="6"/>
      <c r="VAU92" s="6"/>
      <c r="VAV92" s="6"/>
      <c r="VAW92" s="6"/>
      <c r="VAX92" s="6"/>
      <c r="VAY92" s="6"/>
      <c r="VAZ92" s="6"/>
      <c r="VBA92" s="6"/>
      <c r="VBB92" s="6"/>
      <c r="VBC92" s="6"/>
      <c r="VBD92" s="6"/>
      <c r="VBE92" s="6"/>
      <c r="VBF92" s="6"/>
      <c r="VBG92" s="6"/>
      <c r="VBH92" s="6"/>
      <c r="VBI92" s="6"/>
      <c r="VBJ92" s="6"/>
      <c r="VBK92" s="6"/>
      <c r="VBL92" s="6"/>
      <c r="VBM92" s="6"/>
      <c r="VBN92" s="6"/>
      <c r="VBO92" s="6"/>
      <c r="VBP92" s="6"/>
      <c r="VBQ92" s="6"/>
      <c r="VBR92" s="6"/>
      <c r="VBS92" s="6"/>
      <c r="VBT92" s="6"/>
      <c r="VBU92" s="6"/>
      <c r="VBV92" s="6"/>
      <c r="VBW92" s="6"/>
      <c r="VBX92" s="6"/>
      <c r="VBY92" s="6"/>
      <c r="VBZ92" s="6"/>
      <c r="VCA92" s="6"/>
      <c r="VCB92" s="6"/>
      <c r="VCC92" s="6"/>
      <c r="VCD92" s="6"/>
      <c r="VCE92" s="6"/>
      <c r="VCF92" s="6"/>
      <c r="VCG92" s="6"/>
      <c r="VCH92" s="6"/>
      <c r="VCI92" s="6"/>
      <c r="VCJ92" s="6"/>
      <c r="VCK92" s="6"/>
      <c r="VCL92" s="6"/>
      <c r="VCM92" s="6"/>
      <c r="VCN92" s="6"/>
      <c r="VCO92" s="6"/>
      <c r="VCP92" s="6"/>
      <c r="VCQ92" s="6"/>
      <c r="VCR92" s="6"/>
      <c r="VCS92" s="6"/>
      <c r="VCT92" s="6"/>
      <c r="VCU92" s="6"/>
      <c r="VCV92" s="6"/>
      <c r="VCW92" s="6"/>
      <c r="VCX92" s="6"/>
      <c r="VCY92" s="6"/>
      <c r="VCZ92" s="6"/>
      <c r="VDA92" s="6"/>
      <c r="VDB92" s="6"/>
      <c r="VDC92" s="6"/>
      <c r="VDD92" s="6"/>
      <c r="VDE92" s="6"/>
      <c r="VDF92" s="6"/>
      <c r="VDG92" s="6"/>
      <c r="VDH92" s="6"/>
      <c r="VDI92" s="6"/>
      <c r="VDJ92" s="6"/>
      <c r="VDK92" s="6"/>
      <c r="VDL92" s="6"/>
      <c r="VDM92" s="6"/>
      <c r="VDN92" s="6"/>
      <c r="VDO92" s="6"/>
      <c r="VDP92" s="6"/>
      <c r="VDQ92" s="6"/>
      <c r="VDR92" s="6"/>
      <c r="VDS92" s="6"/>
      <c r="VDT92" s="6"/>
      <c r="VDU92" s="6"/>
      <c r="VDV92" s="6"/>
      <c r="VDW92" s="6"/>
      <c r="VDX92" s="6"/>
      <c r="VDY92" s="6"/>
      <c r="VDZ92" s="6"/>
      <c r="VEA92" s="6"/>
      <c r="VEB92" s="6"/>
      <c r="VEC92" s="6"/>
      <c r="VED92" s="6"/>
      <c r="VEE92" s="6"/>
      <c r="VEF92" s="6"/>
      <c r="VEG92" s="6"/>
      <c r="VEH92" s="6"/>
      <c r="VEI92" s="6"/>
      <c r="VEJ92" s="6"/>
      <c r="VEK92" s="6"/>
      <c r="VEL92" s="6"/>
      <c r="VEM92" s="6"/>
      <c r="VEN92" s="6"/>
      <c r="VEO92" s="6"/>
      <c r="VEP92" s="6"/>
      <c r="VEQ92" s="6"/>
      <c r="VER92" s="6"/>
      <c r="VES92" s="6"/>
      <c r="VET92" s="6"/>
      <c r="VEU92" s="6"/>
      <c r="VEV92" s="6"/>
      <c r="VEW92" s="6"/>
      <c r="VEX92" s="6"/>
      <c r="VEY92" s="6"/>
      <c r="VEZ92" s="6"/>
      <c r="VFA92" s="6"/>
      <c r="VFB92" s="6"/>
      <c r="VFC92" s="6"/>
      <c r="VFD92" s="6"/>
      <c r="VFE92" s="6"/>
      <c r="VFF92" s="6"/>
      <c r="VFG92" s="6"/>
      <c r="VFH92" s="6"/>
      <c r="VFI92" s="6"/>
      <c r="VFJ92" s="6"/>
      <c r="VFK92" s="6"/>
      <c r="VFL92" s="6"/>
      <c r="VFM92" s="6"/>
      <c r="VFN92" s="6"/>
      <c r="VFO92" s="6"/>
      <c r="VFP92" s="6"/>
      <c r="VFQ92" s="6"/>
      <c r="VFR92" s="6"/>
      <c r="VFS92" s="6"/>
      <c r="VFT92" s="6"/>
      <c r="VFU92" s="6"/>
      <c r="VFV92" s="6"/>
      <c r="VFW92" s="6"/>
      <c r="VFX92" s="6"/>
      <c r="VFY92" s="6"/>
      <c r="VFZ92" s="6"/>
      <c r="VGA92" s="6"/>
      <c r="VGB92" s="6"/>
      <c r="VGC92" s="6"/>
      <c r="VGD92" s="6"/>
      <c r="VGE92" s="6"/>
      <c r="VGF92" s="6"/>
      <c r="VGG92" s="6"/>
      <c r="VGH92" s="6"/>
      <c r="VGI92" s="6"/>
      <c r="VGJ92" s="6"/>
      <c r="VGK92" s="6"/>
      <c r="VGL92" s="6"/>
      <c r="VGM92" s="6"/>
      <c r="VGN92" s="6"/>
      <c r="VGO92" s="6"/>
      <c r="VGP92" s="6"/>
      <c r="VGQ92" s="6"/>
      <c r="VGR92" s="6"/>
      <c r="VGS92" s="6"/>
      <c r="VGT92" s="6"/>
      <c r="VGU92" s="6"/>
      <c r="VGV92" s="6"/>
      <c r="VGW92" s="6"/>
      <c r="VGX92" s="6"/>
      <c r="VGY92" s="6"/>
      <c r="VGZ92" s="6"/>
      <c r="VHA92" s="6"/>
      <c r="VHB92" s="6"/>
      <c r="VHC92" s="6"/>
      <c r="VHD92" s="6"/>
      <c r="VHE92" s="6"/>
      <c r="VHF92" s="6"/>
      <c r="VHG92" s="6"/>
      <c r="VHH92" s="6"/>
      <c r="VHI92" s="6"/>
      <c r="VHJ92" s="6"/>
      <c r="VHK92" s="6"/>
      <c r="VHL92" s="6"/>
      <c r="VHM92" s="6"/>
      <c r="VHN92" s="6"/>
      <c r="VHO92" s="6"/>
      <c r="VHP92" s="6"/>
      <c r="VHQ92" s="6"/>
      <c r="VHR92" s="6"/>
      <c r="VHS92" s="6"/>
      <c r="VHT92" s="6"/>
      <c r="VHU92" s="6"/>
      <c r="VHV92" s="6"/>
      <c r="VHW92" s="6"/>
      <c r="VHX92" s="6"/>
      <c r="VHY92" s="6"/>
      <c r="VHZ92" s="6"/>
      <c r="VIA92" s="6"/>
      <c r="VIB92" s="6"/>
      <c r="VIC92" s="6"/>
      <c r="VID92" s="6"/>
      <c r="VIE92" s="6"/>
      <c r="VIF92" s="6"/>
      <c r="VIG92" s="6"/>
      <c r="VIH92" s="6"/>
      <c r="VII92" s="6"/>
      <c r="VIJ92" s="6"/>
      <c r="VIK92" s="6"/>
      <c r="VIL92" s="6"/>
      <c r="VIM92" s="6"/>
      <c r="VIN92" s="6"/>
      <c r="VIO92" s="6"/>
      <c r="VIP92" s="6"/>
      <c r="VIQ92" s="6"/>
      <c r="VIR92" s="6"/>
      <c r="VIS92" s="6"/>
      <c r="VIT92" s="6"/>
      <c r="VIU92" s="6"/>
      <c r="VIV92" s="6"/>
      <c r="VIW92" s="6"/>
      <c r="VIX92" s="6"/>
      <c r="VIY92" s="6"/>
      <c r="VIZ92" s="6"/>
      <c r="VJA92" s="6"/>
      <c r="VJB92" s="6"/>
      <c r="VJC92" s="6"/>
      <c r="VJD92" s="6"/>
      <c r="VJE92" s="6"/>
      <c r="VJF92" s="6"/>
      <c r="VJG92" s="6"/>
      <c r="VJH92" s="6"/>
      <c r="VJI92" s="6"/>
      <c r="VJJ92" s="6"/>
      <c r="VJK92" s="6"/>
      <c r="VJL92" s="6"/>
      <c r="VJM92" s="6"/>
      <c r="VJN92" s="6"/>
      <c r="VJO92" s="6"/>
      <c r="VJP92" s="6"/>
      <c r="VJQ92" s="6"/>
      <c r="VJR92" s="6"/>
      <c r="VJS92" s="6"/>
      <c r="VJT92" s="6"/>
      <c r="VJU92" s="6"/>
      <c r="VJV92" s="6"/>
      <c r="VJW92" s="6"/>
      <c r="VJX92" s="6"/>
      <c r="VJY92" s="6"/>
      <c r="VJZ92" s="6"/>
      <c r="VKA92" s="6"/>
      <c r="VKB92" s="6"/>
      <c r="VKC92" s="6"/>
      <c r="VKD92" s="6"/>
      <c r="VKE92" s="6"/>
      <c r="VKF92" s="6"/>
      <c r="VKG92" s="6"/>
      <c r="VKH92" s="6"/>
      <c r="VKI92" s="6"/>
      <c r="VKJ92" s="6"/>
      <c r="VKK92" s="6"/>
      <c r="VKL92" s="6"/>
      <c r="VKM92" s="6"/>
      <c r="VKN92" s="6"/>
      <c r="VKO92" s="6"/>
      <c r="VKP92" s="6"/>
      <c r="VKQ92" s="6"/>
      <c r="VKR92" s="6"/>
      <c r="VKS92" s="6"/>
      <c r="VKT92" s="6"/>
      <c r="VKU92" s="6"/>
      <c r="VKV92" s="6"/>
      <c r="VKW92" s="6"/>
      <c r="VKX92" s="6"/>
      <c r="VKY92" s="6"/>
      <c r="VKZ92" s="6"/>
      <c r="VLA92" s="6"/>
      <c r="VLB92" s="6"/>
      <c r="VLC92" s="6"/>
      <c r="VLD92" s="6"/>
      <c r="VLE92" s="6"/>
      <c r="VLF92" s="6"/>
      <c r="VLG92" s="6"/>
      <c r="VLH92" s="6"/>
      <c r="VLI92" s="6"/>
      <c r="VLJ92" s="6"/>
      <c r="VLK92" s="6"/>
      <c r="VLL92" s="6"/>
      <c r="VLM92" s="6"/>
      <c r="VLN92" s="6"/>
      <c r="VLO92" s="6"/>
      <c r="VLP92" s="6"/>
      <c r="VLQ92" s="6"/>
      <c r="VLR92" s="6"/>
      <c r="VLS92" s="6"/>
      <c r="VLT92" s="6"/>
      <c r="VLU92" s="6"/>
      <c r="VLV92" s="6"/>
      <c r="VLW92" s="6"/>
      <c r="VLX92" s="6"/>
      <c r="VLY92" s="6"/>
      <c r="VLZ92" s="6"/>
      <c r="VMA92" s="6"/>
      <c r="VMB92" s="6"/>
      <c r="VMC92" s="6"/>
      <c r="VMD92" s="6"/>
      <c r="VME92" s="6"/>
      <c r="VMF92" s="6"/>
      <c r="VMG92" s="6"/>
      <c r="VMH92" s="6"/>
      <c r="VMI92" s="6"/>
      <c r="VMJ92" s="6"/>
      <c r="VMK92" s="6"/>
      <c r="VML92" s="6"/>
      <c r="VMM92" s="6"/>
      <c r="VMN92" s="6"/>
      <c r="VMO92" s="6"/>
      <c r="VMP92" s="6"/>
      <c r="VMQ92" s="6"/>
      <c r="VMR92" s="6"/>
      <c r="VMS92" s="6"/>
      <c r="VMT92" s="6"/>
      <c r="VMU92" s="6"/>
      <c r="VMV92" s="6"/>
      <c r="VMW92" s="6"/>
      <c r="VMX92" s="6"/>
      <c r="VMY92" s="6"/>
      <c r="VMZ92" s="6"/>
      <c r="VNA92" s="6"/>
      <c r="VNB92" s="6"/>
      <c r="VNC92" s="6"/>
      <c r="VND92" s="6"/>
      <c r="VNE92" s="6"/>
      <c r="VNF92" s="6"/>
      <c r="VNG92" s="6"/>
      <c r="VNH92" s="6"/>
      <c r="VNI92" s="6"/>
      <c r="VNJ92" s="6"/>
      <c r="VNK92" s="6"/>
      <c r="VNL92" s="6"/>
      <c r="VNM92" s="6"/>
      <c r="VNN92" s="6"/>
      <c r="VNO92" s="6"/>
      <c r="VNP92" s="6"/>
      <c r="VNQ92" s="6"/>
      <c r="VNR92" s="6"/>
      <c r="VNS92" s="6"/>
      <c r="VNT92" s="6"/>
      <c r="VNU92" s="6"/>
      <c r="VNV92" s="6"/>
      <c r="VNW92" s="6"/>
      <c r="VNX92" s="6"/>
      <c r="VNY92" s="6"/>
      <c r="VNZ92" s="6"/>
      <c r="VOA92" s="6"/>
      <c r="VOB92" s="6"/>
      <c r="VOC92" s="6"/>
      <c r="VOD92" s="6"/>
      <c r="VOE92" s="6"/>
      <c r="VOF92" s="6"/>
      <c r="VOG92" s="6"/>
      <c r="VOH92" s="6"/>
      <c r="VOI92" s="6"/>
      <c r="VOJ92" s="6"/>
      <c r="VOK92" s="6"/>
      <c r="VOL92" s="6"/>
      <c r="VOM92" s="6"/>
      <c r="VON92" s="6"/>
      <c r="VOO92" s="6"/>
      <c r="VOP92" s="6"/>
      <c r="VOQ92" s="6"/>
      <c r="VOR92" s="6"/>
      <c r="VOS92" s="6"/>
      <c r="VOT92" s="6"/>
      <c r="VOU92" s="6"/>
      <c r="VOV92" s="6"/>
      <c r="VOW92" s="6"/>
      <c r="VOX92" s="6"/>
      <c r="VOY92" s="6"/>
      <c r="VOZ92" s="6"/>
      <c r="VPA92" s="6"/>
      <c r="VPB92" s="6"/>
      <c r="VPC92" s="6"/>
      <c r="VPD92" s="6"/>
      <c r="VPE92" s="6"/>
      <c r="VPF92" s="6"/>
      <c r="VPG92" s="6"/>
      <c r="VPH92" s="6"/>
      <c r="VPI92" s="6"/>
      <c r="VPJ92" s="6"/>
      <c r="VPK92" s="6"/>
      <c r="VPL92" s="6"/>
      <c r="VPM92" s="6"/>
      <c r="VPN92" s="6"/>
      <c r="VPO92" s="6"/>
      <c r="VPP92" s="6"/>
      <c r="VPQ92" s="6"/>
      <c r="VPR92" s="6"/>
      <c r="VPS92" s="6"/>
      <c r="VPT92" s="6"/>
      <c r="VPU92" s="6"/>
      <c r="VPV92" s="6"/>
      <c r="VPW92" s="6"/>
      <c r="VPX92" s="6"/>
      <c r="VPY92" s="6"/>
      <c r="VPZ92" s="6"/>
      <c r="VQA92" s="6"/>
      <c r="VQB92" s="6"/>
      <c r="VQC92" s="6"/>
      <c r="VQD92" s="6"/>
      <c r="VQE92" s="6"/>
      <c r="VQF92" s="6"/>
      <c r="VQG92" s="6"/>
      <c r="VQH92" s="6"/>
      <c r="VQI92" s="6"/>
      <c r="VQJ92" s="6"/>
      <c r="VQK92" s="6"/>
      <c r="VQL92" s="6"/>
      <c r="VQM92" s="6"/>
      <c r="VQN92" s="6"/>
      <c r="VQO92" s="6"/>
      <c r="VQP92" s="6"/>
      <c r="VQQ92" s="6"/>
      <c r="VQR92" s="6"/>
      <c r="VQS92" s="6"/>
      <c r="VQT92" s="6"/>
      <c r="VQU92" s="6"/>
      <c r="VQV92" s="6"/>
      <c r="VQW92" s="6"/>
      <c r="VQX92" s="6"/>
      <c r="VQY92" s="6"/>
      <c r="VQZ92" s="6"/>
      <c r="VRA92" s="6"/>
      <c r="VRB92" s="6"/>
      <c r="VRC92" s="6"/>
      <c r="VRD92" s="6"/>
      <c r="VRE92" s="6"/>
      <c r="VRF92" s="6"/>
      <c r="VRG92" s="6"/>
      <c r="VRH92" s="6"/>
      <c r="VRI92" s="6"/>
      <c r="VRJ92" s="6"/>
      <c r="VRK92" s="6"/>
      <c r="VRL92" s="6"/>
      <c r="VRM92" s="6"/>
      <c r="VRN92" s="6"/>
      <c r="VRO92" s="6"/>
      <c r="VRP92" s="6"/>
      <c r="VRQ92" s="6"/>
      <c r="VRR92" s="6"/>
      <c r="VRS92" s="6"/>
      <c r="VRT92" s="6"/>
      <c r="VRU92" s="6"/>
      <c r="VRV92" s="6"/>
      <c r="VRW92" s="6"/>
      <c r="VRX92" s="6"/>
      <c r="VRY92" s="6"/>
      <c r="VRZ92" s="6"/>
      <c r="VSA92" s="6"/>
      <c r="VSB92" s="6"/>
      <c r="VSC92" s="6"/>
      <c r="VSD92" s="6"/>
      <c r="VSE92" s="6"/>
      <c r="VSF92" s="6"/>
      <c r="VSG92" s="6"/>
      <c r="VSH92" s="6"/>
      <c r="VSI92" s="6"/>
      <c r="VSJ92" s="6"/>
      <c r="VSK92" s="6"/>
      <c r="VSL92" s="6"/>
      <c r="VSM92" s="6"/>
      <c r="VSN92" s="6"/>
      <c r="VSO92" s="6"/>
      <c r="VSP92" s="6"/>
      <c r="VSQ92" s="6"/>
      <c r="VSR92" s="6"/>
      <c r="VSS92" s="6"/>
      <c r="VST92" s="6"/>
      <c r="VSU92" s="6"/>
      <c r="VSV92" s="6"/>
      <c r="VSW92" s="6"/>
      <c r="VSX92" s="6"/>
      <c r="VSY92" s="6"/>
      <c r="VSZ92" s="6"/>
      <c r="VTA92" s="6"/>
      <c r="VTB92" s="6"/>
      <c r="VTC92" s="6"/>
      <c r="VTD92" s="6"/>
      <c r="VTE92" s="6"/>
      <c r="VTF92" s="6"/>
      <c r="VTG92" s="6"/>
      <c r="VTH92" s="6"/>
      <c r="VTI92" s="6"/>
      <c r="VTJ92" s="6"/>
      <c r="VTK92" s="6"/>
      <c r="VTL92" s="6"/>
      <c r="VTM92" s="6"/>
      <c r="VTN92" s="6"/>
      <c r="VTO92" s="6"/>
      <c r="VTP92" s="6"/>
      <c r="VTQ92" s="6"/>
      <c r="VTR92" s="6"/>
      <c r="VTS92" s="6"/>
      <c r="VTT92" s="6"/>
      <c r="VTU92" s="6"/>
      <c r="VTV92" s="6"/>
      <c r="VTW92" s="6"/>
      <c r="VTX92" s="6"/>
      <c r="VTY92" s="6"/>
      <c r="VTZ92" s="6"/>
      <c r="VUA92" s="6"/>
      <c r="VUB92" s="6"/>
      <c r="VUC92" s="6"/>
      <c r="VUD92" s="6"/>
      <c r="VUE92" s="6"/>
      <c r="VUF92" s="6"/>
      <c r="VUG92" s="6"/>
      <c r="VUH92" s="6"/>
      <c r="VUI92" s="6"/>
      <c r="VUJ92" s="6"/>
      <c r="VUK92" s="6"/>
      <c r="VUL92" s="6"/>
      <c r="VUM92" s="6"/>
      <c r="VUN92" s="6"/>
      <c r="VUO92" s="6"/>
      <c r="VUP92" s="6"/>
      <c r="VUQ92" s="6"/>
      <c r="VUR92" s="6"/>
      <c r="VUS92" s="6"/>
      <c r="VUT92" s="6"/>
      <c r="VUU92" s="6"/>
      <c r="VUV92" s="6"/>
      <c r="VUW92" s="6"/>
      <c r="VUX92" s="6"/>
      <c r="VUY92" s="6"/>
      <c r="VUZ92" s="6"/>
      <c r="VVA92" s="6"/>
      <c r="VVB92" s="6"/>
      <c r="VVC92" s="6"/>
      <c r="VVD92" s="6"/>
      <c r="VVE92" s="6"/>
      <c r="VVF92" s="6"/>
      <c r="VVG92" s="6"/>
      <c r="VVH92" s="6"/>
      <c r="VVI92" s="6"/>
      <c r="VVJ92" s="6"/>
      <c r="VVK92" s="6"/>
      <c r="VVL92" s="6"/>
      <c r="VVM92" s="6"/>
      <c r="VVN92" s="6"/>
      <c r="VVO92" s="6"/>
      <c r="VVP92" s="6"/>
      <c r="VVQ92" s="6"/>
      <c r="VVR92" s="6"/>
      <c r="VVS92" s="6"/>
      <c r="VVT92" s="6"/>
      <c r="VVU92" s="6"/>
      <c r="VVV92" s="6"/>
      <c r="VVW92" s="6"/>
      <c r="VVX92" s="6"/>
      <c r="VVY92" s="6"/>
      <c r="VVZ92" s="6"/>
      <c r="VWA92" s="6"/>
      <c r="VWB92" s="6"/>
      <c r="VWC92" s="6"/>
      <c r="VWD92" s="6"/>
      <c r="VWE92" s="6"/>
      <c r="VWF92" s="6"/>
      <c r="VWG92" s="6"/>
      <c r="VWH92" s="6"/>
      <c r="VWI92" s="6"/>
      <c r="VWJ92" s="6"/>
      <c r="VWK92" s="6"/>
      <c r="VWL92" s="6"/>
      <c r="VWM92" s="6"/>
      <c r="VWN92" s="6"/>
      <c r="VWO92" s="6"/>
      <c r="VWP92" s="6"/>
      <c r="VWQ92" s="6"/>
      <c r="VWR92" s="6"/>
      <c r="VWS92" s="6"/>
      <c r="VWT92" s="6"/>
      <c r="VWU92" s="6"/>
      <c r="VWV92" s="6"/>
      <c r="VWW92" s="6"/>
      <c r="VWX92" s="6"/>
      <c r="VWY92" s="6"/>
      <c r="VWZ92" s="6"/>
      <c r="VXA92" s="6"/>
      <c r="VXB92" s="6"/>
      <c r="VXC92" s="6"/>
      <c r="VXD92" s="6"/>
      <c r="VXE92" s="6"/>
      <c r="VXF92" s="6"/>
      <c r="VXG92" s="6"/>
      <c r="VXH92" s="6"/>
      <c r="VXI92" s="6"/>
      <c r="VXJ92" s="6"/>
      <c r="VXK92" s="6"/>
      <c r="VXL92" s="6"/>
      <c r="VXM92" s="6"/>
      <c r="VXN92" s="6"/>
      <c r="VXO92" s="6"/>
      <c r="VXP92" s="6"/>
      <c r="VXQ92" s="6"/>
      <c r="VXR92" s="6"/>
      <c r="VXS92" s="6"/>
      <c r="VXT92" s="6"/>
      <c r="VXU92" s="6"/>
      <c r="VXV92" s="6"/>
      <c r="VXW92" s="6"/>
      <c r="VXX92" s="6"/>
      <c r="VXY92" s="6"/>
      <c r="VXZ92" s="6"/>
      <c r="VYA92" s="6"/>
      <c r="VYB92" s="6"/>
      <c r="VYC92" s="6"/>
      <c r="VYD92" s="6"/>
      <c r="VYE92" s="6"/>
      <c r="VYF92" s="6"/>
      <c r="VYG92" s="6"/>
      <c r="VYH92" s="6"/>
      <c r="VYI92" s="6"/>
      <c r="VYJ92" s="6"/>
      <c r="VYK92" s="6"/>
      <c r="VYL92" s="6"/>
      <c r="VYM92" s="6"/>
      <c r="VYN92" s="6"/>
      <c r="VYO92" s="6"/>
      <c r="VYP92" s="6"/>
      <c r="VYQ92" s="6"/>
      <c r="VYR92" s="6"/>
      <c r="VYS92" s="6"/>
      <c r="VYT92" s="6"/>
      <c r="VYU92" s="6"/>
      <c r="VYV92" s="6"/>
      <c r="VYW92" s="6"/>
      <c r="VYX92" s="6"/>
      <c r="VYY92" s="6"/>
      <c r="VYZ92" s="6"/>
      <c r="VZA92" s="6"/>
      <c r="VZB92" s="6"/>
      <c r="VZC92" s="6"/>
      <c r="VZD92" s="6"/>
      <c r="VZE92" s="6"/>
      <c r="VZF92" s="6"/>
      <c r="VZG92" s="6"/>
      <c r="VZH92" s="6"/>
      <c r="VZI92" s="6"/>
      <c r="VZJ92" s="6"/>
      <c r="VZK92" s="6"/>
      <c r="VZL92" s="6"/>
      <c r="VZM92" s="6"/>
      <c r="VZN92" s="6"/>
      <c r="VZO92" s="6"/>
      <c r="VZP92" s="6"/>
      <c r="VZQ92" s="6"/>
      <c r="VZR92" s="6"/>
      <c r="VZS92" s="6"/>
      <c r="VZT92" s="6"/>
      <c r="VZU92" s="6"/>
      <c r="VZV92" s="6"/>
      <c r="VZW92" s="6"/>
      <c r="VZX92" s="6"/>
      <c r="VZY92" s="6"/>
      <c r="VZZ92" s="6"/>
      <c r="WAA92" s="6"/>
      <c r="WAB92" s="6"/>
      <c r="WAC92" s="6"/>
      <c r="WAD92" s="6"/>
      <c r="WAE92" s="6"/>
      <c r="WAF92" s="6"/>
      <c r="WAG92" s="6"/>
      <c r="WAH92" s="6"/>
      <c r="WAI92" s="6"/>
      <c r="WAJ92" s="6"/>
      <c r="WAK92" s="6"/>
      <c r="WAL92" s="6"/>
      <c r="WAM92" s="6"/>
      <c r="WAN92" s="6"/>
      <c r="WAO92" s="6"/>
      <c r="WAP92" s="6"/>
      <c r="WAQ92" s="6"/>
      <c r="WAR92" s="6"/>
      <c r="WAS92" s="6"/>
      <c r="WAT92" s="6"/>
      <c r="WAU92" s="6"/>
      <c r="WAV92" s="6"/>
      <c r="WAW92" s="6"/>
      <c r="WAX92" s="6"/>
      <c r="WAY92" s="6"/>
      <c r="WAZ92" s="6"/>
      <c r="WBA92" s="6"/>
      <c r="WBB92" s="6"/>
      <c r="WBC92" s="6"/>
      <c r="WBD92" s="6"/>
      <c r="WBE92" s="6"/>
      <c r="WBF92" s="6"/>
      <c r="WBG92" s="6"/>
      <c r="WBH92" s="6"/>
      <c r="WBI92" s="6"/>
      <c r="WBJ92" s="6"/>
      <c r="WBK92" s="6"/>
      <c r="WBL92" s="6"/>
      <c r="WBM92" s="6"/>
      <c r="WBN92" s="6"/>
      <c r="WBO92" s="6"/>
      <c r="WBP92" s="6"/>
      <c r="WBQ92" s="6"/>
      <c r="WBR92" s="6"/>
      <c r="WBS92" s="6"/>
      <c r="WBT92" s="6"/>
      <c r="WBU92" s="6"/>
      <c r="WBV92" s="6"/>
      <c r="WBW92" s="6"/>
      <c r="WBX92" s="6"/>
      <c r="WBY92" s="6"/>
      <c r="WBZ92" s="6"/>
      <c r="WCA92" s="6"/>
      <c r="WCB92" s="6"/>
      <c r="WCC92" s="6"/>
      <c r="WCD92" s="6"/>
      <c r="WCE92" s="6"/>
      <c r="WCF92" s="6"/>
      <c r="WCG92" s="6"/>
      <c r="WCH92" s="6"/>
      <c r="WCI92" s="6"/>
      <c r="WCJ92" s="6"/>
      <c r="WCK92" s="6"/>
      <c r="WCL92" s="6"/>
      <c r="WCM92" s="6"/>
      <c r="WCN92" s="6"/>
      <c r="WCO92" s="6"/>
      <c r="WCP92" s="6"/>
      <c r="WCQ92" s="6"/>
      <c r="WCR92" s="6"/>
      <c r="WCS92" s="6"/>
      <c r="WCT92" s="6"/>
      <c r="WCU92" s="6"/>
      <c r="WCV92" s="6"/>
      <c r="WCW92" s="6"/>
      <c r="WCX92" s="6"/>
      <c r="WCY92" s="6"/>
      <c r="WCZ92" s="6"/>
      <c r="WDA92" s="6"/>
      <c r="WDB92" s="6"/>
      <c r="WDC92" s="6"/>
      <c r="WDD92" s="6"/>
      <c r="WDE92" s="6"/>
      <c r="WDF92" s="6"/>
      <c r="WDG92" s="6"/>
      <c r="WDH92" s="6"/>
      <c r="WDI92" s="6"/>
      <c r="WDJ92" s="6"/>
      <c r="WDK92" s="6"/>
      <c r="WDL92" s="6"/>
      <c r="WDM92" s="6"/>
      <c r="WDN92" s="6"/>
      <c r="WDO92" s="6"/>
      <c r="WDP92" s="6"/>
      <c r="WDQ92" s="6"/>
      <c r="WDR92" s="6"/>
      <c r="WDS92" s="6"/>
      <c r="WDT92" s="6"/>
      <c r="WDU92" s="6"/>
      <c r="WDV92" s="6"/>
      <c r="WDW92" s="6"/>
      <c r="WDX92" s="6"/>
      <c r="WDY92" s="6"/>
      <c r="WDZ92" s="6"/>
      <c r="WEA92" s="6"/>
      <c r="WEB92" s="6"/>
      <c r="WEC92" s="6"/>
      <c r="WED92" s="6"/>
      <c r="WEE92" s="6"/>
      <c r="WEF92" s="6"/>
      <c r="WEG92" s="6"/>
      <c r="WEH92" s="6"/>
      <c r="WEI92" s="6"/>
      <c r="WEJ92" s="6"/>
      <c r="WEK92" s="6"/>
      <c r="WEL92" s="6"/>
      <c r="WEM92" s="6"/>
      <c r="WEN92" s="6"/>
      <c r="WEO92" s="6"/>
      <c r="WEP92" s="6"/>
      <c r="WEQ92" s="6"/>
      <c r="WER92" s="6"/>
      <c r="WES92" s="6"/>
      <c r="WET92" s="6"/>
      <c r="WEU92" s="6"/>
      <c r="WEV92" s="6"/>
      <c r="WEW92" s="6"/>
      <c r="WEX92" s="6"/>
      <c r="WEY92" s="6"/>
      <c r="WEZ92" s="6"/>
      <c r="WFA92" s="6"/>
      <c r="WFB92" s="6"/>
      <c r="WFC92" s="6"/>
      <c r="WFD92" s="6"/>
      <c r="WFE92" s="6"/>
      <c r="WFF92" s="6"/>
      <c r="WFG92" s="6"/>
      <c r="WFH92" s="6"/>
      <c r="WFI92" s="6"/>
      <c r="WFJ92" s="6"/>
      <c r="WFK92" s="6"/>
      <c r="WFL92" s="6"/>
      <c r="WFM92" s="6"/>
      <c r="WFN92" s="6"/>
      <c r="WFO92" s="6"/>
      <c r="WFP92" s="6"/>
      <c r="WFQ92" s="6"/>
      <c r="WFR92" s="6"/>
      <c r="WFS92" s="6"/>
      <c r="WFT92" s="6"/>
      <c r="WFU92" s="6"/>
      <c r="WFV92" s="6"/>
      <c r="WFW92" s="6"/>
      <c r="WFX92" s="6"/>
      <c r="WFY92" s="6"/>
      <c r="WFZ92" s="6"/>
      <c r="WGA92" s="6"/>
      <c r="WGB92" s="6"/>
      <c r="WGC92" s="6"/>
      <c r="WGD92" s="6"/>
      <c r="WGE92" s="6"/>
      <c r="WGF92" s="6"/>
      <c r="WGG92" s="6"/>
      <c r="WGH92" s="6"/>
      <c r="WGI92" s="6"/>
      <c r="WGJ92" s="6"/>
      <c r="WGK92" s="6"/>
      <c r="WGL92" s="6"/>
      <c r="WGM92" s="6"/>
      <c r="WGN92" s="6"/>
      <c r="WGO92" s="6"/>
      <c r="WGP92" s="6"/>
      <c r="WGQ92" s="6"/>
      <c r="WGR92" s="6"/>
      <c r="WGS92" s="6"/>
      <c r="WGT92" s="6"/>
      <c r="WGU92" s="6"/>
      <c r="WGV92" s="6"/>
      <c r="WGW92" s="6"/>
      <c r="WGX92" s="6"/>
      <c r="WGY92" s="6"/>
      <c r="WGZ92" s="6"/>
      <c r="WHA92" s="6"/>
      <c r="WHB92" s="6"/>
      <c r="WHC92" s="6"/>
      <c r="WHD92" s="6"/>
      <c r="WHE92" s="6"/>
      <c r="WHF92" s="6"/>
      <c r="WHG92" s="6"/>
      <c r="WHH92" s="6"/>
      <c r="WHI92" s="6"/>
      <c r="WHJ92" s="6"/>
      <c r="WHK92" s="6"/>
      <c r="WHL92" s="6"/>
      <c r="WHM92" s="6"/>
      <c r="WHN92" s="6"/>
      <c r="WHO92" s="6"/>
      <c r="WHP92" s="6"/>
      <c r="WHQ92" s="6"/>
      <c r="WHR92" s="6"/>
      <c r="WHS92" s="6"/>
      <c r="WHT92" s="6"/>
      <c r="WHU92" s="6"/>
      <c r="WHV92" s="6"/>
      <c r="WHW92" s="6"/>
      <c r="WHX92" s="6"/>
      <c r="WHY92" s="6"/>
      <c r="WHZ92" s="6"/>
      <c r="WIA92" s="6"/>
      <c r="WIB92" s="6"/>
      <c r="WIC92" s="6"/>
      <c r="WID92" s="6"/>
      <c r="WIE92" s="6"/>
      <c r="WIF92" s="6"/>
      <c r="WIG92" s="6"/>
      <c r="WIH92" s="6"/>
      <c r="WII92" s="6"/>
      <c r="WIJ92" s="6"/>
      <c r="WIK92" s="6"/>
      <c r="WIL92" s="6"/>
      <c r="WIM92" s="6"/>
      <c r="WIN92" s="6"/>
      <c r="WIO92" s="6"/>
      <c r="WIP92" s="6"/>
      <c r="WIQ92" s="6"/>
      <c r="WIR92" s="6"/>
      <c r="WIS92" s="6"/>
      <c r="WIT92" s="6"/>
      <c r="WIU92" s="6"/>
      <c r="WIV92" s="6"/>
      <c r="WIW92" s="6"/>
      <c r="WIX92" s="6"/>
      <c r="WIY92" s="6"/>
      <c r="WIZ92" s="6"/>
      <c r="WJA92" s="6"/>
      <c r="WJB92" s="6"/>
      <c r="WJC92" s="6"/>
      <c r="WJD92" s="6"/>
      <c r="WJE92" s="6"/>
      <c r="WJF92" s="6"/>
      <c r="WJG92" s="6"/>
      <c r="WJH92" s="6"/>
      <c r="WJI92" s="6"/>
      <c r="WJJ92" s="6"/>
      <c r="WJK92" s="6"/>
      <c r="WJL92" s="6"/>
      <c r="WJM92" s="6"/>
      <c r="WJN92" s="6"/>
      <c r="WJO92" s="6"/>
      <c r="WJP92" s="6"/>
      <c r="WJQ92" s="6"/>
      <c r="WJR92" s="6"/>
      <c r="WJS92" s="6"/>
      <c r="WJT92" s="6"/>
      <c r="WJU92" s="6"/>
      <c r="WJV92" s="6"/>
      <c r="WJW92" s="6"/>
      <c r="WJX92" s="6"/>
      <c r="WJY92" s="6"/>
      <c r="WJZ92" s="6"/>
      <c r="WKA92" s="6"/>
      <c r="WKB92" s="6"/>
      <c r="WKC92" s="6"/>
      <c r="WKD92" s="6"/>
      <c r="WKE92" s="6"/>
      <c r="WKF92" s="6"/>
      <c r="WKG92" s="6"/>
      <c r="WKH92" s="6"/>
      <c r="WKI92" s="6"/>
      <c r="WKJ92" s="6"/>
      <c r="WKK92" s="6"/>
      <c r="WKL92" s="6"/>
      <c r="WKM92" s="6"/>
      <c r="WKN92" s="6"/>
      <c r="WKO92" s="6"/>
      <c r="WKP92" s="6"/>
      <c r="WKQ92" s="6"/>
      <c r="WKR92" s="6"/>
      <c r="WKS92" s="6"/>
      <c r="WKT92" s="6"/>
      <c r="WKU92" s="6"/>
      <c r="WKV92" s="6"/>
      <c r="WKW92" s="6"/>
      <c r="WKX92" s="6"/>
      <c r="WKY92" s="6"/>
      <c r="WKZ92" s="6"/>
      <c r="WLA92" s="6"/>
      <c r="WLB92" s="6"/>
      <c r="WLC92" s="6"/>
      <c r="WLD92" s="6"/>
      <c r="WLE92" s="6"/>
      <c r="WLF92" s="6"/>
      <c r="WLG92" s="6"/>
      <c r="WLH92" s="6"/>
      <c r="WLI92" s="6"/>
      <c r="WLJ92" s="6"/>
      <c r="WLK92" s="6"/>
      <c r="WLL92" s="6"/>
      <c r="WLM92" s="6"/>
      <c r="WLN92" s="6"/>
      <c r="WLO92" s="6"/>
      <c r="WLP92" s="6"/>
      <c r="WLQ92" s="6"/>
      <c r="WLR92" s="6"/>
      <c r="WLS92" s="6"/>
      <c r="WLT92" s="6"/>
      <c r="WLU92" s="6"/>
      <c r="WLV92" s="6"/>
      <c r="WLW92" s="6"/>
      <c r="WLX92" s="6"/>
      <c r="WLY92" s="6"/>
      <c r="WLZ92" s="6"/>
      <c r="WMA92" s="6"/>
      <c r="WMB92" s="6"/>
      <c r="WMC92" s="6"/>
      <c r="WMD92" s="6"/>
      <c r="WME92" s="6"/>
      <c r="WMF92" s="6"/>
      <c r="WMG92" s="6"/>
      <c r="WMH92" s="6"/>
      <c r="WMI92" s="6"/>
      <c r="WMJ92" s="6"/>
      <c r="WMK92" s="6"/>
      <c r="WML92" s="6"/>
      <c r="WMM92" s="6"/>
      <c r="WMN92" s="6"/>
      <c r="WMO92" s="6"/>
      <c r="WMP92" s="6"/>
      <c r="WMQ92" s="6"/>
      <c r="WMR92" s="6"/>
      <c r="WMS92" s="6"/>
      <c r="WMT92" s="6"/>
      <c r="WMU92" s="6"/>
      <c r="WMV92" s="6"/>
      <c r="WMW92" s="6"/>
      <c r="WMX92" s="6"/>
      <c r="WMY92" s="6"/>
      <c r="WMZ92" s="6"/>
      <c r="WNA92" s="6"/>
      <c r="WNB92" s="6"/>
      <c r="WNC92" s="6"/>
      <c r="WND92" s="6"/>
      <c r="WNE92" s="6"/>
      <c r="WNF92" s="6"/>
      <c r="WNG92" s="6"/>
      <c r="WNH92" s="6"/>
      <c r="WNI92" s="6"/>
      <c r="WNJ92" s="6"/>
      <c r="WNK92" s="6"/>
      <c r="WNL92" s="6"/>
      <c r="WNM92" s="6"/>
      <c r="WNN92" s="6"/>
      <c r="WNO92" s="6"/>
      <c r="WNP92" s="6"/>
      <c r="WNQ92" s="6"/>
      <c r="WNR92" s="6"/>
      <c r="WNS92" s="6"/>
      <c r="WNT92" s="6"/>
      <c r="WNU92" s="6"/>
      <c r="WNV92" s="6"/>
      <c r="WNW92" s="6"/>
      <c r="WNX92" s="6"/>
      <c r="WNY92" s="6"/>
      <c r="WNZ92" s="6"/>
      <c r="WOA92" s="6"/>
      <c r="WOB92" s="6"/>
      <c r="WOC92" s="6"/>
      <c r="WOD92" s="6"/>
      <c r="WOE92" s="6"/>
      <c r="WOF92" s="6"/>
      <c r="WOG92" s="6"/>
      <c r="WOH92" s="6"/>
      <c r="WOI92" s="6"/>
      <c r="WOJ92" s="6"/>
      <c r="WOK92" s="6"/>
      <c r="WOL92" s="6"/>
      <c r="WOM92" s="6"/>
      <c r="WON92" s="6"/>
      <c r="WOO92" s="6"/>
      <c r="WOP92" s="6"/>
      <c r="WOQ92" s="6"/>
      <c r="WOR92" s="6"/>
      <c r="WOS92" s="6"/>
      <c r="WOT92" s="6"/>
      <c r="WOU92" s="6"/>
      <c r="WOV92" s="6"/>
      <c r="WOW92" s="6"/>
      <c r="WOX92" s="6"/>
      <c r="WOY92" s="6"/>
      <c r="WOZ92" s="6"/>
      <c r="WPA92" s="6"/>
      <c r="WPB92" s="6"/>
      <c r="WPC92" s="6"/>
      <c r="WPD92" s="6"/>
      <c r="WPE92" s="6"/>
      <c r="WPF92" s="6"/>
      <c r="WPG92" s="6"/>
      <c r="WPH92" s="6"/>
      <c r="WPI92" s="6"/>
      <c r="WPJ92" s="6"/>
      <c r="WPK92" s="6"/>
      <c r="WPL92" s="6"/>
      <c r="WPM92" s="6"/>
      <c r="WPN92" s="6"/>
      <c r="WPO92" s="6"/>
      <c r="WPP92" s="6"/>
      <c r="WPQ92" s="6"/>
      <c r="WPR92" s="6"/>
      <c r="WPS92" s="6"/>
      <c r="WPT92" s="6"/>
      <c r="WPU92" s="6"/>
      <c r="WPV92" s="6"/>
      <c r="WPW92" s="6"/>
      <c r="WPX92" s="6"/>
      <c r="WPY92" s="6"/>
      <c r="WPZ92" s="6"/>
      <c r="WQA92" s="6"/>
      <c r="WQB92" s="6"/>
      <c r="WQC92" s="6"/>
      <c r="WQD92" s="6"/>
      <c r="WQE92" s="6"/>
      <c r="WQF92" s="6"/>
      <c r="WQG92" s="6"/>
      <c r="WQH92" s="6"/>
      <c r="WQI92" s="6"/>
      <c r="WQJ92" s="6"/>
      <c r="WQK92" s="6"/>
      <c r="WQL92" s="6"/>
      <c r="WQM92" s="6"/>
      <c r="WQN92" s="6"/>
      <c r="WQO92" s="6"/>
      <c r="WQP92" s="6"/>
      <c r="WQQ92" s="6"/>
      <c r="WQR92" s="6"/>
      <c r="WQS92" s="6"/>
      <c r="WQT92" s="6"/>
      <c r="WQU92" s="6"/>
      <c r="WQV92" s="6"/>
      <c r="WQW92" s="6"/>
      <c r="WQX92" s="6"/>
      <c r="WQY92" s="6"/>
      <c r="WQZ92" s="6"/>
      <c r="WRA92" s="6"/>
      <c r="WRB92" s="6"/>
      <c r="WRC92" s="6"/>
      <c r="WRD92" s="6"/>
      <c r="WRE92" s="6"/>
      <c r="WRF92" s="6"/>
      <c r="WRG92" s="6"/>
      <c r="WRH92" s="6"/>
      <c r="WRI92" s="6"/>
      <c r="WRJ92" s="6"/>
      <c r="WRK92" s="6"/>
      <c r="WRL92" s="6"/>
      <c r="WRM92" s="6"/>
      <c r="WRN92" s="6"/>
      <c r="WRO92" s="6"/>
      <c r="WRP92" s="6"/>
      <c r="WRQ92" s="6"/>
      <c r="WRR92" s="6"/>
      <c r="WRS92" s="6"/>
      <c r="WRT92" s="6"/>
      <c r="WRU92" s="6"/>
      <c r="WRV92" s="6"/>
      <c r="WRW92" s="6"/>
      <c r="WRX92" s="6"/>
      <c r="WRY92" s="6"/>
      <c r="WRZ92" s="6"/>
      <c r="WSA92" s="6"/>
      <c r="WSB92" s="6"/>
      <c r="WSC92" s="6"/>
      <c r="WSD92" s="6"/>
      <c r="WSE92" s="6"/>
      <c r="WSF92" s="6"/>
      <c r="WSG92" s="6"/>
      <c r="WSH92" s="6"/>
      <c r="WSI92" s="6"/>
      <c r="WSJ92" s="6"/>
      <c r="WSK92" s="6"/>
      <c r="WSL92" s="6"/>
      <c r="WSM92" s="6"/>
      <c r="WSN92" s="6"/>
      <c r="WSO92" s="6"/>
      <c r="WSP92" s="6"/>
      <c r="WSQ92" s="6"/>
      <c r="WSR92" s="6"/>
      <c r="WSS92" s="6"/>
      <c r="WST92" s="6"/>
      <c r="WSU92" s="6"/>
      <c r="WSV92" s="6"/>
      <c r="WSW92" s="6"/>
      <c r="WSX92" s="6"/>
      <c r="WSY92" s="6"/>
      <c r="WSZ92" s="6"/>
      <c r="WTA92" s="6"/>
      <c r="WTB92" s="6"/>
      <c r="WTC92" s="6"/>
      <c r="WTD92" s="6"/>
      <c r="WTE92" s="6"/>
      <c r="WTF92" s="6"/>
      <c r="WTG92" s="6"/>
      <c r="WTH92" s="6"/>
      <c r="WTI92" s="6"/>
      <c r="WTJ92" s="6"/>
      <c r="WTK92" s="6"/>
      <c r="WTL92" s="6"/>
      <c r="WTM92" s="6"/>
      <c r="WTN92" s="6"/>
      <c r="WTO92" s="6"/>
      <c r="WTP92" s="6"/>
      <c r="WTQ92" s="6"/>
      <c r="WTR92" s="6"/>
      <c r="WTS92" s="6"/>
      <c r="WTT92" s="6"/>
      <c r="WTU92" s="6"/>
      <c r="WTV92" s="6"/>
      <c r="WTW92" s="6"/>
      <c r="WTX92" s="6"/>
      <c r="WTY92" s="6"/>
      <c r="WTZ92" s="6"/>
      <c r="WUA92" s="6"/>
      <c r="WUB92" s="6"/>
      <c r="WUC92" s="6"/>
      <c r="WUD92" s="6"/>
      <c r="WUE92" s="6"/>
      <c r="WUF92" s="6"/>
      <c r="WUG92" s="6"/>
      <c r="WUH92" s="6"/>
      <c r="WUI92" s="6"/>
      <c r="WUJ92" s="6"/>
      <c r="WUK92" s="6"/>
      <c r="WUL92" s="6"/>
      <c r="WUM92" s="6"/>
      <c r="WUN92" s="6"/>
      <c r="WUO92" s="6"/>
      <c r="WUP92" s="6"/>
      <c r="WUQ92" s="6"/>
      <c r="WUR92" s="6"/>
      <c r="WUS92" s="6"/>
      <c r="WUT92" s="6"/>
      <c r="WUU92" s="6"/>
      <c r="WUV92" s="6"/>
      <c r="WUW92" s="6"/>
      <c r="WUX92" s="6"/>
      <c r="WUY92" s="6"/>
      <c r="WUZ92" s="6"/>
      <c r="WVA92" s="6"/>
      <c r="WVB92" s="6"/>
      <c r="WVC92" s="6"/>
      <c r="WVD92" s="6"/>
      <c r="WVE92" s="6"/>
      <c r="WVF92" s="6"/>
      <c r="WVG92" s="6"/>
      <c r="WVH92" s="6"/>
      <c r="WVI92" s="6"/>
      <c r="WVJ92" s="6"/>
      <c r="WVK92" s="6"/>
      <c r="WVL92" s="6"/>
      <c r="WVM92" s="6"/>
      <c r="WVN92" s="6"/>
      <c r="WVO92" s="6"/>
      <c r="WVP92" s="6"/>
      <c r="WVQ92" s="6"/>
      <c r="WVR92" s="6"/>
      <c r="WVS92" s="6"/>
      <c r="WVT92" s="6"/>
      <c r="WVU92" s="6"/>
      <c r="WVV92" s="6"/>
      <c r="WVW92" s="6"/>
      <c r="WVX92" s="6"/>
      <c r="WVY92" s="6"/>
      <c r="WVZ92" s="6"/>
      <c r="WWA92" s="6"/>
      <c r="WWB92" s="6"/>
      <c r="WWC92" s="6"/>
      <c r="WWD92" s="6"/>
      <c r="WWE92" s="6"/>
      <c r="WWF92" s="6"/>
      <c r="WWG92" s="6"/>
      <c r="WWH92" s="6"/>
      <c r="WWI92" s="6"/>
      <c r="WWJ92" s="6"/>
      <c r="WWK92" s="6"/>
      <c r="WWL92" s="6"/>
      <c r="WWM92" s="6"/>
      <c r="WWN92" s="6"/>
      <c r="WWO92" s="6"/>
      <c r="WWP92" s="6"/>
      <c r="WWQ92" s="6"/>
      <c r="WWR92" s="6"/>
      <c r="WWS92" s="6"/>
      <c r="WWT92" s="6"/>
      <c r="WWU92" s="6"/>
      <c r="WWV92" s="6"/>
      <c r="WWW92" s="6"/>
      <c r="WWX92" s="6"/>
      <c r="WWY92" s="6"/>
      <c r="WWZ92" s="6"/>
      <c r="WXA92" s="6"/>
      <c r="WXB92" s="6"/>
      <c r="WXC92" s="6"/>
      <c r="WXD92" s="6"/>
      <c r="WXE92" s="6"/>
      <c r="WXF92" s="6"/>
      <c r="WXG92" s="6"/>
      <c r="WXH92" s="6"/>
      <c r="WXI92" s="6"/>
      <c r="WXJ92" s="6"/>
      <c r="WXK92" s="6"/>
      <c r="WXL92" s="6"/>
      <c r="WXM92" s="6"/>
      <c r="WXN92" s="6"/>
      <c r="WXO92" s="6"/>
      <c r="WXP92" s="6"/>
      <c r="WXQ92" s="6"/>
      <c r="WXR92" s="6"/>
      <c r="WXS92" s="6"/>
      <c r="WXT92" s="6"/>
      <c r="WXU92" s="6"/>
      <c r="WXV92" s="6"/>
      <c r="WXW92" s="6"/>
      <c r="WXX92" s="6"/>
      <c r="WXY92" s="6"/>
      <c r="WXZ92" s="6"/>
      <c r="WYA92" s="6"/>
      <c r="WYB92" s="6"/>
      <c r="WYC92" s="6"/>
      <c r="WYD92" s="6"/>
      <c r="WYE92" s="6"/>
      <c r="WYF92" s="6"/>
      <c r="WYG92" s="6"/>
      <c r="WYH92" s="6"/>
      <c r="WYI92" s="6"/>
      <c r="WYJ92" s="6"/>
      <c r="WYK92" s="6"/>
      <c r="WYL92" s="6"/>
      <c r="WYM92" s="6"/>
      <c r="WYN92" s="6"/>
      <c r="WYO92" s="6"/>
      <c r="WYP92" s="6"/>
      <c r="WYQ92" s="6"/>
      <c r="WYR92" s="6"/>
      <c r="WYS92" s="6"/>
      <c r="WYT92" s="6"/>
      <c r="WYU92" s="6"/>
      <c r="WYV92" s="6"/>
      <c r="WYW92" s="6"/>
      <c r="WYX92" s="6"/>
      <c r="WYY92" s="6"/>
      <c r="WYZ92" s="6"/>
      <c r="WZA92" s="6"/>
      <c r="WZB92" s="6"/>
      <c r="WZC92" s="6"/>
      <c r="WZD92" s="6"/>
      <c r="WZE92" s="6"/>
      <c r="WZF92" s="6"/>
      <c r="WZG92" s="6"/>
      <c r="WZH92" s="6"/>
      <c r="WZI92" s="6"/>
      <c r="WZJ92" s="6"/>
      <c r="WZK92" s="6"/>
      <c r="WZL92" s="6"/>
      <c r="WZM92" s="6"/>
      <c r="WZN92" s="6"/>
      <c r="WZO92" s="6"/>
      <c r="WZP92" s="6"/>
      <c r="WZQ92" s="6"/>
      <c r="WZR92" s="6"/>
      <c r="WZS92" s="6"/>
      <c r="WZT92" s="6"/>
      <c r="WZU92" s="6"/>
      <c r="WZV92" s="6"/>
      <c r="WZW92" s="6"/>
      <c r="WZX92" s="6"/>
      <c r="WZY92" s="6"/>
      <c r="WZZ92" s="6"/>
      <c r="XAA92" s="6"/>
      <c r="XAB92" s="6"/>
      <c r="XAC92" s="6"/>
      <c r="XAD92" s="6"/>
      <c r="XAE92" s="6"/>
      <c r="XAF92" s="6"/>
      <c r="XAG92" s="6"/>
      <c r="XAH92" s="6"/>
      <c r="XAI92" s="6"/>
      <c r="XAJ92" s="6"/>
      <c r="XAK92" s="6"/>
      <c r="XAL92" s="6"/>
      <c r="XAM92" s="6"/>
      <c r="XAN92" s="6"/>
      <c r="XAO92" s="6"/>
      <c r="XAP92" s="6"/>
      <c r="XAQ92" s="6"/>
      <c r="XAR92" s="6"/>
      <c r="XAS92" s="6"/>
      <c r="XAT92" s="6"/>
      <c r="XAU92" s="6"/>
      <c r="XAV92" s="6"/>
      <c r="XAW92" s="6"/>
      <c r="XAX92" s="6"/>
      <c r="XAY92" s="6"/>
      <c r="XAZ92" s="6"/>
      <c r="XBA92" s="6"/>
      <c r="XBB92" s="6"/>
      <c r="XBC92" s="6"/>
      <c r="XBD92" s="6"/>
      <c r="XBE92" s="6"/>
      <c r="XBF92" s="6"/>
      <c r="XBG92" s="6"/>
      <c r="XBH92" s="6"/>
      <c r="XBI92" s="6"/>
      <c r="XBJ92" s="6"/>
      <c r="XBK92" s="6"/>
      <c r="XBL92" s="6"/>
      <c r="XBM92" s="6"/>
      <c r="XBN92" s="6"/>
      <c r="XBO92" s="6"/>
      <c r="XBP92" s="6"/>
      <c r="XBQ92" s="6"/>
      <c r="XBR92" s="6"/>
      <c r="XBS92" s="6"/>
      <c r="XBT92" s="6"/>
      <c r="XBU92" s="6"/>
      <c r="XBV92" s="6"/>
      <c r="XBW92" s="6"/>
      <c r="XBX92" s="6"/>
      <c r="XBY92" s="6"/>
      <c r="XBZ92" s="6"/>
      <c r="XCA92" s="6"/>
      <c r="XCB92" s="6"/>
      <c r="XCC92" s="6"/>
      <c r="XCD92" s="6"/>
      <c r="XCE92" s="6"/>
      <c r="XCF92" s="6"/>
      <c r="XCG92" s="6"/>
      <c r="XCH92" s="6"/>
      <c r="XCI92" s="6"/>
      <c r="XCJ92" s="6"/>
      <c r="XCK92" s="6"/>
      <c r="XCL92" s="6"/>
      <c r="XCM92" s="6"/>
      <c r="XCN92" s="6"/>
      <c r="XCO92" s="6"/>
      <c r="XCP92" s="6"/>
      <c r="XCQ92" s="6"/>
      <c r="XCR92" s="6"/>
      <c r="XCS92" s="6"/>
      <c r="XCT92" s="6"/>
      <c r="XCU92" s="6"/>
      <c r="XCV92" s="6"/>
      <c r="XCW92" s="6"/>
    </row>
    <row r="93" spans="1:16325" s="91" customFormat="1" hidden="1">
      <c r="B93" s="69" t="s">
        <v>101</v>
      </c>
      <c r="AQ93" s="45"/>
      <c r="AR93" s="45"/>
      <c r="AS93" s="45"/>
      <c r="AT93" s="45"/>
      <c r="AU93" s="46">
        <f>'BS &amp; CF'!AG104</f>
        <v>1902.0000000000002</v>
      </c>
      <c r="AV93" s="28"/>
      <c r="AW93" s="28"/>
      <c r="AX93" s="28"/>
      <c r="AY93" s="28"/>
      <c r="AZ93" s="46">
        <f>'BS &amp; CF'!AL104</f>
        <v>1550.7</v>
      </c>
      <c r="BA93" s="28"/>
      <c r="BB93" s="28"/>
      <c r="BC93" s="28"/>
      <c r="BD93" s="28"/>
      <c r="BE93" s="46">
        <f>'BS &amp; CF'!AQ104</f>
        <v>2212.4</v>
      </c>
      <c r="BF93" s="28"/>
      <c r="BG93" s="28"/>
      <c r="BH93" s="28"/>
      <c r="BI93" s="28"/>
      <c r="BJ93" s="46">
        <f>'BS &amp; CF'!AV104</f>
        <v>2546.1999999999998</v>
      </c>
      <c r="BK93" s="28"/>
      <c r="BL93" s="28"/>
      <c r="BM93" s="28"/>
      <c r="BN93" s="28"/>
      <c r="BO93" s="46">
        <f>'BS &amp; CF'!BA104</f>
        <v>2479</v>
      </c>
      <c r="BP93" s="28"/>
      <c r="BQ93" s="28"/>
      <c r="BR93" s="28"/>
      <c r="BS93" s="28"/>
      <c r="BT93" s="46">
        <f>'BS &amp; CF'!BF104</f>
        <v>2348.3000000000002</v>
      </c>
      <c r="BU93" s="28"/>
      <c r="BV93" s="28"/>
      <c r="BW93" s="28"/>
      <c r="BX93" s="28"/>
      <c r="BY93" s="46">
        <f>'BS &amp; CF'!BU104</f>
        <v>0</v>
      </c>
      <c r="BZ93" s="28"/>
      <c r="CA93" s="28"/>
      <c r="CB93" s="28"/>
      <c r="CC93" s="28"/>
      <c r="CD93" s="46">
        <f>'BS &amp; CF'!BZ104</f>
        <v>0</v>
      </c>
    </row>
    <row r="94" spans="1:16325" s="91" customFormat="1" hidden="1">
      <c r="B94" s="69"/>
      <c r="AQ94" s="45"/>
      <c r="AR94" s="45"/>
      <c r="AS94" s="45"/>
      <c r="AT94" s="45"/>
      <c r="AU94" s="45"/>
      <c r="AV94" s="28"/>
      <c r="AW94" s="28"/>
      <c r="AX94" s="28"/>
      <c r="AY94" s="28"/>
      <c r="AZ94" s="45"/>
      <c r="BA94" s="28"/>
      <c r="BB94" s="28"/>
      <c r="BC94" s="28"/>
      <c r="BD94" s="28"/>
      <c r="BE94" s="45"/>
      <c r="BF94" s="28"/>
      <c r="BG94" s="28"/>
      <c r="BH94" s="28"/>
      <c r="BI94" s="28"/>
      <c r="BJ94" s="45"/>
      <c r="BK94" s="28"/>
      <c r="BL94" s="28"/>
      <c r="BM94" s="28"/>
      <c r="BN94" s="28"/>
      <c r="BO94" s="45"/>
      <c r="BP94" s="28"/>
      <c r="BQ94" s="28"/>
      <c r="BR94" s="28"/>
      <c r="BS94" s="28"/>
      <c r="BT94" s="45"/>
      <c r="BU94" s="28"/>
      <c r="BV94" s="28"/>
      <c r="BW94" s="28"/>
      <c r="BX94" s="28"/>
      <c r="BY94" s="45"/>
      <c r="BZ94" s="28"/>
      <c r="CA94" s="28"/>
      <c r="CB94" s="28"/>
      <c r="CC94" s="28"/>
      <c r="CD94" s="45"/>
    </row>
    <row r="95" spans="1:16325" s="28" customFormat="1" ht="12" customHeight="1">
      <c r="BB95" s="165"/>
    </row>
    <row r="96" spans="1:16325" s="47" customFormat="1">
      <c r="B96" s="166" t="s">
        <v>102</v>
      </c>
      <c r="V96" s="167">
        <f>V20</f>
        <v>299.75099999999998</v>
      </c>
      <c r="W96" s="168">
        <f>W19+W36</f>
        <v>83.294999999999987</v>
      </c>
      <c r="X96" s="167">
        <f>X19+X36</f>
        <v>92.188000000000017</v>
      </c>
      <c r="Y96" s="167">
        <f>Y19+Y36</f>
        <v>112.40599999999998</v>
      </c>
      <c r="Z96" s="167">
        <f>Z19+Z36</f>
        <v>136.245</v>
      </c>
      <c r="AA96" s="169">
        <f>SUM(W96:Z96)</f>
        <v>424.13400000000001</v>
      </c>
      <c r="AB96" s="168">
        <f>AB19+AB36</f>
        <v>108.33100000000002</v>
      </c>
      <c r="AC96" s="167">
        <f>AC19+AC36</f>
        <v>109.626</v>
      </c>
      <c r="AD96" s="167">
        <f>AD19+AD36</f>
        <v>-126.27869999999993</v>
      </c>
      <c r="AE96" s="170">
        <f>AE20</f>
        <v>230.27099999999996</v>
      </c>
      <c r="AF96" s="169">
        <f>SUM(AB96:AE96)</f>
        <v>321.94930000000005</v>
      </c>
      <c r="AG96" s="168">
        <f>AG20</f>
        <v>283.41800000000006</v>
      </c>
      <c r="AH96" s="167">
        <f>AH20</f>
        <v>303.18899999999985</v>
      </c>
      <c r="AI96" s="167">
        <f>AI20</f>
        <v>299.18899999999996</v>
      </c>
      <c r="AJ96" s="170">
        <f>AJ20</f>
        <v>370.20099999999996</v>
      </c>
      <c r="AK96" s="169">
        <f>SUM(AG96:AJ96)</f>
        <v>1255.9969999999998</v>
      </c>
      <c r="AL96" s="168">
        <f>AL20</f>
        <v>443.71499999999992</v>
      </c>
      <c r="AM96" s="167">
        <f>AM20</f>
        <v>428.20200000000006</v>
      </c>
      <c r="AN96" s="167">
        <f>AN20</f>
        <v>475.23699999999997</v>
      </c>
      <c r="AO96" s="170">
        <f>AO20</f>
        <v>522.62500000000011</v>
      </c>
      <c r="AP96" s="169">
        <f>SUM(AL96:AO96)</f>
        <v>1869.779</v>
      </c>
      <c r="AQ96" s="167">
        <f>AQ20+'BS &amp; CF'!AC105</f>
        <v>571.29700000000003</v>
      </c>
      <c r="AR96" s="167">
        <f>AR20+'BS &amp; CF'!AD105</f>
        <v>587.09799999999984</v>
      </c>
      <c r="AS96" s="167">
        <f>AS20+'BS &amp; CF'!AE105</f>
        <v>760.85899999999981</v>
      </c>
      <c r="AT96" s="167">
        <f>AT20+'BS &amp; CF'!AF105</f>
        <v>1054.8890000000001</v>
      </c>
      <c r="AU96" s="171">
        <f>AU20</f>
        <v>2860.3369999999991</v>
      </c>
      <c r="AV96" s="167">
        <f>AV20+'BS &amp; CF'!AH105</f>
        <v>896.3</v>
      </c>
      <c r="AW96" s="167">
        <f>AW20+'BS &amp; CF'!AI105</f>
        <v>937.59999999999968</v>
      </c>
      <c r="AX96" s="167">
        <f>AX20+'BS &amp; CF'!AJ105</f>
        <v>1009.1000000000004</v>
      </c>
      <c r="AY96" s="167">
        <f>AY20+'BS &amp; CF'!AK105</f>
        <v>1190.0999999999999</v>
      </c>
      <c r="AZ96" s="171">
        <f>SUM(AV96:AY96)</f>
        <v>4033.1</v>
      </c>
      <c r="BA96" s="167">
        <f>BA20+'BS &amp; CF'!AM105</f>
        <v>1071.7000000000003</v>
      </c>
      <c r="BB96" s="167">
        <f>BB20+'BS &amp; CF'!AN105</f>
        <v>1381</v>
      </c>
      <c r="BC96" s="167">
        <f>BC20+'BS &amp; CF'!AO105</f>
        <v>1447</v>
      </c>
      <c r="BD96" s="167">
        <f>BD20+'BS &amp; CF'!AP105</f>
        <v>1379.9999999999995</v>
      </c>
      <c r="BE96" s="171">
        <f>BE20+'BS &amp; CF'!AQ105</f>
        <v>5279.7000000000007</v>
      </c>
      <c r="BF96" s="167">
        <f>BF20+'BS &amp; CF'!AR105+50</f>
        <v>1058.9731200000001</v>
      </c>
      <c r="BG96" s="167">
        <f>BG20+'BS &amp; CF'!AS105+50</f>
        <v>1409.4867420000005</v>
      </c>
      <c r="BH96" s="167">
        <f>BH20+'BS &amp; CF'!AT105+50</f>
        <v>1495.0711780000001</v>
      </c>
      <c r="BI96" s="167">
        <f>BI20+'BS &amp; CF'!AU105+50</f>
        <v>1626.7284390000002</v>
      </c>
      <c r="BJ96" s="171">
        <f>BJ20+'BS &amp; CF'!AV105+200</f>
        <v>5590.2594790000003</v>
      </c>
      <c r="BK96" s="172"/>
      <c r="BL96" s="172"/>
      <c r="BM96" s="172"/>
      <c r="BN96" s="172"/>
      <c r="BO96" s="173">
        <f>BO20+'BS &amp; CF'!BA105+200</f>
        <v>6033.6811345500028</v>
      </c>
      <c r="BP96" s="172">
        <f>BP20+'BS &amp; CF'!BB105+200</f>
        <v>200</v>
      </c>
      <c r="BQ96" s="172">
        <f>BQ20+'BS &amp; CF'!BC105+200</f>
        <v>200</v>
      </c>
      <c r="BR96" s="172">
        <f>BR20+'BS &amp; CF'!BD105+200</f>
        <v>200</v>
      </c>
      <c r="BS96" s="172">
        <f>BS20+'BS &amp; CF'!BE105+200</f>
        <v>200</v>
      </c>
      <c r="BT96" s="171">
        <f>BT20+'BS &amp; CF'!BF105+200</f>
        <v>6476.2228770882994</v>
      </c>
      <c r="BU96" s="172">
        <f>BU20+'BS &amp; CF'!BG105+200</f>
        <v>200</v>
      </c>
      <c r="BV96" s="172">
        <f>BV20+'BS &amp; CF'!BH105+200</f>
        <v>200</v>
      </c>
      <c r="BW96" s="172">
        <f>BW20+'BS &amp; CF'!BI105+200</f>
        <v>200</v>
      </c>
      <c r="BX96" s="172">
        <f>BX20+'BS &amp; CF'!BJ105+200</f>
        <v>200</v>
      </c>
      <c r="BY96" s="173">
        <f>BY20+'BS &amp; CF'!BK105+200</f>
        <v>6972.1256777861618</v>
      </c>
      <c r="BZ96" s="172">
        <f>BZ20+'BS &amp; CF'!BL105+200</f>
        <v>200</v>
      </c>
      <c r="CA96" s="172">
        <f>CA20+'BS &amp; CF'!BM105+200</f>
        <v>200</v>
      </c>
      <c r="CB96" s="172">
        <f>CB20+'BS &amp; CF'!BN105+200</f>
        <v>200</v>
      </c>
      <c r="CC96" s="172">
        <f>CC20+'BS &amp; CF'!BO105+200</f>
        <v>200</v>
      </c>
      <c r="CD96" s="171">
        <f>CD20+'BS &amp; CF'!BP105+200</f>
        <v>7338.176746250776</v>
      </c>
      <c r="CF96" s="174" t="s">
        <v>103</v>
      </c>
    </row>
    <row r="97" spans="2:84" s="28" customFormat="1" hidden="1">
      <c r="B97" s="34" t="s">
        <v>104</v>
      </c>
      <c r="C97" s="35"/>
      <c r="D97" s="36"/>
      <c r="E97" s="36"/>
      <c r="F97" s="36"/>
      <c r="G97" s="34"/>
      <c r="H97" s="35"/>
      <c r="I97" s="36"/>
      <c r="J97" s="36"/>
      <c r="K97" s="36"/>
      <c r="L97" s="34"/>
      <c r="M97" s="35"/>
      <c r="N97" s="36"/>
      <c r="O97" s="36"/>
      <c r="P97" s="36"/>
      <c r="Q97" s="34"/>
      <c r="R97" s="35"/>
      <c r="S97" s="36"/>
      <c r="T97" s="36"/>
      <c r="U97" s="36"/>
      <c r="V97" s="34"/>
      <c r="W97" s="35"/>
      <c r="X97" s="36"/>
      <c r="Y97" s="36"/>
      <c r="Z97" s="36"/>
      <c r="AA97" s="34"/>
      <c r="AB97" s="35"/>
      <c r="AC97" s="36"/>
      <c r="AD97" s="36"/>
      <c r="AE97" s="36"/>
      <c r="AF97" s="34"/>
      <c r="AG97" s="35"/>
      <c r="AH97" s="36"/>
      <c r="AI97" s="36"/>
      <c r="AJ97" s="36"/>
      <c r="AK97" s="34"/>
      <c r="AL97" s="35"/>
      <c r="AM97" s="36"/>
      <c r="AN97" s="36"/>
      <c r="AO97" s="36"/>
      <c r="AP97" s="34"/>
      <c r="AQ97" s="35"/>
      <c r="AR97" s="36"/>
      <c r="AS97" s="36"/>
      <c r="AT97" s="36"/>
      <c r="AU97" s="34"/>
      <c r="AV97" s="35"/>
      <c r="AW97" s="36"/>
      <c r="AX97" s="36"/>
      <c r="AY97" s="36"/>
      <c r="AZ97" s="34"/>
      <c r="BA97" s="35"/>
      <c r="BB97" s="36"/>
      <c r="BC97" s="36"/>
      <c r="BD97" s="36"/>
      <c r="BE97" s="34"/>
      <c r="BF97" s="35"/>
      <c r="BG97" s="36"/>
      <c r="BH97" s="36"/>
      <c r="BI97" s="36"/>
      <c r="BJ97" s="34"/>
      <c r="BK97" s="35"/>
      <c r="BL97" s="36"/>
      <c r="BM97" s="36"/>
      <c r="BN97" s="36"/>
      <c r="BO97" s="34"/>
      <c r="BP97" s="35"/>
      <c r="BQ97" s="36"/>
      <c r="BR97" s="36"/>
      <c r="BS97" s="36"/>
      <c r="BT97" s="34"/>
      <c r="BU97" s="35"/>
      <c r="BV97" s="36"/>
      <c r="BW97" s="36"/>
      <c r="BX97" s="36"/>
      <c r="BY97" s="34"/>
      <c r="BZ97" s="35"/>
      <c r="CA97" s="36"/>
      <c r="CB97" s="36"/>
      <c r="CC97" s="36"/>
      <c r="CD97" s="34"/>
      <c r="CF97" s="37"/>
    </row>
    <row r="98" spans="2:84" s="119" customFormat="1" hidden="1">
      <c r="B98" s="70" t="s">
        <v>105</v>
      </c>
      <c r="C98" s="120"/>
      <c r="D98" s="92"/>
      <c r="E98" s="92"/>
      <c r="F98" s="92"/>
      <c r="G98" s="121"/>
      <c r="H98" s="120" t="e">
        <f t="shared" ref="H98:AE98" si="48">H46/C46-1</f>
        <v>#DIV/0!</v>
      </c>
      <c r="I98" s="92" t="e">
        <f t="shared" si="48"/>
        <v>#DIV/0!</v>
      </c>
      <c r="J98" s="92" t="e">
        <f t="shared" si="48"/>
        <v>#DIV/0!</v>
      </c>
      <c r="K98" s="92" t="e">
        <f t="shared" si="48"/>
        <v>#DIV/0!</v>
      </c>
      <c r="L98" s="121" t="e">
        <f t="shared" si="48"/>
        <v>#DIV/0!</v>
      </c>
      <c r="M98" s="120" t="e">
        <f t="shared" si="48"/>
        <v>#DIV/0!</v>
      </c>
      <c r="N98" s="92" t="e">
        <f t="shared" si="48"/>
        <v>#DIV/0!</v>
      </c>
      <c r="O98" s="92" t="e">
        <f t="shared" si="48"/>
        <v>#DIV/0!</v>
      </c>
      <c r="P98" s="92" t="e">
        <f t="shared" si="48"/>
        <v>#DIV/0!</v>
      </c>
      <c r="Q98" s="121" t="e">
        <f t="shared" si="48"/>
        <v>#DIV/0!</v>
      </c>
      <c r="R98" s="92" t="e">
        <f t="shared" si="48"/>
        <v>#DIV/0!</v>
      </c>
      <c r="S98" s="92" t="e">
        <f t="shared" si="48"/>
        <v>#DIV/0!</v>
      </c>
      <c r="T98" s="92" t="e">
        <f t="shared" si="48"/>
        <v>#DIV/0!</v>
      </c>
      <c r="U98" s="92" t="e">
        <f t="shared" si="48"/>
        <v>#DIV/0!</v>
      </c>
      <c r="V98" s="121" t="e">
        <f t="shared" si="48"/>
        <v>#DIV/0!</v>
      </c>
      <c r="W98" s="92" t="e">
        <f t="shared" si="48"/>
        <v>#DIV/0!</v>
      </c>
      <c r="X98" s="92" t="e">
        <f t="shared" si="48"/>
        <v>#DIV/0!</v>
      </c>
      <c r="Y98" s="92" t="e">
        <f t="shared" si="48"/>
        <v>#DIV/0!</v>
      </c>
      <c r="Z98" s="92" t="e">
        <f t="shared" si="48"/>
        <v>#DIV/0!</v>
      </c>
      <c r="AA98" s="121" t="e">
        <f t="shared" si="48"/>
        <v>#DIV/0!</v>
      </c>
      <c r="AB98" s="92" t="e">
        <f t="shared" si="48"/>
        <v>#DIV/0!</v>
      </c>
      <c r="AC98" s="92" t="e">
        <f t="shared" si="48"/>
        <v>#DIV/0!</v>
      </c>
      <c r="AD98" s="92" t="e">
        <f t="shared" si="48"/>
        <v>#DIV/0!</v>
      </c>
      <c r="AE98" s="92" t="e">
        <f t="shared" si="48"/>
        <v>#DIV/0!</v>
      </c>
      <c r="AF98" s="121"/>
      <c r="AG98" s="92"/>
      <c r="AH98" s="92"/>
      <c r="AI98" s="92"/>
      <c r="AJ98" s="92"/>
      <c r="AK98" s="121"/>
      <c r="AL98" s="92"/>
      <c r="AM98" s="92"/>
      <c r="AN98" s="92"/>
      <c r="AO98" s="92"/>
      <c r="AP98" s="121"/>
      <c r="AQ98" s="92"/>
      <c r="AR98" s="92"/>
      <c r="AS98" s="92"/>
      <c r="AT98" s="92"/>
      <c r="AU98" s="121"/>
      <c r="AV98" s="92"/>
      <c r="AW98" s="92"/>
      <c r="AX98" s="92"/>
      <c r="AY98" s="92"/>
      <c r="AZ98" s="121"/>
      <c r="BA98" s="175">
        <v>61.713421000000004</v>
      </c>
      <c r="BB98" s="175">
        <v>61.255088999999998</v>
      </c>
      <c r="BC98" s="175">
        <v>62.283977999999998</v>
      </c>
      <c r="BD98" s="175">
        <v>67.882323067200005</v>
      </c>
      <c r="BE98" s="176">
        <f>SUM(BA98:BD98)</f>
        <v>253.13481106720002</v>
      </c>
      <c r="BF98" s="177"/>
      <c r="BG98" s="177"/>
      <c r="BH98" s="177"/>
      <c r="BI98" s="177"/>
      <c r="BJ98" s="176">
        <v>253.24152744358</v>
      </c>
      <c r="BK98" s="177"/>
      <c r="BL98" s="177"/>
      <c r="BM98" s="177"/>
      <c r="BN98" s="177"/>
      <c r="BO98" s="176">
        <v>256.55880439235756</v>
      </c>
      <c r="BP98" s="177"/>
      <c r="BQ98" s="177"/>
      <c r="BR98" s="177"/>
      <c r="BS98" s="177"/>
      <c r="BT98" s="176">
        <v>271.38522385165783</v>
      </c>
      <c r="BU98" s="177"/>
      <c r="BV98" s="177"/>
      <c r="BW98" s="177"/>
      <c r="BX98" s="177"/>
      <c r="BY98" s="176">
        <v>256.55880439235756</v>
      </c>
      <c r="BZ98" s="177"/>
      <c r="CA98" s="177"/>
      <c r="CB98" s="177"/>
      <c r="CC98" s="177"/>
      <c r="CD98" s="176">
        <v>271.38522385165783</v>
      </c>
      <c r="CF98" s="42"/>
    </row>
    <row r="99" spans="2:84" s="119" customFormat="1" hidden="1">
      <c r="B99" s="70" t="s">
        <v>106</v>
      </c>
      <c r="C99" s="120"/>
      <c r="D99" s="92"/>
      <c r="E99" s="92"/>
      <c r="F99" s="92"/>
      <c r="G99" s="121"/>
      <c r="H99" s="120" t="e">
        <f t="shared" ref="H99:AE99" si="49">H50/C50-1</f>
        <v>#DIV/0!</v>
      </c>
      <c r="I99" s="92" t="e">
        <f t="shared" si="49"/>
        <v>#DIV/0!</v>
      </c>
      <c r="J99" s="92" t="e">
        <f t="shared" si="49"/>
        <v>#DIV/0!</v>
      </c>
      <c r="K99" s="92" t="e">
        <f t="shared" si="49"/>
        <v>#DIV/0!</v>
      </c>
      <c r="L99" s="121" t="e">
        <f t="shared" si="49"/>
        <v>#DIV/0!</v>
      </c>
      <c r="M99" s="120" t="e">
        <f t="shared" si="49"/>
        <v>#DIV/0!</v>
      </c>
      <c r="N99" s="92" t="e">
        <f t="shared" si="49"/>
        <v>#DIV/0!</v>
      </c>
      <c r="O99" s="92" t="e">
        <f t="shared" si="49"/>
        <v>#DIV/0!</v>
      </c>
      <c r="P99" s="92" t="e">
        <f t="shared" si="49"/>
        <v>#DIV/0!</v>
      </c>
      <c r="Q99" s="121" t="e">
        <f t="shared" si="49"/>
        <v>#DIV/0!</v>
      </c>
      <c r="R99" s="92" t="e">
        <f t="shared" si="49"/>
        <v>#DIV/0!</v>
      </c>
      <c r="S99" s="92" t="e">
        <f t="shared" si="49"/>
        <v>#DIV/0!</v>
      </c>
      <c r="T99" s="92" t="e">
        <f t="shared" si="49"/>
        <v>#DIV/0!</v>
      </c>
      <c r="U99" s="92" t="e">
        <f t="shared" si="49"/>
        <v>#DIV/0!</v>
      </c>
      <c r="V99" s="121" t="e">
        <f t="shared" si="49"/>
        <v>#DIV/0!</v>
      </c>
      <c r="W99" s="92" t="e">
        <f t="shared" si="49"/>
        <v>#DIV/0!</v>
      </c>
      <c r="X99" s="92" t="e">
        <f t="shared" si="49"/>
        <v>#DIV/0!</v>
      </c>
      <c r="Y99" s="92" t="e">
        <f t="shared" si="49"/>
        <v>#DIV/0!</v>
      </c>
      <c r="Z99" s="92" t="e">
        <f t="shared" si="49"/>
        <v>#DIV/0!</v>
      </c>
      <c r="AA99" s="121" t="e">
        <f t="shared" si="49"/>
        <v>#DIV/0!</v>
      </c>
      <c r="AB99" s="92" t="e">
        <f t="shared" si="49"/>
        <v>#DIV/0!</v>
      </c>
      <c r="AC99" s="92" t="e">
        <f t="shared" si="49"/>
        <v>#DIV/0!</v>
      </c>
      <c r="AD99" s="92" t="e">
        <f t="shared" si="49"/>
        <v>#DIV/0!</v>
      </c>
      <c r="AE99" s="92" t="e">
        <f t="shared" si="49"/>
        <v>#DIV/0!</v>
      </c>
      <c r="AF99" s="121"/>
      <c r="AG99" s="92"/>
      <c r="AH99" s="92"/>
      <c r="AI99" s="92"/>
      <c r="AJ99" s="92"/>
      <c r="AK99" s="121"/>
      <c r="AL99" s="92"/>
      <c r="AM99" s="92"/>
      <c r="AN99" s="92"/>
      <c r="AO99" s="92"/>
      <c r="AP99" s="121"/>
      <c r="AQ99" s="92"/>
      <c r="AR99" s="92"/>
      <c r="AS99" s="92"/>
      <c r="AT99" s="92"/>
      <c r="AU99" s="121"/>
      <c r="AV99" s="92"/>
      <c r="AW99" s="92"/>
      <c r="AX99" s="92"/>
      <c r="AY99" s="92"/>
      <c r="AZ99" s="121"/>
      <c r="BA99" s="175">
        <v>521.37200499999994</v>
      </c>
      <c r="BB99" s="175">
        <v>555.833215</v>
      </c>
      <c r="BC99" s="175">
        <v>530.56722000000002</v>
      </c>
      <c r="BD99" s="175">
        <v>553.11522499200009</v>
      </c>
      <c r="BE99" s="176">
        <f>SUM(BA99:BD99)</f>
        <v>2160.8876649919998</v>
      </c>
      <c r="BF99" s="177"/>
      <c r="BG99" s="177"/>
      <c r="BH99" s="177"/>
      <c r="BI99" s="177"/>
      <c r="BJ99" s="176">
        <v>2142.8129245226</v>
      </c>
      <c r="BK99" s="177"/>
      <c r="BL99" s="177"/>
      <c r="BM99" s="177"/>
      <c r="BN99" s="177"/>
      <c r="BO99" s="176">
        <v>2206.4057177742748</v>
      </c>
      <c r="BP99" s="177"/>
      <c r="BQ99" s="177"/>
      <c r="BR99" s="177"/>
      <c r="BS99" s="177"/>
      <c r="BT99" s="176">
        <v>2279.6358803539256</v>
      </c>
      <c r="BU99" s="177"/>
      <c r="BV99" s="177"/>
      <c r="BW99" s="177"/>
      <c r="BX99" s="177"/>
      <c r="BY99" s="176">
        <v>2206.4057177742748</v>
      </c>
      <c r="BZ99" s="177"/>
      <c r="CA99" s="177"/>
      <c r="CB99" s="177"/>
      <c r="CC99" s="177"/>
      <c r="CD99" s="176">
        <v>2279.6358803539256</v>
      </c>
      <c r="CF99" s="42"/>
    </row>
    <row r="100" spans="2:84" s="119" customFormat="1" hidden="1">
      <c r="B100" s="70"/>
      <c r="C100" s="120"/>
      <c r="D100" s="92"/>
      <c r="E100" s="92"/>
      <c r="F100" s="92"/>
      <c r="G100" s="121"/>
      <c r="H100" s="120" t="e">
        <f t="shared" ref="H100:AE101" si="50">H52/C52-1</f>
        <v>#DIV/0!</v>
      </c>
      <c r="I100" s="92" t="e">
        <f t="shared" si="50"/>
        <v>#DIV/0!</v>
      </c>
      <c r="J100" s="92" t="e">
        <f t="shared" si="50"/>
        <v>#DIV/0!</v>
      </c>
      <c r="K100" s="92" t="e">
        <f t="shared" si="50"/>
        <v>#DIV/0!</v>
      </c>
      <c r="L100" s="121" t="e">
        <f t="shared" si="50"/>
        <v>#DIV/0!</v>
      </c>
      <c r="M100" s="120" t="e">
        <f t="shared" si="50"/>
        <v>#DIV/0!</v>
      </c>
      <c r="N100" s="92" t="e">
        <f t="shared" si="50"/>
        <v>#DIV/0!</v>
      </c>
      <c r="O100" s="92" t="e">
        <f t="shared" si="50"/>
        <v>#DIV/0!</v>
      </c>
      <c r="P100" s="92" t="e">
        <f t="shared" si="50"/>
        <v>#DIV/0!</v>
      </c>
      <c r="Q100" s="121" t="e">
        <f t="shared" si="50"/>
        <v>#DIV/0!</v>
      </c>
      <c r="R100" s="92" t="e">
        <f t="shared" si="50"/>
        <v>#DIV/0!</v>
      </c>
      <c r="S100" s="92" t="e">
        <f t="shared" si="50"/>
        <v>#DIV/0!</v>
      </c>
      <c r="T100" s="92" t="e">
        <f t="shared" si="50"/>
        <v>#DIV/0!</v>
      </c>
      <c r="U100" s="92" t="e">
        <f t="shared" si="50"/>
        <v>#DIV/0!</v>
      </c>
      <c r="V100" s="121" t="e">
        <f t="shared" si="50"/>
        <v>#DIV/0!</v>
      </c>
      <c r="W100" s="92" t="e">
        <f t="shared" si="50"/>
        <v>#DIV/0!</v>
      </c>
      <c r="X100" s="92" t="e">
        <f t="shared" si="50"/>
        <v>#DIV/0!</v>
      </c>
      <c r="Y100" s="92" t="e">
        <f t="shared" si="50"/>
        <v>#DIV/0!</v>
      </c>
      <c r="Z100" s="92" t="e">
        <f t="shared" si="50"/>
        <v>#DIV/0!</v>
      </c>
      <c r="AA100" s="121" t="e">
        <f t="shared" si="50"/>
        <v>#DIV/0!</v>
      </c>
      <c r="AB100" s="92" t="e">
        <f t="shared" si="50"/>
        <v>#DIV/0!</v>
      </c>
      <c r="AC100" s="92" t="e">
        <f t="shared" si="50"/>
        <v>#DIV/0!</v>
      </c>
      <c r="AD100" s="92" t="e">
        <f t="shared" si="50"/>
        <v>#DIV/0!</v>
      </c>
      <c r="AE100" s="92" t="e">
        <f t="shared" si="50"/>
        <v>#DIV/0!</v>
      </c>
      <c r="AF100" s="121"/>
      <c r="AG100" s="92"/>
      <c r="AH100" s="92"/>
      <c r="AI100" s="92"/>
      <c r="AJ100" s="92"/>
      <c r="AK100" s="121"/>
      <c r="AL100" s="92"/>
      <c r="AM100" s="92"/>
      <c r="AN100" s="92"/>
      <c r="AO100" s="92"/>
      <c r="AP100" s="121"/>
      <c r="AQ100" s="92"/>
      <c r="AR100" s="92"/>
      <c r="AS100" s="92"/>
      <c r="AT100" s="92"/>
      <c r="AU100" s="121"/>
      <c r="AV100" s="92"/>
      <c r="AW100" s="92"/>
      <c r="AX100" s="92"/>
      <c r="AY100" s="92"/>
      <c r="AZ100" s="121"/>
      <c r="BA100" s="175"/>
      <c r="BB100" s="175"/>
      <c r="BC100" s="175"/>
      <c r="BD100" s="175"/>
      <c r="BE100" s="176"/>
      <c r="BF100" s="177"/>
      <c r="BG100" s="177"/>
      <c r="BH100" s="177"/>
      <c r="BI100" s="177"/>
      <c r="BJ100" s="176"/>
      <c r="BK100" s="177"/>
      <c r="BL100" s="177"/>
      <c r="BM100" s="177"/>
      <c r="BN100" s="177"/>
      <c r="BO100" s="176"/>
      <c r="BP100" s="177"/>
      <c r="BQ100" s="177"/>
      <c r="BR100" s="177"/>
      <c r="BS100" s="177"/>
      <c r="BT100" s="176"/>
      <c r="BU100" s="177"/>
      <c r="BV100" s="177"/>
      <c r="BW100" s="177"/>
      <c r="BX100" s="177"/>
      <c r="BY100" s="176"/>
      <c r="BZ100" s="177"/>
      <c r="CA100" s="177"/>
      <c r="CB100" s="177"/>
      <c r="CC100" s="177"/>
      <c r="CD100" s="176"/>
      <c r="CF100" s="42"/>
    </row>
    <row r="101" spans="2:84" s="119" customFormat="1" hidden="1">
      <c r="B101" s="70" t="s">
        <v>107</v>
      </c>
      <c r="C101" s="120"/>
      <c r="D101" s="92"/>
      <c r="E101" s="92"/>
      <c r="F101" s="92"/>
      <c r="G101" s="121"/>
      <c r="H101" s="120">
        <f t="shared" si="50"/>
        <v>2.167680340056366E-2</v>
      </c>
      <c r="I101" s="92">
        <f t="shared" si="50"/>
        <v>4.9220411473777759E-2</v>
      </c>
      <c r="J101" s="92">
        <f t="shared" si="50"/>
        <v>-4.307217417677589E-3</v>
      </c>
      <c r="K101" s="92">
        <f t="shared" si="50"/>
        <v>1.7963890326849308E-2</v>
      </c>
      <c r="L101" s="121">
        <f t="shared" si="50"/>
        <v>1.7546049697721333E-2</v>
      </c>
      <c r="M101" s="120">
        <f t="shared" si="50"/>
        <v>-6.0662463735909888E-3</v>
      </c>
      <c r="N101" s="92">
        <f t="shared" si="50"/>
        <v>-3.186537191288441E-2</v>
      </c>
      <c r="O101" s="92">
        <f t="shared" si="50"/>
        <v>-7.8254457032375657E-2</v>
      </c>
      <c r="P101" s="92">
        <f t="shared" si="50"/>
        <v>-0.16150066795008589</v>
      </c>
      <c r="Q101" s="121">
        <f t="shared" si="50"/>
        <v>-7.1800047284562352E-2</v>
      </c>
      <c r="R101" s="120">
        <f t="shared" si="50"/>
        <v>-3.8004236428571758E-2</v>
      </c>
      <c r="S101" s="92">
        <f t="shared" si="50"/>
        <v>4.4883035774686109E-2</v>
      </c>
      <c r="T101" s="92">
        <f t="shared" si="50"/>
        <v>6.8276186054132548E-3</v>
      </c>
      <c r="U101" s="92">
        <f t="shared" si="50"/>
        <v>2.6524390504275797E-2</v>
      </c>
      <c r="V101" s="121">
        <f t="shared" si="50"/>
        <v>6.803955353606117E-3</v>
      </c>
      <c r="W101" s="120">
        <f t="shared" si="50"/>
        <v>-1.3329368061021363E-3</v>
      </c>
      <c r="X101" s="92">
        <f t="shared" si="50"/>
        <v>-2.9923608972921234E-2</v>
      </c>
      <c r="Y101" s="92">
        <f t="shared" si="50"/>
        <v>3.2131070455283295E-2</v>
      </c>
      <c r="Z101" s="92">
        <f t="shared" si="50"/>
        <v>6.0719436901115031E-2</v>
      </c>
      <c r="AA101" s="121">
        <f t="shared" si="50"/>
        <v>1.5373695728692516E-2</v>
      </c>
      <c r="AB101" s="120">
        <f t="shared" si="50"/>
        <v>-1.3097380771466938E-2</v>
      </c>
      <c r="AC101" s="92">
        <f t="shared" si="50"/>
        <v>-1.2145153225570082E-2</v>
      </c>
      <c r="AD101" s="92">
        <f t="shared" si="50"/>
        <v>-7.8730774789859792E-2</v>
      </c>
      <c r="AE101" s="92">
        <f t="shared" si="50"/>
        <v>-8.975605596550329E-2</v>
      </c>
      <c r="AF101" s="121"/>
      <c r="AG101" s="120"/>
      <c r="AH101" s="92"/>
      <c r="AI101" s="92"/>
      <c r="AJ101" s="92"/>
      <c r="AK101" s="121"/>
      <c r="AL101" s="120"/>
      <c r="AM101" s="92"/>
      <c r="AN101" s="92"/>
      <c r="AO101" s="92"/>
      <c r="AP101" s="121"/>
      <c r="AQ101" s="120"/>
      <c r="AR101" s="92"/>
      <c r="AS101" s="92"/>
      <c r="AT101" s="92"/>
      <c r="AU101" s="121"/>
      <c r="AV101" s="120"/>
      <c r="AW101" s="92"/>
      <c r="AX101" s="92"/>
      <c r="AY101" s="92"/>
      <c r="AZ101" s="121"/>
      <c r="BA101" s="178"/>
      <c r="BB101" s="179">
        <v>64</v>
      </c>
      <c r="BC101" s="179">
        <v>64</v>
      </c>
      <c r="BD101" s="179">
        <v>64</v>
      </c>
      <c r="BE101" s="176">
        <f>SUM(BA101:BD101)</f>
        <v>192</v>
      </c>
      <c r="BF101" s="177"/>
      <c r="BG101" s="177"/>
      <c r="BH101" s="177"/>
      <c r="BI101" s="177"/>
      <c r="BJ101" s="180">
        <v>267</v>
      </c>
      <c r="BK101" s="181">
        <f t="shared" ref="BK101:BS101" si="51">0.33*BK103</f>
        <v>0</v>
      </c>
      <c r="BL101" s="181">
        <f t="shared" si="51"/>
        <v>0</v>
      </c>
      <c r="BM101" s="181">
        <f t="shared" si="51"/>
        <v>0</v>
      </c>
      <c r="BN101" s="181">
        <f t="shared" si="51"/>
        <v>0</v>
      </c>
      <c r="BO101" s="180">
        <v>290</v>
      </c>
      <c r="BP101" s="181">
        <f t="shared" si="51"/>
        <v>0</v>
      </c>
      <c r="BQ101" s="181">
        <f t="shared" si="51"/>
        <v>0</v>
      </c>
      <c r="BR101" s="181">
        <f t="shared" si="51"/>
        <v>0</v>
      </c>
      <c r="BS101" s="181">
        <f t="shared" si="51"/>
        <v>0</v>
      </c>
      <c r="BT101" s="180">
        <v>312</v>
      </c>
      <c r="BU101" s="181">
        <f>0.33*BU103</f>
        <v>0</v>
      </c>
      <c r="BV101" s="181">
        <f>0.33*BV103</f>
        <v>0</v>
      </c>
      <c r="BW101" s="181">
        <f>0.33*BW103</f>
        <v>0</v>
      </c>
      <c r="BX101" s="181">
        <f>0.33*BX103</f>
        <v>0</v>
      </c>
      <c r="BY101" s="180">
        <v>290</v>
      </c>
      <c r="BZ101" s="181">
        <f>0.33*BZ103</f>
        <v>0</v>
      </c>
      <c r="CA101" s="181">
        <f>0.33*CA103</f>
        <v>0</v>
      </c>
      <c r="CB101" s="181">
        <f>0.33*CB103</f>
        <v>0</v>
      </c>
      <c r="CC101" s="181">
        <f>0.33*CC103</f>
        <v>0</v>
      </c>
      <c r="CD101" s="180">
        <v>312</v>
      </c>
      <c r="CF101" s="42"/>
    </row>
    <row r="102" spans="2:84" s="119" customFormat="1" hidden="1">
      <c r="B102" s="70" t="s">
        <v>108</v>
      </c>
      <c r="C102" s="120"/>
      <c r="D102" s="92"/>
      <c r="E102" s="92"/>
      <c r="F102" s="92"/>
      <c r="G102" s="121"/>
      <c r="H102" s="120">
        <f>H57/C58-1</f>
        <v>6.1519303120541906</v>
      </c>
      <c r="I102" s="92">
        <f>I57/D58-1</f>
        <v>6.8882341979245805</v>
      </c>
      <c r="J102" s="92">
        <f>J57/E58-1</f>
        <v>5.3306732338464498</v>
      </c>
      <c r="K102" s="92">
        <f>K57/F58-1</f>
        <v>5.1936953607844361</v>
      </c>
      <c r="L102" s="121">
        <f t="shared" ref="L102:AD102" si="52">L57/G57-1</f>
        <v>0.23952546967327804</v>
      </c>
      <c r="M102" s="120">
        <f t="shared" si="52"/>
        <v>0.2165297523233638</v>
      </c>
      <c r="N102" s="92">
        <f t="shared" si="52"/>
        <v>-5.4726140741072737E-2</v>
      </c>
      <c r="O102" s="92">
        <f t="shared" si="52"/>
        <v>-0.26797992517387192</v>
      </c>
      <c r="P102" s="92">
        <f t="shared" si="52"/>
        <v>-0.26647326329183141</v>
      </c>
      <c r="Q102" s="121">
        <f t="shared" si="52"/>
        <v>-0.13571700404198972</v>
      </c>
      <c r="R102" s="92">
        <f t="shared" si="52"/>
        <v>-0.12086726939542192</v>
      </c>
      <c r="S102" s="92">
        <f t="shared" si="52"/>
        <v>5.6337690291299758E-2</v>
      </c>
      <c r="T102" s="92">
        <f t="shared" si="52"/>
        <v>-4.0224392485954108E-2</v>
      </c>
      <c r="U102" s="92">
        <f t="shared" si="52"/>
        <v>-0.14917847106617366</v>
      </c>
      <c r="V102" s="121">
        <f t="shared" si="52"/>
        <v>-7.2233581925788215E-2</v>
      </c>
      <c r="W102" s="92">
        <f t="shared" si="52"/>
        <v>-7.946040816619504E-2</v>
      </c>
      <c r="X102" s="92">
        <f t="shared" si="52"/>
        <v>-0.15730107255215031</v>
      </c>
      <c r="Y102" s="92">
        <f t="shared" si="52"/>
        <v>-0.17426727032717693</v>
      </c>
      <c r="Z102" s="92">
        <f t="shared" si="52"/>
        <v>7.3901623421032347E-2</v>
      </c>
      <c r="AA102" s="121">
        <f t="shared" si="52"/>
        <v>-9.0526079422637018E-2</v>
      </c>
      <c r="AB102" s="92">
        <f t="shared" si="52"/>
        <v>-0.19024882664588538</v>
      </c>
      <c r="AC102" s="92">
        <f t="shared" si="52"/>
        <v>-0.14411877527520811</v>
      </c>
      <c r="AD102" s="92">
        <f t="shared" si="52"/>
        <v>-3.5767725621716675</v>
      </c>
      <c r="AE102" s="92">
        <f>AE58/Z57-1</f>
        <v>-0.76556126360843757</v>
      </c>
      <c r="AF102" s="121"/>
      <c r="AG102" s="92"/>
      <c r="AH102" s="92"/>
      <c r="AI102" s="92"/>
      <c r="AJ102" s="92"/>
      <c r="AK102" s="121"/>
      <c r="AL102" s="92"/>
      <c r="AM102" s="92"/>
      <c r="AN102" s="92"/>
      <c r="AO102" s="92"/>
      <c r="AP102" s="121"/>
      <c r="AQ102" s="92"/>
      <c r="AR102" s="92"/>
      <c r="AS102" s="92"/>
      <c r="AT102" s="92"/>
      <c r="AU102" s="121"/>
      <c r="AV102" s="92"/>
      <c r="AW102" s="92"/>
      <c r="AX102" s="92"/>
      <c r="AY102" s="92"/>
      <c r="AZ102" s="121"/>
      <c r="BA102" s="175"/>
      <c r="BB102" s="175">
        <f>BB103-BB101</f>
        <v>126</v>
      </c>
      <c r="BC102" s="175">
        <f>BC103-BC101</f>
        <v>126</v>
      </c>
      <c r="BD102" s="175">
        <f>BD103-BD101</f>
        <v>126</v>
      </c>
      <c r="BE102" s="176">
        <f>SUM(BA102:BD102)</f>
        <v>378</v>
      </c>
      <c r="BF102" s="177"/>
      <c r="BG102" s="177"/>
      <c r="BH102" s="177"/>
      <c r="BI102" s="177"/>
      <c r="BJ102" s="176">
        <f t="shared" ref="BJ102:CC102" si="53">BJ103-BJ101</f>
        <v>543</v>
      </c>
      <c r="BK102" s="177">
        <f t="shared" si="53"/>
        <v>0</v>
      </c>
      <c r="BL102" s="177">
        <f t="shared" si="53"/>
        <v>0</v>
      </c>
      <c r="BM102" s="177">
        <f t="shared" si="53"/>
        <v>0</v>
      </c>
      <c r="BN102" s="177">
        <f t="shared" si="53"/>
        <v>0</v>
      </c>
      <c r="BO102" s="176">
        <f t="shared" si="53"/>
        <v>584.80000000000007</v>
      </c>
      <c r="BP102" s="177">
        <f t="shared" si="53"/>
        <v>0</v>
      </c>
      <c r="BQ102" s="177">
        <f t="shared" si="53"/>
        <v>0</v>
      </c>
      <c r="BR102" s="177">
        <f t="shared" si="53"/>
        <v>0</v>
      </c>
      <c r="BS102" s="177">
        <f t="shared" si="53"/>
        <v>0</v>
      </c>
      <c r="BT102" s="176">
        <f t="shared" si="53"/>
        <v>632.78400000000011</v>
      </c>
      <c r="BU102" s="177">
        <f t="shared" si="53"/>
        <v>0</v>
      </c>
      <c r="BV102" s="177">
        <f t="shared" si="53"/>
        <v>0</v>
      </c>
      <c r="BW102" s="177">
        <f t="shared" si="53"/>
        <v>0</v>
      </c>
      <c r="BX102" s="177">
        <f t="shared" si="53"/>
        <v>0</v>
      </c>
      <c r="BY102" s="176">
        <f t="shared" si="53"/>
        <v>730.36672000000021</v>
      </c>
      <c r="BZ102" s="177">
        <f t="shared" si="53"/>
        <v>0</v>
      </c>
      <c r="CA102" s="177">
        <f t="shared" si="53"/>
        <v>0</v>
      </c>
      <c r="CB102" s="177">
        <f t="shared" si="53"/>
        <v>0</v>
      </c>
      <c r="CC102" s="177">
        <f t="shared" si="53"/>
        <v>0</v>
      </c>
      <c r="CD102" s="176">
        <f>CD103-CD101</f>
        <v>789.99605760000031</v>
      </c>
      <c r="CF102" s="42"/>
    </row>
    <row r="103" spans="2:84" s="119" customFormat="1" hidden="1">
      <c r="B103" s="70" t="s">
        <v>109</v>
      </c>
      <c r="C103" s="120"/>
      <c r="D103" s="92"/>
      <c r="E103" s="92"/>
      <c r="F103" s="92"/>
      <c r="G103" s="121"/>
      <c r="H103" s="120"/>
      <c r="I103" s="92"/>
      <c r="J103" s="92"/>
      <c r="K103" s="92"/>
      <c r="L103" s="121"/>
      <c r="M103" s="120"/>
      <c r="N103" s="92"/>
      <c r="O103" s="92"/>
      <c r="P103" s="92"/>
      <c r="Q103" s="121"/>
      <c r="R103" s="92"/>
      <c r="S103" s="92"/>
      <c r="T103" s="92"/>
      <c r="U103" s="92"/>
      <c r="V103" s="121"/>
      <c r="W103" s="92"/>
      <c r="X103" s="92"/>
      <c r="Y103" s="92"/>
      <c r="Z103" s="92"/>
      <c r="AA103" s="121"/>
      <c r="AB103" s="92"/>
      <c r="AC103" s="92"/>
      <c r="AD103" s="92"/>
      <c r="AE103" s="92"/>
      <c r="AF103" s="121"/>
      <c r="AG103" s="92"/>
      <c r="AH103" s="92"/>
      <c r="AI103" s="92"/>
      <c r="AJ103" s="92"/>
      <c r="AK103" s="121"/>
      <c r="AL103" s="92"/>
      <c r="AM103" s="92"/>
      <c r="AN103" s="92"/>
      <c r="AO103" s="92"/>
      <c r="AP103" s="121"/>
      <c r="AQ103" s="92"/>
      <c r="AR103" s="92"/>
      <c r="AS103" s="92"/>
      <c r="AT103" s="92"/>
      <c r="AU103" s="121"/>
      <c r="AV103" s="92"/>
      <c r="AW103" s="92"/>
      <c r="AX103" s="92"/>
      <c r="AY103" s="92"/>
      <c r="AZ103" s="121"/>
      <c r="BA103" s="175"/>
      <c r="BB103" s="179">
        <v>190</v>
      </c>
      <c r="BC103" s="179">
        <v>190</v>
      </c>
      <c r="BD103" s="179">
        <v>190</v>
      </c>
      <c r="BE103" s="176">
        <f>SUM(BB103:BD103)</f>
        <v>570</v>
      </c>
      <c r="BF103" s="177"/>
      <c r="BG103" s="177"/>
      <c r="BH103" s="177"/>
      <c r="BI103" s="177"/>
      <c r="BJ103" s="180">
        <f>750*(1.08)</f>
        <v>810</v>
      </c>
      <c r="BK103" s="177"/>
      <c r="BL103" s="177"/>
      <c r="BM103" s="177"/>
      <c r="BN103" s="177"/>
      <c r="BO103" s="176">
        <f>BJ103*(1+BO104)</f>
        <v>874.80000000000007</v>
      </c>
      <c r="BP103" s="177"/>
      <c r="BQ103" s="177"/>
      <c r="BR103" s="177"/>
      <c r="BS103" s="177"/>
      <c r="BT103" s="176">
        <f>BO103*(1+BT104)</f>
        <v>944.78400000000011</v>
      </c>
      <c r="BU103" s="177"/>
      <c r="BV103" s="177"/>
      <c r="BW103" s="177"/>
      <c r="BX103" s="177"/>
      <c r="BY103" s="176">
        <f>BT103*(1+BY104)</f>
        <v>1020.3667200000002</v>
      </c>
      <c r="BZ103" s="177"/>
      <c r="CA103" s="177"/>
      <c r="CB103" s="177"/>
      <c r="CC103" s="177"/>
      <c r="CD103" s="176">
        <f>BY103*(1+CD104)</f>
        <v>1101.9960576000003</v>
      </c>
      <c r="CF103" s="42"/>
    </row>
    <row r="104" spans="2:84" s="119" customFormat="1" hidden="1">
      <c r="B104" s="70" t="s">
        <v>110</v>
      </c>
      <c r="C104" s="120"/>
      <c r="D104" s="92"/>
      <c r="E104" s="92"/>
      <c r="F104" s="92"/>
      <c r="G104" s="121"/>
      <c r="H104" s="120"/>
      <c r="I104" s="92"/>
      <c r="J104" s="92"/>
      <c r="K104" s="92"/>
      <c r="L104" s="121"/>
      <c r="M104" s="120"/>
      <c r="N104" s="92"/>
      <c r="O104" s="92"/>
      <c r="P104" s="92"/>
      <c r="Q104" s="121"/>
      <c r="R104" s="92"/>
      <c r="S104" s="92"/>
      <c r="T104" s="92"/>
      <c r="U104" s="92"/>
      <c r="V104" s="121"/>
      <c r="W104" s="92"/>
      <c r="X104" s="92"/>
      <c r="Y104" s="92"/>
      <c r="Z104" s="92"/>
      <c r="AA104" s="121"/>
      <c r="AB104" s="92"/>
      <c r="AC104" s="92"/>
      <c r="AD104" s="92"/>
      <c r="AE104" s="92"/>
      <c r="AF104" s="121"/>
      <c r="AG104" s="92"/>
      <c r="AH104" s="92"/>
      <c r="AI104" s="92"/>
      <c r="AJ104" s="92"/>
      <c r="AK104" s="121"/>
      <c r="AL104" s="92"/>
      <c r="AM104" s="92"/>
      <c r="AN104" s="92"/>
      <c r="AO104" s="92"/>
      <c r="AP104" s="121"/>
      <c r="AQ104" s="92"/>
      <c r="AR104" s="92"/>
      <c r="AS104" s="92"/>
      <c r="AT104" s="92"/>
      <c r="AU104" s="121"/>
      <c r="AV104" s="92"/>
      <c r="AW104" s="92"/>
      <c r="AX104" s="92"/>
      <c r="AY104" s="92"/>
      <c r="AZ104" s="121"/>
      <c r="BA104" s="175"/>
      <c r="BB104" s="175"/>
      <c r="BC104" s="175"/>
      <c r="BD104" s="175"/>
      <c r="BE104" s="176"/>
      <c r="BF104" s="177"/>
      <c r="BG104" s="177"/>
      <c r="BH104" s="177"/>
      <c r="BI104" s="177"/>
      <c r="BJ104" s="182"/>
      <c r="BK104" s="183"/>
      <c r="BL104" s="183"/>
      <c r="BM104" s="183"/>
      <c r="BN104" s="183"/>
      <c r="BO104" s="184">
        <v>0.08</v>
      </c>
      <c r="BP104" s="185"/>
      <c r="BQ104" s="185"/>
      <c r="BR104" s="185"/>
      <c r="BS104" s="185"/>
      <c r="BT104" s="184">
        <v>0.08</v>
      </c>
      <c r="BU104" s="183"/>
      <c r="BV104" s="183"/>
      <c r="BW104" s="183"/>
      <c r="BX104" s="183"/>
      <c r="BY104" s="184">
        <v>0.08</v>
      </c>
      <c r="BZ104" s="185"/>
      <c r="CA104" s="185"/>
      <c r="CB104" s="185"/>
      <c r="CC104" s="185"/>
      <c r="CD104" s="184">
        <v>0.08</v>
      </c>
      <c r="CF104" s="42"/>
    </row>
    <row r="105" spans="2:84" s="119" customFormat="1" hidden="1">
      <c r="B105" s="70"/>
      <c r="C105" s="120"/>
      <c r="D105" s="92"/>
      <c r="E105" s="92"/>
      <c r="F105" s="92"/>
      <c r="G105" s="121"/>
      <c r="H105" s="120"/>
      <c r="I105" s="92"/>
      <c r="J105" s="92"/>
      <c r="K105" s="92"/>
      <c r="L105" s="121"/>
      <c r="M105" s="120"/>
      <c r="N105" s="92"/>
      <c r="O105" s="92"/>
      <c r="P105" s="92"/>
      <c r="Q105" s="121"/>
      <c r="R105" s="92"/>
      <c r="S105" s="92"/>
      <c r="T105" s="92"/>
      <c r="U105" s="92"/>
      <c r="V105" s="121"/>
      <c r="W105" s="92"/>
      <c r="X105" s="92"/>
      <c r="Y105" s="92"/>
      <c r="Z105" s="92"/>
      <c r="AA105" s="121"/>
      <c r="AB105" s="92"/>
      <c r="AC105" s="92"/>
      <c r="AD105" s="92"/>
      <c r="AE105" s="92"/>
      <c r="AF105" s="121"/>
      <c r="AG105" s="92"/>
      <c r="AH105" s="92"/>
      <c r="AI105" s="92"/>
      <c r="AJ105" s="92"/>
      <c r="AK105" s="121"/>
      <c r="AL105" s="92"/>
      <c r="AM105" s="92"/>
      <c r="AN105" s="92"/>
      <c r="AO105" s="92"/>
      <c r="AP105" s="121"/>
      <c r="AQ105" s="92"/>
      <c r="AR105" s="92"/>
      <c r="AS105" s="92"/>
      <c r="AT105" s="92"/>
      <c r="AU105" s="121"/>
      <c r="AV105" s="92"/>
      <c r="AW105" s="92"/>
      <c r="AX105" s="92"/>
      <c r="AY105" s="92"/>
      <c r="AZ105" s="121"/>
      <c r="BA105" s="175"/>
      <c r="BB105" s="186"/>
      <c r="BC105" s="175"/>
      <c r="BD105" s="186"/>
      <c r="BE105" s="176"/>
      <c r="BF105" s="177"/>
      <c r="BG105" s="177"/>
      <c r="BH105" s="177"/>
      <c r="BI105" s="177"/>
      <c r="BJ105" s="176"/>
      <c r="BK105" s="177"/>
      <c r="BL105" s="177"/>
      <c r="BM105" s="177"/>
      <c r="BN105" s="177"/>
      <c r="BO105" s="180"/>
      <c r="BP105" s="181"/>
      <c r="BQ105" s="181"/>
      <c r="BR105" s="181"/>
      <c r="BS105" s="181"/>
      <c r="BT105" s="180"/>
      <c r="BU105" s="177"/>
      <c r="BV105" s="177"/>
      <c r="BW105" s="177"/>
      <c r="BX105" s="177"/>
      <c r="BY105" s="180"/>
      <c r="BZ105" s="181"/>
      <c r="CA105" s="181"/>
      <c r="CB105" s="181"/>
      <c r="CC105" s="181"/>
      <c r="CD105" s="180"/>
      <c r="CF105" s="42"/>
    </row>
    <row r="106" spans="2:84" s="119" customFormat="1" hidden="1">
      <c r="B106" s="70" t="s">
        <v>111</v>
      </c>
      <c r="C106" s="120"/>
      <c r="D106" s="92"/>
      <c r="E106" s="92"/>
      <c r="F106" s="92"/>
      <c r="G106" s="121"/>
      <c r="H106" s="120"/>
      <c r="I106" s="92"/>
      <c r="J106" s="92"/>
      <c r="K106" s="92"/>
      <c r="L106" s="121"/>
      <c r="M106" s="120"/>
      <c r="N106" s="92"/>
      <c r="O106" s="92"/>
      <c r="P106" s="92"/>
      <c r="Q106" s="121"/>
      <c r="R106" s="92"/>
      <c r="S106" s="92"/>
      <c r="T106" s="92"/>
      <c r="U106" s="92"/>
      <c r="V106" s="121"/>
      <c r="W106" s="92"/>
      <c r="X106" s="92"/>
      <c r="Y106" s="92"/>
      <c r="Z106" s="92"/>
      <c r="AA106" s="121"/>
      <c r="AB106" s="92"/>
      <c r="AC106" s="92"/>
      <c r="AD106" s="92"/>
      <c r="AE106" s="92"/>
      <c r="AF106" s="121"/>
      <c r="AG106" s="92"/>
      <c r="AH106" s="92"/>
      <c r="AI106" s="92"/>
      <c r="AJ106" s="92"/>
      <c r="AK106" s="121"/>
      <c r="AL106" s="92"/>
      <c r="AM106" s="92"/>
      <c r="AN106" s="92"/>
      <c r="AO106" s="92"/>
      <c r="AP106" s="121"/>
      <c r="AQ106" s="92"/>
      <c r="AR106" s="92"/>
      <c r="AS106" s="92"/>
      <c r="AT106" s="92"/>
      <c r="AU106" s="121"/>
      <c r="AV106" s="92"/>
      <c r="AW106" s="92"/>
      <c r="AX106" s="92"/>
      <c r="AY106" s="92"/>
      <c r="AZ106" s="121"/>
      <c r="BA106" s="175"/>
      <c r="BB106" s="179">
        <v>40</v>
      </c>
      <c r="BC106" s="179">
        <v>41</v>
      </c>
      <c r="BD106" s="179">
        <v>42</v>
      </c>
      <c r="BE106" s="176">
        <f>SUM(BA106:BD106)</f>
        <v>123</v>
      </c>
      <c r="BF106" s="177"/>
      <c r="BG106" s="177"/>
      <c r="BH106" s="177"/>
      <c r="BI106" s="177"/>
      <c r="BJ106" s="180">
        <v>160</v>
      </c>
      <c r="BK106" s="181"/>
      <c r="BL106" s="181"/>
      <c r="BM106" s="181"/>
      <c r="BN106" s="181"/>
      <c r="BO106" s="180">
        <v>160</v>
      </c>
      <c r="BP106" s="181"/>
      <c r="BQ106" s="181"/>
      <c r="BR106" s="181"/>
      <c r="BS106" s="181"/>
      <c r="BT106" s="180">
        <v>160</v>
      </c>
      <c r="BU106" s="181"/>
      <c r="BV106" s="181"/>
      <c r="BW106" s="181"/>
      <c r="BX106" s="181"/>
      <c r="BY106" s="180">
        <v>160</v>
      </c>
      <c r="BZ106" s="181"/>
      <c r="CA106" s="181"/>
      <c r="CB106" s="181"/>
      <c r="CC106" s="181"/>
      <c r="CD106" s="180">
        <v>160</v>
      </c>
      <c r="CF106" s="42"/>
    </row>
    <row r="107" spans="2:84" s="119" customFormat="1" hidden="1">
      <c r="B107" s="70" t="s">
        <v>112</v>
      </c>
      <c r="C107" s="120"/>
      <c r="D107" s="92"/>
      <c r="E107" s="92"/>
      <c r="F107" s="92"/>
      <c r="G107" s="121"/>
      <c r="H107" s="120"/>
      <c r="I107" s="92"/>
      <c r="J107" s="92"/>
      <c r="K107" s="92"/>
      <c r="L107" s="121"/>
      <c r="M107" s="120"/>
      <c r="N107" s="92"/>
      <c r="O107" s="92"/>
      <c r="P107" s="92"/>
      <c r="Q107" s="121"/>
      <c r="R107" s="92"/>
      <c r="S107" s="92"/>
      <c r="T107" s="92"/>
      <c r="U107" s="92"/>
      <c r="V107" s="121"/>
      <c r="W107" s="92"/>
      <c r="X107" s="92"/>
      <c r="Y107" s="92"/>
      <c r="Z107" s="92"/>
      <c r="AA107" s="121"/>
      <c r="AB107" s="92"/>
      <c r="AC107" s="92"/>
      <c r="AD107" s="92"/>
      <c r="AE107" s="92"/>
      <c r="AF107" s="121"/>
      <c r="AG107" s="92"/>
      <c r="AH107" s="92"/>
      <c r="AI107" s="92"/>
      <c r="AJ107" s="92"/>
      <c r="AK107" s="121"/>
      <c r="AL107" s="92"/>
      <c r="AM107" s="92"/>
      <c r="AN107" s="92"/>
      <c r="AO107" s="92"/>
      <c r="AP107" s="121"/>
      <c r="AQ107" s="92"/>
      <c r="AR107" s="92"/>
      <c r="AS107" s="92"/>
      <c r="AT107" s="92"/>
      <c r="AU107" s="121"/>
      <c r="AV107" s="92"/>
      <c r="AW107" s="92"/>
      <c r="AX107" s="92"/>
      <c r="AY107" s="92"/>
      <c r="AZ107" s="121"/>
      <c r="BA107" s="175"/>
      <c r="BB107" s="175">
        <f>BB108-BB106</f>
        <v>85</v>
      </c>
      <c r="BC107" s="175">
        <f>BC108-BC106</f>
        <v>86</v>
      </c>
      <c r="BD107" s="175">
        <f>BD108-BD106</f>
        <v>90</v>
      </c>
      <c r="BE107" s="176">
        <f>SUM(BA107:BD107)</f>
        <v>261</v>
      </c>
      <c r="BF107" s="177"/>
      <c r="BG107" s="177"/>
      <c r="BH107" s="177"/>
      <c r="BI107" s="177"/>
      <c r="BJ107" s="176">
        <f t="shared" ref="BJ107:CC107" si="54">BJ108-BJ106</f>
        <v>370</v>
      </c>
      <c r="BK107" s="177">
        <f t="shared" si="54"/>
        <v>0</v>
      </c>
      <c r="BL107" s="177">
        <f t="shared" si="54"/>
        <v>0</v>
      </c>
      <c r="BM107" s="177">
        <f t="shared" si="54"/>
        <v>0</v>
      </c>
      <c r="BN107" s="177">
        <f t="shared" si="54"/>
        <v>0</v>
      </c>
      <c r="BO107" s="176">
        <f t="shared" si="54"/>
        <v>370</v>
      </c>
      <c r="BP107" s="177">
        <f t="shared" si="54"/>
        <v>0</v>
      </c>
      <c r="BQ107" s="177">
        <f t="shared" si="54"/>
        <v>0</v>
      </c>
      <c r="BR107" s="177">
        <f t="shared" si="54"/>
        <v>0</v>
      </c>
      <c r="BS107" s="177">
        <f t="shared" si="54"/>
        <v>0</v>
      </c>
      <c r="BT107" s="176">
        <f t="shared" si="54"/>
        <v>370</v>
      </c>
      <c r="BU107" s="177">
        <f t="shared" si="54"/>
        <v>0</v>
      </c>
      <c r="BV107" s="177">
        <f t="shared" si="54"/>
        <v>0</v>
      </c>
      <c r="BW107" s="177">
        <f t="shared" si="54"/>
        <v>0</v>
      </c>
      <c r="BX107" s="177">
        <f t="shared" si="54"/>
        <v>0</v>
      </c>
      <c r="BY107" s="176">
        <f t="shared" si="54"/>
        <v>370</v>
      </c>
      <c r="BZ107" s="177">
        <f t="shared" si="54"/>
        <v>0</v>
      </c>
      <c r="CA107" s="177">
        <f t="shared" si="54"/>
        <v>0</v>
      </c>
      <c r="CB107" s="177">
        <f t="shared" si="54"/>
        <v>0</v>
      </c>
      <c r="CC107" s="177">
        <f t="shared" si="54"/>
        <v>0</v>
      </c>
      <c r="CD107" s="176">
        <f>CD108-CD106</f>
        <v>370</v>
      </c>
      <c r="CF107" s="42"/>
    </row>
    <row r="108" spans="2:84" s="119" customFormat="1" hidden="1">
      <c r="B108" s="70" t="s">
        <v>113</v>
      </c>
      <c r="C108" s="120"/>
      <c r="D108" s="92"/>
      <c r="E108" s="92"/>
      <c r="F108" s="92"/>
      <c r="G108" s="121"/>
      <c r="H108" s="120"/>
      <c r="I108" s="92"/>
      <c r="J108" s="92"/>
      <c r="K108" s="92"/>
      <c r="L108" s="121"/>
      <c r="M108" s="120"/>
      <c r="N108" s="92"/>
      <c r="O108" s="92"/>
      <c r="P108" s="92"/>
      <c r="Q108" s="121"/>
      <c r="R108" s="92"/>
      <c r="S108" s="92"/>
      <c r="T108" s="92"/>
      <c r="U108" s="92"/>
      <c r="V108" s="121"/>
      <c r="W108" s="92"/>
      <c r="X108" s="92"/>
      <c r="Y108" s="92"/>
      <c r="Z108" s="92"/>
      <c r="AA108" s="121"/>
      <c r="AB108" s="92"/>
      <c r="AC108" s="92"/>
      <c r="AD108" s="92"/>
      <c r="AE108" s="92"/>
      <c r="AF108" s="121"/>
      <c r="AG108" s="92"/>
      <c r="AH108" s="92"/>
      <c r="AI108" s="92"/>
      <c r="AJ108" s="92"/>
      <c r="AK108" s="121"/>
      <c r="AL108" s="92"/>
      <c r="AM108" s="92"/>
      <c r="AN108" s="92"/>
      <c r="AO108" s="92"/>
      <c r="AP108" s="121"/>
      <c r="AQ108" s="92"/>
      <c r="AR108" s="92"/>
      <c r="AS108" s="92"/>
      <c r="AT108" s="92"/>
      <c r="AU108" s="121"/>
      <c r="AV108" s="92"/>
      <c r="AW108" s="92"/>
      <c r="AX108" s="92"/>
      <c r="AY108" s="92"/>
      <c r="AZ108" s="121"/>
      <c r="BA108" s="175"/>
      <c r="BB108" s="179">
        <v>125</v>
      </c>
      <c r="BC108" s="179">
        <v>127</v>
      </c>
      <c r="BD108" s="179">
        <v>132</v>
      </c>
      <c r="BE108" s="176">
        <f>SUM(BB108:BD108)</f>
        <v>384</v>
      </c>
      <c r="BF108" s="177"/>
      <c r="BG108" s="177"/>
      <c r="BH108" s="177"/>
      <c r="BI108" s="177"/>
      <c r="BJ108" s="180">
        <v>530</v>
      </c>
      <c r="BK108" s="181"/>
      <c r="BL108" s="181"/>
      <c r="BM108" s="181"/>
      <c r="BN108" s="181"/>
      <c r="BO108" s="180">
        <v>530</v>
      </c>
      <c r="BP108" s="181"/>
      <c r="BQ108" s="181"/>
      <c r="BR108" s="181"/>
      <c r="BS108" s="181"/>
      <c r="BT108" s="180">
        <v>530</v>
      </c>
      <c r="BU108" s="181"/>
      <c r="BV108" s="181"/>
      <c r="BW108" s="181"/>
      <c r="BX108" s="181"/>
      <c r="BY108" s="180">
        <v>530</v>
      </c>
      <c r="BZ108" s="181"/>
      <c r="CA108" s="181"/>
      <c r="CB108" s="181"/>
      <c r="CC108" s="181"/>
      <c r="CD108" s="180">
        <v>530</v>
      </c>
      <c r="CF108" s="42"/>
    </row>
    <row r="109" spans="2:84" s="119" customFormat="1" hidden="1">
      <c r="B109" s="70"/>
      <c r="C109" s="120"/>
      <c r="D109" s="92"/>
      <c r="E109" s="92"/>
      <c r="F109" s="92"/>
      <c r="G109" s="121"/>
      <c r="H109" s="120"/>
      <c r="I109" s="92"/>
      <c r="J109" s="92"/>
      <c r="K109" s="92"/>
      <c r="L109" s="121"/>
      <c r="M109" s="120"/>
      <c r="N109" s="92"/>
      <c r="O109" s="92"/>
      <c r="P109" s="92"/>
      <c r="Q109" s="121"/>
      <c r="R109" s="92"/>
      <c r="S109" s="92"/>
      <c r="T109" s="92"/>
      <c r="U109" s="92"/>
      <c r="V109" s="121"/>
      <c r="W109" s="92"/>
      <c r="X109" s="92"/>
      <c r="Y109" s="92"/>
      <c r="Z109" s="92"/>
      <c r="AA109" s="121"/>
      <c r="AB109" s="92"/>
      <c r="AC109" s="92"/>
      <c r="AD109" s="92"/>
      <c r="AE109" s="92"/>
      <c r="AF109" s="121"/>
      <c r="AG109" s="92"/>
      <c r="AH109" s="92"/>
      <c r="AI109" s="92"/>
      <c r="AJ109" s="92"/>
      <c r="AK109" s="121"/>
      <c r="AL109" s="92"/>
      <c r="AM109" s="92"/>
      <c r="AN109" s="92"/>
      <c r="AO109" s="92"/>
      <c r="AP109" s="121"/>
      <c r="AQ109" s="92"/>
      <c r="AR109" s="92"/>
      <c r="AS109" s="92"/>
      <c r="AT109" s="92"/>
      <c r="AU109" s="121"/>
      <c r="AV109" s="92"/>
      <c r="AW109" s="92"/>
      <c r="AX109" s="92"/>
      <c r="AY109" s="92"/>
      <c r="AZ109" s="121"/>
      <c r="BA109" s="175"/>
      <c r="BB109" s="175"/>
      <c r="BC109" s="175"/>
      <c r="BD109" s="175"/>
      <c r="BE109" s="176"/>
      <c r="BF109" s="177"/>
      <c r="BG109" s="177"/>
      <c r="BH109" s="177"/>
      <c r="BI109" s="177"/>
      <c r="BJ109" s="176"/>
      <c r="BK109" s="177"/>
      <c r="BL109" s="177"/>
      <c r="BM109" s="177"/>
      <c r="BN109" s="177"/>
      <c r="BO109" s="176"/>
      <c r="BP109" s="177"/>
      <c r="BQ109" s="177"/>
      <c r="BR109" s="177"/>
      <c r="BS109" s="177"/>
      <c r="BT109" s="176"/>
      <c r="BU109" s="177"/>
      <c r="BV109" s="177"/>
      <c r="BW109" s="177"/>
      <c r="BX109" s="177"/>
      <c r="BY109" s="176"/>
      <c r="BZ109" s="177"/>
      <c r="CA109" s="177"/>
      <c r="CB109" s="177"/>
      <c r="CC109" s="177"/>
      <c r="CD109" s="176"/>
      <c r="CF109" s="42"/>
    </row>
    <row r="110" spans="2:84" s="119" customFormat="1" hidden="1">
      <c r="B110" s="70" t="s">
        <v>114</v>
      </c>
      <c r="C110" s="120"/>
      <c r="D110" s="92"/>
      <c r="E110" s="92"/>
      <c r="F110" s="92"/>
      <c r="G110" s="121"/>
      <c r="H110" s="120"/>
      <c r="I110" s="92"/>
      <c r="J110" s="92"/>
      <c r="K110" s="92"/>
      <c r="L110" s="121"/>
      <c r="M110" s="120"/>
      <c r="N110" s="92"/>
      <c r="O110" s="92"/>
      <c r="P110" s="92"/>
      <c r="Q110" s="121"/>
      <c r="R110" s="92"/>
      <c r="S110" s="92"/>
      <c r="T110" s="92"/>
      <c r="U110" s="92"/>
      <c r="V110" s="121"/>
      <c r="W110" s="92"/>
      <c r="X110" s="92"/>
      <c r="Y110" s="92"/>
      <c r="Z110" s="92"/>
      <c r="AA110" s="121"/>
      <c r="AB110" s="92"/>
      <c r="AC110" s="92"/>
      <c r="AD110" s="92"/>
      <c r="AE110" s="92"/>
      <c r="AF110" s="121"/>
      <c r="AG110" s="92"/>
      <c r="AH110" s="92"/>
      <c r="AI110" s="92"/>
      <c r="AJ110" s="92"/>
      <c r="AK110" s="121"/>
      <c r="AL110" s="92"/>
      <c r="AM110" s="92"/>
      <c r="AN110" s="92"/>
      <c r="AO110" s="92"/>
      <c r="AP110" s="121"/>
      <c r="AQ110" s="92"/>
      <c r="AR110" s="92"/>
      <c r="AS110" s="92"/>
      <c r="AT110" s="92"/>
      <c r="AU110" s="121"/>
      <c r="AV110" s="92"/>
      <c r="AW110" s="92"/>
      <c r="AX110" s="92"/>
      <c r="AY110" s="92"/>
      <c r="AZ110" s="121"/>
      <c r="BA110" s="175"/>
      <c r="BB110" s="179">
        <v>9</v>
      </c>
      <c r="BC110" s="179">
        <v>8</v>
      </c>
      <c r="BD110" s="179">
        <v>7</v>
      </c>
      <c r="BE110" s="176">
        <f>SUM(BA110:BD110)</f>
        <v>24</v>
      </c>
      <c r="BF110" s="177"/>
      <c r="BG110" s="177"/>
      <c r="BH110" s="177"/>
      <c r="BI110" s="177"/>
      <c r="BJ110" s="187">
        <v>25</v>
      </c>
      <c r="BK110" s="181"/>
      <c r="BL110" s="181"/>
      <c r="BM110" s="181"/>
      <c r="BN110" s="181"/>
      <c r="BO110" s="180">
        <v>25</v>
      </c>
      <c r="BP110" s="181"/>
      <c r="BQ110" s="181"/>
      <c r="BR110" s="181"/>
      <c r="BS110" s="181"/>
      <c r="BT110" s="180">
        <v>25</v>
      </c>
      <c r="BU110" s="181"/>
      <c r="BV110" s="181"/>
      <c r="BW110" s="181"/>
      <c r="BX110" s="181"/>
      <c r="BY110" s="180">
        <v>25</v>
      </c>
      <c r="BZ110" s="181"/>
      <c r="CA110" s="181"/>
      <c r="CB110" s="181"/>
      <c r="CC110" s="181"/>
      <c r="CD110" s="180">
        <v>25</v>
      </c>
      <c r="CF110" s="42"/>
    </row>
    <row r="111" spans="2:84" s="119" customFormat="1" hidden="1">
      <c r="B111" s="70" t="s">
        <v>115</v>
      </c>
      <c r="C111" s="120"/>
      <c r="D111" s="92"/>
      <c r="E111" s="92"/>
      <c r="F111" s="92"/>
      <c r="G111" s="121"/>
      <c r="H111" s="120"/>
      <c r="I111" s="92"/>
      <c r="J111" s="92"/>
      <c r="K111" s="92"/>
      <c r="L111" s="121"/>
      <c r="M111" s="120"/>
      <c r="N111" s="92"/>
      <c r="O111" s="92"/>
      <c r="P111" s="92"/>
      <c r="Q111" s="121"/>
      <c r="R111" s="92"/>
      <c r="S111" s="92"/>
      <c r="T111" s="92"/>
      <c r="U111" s="92"/>
      <c r="V111" s="121"/>
      <c r="W111" s="92"/>
      <c r="X111" s="92"/>
      <c r="Y111" s="92"/>
      <c r="Z111" s="92"/>
      <c r="AA111" s="121"/>
      <c r="AB111" s="92"/>
      <c r="AC111" s="92"/>
      <c r="AD111" s="92"/>
      <c r="AE111" s="92"/>
      <c r="AF111" s="121"/>
      <c r="AG111" s="92"/>
      <c r="AH111" s="92"/>
      <c r="AI111" s="92"/>
      <c r="AJ111" s="92"/>
      <c r="AK111" s="121"/>
      <c r="AL111" s="92"/>
      <c r="AM111" s="92"/>
      <c r="AN111" s="92"/>
      <c r="AO111" s="92"/>
      <c r="AP111" s="121"/>
      <c r="AQ111" s="92"/>
      <c r="AR111" s="92"/>
      <c r="AS111" s="92"/>
      <c r="AT111" s="92"/>
      <c r="AU111" s="121"/>
      <c r="AV111" s="92"/>
      <c r="AW111" s="92"/>
      <c r="AX111" s="92"/>
      <c r="AY111" s="92"/>
      <c r="AZ111" s="121"/>
      <c r="BA111" s="175"/>
      <c r="BB111" s="175">
        <f>BB112-BB110</f>
        <v>26</v>
      </c>
      <c r="BC111" s="175">
        <f>BC112-BC110</f>
        <v>22</v>
      </c>
      <c r="BD111" s="175">
        <f>BD112-BD110</f>
        <v>18</v>
      </c>
      <c r="BE111" s="176">
        <f>SUM(BA111:BD111)</f>
        <v>66</v>
      </c>
      <c r="BF111" s="177"/>
      <c r="BG111" s="177"/>
      <c r="BH111" s="177"/>
      <c r="BI111" s="177"/>
      <c r="BJ111" s="188">
        <f>BJ112-BJ110</f>
        <v>75</v>
      </c>
      <c r="BK111" s="177"/>
      <c r="BL111" s="177"/>
      <c r="BM111" s="177"/>
      <c r="BN111" s="177"/>
      <c r="BO111" s="176">
        <f>BO112-BO110</f>
        <v>75</v>
      </c>
      <c r="BP111" s="177"/>
      <c r="BQ111" s="177"/>
      <c r="BR111" s="177"/>
      <c r="BS111" s="177"/>
      <c r="BT111" s="176">
        <f>BT112-BT110</f>
        <v>75</v>
      </c>
      <c r="BU111" s="177"/>
      <c r="BV111" s="177"/>
      <c r="BW111" s="177"/>
      <c r="BX111" s="177"/>
      <c r="BY111" s="176">
        <f>BY112-BY110</f>
        <v>75</v>
      </c>
      <c r="BZ111" s="177"/>
      <c r="CA111" s="177"/>
      <c r="CB111" s="177"/>
      <c r="CC111" s="177"/>
      <c r="CD111" s="176">
        <f>CD112-CD110</f>
        <v>75</v>
      </c>
      <c r="CF111" s="42"/>
    </row>
    <row r="112" spans="2:84" s="119" customFormat="1" hidden="1">
      <c r="B112" s="70" t="s">
        <v>116</v>
      </c>
      <c r="C112" s="120"/>
      <c r="D112" s="92"/>
      <c r="E112" s="92"/>
      <c r="F112" s="92"/>
      <c r="G112" s="121"/>
      <c r="H112" s="120"/>
      <c r="I112" s="92"/>
      <c r="J112" s="92"/>
      <c r="K112" s="92"/>
      <c r="L112" s="121"/>
      <c r="M112" s="120"/>
      <c r="N112" s="92"/>
      <c r="O112" s="92"/>
      <c r="P112" s="92"/>
      <c r="Q112" s="121"/>
      <c r="R112" s="92"/>
      <c r="S112" s="92"/>
      <c r="T112" s="92"/>
      <c r="U112" s="92"/>
      <c r="V112" s="121"/>
      <c r="W112" s="92"/>
      <c r="X112" s="92"/>
      <c r="Y112" s="92"/>
      <c r="Z112" s="92"/>
      <c r="AA112" s="121"/>
      <c r="AB112" s="92"/>
      <c r="AC112" s="92"/>
      <c r="AD112" s="92"/>
      <c r="AE112" s="92"/>
      <c r="AF112" s="121"/>
      <c r="AG112" s="92"/>
      <c r="AH112" s="92"/>
      <c r="AI112" s="92"/>
      <c r="AJ112" s="92"/>
      <c r="AK112" s="121"/>
      <c r="AL112" s="92"/>
      <c r="AM112" s="92"/>
      <c r="AN112" s="92"/>
      <c r="AO112" s="92"/>
      <c r="AP112" s="121"/>
      <c r="AQ112" s="92"/>
      <c r="AR112" s="92"/>
      <c r="AS112" s="92"/>
      <c r="AT112" s="92"/>
      <c r="AU112" s="121"/>
      <c r="AV112" s="92"/>
      <c r="AW112" s="92"/>
      <c r="AX112" s="92"/>
      <c r="AY112" s="92"/>
      <c r="AZ112" s="121"/>
      <c r="BA112" s="175"/>
      <c r="BB112" s="179">
        <v>35</v>
      </c>
      <c r="BC112" s="179">
        <v>30</v>
      </c>
      <c r="BD112" s="179">
        <v>25</v>
      </c>
      <c r="BE112" s="176">
        <f>SUM(BB112:BD112)</f>
        <v>90</v>
      </c>
      <c r="BF112" s="177"/>
      <c r="BG112" s="177"/>
      <c r="BH112" s="177"/>
      <c r="BI112" s="177"/>
      <c r="BJ112" s="187">
        <v>100</v>
      </c>
      <c r="BK112" s="181"/>
      <c r="BL112" s="181"/>
      <c r="BM112" s="181"/>
      <c r="BN112" s="181"/>
      <c r="BO112" s="180">
        <v>100</v>
      </c>
      <c r="BP112" s="181"/>
      <c r="BQ112" s="181"/>
      <c r="BR112" s="181"/>
      <c r="BS112" s="181"/>
      <c r="BT112" s="180">
        <v>100</v>
      </c>
      <c r="BU112" s="181"/>
      <c r="BV112" s="181"/>
      <c r="BW112" s="181"/>
      <c r="BX112" s="181"/>
      <c r="BY112" s="180">
        <v>100</v>
      </c>
      <c r="BZ112" s="181"/>
      <c r="CA112" s="181"/>
      <c r="CB112" s="181"/>
      <c r="CC112" s="181"/>
      <c r="CD112" s="180">
        <v>100</v>
      </c>
      <c r="CF112" s="42"/>
    </row>
    <row r="113" spans="2:84" s="119" customFormat="1" hidden="1">
      <c r="B113" s="70"/>
      <c r="C113" s="120"/>
      <c r="D113" s="92"/>
      <c r="E113" s="92"/>
      <c r="F113" s="92"/>
      <c r="G113" s="121"/>
      <c r="H113" s="120"/>
      <c r="I113" s="92"/>
      <c r="J113" s="92"/>
      <c r="K113" s="92"/>
      <c r="L113" s="121"/>
      <c r="M113" s="120"/>
      <c r="N113" s="92"/>
      <c r="O113" s="92"/>
      <c r="P113" s="92"/>
      <c r="Q113" s="121"/>
      <c r="R113" s="92"/>
      <c r="S113" s="92"/>
      <c r="T113" s="92"/>
      <c r="U113" s="92"/>
      <c r="V113" s="121"/>
      <c r="W113" s="92"/>
      <c r="X113" s="92"/>
      <c r="Y113" s="92"/>
      <c r="Z113" s="92"/>
      <c r="AA113" s="121"/>
      <c r="AB113" s="92"/>
      <c r="AC113" s="92"/>
      <c r="AD113" s="92"/>
      <c r="AE113" s="92"/>
      <c r="AF113" s="121"/>
      <c r="AG113" s="92"/>
      <c r="AH113" s="92"/>
      <c r="AI113" s="92"/>
      <c r="AJ113" s="92"/>
      <c r="AK113" s="121"/>
      <c r="AL113" s="92"/>
      <c r="AM113" s="92"/>
      <c r="AN113" s="92"/>
      <c r="AO113" s="92"/>
      <c r="AP113" s="121"/>
      <c r="AQ113" s="92"/>
      <c r="AR113" s="92"/>
      <c r="AS113" s="92"/>
      <c r="AT113" s="92"/>
      <c r="AU113" s="121"/>
      <c r="AV113" s="92"/>
      <c r="AW113" s="92"/>
      <c r="AX113" s="92"/>
      <c r="AY113" s="92"/>
      <c r="AZ113" s="121"/>
      <c r="BA113" s="175"/>
      <c r="BB113" s="175"/>
      <c r="BC113" s="175"/>
      <c r="BD113" s="175"/>
      <c r="BE113" s="176"/>
      <c r="BF113" s="177"/>
      <c r="BG113" s="177"/>
      <c r="BH113" s="177"/>
      <c r="BI113" s="177"/>
      <c r="BJ113" s="176"/>
      <c r="BK113" s="177"/>
      <c r="BL113" s="177"/>
      <c r="BM113" s="177"/>
      <c r="BN113" s="177"/>
      <c r="BO113" s="176"/>
      <c r="BP113" s="177"/>
      <c r="BQ113" s="177"/>
      <c r="BR113" s="177"/>
      <c r="BS113" s="177"/>
      <c r="BT113" s="176"/>
      <c r="BU113" s="177"/>
      <c r="BV113" s="177"/>
      <c r="BW113" s="177"/>
      <c r="BX113" s="177"/>
      <c r="BY113" s="176"/>
      <c r="BZ113" s="177"/>
      <c r="CA113" s="177"/>
      <c r="CB113" s="177"/>
      <c r="CC113" s="177"/>
      <c r="CD113" s="176"/>
      <c r="CF113" s="42"/>
    </row>
    <row r="114" spans="2:84" s="119" customFormat="1" hidden="1">
      <c r="B114" s="70" t="s">
        <v>117</v>
      </c>
      <c r="C114" s="120"/>
      <c r="D114" s="92"/>
      <c r="E114" s="92"/>
      <c r="F114" s="92"/>
      <c r="G114" s="121"/>
      <c r="H114" s="120"/>
      <c r="I114" s="92"/>
      <c r="J114" s="92"/>
      <c r="K114" s="92"/>
      <c r="L114" s="121"/>
      <c r="M114" s="120"/>
      <c r="N114" s="92"/>
      <c r="O114" s="92"/>
      <c r="P114" s="92"/>
      <c r="Q114" s="121"/>
      <c r="R114" s="92"/>
      <c r="S114" s="92"/>
      <c r="T114" s="92"/>
      <c r="U114" s="92"/>
      <c r="V114" s="121"/>
      <c r="W114" s="92"/>
      <c r="X114" s="92"/>
      <c r="Y114" s="92"/>
      <c r="Z114" s="92"/>
      <c r="AA114" s="121"/>
      <c r="AB114" s="92"/>
      <c r="AC114" s="92"/>
      <c r="AD114" s="92"/>
      <c r="AE114" s="92"/>
      <c r="AF114" s="121"/>
      <c r="AG114" s="92"/>
      <c r="AH114" s="92"/>
      <c r="AI114" s="92"/>
      <c r="AJ114" s="92"/>
      <c r="AK114" s="121"/>
      <c r="AL114" s="92"/>
      <c r="AM114" s="92"/>
      <c r="AN114" s="92"/>
      <c r="AO114" s="92"/>
      <c r="AP114" s="121"/>
      <c r="AQ114" s="92"/>
      <c r="AR114" s="92"/>
      <c r="AS114" s="92"/>
      <c r="AT114" s="92"/>
      <c r="AU114" s="121"/>
      <c r="AV114" s="92"/>
      <c r="AW114" s="92"/>
      <c r="AX114" s="92"/>
      <c r="AY114" s="92"/>
      <c r="AZ114" s="121"/>
      <c r="BA114" s="175">
        <f t="shared" ref="BA114:CD115" si="55">BA98+BA101-BA106+BA110</f>
        <v>61.713421000000004</v>
      </c>
      <c r="BB114" s="175">
        <f t="shared" si="55"/>
        <v>94.255088999999998</v>
      </c>
      <c r="BC114" s="175">
        <f t="shared" si="55"/>
        <v>93.283977999999991</v>
      </c>
      <c r="BD114" s="175">
        <f t="shared" si="55"/>
        <v>96.882323067199991</v>
      </c>
      <c r="BE114" s="176">
        <f t="shared" si="55"/>
        <v>346.13481106720002</v>
      </c>
      <c r="BF114" s="177">
        <f t="shared" si="55"/>
        <v>0</v>
      </c>
      <c r="BG114" s="177">
        <f t="shared" si="55"/>
        <v>0</v>
      </c>
      <c r="BH114" s="177">
        <f t="shared" si="55"/>
        <v>0</v>
      </c>
      <c r="BI114" s="177">
        <f t="shared" si="55"/>
        <v>0</v>
      </c>
      <c r="BJ114" s="176">
        <f t="shared" si="55"/>
        <v>385.24152744358003</v>
      </c>
      <c r="BK114" s="177">
        <f t="shared" si="55"/>
        <v>0</v>
      </c>
      <c r="BL114" s="177">
        <f t="shared" si="55"/>
        <v>0</v>
      </c>
      <c r="BM114" s="177">
        <f t="shared" si="55"/>
        <v>0</v>
      </c>
      <c r="BN114" s="177">
        <f t="shared" si="55"/>
        <v>0</v>
      </c>
      <c r="BO114" s="176">
        <f t="shared" si="55"/>
        <v>411.55880439235762</v>
      </c>
      <c r="BP114" s="177">
        <f t="shared" si="55"/>
        <v>0</v>
      </c>
      <c r="BQ114" s="177">
        <f t="shared" si="55"/>
        <v>0</v>
      </c>
      <c r="BR114" s="177">
        <f t="shared" si="55"/>
        <v>0</v>
      </c>
      <c r="BS114" s="177">
        <f t="shared" si="55"/>
        <v>0</v>
      </c>
      <c r="BT114" s="176">
        <f t="shared" si="55"/>
        <v>448.38522385165788</v>
      </c>
      <c r="BU114" s="177">
        <f t="shared" si="55"/>
        <v>0</v>
      </c>
      <c r="BV114" s="177">
        <f t="shared" si="55"/>
        <v>0</v>
      </c>
      <c r="BW114" s="177">
        <f t="shared" si="55"/>
        <v>0</v>
      </c>
      <c r="BX114" s="177">
        <f t="shared" si="55"/>
        <v>0</v>
      </c>
      <c r="BY114" s="176">
        <f t="shared" si="55"/>
        <v>411.55880439235762</v>
      </c>
      <c r="BZ114" s="177">
        <f t="shared" si="55"/>
        <v>0</v>
      </c>
      <c r="CA114" s="177">
        <f t="shared" si="55"/>
        <v>0</v>
      </c>
      <c r="CB114" s="177">
        <f t="shared" si="55"/>
        <v>0</v>
      </c>
      <c r="CC114" s="177">
        <f t="shared" si="55"/>
        <v>0</v>
      </c>
      <c r="CD114" s="176">
        <f t="shared" si="55"/>
        <v>448.38522385165788</v>
      </c>
      <c r="CF114" s="42"/>
    </row>
    <row r="115" spans="2:84" s="119" customFormat="1" hidden="1">
      <c r="B115" s="70" t="s">
        <v>118</v>
      </c>
      <c r="C115" s="120"/>
      <c r="D115" s="92"/>
      <c r="E115" s="92"/>
      <c r="F115" s="92"/>
      <c r="G115" s="121"/>
      <c r="H115" s="120"/>
      <c r="I115" s="92"/>
      <c r="J115" s="92"/>
      <c r="K115" s="92"/>
      <c r="L115" s="121"/>
      <c r="M115" s="120"/>
      <c r="N115" s="92"/>
      <c r="O115" s="92"/>
      <c r="P115" s="92"/>
      <c r="Q115" s="121"/>
      <c r="R115" s="92"/>
      <c r="S115" s="92"/>
      <c r="T115" s="92"/>
      <c r="U115" s="92"/>
      <c r="V115" s="121"/>
      <c r="W115" s="92"/>
      <c r="X115" s="92"/>
      <c r="Y115" s="92"/>
      <c r="Z115" s="92"/>
      <c r="AA115" s="121"/>
      <c r="AB115" s="92"/>
      <c r="AC115" s="92"/>
      <c r="AD115" s="92"/>
      <c r="AE115" s="92"/>
      <c r="AF115" s="121"/>
      <c r="AG115" s="92"/>
      <c r="AH115" s="92"/>
      <c r="AI115" s="92"/>
      <c r="AJ115" s="92"/>
      <c r="AK115" s="121"/>
      <c r="AL115" s="92"/>
      <c r="AM115" s="92"/>
      <c r="AN115" s="92"/>
      <c r="AO115" s="92"/>
      <c r="AP115" s="121"/>
      <c r="AQ115" s="92"/>
      <c r="AR115" s="92"/>
      <c r="AS115" s="92"/>
      <c r="AT115" s="92"/>
      <c r="AU115" s="121"/>
      <c r="AV115" s="92"/>
      <c r="AW115" s="92"/>
      <c r="AX115" s="92"/>
      <c r="AY115" s="92"/>
      <c r="AZ115" s="121"/>
      <c r="BA115" s="175">
        <f t="shared" si="55"/>
        <v>521.37200499999994</v>
      </c>
      <c r="BB115" s="175">
        <f t="shared" si="55"/>
        <v>622.833215</v>
      </c>
      <c r="BC115" s="175">
        <f t="shared" si="55"/>
        <v>592.56722000000002</v>
      </c>
      <c r="BD115" s="175">
        <f t="shared" si="55"/>
        <v>607.11522499200009</v>
      </c>
      <c r="BE115" s="176">
        <f t="shared" si="55"/>
        <v>2343.8876649919998</v>
      </c>
      <c r="BF115" s="177">
        <f t="shared" si="55"/>
        <v>0</v>
      </c>
      <c r="BG115" s="177">
        <f t="shared" si="55"/>
        <v>0</v>
      </c>
      <c r="BH115" s="177">
        <f t="shared" si="55"/>
        <v>0</v>
      </c>
      <c r="BI115" s="177">
        <f t="shared" si="55"/>
        <v>0</v>
      </c>
      <c r="BJ115" s="176">
        <f t="shared" si="55"/>
        <v>2390.8129245226</v>
      </c>
      <c r="BK115" s="177">
        <f t="shared" si="55"/>
        <v>0</v>
      </c>
      <c r="BL115" s="177">
        <f t="shared" si="55"/>
        <v>0</v>
      </c>
      <c r="BM115" s="177">
        <f t="shared" si="55"/>
        <v>0</v>
      </c>
      <c r="BN115" s="177">
        <f t="shared" si="55"/>
        <v>0</v>
      </c>
      <c r="BO115" s="176">
        <f t="shared" si="55"/>
        <v>2496.2057177742749</v>
      </c>
      <c r="BP115" s="177">
        <f t="shared" si="55"/>
        <v>0</v>
      </c>
      <c r="BQ115" s="177">
        <f t="shared" si="55"/>
        <v>0</v>
      </c>
      <c r="BR115" s="177">
        <f t="shared" si="55"/>
        <v>0</v>
      </c>
      <c r="BS115" s="177">
        <f t="shared" si="55"/>
        <v>0</v>
      </c>
      <c r="BT115" s="176">
        <f t="shared" si="55"/>
        <v>2617.4198803539257</v>
      </c>
      <c r="BU115" s="177">
        <f t="shared" si="55"/>
        <v>0</v>
      </c>
      <c r="BV115" s="177">
        <f t="shared" si="55"/>
        <v>0</v>
      </c>
      <c r="BW115" s="177">
        <f t="shared" si="55"/>
        <v>0</v>
      </c>
      <c r="BX115" s="177">
        <f t="shared" si="55"/>
        <v>0</v>
      </c>
      <c r="BY115" s="176">
        <f t="shared" si="55"/>
        <v>2641.7724377742752</v>
      </c>
      <c r="BZ115" s="177">
        <f t="shared" si="55"/>
        <v>0</v>
      </c>
      <c r="CA115" s="177">
        <f t="shared" si="55"/>
        <v>0</v>
      </c>
      <c r="CB115" s="177">
        <f t="shared" si="55"/>
        <v>0</v>
      </c>
      <c r="CC115" s="177">
        <f t="shared" si="55"/>
        <v>0</v>
      </c>
      <c r="CD115" s="176">
        <f t="shared" si="55"/>
        <v>2774.6319379539259</v>
      </c>
      <c r="CF115" s="42"/>
    </row>
    <row r="116" spans="2:84" s="119" customFormat="1" hidden="1">
      <c r="B116" s="70"/>
      <c r="C116" s="120"/>
      <c r="D116" s="92"/>
      <c r="E116" s="92"/>
      <c r="F116" s="92"/>
      <c r="G116" s="121"/>
      <c r="H116" s="120"/>
      <c r="I116" s="92"/>
      <c r="J116" s="92"/>
      <c r="K116" s="92"/>
      <c r="L116" s="121"/>
      <c r="M116" s="120"/>
      <c r="N116" s="92"/>
      <c r="O116" s="92"/>
      <c r="P116" s="92"/>
      <c r="Q116" s="121"/>
      <c r="R116" s="92"/>
      <c r="S116" s="92"/>
      <c r="T116" s="92"/>
      <c r="U116" s="92"/>
      <c r="V116" s="121"/>
      <c r="W116" s="92"/>
      <c r="X116" s="92"/>
      <c r="Y116" s="92"/>
      <c r="Z116" s="92"/>
      <c r="AA116" s="121"/>
      <c r="AB116" s="92"/>
      <c r="AC116" s="92"/>
      <c r="AD116" s="92"/>
      <c r="AE116" s="92"/>
      <c r="AF116" s="121"/>
      <c r="AG116" s="92"/>
      <c r="AH116" s="92"/>
      <c r="AI116" s="92"/>
      <c r="AJ116" s="92"/>
      <c r="AK116" s="121"/>
      <c r="AL116" s="92"/>
      <c r="AM116" s="92"/>
      <c r="AN116" s="92"/>
      <c r="AO116" s="92"/>
      <c r="AP116" s="121"/>
      <c r="AQ116" s="92"/>
      <c r="AR116" s="92"/>
      <c r="AS116" s="92"/>
      <c r="AT116" s="92"/>
      <c r="AU116" s="121"/>
      <c r="AV116" s="92"/>
      <c r="AW116" s="92"/>
      <c r="AX116" s="92"/>
      <c r="AY116" s="92"/>
      <c r="AZ116" s="121"/>
      <c r="BA116" s="175"/>
      <c r="BB116" s="175"/>
      <c r="BC116" s="175"/>
      <c r="BD116" s="175"/>
      <c r="BE116" s="176"/>
      <c r="BF116" s="177"/>
      <c r="BG116" s="177"/>
      <c r="BH116" s="177"/>
      <c r="BI116" s="177"/>
      <c r="BJ116" s="176"/>
      <c r="BK116" s="177"/>
      <c r="BL116" s="177"/>
      <c r="BM116" s="177"/>
      <c r="BN116" s="177"/>
      <c r="BO116" s="176"/>
      <c r="BP116" s="177"/>
      <c r="BQ116" s="177"/>
      <c r="BR116" s="177"/>
      <c r="BS116" s="177"/>
      <c r="BT116" s="176"/>
      <c r="BU116" s="177"/>
      <c r="BV116" s="177"/>
      <c r="BW116" s="177"/>
      <c r="BX116" s="177"/>
      <c r="BY116" s="176"/>
      <c r="BZ116" s="177"/>
      <c r="CA116" s="177"/>
      <c r="CB116" s="177"/>
      <c r="CC116" s="177"/>
      <c r="CD116" s="176"/>
      <c r="CF116" s="42"/>
    </row>
    <row r="117" spans="2:84" s="119" customFormat="1" hidden="1">
      <c r="B117" s="70" t="s">
        <v>119</v>
      </c>
      <c r="C117" s="120"/>
      <c r="D117" s="92"/>
      <c r="E117" s="92"/>
      <c r="F117" s="92"/>
      <c r="G117" s="121"/>
      <c r="H117" s="120" t="e">
        <f>H69/C70-1</f>
        <v>#DIV/0!</v>
      </c>
      <c r="I117" s="92" t="e">
        <f>I69/D70-1</f>
        <v>#DIV/0!</v>
      </c>
      <c r="J117" s="92" t="e">
        <f>J69/E70-1</f>
        <v>#DIV/0!</v>
      </c>
      <c r="K117" s="92" t="e">
        <f>K69/F70-1</f>
        <v>#DIV/0!</v>
      </c>
      <c r="L117" s="121" t="e">
        <f t="shared" ref="L117:AD117" si="56">L69/G69-1</f>
        <v>#DIV/0!</v>
      </c>
      <c r="M117" s="120" t="e">
        <f t="shared" si="56"/>
        <v>#DIV/0!</v>
      </c>
      <c r="N117" s="92" t="e">
        <f t="shared" si="56"/>
        <v>#DIV/0!</v>
      </c>
      <c r="O117" s="92" t="e">
        <f t="shared" si="56"/>
        <v>#DIV/0!</v>
      </c>
      <c r="P117" s="92" t="e">
        <f t="shared" si="56"/>
        <v>#DIV/0!</v>
      </c>
      <c r="Q117" s="121" t="e">
        <f t="shared" si="56"/>
        <v>#DIV/0!</v>
      </c>
      <c r="R117" s="92" t="e">
        <f t="shared" si="56"/>
        <v>#DIV/0!</v>
      </c>
      <c r="S117" s="92" t="e">
        <f t="shared" si="56"/>
        <v>#DIV/0!</v>
      </c>
      <c r="T117" s="92" t="e">
        <f t="shared" si="56"/>
        <v>#DIV/0!</v>
      </c>
      <c r="U117" s="92" t="e">
        <f t="shared" si="56"/>
        <v>#DIV/0!</v>
      </c>
      <c r="V117" s="121" t="e">
        <f t="shared" si="56"/>
        <v>#DIV/0!</v>
      </c>
      <c r="W117" s="92" t="e">
        <f t="shared" si="56"/>
        <v>#DIV/0!</v>
      </c>
      <c r="X117" s="92" t="e">
        <f t="shared" si="56"/>
        <v>#DIV/0!</v>
      </c>
      <c r="Y117" s="92" t="e">
        <f t="shared" si="56"/>
        <v>#DIV/0!</v>
      </c>
      <c r="Z117" s="92" t="e">
        <f t="shared" si="56"/>
        <v>#DIV/0!</v>
      </c>
      <c r="AA117" s="121" t="e">
        <f t="shared" si="56"/>
        <v>#DIV/0!</v>
      </c>
      <c r="AB117" s="92" t="e">
        <f t="shared" si="56"/>
        <v>#DIV/0!</v>
      </c>
      <c r="AC117" s="92" t="e">
        <f t="shared" si="56"/>
        <v>#DIV/0!</v>
      </c>
      <c r="AD117" s="92" t="e">
        <f t="shared" si="56"/>
        <v>#DIV/0!</v>
      </c>
      <c r="AE117" s="92" t="e">
        <f>AE70/Z69-1</f>
        <v>#DIV/0!</v>
      </c>
      <c r="AF117" s="121"/>
      <c r="AG117" s="92"/>
      <c r="AH117" s="92"/>
      <c r="AI117" s="92"/>
      <c r="AJ117" s="92"/>
      <c r="AK117" s="121"/>
      <c r="AL117" s="92"/>
      <c r="AM117" s="92"/>
      <c r="AN117" s="92"/>
      <c r="AO117" s="92"/>
      <c r="AP117" s="121"/>
      <c r="AQ117" s="92"/>
      <c r="AR117" s="92"/>
      <c r="AS117" s="92"/>
      <c r="AT117" s="92"/>
      <c r="AU117" s="121"/>
      <c r="AV117" s="92"/>
      <c r="AW117" s="92"/>
      <c r="AX117" s="92"/>
      <c r="AY117" s="92"/>
      <c r="AZ117" s="121"/>
      <c r="BA117" s="175">
        <f>BA14</f>
        <v>55.5</v>
      </c>
      <c r="BB117" s="175">
        <f>BB14</f>
        <v>80.699999999999989</v>
      </c>
      <c r="BC117" s="175">
        <f>BC14</f>
        <v>101.3</v>
      </c>
      <c r="BD117" s="175">
        <f>BD14</f>
        <v>95.5</v>
      </c>
      <c r="BE117" s="176">
        <f t="shared" ref="BE117:CD118" si="57">BE14</f>
        <v>333</v>
      </c>
      <c r="BF117" s="177">
        <f t="shared" si="57"/>
        <v>107.06832000000001</v>
      </c>
      <c r="BG117" s="177">
        <f t="shared" si="57"/>
        <v>104.238218</v>
      </c>
      <c r="BH117" s="177">
        <f t="shared" si="57"/>
        <v>101.81761199999998</v>
      </c>
      <c r="BI117" s="177">
        <f t="shared" si="57"/>
        <v>99.530541000000014</v>
      </c>
      <c r="BJ117" s="176">
        <f t="shared" si="57"/>
        <v>412.65469100000001</v>
      </c>
      <c r="BK117" s="177">
        <f t="shared" si="57"/>
        <v>0</v>
      </c>
      <c r="BL117" s="177">
        <f t="shared" si="57"/>
        <v>0</v>
      </c>
      <c r="BM117" s="177">
        <f t="shared" si="57"/>
        <v>0</v>
      </c>
      <c r="BN117" s="177">
        <f t="shared" si="57"/>
        <v>0</v>
      </c>
      <c r="BO117" s="176">
        <f t="shared" si="57"/>
        <v>410.92530570000008</v>
      </c>
      <c r="BP117" s="177">
        <f t="shared" si="57"/>
        <v>0</v>
      </c>
      <c r="BQ117" s="177">
        <f t="shared" si="57"/>
        <v>0</v>
      </c>
      <c r="BR117" s="177">
        <f t="shared" si="57"/>
        <v>0</v>
      </c>
      <c r="BS117" s="177">
        <f t="shared" si="57"/>
        <v>0</v>
      </c>
      <c r="BT117" s="176">
        <f t="shared" si="57"/>
        <v>410.77118156910001</v>
      </c>
      <c r="BU117" s="177">
        <f t="shared" si="57"/>
        <v>0</v>
      </c>
      <c r="BV117" s="177">
        <f t="shared" si="57"/>
        <v>0</v>
      </c>
      <c r="BW117" s="177">
        <f t="shared" si="57"/>
        <v>0</v>
      </c>
      <c r="BX117" s="177">
        <f t="shared" si="57"/>
        <v>0</v>
      </c>
      <c r="BY117" s="176">
        <f t="shared" si="57"/>
        <v>408.7461497916691</v>
      </c>
      <c r="BZ117" s="177">
        <f t="shared" si="57"/>
        <v>0</v>
      </c>
      <c r="CA117" s="177">
        <f t="shared" si="57"/>
        <v>0</v>
      </c>
      <c r="CB117" s="177">
        <f t="shared" si="57"/>
        <v>0</v>
      </c>
      <c r="CC117" s="177">
        <f t="shared" si="57"/>
        <v>0</v>
      </c>
      <c r="CD117" s="176">
        <f t="shared" si="57"/>
        <v>412.88178984166893</v>
      </c>
      <c r="CF117" s="42"/>
    </row>
    <row r="118" spans="2:84" s="119" customFormat="1" hidden="1">
      <c r="B118" s="90" t="s">
        <v>120</v>
      </c>
      <c r="C118" s="133"/>
      <c r="D118" s="134"/>
      <c r="E118" s="134"/>
      <c r="F118" s="134"/>
      <c r="G118" s="135"/>
      <c r="H118" s="133"/>
      <c r="I118" s="134"/>
      <c r="J118" s="134"/>
      <c r="K118" s="134"/>
      <c r="L118" s="135"/>
      <c r="M118" s="133"/>
      <c r="N118" s="134"/>
      <c r="O118" s="134"/>
      <c r="P118" s="134"/>
      <c r="Q118" s="135"/>
      <c r="R118" s="134"/>
      <c r="S118" s="134"/>
      <c r="T118" s="134"/>
      <c r="U118" s="134"/>
      <c r="V118" s="135"/>
      <c r="W118" s="134"/>
      <c r="X118" s="134"/>
      <c r="Y118" s="134"/>
      <c r="Z118" s="134"/>
      <c r="AA118" s="135"/>
      <c r="AB118" s="134"/>
      <c r="AC118" s="134"/>
      <c r="AD118" s="134"/>
      <c r="AE118" s="134" t="e">
        <f>AE76/Z76-1</f>
        <v>#DIV/0!</v>
      </c>
      <c r="AF118" s="135"/>
      <c r="AG118" s="134"/>
      <c r="AH118" s="134"/>
      <c r="AI118" s="134"/>
      <c r="AJ118" s="134"/>
      <c r="AK118" s="135"/>
      <c r="AL118" s="134"/>
      <c r="AM118" s="134"/>
      <c r="AN118" s="134"/>
      <c r="AO118" s="134"/>
      <c r="AP118" s="135"/>
      <c r="AQ118" s="134"/>
      <c r="AR118" s="134"/>
      <c r="AS118" s="134"/>
      <c r="AT118" s="134"/>
      <c r="AU118" s="135"/>
      <c r="AV118" s="134"/>
      <c r="AW118" s="134"/>
      <c r="AX118" s="134"/>
      <c r="AY118" s="134"/>
      <c r="AZ118" s="135"/>
      <c r="BA118" s="189">
        <f t="shared" ref="BA118:BT118" si="58">BA15</f>
        <v>564.79999999999995</v>
      </c>
      <c r="BB118" s="189">
        <f>BB15</f>
        <v>689.9</v>
      </c>
      <c r="BC118" s="189">
        <f>BC15</f>
        <v>673.7</v>
      </c>
      <c r="BD118" s="189">
        <f>BD15</f>
        <v>677.9</v>
      </c>
      <c r="BE118" s="190">
        <f t="shared" si="58"/>
        <v>2606.2999999999997</v>
      </c>
      <c r="BF118" s="177">
        <f t="shared" si="58"/>
        <v>713.78880000000004</v>
      </c>
      <c r="BG118" s="177">
        <f t="shared" si="58"/>
        <v>685.77775000000008</v>
      </c>
      <c r="BH118" s="177">
        <f t="shared" si="58"/>
        <v>678.7840799999999</v>
      </c>
      <c r="BI118" s="177">
        <f t="shared" si="58"/>
        <v>678.61732500000005</v>
      </c>
      <c r="BJ118" s="190">
        <f t="shared" si="58"/>
        <v>2756.9679550000001</v>
      </c>
      <c r="BK118" s="177">
        <f t="shared" si="58"/>
        <v>0</v>
      </c>
      <c r="BL118" s="177">
        <f t="shared" si="58"/>
        <v>0</v>
      </c>
      <c r="BM118" s="177">
        <f t="shared" si="58"/>
        <v>0</v>
      </c>
      <c r="BN118" s="177">
        <f t="shared" si="58"/>
        <v>0</v>
      </c>
      <c r="BO118" s="190">
        <f t="shared" si="58"/>
        <v>2935.1807550000003</v>
      </c>
      <c r="BP118" s="177">
        <f t="shared" si="58"/>
        <v>0</v>
      </c>
      <c r="BQ118" s="177">
        <f t="shared" si="58"/>
        <v>0</v>
      </c>
      <c r="BR118" s="177">
        <f t="shared" si="58"/>
        <v>0</v>
      </c>
      <c r="BS118" s="177">
        <f t="shared" si="58"/>
        <v>0</v>
      </c>
      <c r="BT118" s="190">
        <f t="shared" si="58"/>
        <v>3087.0076675495998</v>
      </c>
      <c r="BU118" s="177">
        <f t="shared" si="57"/>
        <v>0</v>
      </c>
      <c r="BV118" s="177">
        <f t="shared" si="57"/>
        <v>0</v>
      </c>
      <c r="BW118" s="177">
        <f t="shared" si="57"/>
        <v>0</v>
      </c>
      <c r="BX118" s="177">
        <f t="shared" si="57"/>
        <v>0</v>
      </c>
      <c r="BY118" s="190">
        <f t="shared" si="57"/>
        <v>3230.4131193212556</v>
      </c>
      <c r="BZ118" s="177">
        <f t="shared" si="57"/>
        <v>0</v>
      </c>
      <c r="CA118" s="177">
        <f t="shared" si="57"/>
        <v>0</v>
      </c>
      <c r="CB118" s="177">
        <f t="shared" si="57"/>
        <v>0</v>
      </c>
      <c r="CC118" s="177">
        <f t="shared" si="57"/>
        <v>0</v>
      </c>
      <c r="CD118" s="190">
        <f t="shared" si="57"/>
        <v>3371.8679503736294</v>
      </c>
      <c r="CF118" s="136"/>
    </row>
    <row r="119" spans="2:84" s="28" customFormat="1" ht="12" hidden="1" customHeight="1"/>
    <row r="120" spans="2:84" s="28" customFormat="1" ht="12" hidden="1" customHeight="1">
      <c r="BA120" s="28">
        <f>SUM(BA114:BA115)</f>
        <v>583.08542599999998</v>
      </c>
      <c r="BB120" s="28">
        <f t="shared" ref="BB120:CD120" si="59">SUM(BB114:BB115)</f>
        <v>717.08830399999999</v>
      </c>
      <c r="BC120" s="28">
        <f t="shared" si="59"/>
        <v>685.85119800000007</v>
      </c>
      <c r="BD120" s="28">
        <f t="shared" si="59"/>
        <v>703.99754805920008</v>
      </c>
      <c r="BE120" s="28">
        <f t="shared" si="59"/>
        <v>2690.0224760592</v>
      </c>
      <c r="BF120" s="28">
        <f t="shared" si="59"/>
        <v>0</v>
      </c>
      <c r="BG120" s="28">
        <f t="shared" si="59"/>
        <v>0</v>
      </c>
      <c r="BH120" s="28">
        <f t="shared" si="59"/>
        <v>0</v>
      </c>
      <c r="BI120" s="28">
        <f t="shared" si="59"/>
        <v>0</v>
      </c>
      <c r="BJ120" s="28">
        <f t="shared" si="59"/>
        <v>2776.0544519661798</v>
      </c>
      <c r="BK120" s="28">
        <f t="shared" si="59"/>
        <v>0</v>
      </c>
      <c r="BL120" s="28">
        <f t="shared" si="59"/>
        <v>0</v>
      </c>
      <c r="BM120" s="28">
        <f t="shared" si="59"/>
        <v>0</v>
      </c>
      <c r="BN120" s="28">
        <f t="shared" si="59"/>
        <v>0</v>
      </c>
      <c r="BO120" s="28">
        <f t="shared" si="59"/>
        <v>2907.7645221666326</v>
      </c>
      <c r="BP120" s="28">
        <f t="shared" si="59"/>
        <v>0</v>
      </c>
      <c r="BQ120" s="28">
        <f t="shared" si="59"/>
        <v>0</v>
      </c>
      <c r="BR120" s="28">
        <f t="shared" si="59"/>
        <v>0</v>
      </c>
      <c r="BS120" s="28">
        <f t="shared" si="59"/>
        <v>0</v>
      </c>
      <c r="BT120" s="28">
        <f t="shared" si="59"/>
        <v>3065.8051042055836</v>
      </c>
      <c r="BU120" s="28">
        <f t="shared" si="59"/>
        <v>0</v>
      </c>
      <c r="BV120" s="28">
        <f t="shared" si="59"/>
        <v>0</v>
      </c>
      <c r="BW120" s="28">
        <f t="shared" si="59"/>
        <v>0</v>
      </c>
      <c r="BX120" s="28">
        <f t="shared" si="59"/>
        <v>0</v>
      </c>
      <c r="BY120" s="28">
        <f t="shared" si="59"/>
        <v>3053.3312421666328</v>
      </c>
      <c r="BZ120" s="28">
        <f t="shared" si="59"/>
        <v>0</v>
      </c>
      <c r="CA120" s="28">
        <f t="shared" si="59"/>
        <v>0</v>
      </c>
      <c r="CB120" s="28">
        <f t="shared" si="59"/>
        <v>0</v>
      </c>
      <c r="CC120" s="28">
        <f t="shared" si="59"/>
        <v>0</v>
      </c>
      <c r="CD120" s="28">
        <f t="shared" si="59"/>
        <v>3223.0171618055838</v>
      </c>
    </row>
    <row r="121" spans="2:84" s="28" customFormat="1" ht="12" hidden="1" customHeight="1">
      <c r="BA121" s="28">
        <f>SUM(BA117:BA118)</f>
        <v>620.29999999999995</v>
      </c>
      <c r="BB121" s="28">
        <f t="shared" ref="BB121:CD121" si="60">SUM(BB117:BB118)</f>
        <v>770.59999999999991</v>
      </c>
      <c r="BC121" s="28">
        <f t="shared" si="60"/>
        <v>775</v>
      </c>
      <c r="BD121" s="28">
        <f t="shared" si="60"/>
        <v>773.4</v>
      </c>
      <c r="BE121" s="28">
        <f t="shared" si="60"/>
        <v>2939.2999999999997</v>
      </c>
      <c r="BF121" s="28">
        <f t="shared" si="60"/>
        <v>820.85712000000001</v>
      </c>
      <c r="BG121" s="28">
        <f t="shared" si="60"/>
        <v>790.01596800000004</v>
      </c>
      <c r="BH121" s="28">
        <f t="shared" si="60"/>
        <v>780.60169199999984</v>
      </c>
      <c r="BI121" s="28">
        <f t="shared" si="60"/>
        <v>778.14786600000002</v>
      </c>
      <c r="BJ121" s="28">
        <f t="shared" si="60"/>
        <v>3169.6226460000003</v>
      </c>
      <c r="BK121" s="28">
        <f t="shared" si="60"/>
        <v>0</v>
      </c>
      <c r="BL121" s="28">
        <f t="shared" si="60"/>
        <v>0</v>
      </c>
      <c r="BM121" s="28">
        <f t="shared" si="60"/>
        <v>0</v>
      </c>
      <c r="BN121" s="28">
        <f t="shared" si="60"/>
        <v>0</v>
      </c>
      <c r="BO121" s="28">
        <f t="shared" si="60"/>
        <v>3346.1060607000004</v>
      </c>
      <c r="BP121" s="28">
        <f t="shared" si="60"/>
        <v>0</v>
      </c>
      <c r="BQ121" s="28">
        <f t="shared" si="60"/>
        <v>0</v>
      </c>
      <c r="BR121" s="28">
        <f t="shared" si="60"/>
        <v>0</v>
      </c>
      <c r="BS121" s="28">
        <f t="shared" si="60"/>
        <v>0</v>
      </c>
      <c r="BT121" s="28">
        <f t="shared" si="60"/>
        <v>3497.7788491186998</v>
      </c>
      <c r="BU121" s="28">
        <f t="shared" si="60"/>
        <v>0</v>
      </c>
      <c r="BV121" s="28">
        <f t="shared" si="60"/>
        <v>0</v>
      </c>
      <c r="BW121" s="28">
        <f t="shared" si="60"/>
        <v>0</v>
      </c>
      <c r="BX121" s="28">
        <f t="shared" si="60"/>
        <v>0</v>
      </c>
      <c r="BY121" s="28">
        <f t="shared" si="60"/>
        <v>3639.1592691129249</v>
      </c>
      <c r="BZ121" s="28">
        <f t="shared" si="60"/>
        <v>0</v>
      </c>
      <c r="CA121" s="28">
        <f t="shared" si="60"/>
        <v>0</v>
      </c>
      <c r="CB121" s="28">
        <f t="shared" si="60"/>
        <v>0</v>
      </c>
      <c r="CC121" s="28">
        <f t="shared" si="60"/>
        <v>0</v>
      </c>
      <c r="CD121" s="28">
        <f t="shared" si="60"/>
        <v>3784.7497402152985</v>
      </c>
    </row>
    <row r="122" spans="2:84" s="28" customFormat="1" ht="12" customHeight="1"/>
    <row r="123" spans="2:84" s="28" customFormat="1" ht="12" customHeight="1">
      <c r="BJ123" s="191"/>
    </row>
    <row r="124" spans="2:84" s="28" customFormat="1" ht="12" customHeight="1"/>
  </sheetData>
  <conditionalFormatting sqref="A51:BJ51 V32 AA32 G21:AD31 Q32 L32 G32 M16:P19 R16:U19 W16:Z19 AB16:AD19 AG16:AI30 AJ43:AK50 AL43:AL47 A39:BJ40 AO43:AO47 AA16:AA20 L16:L20 Q16:Q20 V16:V20 A20:G20 AR48:AT50 AZ16 BO53:CD55 CF6:CF10 CF38 CF14 CF23 A52:AP95 AQ70:BJ95 BF60:BJ69 BK60:CD95 A49:AI49 AL49 A1:CD5 BP31:BS31 AV31:BN31 BU6:CD6 A6:BS6 BU31:CD31 AQ52:AU69 AV53:BB69 AV52:BE52 BJ52:CD52 BJ56:CD59 AV21:CD30 AJ20:CD20 AV17:CD19 BJ53:BJ55 A7:CD15 A97:F1048576 G97:AD65558 AG97:AI65558 AE97:AF1048576 AH42:AH47 AI42:BJ42 AG32:AI38 AI43:AI48 AI50 AE16:AF38 A16:K19 A21:F38 G33:AD38 A42:AG48 A50:AG50 AQ17:AT19 AQ43:AT47 AU16:AU19 AJ21:AU38 CE1:CE40 CF40 AJ16:AP19 AP43:AP50 AV32:BJ38 BK32:CD40 AU43:BJ50 BK42:CD51 BD53:BE69 CF1:CF4 AO49 AQ49 AJ97:GT1048576 CG1:GT40 CE83:XFD92 CE42:GT82 CE93:GT95 A96:GT96">
    <cfRule type="expression" dxfId="632" priority="4" stopIfTrue="1">
      <formula>ISERROR(A1)</formula>
    </cfRule>
  </conditionalFormatting>
  <conditionalFormatting sqref="BT6">
    <cfRule type="expression" dxfId="631" priority="3" stopIfTrue="1">
      <formula>ISERROR(BT6)</formula>
    </cfRule>
  </conditionalFormatting>
  <conditionalFormatting sqref="BC53:BC69">
    <cfRule type="expression" dxfId="630" priority="2" stopIfTrue="1">
      <formula>ISERROR(BC53)</formula>
    </cfRule>
  </conditionalFormatting>
  <conditionalFormatting sqref="BF52:BI59">
    <cfRule type="expression" dxfId="629" priority="1" stopIfTrue="1">
      <formula>ISERROR(BF52)</formula>
    </cfRule>
  </conditionalFormatting>
  <dataValidations disablePrompts="1" count="1">
    <dataValidation type="custom" allowBlank="1" showInputMessage="1" showErrorMessage="1" sqref="AV7:AY8 BU7:BX8 BZ7:CC8 BA7:BD8 AQ7:AT8 AL7:AO8 AB7:AE8 AG7:AJ8 BF7:BI8 BK7:BN8 BP7:BS8" xr:uid="{00000000-0002-0000-0100-000000000000}">
      <formula1>-1</formula1>
    </dataValidation>
  </dataValidations>
  <pageMargins left="0.75" right="0.75" top="1" bottom="1" header="0.5" footer="0.5"/>
  <pageSetup scale="66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/>
    <pageSetUpPr fitToPage="1"/>
  </sheetPr>
  <dimension ref="A2:CH131"/>
  <sheetViews>
    <sheetView showGridLines="0" workbookViewId="0">
      <pane xSplit="2" ySplit="8" topLeftCell="AZ106" activePane="bottomRight" state="frozen"/>
      <selection activeCell="L4" sqref="L4"/>
      <selection pane="topRight" activeCell="L4" sqref="L4"/>
      <selection pane="bottomLeft" activeCell="L4" sqref="L4"/>
      <selection pane="bottomRight" activeCell="BJ129" sqref="BJ129"/>
    </sheetView>
  </sheetViews>
  <sheetFormatPr baseColWidth="10" defaultColWidth="9.1640625" defaultRowHeight="12" outlineLevelRow="1" outlineLevelCol="1"/>
  <cols>
    <col min="1" max="1" width="2" style="208" customWidth="1"/>
    <col min="2" max="2" width="35.5" style="217" customWidth="1"/>
    <col min="3" max="3" width="9.5" style="218" hidden="1" customWidth="1" outlineLevel="1"/>
    <col min="4" max="6" width="9.1640625" style="218" hidden="1" customWidth="1" outlineLevel="1"/>
    <col min="7" max="7" width="0" style="218" hidden="1" customWidth="1" collapsed="1"/>
    <col min="8" max="11" width="9.1640625" style="218" hidden="1" customWidth="1" outlineLevel="1"/>
    <col min="12" max="12" width="0" style="218" hidden="1" customWidth="1" collapsed="1"/>
    <col min="13" max="16" width="9.1640625" style="218" hidden="1" customWidth="1" outlineLevel="1"/>
    <col min="17" max="17" width="0" style="218" hidden="1" customWidth="1" collapsed="1"/>
    <col min="18" max="21" width="9.1640625" style="218" hidden="1" customWidth="1" outlineLevel="1"/>
    <col min="22" max="22" width="10.83203125" style="218" hidden="1" customWidth="1" collapsed="1"/>
    <col min="23" max="26" width="9.1640625" style="218" hidden="1" customWidth="1" outlineLevel="1"/>
    <col min="27" max="27" width="11.1640625" style="218" hidden="1" customWidth="1" collapsed="1"/>
    <col min="28" max="31" width="9.1640625" style="218" hidden="1" customWidth="1" outlineLevel="1"/>
    <col min="32" max="32" width="11.1640625" style="218" hidden="1" customWidth="1" collapsed="1"/>
    <col min="33" max="36" width="9.1640625" style="218" hidden="1" customWidth="1" outlineLevel="1"/>
    <col min="37" max="37" width="11.1640625" style="218" hidden="1" customWidth="1" collapsed="1"/>
    <col min="38" max="41" width="9.1640625" style="218" hidden="1" customWidth="1" outlineLevel="1"/>
    <col min="42" max="42" width="11.33203125" style="218" hidden="1" customWidth="1" collapsed="1"/>
    <col min="43" max="46" width="9.1640625" style="218" hidden="1" customWidth="1" outlineLevel="1"/>
    <col min="47" max="47" width="11.1640625" style="218" hidden="1" customWidth="1" collapsed="1"/>
    <col min="48" max="51" width="9.1640625" style="218" hidden="1" customWidth="1" outlineLevel="1"/>
    <col min="52" max="52" width="10.83203125" style="218" bestFit="1" customWidth="1" collapsed="1"/>
    <col min="53" max="56" width="9.1640625" style="218" hidden="1" customWidth="1" outlineLevel="1"/>
    <col min="57" max="57" width="9.1640625" style="218" collapsed="1"/>
    <col min="58" max="61" width="9.1640625" style="218" hidden="1" customWidth="1" outlineLevel="1"/>
    <col min="62" max="62" width="9.1640625" style="218" collapsed="1"/>
    <col min="63" max="66" width="9.1640625" style="218" hidden="1" customWidth="1" outlineLevel="1"/>
    <col min="67" max="67" width="9.1640625" style="218" collapsed="1"/>
    <col min="68" max="71" width="9.1640625" style="218" hidden="1" customWidth="1" outlineLevel="1"/>
    <col min="72" max="72" width="9.1640625" style="218" collapsed="1"/>
    <col min="73" max="76" width="9.1640625" style="218" hidden="1" customWidth="1" outlineLevel="1"/>
    <col min="77" max="77" width="9.1640625" style="218" collapsed="1"/>
    <col min="78" max="81" width="9.1640625" style="218" hidden="1" customWidth="1" outlineLevel="1"/>
    <col min="82" max="82" width="9.1640625" style="218" collapsed="1"/>
    <col min="83" max="83" width="1" style="208" customWidth="1"/>
    <col min="84" max="84" width="9.1640625" style="218"/>
    <col min="85" max="85" width="18" style="218" customWidth="1"/>
    <col min="86" max="16384" width="9.1640625" style="218"/>
  </cols>
  <sheetData>
    <row r="2" spans="1:83" s="197" customFormat="1">
      <c r="A2" s="2"/>
      <c r="B2" s="192" t="s">
        <v>1</v>
      </c>
      <c r="C2" s="193"/>
      <c r="D2" s="193"/>
      <c r="E2" s="193"/>
      <c r="F2" s="194"/>
      <c r="G2" s="195"/>
      <c r="H2" s="194"/>
      <c r="I2" s="193"/>
      <c r="J2" s="193"/>
      <c r="K2" s="194"/>
      <c r="L2" s="195"/>
      <c r="M2" s="194"/>
      <c r="N2" s="193"/>
      <c r="O2" s="193"/>
      <c r="P2" s="194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6"/>
      <c r="AS2" s="195"/>
      <c r="AT2" s="195"/>
      <c r="AU2" s="195"/>
      <c r="AV2" s="195"/>
      <c r="AW2" s="195"/>
      <c r="AX2" s="195"/>
      <c r="CE2" s="2"/>
    </row>
    <row r="3" spans="1:83" s="197" customFormat="1">
      <c r="A3" s="2"/>
      <c r="B3" s="192" t="s">
        <v>227</v>
      </c>
      <c r="C3" s="193"/>
      <c r="D3" s="193"/>
      <c r="E3" s="193"/>
      <c r="F3" s="194"/>
      <c r="G3" s="195"/>
      <c r="H3" s="194"/>
      <c r="I3" s="193"/>
      <c r="J3" s="193"/>
      <c r="K3" s="194"/>
      <c r="L3" s="195"/>
      <c r="M3" s="194"/>
      <c r="N3" s="193"/>
      <c r="O3" s="193"/>
      <c r="P3" s="194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9"/>
      <c r="AJ3" s="195"/>
      <c r="AK3" s="195"/>
      <c r="AL3" s="195"/>
      <c r="AM3" s="195"/>
      <c r="AN3" s="195"/>
      <c r="AO3" s="195"/>
      <c r="AP3" s="195"/>
      <c r="AQ3" s="195"/>
      <c r="AR3" s="196"/>
      <c r="AS3" s="195"/>
      <c r="AT3" s="195"/>
      <c r="AU3" s="195"/>
      <c r="AV3" s="195"/>
      <c r="AW3" s="195"/>
      <c r="AX3" s="195"/>
      <c r="BO3" s="201"/>
      <c r="BY3" s="201"/>
      <c r="CE3" s="2"/>
    </row>
    <row r="4" spans="1:83" s="197" customFormat="1">
      <c r="A4" s="2"/>
      <c r="B4" s="198"/>
      <c r="C4" s="193"/>
      <c r="D4" s="193"/>
      <c r="E4" s="193"/>
      <c r="F4" s="194"/>
      <c r="G4" s="202"/>
      <c r="H4" s="194"/>
      <c r="I4" s="193"/>
      <c r="J4" s="193"/>
      <c r="K4" s="194"/>
      <c r="L4" s="203"/>
      <c r="M4" s="194"/>
      <c r="N4" s="193"/>
      <c r="O4" s="193"/>
      <c r="P4" s="194"/>
      <c r="Q4" s="203"/>
      <c r="R4" s="203"/>
      <c r="S4" s="203"/>
      <c r="T4" s="203"/>
      <c r="U4" s="203"/>
      <c r="V4" s="203"/>
      <c r="W4" s="203"/>
      <c r="Y4" s="203"/>
      <c r="Z4" s="203"/>
      <c r="AA4" s="203"/>
      <c r="AB4" s="203"/>
      <c r="AC4" s="203"/>
      <c r="AD4" s="203"/>
      <c r="AE4" s="203"/>
      <c r="AF4" s="203"/>
      <c r="AG4" s="204"/>
      <c r="AH4" s="204"/>
      <c r="AI4" s="204"/>
      <c r="AJ4" s="204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5"/>
      <c r="AY4" s="203"/>
      <c r="AZ4" s="203"/>
      <c r="BA4" s="203"/>
      <c r="BB4" s="203"/>
      <c r="BC4" s="203"/>
      <c r="BD4" s="203"/>
      <c r="BE4" s="204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"/>
    </row>
    <row r="5" spans="1:83" s="197" customFormat="1">
      <c r="A5" s="2"/>
      <c r="B5" s="198"/>
      <c r="C5" s="193"/>
      <c r="D5" s="193"/>
      <c r="E5" s="193"/>
      <c r="F5" s="193"/>
      <c r="G5" s="203"/>
      <c r="H5" s="193"/>
      <c r="I5" s="193"/>
      <c r="J5" s="193"/>
      <c r="K5" s="193"/>
      <c r="L5" s="203"/>
      <c r="M5" s="193"/>
      <c r="N5" s="193"/>
      <c r="O5" s="193"/>
      <c r="P5" s="193"/>
      <c r="Q5" s="203" t="s">
        <v>39</v>
      </c>
      <c r="R5" s="203"/>
      <c r="S5" s="203"/>
      <c r="T5" s="203"/>
      <c r="U5" s="203"/>
      <c r="V5" s="203" t="s">
        <v>39</v>
      </c>
      <c r="W5" s="203"/>
      <c r="X5" s="203"/>
      <c r="Y5" s="203"/>
      <c r="Z5" s="203"/>
      <c r="AA5" s="203" t="s">
        <v>39</v>
      </c>
      <c r="AB5" s="203"/>
      <c r="AC5" s="203"/>
      <c r="AD5" s="203"/>
      <c r="AE5" s="203"/>
      <c r="AF5" s="203" t="s">
        <v>39</v>
      </c>
      <c r="AG5" s="203" t="s">
        <v>39</v>
      </c>
      <c r="AH5" s="203" t="s">
        <v>39</v>
      </c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5"/>
      <c r="AT5" s="203"/>
      <c r="AU5" s="206"/>
      <c r="AV5" s="203"/>
      <c r="AW5" s="203"/>
      <c r="AX5" s="203"/>
      <c r="AY5" s="203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"/>
    </row>
    <row r="6" spans="1:83">
      <c r="B6" s="209"/>
      <c r="C6" s="210"/>
      <c r="D6" s="210"/>
      <c r="E6" s="210"/>
      <c r="F6" s="211"/>
      <c r="G6" s="212"/>
      <c r="H6" s="210"/>
      <c r="I6" s="210"/>
      <c r="J6" s="210"/>
      <c r="K6" s="211"/>
      <c r="L6" s="212"/>
      <c r="M6" s="210"/>
      <c r="N6" s="210"/>
      <c r="O6" s="210"/>
      <c r="P6" s="211"/>
      <c r="Q6" s="212"/>
      <c r="R6" s="213"/>
      <c r="S6" s="210"/>
      <c r="T6" s="210"/>
      <c r="U6" s="211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5"/>
      <c r="BA6" s="215"/>
      <c r="BB6" s="216"/>
      <c r="BC6" s="215"/>
      <c r="BD6" s="215"/>
      <c r="BE6" s="215"/>
      <c r="BF6" s="215"/>
      <c r="BG6" s="215"/>
      <c r="BH6" s="215"/>
      <c r="BI6" s="215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</row>
    <row r="7" spans="1:83">
      <c r="B7" s="22" t="s">
        <v>5</v>
      </c>
      <c r="C7" s="23">
        <v>38412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19">
        <v>2014</v>
      </c>
      <c r="BA7" s="23">
        <v>42064</v>
      </c>
      <c r="BB7" s="23">
        <v>42156</v>
      </c>
      <c r="BC7" s="23">
        <v>42248</v>
      </c>
      <c r="BD7" s="23">
        <v>42339</v>
      </c>
      <c r="BE7" s="219">
        <v>2015</v>
      </c>
      <c r="BF7" s="219">
        <v>42065</v>
      </c>
      <c r="BG7" s="219">
        <v>42157</v>
      </c>
      <c r="BH7" s="219">
        <v>42249</v>
      </c>
      <c r="BI7" s="219">
        <v>42340</v>
      </c>
      <c r="BJ7" s="219">
        <v>2016</v>
      </c>
      <c r="BK7" s="219">
        <v>42066</v>
      </c>
      <c r="BL7" s="219">
        <v>42158</v>
      </c>
      <c r="BM7" s="219">
        <v>42250</v>
      </c>
      <c r="BN7" s="219">
        <v>42341</v>
      </c>
      <c r="BO7" s="219">
        <v>2017</v>
      </c>
      <c r="BP7" s="219">
        <v>42067</v>
      </c>
      <c r="BQ7" s="219">
        <v>42159</v>
      </c>
      <c r="BR7" s="219">
        <v>42251</v>
      </c>
      <c r="BS7" s="219">
        <v>42342</v>
      </c>
      <c r="BT7" s="219">
        <v>2018</v>
      </c>
      <c r="BU7" s="219">
        <v>42068</v>
      </c>
      <c r="BV7" s="219">
        <v>42160</v>
      </c>
      <c r="BW7" s="219">
        <v>42252</v>
      </c>
      <c r="BX7" s="219">
        <v>42343</v>
      </c>
      <c r="BY7" s="219">
        <v>2019</v>
      </c>
      <c r="BZ7" s="219">
        <v>42069</v>
      </c>
      <c r="CA7" s="219">
        <v>42161</v>
      </c>
      <c r="CB7" s="219">
        <v>42253</v>
      </c>
      <c r="CC7" s="219">
        <v>42344</v>
      </c>
      <c r="CD7" s="219">
        <v>2020</v>
      </c>
    </row>
    <row r="8" spans="1:83">
      <c r="B8" s="220" t="s">
        <v>6</v>
      </c>
      <c r="C8" s="221" t="s">
        <v>7</v>
      </c>
      <c r="D8" s="221" t="s">
        <v>8</v>
      </c>
      <c r="E8" s="221" t="s">
        <v>9</v>
      </c>
      <c r="F8" s="221" t="s">
        <v>10</v>
      </c>
      <c r="G8" s="222" t="s">
        <v>11</v>
      </c>
      <c r="H8" s="221" t="s">
        <v>7</v>
      </c>
      <c r="I8" s="221" t="s">
        <v>8</v>
      </c>
      <c r="J8" s="221" t="s">
        <v>9</v>
      </c>
      <c r="K8" s="221" t="s">
        <v>10</v>
      </c>
      <c r="L8" s="222" t="s">
        <v>12</v>
      </c>
      <c r="M8" s="221" t="s">
        <v>7</v>
      </c>
      <c r="N8" s="221" t="s">
        <v>8</v>
      </c>
      <c r="O8" s="221" t="s">
        <v>9</v>
      </c>
      <c r="P8" s="221" t="s">
        <v>10</v>
      </c>
      <c r="Q8" s="222" t="s">
        <v>13</v>
      </c>
      <c r="R8" s="221" t="s">
        <v>7</v>
      </c>
      <c r="S8" s="221" t="s">
        <v>8</v>
      </c>
      <c r="T8" s="221" t="s">
        <v>9</v>
      </c>
      <c r="U8" s="221" t="s">
        <v>10</v>
      </c>
      <c r="V8" s="222" t="s">
        <v>14</v>
      </c>
      <c r="W8" s="221" t="s">
        <v>7</v>
      </c>
      <c r="X8" s="221" t="s">
        <v>8</v>
      </c>
      <c r="Y8" s="221" t="s">
        <v>9</v>
      </c>
      <c r="Z8" s="221" t="s">
        <v>10</v>
      </c>
      <c r="AA8" s="222" t="s">
        <v>122</v>
      </c>
      <c r="AB8" s="221" t="s">
        <v>7</v>
      </c>
      <c r="AC8" s="221" t="s">
        <v>8</v>
      </c>
      <c r="AD8" s="221" t="s">
        <v>9</v>
      </c>
      <c r="AE8" s="221" t="s">
        <v>10</v>
      </c>
      <c r="AF8" s="222" t="s">
        <v>16</v>
      </c>
      <c r="AG8" s="221" t="s">
        <v>7</v>
      </c>
      <c r="AH8" s="221" t="s">
        <v>8</v>
      </c>
      <c r="AI8" s="221" t="s">
        <v>9</v>
      </c>
      <c r="AJ8" s="221" t="s">
        <v>10</v>
      </c>
      <c r="AK8" s="222" t="s">
        <v>17</v>
      </c>
      <c r="AL8" s="221" t="s">
        <v>7</v>
      </c>
      <c r="AM8" s="221" t="s">
        <v>8</v>
      </c>
      <c r="AN8" s="221" t="s">
        <v>9</v>
      </c>
      <c r="AO8" s="221" t="s">
        <v>10</v>
      </c>
      <c r="AP8" s="222" t="s">
        <v>18</v>
      </c>
      <c r="AQ8" s="221" t="s">
        <v>7</v>
      </c>
      <c r="AR8" s="221" t="s">
        <v>8</v>
      </c>
      <c r="AS8" s="221" t="s">
        <v>9</v>
      </c>
      <c r="AT8" s="221" t="s">
        <v>10</v>
      </c>
      <c r="AU8" s="222" t="s">
        <v>19</v>
      </c>
      <c r="AV8" s="221" t="s">
        <v>7</v>
      </c>
      <c r="AW8" s="221" t="s">
        <v>8</v>
      </c>
      <c r="AX8" s="221" t="s">
        <v>9</v>
      </c>
      <c r="AY8" s="221" t="s">
        <v>10</v>
      </c>
      <c r="AZ8" s="223" t="s">
        <v>20</v>
      </c>
      <c r="BA8" s="221" t="s">
        <v>7</v>
      </c>
      <c r="BB8" s="221" t="s">
        <v>8</v>
      </c>
      <c r="BC8" s="224" t="s">
        <v>24</v>
      </c>
      <c r="BD8" s="221" t="s">
        <v>25</v>
      </c>
      <c r="BE8" s="223" t="s">
        <v>32</v>
      </c>
      <c r="BF8" s="221" t="s">
        <v>22</v>
      </c>
      <c r="BG8" s="221" t="s">
        <v>23</v>
      </c>
      <c r="BH8" s="221" t="s">
        <v>24</v>
      </c>
      <c r="BI8" s="221" t="s">
        <v>25</v>
      </c>
      <c r="BJ8" s="223" t="s">
        <v>26</v>
      </c>
      <c r="BK8" s="221" t="s">
        <v>22</v>
      </c>
      <c r="BL8" s="221" t="s">
        <v>23</v>
      </c>
      <c r="BM8" s="221" t="s">
        <v>24</v>
      </c>
      <c r="BN8" s="221" t="s">
        <v>25</v>
      </c>
      <c r="BO8" s="223" t="s">
        <v>27</v>
      </c>
      <c r="BP8" s="221" t="s">
        <v>22</v>
      </c>
      <c r="BQ8" s="221" t="s">
        <v>23</v>
      </c>
      <c r="BR8" s="221" t="s">
        <v>24</v>
      </c>
      <c r="BS8" s="221" t="s">
        <v>25</v>
      </c>
      <c r="BT8" s="223" t="s">
        <v>28</v>
      </c>
      <c r="BU8" s="221" t="s">
        <v>22</v>
      </c>
      <c r="BV8" s="221" t="s">
        <v>23</v>
      </c>
      <c r="BW8" s="221" t="s">
        <v>24</v>
      </c>
      <c r="BX8" s="221" t="s">
        <v>25</v>
      </c>
      <c r="BY8" s="223" t="s">
        <v>29</v>
      </c>
      <c r="BZ8" s="221" t="s">
        <v>22</v>
      </c>
      <c r="CA8" s="221" t="s">
        <v>23</v>
      </c>
      <c r="CB8" s="221" t="s">
        <v>24</v>
      </c>
      <c r="CC8" s="221" t="s">
        <v>25</v>
      </c>
      <c r="CD8" s="223" t="s">
        <v>30</v>
      </c>
    </row>
    <row r="9" spans="1:83" s="198" customFormat="1" collapsed="1">
      <c r="A9" s="12"/>
      <c r="B9" s="664" t="s">
        <v>228</v>
      </c>
      <c r="C9" s="665">
        <f>Sales!C21</f>
        <v>0</v>
      </c>
      <c r="D9" s="665">
        <f>Sales!D21</f>
        <v>0</v>
      </c>
      <c r="E9" s="665">
        <f>Sales!E21</f>
        <v>0</v>
      </c>
      <c r="F9" s="665">
        <f>Sales!F21</f>
        <v>0</v>
      </c>
      <c r="G9" s="666">
        <f>Sales!G21</f>
        <v>0</v>
      </c>
      <c r="H9" s="665">
        <f>Sales!H21</f>
        <v>0</v>
      </c>
      <c r="I9" s="665">
        <f>Sales!I21</f>
        <v>0</v>
      </c>
      <c r="J9" s="665">
        <f>Sales!J21</f>
        <v>0</v>
      </c>
      <c r="K9" s="665">
        <f>Sales!K21</f>
        <v>0</v>
      </c>
      <c r="L9" s="666">
        <f>Sales!L21</f>
        <v>0</v>
      </c>
      <c r="M9" s="665">
        <f>Sales!M21</f>
        <v>0</v>
      </c>
      <c r="N9" s="665">
        <f>Sales!N21</f>
        <v>0</v>
      </c>
      <c r="O9" s="665">
        <f>Sales!O21</f>
        <v>0</v>
      </c>
      <c r="P9" s="665">
        <f>Sales!P21</f>
        <v>0</v>
      </c>
      <c r="Q9" s="666">
        <f>Sales!Q21</f>
        <v>0</v>
      </c>
      <c r="R9" s="665">
        <f>Sales!R21</f>
        <v>0</v>
      </c>
      <c r="S9" s="665">
        <f>Sales!S21</f>
        <v>0</v>
      </c>
      <c r="T9" s="665">
        <f>Sales!T21</f>
        <v>0</v>
      </c>
      <c r="U9" s="665">
        <f>Sales!U21</f>
        <v>0</v>
      </c>
      <c r="V9" s="667">
        <f>Sales!V21</f>
        <v>0</v>
      </c>
      <c r="W9" s="668">
        <f>Sales!W21</f>
        <v>0</v>
      </c>
      <c r="X9" s="668">
        <f>Sales!X21</f>
        <v>0</v>
      </c>
      <c r="Y9" s="668">
        <f>Sales!Y21</f>
        <v>0</v>
      </c>
      <c r="Z9" s="668">
        <f>Sales!Z21</f>
        <v>0</v>
      </c>
      <c r="AA9" s="667">
        <f>Sales!AA21</f>
        <v>0</v>
      </c>
      <c r="AB9" s="668">
        <f>Sales!AB21</f>
        <v>0</v>
      </c>
      <c r="AC9" s="668">
        <f>Sales!AC21</f>
        <v>0</v>
      </c>
      <c r="AD9" s="668">
        <f>Sales!AD21</f>
        <v>0</v>
      </c>
      <c r="AE9" s="668">
        <f>Sales!AE21</f>
        <v>0</v>
      </c>
      <c r="AF9" s="667">
        <f>Sales!AF21</f>
        <v>0</v>
      </c>
      <c r="AG9" s="668">
        <f>Sales!AG21</f>
        <v>0</v>
      </c>
      <c r="AH9" s="668">
        <f>Sales!AH21</f>
        <v>0</v>
      </c>
      <c r="AI9" s="668">
        <f>Sales!AI21</f>
        <v>0</v>
      </c>
      <c r="AJ9" s="668">
        <f>Sales!AJ21</f>
        <v>0</v>
      </c>
      <c r="AK9" s="667">
        <f>Sales!AK21</f>
        <v>0</v>
      </c>
      <c r="AL9" s="668">
        <f>Sales!AL21</f>
        <v>0</v>
      </c>
      <c r="AM9" s="668">
        <f>Sales!AM21</f>
        <v>0</v>
      </c>
      <c r="AN9" s="668">
        <f>Sales!AN21</f>
        <v>0</v>
      </c>
      <c r="AO9" s="668">
        <f>Sales!AO21</f>
        <v>0</v>
      </c>
      <c r="AP9" s="667">
        <f>Sales!AP21</f>
        <v>0</v>
      </c>
      <c r="AQ9" s="669">
        <f>Sales!AQ21</f>
        <v>0</v>
      </c>
      <c r="AR9" s="665">
        <f>Sales!AR21</f>
        <v>0</v>
      </c>
      <c r="AS9" s="670">
        <f>Sales!AS21</f>
        <v>0</v>
      </c>
      <c r="AT9" s="670">
        <f>Sales!AT21</f>
        <v>0</v>
      </c>
      <c r="AU9" s="671">
        <f>Sales!AU21</f>
        <v>0</v>
      </c>
      <c r="AV9" s="670">
        <f>Sales!AV21</f>
        <v>0</v>
      </c>
      <c r="AW9" s="670">
        <f>Sales!AW21</f>
        <v>0</v>
      </c>
      <c r="AX9" s="670">
        <f>Sales!AX21</f>
        <v>0</v>
      </c>
      <c r="AY9" s="670">
        <f>Sales!AY21</f>
        <v>0</v>
      </c>
      <c r="AZ9" s="672">
        <f>SUM(AZ10:AZ16)</f>
        <v>1561.7</v>
      </c>
      <c r="BA9" s="670">
        <f t="shared" ref="BA9:CD9" si="0">SUM(BA10:BA16)</f>
        <v>445.30000000000007</v>
      </c>
      <c r="BB9" s="670">
        <f t="shared" si="0"/>
        <v>539</v>
      </c>
      <c r="BC9" s="670">
        <f t="shared" si="0"/>
        <v>493.40000000000003</v>
      </c>
      <c r="BD9" s="670">
        <f t="shared" si="0"/>
        <v>508.49999999999994</v>
      </c>
      <c r="BE9" s="672">
        <f t="shared" si="0"/>
        <v>1986.1999999999998</v>
      </c>
      <c r="BF9" s="673">
        <f t="shared" si="0"/>
        <v>499</v>
      </c>
      <c r="BG9" s="673">
        <f t="shared" si="0"/>
        <v>530</v>
      </c>
      <c r="BH9" s="673">
        <f t="shared" si="0"/>
        <v>556</v>
      </c>
      <c r="BI9" s="673">
        <f t="shared" si="0"/>
        <v>585</v>
      </c>
      <c r="BJ9" s="672">
        <f t="shared" si="0"/>
        <v>2170</v>
      </c>
      <c r="BK9" s="673">
        <f t="shared" si="0"/>
        <v>0</v>
      </c>
      <c r="BL9" s="673">
        <f t="shared" si="0"/>
        <v>0</v>
      </c>
      <c r="BM9" s="673">
        <f t="shared" si="0"/>
        <v>0</v>
      </c>
      <c r="BN9" s="673">
        <f t="shared" si="0"/>
        <v>0</v>
      </c>
      <c r="BO9" s="672">
        <f t="shared" si="0"/>
        <v>2414.46</v>
      </c>
      <c r="BP9" s="673">
        <f t="shared" si="0"/>
        <v>0</v>
      </c>
      <c r="BQ9" s="673">
        <f t="shared" si="0"/>
        <v>0</v>
      </c>
      <c r="BR9" s="673">
        <f t="shared" si="0"/>
        <v>0</v>
      </c>
      <c r="BS9" s="673">
        <f t="shared" si="0"/>
        <v>0</v>
      </c>
      <c r="BT9" s="672">
        <f t="shared" si="0"/>
        <v>2614.2483999999999</v>
      </c>
      <c r="BU9" s="673">
        <f t="shared" si="0"/>
        <v>0</v>
      </c>
      <c r="BV9" s="673">
        <f t="shared" si="0"/>
        <v>0</v>
      </c>
      <c r="BW9" s="673">
        <f t="shared" si="0"/>
        <v>0</v>
      </c>
      <c r="BX9" s="673">
        <f t="shared" si="0"/>
        <v>0</v>
      </c>
      <c r="BY9" s="672">
        <f t="shared" si="0"/>
        <v>2832.9253880000001</v>
      </c>
      <c r="BZ9" s="673">
        <f t="shared" si="0"/>
        <v>0</v>
      </c>
      <c r="CA9" s="673">
        <f t="shared" si="0"/>
        <v>0</v>
      </c>
      <c r="CB9" s="673">
        <f t="shared" si="0"/>
        <v>0</v>
      </c>
      <c r="CC9" s="673">
        <f t="shared" si="0"/>
        <v>0</v>
      </c>
      <c r="CD9" s="672">
        <f t="shared" si="0"/>
        <v>3019.2201552800007</v>
      </c>
      <c r="CE9" s="12"/>
    </row>
    <row r="10" spans="1:83" s="291" customFormat="1" hidden="1" outlineLevel="1">
      <c r="B10" s="674" t="str">
        <f>Sales!B43</f>
        <v>Total Consumer</v>
      </c>
      <c r="C10" s="675">
        <f>Sales!C43</f>
        <v>0</v>
      </c>
      <c r="D10" s="675">
        <f>Sales!D43</f>
        <v>0</v>
      </c>
      <c r="E10" s="675">
        <f>Sales!E43</f>
        <v>0</v>
      </c>
      <c r="F10" s="676">
        <f>Sales!F43</f>
        <v>0</v>
      </c>
      <c r="G10" s="677">
        <f>Sales!G43</f>
        <v>0</v>
      </c>
      <c r="H10" s="676">
        <f>Sales!H43</f>
        <v>0</v>
      </c>
      <c r="I10" s="676">
        <f>Sales!I43</f>
        <v>0</v>
      </c>
      <c r="J10" s="676">
        <f>Sales!J43</f>
        <v>0</v>
      </c>
      <c r="K10" s="676">
        <f>Sales!K43</f>
        <v>0</v>
      </c>
      <c r="L10" s="677">
        <f>Sales!L43</f>
        <v>0</v>
      </c>
      <c r="M10" s="676">
        <f>Sales!M43</f>
        <v>0</v>
      </c>
      <c r="N10" s="676">
        <f>Sales!N43</f>
        <v>0</v>
      </c>
      <c r="O10" s="676">
        <f>Sales!O43</f>
        <v>0</v>
      </c>
      <c r="P10" s="676">
        <f>Sales!P43</f>
        <v>0</v>
      </c>
      <c r="Q10" s="677">
        <f>Sales!Q43</f>
        <v>0</v>
      </c>
      <c r="R10" s="678">
        <f>Sales!R43</f>
        <v>0</v>
      </c>
      <c r="S10" s="678">
        <f>Sales!S43</f>
        <v>0</v>
      </c>
      <c r="T10" s="678">
        <f>Sales!T43</f>
        <v>0</v>
      </c>
      <c r="U10" s="678">
        <f>Sales!U43</f>
        <v>0</v>
      </c>
      <c r="V10" s="679">
        <f>Sales!V43</f>
        <v>0</v>
      </c>
      <c r="W10" s="678">
        <f>Sales!W43</f>
        <v>0</v>
      </c>
      <c r="X10" s="678">
        <f>Sales!X43</f>
        <v>0</v>
      </c>
      <c r="Y10" s="678">
        <f>Sales!Y43</f>
        <v>0</v>
      </c>
      <c r="Z10" s="678">
        <f>Sales!Z43</f>
        <v>0</v>
      </c>
      <c r="AA10" s="679">
        <f>Sales!AA43</f>
        <v>0</v>
      </c>
      <c r="AB10" s="678">
        <f>Sales!AB43</f>
        <v>0</v>
      </c>
      <c r="AC10" s="678">
        <f>Sales!AC43</f>
        <v>0</v>
      </c>
      <c r="AD10" s="678">
        <f>Sales!AD43</f>
        <v>0</v>
      </c>
      <c r="AE10" s="678">
        <f>Sales!AE43</f>
        <v>0</v>
      </c>
      <c r="AF10" s="679">
        <f>Sales!AF43</f>
        <v>0</v>
      </c>
      <c r="AG10" s="678">
        <f>Sales!AG43</f>
        <v>0</v>
      </c>
      <c r="AH10" s="678">
        <f>Sales!AH43</f>
        <v>0</v>
      </c>
      <c r="AI10" s="678">
        <f>Sales!AI43</f>
        <v>0</v>
      </c>
      <c r="AJ10" s="680">
        <f>Sales!AJ43</f>
        <v>0</v>
      </c>
      <c r="AK10" s="679">
        <f>Sales!AK43</f>
        <v>0</v>
      </c>
      <c r="AL10" s="681">
        <f>Sales!AL43</f>
        <v>0</v>
      </c>
      <c r="AM10" s="682">
        <f>Sales!AM43</f>
        <v>0</v>
      </c>
      <c r="AN10" s="681">
        <f>Sales!AN43</f>
        <v>0</v>
      </c>
      <c r="AO10" s="682">
        <f>Sales!AO43</f>
        <v>0</v>
      </c>
      <c r="AP10" s="683">
        <f>Sales!AP43</f>
        <v>0</v>
      </c>
      <c r="AQ10" s="684">
        <f>Sales!AQ43</f>
        <v>0</v>
      </c>
      <c r="AR10" s="682">
        <f>Sales!AR43</f>
        <v>0</v>
      </c>
      <c r="AS10" s="685">
        <f>Sales!AS43</f>
        <v>98.8</v>
      </c>
      <c r="AT10" s="685">
        <f>Sales!AT43</f>
        <v>133.30000000000001</v>
      </c>
      <c r="AU10" s="683">
        <f>Sales!AU43</f>
        <v>0</v>
      </c>
      <c r="AV10" s="685">
        <f>Sales!AV43</f>
        <v>144</v>
      </c>
      <c r="AW10" s="685">
        <f>Sales!AW43</f>
        <v>160.6</v>
      </c>
      <c r="AX10" s="685">
        <f>Sales!AX43</f>
        <v>141.4</v>
      </c>
      <c r="AY10" s="685">
        <f>Sales!AY43</f>
        <v>141.4</v>
      </c>
      <c r="AZ10" s="671">
        <f>Sales!AZ43</f>
        <v>587.4</v>
      </c>
      <c r="BA10" s="685">
        <f>Sales!BA43</f>
        <v>155.5</v>
      </c>
      <c r="BB10" s="685">
        <f>Sales!BB43</f>
        <v>163.19999999999999</v>
      </c>
      <c r="BC10" s="685">
        <f>Sales!BC43</f>
        <v>151</v>
      </c>
      <c r="BD10" s="685">
        <f>Sales!BD43</f>
        <v>155.9</v>
      </c>
      <c r="BE10" s="671">
        <f>Sales!BE43</f>
        <v>625.6</v>
      </c>
      <c r="BF10" s="228">
        <f>Sales!BF43</f>
        <v>139</v>
      </c>
      <c r="BG10" s="228">
        <f>Sales!BG43</f>
        <v>148</v>
      </c>
      <c r="BH10" s="228">
        <f>Sales!BH43</f>
        <v>156</v>
      </c>
      <c r="BI10" s="228">
        <f>Sales!BI43</f>
        <v>170</v>
      </c>
      <c r="BJ10" s="671">
        <f>Sales!BJ43</f>
        <v>613</v>
      </c>
      <c r="BK10" s="228">
        <f>Sales!BK43</f>
        <v>0</v>
      </c>
      <c r="BL10" s="228">
        <f>Sales!BL43</f>
        <v>0</v>
      </c>
      <c r="BM10" s="228">
        <f>Sales!BM43</f>
        <v>0</v>
      </c>
      <c r="BN10" s="228">
        <f>Sales!BN43</f>
        <v>0</v>
      </c>
      <c r="BO10" s="671">
        <f>Sales!BO43</f>
        <v>663.46999999999991</v>
      </c>
      <c r="BP10" s="228">
        <f>Sales!BP43</f>
        <v>0</v>
      </c>
      <c r="BQ10" s="228">
        <f>Sales!BQ43</f>
        <v>0</v>
      </c>
      <c r="BR10" s="228">
        <f>Sales!BR43</f>
        <v>0</v>
      </c>
      <c r="BS10" s="228">
        <f>Sales!BS43</f>
        <v>0</v>
      </c>
      <c r="BT10" s="671">
        <f>Sales!BT43</f>
        <v>695.25839999999994</v>
      </c>
      <c r="BU10" s="228">
        <f>Sales!BU43</f>
        <v>0</v>
      </c>
      <c r="BV10" s="228">
        <f>Sales!BV43</f>
        <v>0</v>
      </c>
      <c r="BW10" s="228">
        <f>Sales!BW43</f>
        <v>0</v>
      </c>
      <c r="BX10" s="228">
        <f>Sales!BX43</f>
        <v>0</v>
      </c>
      <c r="BY10" s="671">
        <f>Sales!BY43</f>
        <v>725.26664800000003</v>
      </c>
      <c r="BZ10" s="228">
        <f>Sales!BZ43</f>
        <v>0</v>
      </c>
      <c r="CA10" s="228">
        <f>Sales!CA43</f>
        <v>0</v>
      </c>
      <c r="CB10" s="228">
        <f>Sales!CB43</f>
        <v>0</v>
      </c>
      <c r="CC10" s="228">
        <f>Sales!CC43</f>
        <v>0</v>
      </c>
      <c r="CD10" s="671">
        <f>Sales!CD43</f>
        <v>753.09635168</v>
      </c>
    </row>
    <row r="11" spans="1:83" s="252" customFormat="1" hidden="1" outlineLevel="1">
      <c r="B11" s="674" t="str">
        <f>Sales!B53</f>
        <v>Total Ophthalmology Rx</v>
      </c>
      <c r="C11" s="686">
        <f>Sales!C53</f>
        <v>0</v>
      </c>
      <c r="D11" s="687">
        <f>Sales!D53</f>
        <v>0</v>
      </c>
      <c r="E11" s="687">
        <f>Sales!E53</f>
        <v>0</v>
      </c>
      <c r="F11" s="687">
        <f>Sales!F53</f>
        <v>0</v>
      </c>
      <c r="G11" s="688">
        <f>Sales!G53</f>
        <v>0</v>
      </c>
      <c r="H11" s="687">
        <f>Sales!H53</f>
        <v>0</v>
      </c>
      <c r="I11" s="687">
        <f>Sales!I53</f>
        <v>0</v>
      </c>
      <c r="J11" s="687">
        <f>Sales!J53</f>
        <v>0</v>
      </c>
      <c r="K11" s="687">
        <f>Sales!K53</f>
        <v>0</v>
      </c>
      <c r="L11" s="688">
        <f>Sales!L53</f>
        <v>0</v>
      </c>
      <c r="M11" s="687">
        <f>Sales!M53</f>
        <v>0</v>
      </c>
      <c r="N11" s="687">
        <f>Sales!N53</f>
        <v>0</v>
      </c>
      <c r="O11" s="687">
        <f>Sales!O53</f>
        <v>0</v>
      </c>
      <c r="P11" s="687">
        <f>Sales!P53</f>
        <v>0</v>
      </c>
      <c r="Q11" s="688">
        <f>Sales!Q53</f>
        <v>0</v>
      </c>
      <c r="R11" s="687">
        <f>Sales!R53</f>
        <v>0</v>
      </c>
      <c r="S11" s="687">
        <f>Sales!S53</f>
        <v>0</v>
      </c>
      <c r="T11" s="687">
        <f>Sales!T53</f>
        <v>0</v>
      </c>
      <c r="U11" s="687">
        <f>Sales!U53</f>
        <v>0</v>
      </c>
      <c r="V11" s="688">
        <f>Sales!V53</f>
        <v>0</v>
      </c>
      <c r="W11" s="689">
        <f>Sales!W53</f>
        <v>0</v>
      </c>
      <c r="X11" s="682">
        <f>Sales!X53</f>
        <v>0</v>
      </c>
      <c r="Y11" s="682">
        <f>Sales!Y53</f>
        <v>0</v>
      </c>
      <c r="Z11" s="682">
        <f>Sales!Z53</f>
        <v>0</v>
      </c>
      <c r="AA11" s="679">
        <f>Sales!AA53</f>
        <v>0</v>
      </c>
      <c r="AB11" s="689">
        <f>Sales!AB53</f>
        <v>0</v>
      </c>
      <c r="AC11" s="689">
        <f>Sales!AC53</f>
        <v>0</v>
      </c>
      <c r="AD11" s="689">
        <f>Sales!AD53</f>
        <v>0</v>
      </c>
      <c r="AE11" s="689">
        <f>Sales!AE53</f>
        <v>0</v>
      </c>
      <c r="AF11" s="679">
        <f>Sales!AF53</f>
        <v>0</v>
      </c>
      <c r="AG11" s="689">
        <f>Sales!AG53</f>
        <v>0</v>
      </c>
      <c r="AH11" s="689">
        <f>Sales!AH53</f>
        <v>0</v>
      </c>
      <c r="AI11" s="689">
        <f>Sales!AI53</f>
        <v>0</v>
      </c>
      <c r="AJ11" s="689">
        <f>Sales!AJ53</f>
        <v>0</v>
      </c>
      <c r="AK11" s="679">
        <f>Sales!AK53</f>
        <v>0</v>
      </c>
      <c r="AL11" s="682">
        <f>Sales!AL53</f>
        <v>0</v>
      </c>
      <c r="AM11" s="682">
        <f>Sales!AM53</f>
        <v>0</v>
      </c>
      <c r="AN11" s="682">
        <f>Sales!AN53</f>
        <v>0</v>
      </c>
      <c r="AO11" s="682">
        <f>Sales!AO53</f>
        <v>0</v>
      </c>
      <c r="AP11" s="679">
        <f>Sales!AP53</f>
        <v>0</v>
      </c>
      <c r="AQ11" s="684">
        <f>Sales!AQ53</f>
        <v>0</v>
      </c>
      <c r="AR11" s="682">
        <f>Sales!AR53</f>
        <v>0</v>
      </c>
      <c r="AS11" s="685">
        <f>Sales!AS53</f>
        <v>74.8</v>
      </c>
      <c r="AT11" s="685">
        <f>Sales!AT53</f>
        <v>122.6</v>
      </c>
      <c r="AU11" s="679">
        <f>Sales!AU53</f>
        <v>0</v>
      </c>
      <c r="AV11" s="685">
        <f>Sales!AV53</f>
        <v>99.3</v>
      </c>
      <c r="AW11" s="685">
        <f>Sales!AW53</f>
        <v>116.5</v>
      </c>
      <c r="AX11" s="685">
        <f>Sales!AX53</f>
        <v>117.8</v>
      </c>
      <c r="AY11" s="685">
        <f>Sales!AY53</f>
        <v>131.80000000000001</v>
      </c>
      <c r="AZ11" s="671">
        <f>Sales!AZ53</f>
        <v>465.40000000000003</v>
      </c>
      <c r="BA11" s="685">
        <f>Sales!BA53</f>
        <v>129.1</v>
      </c>
      <c r="BB11" s="685">
        <f>Sales!BB53</f>
        <v>135.4</v>
      </c>
      <c r="BC11" s="685">
        <f>Sales!BC53</f>
        <v>114.3</v>
      </c>
      <c r="BD11" s="685">
        <f>Sales!BD53</f>
        <v>112</v>
      </c>
      <c r="BE11" s="671">
        <f>Sales!BE53</f>
        <v>490.8</v>
      </c>
      <c r="BF11" s="228">
        <f>Sales!BF53</f>
        <v>110</v>
      </c>
      <c r="BG11" s="228">
        <f>Sales!BG53</f>
        <v>120</v>
      </c>
      <c r="BH11" s="228">
        <f>Sales!BH53</f>
        <v>130</v>
      </c>
      <c r="BI11" s="228">
        <f>Sales!BI53</f>
        <v>132</v>
      </c>
      <c r="BJ11" s="671">
        <f>Sales!BJ53</f>
        <v>492</v>
      </c>
      <c r="BK11" s="228">
        <f>Sales!BK53</f>
        <v>0</v>
      </c>
      <c r="BL11" s="228">
        <f>Sales!BL53</f>
        <v>0</v>
      </c>
      <c r="BM11" s="228">
        <f>Sales!BM53</f>
        <v>0</v>
      </c>
      <c r="BN11" s="228">
        <f>Sales!BN53</f>
        <v>0</v>
      </c>
      <c r="BO11" s="671">
        <f>Sales!BO53</f>
        <v>608.6</v>
      </c>
      <c r="BP11" s="228">
        <f>Sales!BP53</f>
        <v>0</v>
      </c>
      <c r="BQ11" s="228">
        <f>Sales!BQ53</f>
        <v>0</v>
      </c>
      <c r="BR11" s="228">
        <f>Sales!BR53</f>
        <v>0</v>
      </c>
      <c r="BS11" s="228">
        <f>Sales!BS53</f>
        <v>0</v>
      </c>
      <c r="BT11" s="671">
        <f>Sales!BT53</f>
        <v>702.94399999999996</v>
      </c>
      <c r="BU11" s="228">
        <f>Sales!BU53</f>
        <v>0</v>
      </c>
      <c r="BV11" s="228">
        <f>Sales!BV53</f>
        <v>0</v>
      </c>
      <c r="BW11" s="228">
        <f>Sales!BW53</f>
        <v>0</v>
      </c>
      <c r="BX11" s="228">
        <f>Sales!BX53</f>
        <v>0</v>
      </c>
      <c r="BY11" s="671">
        <f>Sales!BY53</f>
        <v>816.19360000000006</v>
      </c>
      <c r="BZ11" s="228">
        <f>Sales!BZ53</f>
        <v>0</v>
      </c>
      <c r="CA11" s="228">
        <f>Sales!CA53</f>
        <v>0</v>
      </c>
      <c r="CB11" s="228">
        <f>Sales!CB53</f>
        <v>0</v>
      </c>
      <c r="CC11" s="228">
        <f>Sales!CC53</f>
        <v>0</v>
      </c>
      <c r="CD11" s="671">
        <f>Sales!CD53</f>
        <v>901.517472</v>
      </c>
    </row>
    <row r="12" spans="1:83" s="252" customFormat="1" hidden="1" outlineLevel="1">
      <c r="B12" s="674" t="str">
        <f>Sales!B56</f>
        <v>Total Contact Lenses</v>
      </c>
      <c r="C12" s="686">
        <f>Sales!C56</f>
        <v>0</v>
      </c>
      <c r="D12" s="687">
        <f>Sales!D56</f>
        <v>0</v>
      </c>
      <c r="E12" s="687">
        <f>Sales!E56</f>
        <v>0</v>
      </c>
      <c r="F12" s="687">
        <f>Sales!F56</f>
        <v>0</v>
      </c>
      <c r="G12" s="688">
        <f>Sales!G56</f>
        <v>0</v>
      </c>
      <c r="H12" s="687">
        <f>Sales!H56</f>
        <v>0</v>
      </c>
      <c r="I12" s="687">
        <f>Sales!I56</f>
        <v>0</v>
      </c>
      <c r="J12" s="687">
        <f>Sales!J56</f>
        <v>0</v>
      </c>
      <c r="K12" s="687">
        <f>Sales!K56</f>
        <v>0</v>
      </c>
      <c r="L12" s="688">
        <f>Sales!L56</f>
        <v>0</v>
      </c>
      <c r="M12" s="687">
        <f>Sales!M56</f>
        <v>0</v>
      </c>
      <c r="N12" s="687">
        <f>Sales!N56</f>
        <v>0</v>
      </c>
      <c r="O12" s="687">
        <f>Sales!O56</f>
        <v>0</v>
      </c>
      <c r="P12" s="687">
        <f>Sales!P56</f>
        <v>0</v>
      </c>
      <c r="Q12" s="688">
        <f>Sales!Q56</f>
        <v>0</v>
      </c>
      <c r="R12" s="687">
        <f>Sales!R56</f>
        <v>0</v>
      </c>
      <c r="S12" s="687">
        <f>Sales!S56</f>
        <v>0</v>
      </c>
      <c r="T12" s="687">
        <f>Sales!T56</f>
        <v>0</v>
      </c>
      <c r="U12" s="687">
        <f>Sales!U56</f>
        <v>0</v>
      </c>
      <c r="V12" s="688">
        <f>Sales!V56</f>
        <v>0</v>
      </c>
      <c r="W12" s="689">
        <f>Sales!W56</f>
        <v>0</v>
      </c>
      <c r="X12" s="682">
        <f>Sales!X56</f>
        <v>0</v>
      </c>
      <c r="Y12" s="682">
        <f>Sales!Y56</f>
        <v>0</v>
      </c>
      <c r="Z12" s="682">
        <f>Sales!Z56</f>
        <v>0</v>
      </c>
      <c r="AA12" s="679">
        <f>Sales!AA56</f>
        <v>0</v>
      </c>
      <c r="AB12" s="689">
        <f>Sales!AB56</f>
        <v>0</v>
      </c>
      <c r="AC12" s="689">
        <f>Sales!AC56</f>
        <v>0</v>
      </c>
      <c r="AD12" s="689">
        <f>Sales!AD56</f>
        <v>0</v>
      </c>
      <c r="AE12" s="689">
        <f>Sales!AE56</f>
        <v>0</v>
      </c>
      <c r="AF12" s="679">
        <f>Sales!AF56</f>
        <v>0</v>
      </c>
      <c r="AG12" s="689">
        <f>Sales!AG56</f>
        <v>0</v>
      </c>
      <c r="AH12" s="689">
        <f>Sales!AH56</f>
        <v>0</v>
      </c>
      <c r="AI12" s="689">
        <f>Sales!AI56</f>
        <v>0</v>
      </c>
      <c r="AJ12" s="689">
        <f>Sales!AJ56</f>
        <v>0</v>
      </c>
      <c r="AK12" s="679">
        <f>Sales!AK56</f>
        <v>0</v>
      </c>
      <c r="AL12" s="682">
        <f>Sales!AL56</f>
        <v>0</v>
      </c>
      <c r="AM12" s="682">
        <f>Sales!AM56</f>
        <v>0</v>
      </c>
      <c r="AN12" s="682">
        <f>Sales!AN56</f>
        <v>0</v>
      </c>
      <c r="AO12" s="682">
        <f>Sales!AO56</f>
        <v>0</v>
      </c>
      <c r="AP12" s="679">
        <f>Sales!AP56</f>
        <v>0</v>
      </c>
      <c r="AQ12" s="684">
        <f>Sales!AQ56</f>
        <v>0</v>
      </c>
      <c r="AR12" s="682">
        <f>Sales!AR56</f>
        <v>0</v>
      </c>
      <c r="AS12" s="685">
        <f>Sales!AS56</f>
        <v>24.6</v>
      </c>
      <c r="AT12" s="685">
        <f>Sales!AT56</f>
        <v>37.6</v>
      </c>
      <c r="AU12" s="679">
        <f>Sales!AU56</f>
        <v>0</v>
      </c>
      <c r="AV12" s="685">
        <f>Sales!AV56</f>
        <v>40.9</v>
      </c>
      <c r="AW12" s="685">
        <f>Sales!AW56</f>
        <v>42.1</v>
      </c>
      <c r="AX12" s="685">
        <f>Sales!AX56</f>
        <v>44.8</v>
      </c>
      <c r="AY12" s="685">
        <f>Sales!AY56</f>
        <v>42.6</v>
      </c>
      <c r="AZ12" s="671">
        <f>Sales!AZ56</f>
        <v>170.4</v>
      </c>
      <c r="BA12" s="685">
        <f>Sales!BA56</f>
        <v>47.7</v>
      </c>
      <c r="BB12" s="685">
        <f>Sales!BB56</f>
        <v>51.2</v>
      </c>
      <c r="BC12" s="690">
        <f>Sales!BC56</f>
        <v>60.4</v>
      </c>
      <c r="BD12" s="690">
        <f>Sales!BD56</f>
        <v>53.5</v>
      </c>
      <c r="BE12" s="671">
        <f>Sales!BE56</f>
        <v>212.8</v>
      </c>
      <c r="BF12" s="228">
        <f>Sales!BF56</f>
        <v>55</v>
      </c>
      <c r="BG12" s="228">
        <f>Sales!BG56</f>
        <v>57</v>
      </c>
      <c r="BH12" s="228">
        <f>Sales!BH56</f>
        <v>60</v>
      </c>
      <c r="BI12" s="228">
        <f>Sales!BI56</f>
        <v>65</v>
      </c>
      <c r="BJ12" s="671">
        <f>Sales!BJ56</f>
        <v>237</v>
      </c>
      <c r="BK12" s="228">
        <f>Sales!BK56</f>
        <v>0</v>
      </c>
      <c r="BL12" s="228">
        <f>Sales!BL56</f>
        <v>0</v>
      </c>
      <c r="BM12" s="228">
        <f>Sales!BM56</f>
        <v>0</v>
      </c>
      <c r="BN12" s="228">
        <f>Sales!BN56</f>
        <v>0</v>
      </c>
      <c r="BO12" s="671">
        <f>Sales!BO56</f>
        <v>265.44</v>
      </c>
      <c r="BP12" s="228">
        <f>Sales!BP56</f>
        <v>0</v>
      </c>
      <c r="BQ12" s="228">
        <f>Sales!BQ56</f>
        <v>0</v>
      </c>
      <c r="BR12" s="228">
        <f>Sales!BR56</f>
        <v>0</v>
      </c>
      <c r="BS12" s="228">
        <f>Sales!BS56</f>
        <v>0</v>
      </c>
      <c r="BT12" s="671">
        <f>Sales!BT56</f>
        <v>291.98400000000004</v>
      </c>
      <c r="BU12" s="228">
        <f>Sales!BU56</f>
        <v>0</v>
      </c>
      <c r="BV12" s="228">
        <f>Sales!BV56</f>
        <v>0</v>
      </c>
      <c r="BW12" s="228">
        <f>Sales!BW56</f>
        <v>0</v>
      </c>
      <c r="BX12" s="228">
        <f>Sales!BX56</f>
        <v>0</v>
      </c>
      <c r="BY12" s="671">
        <f>Sales!BY56</f>
        <v>321.18240000000009</v>
      </c>
      <c r="BZ12" s="228">
        <f>Sales!BZ56</f>
        <v>0</v>
      </c>
      <c r="CA12" s="228">
        <f>Sales!CA56</f>
        <v>0</v>
      </c>
      <c r="CB12" s="228">
        <f>Sales!CB56</f>
        <v>0</v>
      </c>
      <c r="CC12" s="228">
        <f>Sales!CC56</f>
        <v>0</v>
      </c>
      <c r="CD12" s="671">
        <f>Sales!CD56</f>
        <v>353.3006400000001</v>
      </c>
    </row>
    <row r="13" spans="1:83" s="285" customFormat="1" hidden="1" outlineLevel="1">
      <c r="B13" s="674" t="str">
        <f>Sales!B59</f>
        <v>Total Surgical</v>
      </c>
      <c r="C13" s="686">
        <f>Sales!C59</f>
        <v>0</v>
      </c>
      <c r="D13" s="687">
        <f>Sales!D59</f>
        <v>0</v>
      </c>
      <c r="E13" s="687">
        <f>Sales!E59</f>
        <v>0</v>
      </c>
      <c r="F13" s="687">
        <f>Sales!F59</f>
        <v>0</v>
      </c>
      <c r="G13" s="688">
        <f>Sales!G59</f>
        <v>0</v>
      </c>
      <c r="H13" s="687">
        <f>Sales!H59</f>
        <v>0</v>
      </c>
      <c r="I13" s="687">
        <f>Sales!I59</f>
        <v>0</v>
      </c>
      <c r="J13" s="687">
        <f>Sales!J59</f>
        <v>0</v>
      </c>
      <c r="K13" s="687">
        <f>Sales!K59</f>
        <v>0</v>
      </c>
      <c r="L13" s="688">
        <f>Sales!L59</f>
        <v>0</v>
      </c>
      <c r="M13" s="687">
        <f>Sales!M59</f>
        <v>0</v>
      </c>
      <c r="N13" s="687">
        <f>Sales!N59</f>
        <v>0</v>
      </c>
      <c r="O13" s="687">
        <f>Sales!O59</f>
        <v>0</v>
      </c>
      <c r="P13" s="687">
        <f>Sales!P59</f>
        <v>0</v>
      </c>
      <c r="Q13" s="688">
        <f>Sales!Q59</f>
        <v>0</v>
      </c>
      <c r="R13" s="687">
        <f>Sales!R59</f>
        <v>0</v>
      </c>
      <c r="S13" s="687">
        <f>Sales!S59</f>
        <v>0</v>
      </c>
      <c r="T13" s="687">
        <f>Sales!T59</f>
        <v>0</v>
      </c>
      <c r="U13" s="687">
        <f>Sales!U59</f>
        <v>0</v>
      </c>
      <c r="V13" s="688">
        <f>Sales!V59</f>
        <v>0</v>
      </c>
      <c r="W13" s="689">
        <f>Sales!W59</f>
        <v>0</v>
      </c>
      <c r="X13" s="682">
        <f>Sales!X59</f>
        <v>0</v>
      </c>
      <c r="Y13" s="682">
        <f>Sales!Y59</f>
        <v>0</v>
      </c>
      <c r="Z13" s="682">
        <f>Sales!Z59</f>
        <v>0</v>
      </c>
      <c r="AA13" s="679">
        <f>Sales!AA59</f>
        <v>0</v>
      </c>
      <c r="AB13" s="689">
        <f>Sales!AB59</f>
        <v>0</v>
      </c>
      <c r="AC13" s="689">
        <f>Sales!AC59</f>
        <v>0</v>
      </c>
      <c r="AD13" s="689">
        <f>Sales!AD59</f>
        <v>0</v>
      </c>
      <c r="AE13" s="689">
        <f>Sales!AE59</f>
        <v>0</v>
      </c>
      <c r="AF13" s="679">
        <f>Sales!AF59</f>
        <v>0</v>
      </c>
      <c r="AG13" s="689">
        <f>Sales!AG59</f>
        <v>0</v>
      </c>
      <c r="AH13" s="689">
        <f>Sales!AH59</f>
        <v>0</v>
      </c>
      <c r="AI13" s="689">
        <f>Sales!AI59</f>
        <v>0</v>
      </c>
      <c r="AJ13" s="689">
        <f>Sales!AJ59</f>
        <v>0</v>
      </c>
      <c r="AK13" s="679">
        <f>Sales!AK59</f>
        <v>0</v>
      </c>
      <c r="AL13" s="682">
        <f>Sales!AL59</f>
        <v>0</v>
      </c>
      <c r="AM13" s="682">
        <f>Sales!AM59</f>
        <v>0</v>
      </c>
      <c r="AN13" s="682">
        <f>Sales!AN59</f>
        <v>0</v>
      </c>
      <c r="AO13" s="682">
        <f>Sales!AO59</f>
        <v>0</v>
      </c>
      <c r="AP13" s="679">
        <f>Sales!AP59</f>
        <v>0</v>
      </c>
      <c r="AQ13" s="684">
        <f>Sales!AQ59</f>
        <v>0</v>
      </c>
      <c r="AR13" s="682">
        <f>Sales!AR59</f>
        <v>0</v>
      </c>
      <c r="AS13" s="685">
        <f>Sales!AS59</f>
        <v>31.1</v>
      </c>
      <c r="AT13" s="685">
        <f>Sales!AT59</f>
        <v>59.3</v>
      </c>
      <c r="AU13" s="679">
        <f>Sales!AU59</f>
        <v>0</v>
      </c>
      <c r="AV13" s="685">
        <f>Sales!AV59</f>
        <v>48.3</v>
      </c>
      <c r="AW13" s="685">
        <f>Sales!AW59</f>
        <v>56.2</v>
      </c>
      <c r="AX13" s="685">
        <f>Sales!AX59</f>
        <v>54</v>
      </c>
      <c r="AY13" s="685">
        <f>Sales!AY59</f>
        <v>56.6</v>
      </c>
      <c r="AZ13" s="671">
        <f>Sales!AZ59</f>
        <v>215.1</v>
      </c>
      <c r="BA13" s="685">
        <f>Sales!BA59</f>
        <v>48.1</v>
      </c>
      <c r="BB13" s="685">
        <f>Sales!BB59</f>
        <v>56.5</v>
      </c>
      <c r="BC13" s="690">
        <f>Sales!BC59</f>
        <v>54.6</v>
      </c>
      <c r="BD13" s="690">
        <f>Sales!BD59</f>
        <v>65.400000000000006</v>
      </c>
      <c r="BE13" s="671">
        <f>Sales!BE59</f>
        <v>224.6</v>
      </c>
      <c r="BF13" s="228">
        <f>Sales!BF59</f>
        <v>75</v>
      </c>
      <c r="BG13" s="228">
        <f>Sales!BG59</f>
        <v>77</v>
      </c>
      <c r="BH13" s="228">
        <f>Sales!BH59</f>
        <v>78</v>
      </c>
      <c r="BI13" s="228">
        <f>Sales!BI59</f>
        <v>80</v>
      </c>
      <c r="BJ13" s="671">
        <f>Sales!BJ59</f>
        <v>310</v>
      </c>
      <c r="BK13" s="228">
        <f>Sales!BK59</f>
        <v>0</v>
      </c>
      <c r="BL13" s="228">
        <f>Sales!BL59</f>
        <v>0</v>
      </c>
      <c r="BM13" s="228">
        <f>Sales!BM59</f>
        <v>0</v>
      </c>
      <c r="BN13" s="228">
        <f>Sales!BN59</f>
        <v>0</v>
      </c>
      <c r="BO13" s="671">
        <f>Sales!BO59</f>
        <v>319.3</v>
      </c>
      <c r="BP13" s="228">
        <f>Sales!BP59</f>
        <v>0</v>
      </c>
      <c r="BQ13" s="228">
        <f>Sales!BQ59</f>
        <v>0</v>
      </c>
      <c r="BR13" s="228">
        <f>Sales!BR59</f>
        <v>0</v>
      </c>
      <c r="BS13" s="228">
        <f>Sales!BS59</f>
        <v>0</v>
      </c>
      <c r="BT13" s="671">
        <f>Sales!BT59</f>
        <v>328.87900000000002</v>
      </c>
      <c r="BU13" s="228">
        <f>Sales!BU59</f>
        <v>0</v>
      </c>
      <c r="BV13" s="228">
        <f>Sales!BV59</f>
        <v>0</v>
      </c>
      <c r="BW13" s="228">
        <f>Sales!BW59</f>
        <v>0</v>
      </c>
      <c r="BX13" s="228">
        <f>Sales!BX59</f>
        <v>0</v>
      </c>
      <c r="BY13" s="671">
        <f>Sales!BY59</f>
        <v>335.45658000000003</v>
      </c>
      <c r="BZ13" s="228">
        <f>Sales!BZ59</f>
        <v>0</v>
      </c>
      <c r="CA13" s="228">
        <f>Sales!CA59</f>
        <v>0</v>
      </c>
      <c r="CB13" s="228">
        <f>Sales!CB59</f>
        <v>0</v>
      </c>
      <c r="CC13" s="228">
        <f>Sales!CC59</f>
        <v>0</v>
      </c>
      <c r="CD13" s="671">
        <f>Sales!CD59</f>
        <v>342.16571160000007</v>
      </c>
    </row>
    <row r="14" spans="1:83" s="355" customFormat="1" ht="13" hidden="1" outlineLevel="1">
      <c r="A14" s="349"/>
      <c r="B14" s="674" t="str">
        <f>Sales!B81</f>
        <v>Total Dental</v>
      </c>
      <c r="C14" s="686">
        <f>Sales!C81</f>
        <v>0</v>
      </c>
      <c r="D14" s="687">
        <f>Sales!D81</f>
        <v>0</v>
      </c>
      <c r="E14" s="687">
        <f>Sales!E81</f>
        <v>0</v>
      </c>
      <c r="F14" s="687">
        <f>Sales!F81</f>
        <v>0</v>
      </c>
      <c r="G14" s="688">
        <f>Sales!G81</f>
        <v>0</v>
      </c>
      <c r="H14" s="687">
        <f>Sales!H81</f>
        <v>0</v>
      </c>
      <c r="I14" s="687">
        <f>Sales!I81</f>
        <v>0</v>
      </c>
      <c r="J14" s="687">
        <f>Sales!J81</f>
        <v>0</v>
      </c>
      <c r="K14" s="687">
        <f>Sales!K81</f>
        <v>0</v>
      </c>
      <c r="L14" s="688">
        <f>Sales!L81</f>
        <v>0</v>
      </c>
      <c r="M14" s="687">
        <f>Sales!M81</f>
        <v>0</v>
      </c>
      <c r="N14" s="687">
        <f>Sales!N81</f>
        <v>0</v>
      </c>
      <c r="O14" s="687">
        <f>Sales!O81</f>
        <v>0</v>
      </c>
      <c r="P14" s="687">
        <f>Sales!P81</f>
        <v>0</v>
      </c>
      <c r="Q14" s="688">
        <f>Sales!Q81</f>
        <v>0</v>
      </c>
      <c r="R14" s="687">
        <f>Sales!R81</f>
        <v>0</v>
      </c>
      <c r="S14" s="687">
        <f>Sales!S81</f>
        <v>0</v>
      </c>
      <c r="T14" s="687">
        <f>Sales!T81</f>
        <v>0</v>
      </c>
      <c r="U14" s="687">
        <f>Sales!U81</f>
        <v>0</v>
      </c>
      <c r="V14" s="688">
        <f>Sales!V81</f>
        <v>0</v>
      </c>
      <c r="W14" s="689">
        <f>Sales!W81</f>
        <v>0</v>
      </c>
      <c r="X14" s="682">
        <f>Sales!X81</f>
        <v>0</v>
      </c>
      <c r="Y14" s="682">
        <f>Sales!Y81</f>
        <v>0</v>
      </c>
      <c r="Z14" s="682">
        <f>Sales!Z81</f>
        <v>0</v>
      </c>
      <c r="AA14" s="679">
        <f>Sales!AA81</f>
        <v>0</v>
      </c>
      <c r="AB14" s="689">
        <f>Sales!AB81</f>
        <v>0</v>
      </c>
      <c r="AC14" s="689">
        <f>Sales!AC81</f>
        <v>0</v>
      </c>
      <c r="AD14" s="689">
        <f>Sales!AD81</f>
        <v>0</v>
      </c>
      <c r="AE14" s="689">
        <f>Sales!AE81</f>
        <v>0</v>
      </c>
      <c r="AF14" s="679">
        <f>Sales!AF81</f>
        <v>0</v>
      </c>
      <c r="AG14" s="689">
        <f>Sales!AG81</f>
        <v>0</v>
      </c>
      <c r="AH14" s="689">
        <f>Sales!AH81</f>
        <v>0</v>
      </c>
      <c r="AI14" s="689">
        <f>Sales!AI81</f>
        <v>0</v>
      </c>
      <c r="AJ14" s="689">
        <f>Sales!AJ81</f>
        <v>0</v>
      </c>
      <c r="AK14" s="679">
        <f>Sales!AK81</f>
        <v>0</v>
      </c>
      <c r="AL14" s="682">
        <f>Sales!AL81</f>
        <v>0</v>
      </c>
      <c r="AM14" s="682">
        <f>Sales!AM81</f>
        <v>0</v>
      </c>
      <c r="AN14" s="682">
        <f>Sales!AN81</f>
        <v>0</v>
      </c>
      <c r="AO14" s="682">
        <f>Sales!AO81</f>
        <v>0</v>
      </c>
      <c r="AP14" s="679">
        <f>Sales!AP81</f>
        <v>0</v>
      </c>
      <c r="AQ14" s="684">
        <f>Sales!AQ81</f>
        <v>0</v>
      </c>
      <c r="AR14" s="682">
        <f>Sales!AR81</f>
        <v>0</v>
      </c>
      <c r="AS14" s="685">
        <f>Sales!AS81</f>
        <v>27</v>
      </c>
      <c r="AT14" s="685">
        <f>Sales!AT81</f>
        <v>29.8</v>
      </c>
      <c r="AU14" s="679">
        <f>Sales!AU81</f>
        <v>0</v>
      </c>
      <c r="AV14" s="685">
        <f>Sales!AV81</f>
        <v>18.2</v>
      </c>
      <c r="AW14" s="685">
        <f>Sales!AW81</f>
        <v>31.7</v>
      </c>
      <c r="AX14" s="685">
        <f>Sales!AX81</f>
        <v>32.4</v>
      </c>
      <c r="AY14" s="685">
        <f>Sales!AY81</f>
        <v>41.1</v>
      </c>
      <c r="AZ14" s="671">
        <f>Sales!AZ81</f>
        <v>123.4</v>
      </c>
      <c r="BA14" s="685">
        <f>Sales!BA81</f>
        <v>34.799999999999997</v>
      </c>
      <c r="BB14" s="685">
        <f>Sales!BB81</f>
        <v>59</v>
      </c>
      <c r="BC14" s="690">
        <f>Sales!BC81</f>
        <v>43.8</v>
      </c>
      <c r="BD14" s="690">
        <f>Sales!BD81</f>
        <v>44.7</v>
      </c>
      <c r="BE14" s="671">
        <f>Sales!BE81</f>
        <v>182.3</v>
      </c>
      <c r="BF14" s="228">
        <f>Sales!BF81</f>
        <v>42</v>
      </c>
      <c r="BG14" s="228">
        <f>Sales!BG81</f>
        <v>48</v>
      </c>
      <c r="BH14" s="228">
        <f>Sales!BH81</f>
        <v>50</v>
      </c>
      <c r="BI14" s="228">
        <f>Sales!BI81</f>
        <v>50</v>
      </c>
      <c r="BJ14" s="671">
        <f>Sales!BJ81</f>
        <v>190</v>
      </c>
      <c r="BK14" s="228">
        <f>Sales!BK81</f>
        <v>0</v>
      </c>
      <c r="BL14" s="228">
        <f>Sales!BL81</f>
        <v>0</v>
      </c>
      <c r="BM14" s="228">
        <f>Sales!BM81</f>
        <v>0</v>
      </c>
      <c r="BN14" s="228">
        <f>Sales!BN81</f>
        <v>0</v>
      </c>
      <c r="BO14" s="671">
        <f>Sales!BO81</f>
        <v>209</v>
      </c>
      <c r="BP14" s="228">
        <f>Sales!BP81</f>
        <v>0</v>
      </c>
      <c r="BQ14" s="228">
        <f>Sales!BQ81</f>
        <v>0</v>
      </c>
      <c r="BR14" s="228">
        <f>Sales!BR81</f>
        <v>0</v>
      </c>
      <c r="BS14" s="228">
        <f>Sales!BS81</f>
        <v>0</v>
      </c>
      <c r="BT14" s="671">
        <f>Sales!BT81</f>
        <v>229.90000000000003</v>
      </c>
      <c r="BU14" s="228">
        <f>Sales!BU81</f>
        <v>0</v>
      </c>
      <c r="BV14" s="228">
        <f>Sales!BV81</f>
        <v>0</v>
      </c>
      <c r="BW14" s="228">
        <f>Sales!BW81</f>
        <v>0</v>
      </c>
      <c r="BX14" s="228">
        <f>Sales!BX81</f>
        <v>0</v>
      </c>
      <c r="BY14" s="671">
        <f>Sales!BY81</f>
        <v>251.92200000000005</v>
      </c>
      <c r="BZ14" s="228">
        <f>Sales!BZ81</f>
        <v>0</v>
      </c>
      <c r="CA14" s="228">
        <f>Sales!CA81</f>
        <v>0</v>
      </c>
      <c r="CB14" s="228">
        <f>Sales!CB81</f>
        <v>0</v>
      </c>
      <c r="CC14" s="228">
        <f>Sales!CC81</f>
        <v>0</v>
      </c>
      <c r="CD14" s="671">
        <f>Sales!CD81</f>
        <v>275.02332000000007</v>
      </c>
    </row>
    <row r="15" spans="1:83" s="252" customFormat="1" hidden="1" outlineLevel="1">
      <c r="B15" s="674" t="str">
        <f>Sales!B84</f>
        <v>Total Oncology/Urology (Provenge)</v>
      </c>
      <c r="C15" s="686">
        <f>Sales!C84</f>
        <v>0</v>
      </c>
      <c r="D15" s="687">
        <f>Sales!D84</f>
        <v>0</v>
      </c>
      <c r="E15" s="687">
        <f>Sales!E84</f>
        <v>0</v>
      </c>
      <c r="F15" s="687">
        <f>Sales!F84</f>
        <v>0</v>
      </c>
      <c r="G15" s="688">
        <f>Sales!G84</f>
        <v>0</v>
      </c>
      <c r="H15" s="687">
        <f>Sales!H84</f>
        <v>0</v>
      </c>
      <c r="I15" s="687">
        <f>Sales!I84</f>
        <v>0</v>
      </c>
      <c r="J15" s="687">
        <f>Sales!J84</f>
        <v>0</v>
      </c>
      <c r="K15" s="687">
        <f>Sales!K84</f>
        <v>0</v>
      </c>
      <c r="L15" s="688">
        <f>Sales!L84</f>
        <v>0</v>
      </c>
      <c r="M15" s="687">
        <f>Sales!M84</f>
        <v>0</v>
      </c>
      <c r="N15" s="687">
        <f>Sales!N84</f>
        <v>0</v>
      </c>
      <c r="O15" s="687">
        <f>Sales!O84</f>
        <v>0</v>
      </c>
      <c r="P15" s="687">
        <f>Sales!P84</f>
        <v>0</v>
      </c>
      <c r="Q15" s="688">
        <f>Sales!Q84</f>
        <v>0</v>
      </c>
      <c r="R15" s="687">
        <f>Sales!R84</f>
        <v>0</v>
      </c>
      <c r="S15" s="687">
        <f>Sales!S84</f>
        <v>0</v>
      </c>
      <c r="T15" s="687">
        <f>Sales!T84</f>
        <v>0</v>
      </c>
      <c r="U15" s="687">
        <f>Sales!U84</f>
        <v>0</v>
      </c>
      <c r="V15" s="688">
        <f>Sales!V84</f>
        <v>0</v>
      </c>
      <c r="W15" s="689">
        <f>Sales!W84</f>
        <v>0</v>
      </c>
      <c r="X15" s="682">
        <f>Sales!X84</f>
        <v>0</v>
      </c>
      <c r="Y15" s="682">
        <f>Sales!Y84</f>
        <v>0</v>
      </c>
      <c r="Z15" s="682">
        <f>Sales!Z84</f>
        <v>0</v>
      </c>
      <c r="AA15" s="679">
        <f>Sales!AA84</f>
        <v>0</v>
      </c>
      <c r="AB15" s="689">
        <f>Sales!AB84</f>
        <v>0</v>
      </c>
      <c r="AC15" s="689">
        <f>Sales!AC84</f>
        <v>0</v>
      </c>
      <c r="AD15" s="689">
        <f>Sales!AD84</f>
        <v>0</v>
      </c>
      <c r="AE15" s="689">
        <f>Sales!AE84</f>
        <v>0</v>
      </c>
      <c r="AF15" s="679">
        <f>Sales!AF84</f>
        <v>0</v>
      </c>
      <c r="AG15" s="689">
        <f>Sales!AG84</f>
        <v>0</v>
      </c>
      <c r="AH15" s="689">
        <f>Sales!AH84</f>
        <v>0</v>
      </c>
      <c r="AI15" s="689">
        <f>Sales!AI84</f>
        <v>0</v>
      </c>
      <c r="AJ15" s="689">
        <f>Sales!AJ84</f>
        <v>0</v>
      </c>
      <c r="AK15" s="679">
        <f>Sales!AK84</f>
        <v>0</v>
      </c>
      <c r="AL15" s="682">
        <f>Sales!AL84</f>
        <v>0</v>
      </c>
      <c r="AM15" s="682">
        <f>Sales!AM84</f>
        <v>0</v>
      </c>
      <c r="AN15" s="682">
        <f>Sales!AN84</f>
        <v>0</v>
      </c>
      <c r="AO15" s="682">
        <f>Sales!AO84</f>
        <v>0</v>
      </c>
      <c r="AP15" s="679">
        <f>Sales!AP84</f>
        <v>0</v>
      </c>
      <c r="AQ15" s="684">
        <f>Sales!AQ84</f>
        <v>0</v>
      </c>
      <c r="AR15" s="682">
        <f>Sales!AR84</f>
        <v>0</v>
      </c>
      <c r="AS15" s="685">
        <f>Sales!AS84</f>
        <v>0</v>
      </c>
      <c r="AT15" s="685">
        <f>Sales!AT84</f>
        <v>0</v>
      </c>
      <c r="AU15" s="679">
        <f>Sales!AU84</f>
        <v>0</v>
      </c>
      <c r="AV15" s="685">
        <f>Sales!AV84</f>
        <v>0</v>
      </c>
      <c r="AW15" s="685">
        <f>Sales!AW84</f>
        <v>0</v>
      </c>
      <c r="AX15" s="685">
        <f>Sales!AX84</f>
        <v>0</v>
      </c>
      <c r="AY15" s="685">
        <f>Sales!AY84</f>
        <v>0</v>
      </c>
      <c r="AZ15" s="671">
        <f>Sales!AZ84</f>
        <v>0</v>
      </c>
      <c r="BA15" s="685">
        <f>Sales!BA84</f>
        <v>30.1</v>
      </c>
      <c r="BB15" s="685">
        <f>Sales!BB84</f>
        <v>73.7</v>
      </c>
      <c r="BC15" s="690">
        <f>Sales!BC84</f>
        <v>69.3</v>
      </c>
      <c r="BD15" s="690">
        <f>Sales!BD84</f>
        <v>77</v>
      </c>
      <c r="BE15" s="671">
        <f>Sales!BE84</f>
        <v>250.10000000000002</v>
      </c>
      <c r="BF15" s="228">
        <f>Sales!BF84</f>
        <v>75</v>
      </c>
      <c r="BG15" s="228">
        <f>Sales!BG84</f>
        <v>75</v>
      </c>
      <c r="BH15" s="228">
        <f>Sales!BH84</f>
        <v>77</v>
      </c>
      <c r="BI15" s="228">
        <f>Sales!BI84</f>
        <v>78</v>
      </c>
      <c r="BJ15" s="671">
        <f>Sales!BJ84</f>
        <v>305</v>
      </c>
      <c r="BK15" s="228">
        <f>Sales!BK84</f>
        <v>0</v>
      </c>
      <c r="BL15" s="228">
        <f>Sales!BL84</f>
        <v>0</v>
      </c>
      <c r="BM15" s="228">
        <f>Sales!BM84</f>
        <v>0</v>
      </c>
      <c r="BN15" s="228">
        <f>Sales!BN84</f>
        <v>0</v>
      </c>
      <c r="BO15" s="671">
        <f>Sales!BO84</f>
        <v>314.15000000000003</v>
      </c>
      <c r="BP15" s="228">
        <f>Sales!BP84</f>
        <v>0</v>
      </c>
      <c r="BQ15" s="228">
        <f>Sales!BQ84</f>
        <v>0</v>
      </c>
      <c r="BR15" s="228">
        <f>Sales!BR84</f>
        <v>0</v>
      </c>
      <c r="BS15" s="228">
        <f>Sales!BS84</f>
        <v>0</v>
      </c>
      <c r="BT15" s="671">
        <f>Sales!BT84</f>
        <v>320.43300000000005</v>
      </c>
      <c r="BU15" s="228">
        <f>Sales!BU84</f>
        <v>0</v>
      </c>
      <c r="BV15" s="228">
        <f>Sales!BV84</f>
        <v>0</v>
      </c>
      <c r="BW15" s="228">
        <f>Sales!BW84</f>
        <v>0</v>
      </c>
      <c r="BX15" s="228">
        <f>Sales!BX84</f>
        <v>0</v>
      </c>
      <c r="BY15" s="671">
        <f>Sales!BY84</f>
        <v>326.84166000000005</v>
      </c>
      <c r="BZ15" s="228">
        <f>Sales!BZ84</f>
        <v>0</v>
      </c>
      <c r="CA15" s="228">
        <f>Sales!CA84</f>
        <v>0</v>
      </c>
      <c r="CB15" s="228">
        <f>Sales!CB84</f>
        <v>0</v>
      </c>
      <c r="CC15" s="228">
        <f>Sales!CC84</f>
        <v>0</v>
      </c>
      <c r="CD15" s="671">
        <f>Sales!CD84</f>
        <v>326.84166000000005</v>
      </c>
    </row>
    <row r="16" spans="1:83" s="691" customFormat="1" hidden="1" outlineLevel="1">
      <c r="B16" s="674" t="str">
        <f>Sales!B87</f>
        <v>Total Women's Health (Addyi)</v>
      </c>
      <c r="C16" s="686">
        <f>Sales!C87</f>
        <v>0</v>
      </c>
      <c r="D16" s="687">
        <f>Sales!D87</f>
        <v>0</v>
      </c>
      <c r="E16" s="687">
        <f>Sales!E87</f>
        <v>0</v>
      </c>
      <c r="F16" s="687">
        <f>Sales!F87</f>
        <v>0</v>
      </c>
      <c r="G16" s="688">
        <f>Sales!G87</f>
        <v>0</v>
      </c>
      <c r="H16" s="687">
        <f>Sales!H87</f>
        <v>0</v>
      </c>
      <c r="I16" s="687">
        <f>Sales!I87</f>
        <v>0</v>
      </c>
      <c r="J16" s="687">
        <f>Sales!J87</f>
        <v>0</v>
      </c>
      <c r="K16" s="687">
        <f>Sales!K87</f>
        <v>0</v>
      </c>
      <c r="L16" s="688">
        <f>Sales!L87</f>
        <v>0</v>
      </c>
      <c r="M16" s="687">
        <f>Sales!M87</f>
        <v>0</v>
      </c>
      <c r="N16" s="687">
        <f>Sales!N87</f>
        <v>0</v>
      </c>
      <c r="O16" s="687">
        <f>Sales!O87</f>
        <v>0</v>
      </c>
      <c r="P16" s="687">
        <f>Sales!P87</f>
        <v>0</v>
      </c>
      <c r="Q16" s="688">
        <f>Sales!Q87</f>
        <v>0</v>
      </c>
      <c r="R16" s="687">
        <f>Sales!R87</f>
        <v>0</v>
      </c>
      <c r="S16" s="687">
        <f>Sales!S87</f>
        <v>0</v>
      </c>
      <c r="T16" s="687">
        <f>Sales!T87</f>
        <v>0</v>
      </c>
      <c r="U16" s="687">
        <f>Sales!U87</f>
        <v>0</v>
      </c>
      <c r="V16" s="688">
        <f>Sales!V87</f>
        <v>0</v>
      </c>
      <c r="W16" s="689">
        <f>Sales!W87</f>
        <v>0</v>
      </c>
      <c r="X16" s="682">
        <f>Sales!X87</f>
        <v>0</v>
      </c>
      <c r="Y16" s="682">
        <f>Sales!Y87</f>
        <v>0</v>
      </c>
      <c r="Z16" s="682">
        <f>Sales!Z87</f>
        <v>0</v>
      </c>
      <c r="AA16" s="679">
        <f>Sales!AA87</f>
        <v>0</v>
      </c>
      <c r="AB16" s="689">
        <f>Sales!AB87</f>
        <v>0</v>
      </c>
      <c r="AC16" s="689">
        <f>Sales!AC87</f>
        <v>0</v>
      </c>
      <c r="AD16" s="689">
        <f>Sales!AD87</f>
        <v>0</v>
      </c>
      <c r="AE16" s="689">
        <f>Sales!AE87</f>
        <v>0</v>
      </c>
      <c r="AF16" s="679">
        <f>Sales!AF87</f>
        <v>0</v>
      </c>
      <c r="AG16" s="689">
        <f>Sales!AG87</f>
        <v>0</v>
      </c>
      <c r="AH16" s="689">
        <f>Sales!AH87</f>
        <v>0</v>
      </c>
      <c r="AI16" s="689">
        <f>Sales!AI87</f>
        <v>0</v>
      </c>
      <c r="AJ16" s="689">
        <f>Sales!AJ87</f>
        <v>0</v>
      </c>
      <c r="AK16" s="679">
        <f>Sales!AK87</f>
        <v>0</v>
      </c>
      <c r="AL16" s="682">
        <f>Sales!AL87</f>
        <v>0</v>
      </c>
      <c r="AM16" s="682">
        <f>Sales!AM87</f>
        <v>0</v>
      </c>
      <c r="AN16" s="682">
        <f>Sales!AN87</f>
        <v>0</v>
      </c>
      <c r="AO16" s="682">
        <f>Sales!AO87</f>
        <v>0</v>
      </c>
      <c r="AP16" s="679">
        <f>Sales!AP87</f>
        <v>0</v>
      </c>
      <c r="AQ16" s="684">
        <f>Sales!AQ87</f>
        <v>0</v>
      </c>
      <c r="AR16" s="682">
        <f>Sales!AR87</f>
        <v>0</v>
      </c>
      <c r="AS16" s="685">
        <f>Sales!AS87</f>
        <v>0</v>
      </c>
      <c r="AT16" s="685">
        <f>Sales!AT87</f>
        <v>0</v>
      </c>
      <c r="AU16" s="679">
        <f>Sales!AU87</f>
        <v>0</v>
      </c>
      <c r="AV16" s="685">
        <f>Sales!AV87</f>
        <v>0</v>
      </c>
      <c r="AW16" s="685">
        <f>Sales!AW87</f>
        <v>0</v>
      </c>
      <c r="AX16" s="685">
        <f>Sales!AX87</f>
        <v>0</v>
      </c>
      <c r="AY16" s="685">
        <f>Sales!AY87</f>
        <v>0</v>
      </c>
      <c r="AZ16" s="671">
        <f>Sales!AZ87</f>
        <v>0</v>
      </c>
      <c r="BA16" s="685">
        <f>Sales!BA87</f>
        <v>0</v>
      </c>
      <c r="BB16" s="685">
        <f>Sales!BB87</f>
        <v>0</v>
      </c>
      <c r="BC16" s="690">
        <f>Sales!BC87</f>
        <v>0</v>
      </c>
      <c r="BD16" s="690">
        <f>Sales!BD87</f>
        <v>0</v>
      </c>
      <c r="BE16" s="671">
        <f>Sales!BE87</f>
        <v>0</v>
      </c>
      <c r="BF16" s="228">
        <f>Sales!BF87</f>
        <v>3</v>
      </c>
      <c r="BG16" s="228">
        <f>Sales!BG87</f>
        <v>5</v>
      </c>
      <c r="BH16" s="228">
        <f>Sales!BH87</f>
        <v>5</v>
      </c>
      <c r="BI16" s="228">
        <f>Sales!BI87</f>
        <v>10</v>
      </c>
      <c r="BJ16" s="671">
        <f>Sales!BJ87</f>
        <v>23</v>
      </c>
      <c r="BK16" s="228">
        <f>Sales!BK87</f>
        <v>0</v>
      </c>
      <c r="BL16" s="228">
        <f>Sales!BL87</f>
        <v>0</v>
      </c>
      <c r="BM16" s="228">
        <f>Sales!BM87</f>
        <v>0</v>
      </c>
      <c r="BN16" s="228">
        <f>Sales!BN87</f>
        <v>0</v>
      </c>
      <c r="BO16" s="671">
        <f>Sales!BO87</f>
        <v>34.5</v>
      </c>
      <c r="BP16" s="228">
        <f>Sales!BP87</f>
        <v>0</v>
      </c>
      <c r="BQ16" s="228">
        <f>Sales!BQ87</f>
        <v>0</v>
      </c>
      <c r="BR16" s="228">
        <f>Sales!BR87</f>
        <v>0</v>
      </c>
      <c r="BS16" s="228">
        <f>Sales!BS87</f>
        <v>0</v>
      </c>
      <c r="BT16" s="671">
        <f>Sales!BT87</f>
        <v>44.85</v>
      </c>
      <c r="BU16" s="228">
        <f>Sales!BU87</f>
        <v>0</v>
      </c>
      <c r="BV16" s="228">
        <f>Sales!BV87</f>
        <v>0</v>
      </c>
      <c r="BW16" s="228">
        <f>Sales!BW87</f>
        <v>0</v>
      </c>
      <c r="BX16" s="228">
        <f>Sales!BX87</f>
        <v>0</v>
      </c>
      <c r="BY16" s="671">
        <f>Sales!BY87</f>
        <v>56.0625</v>
      </c>
      <c r="BZ16" s="228">
        <f>Sales!BZ87</f>
        <v>0</v>
      </c>
      <c r="CA16" s="228">
        <f>Sales!CA87</f>
        <v>0</v>
      </c>
      <c r="CB16" s="228">
        <f>Sales!CB87</f>
        <v>0</v>
      </c>
      <c r="CC16" s="228">
        <f>Sales!CC87</f>
        <v>0</v>
      </c>
      <c r="CD16" s="671">
        <f>Sales!CD87</f>
        <v>67.274999999999991</v>
      </c>
    </row>
    <row r="17" spans="1:83" s="198" customFormat="1">
      <c r="A17" s="12"/>
      <c r="B17" s="574" t="s">
        <v>76</v>
      </c>
      <c r="C17" s="269"/>
      <c r="D17" s="269"/>
      <c r="E17" s="269"/>
      <c r="F17" s="269"/>
      <c r="G17" s="270"/>
      <c r="H17" s="269"/>
      <c r="I17" s="269"/>
      <c r="J17" s="269"/>
      <c r="K17" s="269"/>
      <c r="L17" s="270"/>
      <c r="M17" s="269"/>
      <c r="N17" s="269"/>
      <c r="O17" s="269"/>
      <c r="P17" s="269"/>
      <c r="Q17" s="270"/>
      <c r="R17" s="269"/>
      <c r="S17" s="269"/>
      <c r="T17" s="269"/>
      <c r="U17" s="269"/>
      <c r="V17" s="271"/>
      <c r="W17" s="272"/>
      <c r="X17" s="272"/>
      <c r="Y17" s="272"/>
      <c r="Z17" s="272"/>
      <c r="AA17" s="271"/>
      <c r="AB17" s="272"/>
      <c r="AC17" s="272"/>
      <c r="AD17" s="272"/>
      <c r="AE17" s="272"/>
      <c r="AF17" s="271"/>
      <c r="AG17" s="272"/>
      <c r="AH17" s="272"/>
      <c r="AI17" s="272"/>
      <c r="AJ17" s="272"/>
      <c r="AK17" s="271"/>
      <c r="AL17" s="272"/>
      <c r="AM17" s="272"/>
      <c r="AN17" s="272"/>
      <c r="AO17" s="272"/>
      <c r="AP17" s="273"/>
      <c r="AQ17" s="274"/>
      <c r="AR17" s="269"/>
      <c r="AS17" s="275"/>
      <c r="AT17" s="275"/>
      <c r="AU17" s="276"/>
      <c r="AV17" s="275"/>
      <c r="AW17" s="275"/>
      <c r="AX17" s="275"/>
      <c r="AY17" s="275"/>
      <c r="AZ17" s="692"/>
      <c r="BA17" s="507"/>
      <c r="BB17" s="507"/>
      <c r="BC17" s="507"/>
      <c r="BD17" s="507"/>
      <c r="BE17" s="692">
        <v>0.46</v>
      </c>
      <c r="BF17" s="693"/>
      <c r="BG17" s="693"/>
      <c r="BH17" s="693"/>
      <c r="BI17" s="693"/>
      <c r="BJ17" s="692">
        <v>0.48</v>
      </c>
      <c r="BK17" s="693"/>
      <c r="BL17" s="693"/>
      <c r="BM17" s="693"/>
      <c r="BN17" s="693"/>
      <c r="BO17" s="692">
        <v>0.48</v>
      </c>
      <c r="BP17" s="693"/>
      <c r="BQ17" s="693"/>
      <c r="BR17" s="693"/>
      <c r="BS17" s="693"/>
      <c r="BT17" s="692">
        <v>0.49</v>
      </c>
      <c r="BU17" s="693"/>
      <c r="BV17" s="693"/>
      <c r="BW17" s="693"/>
      <c r="BX17" s="693"/>
      <c r="BY17" s="692">
        <v>0.5</v>
      </c>
      <c r="BZ17" s="693"/>
      <c r="CA17" s="693"/>
      <c r="CB17" s="693"/>
      <c r="CC17" s="693"/>
      <c r="CD17" s="692">
        <v>0.5</v>
      </c>
      <c r="CE17" s="12"/>
    </row>
    <row r="18" spans="1:83" s="198" customFormat="1">
      <c r="A18" s="12"/>
      <c r="B18" s="268" t="s">
        <v>229</v>
      </c>
      <c r="C18" s="269"/>
      <c r="D18" s="269"/>
      <c r="E18" s="269"/>
      <c r="F18" s="269"/>
      <c r="G18" s="270"/>
      <c r="H18" s="269"/>
      <c r="I18" s="269"/>
      <c r="J18" s="269"/>
      <c r="K18" s="269"/>
      <c r="L18" s="270"/>
      <c r="M18" s="269"/>
      <c r="N18" s="269"/>
      <c r="O18" s="269"/>
      <c r="P18" s="269"/>
      <c r="Q18" s="270"/>
      <c r="R18" s="269"/>
      <c r="S18" s="269"/>
      <c r="T18" s="269"/>
      <c r="U18" s="269"/>
      <c r="V18" s="271"/>
      <c r="W18" s="272"/>
      <c r="X18" s="272"/>
      <c r="Y18" s="272"/>
      <c r="Z18" s="272"/>
      <c r="AA18" s="271"/>
      <c r="AB18" s="272"/>
      <c r="AC18" s="272"/>
      <c r="AD18" s="272"/>
      <c r="AE18" s="272"/>
      <c r="AF18" s="271"/>
      <c r="AG18" s="272"/>
      <c r="AH18" s="272"/>
      <c r="AI18" s="272"/>
      <c r="AJ18" s="272"/>
      <c r="AK18" s="271"/>
      <c r="AL18" s="272"/>
      <c r="AM18" s="272"/>
      <c r="AN18" s="272"/>
      <c r="AO18" s="272"/>
      <c r="AP18" s="273"/>
      <c r="AQ18" s="274"/>
      <c r="AR18" s="269"/>
      <c r="AS18" s="275"/>
      <c r="AT18" s="275"/>
      <c r="AU18" s="276"/>
      <c r="AV18" s="275"/>
      <c r="AW18" s="275"/>
      <c r="AX18" s="275"/>
      <c r="AY18" s="275"/>
      <c r="AZ18" s="277">
        <f>AZ9*AZ17</f>
        <v>0</v>
      </c>
      <c r="BA18" s="275"/>
      <c r="BB18" s="275"/>
      <c r="BC18" s="275"/>
      <c r="BD18" s="275"/>
      <c r="BE18" s="277">
        <f>BE9*BE17</f>
        <v>913.65199999999993</v>
      </c>
      <c r="BF18" s="191"/>
      <c r="BG18" s="191"/>
      <c r="BH18" s="191"/>
      <c r="BI18" s="191"/>
      <c r="BJ18" s="277">
        <f>BJ9*BJ17</f>
        <v>1041.5999999999999</v>
      </c>
      <c r="BK18" s="191"/>
      <c r="BL18" s="191"/>
      <c r="BM18" s="191"/>
      <c r="BN18" s="191"/>
      <c r="BO18" s="277">
        <f>BO9*BO17</f>
        <v>1158.9408000000001</v>
      </c>
      <c r="BP18" s="191"/>
      <c r="BQ18" s="191"/>
      <c r="BR18" s="191"/>
      <c r="BS18" s="191"/>
      <c r="BT18" s="277">
        <f>BT9*BT17</f>
        <v>1280.981716</v>
      </c>
      <c r="BU18" s="191"/>
      <c r="BV18" s="191"/>
      <c r="BW18" s="191"/>
      <c r="BX18" s="191"/>
      <c r="BY18" s="277">
        <f>BY9*BY17</f>
        <v>1416.4626940000001</v>
      </c>
      <c r="BZ18" s="191"/>
      <c r="CA18" s="191"/>
      <c r="CB18" s="191"/>
      <c r="CC18" s="191"/>
      <c r="CD18" s="277">
        <f>CD9*CD17</f>
        <v>1509.6100776400003</v>
      </c>
      <c r="CE18" s="12"/>
    </row>
    <row r="19" spans="1:83" s="198" customFormat="1" hidden="1">
      <c r="A19" s="12"/>
      <c r="B19" s="268" t="s">
        <v>83</v>
      </c>
      <c r="C19" s="269"/>
      <c r="D19" s="269"/>
      <c r="E19" s="269"/>
      <c r="F19" s="269"/>
      <c r="G19" s="270"/>
      <c r="H19" s="269"/>
      <c r="I19" s="269"/>
      <c r="J19" s="269"/>
      <c r="K19" s="269"/>
      <c r="L19" s="270"/>
      <c r="M19" s="269"/>
      <c r="N19" s="269"/>
      <c r="O19" s="269"/>
      <c r="P19" s="269"/>
      <c r="Q19" s="270"/>
      <c r="R19" s="269"/>
      <c r="S19" s="269"/>
      <c r="T19" s="269"/>
      <c r="U19" s="269"/>
      <c r="V19" s="271"/>
      <c r="W19" s="272"/>
      <c r="X19" s="272"/>
      <c r="Y19" s="272"/>
      <c r="Z19" s="272"/>
      <c r="AA19" s="271"/>
      <c r="AB19" s="272"/>
      <c r="AC19" s="272"/>
      <c r="AD19" s="272"/>
      <c r="AE19" s="272"/>
      <c r="AF19" s="271"/>
      <c r="AG19" s="272"/>
      <c r="AH19" s="272"/>
      <c r="AI19" s="272"/>
      <c r="AJ19" s="272"/>
      <c r="AK19" s="271"/>
      <c r="AL19" s="272"/>
      <c r="AM19" s="272"/>
      <c r="AN19" s="272"/>
      <c r="AO19" s="272"/>
      <c r="AP19" s="273"/>
      <c r="AQ19" s="274"/>
      <c r="AR19" s="269"/>
      <c r="AS19" s="275"/>
      <c r="AT19" s="275"/>
      <c r="AU19" s="276"/>
      <c r="AV19" s="275"/>
      <c r="AW19" s="275"/>
      <c r="AX19" s="275"/>
      <c r="AY19" s="275"/>
      <c r="AZ19" s="277"/>
      <c r="BA19" s="275"/>
      <c r="BB19" s="275"/>
      <c r="BC19" s="275"/>
      <c r="BD19" s="275"/>
      <c r="BE19" s="277"/>
      <c r="BF19" s="191"/>
      <c r="BG19" s="191"/>
      <c r="BH19" s="191"/>
      <c r="BI19" s="191"/>
      <c r="BJ19" s="277"/>
      <c r="BK19" s="191"/>
      <c r="BL19" s="191"/>
      <c r="BM19" s="191"/>
      <c r="BN19" s="191"/>
      <c r="BO19" s="277"/>
      <c r="BP19" s="191"/>
      <c r="BQ19" s="191"/>
      <c r="BR19" s="191"/>
      <c r="BS19" s="191"/>
      <c r="BT19" s="277"/>
      <c r="BU19" s="191"/>
      <c r="BV19" s="191"/>
      <c r="BW19" s="191"/>
      <c r="BX19" s="191"/>
      <c r="BY19" s="277"/>
      <c r="BZ19" s="191"/>
      <c r="CA19" s="191"/>
      <c r="CB19" s="191"/>
      <c r="CC19" s="191"/>
      <c r="CD19" s="277"/>
      <c r="CE19" s="12"/>
    </row>
    <row r="20" spans="1:83" s="198" customFormat="1" hidden="1">
      <c r="A20" s="12"/>
      <c r="B20" s="268" t="s">
        <v>84</v>
      </c>
      <c r="C20" s="269"/>
      <c r="D20" s="269"/>
      <c r="E20" s="269"/>
      <c r="F20" s="269"/>
      <c r="G20" s="270"/>
      <c r="H20" s="269"/>
      <c r="I20" s="269"/>
      <c r="J20" s="269"/>
      <c r="K20" s="269"/>
      <c r="L20" s="270"/>
      <c r="M20" s="269"/>
      <c r="N20" s="269"/>
      <c r="O20" s="269"/>
      <c r="P20" s="269"/>
      <c r="Q20" s="270"/>
      <c r="R20" s="269"/>
      <c r="S20" s="269"/>
      <c r="T20" s="269"/>
      <c r="U20" s="269"/>
      <c r="V20" s="271"/>
      <c r="W20" s="272"/>
      <c r="X20" s="272"/>
      <c r="Y20" s="272"/>
      <c r="Z20" s="272"/>
      <c r="AA20" s="271"/>
      <c r="AB20" s="272"/>
      <c r="AC20" s="272"/>
      <c r="AD20" s="272"/>
      <c r="AE20" s="272"/>
      <c r="AF20" s="271"/>
      <c r="AG20" s="272"/>
      <c r="AH20" s="272"/>
      <c r="AI20" s="272"/>
      <c r="AJ20" s="272"/>
      <c r="AK20" s="271"/>
      <c r="AL20" s="272"/>
      <c r="AM20" s="272"/>
      <c r="AN20" s="272"/>
      <c r="AO20" s="272"/>
      <c r="AP20" s="273"/>
      <c r="AQ20" s="274"/>
      <c r="AR20" s="269"/>
      <c r="AS20" s="275"/>
      <c r="AT20" s="275"/>
      <c r="AU20" s="276"/>
      <c r="AV20" s="275"/>
      <c r="AW20" s="275"/>
      <c r="AX20" s="275"/>
      <c r="AY20" s="275"/>
      <c r="AZ20" s="277"/>
      <c r="BA20" s="275"/>
      <c r="BB20" s="275"/>
      <c r="BC20" s="275"/>
      <c r="BD20" s="275"/>
      <c r="BE20" s="277"/>
      <c r="BF20" s="191"/>
      <c r="BG20" s="191"/>
      <c r="BH20" s="191"/>
      <c r="BI20" s="191"/>
      <c r="BJ20" s="277"/>
      <c r="BK20" s="191"/>
      <c r="BL20" s="191"/>
      <c r="BM20" s="191"/>
      <c r="BN20" s="191"/>
      <c r="BO20" s="277"/>
      <c r="BP20" s="191"/>
      <c r="BQ20" s="191"/>
      <c r="BR20" s="191"/>
      <c r="BS20" s="191"/>
      <c r="BT20" s="277"/>
      <c r="BU20" s="191"/>
      <c r="BV20" s="191"/>
      <c r="BW20" s="191"/>
      <c r="BX20" s="191"/>
      <c r="BY20" s="277"/>
      <c r="BZ20" s="191"/>
      <c r="CA20" s="191"/>
      <c r="CB20" s="191"/>
      <c r="CC20" s="191"/>
      <c r="CD20" s="277"/>
      <c r="CE20" s="12"/>
    </row>
    <row r="21" spans="1:83" s="198" customFormat="1" hidden="1">
      <c r="A21" s="12"/>
      <c r="B21" s="268" t="s">
        <v>230</v>
      </c>
      <c r="C21" s="269"/>
      <c r="D21" s="269"/>
      <c r="E21" s="269"/>
      <c r="F21" s="269"/>
      <c r="G21" s="270"/>
      <c r="H21" s="269"/>
      <c r="I21" s="269"/>
      <c r="J21" s="269"/>
      <c r="K21" s="269"/>
      <c r="L21" s="270"/>
      <c r="M21" s="269"/>
      <c r="N21" s="269"/>
      <c r="O21" s="269"/>
      <c r="P21" s="269"/>
      <c r="Q21" s="270"/>
      <c r="R21" s="269"/>
      <c r="S21" s="269"/>
      <c r="T21" s="269"/>
      <c r="U21" s="269"/>
      <c r="V21" s="271"/>
      <c r="W21" s="272"/>
      <c r="X21" s="272"/>
      <c r="Y21" s="272"/>
      <c r="Z21" s="272"/>
      <c r="AA21" s="271"/>
      <c r="AB21" s="272"/>
      <c r="AC21" s="272"/>
      <c r="AD21" s="272"/>
      <c r="AE21" s="272"/>
      <c r="AF21" s="271"/>
      <c r="AG21" s="272"/>
      <c r="AH21" s="272"/>
      <c r="AI21" s="272"/>
      <c r="AJ21" s="272"/>
      <c r="AK21" s="271"/>
      <c r="AL21" s="272"/>
      <c r="AM21" s="272"/>
      <c r="AN21" s="272"/>
      <c r="AO21" s="272"/>
      <c r="AP21" s="273"/>
      <c r="AQ21" s="274"/>
      <c r="AR21" s="269"/>
      <c r="AS21" s="275"/>
      <c r="AT21" s="275"/>
      <c r="AU21" s="276"/>
      <c r="AV21" s="275"/>
      <c r="AW21" s="275"/>
      <c r="AX21" s="275"/>
      <c r="AY21" s="275"/>
      <c r="AZ21" s="277"/>
      <c r="BA21" s="275"/>
      <c r="BB21" s="275"/>
      <c r="BC21" s="275"/>
      <c r="BD21" s="275"/>
      <c r="BE21" s="277"/>
      <c r="BF21" s="191"/>
      <c r="BG21" s="191"/>
      <c r="BH21" s="191"/>
      <c r="BI21" s="191"/>
      <c r="BJ21" s="277"/>
      <c r="BK21" s="191"/>
      <c r="BL21" s="191"/>
      <c r="BM21" s="191"/>
      <c r="BN21" s="191"/>
      <c r="BO21" s="277"/>
      <c r="BP21" s="191"/>
      <c r="BQ21" s="191"/>
      <c r="BR21" s="191"/>
      <c r="BS21" s="191"/>
      <c r="BT21" s="277"/>
      <c r="BU21" s="191"/>
      <c r="BV21" s="191"/>
      <c r="BW21" s="191"/>
      <c r="BX21" s="191"/>
      <c r="BY21" s="277"/>
      <c r="BZ21" s="191"/>
      <c r="CA21" s="191"/>
      <c r="CB21" s="191"/>
      <c r="CC21" s="191"/>
      <c r="CD21" s="277"/>
      <c r="CE21" s="12"/>
    </row>
    <row r="22" spans="1:83" s="198" customFormat="1">
      <c r="A22" s="12"/>
      <c r="B22" s="268" t="s">
        <v>231</v>
      </c>
      <c r="C22" s="269"/>
      <c r="D22" s="269"/>
      <c r="E22" s="269"/>
      <c r="F22" s="269"/>
      <c r="G22" s="270"/>
      <c r="H22" s="269"/>
      <c r="I22" s="269"/>
      <c r="J22" s="269"/>
      <c r="K22" s="269"/>
      <c r="L22" s="270"/>
      <c r="M22" s="269"/>
      <c r="N22" s="269"/>
      <c r="O22" s="269"/>
      <c r="P22" s="269"/>
      <c r="Q22" s="270"/>
      <c r="R22" s="269"/>
      <c r="S22" s="269"/>
      <c r="T22" s="269"/>
      <c r="U22" s="269"/>
      <c r="V22" s="271"/>
      <c r="W22" s="272"/>
      <c r="X22" s="272"/>
      <c r="Y22" s="272"/>
      <c r="Z22" s="272"/>
      <c r="AA22" s="271"/>
      <c r="AB22" s="272"/>
      <c r="AC22" s="272"/>
      <c r="AD22" s="272"/>
      <c r="AE22" s="272"/>
      <c r="AF22" s="271"/>
      <c r="AG22" s="272"/>
      <c r="AH22" s="272"/>
      <c r="AI22" s="272"/>
      <c r="AJ22" s="272"/>
      <c r="AK22" s="271"/>
      <c r="AL22" s="272"/>
      <c r="AM22" s="272"/>
      <c r="AN22" s="272"/>
      <c r="AO22" s="272"/>
      <c r="AP22" s="273"/>
      <c r="AQ22" s="274"/>
      <c r="AR22" s="269"/>
      <c r="AS22" s="275"/>
      <c r="AT22" s="275"/>
      <c r="AU22" s="276"/>
      <c r="AV22" s="275"/>
      <c r="AW22" s="275"/>
      <c r="AX22" s="275"/>
      <c r="AY22" s="275"/>
      <c r="AZ22" s="277"/>
      <c r="BA22" s="275"/>
      <c r="BB22" s="275"/>
      <c r="BC22" s="275"/>
      <c r="BD22" s="275"/>
      <c r="BE22" s="277">
        <f>BE18+(BE18/BE$80*BE$81)</f>
        <v>947.49827432185566</v>
      </c>
      <c r="BF22" s="191"/>
      <c r="BG22" s="191"/>
      <c r="BH22" s="191"/>
      <c r="BI22" s="191"/>
      <c r="BJ22" s="277">
        <f>BJ18+(BJ18/BJ$80*BJ$81)</f>
        <v>1081.7367216500197</v>
      </c>
      <c r="BK22" s="191"/>
      <c r="BL22" s="191"/>
      <c r="BM22" s="191"/>
      <c r="BN22" s="191"/>
      <c r="BO22" s="277">
        <f>BO18+(BO18/BO$80*BO$81)</f>
        <v>1200.0840870381144</v>
      </c>
      <c r="BP22" s="191"/>
      <c r="BQ22" s="191"/>
      <c r="BR22" s="191"/>
      <c r="BS22" s="191"/>
      <c r="BT22" s="277">
        <f>BT18+(BT18/BT$80*BT$81)</f>
        <v>1323.1454661425505</v>
      </c>
      <c r="BU22" s="191"/>
      <c r="BV22" s="191"/>
      <c r="BW22" s="191"/>
      <c r="BX22" s="191"/>
      <c r="BY22" s="277">
        <f>BY18+(BY18/BY$80*BY$81)</f>
        <v>1459.5678555092406</v>
      </c>
      <c r="BZ22" s="191"/>
      <c r="CA22" s="191"/>
      <c r="CB22" s="191"/>
      <c r="CC22" s="191"/>
      <c r="CD22" s="277">
        <f>CD18+(CD18/CD$80*CD$81)</f>
        <v>1553.1261232194317</v>
      </c>
      <c r="CE22" s="12"/>
    </row>
    <row r="23" spans="1:83" s="198" customFormat="1">
      <c r="A23" s="12"/>
      <c r="B23" s="268"/>
      <c r="C23" s="269"/>
      <c r="D23" s="269"/>
      <c r="E23" s="269"/>
      <c r="F23" s="269"/>
      <c r="G23" s="270"/>
      <c r="H23" s="269"/>
      <c r="I23" s="269"/>
      <c r="J23" s="269"/>
      <c r="K23" s="269"/>
      <c r="L23" s="270"/>
      <c r="M23" s="269"/>
      <c r="N23" s="269"/>
      <c r="O23" s="269"/>
      <c r="P23" s="269"/>
      <c r="Q23" s="270"/>
      <c r="R23" s="269"/>
      <c r="S23" s="269"/>
      <c r="T23" s="269"/>
      <c r="U23" s="269"/>
      <c r="V23" s="271"/>
      <c r="W23" s="272"/>
      <c r="X23" s="272"/>
      <c r="Y23" s="272"/>
      <c r="Z23" s="272"/>
      <c r="AA23" s="271"/>
      <c r="AB23" s="272"/>
      <c r="AC23" s="272"/>
      <c r="AD23" s="272"/>
      <c r="AE23" s="272"/>
      <c r="AF23" s="271"/>
      <c r="AG23" s="272"/>
      <c r="AH23" s="272"/>
      <c r="AI23" s="272"/>
      <c r="AJ23" s="272"/>
      <c r="AK23" s="271"/>
      <c r="AL23" s="272"/>
      <c r="AM23" s="272"/>
      <c r="AN23" s="272"/>
      <c r="AO23" s="272"/>
      <c r="AP23" s="273"/>
      <c r="AQ23" s="274"/>
      <c r="AR23" s="269"/>
      <c r="AS23" s="275"/>
      <c r="AT23" s="275"/>
      <c r="AU23" s="276"/>
      <c r="AV23" s="275"/>
      <c r="AW23" s="275"/>
      <c r="AX23" s="275"/>
      <c r="AY23" s="275"/>
      <c r="AZ23" s="277"/>
      <c r="BA23" s="275"/>
      <c r="BB23" s="275"/>
      <c r="BC23" s="275"/>
      <c r="BD23" s="275"/>
      <c r="BE23" s="277"/>
      <c r="BF23" s="191"/>
      <c r="BG23" s="191"/>
      <c r="BH23" s="191"/>
      <c r="BI23" s="191"/>
      <c r="BJ23" s="277"/>
      <c r="BK23" s="191"/>
      <c r="BL23" s="191"/>
      <c r="BM23" s="191"/>
      <c r="BN23" s="191"/>
      <c r="BO23" s="277"/>
      <c r="BP23" s="191"/>
      <c r="BQ23" s="191"/>
      <c r="BR23" s="191"/>
      <c r="BS23" s="191"/>
      <c r="BT23" s="277"/>
      <c r="BU23" s="191"/>
      <c r="BV23" s="191"/>
      <c r="BW23" s="191"/>
      <c r="BX23" s="191"/>
      <c r="BY23" s="277"/>
      <c r="BZ23" s="191"/>
      <c r="CA23" s="191"/>
      <c r="CB23" s="191"/>
      <c r="CC23" s="191"/>
      <c r="CD23" s="277"/>
      <c r="CE23" s="12"/>
    </row>
    <row r="24" spans="1:83" s="198" customFormat="1">
      <c r="A24" s="12"/>
      <c r="B24" s="268"/>
      <c r="C24" s="269"/>
      <c r="D24" s="269"/>
      <c r="E24" s="269"/>
      <c r="F24" s="269"/>
      <c r="G24" s="270"/>
      <c r="H24" s="269"/>
      <c r="I24" s="269"/>
      <c r="J24" s="269"/>
      <c r="K24" s="269"/>
      <c r="L24" s="270"/>
      <c r="M24" s="269"/>
      <c r="N24" s="269"/>
      <c r="O24" s="269"/>
      <c r="P24" s="269"/>
      <c r="Q24" s="270"/>
      <c r="R24" s="269"/>
      <c r="S24" s="269"/>
      <c r="T24" s="269"/>
      <c r="U24" s="269"/>
      <c r="V24" s="271"/>
      <c r="W24" s="272"/>
      <c r="X24" s="272"/>
      <c r="Y24" s="272"/>
      <c r="Z24" s="272"/>
      <c r="AA24" s="271"/>
      <c r="AB24" s="272"/>
      <c r="AC24" s="272"/>
      <c r="AD24" s="272"/>
      <c r="AE24" s="272"/>
      <c r="AF24" s="271"/>
      <c r="AG24" s="272"/>
      <c r="AH24" s="272"/>
      <c r="AI24" s="272"/>
      <c r="AJ24" s="272"/>
      <c r="AK24" s="271"/>
      <c r="AL24" s="272"/>
      <c r="AM24" s="272"/>
      <c r="AN24" s="272"/>
      <c r="AO24" s="272"/>
      <c r="AP24" s="273"/>
      <c r="AQ24" s="274"/>
      <c r="AR24" s="269"/>
      <c r="AS24" s="275"/>
      <c r="AT24" s="275"/>
      <c r="AU24" s="276"/>
      <c r="AV24" s="275"/>
      <c r="AW24" s="275"/>
      <c r="AX24" s="275"/>
      <c r="AY24" s="275"/>
      <c r="AZ24" s="277"/>
      <c r="BA24" s="275"/>
      <c r="BB24" s="275"/>
      <c r="BC24" s="275"/>
      <c r="BD24" s="275"/>
      <c r="BE24" s="277"/>
      <c r="BF24" s="191"/>
      <c r="BG24" s="191"/>
      <c r="BH24" s="191"/>
      <c r="BI24" s="191"/>
      <c r="BJ24" s="277"/>
      <c r="BK24" s="191"/>
      <c r="BL24" s="191"/>
      <c r="BM24" s="191"/>
      <c r="BN24" s="191"/>
      <c r="BO24" s="277"/>
      <c r="BP24" s="191"/>
      <c r="BQ24" s="191"/>
      <c r="BR24" s="191"/>
      <c r="BS24" s="191"/>
      <c r="BT24" s="277"/>
      <c r="BU24" s="191"/>
      <c r="BV24" s="191"/>
      <c r="BW24" s="191"/>
      <c r="BX24" s="191"/>
      <c r="BY24" s="277"/>
      <c r="BZ24" s="191"/>
      <c r="CA24" s="191"/>
      <c r="CB24" s="191"/>
      <c r="CC24" s="191"/>
      <c r="CD24" s="277"/>
      <c r="CE24" s="12"/>
    </row>
    <row r="25" spans="1:83" s="355" customFormat="1" ht="13">
      <c r="A25" s="349"/>
      <c r="B25" s="664" t="str">
        <f>Sales!B113</f>
        <v>Total Gastrointestinal (Salix)</v>
      </c>
      <c r="C25" s="686">
        <f>Sales!C113</f>
        <v>0</v>
      </c>
      <c r="D25" s="687">
        <f>Sales!D113</f>
        <v>0</v>
      </c>
      <c r="E25" s="687">
        <f>Sales!E113</f>
        <v>0</v>
      </c>
      <c r="F25" s="687">
        <f>Sales!F113</f>
        <v>0</v>
      </c>
      <c r="G25" s="688">
        <f>Sales!G113</f>
        <v>0</v>
      </c>
      <c r="H25" s="687">
        <f>Sales!H113</f>
        <v>0</v>
      </c>
      <c r="I25" s="687">
        <f>Sales!I113</f>
        <v>0</v>
      </c>
      <c r="J25" s="687">
        <f>Sales!J113</f>
        <v>0</v>
      </c>
      <c r="K25" s="687">
        <f>Sales!K113</f>
        <v>0</v>
      </c>
      <c r="L25" s="688">
        <f>Sales!L113</f>
        <v>0</v>
      </c>
      <c r="M25" s="687">
        <f>Sales!M113</f>
        <v>0</v>
      </c>
      <c r="N25" s="687">
        <f>Sales!N113</f>
        <v>0</v>
      </c>
      <c r="O25" s="687">
        <f>Sales!O113</f>
        <v>0</v>
      </c>
      <c r="P25" s="687">
        <f>Sales!P113</f>
        <v>0</v>
      </c>
      <c r="Q25" s="688">
        <f>Sales!Q113</f>
        <v>0</v>
      </c>
      <c r="R25" s="687">
        <f>Sales!R113</f>
        <v>0</v>
      </c>
      <c r="S25" s="687">
        <f>Sales!S113</f>
        <v>0</v>
      </c>
      <c r="T25" s="687">
        <f>Sales!T113</f>
        <v>0</v>
      </c>
      <c r="U25" s="687">
        <f>Sales!U113</f>
        <v>0</v>
      </c>
      <c r="V25" s="688">
        <f>Sales!V113</f>
        <v>0</v>
      </c>
      <c r="W25" s="689">
        <f>Sales!W113</f>
        <v>0</v>
      </c>
      <c r="X25" s="682">
        <f>Sales!X113</f>
        <v>0</v>
      </c>
      <c r="Y25" s="682">
        <f>Sales!Y113</f>
        <v>0</v>
      </c>
      <c r="Z25" s="682">
        <f>Sales!Z113</f>
        <v>0</v>
      </c>
      <c r="AA25" s="679">
        <f>Sales!AA113</f>
        <v>0</v>
      </c>
      <c r="AB25" s="689">
        <f>Sales!AB113</f>
        <v>0</v>
      </c>
      <c r="AC25" s="689">
        <f>Sales!AC113</f>
        <v>0</v>
      </c>
      <c r="AD25" s="689">
        <f>Sales!AD113</f>
        <v>0</v>
      </c>
      <c r="AE25" s="689">
        <f>Sales!AE113</f>
        <v>0</v>
      </c>
      <c r="AF25" s="679">
        <f>Sales!AF113</f>
        <v>0</v>
      </c>
      <c r="AG25" s="689">
        <f>Sales!AG113</f>
        <v>0</v>
      </c>
      <c r="AH25" s="689">
        <f>Sales!AH113</f>
        <v>0</v>
      </c>
      <c r="AI25" s="689">
        <f>Sales!AI113</f>
        <v>0</v>
      </c>
      <c r="AJ25" s="689">
        <f>Sales!AJ113</f>
        <v>0</v>
      </c>
      <c r="AK25" s="679">
        <f>Sales!AK113</f>
        <v>0</v>
      </c>
      <c r="AL25" s="682">
        <f>Sales!AL113</f>
        <v>0</v>
      </c>
      <c r="AM25" s="682">
        <f>Sales!AM113</f>
        <v>0</v>
      </c>
      <c r="AN25" s="682">
        <f>Sales!AN113</f>
        <v>0</v>
      </c>
      <c r="AO25" s="682">
        <f>Sales!AO113</f>
        <v>0</v>
      </c>
      <c r="AP25" s="679">
        <f>Sales!AP113</f>
        <v>0</v>
      </c>
      <c r="AQ25" s="684">
        <f>Sales!AQ113</f>
        <v>0</v>
      </c>
      <c r="AR25" s="682">
        <f>Sales!AR113</f>
        <v>0</v>
      </c>
      <c r="AS25" s="670">
        <f>Sales!AS113</f>
        <v>0</v>
      </c>
      <c r="AT25" s="670">
        <f>Sales!AT113</f>
        <v>0</v>
      </c>
      <c r="AU25" s="679">
        <f>Sales!AU113</f>
        <v>0</v>
      </c>
      <c r="AV25" s="670">
        <f>Sales!AV113</f>
        <v>0</v>
      </c>
      <c r="AW25" s="670">
        <f>Sales!AW113</f>
        <v>0</v>
      </c>
      <c r="AX25" s="670">
        <f>Sales!AX113</f>
        <v>0</v>
      </c>
      <c r="AY25" s="670">
        <f>Sales!AY113</f>
        <v>0</v>
      </c>
      <c r="AZ25" s="672">
        <f>Sales!AZ113</f>
        <v>0</v>
      </c>
      <c r="BA25" s="670">
        <f>Sales!BA113</f>
        <v>0</v>
      </c>
      <c r="BB25" s="670">
        <f>Sales!BB113</f>
        <v>313.3</v>
      </c>
      <c r="BC25" s="690">
        <f>Sales!BC113</f>
        <v>462.8</v>
      </c>
      <c r="BD25" s="690">
        <f>Sales!BD113</f>
        <v>509</v>
      </c>
      <c r="BE25" s="672">
        <f>Sales!BE113</f>
        <v>1285.0999999999999</v>
      </c>
      <c r="BF25" s="228">
        <f>Sales!BF113</f>
        <v>447</v>
      </c>
      <c r="BG25" s="228">
        <f>Sales!BG113</f>
        <v>522</v>
      </c>
      <c r="BH25" s="228">
        <f>Sales!BH113</f>
        <v>575</v>
      </c>
      <c r="BI25" s="228">
        <f>Sales!BI113</f>
        <v>610</v>
      </c>
      <c r="BJ25" s="672">
        <f>Sales!BJ113</f>
        <v>2154</v>
      </c>
      <c r="BK25" s="228">
        <f>Sales!BK113</f>
        <v>0</v>
      </c>
      <c r="BL25" s="228">
        <f>Sales!BL113</f>
        <v>0</v>
      </c>
      <c r="BM25" s="228">
        <f>Sales!BM113</f>
        <v>0</v>
      </c>
      <c r="BN25" s="228">
        <f>Sales!BN113</f>
        <v>0</v>
      </c>
      <c r="BO25" s="672">
        <f>Sales!BO113</f>
        <v>2504.77</v>
      </c>
      <c r="BP25" s="228">
        <f>Sales!BP113</f>
        <v>0</v>
      </c>
      <c r="BQ25" s="228">
        <f>Sales!BQ113</f>
        <v>0</v>
      </c>
      <c r="BR25" s="228">
        <f>Sales!BR113</f>
        <v>0</v>
      </c>
      <c r="BS25" s="228">
        <f>Sales!BS113</f>
        <v>0</v>
      </c>
      <c r="BT25" s="672">
        <f>Sales!BT113</f>
        <v>2797.9175</v>
      </c>
      <c r="BU25" s="228">
        <f>Sales!BU113</f>
        <v>0</v>
      </c>
      <c r="BV25" s="228">
        <f>Sales!BV113</f>
        <v>0</v>
      </c>
      <c r="BW25" s="228">
        <f>Sales!BW113</f>
        <v>0</v>
      </c>
      <c r="BX25" s="228">
        <f>Sales!BX113</f>
        <v>0</v>
      </c>
      <c r="BY25" s="672">
        <f>Sales!BY113</f>
        <v>3075.81916</v>
      </c>
      <c r="BZ25" s="228">
        <f>Sales!BZ113</f>
        <v>0</v>
      </c>
      <c r="CA25" s="228">
        <f>Sales!CA113</f>
        <v>0</v>
      </c>
      <c r="CB25" s="228">
        <f>Sales!CB113</f>
        <v>0</v>
      </c>
      <c r="CC25" s="228">
        <f>Sales!CC113</f>
        <v>0</v>
      </c>
      <c r="CD25" s="672">
        <f>Sales!CD113</f>
        <v>3204.2119913000001</v>
      </c>
    </row>
    <row r="26" spans="1:83" s="355" customFormat="1" ht="13">
      <c r="A26" s="349"/>
      <c r="B26" s="574" t="s">
        <v>76</v>
      </c>
      <c r="C26" s="350"/>
      <c r="D26" s="350"/>
      <c r="E26" s="350"/>
      <c r="F26" s="351"/>
      <c r="G26" s="352"/>
      <c r="H26" s="351"/>
      <c r="I26" s="351"/>
      <c r="J26" s="351"/>
      <c r="K26" s="351"/>
      <c r="L26" s="352"/>
      <c r="M26" s="351"/>
      <c r="N26" s="351"/>
      <c r="O26" s="351"/>
      <c r="P26" s="351"/>
      <c r="Q26" s="352"/>
      <c r="R26" s="353"/>
      <c r="S26" s="353"/>
      <c r="T26" s="353"/>
      <c r="U26" s="353"/>
      <c r="V26" s="354"/>
      <c r="W26" s="353"/>
      <c r="X26" s="353"/>
      <c r="Y26" s="353"/>
      <c r="Z26" s="353"/>
      <c r="AA26" s="354"/>
      <c r="AB26" s="302"/>
      <c r="AC26" s="302"/>
      <c r="AD26" s="302"/>
      <c r="AE26" s="302"/>
      <c r="AF26" s="360"/>
      <c r="AK26" s="311"/>
      <c r="AP26" s="360"/>
      <c r="AQ26" s="694"/>
      <c r="AS26" s="275"/>
      <c r="AT26" s="275"/>
      <c r="AU26" s="311"/>
      <c r="AV26" s="275"/>
      <c r="AW26" s="275"/>
      <c r="AX26" s="275"/>
      <c r="AY26" s="275"/>
      <c r="AZ26" s="311"/>
      <c r="BA26" s="275"/>
      <c r="BB26" s="275"/>
      <c r="BC26" s="275"/>
      <c r="BD26" s="275"/>
      <c r="BE26" s="692">
        <v>0.56000000000000005</v>
      </c>
      <c r="BF26" s="285"/>
      <c r="BG26" s="285"/>
      <c r="BH26" s="285"/>
      <c r="BI26" s="285"/>
      <c r="BJ26" s="692">
        <v>0.55000000000000004</v>
      </c>
      <c r="BK26" s="285"/>
      <c r="BL26" s="285"/>
      <c r="BM26" s="285"/>
      <c r="BN26" s="285"/>
      <c r="BO26" s="692">
        <v>0.56000000000000005</v>
      </c>
      <c r="BP26" s="285"/>
      <c r="BQ26" s="285"/>
      <c r="BR26" s="285"/>
      <c r="BS26" s="285"/>
      <c r="BT26" s="692">
        <v>0.56999999999999995</v>
      </c>
      <c r="BU26" s="285"/>
      <c r="BV26" s="285"/>
      <c r="BW26" s="285"/>
      <c r="BX26" s="285"/>
      <c r="BY26" s="692">
        <v>0.57999999999999996</v>
      </c>
      <c r="BZ26" s="285"/>
      <c r="CA26" s="285"/>
      <c r="CB26" s="285"/>
      <c r="CC26" s="285"/>
      <c r="CD26" s="692">
        <v>0.6</v>
      </c>
    </row>
    <row r="27" spans="1:83" s="355" customFormat="1" ht="13">
      <c r="A27" s="349"/>
      <c r="B27" s="268" t="s">
        <v>229</v>
      </c>
      <c r="C27" s="350"/>
      <c r="D27" s="350"/>
      <c r="E27" s="350"/>
      <c r="F27" s="351"/>
      <c r="G27" s="352"/>
      <c r="H27" s="351"/>
      <c r="I27" s="351"/>
      <c r="J27" s="351"/>
      <c r="K27" s="351"/>
      <c r="L27" s="352"/>
      <c r="M27" s="351"/>
      <c r="N27" s="351"/>
      <c r="O27" s="351"/>
      <c r="P27" s="351"/>
      <c r="Q27" s="352"/>
      <c r="R27" s="353"/>
      <c r="S27" s="353"/>
      <c r="T27" s="353"/>
      <c r="U27" s="353"/>
      <c r="V27" s="354"/>
      <c r="W27" s="353"/>
      <c r="X27" s="353"/>
      <c r="Y27" s="353"/>
      <c r="Z27" s="353"/>
      <c r="AA27" s="354"/>
      <c r="AB27" s="302"/>
      <c r="AC27" s="302"/>
      <c r="AD27" s="302"/>
      <c r="AE27" s="302"/>
      <c r="AF27" s="360"/>
      <c r="AK27" s="311"/>
      <c r="AP27" s="360"/>
      <c r="AQ27" s="694"/>
      <c r="AS27" s="275"/>
      <c r="AT27" s="275"/>
      <c r="AU27" s="311"/>
      <c r="AV27" s="275"/>
      <c r="AW27" s="275"/>
      <c r="AX27" s="275"/>
      <c r="AY27" s="275"/>
      <c r="AZ27" s="311"/>
      <c r="BA27" s="275"/>
      <c r="BB27" s="275"/>
      <c r="BC27" s="275"/>
      <c r="BD27" s="275"/>
      <c r="BE27" s="332">
        <f>BE25*BE26</f>
        <v>719.65600000000006</v>
      </c>
      <c r="BF27" s="285"/>
      <c r="BG27" s="285"/>
      <c r="BH27" s="285"/>
      <c r="BI27" s="285"/>
      <c r="BJ27" s="332">
        <f>BJ25*BJ26</f>
        <v>1184.7</v>
      </c>
      <c r="BK27" s="285"/>
      <c r="BL27" s="285"/>
      <c r="BM27" s="285"/>
      <c r="BN27" s="285"/>
      <c r="BO27" s="332">
        <f>BO25*BO26</f>
        <v>1402.6712000000002</v>
      </c>
      <c r="BP27" s="285"/>
      <c r="BQ27" s="285"/>
      <c r="BR27" s="285"/>
      <c r="BS27" s="285"/>
      <c r="BT27" s="332">
        <f>BT25*BT26</f>
        <v>1594.8129749999998</v>
      </c>
      <c r="BU27" s="285"/>
      <c r="BV27" s="285"/>
      <c r="BW27" s="285"/>
      <c r="BX27" s="285"/>
      <c r="BY27" s="332">
        <f>BY25*BY26</f>
        <v>1783.9751127999998</v>
      </c>
      <c r="BZ27" s="285"/>
      <c r="CA27" s="285"/>
      <c r="CB27" s="285"/>
      <c r="CC27" s="285"/>
      <c r="CD27" s="332">
        <f>CD25*CD26</f>
        <v>1922.5271947799999</v>
      </c>
    </row>
    <row r="28" spans="1:83" s="355" customFormat="1" ht="13" hidden="1">
      <c r="A28" s="349"/>
      <c r="B28" s="268" t="s">
        <v>83</v>
      </c>
      <c r="C28" s="350"/>
      <c r="D28" s="350"/>
      <c r="E28" s="350"/>
      <c r="F28" s="351"/>
      <c r="G28" s="352"/>
      <c r="H28" s="351"/>
      <c r="I28" s="351"/>
      <c r="J28" s="351"/>
      <c r="K28" s="351"/>
      <c r="L28" s="352"/>
      <c r="M28" s="351"/>
      <c r="N28" s="351"/>
      <c r="O28" s="351"/>
      <c r="P28" s="351"/>
      <c r="Q28" s="352"/>
      <c r="R28" s="353"/>
      <c r="S28" s="353"/>
      <c r="T28" s="353"/>
      <c r="U28" s="353"/>
      <c r="V28" s="354"/>
      <c r="W28" s="353"/>
      <c r="X28" s="353"/>
      <c r="Y28" s="353"/>
      <c r="Z28" s="353"/>
      <c r="AA28" s="354"/>
      <c r="AB28" s="302"/>
      <c r="AC28" s="302"/>
      <c r="AD28" s="302"/>
      <c r="AE28" s="302"/>
      <c r="AF28" s="360"/>
      <c r="AK28" s="311"/>
      <c r="AP28" s="360"/>
      <c r="AQ28" s="694"/>
      <c r="AS28" s="275"/>
      <c r="AT28" s="275"/>
      <c r="AU28" s="311"/>
      <c r="AV28" s="275"/>
      <c r="AW28" s="275"/>
      <c r="AX28" s="275"/>
      <c r="AY28" s="275"/>
      <c r="AZ28" s="311"/>
      <c r="BA28" s="275"/>
      <c r="BB28" s="275"/>
      <c r="BC28" s="275"/>
      <c r="BD28" s="275"/>
      <c r="BE28" s="332"/>
      <c r="BF28" s="285"/>
      <c r="BG28" s="285"/>
      <c r="BH28" s="285"/>
      <c r="BI28" s="285"/>
      <c r="BJ28" s="277"/>
      <c r="BK28" s="285"/>
      <c r="BL28" s="285"/>
      <c r="BM28" s="285"/>
      <c r="BN28" s="285"/>
      <c r="BO28" s="277"/>
      <c r="BP28" s="285"/>
      <c r="BQ28" s="285"/>
      <c r="BR28" s="285"/>
      <c r="BS28" s="285"/>
      <c r="BT28" s="277"/>
      <c r="BU28" s="285"/>
      <c r="BV28" s="285"/>
      <c r="BW28" s="285"/>
      <c r="BX28" s="285"/>
      <c r="BY28" s="277"/>
      <c r="BZ28" s="285"/>
      <c r="CA28" s="285"/>
      <c r="CB28" s="285"/>
      <c r="CC28" s="285"/>
      <c r="CD28" s="277"/>
    </row>
    <row r="29" spans="1:83" s="355" customFormat="1" ht="13" hidden="1">
      <c r="A29" s="349"/>
      <c r="B29" s="268" t="s">
        <v>84</v>
      </c>
      <c r="C29" s="350"/>
      <c r="D29" s="350"/>
      <c r="E29" s="350"/>
      <c r="F29" s="351"/>
      <c r="G29" s="352"/>
      <c r="H29" s="351"/>
      <c r="I29" s="351"/>
      <c r="J29" s="351"/>
      <c r="K29" s="351"/>
      <c r="L29" s="352"/>
      <c r="M29" s="351"/>
      <c r="N29" s="351"/>
      <c r="O29" s="351"/>
      <c r="P29" s="351"/>
      <c r="Q29" s="352"/>
      <c r="R29" s="353"/>
      <c r="S29" s="353"/>
      <c r="T29" s="353"/>
      <c r="U29" s="353"/>
      <c r="V29" s="354"/>
      <c r="W29" s="353"/>
      <c r="X29" s="353"/>
      <c r="Y29" s="353"/>
      <c r="Z29" s="353"/>
      <c r="AA29" s="354"/>
      <c r="AB29" s="302"/>
      <c r="AC29" s="302"/>
      <c r="AD29" s="302"/>
      <c r="AE29" s="302"/>
      <c r="AF29" s="360"/>
      <c r="AK29" s="311"/>
      <c r="AP29" s="360"/>
      <c r="AQ29" s="694"/>
      <c r="AS29" s="275"/>
      <c r="AT29" s="275"/>
      <c r="AU29" s="311"/>
      <c r="AV29" s="275"/>
      <c r="AW29" s="275"/>
      <c r="AX29" s="275"/>
      <c r="AY29" s="275"/>
      <c r="AZ29" s="311"/>
      <c r="BA29" s="275"/>
      <c r="BB29" s="275"/>
      <c r="BC29" s="275"/>
      <c r="BD29" s="275"/>
      <c r="BE29" s="332"/>
      <c r="BF29" s="285"/>
      <c r="BG29" s="285"/>
      <c r="BH29" s="285"/>
      <c r="BI29" s="285"/>
      <c r="BJ29" s="277"/>
      <c r="BK29" s="285"/>
      <c r="BL29" s="285"/>
      <c r="BM29" s="285"/>
      <c r="BN29" s="285"/>
      <c r="BO29" s="277"/>
      <c r="BP29" s="285"/>
      <c r="BQ29" s="285"/>
      <c r="BR29" s="285"/>
      <c r="BS29" s="285"/>
      <c r="BT29" s="277"/>
      <c r="BU29" s="285"/>
      <c r="BV29" s="285"/>
      <c r="BW29" s="285"/>
      <c r="BX29" s="285"/>
      <c r="BY29" s="277"/>
      <c r="BZ29" s="285"/>
      <c r="CA29" s="285"/>
      <c r="CB29" s="285"/>
      <c r="CC29" s="285"/>
      <c r="CD29" s="277"/>
    </row>
    <row r="30" spans="1:83" s="355" customFormat="1" ht="13" hidden="1">
      <c r="A30" s="349"/>
      <c r="B30" s="268" t="s">
        <v>230</v>
      </c>
      <c r="C30" s="350"/>
      <c r="D30" s="350"/>
      <c r="E30" s="350"/>
      <c r="F30" s="351"/>
      <c r="G30" s="352"/>
      <c r="H30" s="351"/>
      <c r="I30" s="351"/>
      <c r="J30" s="351"/>
      <c r="K30" s="351"/>
      <c r="L30" s="352"/>
      <c r="M30" s="351"/>
      <c r="N30" s="351"/>
      <c r="O30" s="351"/>
      <c r="P30" s="351"/>
      <c r="Q30" s="352"/>
      <c r="R30" s="353"/>
      <c r="S30" s="353"/>
      <c r="T30" s="353"/>
      <c r="U30" s="353"/>
      <c r="V30" s="354"/>
      <c r="W30" s="353"/>
      <c r="X30" s="353"/>
      <c r="Y30" s="353"/>
      <c r="Z30" s="353"/>
      <c r="AA30" s="354"/>
      <c r="AB30" s="302"/>
      <c r="AC30" s="302"/>
      <c r="AD30" s="302"/>
      <c r="AE30" s="302"/>
      <c r="AF30" s="360"/>
      <c r="AK30" s="311"/>
      <c r="AP30" s="360"/>
      <c r="AQ30" s="694"/>
      <c r="AS30" s="275"/>
      <c r="AT30" s="275"/>
      <c r="AU30" s="311"/>
      <c r="AV30" s="275"/>
      <c r="AW30" s="275"/>
      <c r="AX30" s="275"/>
      <c r="AY30" s="275"/>
      <c r="AZ30" s="311"/>
      <c r="BA30" s="275"/>
      <c r="BB30" s="275"/>
      <c r="BC30" s="275"/>
      <c r="BD30" s="275"/>
      <c r="BE30" s="332"/>
      <c r="BF30" s="285"/>
      <c r="BG30" s="285"/>
      <c r="BH30" s="285"/>
      <c r="BI30" s="285"/>
      <c r="BJ30" s="277"/>
      <c r="BK30" s="285"/>
      <c r="BL30" s="285"/>
      <c r="BM30" s="285"/>
      <c r="BN30" s="285"/>
      <c r="BO30" s="277"/>
      <c r="BP30" s="285"/>
      <c r="BQ30" s="285"/>
      <c r="BR30" s="285"/>
      <c r="BS30" s="285"/>
      <c r="BT30" s="277"/>
      <c r="BU30" s="285"/>
      <c r="BV30" s="285"/>
      <c r="BW30" s="285"/>
      <c r="BX30" s="285"/>
      <c r="BY30" s="277"/>
      <c r="BZ30" s="285"/>
      <c r="CA30" s="285"/>
      <c r="CB30" s="285"/>
      <c r="CC30" s="285"/>
      <c r="CD30" s="277"/>
    </row>
    <row r="31" spans="1:83" s="355" customFormat="1" ht="13">
      <c r="A31" s="349"/>
      <c r="B31" s="268" t="s">
        <v>231</v>
      </c>
      <c r="C31" s="350"/>
      <c r="D31" s="350"/>
      <c r="E31" s="350"/>
      <c r="F31" s="351"/>
      <c r="G31" s="352"/>
      <c r="H31" s="351"/>
      <c r="I31" s="351"/>
      <c r="J31" s="351"/>
      <c r="K31" s="351"/>
      <c r="L31" s="352"/>
      <c r="M31" s="351"/>
      <c r="N31" s="351"/>
      <c r="O31" s="351"/>
      <c r="P31" s="351"/>
      <c r="Q31" s="352"/>
      <c r="R31" s="353"/>
      <c r="S31" s="353"/>
      <c r="T31" s="353"/>
      <c r="U31" s="353"/>
      <c r="V31" s="354"/>
      <c r="W31" s="353"/>
      <c r="X31" s="353"/>
      <c r="Y31" s="353"/>
      <c r="Z31" s="353"/>
      <c r="AA31" s="354"/>
      <c r="AB31" s="302"/>
      <c r="AC31" s="302"/>
      <c r="AD31" s="302"/>
      <c r="AE31" s="302"/>
      <c r="AF31" s="360"/>
      <c r="AK31" s="311"/>
      <c r="AP31" s="360"/>
      <c r="AQ31" s="694"/>
      <c r="AS31" s="275"/>
      <c r="AT31" s="275"/>
      <c r="AU31" s="311"/>
      <c r="AV31" s="275"/>
      <c r="AW31" s="275"/>
      <c r="AX31" s="275"/>
      <c r="AY31" s="275"/>
      <c r="AZ31" s="311"/>
      <c r="BA31" s="275"/>
      <c r="BB31" s="275"/>
      <c r="BC31" s="275"/>
      <c r="BD31" s="275"/>
      <c r="BE31" s="277">
        <f>BE27+(BE27/BE$80*BE$81)</f>
        <v>746.31568486181777</v>
      </c>
      <c r="BF31" s="191"/>
      <c r="BG31" s="191"/>
      <c r="BH31" s="191"/>
      <c r="BI31" s="191"/>
      <c r="BJ31" s="277">
        <f>BJ27+(BJ27/BJ$80*BJ$81)</f>
        <v>1230.3508968306246</v>
      </c>
      <c r="BK31" s="191"/>
      <c r="BL31" s="191"/>
      <c r="BM31" s="191"/>
      <c r="BN31" s="191"/>
      <c r="BO31" s="277">
        <f>BO27+(BO27/BO$80*BO$81)</f>
        <v>1452.4671031226585</v>
      </c>
      <c r="BP31" s="191"/>
      <c r="BQ31" s="191"/>
      <c r="BR31" s="191"/>
      <c r="BS31" s="191"/>
      <c r="BT31" s="277">
        <f>BT27+(BT27/BT$80*BT$81)</f>
        <v>1647.3065390861227</v>
      </c>
      <c r="BU31" s="191"/>
      <c r="BV31" s="191"/>
      <c r="BW31" s="191"/>
      <c r="BX31" s="191"/>
      <c r="BY31" s="277">
        <f>BY27+(BY27/BY$80*BY$81)</f>
        <v>1838.2642484697528</v>
      </c>
      <c r="BZ31" s="191"/>
      <c r="CA31" s="191"/>
      <c r="CB31" s="191"/>
      <c r="CC31" s="191"/>
      <c r="CD31" s="277">
        <f>CD27+(CD27/CD$80*CD$81)</f>
        <v>1977.9459961479208</v>
      </c>
    </row>
    <row r="32" spans="1:83" s="198" customFormat="1">
      <c r="A32" s="12"/>
      <c r="B32" s="268"/>
      <c r="C32" s="269"/>
      <c r="D32" s="269"/>
      <c r="E32" s="269"/>
      <c r="F32" s="269"/>
      <c r="G32" s="270"/>
      <c r="H32" s="269"/>
      <c r="I32" s="269"/>
      <c r="J32" s="269"/>
      <c r="K32" s="269"/>
      <c r="L32" s="270"/>
      <c r="M32" s="269"/>
      <c r="N32" s="269"/>
      <c r="O32" s="269"/>
      <c r="P32" s="269"/>
      <c r="Q32" s="270"/>
      <c r="R32" s="269"/>
      <c r="S32" s="269"/>
      <c r="T32" s="269"/>
      <c r="U32" s="269"/>
      <c r="V32" s="271"/>
      <c r="W32" s="272"/>
      <c r="X32" s="272"/>
      <c r="Y32" s="272"/>
      <c r="Z32" s="272"/>
      <c r="AA32" s="271"/>
      <c r="AB32" s="272"/>
      <c r="AC32" s="272"/>
      <c r="AD32" s="272"/>
      <c r="AE32" s="272"/>
      <c r="AF32" s="271"/>
      <c r="AG32" s="272"/>
      <c r="AH32" s="272"/>
      <c r="AI32" s="272"/>
      <c r="AJ32" s="272"/>
      <c r="AK32" s="271"/>
      <c r="AL32" s="272"/>
      <c r="AM32" s="272"/>
      <c r="AN32" s="272"/>
      <c r="AO32" s="272"/>
      <c r="AP32" s="273"/>
      <c r="AQ32" s="274"/>
      <c r="AR32" s="269"/>
      <c r="AS32" s="275"/>
      <c r="AT32" s="275"/>
      <c r="AU32" s="276"/>
      <c r="AV32" s="275"/>
      <c r="AW32" s="275"/>
      <c r="AX32" s="275"/>
      <c r="AY32" s="275"/>
      <c r="AZ32" s="277"/>
      <c r="BA32" s="275"/>
      <c r="BB32" s="275"/>
      <c r="BC32" s="275"/>
      <c r="BD32" s="275"/>
      <c r="BE32" s="277"/>
      <c r="BF32" s="191"/>
      <c r="BG32" s="191"/>
      <c r="BH32" s="191"/>
      <c r="BI32" s="191"/>
      <c r="BJ32" s="277"/>
      <c r="BK32" s="191"/>
      <c r="BL32" s="191"/>
      <c r="BM32" s="191"/>
      <c r="BN32" s="191"/>
      <c r="BO32" s="277"/>
      <c r="BP32" s="191"/>
      <c r="BQ32" s="191"/>
      <c r="BR32" s="191"/>
      <c r="BS32" s="191"/>
      <c r="BT32" s="277"/>
      <c r="BU32" s="191"/>
      <c r="BV32" s="191"/>
      <c r="BW32" s="191"/>
      <c r="BX32" s="191"/>
      <c r="BY32" s="277"/>
      <c r="BZ32" s="191"/>
      <c r="CA32" s="191"/>
      <c r="CB32" s="191"/>
      <c r="CC32" s="191"/>
      <c r="CD32" s="277"/>
      <c r="CE32" s="12"/>
    </row>
    <row r="33" spans="1:83" s="198" customFormat="1">
      <c r="A33" s="12"/>
      <c r="B33" s="664" t="str">
        <f>Sales!B27</f>
        <v>Total Dermatology</v>
      </c>
      <c r="C33" s="665">
        <f>Sales!C27</f>
        <v>0</v>
      </c>
      <c r="D33" s="665">
        <f>Sales!D27</f>
        <v>0</v>
      </c>
      <c r="E33" s="665">
        <f>Sales!E27</f>
        <v>0</v>
      </c>
      <c r="F33" s="665">
        <f>Sales!F27</f>
        <v>0</v>
      </c>
      <c r="G33" s="666">
        <f>Sales!G27</f>
        <v>0</v>
      </c>
      <c r="H33" s="665">
        <f>Sales!H27</f>
        <v>0</v>
      </c>
      <c r="I33" s="665">
        <f>Sales!I27</f>
        <v>0</v>
      </c>
      <c r="J33" s="665">
        <f>Sales!J27</f>
        <v>0</v>
      </c>
      <c r="K33" s="665">
        <f>Sales!K27</f>
        <v>0</v>
      </c>
      <c r="L33" s="666">
        <f>Sales!L27</f>
        <v>0</v>
      </c>
      <c r="M33" s="665">
        <f>Sales!M27</f>
        <v>0</v>
      </c>
      <c r="N33" s="665">
        <f>Sales!N27</f>
        <v>0</v>
      </c>
      <c r="O33" s="665">
        <f>Sales!O27</f>
        <v>0</v>
      </c>
      <c r="P33" s="665">
        <f>Sales!P27</f>
        <v>0</v>
      </c>
      <c r="Q33" s="666">
        <f>Sales!Q27</f>
        <v>0</v>
      </c>
      <c r="R33" s="665">
        <f>Sales!R27</f>
        <v>0</v>
      </c>
      <c r="S33" s="665">
        <f>Sales!S27</f>
        <v>0</v>
      </c>
      <c r="T33" s="665">
        <f>Sales!T27</f>
        <v>0</v>
      </c>
      <c r="U33" s="665">
        <f>Sales!U27</f>
        <v>0</v>
      </c>
      <c r="V33" s="667">
        <f>Sales!V27</f>
        <v>0</v>
      </c>
      <c r="W33" s="668">
        <f>Sales!W27</f>
        <v>0</v>
      </c>
      <c r="X33" s="668">
        <f>Sales!X27</f>
        <v>0</v>
      </c>
      <c r="Y33" s="668">
        <f>Sales!Y27</f>
        <v>0</v>
      </c>
      <c r="Z33" s="668">
        <f>Sales!Z27</f>
        <v>0</v>
      </c>
      <c r="AA33" s="667">
        <f>Sales!AA27</f>
        <v>0</v>
      </c>
      <c r="AB33" s="668">
        <f>Sales!AB27</f>
        <v>0</v>
      </c>
      <c r="AC33" s="668">
        <f>Sales!AC27</f>
        <v>0</v>
      </c>
      <c r="AD33" s="668">
        <f>Sales!AD27</f>
        <v>0</v>
      </c>
      <c r="AE33" s="668">
        <f>Sales!AE27</f>
        <v>0</v>
      </c>
      <c r="AF33" s="667">
        <f>Sales!AF27</f>
        <v>0</v>
      </c>
      <c r="AG33" s="668">
        <f>Sales!AG27</f>
        <v>0</v>
      </c>
      <c r="AH33" s="668">
        <f>Sales!AH27</f>
        <v>0</v>
      </c>
      <c r="AI33" s="668">
        <f>Sales!AI27</f>
        <v>0</v>
      </c>
      <c r="AJ33" s="668">
        <f>Sales!AJ27</f>
        <v>0</v>
      </c>
      <c r="AK33" s="667">
        <f>Sales!AK27</f>
        <v>0</v>
      </c>
      <c r="AL33" s="668">
        <f>Sales!AL27</f>
        <v>0</v>
      </c>
      <c r="AM33" s="668">
        <f>Sales!AM27</f>
        <v>0</v>
      </c>
      <c r="AN33" s="668">
        <f>Sales!AN27</f>
        <v>0</v>
      </c>
      <c r="AO33" s="668">
        <f>Sales!AO27</f>
        <v>0</v>
      </c>
      <c r="AP33" s="667">
        <f>Sales!AP27</f>
        <v>0</v>
      </c>
      <c r="AQ33" s="669">
        <f>Sales!AQ27</f>
        <v>0</v>
      </c>
      <c r="AR33" s="665">
        <f>Sales!AR27</f>
        <v>0</v>
      </c>
      <c r="AS33" s="670">
        <f>Sales!AS27</f>
        <v>205.5</v>
      </c>
      <c r="AT33" s="670">
        <f>Sales!AT27</f>
        <v>249.2</v>
      </c>
      <c r="AU33" s="671">
        <f>Sales!AU27</f>
        <v>0</v>
      </c>
      <c r="AV33" s="670">
        <f>Sales!AV27</f>
        <v>304.2</v>
      </c>
      <c r="AW33" s="670">
        <f>Sales!AW27</f>
        <v>298.3</v>
      </c>
      <c r="AX33" s="670">
        <f>Sales!AX27</f>
        <v>272.8</v>
      </c>
      <c r="AY33" s="670">
        <f>Sales!AY27</f>
        <v>424.7</v>
      </c>
      <c r="AZ33" s="672">
        <f>Sales!AZ27</f>
        <v>1300</v>
      </c>
      <c r="BA33" s="670">
        <f>Sales!BA27</f>
        <v>419.3</v>
      </c>
      <c r="BB33" s="670">
        <f>Sales!BB27</f>
        <v>461.8</v>
      </c>
      <c r="BC33" s="670">
        <f>Sales!BC27</f>
        <v>465.5</v>
      </c>
      <c r="BD33" s="670">
        <f>Sales!BD27</f>
        <v>319.60000000000002</v>
      </c>
      <c r="BE33" s="672">
        <f>Sales!BE27</f>
        <v>1666.1999999999998</v>
      </c>
      <c r="BF33" s="673">
        <f>Sales!BF27</f>
        <v>288.09500000000003</v>
      </c>
      <c r="BG33" s="673">
        <f>Sales!BG27</f>
        <v>381.24</v>
      </c>
      <c r="BH33" s="673">
        <f>Sales!BH27</f>
        <v>420.15</v>
      </c>
      <c r="BI33" s="673">
        <f>Sales!BI27</f>
        <v>432.26000000000005</v>
      </c>
      <c r="BJ33" s="672">
        <f>Sales!BJ27</f>
        <v>1521.7450000000001</v>
      </c>
      <c r="BK33" s="673">
        <f>Sales!BK27</f>
        <v>0</v>
      </c>
      <c r="BL33" s="673">
        <f>Sales!BL27</f>
        <v>0</v>
      </c>
      <c r="BM33" s="673">
        <f>Sales!BM27</f>
        <v>0</v>
      </c>
      <c r="BN33" s="673">
        <f>Sales!BN27</f>
        <v>0</v>
      </c>
      <c r="BO33" s="672">
        <f>Sales!BO27</f>
        <v>1597.4701</v>
      </c>
      <c r="BP33" s="673">
        <f>Sales!BP27</f>
        <v>0</v>
      </c>
      <c r="BQ33" s="673">
        <f>Sales!BQ27</f>
        <v>0</v>
      </c>
      <c r="BR33" s="673">
        <f>Sales!BR27</f>
        <v>0</v>
      </c>
      <c r="BS33" s="673">
        <f>Sales!BS27</f>
        <v>0</v>
      </c>
      <c r="BT33" s="672">
        <f>Sales!BT27</f>
        <v>1657.0353020000002</v>
      </c>
      <c r="BU33" s="673">
        <f>Sales!BU27</f>
        <v>0</v>
      </c>
      <c r="BV33" s="673">
        <f>Sales!BV27</f>
        <v>0</v>
      </c>
      <c r="BW33" s="673">
        <f>Sales!BW27</f>
        <v>0</v>
      </c>
      <c r="BX33" s="673">
        <f>Sales!BX27</f>
        <v>0</v>
      </c>
      <c r="BY33" s="672">
        <f>Sales!BY27</f>
        <v>1758.1176580400002</v>
      </c>
      <c r="BZ33" s="673">
        <f>Sales!BZ27</f>
        <v>0</v>
      </c>
      <c r="CA33" s="673">
        <f>Sales!CA27</f>
        <v>0</v>
      </c>
      <c r="CB33" s="673">
        <f>Sales!CB27</f>
        <v>0</v>
      </c>
      <c r="CC33" s="673">
        <f>Sales!CC27</f>
        <v>0</v>
      </c>
      <c r="CD33" s="672">
        <f>Sales!CD27</f>
        <v>1871.6736487008002</v>
      </c>
      <c r="CE33" s="12"/>
    </row>
    <row r="34" spans="1:83" s="198" customFormat="1">
      <c r="A34" s="12"/>
      <c r="B34" s="574" t="s">
        <v>76</v>
      </c>
      <c r="C34" s="269"/>
      <c r="D34" s="269"/>
      <c r="E34" s="269"/>
      <c r="F34" s="269"/>
      <c r="G34" s="270"/>
      <c r="H34" s="269"/>
      <c r="I34" s="269"/>
      <c r="J34" s="269"/>
      <c r="K34" s="269"/>
      <c r="L34" s="270"/>
      <c r="M34" s="269"/>
      <c r="N34" s="269"/>
      <c r="O34" s="269"/>
      <c r="P34" s="269"/>
      <c r="Q34" s="270"/>
      <c r="R34" s="269"/>
      <c r="S34" s="269"/>
      <c r="T34" s="269"/>
      <c r="U34" s="269"/>
      <c r="V34" s="271"/>
      <c r="W34" s="272"/>
      <c r="X34" s="272"/>
      <c r="Y34" s="272"/>
      <c r="Z34" s="272"/>
      <c r="AA34" s="271"/>
      <c r="AB34" s="272"/>
      <c r="AC34" s="272"/>
      <c r="AD34" s="272"/>
      <c r="AE34" s="272"/>
      <c r="AF34" s="271"/>
      <c r="AG34" s="272"/>
      <c r="AH34" s="272"/>
      <c r="AI34" s="272"/>
      <c r="AJ34" s="272"/>
      <c r="AK34" s="271"/>
      <c r="AL34" s="272"/>
      <c r="AM34" s="272"/>
      <c r="AN34" s="272"/>
      <c r="AO34" s="272"/>
      <c r="AP34" s="273"/>
      <c r="AQ34" s="274"/>
      <c r="AR34" s="269"/>
      <c r="AS34" s="275"/>
      <c r="AT34" s="275"/>
      <c r="AU34" s="276"/>
      <c r="AV34" s="275"/>
      <c r="AW34" s="275"/>
      <c r="AX34" s="275"/>
      <c r="AY34" s="275"/>
      <c r="AZ34" s="695"/>
      <c r="BA34" s="507"/>
      <c r="BB34" s="507"/>
      <c r="BC34" s="507"/>
      <c r="BD34" s="507"/>
      <c r="BE34" s="692">
        <v>0.5</v>
      </c>
      <c r="BF34" s="693"/>
      <c r="BG34" s="693"/>
      <c r="BH34" s="693"/>
      <c r="BI34" s="693"/>
      <c r="BJ34" s="692">
        <v>0.47</v>
      </c>
      <c r="BK34" s="693"/>
      <c r="BL34" s="693"/>
      <c r="BM34" s="693"/>
      <c r="BN34" s="693"/>
      <c r="BO34" s="692">
        <v>0.48</v>
      </c>
      <c r="BP34" s="693"/>
      <c r="BQ34" s="693"/>
      <c r="BR34" s="693"/>
      <c r="BS34" s="693"/>
      <c r="BT34" s="692">
        <v>0.49</v>
      </c>
      <c r="BU34" s="693"/>
      <c r="BV34" s="693"/>
      <c r="BW34" s="693"/>
      <c r="BX34" s="693"/>
      <c r="BY34" s="692">
        <v>0.5</v>
      </c>
      <c r="BZ34" s="693"/>
      <c r="CA34" s="693"/>
      <c r="CB34" s="693"/>
      <c r="CC34" s="693"/>
      <c r="CD34" s="692">
        <v>0.52</v>
      </c>
      <c r="CE34" s="12"/>
    </row>
    <row r="35" spans="1:83" s="198" customFormat="1">
      <c r="A35" s="12"/>
      <c r="B35" s="268" t="s">
        <v>229</v>
      </c>
      <c r="C35" s="269"/>
      <c r="D35" s="269"/>
      <c r="E35" s="269"/>
      <c r="F35" s="269"/>
      <c r="G35" s="270"/>
      <c r="H35" s="269"/>
      <c r="I35" s="269"/>
      <c r="J35" s="269"/>
      <c r="K35" s="269"/>
      <c r="L35" s="270"/>
      <c r="M35" s="269"/>
      <c r="N35" s="269"/>
      <c r="O35" s="269"/>
      <c r="P35" s="269"/>
      <c r="Q35" s="270"/>
      <c r="R35" s="269"/>
      <c r="S35" s="269"/>
      <c r="T35" s="269"/>
      <c r="U35" s="269"/>
      <c r="V35" s="271"/>
      <c r="W35" s="272"/>
      <c r="X35" s="272"/>
      <c r="Y35" s="272"/>
      <c r="Z35" s="272"/>
      <c r="AA35" s="271"/>
      <c r="AB35" s="272"/>
      <c r="AC35" s="272"/>
      <c r="AD35" s="272"/>
      <c r="AE35" s="272"/>
      <c r="AF35" s="271"/>
      <c r="AG35" s="272"/>
      <c r="AH35" s="272"/>
      <c r="AI35" s="272"/>
      <c r="AJ35" s="272"/>
      <c r="AK35" s="271"/>
      <c r="AL35" s="272"/>
      <c r="AM35" s="272"/>
      <c r="AN35" s="272"/>
      <c r="AO35" s="272"/>
      <c r="AP35" s="273"/>
      <c r="AQ35" s="274"/>
      <c r="AR35" s="269"/>
      <c r="AS35" s="275"/>
      <c r="AT35" s="275"/>
      <c r="AU35" s="276"/>
      <c r="AV35" s="275"/>
      <c r="AW35" s="275"/>
      <c r="AX35" s="275"/>
      <c r="AY35" s="275"/>
      <c r="AZ35" s="277"/>
      <c r="BA35" s="275"/>
      <c r="BB35" s="275"/>
      <c r="BC35" s="275"/>
      <c r="BD35" s="275"/>
      <c r="BE35" s="332">
        <f>BE33*BE34</f>
        <v>833.09999999999991</v>
      </c>
      <c r="BF35" s="285">
        <f t="shared" ref="BF35:CD35" si="1">BF33*BF34</f>
        <v>0</v>
      </c>
      <c r="BG35" s="285">
        <f t="shared" si="1"/>
        <v>0</v>
      </c>
      <c r="BH35" s="285">
        <f t="shared" si="1"/>
        <v>0</v>
      </c>
      <c r="BI35" s="285">
        <f t="shared" si="1"/>
        <v>0</v>
      </c>
      <c r="BJ35" s="332">
        <f t="shared" si="1"/>
        <v>715.22014999999999</v>
      </c>
      <c r="BK35" s="285">
        <f t="shared" si="1"/>
        <v>0</v>
      </c>
      <c r="BL35" s="285">
        <f t="shared" si="1"/>
        <v>0</v>
      </c>
      <c r="BM35" s="285">
        <f t="shared" si="1"/>
        <v>0</v>
      </c>
      <c r="BN35" s="285">
        <f t="shared" si="1"/>
        <v>0</v>
      </c>
      <c r="BO35" s="332">
        <f t="shared" si="1"/>
        <v>766.78564799999992</v>
      </c>
      <c r="BP35" s="285">
        <f t="shared" si="1"/>
        <v>0</v>
      </c>
      <c r="BQ35" s="285">
        <f t="shared" si="1"/>
        <v>0</v>
      </c>
      <c r="BR35" s="285">
        <f t="shared" si="1"/>
        <v>0</v>
      </c>
      <c r="BS35" s="285">
        <f t="shared" si="1"/>
        <v>0</v>
      </c>
      <c r="BT35" s="332">
        <f t="shared" si="1"/>
        <v>811.94729798000014</v>
      </c>
      <c r="BU35" s="285">
        <f t="shared" si="1"/>
        <v>0</v>
      </c>
      <c r="BV35" s="285">
        <f t="shared" si="1"/>
        <v>0</v>
      </c>
      <c r="BW35" s="285">
        <f t="shared" si="1"/>
        <v>0</v>
      </c>
      <c r="BX35" s="285">
        <f t="shared" si="1"/>
        <v>0</v>
      </c>
      <c r="BY35" s="332">
        <f t="shared" si="1"/>
        <v>879.05882902000008</v>
      </c>
      <c r="BZ35" s="285">
        <f t="shared" si="1"/>
        <v>0</v>
      </c>
      <c r="CA35" s="285">
        <f t="shared" si="1"/>
        <v>0</v>
      </c>
      <c r="CB35" s="285">
        <f t="shared" si="1"/>
        <v>0</v>
      </c>
      <c r="CC35" s="285">
        <f t="shared" si="1"/>
        <v>0</v>
      </c>
      <c r="CD35" s="332">
        <f t="shared" si="1"/>
        <v>973.27029732441611</v>
      </c>
      <c r="CE35" s="12"/>
    </row>
    <row r="36" spans="1:83" s="198" customFormat="1" hidden="1">
      <c r="A36" s="12"/>
      <c r="B36" s="268" t="s">
        <v>83</v>
      </c>
      <c r="C36" s="269"/>
      <c r="D36" s="269"/>
      <c r="E36" s="269"/>
      <c r="F36" s="269"/>
      <c r="G36" s="270"/>
      <c r="H36" s="269"/>
      <c r="I36" s="269"/>
      <c r="J36" s="269"/>
      <c r="K36" s="269"/>
      <c r="L36" s="270"/>
      <c r="M36" s="269"/>
      <c r="N36" s="269"/>
      <c r="O36" s="269"/>
      <c r="P36" s="269"/>
      <c r="Q36" s="270"/>
      <c r="R36" s="269"/>
      <c r="S36" s="269"/>
      <c r="T36" s="269"/>
      <c r="U36" s="269"/>
      <c r="V36" s="271"/>
      <c r="W36" s="272"/>
      <c r="X36" s="272"/>
      <c r="Y36" s="272"/>
      <c r="Z36" s="272"/>
      <c r="AA36" s="271"/>
      <c r="AB36" s="272"/>
      <c r="AC36" s="272"/>
      <c r="AD36" s="272"/>
      <c r="AE36" s="272"/>
      <c r="AF36" s="271"/>
      <c r="AG36" s="272"/>
      <c r="AH36" s="272"/>
      <c r="AI36" s="272"/>
      <c r="AJ36" s="272"/>
      <c r="AK36" s="271"/>
      <c r="AL36" s="272"/>
      <c r="AM36" s="272"/>
      <c r="AN36" s="272"/>
      <c r="AO36" s="272"/>
      <c r="AP36" s="273"/>
      <c r="AQ36" s="274"/>
      <c r="AR36" s="269"/>
      <c r="AS36" s="275"/>
      <c r="AT36" s="275"/>
      <c r="AU36" s="276"/>
      <c r="AV36" s="275"/>
      <c r="AW36" s="275"/>
      <c r="AX36" s="275"/>
      <c r="AY36" s="275"/>
      <c r="AZ36" s="277"/>
      <c r="BA36" s="275"/>
      <c r="BB36" s="275"/>
      <c r="BC36" s="275"/>
      <c r="BD36" s="275"/>
      <c r="BE36" s="277"/>
      <c r="BF36" s="191"/>
      <c r="BG36" s="191"/>
      <c r="BH36" s="191"/>
      <c r="BI36" s="191"/>
      <c r="BJ36" s="277"/>
      <c r="BK36" s="191"/>
      <c r="BL36" s="191"/>
      <c r="BM36" s="191"/>
      <c r="BN36" s="191"/>
      <c r="BO36" s="277"/>
      <c r="BP36" s="191"/>
      <c r="BQ36" s="191"/>
      <c r="BR36" s="191"/>
      <c r="BS36" s="191"/>
      <c r="BT36" s="277"/>
      <c r="BU36" s="191"/>
      <c r="BV36" s="191"/>
      <c r="BW36" s="191"/>
      <c r="BX36" s="191"/>
      <c r="BY36" s="277"/>
      <c r="BZ36" s="191"/>
      <c r="CA36" s="191"/>
      <c r="CB36" s="191"/>
      <c r="CC36" s="191"/>
      <c r="CD36" s="277"/>
      <c r="CE36" s="12"/>
    </row>
    <row r="37" spans="1:83" s="198" customFormat="1" hidden="1">
      <c r="A37" s="12"/>
      <c r="B37" s="268" t="s">
        <v>84</v>
      </c>
      <c r="C37" s="269"/>
      <c r="D37" s="269"/>
      <c r="E37" s="269"/>
      <c r="F37" s="269"/>
      <c r="G37" s="270"/>
      <c r="H37" s="269"/>
      <c r="I37" s="269"/>
      <c r="J37" s="269"/>
      <c r="K37" s="269"/>
      <c r="L37" s="270"/>
      <c r="M37" s="269"/>
      <c r="N37" s="269"/>
      <c r="O37" s="269"/>
      <c r="P37" s="269"/>
      <c r="Q37" s="270"/>
      <c r="R37" s="269"/>
      <c r="S37" s="269"/>
      <c r="T37" s="269"/>
      <c r="U37" s="269"/>
      <c r="V37" s="271"/>
      <c r="W37" s="272"/>
      <c r="X37" s="272"/>
      <c r="Y37" s="272"/>
      <c r="Z37" s="272"/>
      <c r="AA37" s="271"/>
      <c r="AB37" s="272"/>
      <c r="AC37" s="272"/>
      <c r="AD37" s="272"/>
      <c r="AE37" s="272"/>
      <c r="AF37" s="271"/>
      <c r="AG37" s="272"/>
      <c r="AH37" s="272"/>
      <c r="AI37" s="272"/>
      <c r="AJ37" s="272"/>
      <c r="AK37" s="271"/>
      <c r="AL37" s="272"/>
      <c r="AM37" s="272"/>
      <c r="AN37" s="272"/>
      <c r="AO37" s="272"/>
      <c r="AP37" s="273"/>
      <c r="AQ37" s="274"/>
      <c r="AR37" s="269"/>
      <c r="AS37" s="275"/>
      <c r="AT37" s="275"/>
      <c r="AU37" s="276"/>
      <c r="AV37" s="275"/>
      <c r="AW37" s="275"/>
      <c r="AX37" s="275"/>
      <c r="AY37" s="275"/>
      <c r="AZ37" s="277"/>
      <c r="BA37" s="275"/>
      <c r="BB37" s="275"/>
      <c r="BC37" s="275"/>
      <c r="BD37" s="275"/>
      <c r="BE37" s="277"/>
      <c r="BF37" s="191"/>
      <c r="BG37" s="191"/>
      <c r="BH37" s="191"/>
      <c r="BI37" s="191"/>
      <c r="BJ37" s="277"/>
      <c r="BK37" s="191"/>
      <c r="BL37" s="191"/>
      <c r="BM37" s="191"/>
      <c r="BN37" s="191"/>
      <c r="BO37" s="277"/>
      <c r="BP37" s="191"/>
      <c r="BQ37" s="191"/>
      <c r="BR37" s="191"/>
      <c r="BS37" s="191"/>
      <c r="BT37" s="277"/>
      <c r="BU37" s="191"/>
      <c r="BV37" s="191"/>
      <c r="BW37" s="191"/>
      <c r="BX37" s="191"/>
      <c r="BY37" s="277"/>
      <c r="BZ37" s="191"/>
      <c r="CA37" s="191"/>
      <c r="CB37" s="191"/>
      <c r="CC37" s="191"/>
      <c r="CD37" s="277"/>
      <c r="CE37" s="12"/>
    </row>
    <row r="38" spans="1:83" s="198" customFormat="1" hidden="1">
      <c r="A38" s="12"/>
      <c r="B38" s="268" t="s">
        <v>230</v>
      </c>
      <c r="C38" s="269"/>
      <c r="D38" s="269"/>
      <c r="E38" s="269"/>
      <c r="F38" s="269"/>
      <c r="G38" s="270"/>
      <c r="H38" s="269"/>
      <c r="I38" s="269"/>
      <c r="J38" s="269"/>
      <c r="K38" s="269"/>
      <c r="L38" s="270"/>
      <c r="M38" s="269"/>
      <c r="N38" s="269"/>
      <c r="O38" s="269"/>
      <c r="P38" s="269"/>
      <c r="Q38" s="270"/>
      <c r="R38" s="269"/>
      <c r="S38" s="269"/>
      <c r="T38" s="269"/>
      <c r="U38" s="269"/>
      <c r="V38" s="271"/>
      <c r="W38" s="272"/>
      <c r="X38" s="272"/>
      <c r="Y38" s="272"/>
      <c r="Z38" s="272"/>
      <c r="AA38" s="271"/>
      <c r="AB38" s="272"/>
      <c r="AC38" s="272"/>
      <c r="AD38" s="272"/>
      <c r="AE38" s="272"/>
      <c r="AF38" s="271"/>
      <c r="AG38" s="272"/>
      <c r="AH38" s="272"/>
      <c r="AI38" s="272"/>
      <c r="AJ38" s="272"/>
      <c r="AK38" s="271"/>
      <c r="AL38" s="272"/>
      <c r="AM38" s="272"/>
      <c r="AN38" s="272"/>
      <c r="AO38" s="272"/>
      <c r="AP38" s="273"/>
      <c r="AQ38" s="274"/>
      <c r="AR38" s="269"/>
      <c r="AS38" s="275"/>
      <c r="AT38" s="275"/>
      <c r="AU38" s="276"/>
      <c r="AV38" s="275"/>
      <c r="AW38" s="275"/>
      <c r="AX38" s="275"/>
      <c r="AY38" s="275"/>
      <c r="AZ38" s="277"/>
      <c r="BA38" s="275"/>
      <c r="BB38" s="275"/>
      <c r="BC38" s="275"/>
      <c r="BD38" s="275"/>
      <c r="BE38" s="277"/>
      <c r="BF38" s="191"/>
      <c r="BG38" s="191"/>
      <c r="BH38" s="191"/>
      <c r="BI38" s="191"/>
      <c r="BJ38" s="277"/>
      <c r="BK38" s="191"/>
      <c r="BL38" s="191"/>
      <c r="BM38" s="191"/>
      <c r="BN38" s="191"/>
      <c r="BO38" s="277"/>
      <c r="BP38" s="191"/>
      <c r="BQ38" s="191"/>
      <c r="BR38" s="191"/>
      <c r="BS38" s="191"/>
      <c r="BT38" s="277"/>
      <c r="BU38" s="191"/>
      <c r="BV38" s="191"/>
      <c r="BW38" s="191"/>
      <c r="BX38" s="191"/>
      <c r="BY38" s="277"/>
      <c r="BZ38" s="191"/>
      <c r="CA38" s="191"/>
      <c r="CB38" s="191"/>
      <c r="CC38" s="191"/>
      <c r="CD38" s="277"/>
      <c r="CE38" s="12"/>
    </row>
    <row r="39" spans="1:83" s="198" customFormat="1">
      <c r="A39" s="12"/>
      <c r="B39" s="268" t="s">
        <v>231</v>
      </c>
      <c r="C39" s="269"/>
      <c r="D39" s="269"/>
      <c r="E39" s="269"/>
      <c r="F39" s="269"/>
      <c r="G39" s="270"/>
      <c r="H39" s="269"/>
      <c r="I39" s="269"/>
      <c r="J39" s="269"/>
      <c r="K39" s="269"/>
      <c r="L39" s="270"/>
      <c r="M39" s="269"/>
      <c r="N39" s="269"/>
      <c r="O39" s="269"/>
      <c r="P39" s="269"/>
      <c r="Q39" s="270"/>
      <c r="R39" s="269"/>
      <c r="S39" s="269"/>
      <c r="T39" s="269"/>
      <c r="U39" s="269"/>
      <c r="V39" s="271"/>
      <c r="W39" s="272"/>
      <c r="X39" s="272"/>
      <c r="Y39" s="272"/>
      <c r="Z39" s="272"/>
      <c r="AA39" s="271"/>
      <c r="AB39" s="272"/>
      <c r="AC39" s="272"/>
      <c r="AD39" s="272"/>
      <c r="AE39" s="272"/>
      <c r="AF39" s="271"/>
      <c r="AG39" s="272"/>
      <c r="AH39" s="272"/>
      <c r="AI39" s="272"/>
      <c r="AJ39" s="272"/>
      <c r="AK39" s="271"/>
      <c r="AL39" s="272"/>
      <c r="AM39" s="272"/>
      <c r="AN39" s="272"/>
      <c r="AO39" s="272"/>
      <c r="AP39" s="273"/>
      <c r="AQ39" s="274"/>
      <c r="AR39" s="269"/>
      <c r="AS39" s="275"/>
      <c r="AT39" s="275"/>
      <c r="AU39" s="276"/>
      <c r="AV39" s="275"/>
      <c r="AW39" s="275"/>
      <c r="AX39" s="275"/>
      <c r="AY39" s="275"/>
      <c r="AZ39" s="277"/>
      <c r="BA39" s="275"/>
      <c r="BB39" s="275"/>
      <c r="BC39" s="275"/>
      <c r="BD39" s="275"/>
      <c r="BE39" s="277">
        <f>BE35+(BE35/BE$80*BE$81)</f>
        <v>863.96222230952037</v>
      </c>
      <c r="BF39" s="191"/>
      <c r="BG39" s="191"/>
      <c r="BH39" s="191"/>
      <c r="BI39" s="191"/>
      <c r="BJ39" s="277">
        <f>BJ35+(BJ35/BJ$80*BJ$81)</f>
        <v>742.7802422417775</v>
      </c>
      <c r="BK39" s="191"/>
      <c r="BL39" s="191"/>
      <c r="BM39" s="191"/>
      <c r="BN39" s="191"/>
      <c r="BO39" s="277">
        <f>BO35+(BO35/BO$80*BO$81)</f>
        <v>794.00712645029739</v>
      </c>
      <c r="BP39" s="191"/>
      <c r="BQ39" s="191"/>
      <c r="BR39" s="191"/>
      <c r="BS39" s="191"/>
      <c r="BT39" s="277">
        <f>BT35+(BT35/BT$80*BT$81)</f>
        <v>838.67269348981995</v>
      </c>
      <c r="BU39" s="191"/>
      <c r="BV39" s="191"/>
      <c r="BW39" s="191"/>
      <c r="BX39" s="191"/>
      <c r="BY39" s="277">
        <f>BY35+(BY35/BY$80*BY$81)</f>
        <v>905.80995558446079</v>
      </c>
      <c r="BZ39" s="191"/>
      <c r="CA39" s="191"/>
      <c r="CB39" s="191"/>
      <c r="CC39" s="191"/>
      <c r="CD39" s="277">
        <f>CD35+(CD35/CD$80*CD$81)</f>
        <v>1001.3258033433525</v>
      </c>
      <c r="CE39" s="12"/>
    </row>
    <row r="40" spans="1:83" s="285" customFormat="1">
      <c r="B40" s="298"/>
      <c r="C40" s="310"/>
      <c r="D40" s="310"/>
      <c r="E40" s="310"/>
      <c r="F40" s="310"/>
      <c r="G40" s="311"/>
      <c r="H40" s="310"/>
      <c r="I40" s="310"/>
      <c r="J40" s="310"/>
      <c r="K40" s="310"/>
      <c r="L40" s="311"/>
      <c r="M40" s="310"/>
      <c r="N40" s="310"/>
      <c r="O40" s="310"/>
      <c r="P40" s="310"/>
      <c r="Q40" s="311"/>
      <c r="R40" s="310"/>
      <c r="S40" s="310"/>
      <c r="T40" s="310"/>
      <c r="U40" s="310"/>
      <c r="V40" s="311"/>
      <c r="W40" s="310"/>
      <c r="X40" s="310"/>
      <c r="Y40" s="310"/>
      <c r="Z40" s="310"/>
      <c r="AA40" s="311"/>
      <c r="AB40" s="310"/>
      <c r="AC40" s="310"/>
      <c r="AD40" s="310"/>
      <c r="AE40" s="310"/>
      <c r="AF40" s="311"/>
      <c r="AG40" s="310"/>
      <c r="AH40" s="310"/>
      <c r="AI40" s="310"/>
      <c r="AJ40" s="310"/>
      <c r="AK40" s="311"/>
      <c r="AL40" s="314"/>
      <c r="AM40" s="313"/>
      <c r="AN40" s="314"/>
      <c r="AO40" s="315"/>
      <c r="AP40" s="311"/>
      <c r="AQ40" s="316"/>
      <c r="AR40" s="310"/>
      <c r="AS40" s="275"/>
      <c r="AT40" s="275"/>
      <c r="AU40" s="311"/>
      <c r="AV40" s="275"/>
      <c r="AW40" s="275"/>
      <c r="AX40" s="275"/>
      <c r="AY40" s="275"/>
      <c r="AZ40" s="277"/>
      <c r="BA40" s="275"/>
      <c r="BB40" s="275"/>
      <c r="BC40" s="315"/>
      <c r="BD40" s="315"/>
      <c r="BE40" s="332"/>
      <c r="BJ40" s="332"/>
      <c r="BO40" s="332"/>
      <c r="BT40" s="332"/>
      <c r="BY40" s="332"/>
      <c r="CD40" s="332"/>
    </row>
    <row r="41" spans="1:83" s="355" customFormat="1" ht="13">
      <c r="A41" s="349"/>
      <c r="B41" s="664" t="str">
        <f>Sales!B73</f>
        <v>Total Neuro/Other/Generics</v>
      </c>
      <c r="C41" s="686">
        <f>Sales!C73</f>
        <v>0</v>
      </c>
      <c r="D41" s="687">
        <f>Sales!D73</f>
        <v>0</v>
      </c>
      <c r="E41" s="687">
        <f>Sales!E73</f>
        <v>0</v>
      </c>
      <c r="F41" s="687">
        <f>Sales!F73</f>
        <v>0</v>
      </c>
      <c r="G41" s="688">
        <f>Sales!G73</f>
        <v>0</v>
      </c>
      <c r="H41" s="687">
        <f>Sales!H73</f>
        <v>0</v>
      </c>
      <c r="I41" s="687">
        <f>Sales!I73</f>
        <v>0</v>
      </c>
      <c r="J41" s="687">
        <f>Sales!J73</f>
        <v>0</v>
      </c>
      <c r="K41" s="687">
        <f>Sales!K73</f>
        <v>0</v>
      </c>
      <c r="L41" s="688">
        <f>Sales!L73</f>
        <v>0</v>
      </c>
      <c r="M41" s="687">
        <f>Sales!M73</f>
        <v>0</v>
      </c>
      <c r="N41" s="687">
        <f>Sales!N73</f>
        <v>0</v>
      </c>
      <c r="O41" s="687">
        <f>Sales!O73</f>
        <v>0</v>
      </c>
      <c r="P41" s="687">
        <f>Sales!P73</f>
        <v>0</v>
      </c>
      <c r="Q41" s="688">
        <f>Sales!Q73</f>
        <v>0</v>
      </c>
      <c r="R41" s="687">
        <f>Sales!R73</f>
        <v>0</v>
      </c>
      <c r="S41" s="687">
        <f>Sales!S73</f>
        <v>0</v>
      </c>
      <c r="T41" s="687">
        <f>Sales!T73</f>
        <v>0</v>
      </c>
      <c r="U41" s="687">
        <f>Sales!U73</f>
        <v>0</v>
      </c>
      <c r="V41" s="688">
        <f>Sales!V73</f>
        <v>0</v>
      </c>
      <c r="W41" s="689">
        <f>Sales!W73</f>
        <v>0</v>
      </c>
      <c r="X41" s="682">
        <f>Sales!X73</f>
        <v>0</v>
      </c>
      <c r="Y41" s="682">
        <f>Sales!Y73</f>
        <v>0</v>
      </c>
      <c r="Z41" s="682">
        <f>Sales!Z73</f>
        <v>0</v>
      </c>
      <c r="AA41" s="679">
        <f>Sales!AA73</f>
        <v>0</v>
      </c>
      <c r="AB41" s="689">
        <f>Sales!AB73</f>
        <v>0</v>
      </c>
      <c r="AC41" s="689">
        <f>Sales!AC73</f>
        <v>0</v>
      </c>
      <c r="AD41" s="689">
        <f>Sales!AD73</f>
        <v>0</v>
      </c>
      <c r="AE41" s="689">
        <f>Sales!AE73</f>
        <v>0</v>
      </c>
      <c r="AF41" s="679">
        <f>Sales!AF73</f>
        <v>0</v>
      </c>
      <c r="AG41" s="689">
        <f>Sales!AG73</f>
        <v>0</v>
      </c>
      <c r="AH41" s="689">
        <f>Sales!AH73</f>
        <v>0</v>
      </c>
      <c r="AI41" s="689">
        <f>Sales!AI73</f>
        <v>0</v>
      </c>
      <c r="AJ41" s="689">
        <f>Sales!AJ73</f>
        <v>0</v>
      </c>
      <c r="AK41" s="679">
        <f>Sales!AK73</f>
        <v>0</v>
      </c>
      <c r="AL41" s="682">
        <f>Sales!AL73</f>
        <v>0</v>
      </c>
      <c r="AM41" s="682">
        <f>Sales!AM73</f>
        <v>0</v>
      </c>
      <c r="AN41" s="682">
        <f>Sales!AN73</f>
        <v>0</v>
      </c>
      <c r="AO41" s="682">
        <f>Sales!AO73</f>
        <v>0</v>
      </c>
      <c r="AP41" s="679">
        <f>Sales!AP73</f>
        <v>0</v>
      </c>
      <c r="AQ41" s="684">
        <f>Sales!AQ73</f>
        <v>0</v>
      </c>
      <c r="AR41" s="682">
        <f>Sales!AR73</f>
        <v>0</v>
      </c>
      <c r="AS41" s="670">
        <f>Sales!AS73</f>
        <v>354</v>
      </c>
      <c r="AT41" s="670">
        <f>Sales!AT73</f>
        <v>453.79999999999995</v>
      </c>
      <c r="AU41" s="679">
        <f>Sales!AU73</f>
        <v>0</v>
      </c>
      <c r="AV41" s="670">
        <f>Sales!AV73</f>
        <v>351.5</v>
      </c>
      <c r="AW41" s="670">
        <f>Sales!AW73</f>
        <v>332.7</v>
      </c>
      <c r="AX41" s="670">
        <f>Sales!AX73</f>
        <v>424</v>
      </c>
      <c r="AY41" s="670">
        <f>Sales!AY73</f>
        <v>496.5</v>
      </c>
      <c r="AZ41" s="672">
        <f>Sales!AZ73</f>
        <v>1604.7</v>
      </c>
      <c r="BA41" s="670">
        <f>Sales!BA73</f>
        <v>539.1</v>
      </c>
      <c r="BB41" s="670">
        <f>Sales!BB73</f>
        <v>526.20000000000005</v>
      </c>
      <c r="BC41" s="690">
        <f>Sales!BC73</f>
        <v>546.5</v>
      </c>
      <c r="BD41" s="690">
        <f>Sales!BD73</f>
        <v>557.5</v>
      </c>
      <c r="BE41" s="672">
        <f>Sales!BE73</f>
        <v>2169.3000000000002</v>
      </c>
      <c r="BF41" s="228">
        <f>Sales!BF73</f>
        <v>357.07500000000005</v>
      </c>
      <c r="BG41" s="228">
        <f>Sales!BG73</f>
        <v>389.17000000000007</v>
      </c>
      <c r="BH41" s="228">
        <f>Sales!BH73</f>
        <v>402.02499999999998</v>
      </c>
      <c r="BI41" s="228">
        <f>Sales!BI73</f>
        <v>438.32499999999999</v>
      </c>
      <c r="BJ41" s="672">
        <f>Sales!BJ73</f>
        <v>1586.595</v>
      </c>
      <c r="BK41" s="228">
        <f>Sales!BK73</f>
        <v>0</v>
      </c>
      <c r="BL41" s="228">
        <f>Sales!BL73</f>
        <v>0</v>
      </c>
      <c r="BM41" s="228">
        <f>Sales!BM73</f>
        <v>0</v>
      </c>
      <c r="BN41" s="228">
        <f>Sales!BN73</f>
        <v>0</v>
      </c>
      <c r="BO41" s="672">
        <f>Sales!BO73</f>
        <v>1538.2652499999999</v>
      </c>
      <c r="BP41" s="228">
        <f>Sales!BP73</f>
        <v>0</v>
      </c>
      <c r="BQ41" s="228">
        <f>Sales!BQ73</f>
        <v>0</v>
      </c>
      <c r="BR41" s="228">
        <f>Sales!BR73</f>
        <v>0</v>
      </c>
      <c r="BS41" s="228">
        <f>Sales!BS73</f>
        <v>0</v>
      </c>
      <c r="BT41" s="672">
        <f>Sales!BT73</f>
        <v>1533.1692499999999</v>
      </c>
      <c r="BU41" s="228">
        <f>Sales!BU73</f>
        <v>0</v>
      </c>
      <c r="BV41" s="228">
        <f>Sales!BV73</f>
        <v>0</v>
      </c>
      <c r="BW41" s="228">
        <f>Sales!BW73</f>
        <v>0</v>
      </c>
      <c r="BX41" s="228">
        <f>Sales!BX73</f>
        <v>0</v>
      </c>
      <c r="BY41" s="672">
        <f>Sales!BY73</f>
        <v>1512.1101699999999</v>
      </c>
      <c r="BZ41" s="228">
        <f>Sales!BZ73</f>
        <v>0</v>
      </c>
      <c r="CA41" s="228">
        <f>Sales!CA73</f>
        <v>0</v>
      </c>
      <c r="CB41" s="228">
        <f>Sales!CB73</f>
        <v>0</v>
      </c>
      <c r="CC41" s="228">
        <f>Sales!CC73</f>
        <v>0</v>
      </c>
      <c r="CD41" s="672">
        <f>Sales!CD73</f>
        <v>1491.9542216</v>
      </c>
    </row>
    <row r="42" spans="1:83" s="355" customFormat="1" ht="13">
      <c r="A42" s="349"/>
      <c r="B42" s="574" t="s">
        <v>76</v>
      </c>
      <c r="C42" s="350"/>
      <c r="D42" s="350"/>
      <c r="E42" s="350"/>
      <c r="F42" s="351"/>
      <c r="G42" s="352"/>
      <c r="H42" s="351"/>
      <c r="I42" s="351"/>
      <c r="J42" s="351"/>
      <c r="K42" s="351"/>
      <c r="L42" s="352"/>
      <c r="M42" s="351"/>
      <c r="N42" s="351"/>
      <c r="O42" s="351"/>
      <c r="P42" s="351"/>
      <c r="Q42" s="352"/>
      <c r="R42" s="353"/>
      <c r="S42" s="353"/>
      <c r="T42" s="353"/>
      <c r="U42" s="353"/>
      <c r="V42" s="354"/>
      <c r="W42" s="353"/>
      <c r="X42" s="353"/>
      <c r="Y42" s="353"/>
      <c r="Z42" s="353"/>
      <c r="AA42" s="354"/>
      <c r="AB42" s="302"/>
      <c r="AC42" s="302"/>
      <c r="AD42" s="302"/>
      <c r="AE42" s="302"/>
      <c r="AF42" s="311"/>
      <c r="AK42" s="311"/>
      <c r="AP42" s="311"/>
      <c r="AQ42" s="356"/>
      <c r="AS42" s="275"/>
      <c r="AT42" s="275"/>
      <c r="AU42" s="311"/>
      <c r="AV42" s="275"/>
      <c r="AW42" s="275"/>
      <c r="AX42" s="275"/>
      <c r="AY42" s="275"/>
      <c r="AZ42" s="277"/>
      <c r="BA42" s="275"/>
      <c r="BB42" s="275"/>
      <c r="BC42" s="275"/>
      <c r="BD42" s="275"/>
      <c r="BE42" s="692">
        <v>0.53</v>
      </c>
      <c r="BF42" s="693"/>
      <c r="BG42" s="693"/>
      <c r="BH42" s="693"/>
      <c r="BI42" s="693"/>
      <c r="BJ42" s="692">
        <v>0.54</v>
      </c>
      <c r="BK42" s="693"/>
      <c r="BL42" s="693"/>
      <c r="BM42" s="693"/>
      <c r="BN42" s="693"/>
      <c r="BO42" s="692">
        <v>0.55000000000000004</v>
      </c>
      <c r="BP42" s="693"/>
      <c r="BQ42" s="693"/>
      <c r="BR42" s="693"/>
      <c r="BS42" s="693"/>
      <c r="BT42" s="692">
        <v>0.55000000000000004</v>
      </c>
      <c r="BU42" s="693"/>
      <c r="BV42" s="693"/>
      <c r="BW42" s="693"/>
      <c r="BX42" s="693"/>
      <c r="BY42" s="692">
        <v>0.55000000000000004</v>
      </c>
      <c r="BZ42" s="693"/>
      <c r="CA42" s="693"/>
      <c r="CB42" s="693"/>
      <c r="CC42" s="693"/>
      <c r="CD42" s="692">
        <v>0.55000000000000004</v>
      </c>
      <c r="CE42" s="355">
        <v>55</v>
      </c>
    </row>
    <row r="43" spans="1:83" s="355" customFormat="1" ht="13">
      <c r="A43" s="349"/>
      <c r="B43" s="268" t="s">
        <v>229</v>
      </c>
      <c r="C43" s="350"/>
      <c r="D43" s="350"/>
      <c r="E43" s="350"/>
      <c r="F43" s="351"/>
      <c r="G43" s="352"/>
      <c r="H43" s="351"/>
      <c r="I43" s="351"/>
      <c r="J43" s="351"/>
      <c r="K43" s="351"/>
      <c r="L43" s="352"/>
      <c r="M43" s="351"/>
      <c r="N43" s="351"/>
      <c r="O43" s="351"/>
      <c r="P43" s="351"/>
      <c r="Q43" s="352"/>
      <c r="R43" s="353"/>
      <c r="S43" s="353"/>
      <c r="T43" s="353"/>
      <c r="U43" s="353"/>
      <c r="V43" s="354"/>
      <c r="W43" s="353"/>
      <c r="X43" s="353"/>
      <c r="Y43" s="353"/>
      <c r="Z43" s="353"/>
      <c r="AA43" s="354"/>
      <c r="AB43" s="302"/>
      <c r="AC43" s="302"/>
      <c r="AD43" s="302"/>
      <c r="AE43" s="302"/>
      <c r="AF43" s="311"/>
      <c r="AK43" s="311"/>
      <c r="AP43" s="311"/>
      <c r="AQ43" s="356"/>
      <c r="AS43" s="275"/>
      <c r="AT43" s="275"/>
      <c r="AU43" s="311"/>
      <c r="AV43" s="275"/>
      <c r="AW43" s="275"/>
      <c r="AX43" s="275"/>
      <c r="AY43" s="275"/>
      <c r="AZ43" s="277"/>
      <c r="BA43" s="275"/>
      <c r="BB43" s="275"/>
      <c r="BC43" s="275"/>
      <c r="BD43" s="275"/>
      <c r="BE43" s="332">
        <f>BE41*BE42</f>
        <v>1149.729</v>
      </c>
      <c r="BF43" s="285"/>
      <c r="BG43" s="285"/>
      <c r="BH43" s="285"/>
      <c r="BI43" s="285"/>
      <c r="BJ43" s="332">
        <f>BJ41*BJ42</f>
        <v>856.76130000000012</v>
      </c>
      <c r="BK43" s="285"/>
      <c r="BL43" s="285"/>
      <c r="BM43" s="285"/>
      <c r="BN43" s="285"/>
      <c r="BO43" s="332">
        <f>BO41*BO42</f>
        <v>846.04588750000005</v>
      </c>
      <c r="BP43" s="285"/>
      <c r="BQ43" s="285"/>
      <c r="BR43" s="285"/>
      <c r="BS43" s="285"/>
      <c r="BT43" s="332">
        <f>BT41*BT42</f>
        <v>843.2430875</v>
      </c>
      <c r="BU43" s="285"/>
      <c r="BV43" s="285"/>
      <c r="BW43" s="285"/>
      <c r="BX43" s="285"/>
      <c r="BY43" s="332">
        <f>BY41*BY42</f>
        <v>831.6605935</v>
      </c>
      <c r="BZ43" s="285"/>
      <c r="CA43" s="285"/>
      <c r="CB43" s="285"/>
      <c r="CC43" s="285"/>
      <c r="CD43" s="332">
        <f>CD41*CD42</f>
        <v>820.57482188000006</v>
      </c>
    </row>
    <row r="44" spans="1:83" s="355" customFormat="1" ht="13" hidden="1">
      <c r="A44" s="349"/>
      <c r="B44" s="268" t="s">
        <v>83</v>
      </c>
      <c r="C44" s="350"/>
      <c r="D44" s="350"/>
      <c r="E44" s="350"/>
      <c r="F44" s="351"/>
      <c r="G44" s="352"/>
      <c r="H44" s="351"/>
      <c r="I44" s="351"/>
      <c r="J44" s="351"/>
      <c r="K44" s="351"/>
      <c r="L44" s="352"/>
      <c r="M44" s="351"/>
      <c r="N44" s="351"/>
      <c r="O44" s="351"/>
      <c r="P44" s="351"/>
      <c r="Q44" s="352"/>
      <c r="R44" s="353"/>
      <c r="S44" s="353"/>
      <c r="T44" s="353"/>
      <c r="U44" s="353"/>
      <c r="V44" s="354"/>
      <c r="W44" s="353"/>
      <c r="X44" s="353"/>
      <c r="Y44" s="353"/>
      <c r="Z44" s="353"/>
      <c r="AA44" s="354"/>
      <c r="AB44" s="302"/>
      <c r="AC44" s="302"/>
      <c r="AD44" s="302"/>
      <c r="AE44" s="302"/>
      <c r="AF44" s="311"/>
      <c r="AK44" s="311"/>
      <c r="AP44" s="311"/>
      <c r="AQ44" s="356"/>
      <c r="AS44" s="275"/>
      <c r="AT44" s="275"/>
      <c r="AU44" s="311"/>
      <c r="AV44" s="275"/>
      <c r="AW44" s="275"/>
      <c r="AX44" s="275"/>
      <c r="AY44" s="275"/>
      <c r="AZ44" s="277"/>
      <c r="BA44" s="275"/>
      <c r="BB44" s="275"/>
      <c r="BC44" s="275"/>
      <c r="BD44" s="275"/>
      <c r="BE44" s="332"/>
      <c r="BF44" s="285"/>
      <c r="BG44" s="285"/>
      <c r="BH44" s="285"/>
      <c r="BI44" s="285"/>
      <c r="BJ44" s="332"/>
      <c r="BK44" s="285"/>
      <c r="BL44" s="285"/>
      <c r="BM44" s="285"/>
      <c r="BN44" s="285"/>
      <c r="BO44" s="332"/>
      <c r="BP44" s="285"/>
      <c r="BQ44" s="285"/>
      <c r="BR44" s="285"/>
      <c r="BS44" s="285"/>
      <c r="BT44" s="332"/>
      <c r="BU44" s="285"/>
      <c r="BV44" s="285"/>
      <c r="BW44" s="285"/>
      <c r="BX44" s="285"/>
      <c r="BY44" s="332"/>
      <c r="BZ44" s="285"/>
      <c r="CA44" s="285"/>
      <c r="CB44" s="285"/>
      <c r="CC44" s="285"/>
      <c r="CD44" s="332"/>
    </row>
    <row r="45" spans="1:83" s="355" customFormat="1" ht="13" hidden="1">
      <c r="A45" s="349"/>
      <c r="B45" s="268" t="s">
        <v>84</v>
      </c>
      <c r="C45" s="350"/>
      <c r="D45" s="350"/>
      <c r="E45" s="350"/>
      <c r="F45" s="351"/>
      <c r="G45" s="352"/>
      <c r="H45" s="351"/>
      <c r="I45" s="351"/>
      <c r="J45" s="351"/>
      <c r="K45" s="351"/>
      <c r="L45" s="352"/>
      <c r="M45" s="351"/>
      <c r="N45" s="351"/>
      <c r="O45" s="351"/>
      <c r="P45" s="351"/>
      <c r="Q45" s="352"/>
      <c r="R45" s="353"/>
      <c r="S45" s="353"/>
      <c r="T45" s="353"/>
      <c r="U45" s="353"/>
      <c r="V45" s="354"/>
      <c r="W45" s="353"/>
      <c r="X45" s="353"/>
      <c r="Y45" s="353"/>
      <c r="Z45" s="353"/>
      <c r="AA45" s="354"/>
      <c r="AB45" s="302"/>
      <c r="AC45" s="302"/>
      <c r="AD45" s="302"/>
      <c r="AE45" s="302"/>
      <c r="AF45" s="311"/>
      <c r="AK45" s="311"/>
      <c r="AP45" s="311"/>
      <c r="AQ45" s="356"/>
      <c r="AS45" s="275"/>
      <c r="AT45" s="275"/>
      <c r="AU45" s="311"/>
      <c r="AV45" s="275"/>
      <c r="AW45" s="275"/>
      <c r="AX45" s="275"/>
      <c r="AY45" s="275"/>
      <c r="AZ45" s="277"/>
      <c r="BA45" s="275"/>
      <c r="BB45" s="275"/>
      <c r="BC45" s="275"/>
      <c r="BD45" s="275"/>
      <c r="BE45" s="332"/>
      <c r="BF45" s="285"/>
      <c r="BG45" s="285"/>
      <c r="BH45" s="285"/>
      <c r="BI45" s="285"/>
      <c r="BJ45" s="332"/>
      <c r="BK45" s="285"/>
      <c r="BL45" s="285"/>
      <c r="BM45" s="285"/>
      <c r="BN45" s="285"/>
      <c r="BO45" s="332"/>
      <c r="BP45" s="285"/>
      <c r="BQ45" s="285"/>
      <c r="BR45" s="285"/>
      <c r="BS45" s="285"/>
      <c r="BT45" s="332"/>
      <c r="BU45" s="285"/>
      <c r="BV45" s="285"/>
      <c r="BW45" s="285"/>
      <c r="BX45" s="285"/>
      <c r="BY45" s="332"/>
      <c r="BZ45" s="285"/>
      <c r="CA45" s="285"/>
      <c r="CB45" s="285"/>
      <c r="CC45" s="285"/>
      <c r="CD45" s="332"/>
    </row>
    <row r="46" spans="1:83" s="355" customFormat="1" ht="13" hidden="1">
      <c r="A46" s="349"/>
      <c r="B46" s="268" t="s">
        <v>230</v>
      </c>
      <c r="C46" s="350"/>
      <c r="D46" s="350"/>
      <c r="E46" s="350"/>
      <c r="F46" s="351"/>
      <c r="G46" s="352"/>
      <c r="H46" s="351"/>
      <c r="I46" s="351"/>
      <c r="J46" s="351"/>
      <c r="K46" s="351"/>
      <c r="L46" s="352"/>
      <c r="M46" s="351"/>
      <c r="N46" s="351"/>
      <c r="O46" s="351"/>
      <c r="P46" s="351"/>
      <c r="Q46" s="352"/>
      <c r="R46" s="353"/>
      <c r="S46" s="353"/>
      <c r="T46" s="353"/>
      <c r="U46" s="353"/>
      <c r="V46" s="354"/>
      <c r="W46" s="353"/>
      <c r="X46" s="353"/>
      <c r="Y46" s="353"/>
      <c r="Z46" s="353"/>
      <c r="AA46" s="354"/>
      <c r="AB46" s="302"/>
      <c r="AC46" s="302"/>
      <c r="AD46" s="302"/>
      <c r="AE46" s="302"/>
      <c r="AF46" s="311"/>
      <c r="AK46" s="311"/>
      <c r="AP46" s="311"/>
      <c r="AQ46" s="356"/>
      <c r="AS46" s="275"/>
      <c r="AT46" s="275"/>
      <c r="AU46" s="311"/>
      <c r="AV46" s="275"/>
      <c r="AW46" s="275"/>
      <c r="AX46" s="275"/>
      <c r="AY46" s="275"/>
      <c r="AZ46" s="277"/>
      <c r="BA46" s="275"/>
      <c r="BB46" s="275"/>
      <c r="BC46" s="275"/>
      <c r="BD46" s="275"/>
      <c r="BE46" s="332"/>
      <c r="BF46" s="285"/>
      <c r="BG46" s="285"/>
      <c r="BH46" s="285"/>
      <c r="BI46" s="285"/>
      <c r="BJ46" s="332"/>
      <c r="BK46" s="285"/>
      <c r="BL46" s="285"/>
      <c r="BM46" s="285"/>
      <c r="BN46" s="285"/>
      <c r="BO46" s="332"/>
      <c r="BP46" s="285"/>
      <c r="BQ46" s="285"/>
      <c r="BR46" s="285"/>
      <c r="BS46" s="285"/>
      <c r="BT46" s="332"/>
      <c r="BU46" s="285"/>
      <c r="BV46" s="285"/>
      <c r="BW46" s="285"/>
      <c r="BX46" s="285"/>
      <c r="BY46" s="332"/>
      <c r="BZ46" s="285"/>
      <c r="CA46" s="285"/>
      <c r="CB46" s="285"/>
      <c r="CC46" s="285"/>
      <c r="CD46" s="332"/>
    </row>
    <row r="47" spans="1:83" s="355" customFormat="1" ht="13">
      <c r="A47" s="349"/>
      <c r="B47" s="268" t="s">
        <v>231</v>
      </c>
      <c r="C47" s="350"/>
      <c r="D47" s="350"/>
      <c r="E47" s="350"/>
      <c r="F47" s="351"/>
      <c r="G47" s="352"/>
      <c r="H47" s="351"/>
      <c r="I47" s="351"/>
      <c r="J47" s="351"/>
      <c r="K47" s="351"/>
      <c r="L47" s="352"/>
      <c r="M47" s="351"/>
      <c r="N47" s="351"/>
      <c r="O47" s="351"/>
      <c r="P47" s="351"/>
      <c r="Q47" s="352"/>
      <c r="R47" s="353"/>
      <c r="S47" s="353"/>
      <c r="T47" s="353"/>
      <c r="U47" s="353"/>
      <c r="V47" s="354"/>
      <c r="W47" s="353"/>
      <c r="X47" s="353"/>
      <c r="Y47" s="353"/>
      <c r="Z47" s="353"/>
      <c r="AA47" s="354"/>
      <c r="AB47" s="302"/>
      <c r="AC47" s="302"/>
      <c r="AD47" s="302"/>
      <c r="AE47" s="302"/>
      <c r="AF47" s="311"/>
      <c r="AK47" s="311"/>
      <c r="AP47" s="311"/>
      <c r="AQ47" s="356"/>
      <c r="AS47" s="275"/>
      <c r="AT47" s="275"/>
      <c r="AU47" s="311"/>
      <c r="AV47" s="275"/>
      <c r="AW47" s="275"/>
      <c r="AX47" s="275"/>
      <c r="AY47" s="275"/>
      <c r="AZ47" s="277"/>
      <c r="BA47" s="275"/>
      <c r="BB47" s="275"/>
      <c r="BC47" s="275"/>
      <c r="BD47" s="275"/>
      <c r="BE47" s="277">
        <f>BE43+(BE43/BE$80*BE$81)</f>
        <v>1192.320756084147</v>
      </c>
      <c r="BF47" s="191"/>
      <c r="BG47" s="191"/>
      <c r="BH47" s="191"/>
      <c r="BI47" s="191"/>
      <c r="BJ47" s="277">
        <f>BJ43+(BJ43/BJ$80*BJ$81)</f>
        <v>889.7754991346095</v>
      </c>
      <c r="BK47" s="191"/>
      <c r="BL47" s="191"/>
      <c r="BM47" s="191"/>
      <c r="BN47" s="191"/>
      <c r="BO47" s="277">
        <f>BO43+(BO43/BO$80*BO$81)</f>
        <v>876.0811652267214</v>
      </c>
      <c r="BP47" s="191"/>
      <c r="BQ47" s="191"/>
      <c r="BR47" s="191"/>
      <c r="BS47" s="191"/>
      <c r="BT47" s="277">
        <f>BT43+(BT43/BT$80*BT$81)</f>
        <v>870.99858971107358</v>
      </c>
      <c r="BU47" s="191"/>
      <c r="BV47" s="191"/>
      <c r="BW47" s="191"/>
      <c r="BX47" s="191"/>
      <c r="BY47" s="277">
        <f>BY43+(BY43/BY$80*BY$81)</f>
        <v>856.96931808239867</v>
      </c>
      <c r="BZ47" s="191"/>
      <c r="CA47" s="191"/>
      <c r="CB47" s="191"/>
      <c r="CC47" s="191"/>
      <c r="CD47" s="277">
        <f>CD43+(CD43/CD$80*CD$81)</f>
        <v>844.22872554636081</v>
      </c>
    </row>
    <row r="48" spans="1:83" s="355" customFormat="1" ht="13">
      <c r="A48" s="349"/>
      <c r="B48" s="298"/>
      <c r="C48" s="350"/>
      <c r="D48" s="350"/>
      <c r="E48" s="350"/>
      <c r="F48" s="351"/>
      <c r="G48" s="352"/>
      <c r="H48" s="351"/>
      <c r="I48" s="351"/>
      <c r="J48" s="351"/>
      <c r="K48" s="351"/>
      <c r="L48" s="352"/>
      <c r="M48" s="351"/>
      <c r="N48" s="351"/>
      <c r="O48" s="351"/>
      <c r="P48" s="351"/>
      <c r="Q48" s="352"/>
      <c r="R48" s="353"/>
      <c r="S48" s="353"/>
      <c r="T48" s="353"/>
      <c r="U48" s="353"/>
      <c r="V48" s="354"/>
      <c r="W48" s="353"/>
      <c r="X48" s="353"/>
      <c r="Y48" s="353"/>
      <c r="Z48" s="353"/>
      <c r="AA48" s="354"/>
      <c r="AB48" s="302"/>
      <c r="AC48" s="302"/>
      <c r="AD48" s="302"/>
      <c r="AE48" s="302"/>
      <c r="AF48" s="311"/>
      <c r="AK48" s="311"/>
      <c r="AP48" s="311"/>
      <c r="AQ48" s="356"/>
      <c r="AS48" s="275"/>
      <c r="AT48" s="275"/>
      <c r="AU48" s="311"/>
      <c r="AV48" s="275"/>
      <c r="AW48" s="275"/>
      <c r="AX48" s="275"/>
      <c r="AY48" s="275"/>
      <c r="AZ48" s="277"/>
      <c r="BA48" s="275"/>
      <c r="BB48" s="275"/>
      <c r="BC48" s="275"/>
      <c r="BD48" s="275"/>
      <c r="BE48" s="332"/>
      <c r="BF48" s="285"/>
      <c r="BG48" s="285"/>
      <c r="BH48" s="285"/>
      <c r="BI48" s="285"/>
      <c r="BJ48" s="332"/>
      <c r="BK48" s="285"/>
      <c r="BL48" s="285"/>
      <c r="BM48" s="285"/>
      <c r="BN48" s="285"/>
      <c r="BO48" s="332"/>
      <c r="BP48" s="285"/>
      <c r="BQ48" s="285"/>
      <c r="BR48" s="285"/>
      <c r="BS48" s="285"/>
      <c r="BT48" s="332"/>
      <c r="BU48" s="285"/>
      <c r="BV48" s="285"/>
      <c r="BW48" s="285"/>
      <c r="BX48" s="285"/>
      <c r="BY48" s="332"/>
      <c r="BZ48" s="285"/>
      <c r="CA48" s="285"/>
      <c r="CB48" s="285"/>
      <c r="CC48" s="285"/>
      <c r="CD48" s="332"/>
    </row>
    <row r="49" spans="1:83" s="454" customFormat="1">
      <c r="A49" s="157"/>
      <c r="B49" s="225" t="str">
        <f>Sales!B117</f>
        <v>Total Developed ROW (Canada/Austraila/Japan/WEU)</v>
      </c>
      <c r="C49" s="696" t="e">
        <f>Sales!C117</f>
        <v>#REF!</v>
      </c>
      <c r="D49" s="696" t="e">
        <f>Sales!D117</f>
        <v>#REF!</v>
      </c>
      <c r="E49" s="696" t="e">
        <f>Sales!E117</f>
        <v>#REF!</v>
      </c>
      <c r="F49" s="696" t="e">
        <f>Sales!F117</f>
        <v>#REF!</v>
      </c>
      <c r="G49" s="697" t="e">
        <f>Sales!G117</f>
        <v>#REF!</v>
      </c>
      <c r="H49" s="696" t="e">
        <f>Sales!H117</f>
        <v>#REF!</v>
      </c>
      <c r="I49" s="696" t="e">
        <f>Sales!I117</f>
        <v>#REF!</v>
      </c>
      <c r="J49" s="696" t="e">
        <f>Sales!J117</f>
        <v>#REF!</v>
      </c>
      <c r="K49" s="696" t="e">
        <f>Sales!K117</f>
        <v>#REF!</v>
      </c>
      <c r="L49" s="697" t="e">
        <f>Sales!L117</f>
        <v>#REF!</v>
      </c>
      <c r="M49" s="696" t="e">
        <f>Sales!M117</f>
        <v>#REF!</v>
      </c>
      <c r="N49" s="696" t="e">
        <f>Sales!N117</f>
        <v>#REF!</v>
      </c>
      <c r="O49" s="696" t="e">
        <f>Sales!O117</f>
        <v>#REF!</v>
      </c>
      <c r="P49" s="696" t="e">
        <f>Sales!P117</f>
        <v>#REF!</v>
      </c>
      <c r="Q49" s="697" t="e">
        <f>Sales!Q117</f>
        <v>#REF!</v>
      </c>
      <c r="R49" s="696" t="e">
        <f>Sales!R117</f>
        <v>#REF!</v>
      </c>
      <c r="S49" s="696" t="e">
        <f>Sales!S117</f>
        <v>#REF!</v>
      </c>
      <c r="T49" s="696" t="e">
        <f>Sales!T117</f>
        <v>#REF!</v>
      </c>
      <c r="U49" s="696" t="e">
        <f>Sales!U117</f>
        <v>#REF!</v>
      </c>
      <c r="V49" s="697" t="e">
        <f>Sales!V117</f>
        <v>#REF!</v>
      </c>
      <c r="W49" s="698" t="e">
        <f>Sales!W117</f>
        <v>#REF!</v>
      </c>
      <c r="X49" s="698" t="e">
        <f>Sales!X117</f>
        <v>#REF!</v>
      </c>
      <c r="Y49" s="698" t="e">
        <f>Sales!Y117</f>
        <v>#REF!</v>
      </c>
      <c r="Z49" s="698" t="e">
        <f>Sales!Z117</f>
        <v>#REF!</v>
      </c>
      <c r="AA49" s="699" t="e">
        <f>Sales!AA117</f>
        <v>#REF!</v>
      </c>
      <c r="AB49" s="698">
        <f>Sales!AB117</f>
        <v>0</v>
      </c>
      <c r="AC49" s="698">
        <f>Sales!AC117</f>
        <v>0</v>
      </c>
      <c r="AD49" s="698">
        <f>Sales!AD117</f>
        <v>0</v>
      </c>
      <c r="AE49" s="698">
        <f>Sales!AE117</f>
        <v>0</v>
      </c>
      <c r="AF49" s="699">
        <f>Sales!AF117</f>
        <v>0</v>
      </c>
      <c r="AG49" s="698">
        <f>Sales!AG117</f>
        <v>0</v>
      </c>
      <c r="AH49" s="698">
        <f>Sales!AH117</f>
        <v>0</v>
      </c>
      <c r="AI49" s="698">
        <f>Sales!AI117</f>
        <v>0</v>
      </c>
      <c r="AJ49" s="698">
        <f>Sales!AJ117</f>
        <v>0</v>
      </c>
      <c r="AK49" s="699">
        <f>Sales!AK117</f>
        <v>0</v>
      </c>
      <c r="AL49" s="698">
        <f>Sales!AL117</f>
        <v>0</v>
      </c>
      <c r="AM49" s="698">
        <f>Sales!AM117</f>
        <v>0</v>
      </c>
      <c r="AN49" s="698">
        <f>Sales!AN117</f>
        <v>0</v>
      </c>
      <c r="AO49" s="698">
        <f>Sales!AO117</f>
        <v>0</v>
      </c>
      <c r="AP49" s="699">
        <f>Sales!AP117</f>
        <v>0</v>
      </c>
      <c r="AQ49" s="698">
        <f>Sales!AQ117</f>
        <v>128.5</v>
      </c>
      <c r="AR49" s="698">
        <f>Sales!AR117</f>
        <v>141.30000000000001</v>
      </c>
      <c r="AS49" s="698">
        <f>Sales!AS117</f>
        <v>326.88900000000001</v>
      </c>
      <c r="AT49" s="698">
        <f>Sales!AT117</f>
        <v>484.77199999999999</v>
      </c>
      <c r="AU49" s="699">
        <f>Sales!AU117</f>
        <v>1081.461</v>
      </c>
      <c r="AV49" s="698">
        <f>Sales!AV117</f>
        <v>415.4</v>
      </c>
      <c r="AW49" s="698">
        <f>Sales!AW117</f>
        <v>441.6</v>
      </c>
      <c r="AX49" s="698">
        <f>Sales!AX117</f>
        <v>420.7</v>
      </c>
      <c r="AY49" s="698">
        <f>Sales!AY117</f>
        <v>423</v>
      </c>
      <c r="AZ49" s="699">
        <f>Sales!AZ117</f>
        <v>1700.7</v>
      </c>
      <c r="BA49" s="698">
        <f>Sales!BA117</f>
        <v>360.7</v>
      </c>
      <c r="BB49" s="698">
        <f>Sales!BB117</f>
        <v>397.3</v>
      </c>
      <c r="BC49" s="698">
        <f>Sales!BC117</f>
        <v>352.5</v>
      </c>
      <c r="BD49" s="698">
        <f>Sales!BD117</f>
        <v>363.4</v>
      </c>
      <c r="BE49" s="699">
        <f>Sales!BE117</f>
        <v>1473.9</v>
      </c>
      <c r="BF49" s="699">
        <f>Sales!BF117</f>
        <v>339.05799999999999</v>
      </c>
      <c r="BG49" s="699">
        <f>Sales!BG117</f>
        <v>385.38100000000003</v>
      </c>
      <c r="BH49" s="699">
        <f>Sales!BH117</f>
        <v>348.97500000000002</v>
      </c>
      <c r="BI49" s="699">
        <f>Sales!BI117</f>
        <v>370.66800000000001</v>
      </c>
      <c r="BJ49" s="699">
        <f>Sales!BJ117</f>
        <v>1444.0820000000003</v>
      </c>
      <c r="BK49" s="228">
        <f>Sales!BK117</f>
        <v>0</v>
      </c>
      <c r="BL49" s="228">
        <f>Sales!BL117</f>
        <v>0</v>
      </c>
      <c r="BM49" s="228">
        <f>Sales!BM117</f>
        <v>0</v>
      </c>
      <c r="BN49" s="228">
        <f>Sales!BN117</f>
        <v>0</v>
      </c>
      <c r="BO49" s="699">
        <f>Sales!BO117</f>
        <v>1472.9636400000004</v>
      </c>
      <c r="BP49" s="699">
        <f>Sales!BP117</f>
        <v>0</v>
      </c>
      <c r="BQ49" s="699">
        <f>Sales!BQ117</f>
        <v>0</v>
      </c>
      <c r="BR49" s="699">
        <f>Sales!BR117</f>
        <v>0</v>
      </c>
      <c r="BS49" s="699">
        <f>Sales!BS117</f>
        <v>0</v>
      </c>
      <c r="BT49" s="699">
        <f>Sales!BT117</f>
        <v>1502.4229128000004</v>
      </c>
      <c r="BU49" s="228">
        <f>Sales!BU117</f>
        <v>0</v>
      </c>
      <c r="BV49" s="228">
        <f>Sales!BV117</f>
        <v>0</v>
      </c>
      <c r="BW49" s="228">
        <f>Sales!BW117</f>
        <v>0</v>
      </c>
      <c r="BX49" s="228">
        <f>Sales!BX117</f>
        <v>0</v>
      </c>
      <c r="BY49" s="699">
        <f>Sales!BY117</f>
        <v>1532.4713710560004</v>
      </c>
      <c r="BZ49" s="699">
        <f>Sales!BZ117</f>
        <v>0</v>
      </c>
      <c r="CA49" s="699">
        <f>Sales!CA117</f>
        <v>0</v>
      </c>
      <c r="CB49" s="699">
        <f>Sales!CB117</f>
        <v>0</v>
      </c>
      <c r="CC49" s="699">
        <f>Sales!CC117</f>
        <v>0</v>
      </c>
      <c r="CD49" s="699">
        <f>Sales!CD117</f>
        <v>1563.1207984771204</v>
      </c>
      <c r="CE49" s="157"/>
    </row>
    <row r="50" spans="1:83" s="355" customFormat="1" ht="13">
      <c r="A50" s="349"/>
      <c r="B50" s="574" t="s">
        <v>76</v>
      </c>
      <c r="C50" s="350"/>
      <c r="D50" s="350"/>
      <c r="E50" s="350"/>
      <c r="F50" s="351"/>
      <c r="G50" s="352"/>
      <c r="H50" s="351"/>
      <c r="I50" s="351"/>
      <c r="J50" s="351"/>
      <c r="K50" s="351"/>
      <c r="L50" s="352"/>
      <c r="M50" s="351"/>
      <c r="N50" s="351"/>
      <c r="O50" s="351"/>
      <c r="P50" s="351"/>
      <c r="Q50" s="352"/>
      <c r="R50" s="353"/>
      <c r="S50" s="353"/>
      <c r="T50" s="353"/>
      <c r="U50" s="353"/>
      <c r="V50" s="354"/>
      <c r="W50" s="353"/>
      <c r="X50" s="353"/>
      <c r="Y50" s="353"/>
      <c r="Z50" s="353"/>
      <c r="AA50" s="354"/>
      <c r="AB50" s="302"/>
      <c r="AC50" s="302"/>
      <c r="AD50" s="302"/>
      <c r="AE50" s="302"/>
      <c r="AF50" s="360"/>
      <c r="AK50" s="311"/>
      <c r="AP50" s="360"/>
      <c r="AQ50" s="694"/>
      <c r="AS50" s="275"/>
      <c r="AT50" s="275"/>
      <c r="AU50" s="311"/>
      <c r="AV50" s="275"/>
      <c r="AW50" s="275"/>
      <c r="AX50" s="275"/>
      <c r="AY50" s="275"/>
      <c r="AZ50" s="311"/>
      <c r="BA50" s="275"/>
      <c r="BB50" s="275"/>
      <c r="BC50" s="275"/>
      <c r="BD50" s="275"/>
      <c r="BE50" s="600">
        <f>BE51/BE49</f>
        <v>0.53325123821154807</v>
      </c>
      <c r="BF50" s="285"/>
      <c r="BG50" s="285"/>
      <c r="BH50" s="285"/>
      <c r="BI50" s="285"/>
      <c r="BJ50" s="600">
        <f>BJ51/BJ49</f>
        <v>0.45728904522042318</v>
      </c>
      <c r="BK50" s="285"/>
      <c r="BL50" s="285"/>
      <c r="BM50" s="285"/>
      <c r="BN50" s="285"/>
      <c r="BO50" s="600">
        <f>BO51/BO49</f>
        <v>0.46488566992054292</v>
      </c>
      <c r="BP50" s="285"/>
      <c r="BQ50" s="285"/>
      <c r="BR50" s="285"/>
      <c r="BS50" s="285"/>
      <c r="BT50" s="600">
        <f>BT51/BT49</f>
        <v>0.48272122660302069</v>
      </c>
      <c r="BU50" s="285"/>
      <c r="BV50" s="285"/>
      <c r="BW50" s="285"/>
      <c r="BX50" s="285"/>
      <c r="BY50" s="600">
        <f>BY51/BY49</f>
        <v>0.50269044532834639</v>
      </c>
      <c r="BZ50" s="285"/>
      <c r="CA50" s="285"/>
      <c r="CB50" s="285"/>
      <c r="CC50" s="285"/>
      <c r="CD50" s="600">
        <f>CD51/CD49</f>
        <v>0.4936777572194011</v>
      </c>
    </row>
    <row r="51" spans="1:83" s="355" customFormat="1" ht="13">
      <c r="A51" s="349"/>
      <c r="B51" s="268" t="s">
        <v>229</v>
      </c>
      <c r="C51" s="350"/>
      <c r="D51" s="350"/>
      <c r="E51" s="350"/>
      <c r="F51" s="351"/>
      <c r="G51" s="352"/>
      <c r="H51" s="351"/>
      <c r="I51" s="351"/>
      <c r="J51" s="351"/>
      <c r="K51" s="351"/>
      <c r="L51" s="352"/>
      <c r="M51" s="351"/>
      <c r="N51" s="351"/>
      <c r="O51" s="351"/>
      <c r="P51" s="351"/>
      <c r="Q51" s="352"/>
      <c r="R51" s="353"/>
      <c r="S51" s="353"/>
      <c r="T51" s="353"/>
      <c r="U51" s="353"/>
      <c r="V51" s="354"/>
      <c r="W51" s="353"/>
      <c r="X51" s="353"/>
      <c r="Y51" s="353"/>
      <c r="Z51" s="353"/>
      <c r="AA51" s="354"/>
      <c r="AB51" s="302"/>
      <c r="AC51" s="302"/>
      <c r="AD51" s="302"/>
      <c r="AE51" s="302"/>
      <c r="AF51" s="360"/>
      <c r="AK51" s="311"/>
      <c r="AP51" s="360"/>
      <c r="AQ51" s="694"/>
      <c r="AS51" s="275"/>
      <c r="AT51" s="275"/>
      <c r="AU51" s="311"/>
      <c r="AV51" s="275"/>
      <c r="AW51" s="275"/>
      <c r="AX51" s="275"/>
      <c r="AY51" s="275"/>
      <c r="AZ51" s="311"/>
      <c r="BA51" s="275"/>
      <c r="BB51" s="275"/>
      <c r="BC51" s="275"/>
      <c r="BD51" s="275"/>
      <c r="BE51" s="332">
        <f t="shared" ref="BE51:CD51" si="2">BE80-SUM(BE18,BE27,BE35,BE43,BE66,BE74)</f>
        <v>785.95900000000074</v>
      </c>
      <c r="BF51" s="285">
        <f t="shared" si="2"/>
        <v>958.97312000000022</v>
      </c>
      <c r="BG51" s="285">
        <f t="shared" si="2"/>
        <v>1309.4867420000005</v>
      </c>
      <c r="BH51" s="285">
        <f t="shared" si="2"/>
        <v>1395.0711780000001</v>
      </c>
      <c r="BI51" s="285">
        <f t="shared" si="2"/>
        <v>1526.7284390000002</v>
      </c>
      <c r="BJ51" s="277">
        <f t="shared" si="2"/>
        <v>660.36287899999934</v>
      </c>
      <c r="BK51" s="285">
        <f t="shared" si="2"/>
        <v>0</v>
      </c>
      <c r="BL51" s="285">
        <f t="shared" si="2"/>
        <v>0</v>
      </c>
      <c r="BM51" s="285">
        <f t="shared" si="2"/>
        <v>0</v>
      </c>
      <c r="BN51" s="285">
        <f t="shared" si="2"/>
        <v>0</v>
      </c>
      <c r="BO51" s="277">
        <f t="shared" si="2"/>
        <v>684.75968855000156</v>
      </c>
      <c r="BP51" s="285">
        <f t="shared" si="2"/>
        <v>0</v>
      </c>
      <c r="BQ51" s="285">
        <f t="shared" si="2"/>
        <v>0</v>
      </c>
      <c r="BR51" s="285">
        <f t="shared" si="2"/>
        <v>0</v>
      </c>
      <c r="BS51" s="285">
        <f t="shared" si="2"/>
        <v>0</v>
      </c>
      <c r="BT51" s="277">
        <f t="shared" si="2"/>
        <v>725.25143134329937</v>
      </c>
      <c r="BU51" s="285">
        <f t="shared" si="2"/>
        <v>0</v>
      </c>
      <c r="BV51" s="285">
        <f t="shared" si="2"/>
        <v>0</v>
      </c>
      <c r="BW51" s="285">
        <f t="shared" si="2"/>
        <v>0</v>
      </c>
      <c r="BX51" s="285">
        <f t="shared" si="2"/>
        <v>0</v>
      </c>
      <c r="BY51" s="277">
        <f t="shared" si="2"/>
        <v>770.35871596908237</v>
      </c>
      <c r="BZ51" s="285">
        <f t="shared" si="2"/>
        <v>0</v>
      </c>
      <c r="CA51" s="285">
        <f t="shared" si="2"/>
        <v>0</v>
      </c>
      <c r="CB51" s="285">
        <f t="shared" si="2"/>
        <v>0</v>
      </c>
      <c r="CC51" s="285">
        <f t="shared" si="2"/>
        <v>0</v>
      </c>
      <c r="CD51" s="277">
        <f t="shared" si="2"/>
        <v>771.67797005518423</v>
      </c>
    </row>
    <row r="52" spans="1:83" s="355" customFormat="1" ht="13" hidden="1">
      <c r="A52" s="349"/>
      <c r="B52" s="268" t="s">
        <v>83</v>
      </c>
      <c r="C52" s="350"/>
      <c r="D52" s="350"/>
      <c r="E52" s="350"/>
      <c r="F52" s="351"/>
      <c r="G52" s="352"/>
      <c r="H52" s="351"/>
      <c r="I52" s="351"/>
      <c r="J52" s="351"/>
      <c r="K52" s="351"/>
      <c r="L52" s="352"/>
      <c r="M52" s="351"/>
      <c r="N52" s="351"/>
      <c r="O52" s="351"/>
      <c r="P52" s="351"/>
      <c r="Q52" s="352"/>
      <c r="R52" s="353"/>
      <c r="S52" s="353"/>
      <c r="T52" s="353"/>
      <c r="U52" s="353"/>
      <c r="V52" s="354"/>
      <c r="W52" s="353"/>
      <c r="X52" s="353"/>
      <c r="Y52" s="353"/>
      <c r="Z52" s="353"/>
      <c r="AA52" s="354"/>
      <c r="AB52" s="302"/>
      <c r="AC52" s="302"/>
      <c r="AD52" s="302"/>
      <c r="AE52" s="302"/>
      <c r="AF52" s="360"/>
      <c r="AK52" s="311"/>
      <c r="AP52" s="360"/>
      <c r="AQ52" s="694"/>
      <c r="AS52" s="275"/>
      <c r="AT52" s="275"/>
      <c r="AU52" s="311"/>
      <c r="AV52" s="275"/>
      <c r="AW52" s="275"/>
      <c r="AX52" s="275"/>
      <c r="AY52" s="275"/>
      <c r="AZ52" s="311"/>
      <c r="BA52" s="275"/>
      <c r="BB52" s="275"/>
      <c r="BC52" s="275"/>
      <c r="BD52" s="275"/>
      <c r="BE52" s="332"/>
      <c r="BF52" s="285"/>
      <c r="BG52" s="285"/>
      <c r="BH52" s="285"/>
      <c r="BI52" s="285"/>
      <c r="BJ52" s="277"/>
      <c r="BK52" s="285"/>
      <c r="BL52" s="285"/>
      <c r="BM52" s="285"/>
      <c r="BN52" s="285"/>
      <c r="BO52" s="277"/>
      <c r="BP52" s="285"/>
      <c r="BQ52" s="285"/>
      <c r="BR52" s="285"/>
      <c r="BS52" s="285"/>
      <c r="BT52" s="277"/>
      <c r="BU52" s="285"/>
      <c r="BV52" s="285"/>
      <c r="BW52" s="285"/>
      <c r="BX52" s="285"/>
      <c r="BY52" s="277"/>
      <c r="BZ52" s="285"/>
      <c r="CA52" s="285"/>
      <c r="CB52" s="285"/>
      <c r="CC52" s="285"/>
      <c r="CD52" s="277"/>
    </row>
    <row r="53" spans="1:83" s="355" customFormat="1" ht="13" hidden="1">
      <c r="A53" s="349"/>
      <c r="B53" s="268" t="s">
        <v>84</v>
      </c>
      <c r="C53" s="350"/>
      <c r="D53" s="350"/>
      <c r="E53" s="350"/>
      <c r="F53" s="351"/>
      <c r="G53" s="352"/>
      <c r="H53" s="351"/>
      <c r="I53" s="351"/>
      <c r="J53" s="351"/>
      <c r="K53" s="351"/>
      <c r="L53" s="352"/>
      <c r="M53" s="351"/>
      <c r="N53" s="351"/>
      <c r="O53" s="351"/>
      <c r="P53" s="351"/>
      <c r="Q53" s="352"/>
      <c r="R53" s="353"/>
      <c r="S53" s="353"/>
      <c r="T53" s="353"/>
      <c r="U53" s="353"/>
      <c r="V53" s="354"/>
      <c r="W53" s="353"/>
      <c r="X53" s="353"/>
      <c r="Y53" s="353"/>
      <c r="Z53" s="353"/>
      <c r="AA53" s="354"/>
      <c r="AB53" s="302"/>
      <c r="AC53" s="302"/>
      <c r="AD53" s="302"/>
      <c r="AE53" s="302"/>
      <c r="AF53" s="360"/>
      <c r="AK53" s="311"/>
      <c r="AP53" s="360"/>
      <c r="AQ53" s="694"/>
      <c r="AS53" s="275"/>
      <c r="AT53" s="275"/>
      <c r="AU53" s="311"/>
      <c r="AV53" s="275"/>
      <c r="AW53" s="275"/>
      <c r="AX53" s="275"/>
      <c r="AY53" s="275"/>
      <c r="AZ53" s="311"/>
      <c r="BA53" s="275"/>
      <c r="BB53" s="275"/>
      <c r="BC53" s="275"/>
      <c r="BD53" s="275"/>
      <c r="BE53" s="332"/>
      <c r="BF53" s="285"/>
      <c r="BG53" s="285"/>
      <c r="BH53" s="285"/>
      <c r="BI53" s="285"/>
      <c r="BJ53" s="277"/>
      <c r="BK53" s="285"/>
      <c r="BL53" s="285"/>
      <c r="BM53" s="285"/>
      <c r="BN53" s="285"/>
      <c r="BO53" s="277"/>
      <c r="BP53" s="285"/>
      <c r="BQ53" s="285"/>
      <c r="BR53" s="285"/>
      <c r="BS53" s="285"/>
      <c r="BT53" s="277"/>
      <c r="BU53" s="285"/>
      <c r="BV53" s="285"/>
      <c r="BW53" s="285"/>
      <c r="BX53" s="285"/>
      <c r="BY53" s="277"/>
      <c r="BZ53" s="285"/>
      <c r="CA53" s="285"/>
      <c r="CB53" s="285"/>
      <c r="CC53" s="285"/>
      <c r="CD53" s="277"/>
    </row>
    <row r="54" spans="1:83" s="355" customFormat="1" ht="13" hidden="1">
      <c r="A54" s="349"/>
      <c r="B54" s="268" t="s">
        <v>230</v>
      </c>
      <c r="C54" s="350"/>
      <c r="D54" s="350"/>
      <c r="E54" s="350"/>
      <c r="F54" s="351"/>
      <c r="G54" s="352"/>
      <c r="H54" s="351"/>
      <c r="I54" s="351"/>
      <c r="J54" s="351"/>
      <c r="K54" s="351"/>
      <c r="L54" s="352"/>
      <c r="M54" s="351"/>
      <c r="N54" s="351"/>
      <c r="O54" s="351"/>
      <c r="P54" s="351"/>
      <c r="Q54" s="352"/>
      <c r="R54" s="353"/>
      <c r="S54" s="353"/>
      <c r="T54" s="353"/>
      <c r="U54" s="353"/>
      <c r="V54" s="354"/>
      <c r="W54" s="353"/>
      <c r="X54" s="353"/>
      <c r="Y54" s="353"/>
      <c r="Z54" s="353"/>
      <c r="AA54" s="354"/>
      <c r="AB54" s="302"/>
      <c r="AC54" s="302"/>
      <c r="AD54" s="302"/>
      <c r="AE54" s="302"/>
      <c r="AF54" s="360"/>
      <c r="AK54" s="311"/>
      <c r="AP54" s="360"/>
      <c r="AQ54" s="694"/>
      <c r="AS54" s="275"/>
      <c r="AT54" s="275"/>
      <c r="AU54" s="311"/>
      <c r="AV54" s="275"/>
      <c r="AW54" s="275"/>
      <c r="AX54" s="275"/>
      <c r="AY54" s="275"/>
      <c r="AZ54" s="311"/>
      <c r="BA54" s="275"/>
      <c r="BB54" s="275"/>
      <c r="BC54" s="275"/>
      <c r="BD54" s="275"/>
      <c r="BE54" s="332"/>
      <c r="BF54" s="285"/>
      <c r="BG54" s="285"/>
      <c r="BH54" s="285"/>
      <c r="BI54" s="285"/>
      <c r="BJ54" s="277"/>
      <c r="BK54" s="285"/>
      <c r="BL54" s="285"/>
      <c r="BM54" s="285"/>
      <c r="BN54" s="285"/>
      <c r="BO54" s="277"/>
      <c r="BP54" s="285"/>
      <c r="BQ54" s="285"/>
      <c r="BR54" s="285"/>
      <c r="BS54" s="285"/>
      <c r="BT54" s="277"/>
      <c r="BU54" s="285"/>
      <c r="BV54" s="285"/>
      <c r="BW54" s="285"/>
      <c r="BX54" s="285"/>
      <c r="BY54" s="277"/>
      <c r="BZ54" s="285"/>
      <c r="CA54" s="285"/>
      <c r="CB54" s="285"/>
      <c r="CC54" s="285"/>
      <c r="CD54" s="277"/>
    </row>
    <row r="55" spans="1:83" s="355" customFormat="1" ht="13">
      <c r="A55" s="349"/>
      <c r="B55" s="268" t="s">
        <v>231</v>
      </c>
      <c r="C55" s="350"/>
      <c r="D55" s="350"/>
      <c r="E55" s="350"/>
      <c r="F55" s="351"/>
      <c r="G55" s="352"/>
      <c r="H55" s="351"/>
      <c r="I55" s="351"/>
      <c r="J55" s="351"/>
      <c r="K55" s="351"/>
      <c r="L55" s="352"/>
      <c r="M55" s="351"/>
      <c r="N55" s="351"/>
      <c r="O55" s="351"/>
      <c r="P55" s="351"/>
      <c r="Q55" s="352"/>
      <c r="R55" s="353"/>
      <c r="S55" s="353"/>
      <c r="T55" s="353"/>
      <c r="U55" s="353"/>
      <c r="V55" s="354"/>
      <c r="W55" s="353"/>
      <c r="X55" s="353"/>
      <c r="Y55" s="353"/>
      <c r="Z55" s="353"/>
      <c r="AA55" s="354"/>
      <c r="AB55" s="302"/>
      <c r="AC55" s="302"/>
      <c r="AD55" s="302"/>
      <c r="AE55" s="302"/>
      <c r="AF55" s="360"/>
      <c r="AK55" s="311"/>
      <c r="AP55" s="360"/>
      <c r="AQ55" s="694"/>
      <c r="AS55" s="275"/>
      <c r="AT55" s="275"/>
      <c r="AU55" s="311"/>
      <c r="AV55" s="275"/>
      <c r="AW55" s="275"/>
      <c r="AX55" s="275"/>
      <c r="AY55" s="275"/>
      <c r="AZ55" s="311"/>
      <c r="BA55" s="275"/>
      <c r="BB55" s="275"/>
      <c r="BC55" s="275"/>
      <c r="BD55" s="275"/>
      <c r="BE55" s="277">
        <f>BE51+(BE51/BE$80*BE$81)</f>
        <v>815.07488210799318</v>
      </c>
      <c r="BF55" s="191"/>
      <c r="BG55" s="191"/>
      <c r="BH55" s="191"/>
      <c r="BI55" s="191"/>
      <c r="BJ55" s="277">
        <f>BJ51+(BJ51/BJ$80*BJ$81)</f>
        <v>685.809116579136</v>
      </c>
      <c r="BK55" s="191"/>
      <c r="BL55" s="191"/>
      <c r="BM55" s="191"/>
      <c r="BN55" s="191"/>
      <c r="BO55" s="277">
        <f>BO51+(BO51/BO$80*BO$81)</f>
        <v>709.06918254498601</v>
      </c>
      <c r="BP55" s="191"/>
      <c r="BQ55" s="191"/>
      <c r="BR55" s="191"/>
      <c r="BS55" s="191"/>
      <c r="BT55" s="277">
        <f>BT51+(BT51/BT$80*BT$81)</f>
        <v>749.1232163654721</v>
      </c>
      <c r="BU55" s="191"/>
      <c r="BV55" s="191"/>
      <c r="BW55" s="191"/>
      <c r="BX55" s="191"/>
      <c r="BY55" s="277">
        <f>BY51+(BY51/BY$80*BY$81)</f>
        <v>793.80192913139001</v>
      </c>
      <c r="BZ55" s="191"/>
      <c r="CA55" s="191"/>
      <c r="CB55" s="191"/>
      <c r="CC55" s="191"/>
      <c r="CD55" s="277">
        <f>CD51+(CD51/CD$80*CD$81)</f>
        <v>793.92237224549103</v>
      </c>
    </row>
    <row r="56" spans="1:83" s="454" customFormat="1">
      <c r="A56" s="157"/>
      <c r="B56" s="268"/>
      <c r="C56" s="456"/>
      <c r="D56" s="456"/>
      <c r="E56" s="456"/>
      <c r="F56" s="456"/>
      <c r="G56" s="457"/>
      <c r="H56" s="456"/>
      <c r="I56" s="456"/>
      <c r="J56" s="456"/>
      <c r="K56" s="456"/>
      <c r="L56" s="457"/>
      <c r="M56" s="456"/>
      <c r="N56" s="456"/>
      <c r="O56" s="456"/>
      <c r="P56" s="456"/>
      <c r="Q56" s="457"/>
      <c r="R56" s="456"/>
      <c r="S56" s="456"/>
      <c r="T56" s="456"/>
      <c r="U56" s="456"/>
      <c r="V56" s="457"/>
      <c r="W56" s="458"/>
      <c r="X56" s="458"/>
      <c r="Y56" s="458"/>
      <c r="Z56" s="458"/>
      <c r="AA56" s="459"/>
      <c r="AB56" s="458"/>
      <c r="AC56" s="458"/>
      <c r="AD56" s="458"/>
      <c r="AE56" s="458"/>
      <c r="AF56" s="459"/>
      <c r="AG56" s="460"/>
      <c r="AH56" s="458"/>
      <c r="AI56" s="458"/>
      <c r="AJ56" s="460"/>
      <c r="AK56" s="459"/>
      <c r="AL56" s="458"/>
      <c r="AM56" s="460"/>
      <c r="AN56" s="460"/>
      <c r="AO56" s="458"/>
      <c r="AP56" s="459"/>
      <c r="AQ56" s="460"/>
      <c r="AR56" s="458"/>
      <c r="AS56" s="458"/>
      <c r="AT56" s="458"/>
      <c r="AU56" s="459"/>
      <c r="AV56" s="458"/>
      <c r="AW56" s="458"/>
      <c r="AX56" s="458"/>
      <c r="AY56" s="458"/>
      <c r="AZ56" s="459"/>
      <c r="BA56" s="458"/>
      <c r="BB56" s="458"/>
      <c r="BC56" s="458"/>
      <c r="BD56" s="458"/>
      <c r="BE56" s="459"/>
      <c r="BF56" s="458"/>
      <c r="BG56" s="458"/>
      <c r="BH56" s="458"/>
      <c r="BI56" s="458"/>
      <c r="BJ56" s="459"/>
      <c r="BK56" s="28"/>
      <c r="BL56" s="28"/>
      <c r="BM56" s="28"/>
      <c r="BN56" s="28"/>
      <c r="BO56" s="459"/>
      <c r="BP56" s="458"/>
      <c r="BQ56" s="458"/>
      <c r="BR56" s="458"/>
      <c r="BS56" s="458"/>
      <c r="BT56" s="459"/>
      <c r="BU56" s="28"/>
      <c r="BV56" s="28"/>
      <c r="BW56" s="28"/>
      <c r="BX56" s="28"/>
      <c r="BY56" s="459"/>
      <c r="BZ56" s="458"/>
      <c r="CA56" s="458"/>
      <c r="CB56" s="458"/>
      <c r="CC56" s="458"/>
      <c r="CD56" s="459"/>
      <c r="CE56" s="157"/>
    </row>
    <row r="57" spans="1:83" collapsed="1">
      <c r="B57" s="700" t="s">
        <v>232</v>
      </c>
      <c r="C57" s="701"/>
      <c r="D57" s="701"/>
      <c r="E57" s="701"/>
      <c r="F57" s="701"/>
      <c r="G57" s="701"/>
      <c r="H57" s="701"/>
      <c r="I57" s="701"/>
      <c r="J57" s="701"/>
      <c r="K57" s="701"/>
      <c r="L57" s="701"/>
      <c r="M57" s="701"/>
      <c r="N57" s="701"/>
      <c r="O57" s="701"/>
      <c r="P57" s="701"/>
      <c r="Q57" s="701"/>
      <c r="R57" s="701"/>
      <c r="S57" s="701"/>
      <c r="T57" s="701"/>
      <c r="U57" s="701"/>
      <c r="V57" s="701"/>
      <c r="W57" s="701"/>
      <c r="X57" s="701"/>
      <c r="Y57" s="701"/>
      <c r="Z57" s="701"/>
      <c r="AA57" s="701"/>
      <c r="AB57" s="701"/>
      <c r="AC57" s="701"/>
      <c r="AD57" s="701"/>
      <c r="AE57" s="701"/>
      <c r="AF57" s="701"/>
      <c r="AG57" s="701"/>
      <c r="AH57" s="701"/>
      <c r="AI57" s="701"/>
      <c r="AJ57" s="701"/>
      <c r="AK57" s="701"/>
      <c r="AL57" s="701"/>
      <c r="AM57" s="701"/>
      <c r="AN57" s="701"/>
      <c r="AO57" s="701"/>
      <c r="AP57" s="701"/>
      <c r="AQ57" s="701"/>
      <c r="AR57" s="701"/>
      <c r="AS57" s="701"/>
      <c r="AT57" s="701"/>
      <c r="AU57" s="701"/>
      <c r="AV57" s="701"/>
      <c r="AW57" s="701"/>
      <c r="AX57" s="701"/>
      <c r="AY57" s="701"/>
      <c r="AZ57" s="702">
        <f t="shared" ref="AZ57:CD57" si="3">SUM(AZ58:AZ60)</f>
        <v>2096.3999999999996</v>
      </c>
      <c r="BA57" s="703">
        <f t="shared" si="3"/>
        <v>426.5</v>
      </c>
      <c r="BB57" s="670">
        <f t="shared" si="3"/>
        <v>494.79999999999995</v>
      </c>
      <c r="BC57" s="670">
        <f t="shared" si="3"/>
        <v>466.09999999999997</v>
      </c>
      <c r="BD57" s="670">
        <f t="shared" si="3"/>
        <v>526.5</v>
      </c>
      <c r="BE57" s="702">
        <f t="shared" si="3"/>
        <v>1913.9</v>
      </c>
      <c r="BF57" s="704">
        <f t="shared" si="3"/>
        <v>449.06799999999998</v>
      </c>
      <c r="BG57" s="704">
        <f t="shared" si="3"/>
        <v>535.32000000000005</v>
      </c>
      <c r="BH57" s="704">
        <f t="shared" si="3"/>
        <v>526.11700000000008</v>
      </c>
      <c r="BI57" s="704">
        <f t="shared" si="3"/>
        <v>579.82400000000007</v>
      </c>
      <c r="BJ57" s="702">
        <f t="shared" si="3"/>
        <v>2090.3290000000002</v>
      </c>
      <c r="BK57" s="704">
        <f t="shared" si="3"/>
        <v>0</v>
      </c>
      <c r="BL57" s="704">
        <f t="shared" si="3"/>
        <v>0</v>
      </c>
      <c r="BM57" s="704">
        <f t="shared" si="3"/>
        <v>0</v>
      </c>
      <c r="BN57" s="704">
        <f t="shared" si="3"/>
        <v>0</v>
      </c>
      <c r="BO57" s="702">
        <f t="shared" si="3"/>
        <v>2212.79403</v>
      </c>
      <c r="BP57" s="704">
        <f t="shared" si="3"/>
        <v>0</v>
      </c>
      <c r="BQ57" s="704">
        <f t="shared" si="3"/>
        <v>0</v>
      </c>
      <c r="BR57" s="704">
        <f t="shared" si="3"/>
        <v>0</v>
      </c>
      <c r="BS57" s="704">
        <f t="shared" si="3"/>
        <v>0</v>
      </c>
      <c r="BT57" s="702">
        <f t="shared" si="3"/>
        <v>2342.8181979000001</v>
      </c>
      <c r="BU57" s="704">
        <f t="shared" si="3"/>
        <v>0</v>
      </c>
      <c r="BV57" s="704">
        <f t="shared" si="3"/>
        <v>0</v>
      </c>
      <c r="BW57" s="704">
        <f t="shared" si="3"/>
        <v>0</v>
      </c>
      <c r="BX57" s="704">
        <f t="shared" si="3"/>
        <v>0</v>
      </c>
      <c r="BY57" s="702">
        <f t="shared" si="3"/>
        <v>2473.915923603</v>
      </c>
      <c r="BZ57" s="704">
        <f t="shared" si="3"/>
        <v>0</v>
      </c>
      <c r="CA57" s="704">
        <f t="shared" si="3"/>
        <v>0</v>
      </c>
      <c r="CB57" s="704">
        <f t="shared" si="3"/>
        <v>0</v>
      </c>
      <c r="CC57" s="704">
        <f t="shared" si="3"/>
        <v>0</v>
      </c>
      <c r="CD57" s="702">
        <f t="shared" si="3"/>
        <v>2612.5455126977104</v>
      </c>
    </row>
    <row r="58" spans="1:83" s="454" customFormat="1" hidden="1" outlineLevel="1">
      <c r="A58" s="502"/>
      <c r="B58" s="705" t="str">
        <f>Sales!B125</f>
        <v>Emerging Mkts - EMEA</v>
      </c>
      <c r="C58" s="362">
        <f>Sales!C125</f>
        <v>0</v>
      </c>
      <c r="D58" s="362">
        <f>Sales!D125</f>
        <v>0</v>
      </c>
      <c r="E58" s="362">
        <f>Sales!E125</f>
        <v>0</v>
      </c>
      <c r="F58" s="362">
        <f>Sales!F125</f>
        <v>0</v>
      </c>
      <c r="G58" s="706">
        <f>Sales!G125</f>
        <v>0</v>
      </c>
      <c r="H58" s="362">
        <f>Sales!H125</f>
        <v>0</v>
      </c>
      <c r="I58" s="362">
        <f>Sales!I125</f>
        <v>0</v>
      </c>
      <c r="J58" s="362">
        <f>Sales!J125</f>
        <v>0</v>
      </c>
      <c r="K58" s="362">
        <f>Sales!K125</f>
        <v>0</v>
      </c>
      <c r="L58" s="706">
        <f>Sales!L125</f>
        <v>0</v>
      </c>
      <c r="M58" s="362">
        <f>Sales!M125</f>
        <v>0</v>
      </c>
      <c r="N58" s="362">
        <f>Sales!N125</f>
        <v>0</v>
      </c>
      <c r="O58" s="362">
        <f>Sales!O125</f>
        <v>0</v>
      </c>
      <c r="P58" s="362">
        <f>Sales!P125</f>
        <v>0</v>
      </c>
      <c r="Q58" s="706">
        <f>Sales!Q125</f>
        <v>0</v>
      </c>
      <c r="R58" s="280">
        <f>Sales!R125</f>
        <v>37.953000000000003</v>
      </c>
      <c r="S58" s="280">
        <f>Sales!S125</f>
        <v>38.5</v>
      </c>
      <c r="T58" s="280">
        <f>Sales!T125</f>
        <v>40.43</v>
      </c>
      <c r="U58" s="280">
        <f>Sales!U125</f>
        <v>35.920999999999999</v>
      </c>
      <c r="V58" s="276">
        <f>Sales!V125</f>
        <v>152.804</v>
      </c>
      <c r="W58" s="362">
        <f>Sales!W125</f>
        <v>35.338000000000001</v>
      </c>
      <c r="X58" s="362">
        <f>Sales!X125</f>
        <v>34.031999999999996</v>
      </c>
      <c r="Y58" s="362">
        <f>Sales!Y125</f>
        <v>40.234000000000002</v>
      </c>
      <c r="Z58" s="362">
        <f>Sales!Z125</f>
        <v>42.045999999999999</v>
      </c>
      <c r="AA58" s="276">
        <f>Sales!AA125</f>
        <v>151.65</v>
      </c>
      <c r="AB58" s="280">
        <f>Sales!AB125</f>
        <v>41.707999999999998</v>
      </c>
      <c r="AC58" s="280">
        <f>Sales!AC125</f>
        <v>40.784999999999997</v>
      </c>
      <c r="AD58" s="363">
        <f>Sales!AD125</f>
        <v>42.2</v>
      </c>
      <c r="AE58" s="363">
        <f>Sales!AE125</f>
        <v>48.31</v>
      </c>
      <c r="AF58" s="46">
        <f>Sales!AF125</f>
        <v>173.00299999999999</v>
      </c>
      <c r="AG58" s="707">
        <f>Sales!AG125</f>
        <v>76.093000000000004</v>
      </c>
      <c r="AH58" s="707">
        <f>Sales!AH125</f>
        <v>116.3</v>
      </c>
      <c r="AI58" s="363">
        <f>Sales!AI125</f>
        <v>134.05500000000001</v>
      </c>
      <c r="AJ58" s="363">
        <f>Sales!AJ125</f>
        <v>144.33500000000001</v>
      </c>
      <c r="AK58" s="46">
        <f>Sales!AK125</f>
        <v>470.78300000000002</v>
      </c>
      <c r="AL58" s="708">
        <f>Sales!AL125</f>
        <v>156.90900000000002</v>
      </c>
      <c r="AM58" s="708">
        <f>Sales!AM125</f>
        <v>156.71700000000001</v>
      </c>
      <c r="AN58" s="708">
        <f>Sales!AN125</f>
        <v>149.40900000000002</v>
      </c>
      <c r="AO58" s="708">
        <f>Sales!AO125</f>
        <v>193.66</v>
      </c>
      <c r="AP58" s="46">
        <f>Sales!AP125</f>
        <v>656.69500000000005</v>
      </c>
      <c r="AQ58" s="709">
        <f>Sales!AQ125</f>
        <v>190.166</v>
      </c>
      <c r="AR58" s="709">
        <f>Sales!AR125</f>
        <v>190.37700000000001</v>
      </c>
      <c r="AS58" s="709">
        <f>Sales!AS125</f>
        <v>215.14699999999999</v>
      </c>
      <c r="AT58" s="709">
        <f>Sales!AT125</f>
        <v>254.73500000000001</v>
      </c>
      <c r="AU58" s="46">
        <f>Sales!AU125</f>
        <v>850.42500000000007</v>
      </c>
      <c r="AV58" s="709">
        <f>Sales!AV125</f>
        <v>249.1</v>
      </c>
      <c r="AW58" s="280">
        <f>Sales!AW125</f>
        <v>315.5</v>
      </c>
      <c r="AX58" s="709">
        <f>Sales!AX125</f>
        <v>291.39999999999998</v>
      </c>
      <c r="AY58" s="709">
        <f>Sales!AY125</f>
        <v>278.7</v>
      </c>
      <c r="AZ58" s="46">
        <f>Sales!AZ125</f>
        <v>1134.7</v>
      </c>
      <c r="BA58" s="280">
        <f>Sales!BA125</f>
        <v>212.1</v>
      </c>
      <c r="BB58" s="280">
        <f>Sales!BB125</f>
        <v>254.9</v>
      </c>
      <c r="BC58" s="280">
        <f>Sales!BC125</f>
        <v>224.7</v>
      </c>
      <c r="BD58" s="280">
        <f>Sales!BD125</f>
        <v>284.7</v>
      </c>
      <c r="BE58" s="46">
        <f>Sales!BE125</f>
        <v>976.40000000000009</v>
      </c>
      <c r="BF58" s="28">
        <f>Sales!BF125</f>
        <v>246.03599999999997</v>
      </c>
      <c r="BG58" s="28">
        <f>Sales!BG125</f>
        <v>295.68400000000003</v>
      </c>
      <c r="BH58" s="28">
        <f>Sales!BH125</f>
        <v>271.887</v>
      </c>
      <c r="BI58" s="28">
        <f>Sales!BI125</f>
        <v>318.86400000000003</v>
      </c>
      <c r="BJ58" s="46">
        <f>Sales!BJ125</f>
        <v>1132.471</v>
      </c>
      <c r="BK58" s="28">
        <f>Sales!BK125</f>
        <v>0</v>
      </c>
      <c r="BL58" s="28">
        <f>Sales!BL125</f>
        <v>0</v>
      </c>
      <c r="BM58" s="28">
        <f>Sales!BM125</f>
        <v>0</v>
      </c>
      <c r="BN58" s="28">
        <f>Sales!BN125</f>
        <v>0</v>
      </c>
      <c r="BO58" s="46">
        <f>Sales!BO125</f>
        <v>1189.09455</v>
      </c>
      <c r="BP58" s="28">
        <f>Sales!BP125</f>
        <v>0</v>
      </c>
      <c r="BQ58" s="28">
        <f>Sales!BQ125</f>
        <v>0</v>
      </c>
      <c r="BR58" s="28">
        <f>Sales!BR125</f>
        <v>0</v>
      </c>
      <c r="BS58" s="28">
        <f>Sales!BS125</f>
        <v>0</v>
      </c>
      <c r="BT58" s="46">
        <f>Sales!BT125</f>
        <v>1248.5492775</v>
      </c>
      <c r="BU58" s="28">
        <f>Sales!BU125</f>
        <v>0</v>
      </c>
      <c r="BV58" s="28">
        <f>Sales!BV125</f>
        <v>0</v>
      </c>
      <c r="BW58" s="28">
        <f>Sales!BW125</f>
        <v>0</v>
      </c>
      <c r="BX58" s="28">
        <f>Sales!BX125</f>
        <v>0</v>
      </c>
      <c r="BY58" s="46">
        <f>Sales!BY125</f>
        <v>1310.9767413750001</v>
      </c>
      <c r="BZ58" s="28">
        <f>Sales!BZ125</f>
        <v>0</v>
      </c>
      <c r="CA58" s="28">
        <f>Sales!CA125</f>
        <v>0</v>
      </c>
      <c r="CB58" s="28">
        <f>Sales!CB125</f>
        <v>0</v>
      </c>
      <c r="CC58" s="28">
        <f>Sales!CC125</f>
        <v>0</v>
      </c>
      <c r="CD58" s="46">
        <f>Sales!CD125</f>
        <v>1376.5255784437502</v>
      </c>
      <c r="CE58" s="157"/>
    </row>
    <row r="59" spans="1:83" s="534" customFormat="1" hidden="1" outlineLevel="1">
      <c r="A59" s="533"/>
      <c r="B59" s="705" t="str">
        <f>Sales!B129</f>
        <v>Emerging Mkts - Latin America</v>
      </c>
      <c r="C59" s="529">
        <f>Sales!C129</f>
        <v>0</v>
      </c>
      <c r="D59" s="529">
        <f>Sales!D129</f>
        <v>0</v>
      </c>
      <c r="E59" s="529">
        <f>Sales!E129</f>
        <v>0</v>
      </c>
      <c r="F59" s="529">
        <f>Sales!F129</f>
        <v>0</v>
      </c>
      <c r="G59" s="549">
        <f>Sales!G129</f>
        <v>0</v>
      </c>
      <c r="H59" s="529">
        <f>Sales!H129</f>
        <v>0</v>
      </c>
      <c r="I59" s="529">
        <f>Sales!I129</f>
        <v>0</v>
      </c>
      <c r="J59" s="529">
        <f>Sales!J129</f>
        <v>0</v>
      </c>
      <c r="K59" s="529">
        <f>Sales!K129</f>
        <v>0</v>
      </c>
      <c r="L59" s="549">
        <f>Sales!L129</f>
        <v>0</v>
      </c>
      <c r="M59" s="529">
        <f>Sales!M129</f>
        <v>0</v>
      </c>
      <c r="N59" s="529">
        <f>Sales!N129</f>
        <v>0</v>
      </c>
      <c r="O59" s="529">
        <f>Sales!O129</f>
        <v>0</v>
      </c>
      <c r="P59" s="529">
        <f>Sales!P129</f>
        <v>0</v>
      </c>
      <c r="Q59" s="549">
        <f>Sales!Q129</f>
        <v>0</v>
      </c>
      <c r="R59" s="520">
        <f>Sales!R129</f>
        <v>0</v>
      </c>
      <c r="S59" s="520">
        <f>Sales!S129</f>
        <v>0</v>
      </c>
      <c r="T59" s="520">
        <f>Sales!T129</f>
        <v>0</v>
      </c>
      <c r="U59" s="520">
        <f>Sales!U129</f>
        <v>0</v>
      </c>
      <c r="V59" s="550">
        <f>Sales!V129</f>
        <v>0</v>
      </c>
      <c r="W59" s="324">
        <f>Sales!W129</f>
        <v>0</v>
      </c>
      <c r="X59" s="324">
        <f>Sales!X129</f>
        <v>0</v>
      </c>
      <c r="Y59" s="324">
        <f>Sales!Y129</f>
        <v>0</v>
      </c>
      <c r="Z59" s="324">
        <f>Sales!Z129</f>
        <v>0</v>
      </c>
      <c r="AA59" s="372">
        <f>Sales!AA129</f>
        <v>0</v>
      </c>
      <c r="AB59" s="280">
        <f>Sales!AB129</f>
        <v>42.057000000000002</v>
      </c>
      <c r="AC59" s="280">
        <f>Sales!AC129</f>
        <v>51.771999999999998</v>
      </c>
      <c r="AD59" s="363">
        <f>Sales!AD129</f>
        <v>51.7</v>
      </c>
      <c r="AE59" s="363">
        <f>Sales!AE129</f>
        <v>69.037999999999997</v>
      </c>
      <c r="AF59" s="46">
        <f>Sales!AF129</f>
        <v>214.56700000000001</v>
      </c>
      <c r="AG59" s="362">
        <f>Sales!AG129</f>
        <v>56.383000000000003</v>
      </c>
      <c r="AH59" s="49">
        <f>Sales!AH129</f>
        <v>64.730999999999995</v>
      </c>
      <c r="AI59" s="363">
        <f>Sales!AI129</f>
        <v>67.954999999999998</v>
      </c>
      <c r="AJ59" s="363">
        <f>Sales!AJ129</f>
        <v>65.771000000000001</v>
      </c>
      <c r="AK59" s="46">
        <f>Sales!AK129</f>
        <v>254.84000000000003</v>
      </c>
      <c r="AL59" s="280">
        <f>Sales!AL129</f>
        <v>72</v>
      </c>
      <c r="AM59" s="280">
        <f>Sales!AM129</f>
        <v>73.400000000000006</v>
      </c>
      <c r="AN59" s="280">
        <f>Sales!AN129</f>
        <v>80.599999999999994</v>
      </c>
      <c r="AO59" s="280">
        <f>Sales!AO129</f>
        <v>95.1</v>
      </c>
      <c r="AP59" s="46">
        <f>Sales!AP129</f>
        <v>321.10000000000002</v>
      </c>
      <c r="AQ59" s="364">
        <f>Sales!AQ129</f>
        <v>81.709000000000003</v>
      </c>
      <c r="AR59" s="280">
        <f>Sales!AR129</f>
        <v>89.141999999999996</v>
      </c>
      <c r="AS59" s="364">
        <f>Sales!AS129</f>
        <v>100.495</v>
      </c>
      <c r="AT59" s="280">
        <f>Sales!AT129</f>
        <v>121.42100000000001</v>
      </c>
      <c r="AU59" s="46">
        <f>Sales!AU129</f>
        <v>392.767</v>
      </c>
      <c r="AV59" s="364">
        <f>Sales!AV129</f>
        <v>99.3</v>
      </c>
      <c r="AW59" s="280">
        <f>Sales!AW129</f>
        <v>109.8</v>
      </c>
      <c r="AX59" s="280">
        <f>Sales!AX129</f>
        <v>113.6</v>
      </c>
      <c r="AY59" s="280">
        <f>Sales!AY129</f>
        <v>112.7</v>
      </c>
      <c r="AZ59" s="46">
        <f>Sales!AZ129</f>
        <v>435.4</v>
      </c>
      <c r="BA59" s="364">
        <f>Sales!BA129</f>
        <v>89</v>
      </c>
      <c r="BB59" s="280">
        <f>Sales!BB129</f>
        <v>94.3</v>
      </c>
      <c r="BC59" s="364">
        <f>Sales!BC129</f>
        <v>92.6</v>
      </c>
      <c r="BD59" s="364">
        <f>Sales!BD129</f>
        <v>100.4</v>
      </c>
      <c r="BE59" s="46">
        <f>Sales!BE129</f>
        <v>376.29999999999995</v>
      </c>
      <c r="BF59" s="28">
        <f>Sales!BF129</f>
        <v>73.86999999999999</v>
      </c>
      <c r="BG59" s="28">
        <f>Sales!BG129</f>
        <v>86.756</v>
      </c>
      <c r="BH59" s="28">
        <f>Sales!BH129</f>
        <v>93.525999999999996</v>
      </c>
      <c r="BI59" s="28">
        <f>Sales!BI129</f>
        <v>105.42000000000002</v>
      </c>
      <c r="BJ59" s="46">
        <f>Sales!BJ129</f>
        <v>359.572</v>
      </c>
      <c r="BK59" s="28">
        <f>Sales!BK129</f>
        <v>0</v>
      </c>
      <c r="BL59" s="28">
        <f>Sales!BL129</f>
        <v>0</v>
      </c>
      <c r="BM59" s="28">
        <f>Sales!BM129</f>
        <v>0</v>
      </c>
      <c r="BN59" s="28">
        <f>Sales!BN129</f>
        <v>0</v>
      </c>
      <c r="BO59" s="46">
        <f>Sales!BO129</f>
        <v>377.55060000000003</v>
      </c>
      <c r="BP59" s="28">
        <f>Sales!BP129</f>
        <v>0</v>
      </c>
      <c r="BQ59" s="28">
        <f>Sales!BQ129</f>
        <v>0</v>
      </c>
      <c r="BR59" s="28">
        <f>Sales!BR129</f>
        <v>0</v>
      </c>
      <c r="BS59" s="28">
        <f>Sales!BS129</f>
        <v>0</v>
      </c>
      <c r="BT59" s="46">
        <f>Sales!BT129</f>
        <v>396.42813000000007</v>
      </c>
      <c r="BU59" s="28">
        <f>Sales!BU129</f>
        <v>0</v>
      </c>
      <c r="BV59" s="28">
        <f>Sales!BV129</f>
        <v>0</v>
      </c>
      <c r="BW59" s="28">
        <f>Sales!BW129</f>
        <v>0</v>
      </c>
      <c r="BX59" s="28">
        <f>Sales!BX129</f>
        <v>0</v>
      </c>
      <c r="BY59" s="46">
        <f>Sales!BY129</f>
        <v>416.24953650000009</v>
      </c>
      <c r="BZ59" s="28">
        <f>Sales!BZ129</f>
        <v>0</v>
      </c>
      <c r="CA59" s="28">
        <f>Sales!CA129</f>
        <v>0</v>
      </c>
      <c r="CB59" s="28">
        <f>Sales!CB129</f>
        <v>0</v>
      </c>
      <c r="CC59" s="28">
        <f>Sales!CC129</f>
        <v>0</v>
      </c>
      <c r="CD59" s="46">
        <f>Sales!CD129</f>
        <v>437.06201332500012</v>
      </c>
      <c r="CE59" s="533"/>
    </row>
    <row r="60" spans="1:83" s="534" customFormat="1" hidden="1" outlineLevel="1">
      <c r="A60" s="533"/>
      <c r="B60" s="705" t="str">
        <f>Sales!B133</f>
        <v>Emerging Mkts - Asia</v>
      </c>
      <c r="C60" s="529">
        <f>Sales!C133</f>
        <v>0</v>
      </c>
      <c r="D60" s="529">
        <f>Sales!D133</f>
        <v>0</v>
      </c>
      <c r="E60" s="529">
        <f>Sales!E133</f>
        <v>0</v>
      </c>
      <c r="F60" s="529">
        <f>Sales!F133</f>
        <v>0</v>
      </c>
      <c r="G60" s="549">
        <f>Sales!G133</f>
        <v>0</v>
      </c>
      <c r="H60" s="529">
        <f>Sales!H133</f>
        <v>0</v>
      </c>
      <c r="I60" s="529">
        <f>Sales!I133</f>
        <v>0</v>
      </c>
      <c r="J60" s="529">
        <f>Sales!J133</f>
        <v>0</v>
      </c>
      <c r="K60" s="529">
        <f>Sales!K133</f>
        <v>0</v>
      </c>
      <c r="L60" s="549">
        <f>Sales!L133</f>
        <v>0</v>
      </c>
      <c r="M60" s="529">
        <f>Sales!M133</f>
        <v>0</v>
      </c>
      <c r="N60" s="529">
        <f>Sales!N133</f>
        <v>0</v>
      </c>
      <c r="O60" s="529">
        <f>Sales!O133</f>
        <v>0</v>
      </c>
      <c r="P60" s="529">
        <f>Sales!P133</f>
        <v>0</v>
      </c>
      <c r="Q60" s="549">
        <f>Sales!Q133</f>
        <v>0</v>
      </c>
      <c r="R60" s="520">
        <f>Sales!R133</f>
        <v>0</v>
      </c>
      <c r="S60" s="520">
        <f>Sales!S133</f>
        <v>0</v>
      </c>
      <c r="T60" s="520">
        <f>Sales!T133</f>
        <v>0</v>
      </c>
      <c r="U60" s="520">
        <f>Sales!U133</f>
        <v>0</v>
      </c>
      <c r="V60" s="550">
        <f>Sales!V133</f>
        <v>0</v>
      </c>
      <c r="W60" s="324">
        <f>Sales!W133</f>
        <v>0</v>
      </c>
      <c r="X60" s="324">
        <f>Sales!X133</f>
        <v>0</v>
      </c>
      <c r="Y60" s="324">
        <f>Sales!Y133</f>
        <v>0</v>
      </c>
      <c r="Z60" s="324">
        <f>Sales!Z133</f>
        <v>0</v>
      </c>
      <c r="AA60" s="372">
        <f>Sales!AA133</f>
        <v>0</v>
      </c>
      <c r="AB60" s="324">
        <f>Sales!AB133</f>
        <v>0</v>
      </c>
      <c r="AC60" s="324">
        <f>Sales!AC133</f>
        <v>0</v>
      </c>
      <c r="AD60" s="324">
        <f>Sales!AD133</f>
        <v>0</v>
      </c>
      <c r="AE60" s="324">
        <f>Sales!AE133</f>
        <v>0</v>
      </c>
      <c r="AF60" s="372">
        <f>Sales!AF133</f>
        <v>0</v>
      </c>
      <c r="AG60" s="324">
        <f>Sales!AG133</f>
        <v>0</v>
      </c>
      <c r="AH60" s="324">
        <f>Sales!AH133</f>
        <v>0</v>
      </c>
      <c r="AI60" s="324">
        <f>Sales!AI133</f>
        <v>0</v>
      </c>
      <c r="AJ60" s="373">
        <f>Sales!AJ133</f>
        <v>0</v>
      </c>
      <c r="AK60" s="372">
        <f>Sales!AK133</f>
        <v>0</v>
      </c>
      <c r="AL60" s="709">
        <f>Sales!AL133</f>
        <v>14.7</v>
      </c>
      <c r="AM60" s="709">
        <f>Sales!AM133</f>
        <v>20.6</v>
      </c>
      <c r="AN60" s="709">
        <f>Sales!AN133</f>
        <v>19.7</v>
      </c>
      <c r="AO60" s="709">
        <f>Sales!AO133</f>
        <v>17.600000000000001</v>
      </c>
      <c r="AP60" s="46">
        <f>Sales!AP133</f>
        <v>72.599999999999994</v>
      </c>
      <c r="AQ60" s="709">
        <f>Sales!AQ133</f>
        <v>25.335999999999999</v>
      </c>
      <c r="AR60" s="709">
        <f>Sales!AR133</f>
        <v>24.417999999999999</v>
      </c>
      <c r="AS60" s="709">
        <f>Sales!AS133</f>
        <v>83.376999999999995</v>
      </c>
      <c r="AT60" s="709">
        <f>Sales!AT133</f>
        <v>117.21899999999999</v>
      </c>
      <c r="AU60" s="46">
        <f>Sales!AU133</f>
        <v>250.35</v>
      </c>
      <c r="AV60" s="709">
        <f>Sales!AV133</f>
        <v>116</v>
      </c>
      <c r="AW60" s="280">
        <f>Sales!AW133</f>
        <v>136.1</v>
      </c>
      <c r="AX60" s="709">
        <f>Sales!AX133</f>
        <v>143.30000000000001</v>
      </c>
      <c r="AY60" s="709">
        <f>Sales!AY133</f>
        <v>130.9</v>
      </c>
      <c r="AZ60" s="46">
        <f>Sales!AZ133</f>
        <v>526.29999999999995</v>
      </c>
      <c r="BA60" s="364">
        <f>Sales!BA133</f>
        <v>125.4</v>
      </c>
      <c r="BB60" s="280">
        <f>Sales!BB133</f>
        <v>145.6</v>
      </c>
      <c r="BC60" s="280">
        <f>Sales!BC133</f>
        <v>148.80000000000001</v>
      </c>
      <c r="BD60" s="280">
        <f>Sales!BD133</f>
        <v>141.4</v>
      </c>
      <c r="BE60" s="46">
        <f>Sales!BE133</f>
        <v>561.20000000000005</v>
      </c>
      <c r="BF60" s="28">
        <f>Sales!BF133</f>
        <v>129.16200000000001</v>
      </c>
      <c r="BG60" s="28">
        <f>Sales!BG133</f>
        <v>152.88</v>
      </c>
      <c r="BH60" s="28">
        <f>Sales!BH133</f>
        <v>160.70400000000004</v>
      </c>
      <c r="BI60" s="28">
        <f>Sales!BI133</f>
        <v>155.54000000000002</v>
      </c>
      <c r="BJ60" s="46">
        <f>Sales!BJ133</f>
        <v>598.28600000000006</v>
      </c>
      <c r="BK60" s="28">
        <f>Sales!BK133</f>
        <v>0</v>
      </c>
      <c r="BL60" s="28">
        <f>Sales!BL133</f>
        <v>0</v>
      </c>
      <c r="BM60" s="28">
        <f>Sales!BM133</f>
        <v>0</v>
      </c>
      <c r="BN60" s="28">
        <f>Sales!BN133</f>
        <v>0</v>
      </c>
      <c r="BO60" s="46">
        <f>Sales!BO133</f>
        <v>646.14888000000008</v>
      </c>
      <c r="BP60" s="28">
        <f>Sales!BP133</f>
        <v>0</v>
      </c>
      <c r="BQ60" s="28">
        <f>Sales!BQ133</f>
        <v>0</v>
      </c>
      <c r="BR60" s="28">
        <f>Sales!BR133</f>
        <v>0</v>
      </c>
      <c r="BS60" s="28">
        <f>Sales!BS133</f>
        <v>0</v>
      </c>
      <c r="BT60" s="46">
        <f>Sales!BT133</f>
        <v>697.84079040000017</v>
      </c>
      <c r="BU60" s="28">
        <f>Sales!BU133</f>
        <v>0</v>
      </c>
      <c r="BV60" s="28">
        <f>Sales!BV133</f>
        <v>0</v>
      </c>
      <c r="BW60" s="28">
        <f>Sales!BW133</f>
        <v>0</v>
      </c>
      <c r="BX60" s="28">
        <f>Sales!BX133</f>
        <v>0</v>
      </c>
      <c r="BY60" s="46">
        <f>Sales!BY133</f>
        <v>746.68964572800019</v>
      </c>
      <c r="BZ60" s="28">
        <f>Sales!BZ133</f>
        <v>0</v>
      </c>
      <c r="CA60" s="28">
        <f>Sales!CA133</f>
        <v>0</v>
      </c>
      <c r="CB60" s="28">
        <f>Sales!CB133</f>
        <v>0</v>
      </c>
      <c r="CC60" s="28">
        <f>Sales!CC133</f>
        <v>0</v>
      </c>
      <c r="CD60" s="46">
        <f>Sales!CD133</f>
        <v>798.95792092896022</v>
      </c>
      <c r="CE60" s="533"/>
    </row>
    <row r="61" spans="1:83" hidden="1" outlineLevel="1">
      <c r="B61" s="705"/>
      <c r="C61" s="529"/>
      <c r="D61" s="529"/>
      <c r="E61" s="529"/>
      <c r="F61" s="529"/>
      <c r="G61" s="549"/>
      <c r="H61" s="529"/>
      <c r="I61" s="529"/>
      <c r="J61" s="529"/>
      <c r="K61" s="529"/>
      <c r="L61" s="549"/>
      <c r="M61" s="529"/>
      <c r="N61" s="529"/>
      <c r="O61" s="529"/>
      <c r="P61" s="529"/>
      <c r="Q61" s="549"/>
      <c r="R61" s="520"/>
      <c r="S61" s="520"/>
      <c r="T61" s="520"/>
      <c r="U61" s="520"/>
      <c r="V61" s="550"/>
      <c r="W61" s="324"/>
      <c r="X61" s="324"/>
      <c r="Y61" s="324"/>
      <c r="Z61" s="324"/>
      <c r="AA61" s="372"/>
      <c r="AB61" s="324"/>
      <c r="AC61" s="324"/>
      <c r="AD61" s="324"/>
      <c r="AE61" s="324"/>
      <c r="AF61" s="372"/>
      <c r="AG61" s="324"/>
      <c r="AH61" s="324"/>
      <c r="AI61" s="324"/>
      <c r="AJ61" s="373"/>
      <c r="AK61" s="372"/>
      <c r="AL61" s="709"/>
      <c r="AM61" s="709"/>
      <c r="AN61" s="709"/>
      <c r="AO61" s="709"/>
      <c r="AP61" s="46"/>
      <c r="AQ61" s="709"/>
      <c r="AR61" s="709"/>
      <c r="AS61" s="709"/>
      <c r="AT61" s="709"/>
      <c r="AU61" s="46"/>
      <c r="AV61" s="709"/>
      <c r="AW61" s="280"/>
      <c r="AX61" s="709"/>
      <c r="AY61" s="709"/>
      <c r="AZ61" s="46"/>
      <c r="BA61" s="364"/>
      <c r="BB61" s="280"/>
      <c r="BC61" s="280"/>
      <c r="BD61" s="280"/>
      <c r="BE61" s="710"/>
      <c r="BF61" s="28"/>
      <c r="BG61" s="28"/>
      <c r="BH61" s="28"/>
      <c r="BI61" s="28"/>
      <c r="BJ61" s="710"/>
      <c r="BK61" s="28"/>
      <c r="BL61" s="28"/>
      <c r="BM61" s="28"/>
      <c r="BN61" s="28"/>
      <c r="BO61" s="710"/>
      <c r="BP61" s="28"/>
      <c r="BQ61" s="28"/>
      <c r="BR61" s="28"/>
      <c r="BS61" s="28"/>
      <c r="BT61" s="710"/>
      <c r="BU61" s="28"/>
      <c r="BV61" s="28"/>
      <c r="BW61" s="28"/>
      <c r="BX61" s="28"/>
      <c r="BY61" s="710"/>
      <c r="BZ61" s="28"/>
      <c r="CA61" s="28"/>
      <c r="CB61" s="28"/>
      <c r="CC61" s="28"/>
      <c r="CD61" s="710"/>
    </row>
    <row r="62" spans="1:83" hidden="1" outlineLevel="1">
      <c r="B62" s="705" t="s">
        <v>233</v>
      </c>
      <c r="C62" s="529"/>
      <c r="D62" s="529"/>
      <c r="E62" s="529"/>
      <c r="F62" s="529"/>
      <c r="G62" s="549"/>
      <c r="H62" s="529"/>
      <c r="I62" s="529"/>
      <c r="J62" s="529"/>
      <c r="K62" s="529"/>
      <c r="L62" s="549"/>
      <c r="M62" s="529"/>
      <c r="N62" s="529"/>
      <c r="O62" s="529"/>
      <c r="P62" s="529"/>
      <c r="Q62" s="549"/>
      <c r="R62" s="520"/>
      <c r="S62" s="520"/>
      <c r="T62" s="520"/>
      <c r="U62" s="520"/>
      <c r="V62" s="550"/>
      <c r="W62" s="324"/>
      <c r="X62" s="324"/>
      <c r="Y62" s="324"/>
      <c r="Z62" s="324"/>
      <c r="AA62" s="372"/>
      <c r="AB62" s="324"/>
      <c r="AC62" s="324"/>
      <c r="AD62" s="324"/>
      <c r="AE62" s="324"/>
      <c r="AF62" s="372"/>
      <c r="AG62" s="324"/>
      <c r="AH62" s="324"/>
      <c r="AI62" s="324"/>
      <c r="AJ62" s="373"/>
      <c r="AK62" s="372"/>
      <c r="AL62" s="709"/>
      <c r="AM62" s="709"/>
      <c r="AN62" s="709"/>
      <c r="AO62" s="709"/>
      <c r="AP62" s="46"/>
      <c r="AQ62" s="709"/>
      <c r="AR62" s="709"/>
      <c r="AS62" s="709"/>
      <c r="AT62" s="709"/>
      <c r="AU62" s="46"/>
      <c r="AV62" s="709"/>
      <c r="AW62" s="280"/>
      <c r="AX62" s="709"/>
      <c r="AY62" s="709"/>
      <c r="AZ62" s="711">
        <v>0.35</v>
      </c>
      <c r="BA62" s="364"/>
      <c r="BB62" s="280"/>
      <c r="BC62" s="280"/>
      <c r="BD62" s="280"/>
      <c r="BE62" s="711">
        <v>0.35</v>
      </c>
      <c r="BF62" s="28"/>
      <c r="BG62" s="28"/>
      <c r="BH62" s="28"/>
      <c r="BI62" s="28"/>
      <c r="BJ62" s="711">
        <v>0.35</v>
      </c>
      <c r="BK62" s="28"/>
      <c r="BL62" s="28"/>
      <c r="BM62" s="28"/>
      <c r="BN62" s="28"/>
      <c r="BO62" s="711">
        <v>0.35</v>
      </c>
      <c r="BP62" s="28"/>
      <c r="BQ62" s="28"/>
      <c r="BR62" s="28"/>
      <c r="BS62" s="28"/>
      <c r="BT62" s="711">
        <v>0.35</v>
      </c>
      <c r="BU62" s="28"/>
      <c r="BV62" s="28"/>
      <c r="BW62" s="28"/>
      <c r="BX62" s="28"/>
      <c r="BY62" s="711">
        <v>0.35</v>
      </c>
      <c r="BZ62" s="28"/>
      <c r="CA62" s="28"/>
      <c r="CB62" s="28"/>
      <c r="CC62" s="28"/>
      <c r="CD62" s="711">
        <v>0.35</v>
      </c>
    </row>
    <row r="63" spans="1:83" hidden="1" outlineLevel="1">
      <c r="B63" s="705" t="s">
        <v>234</v>
      </c>
      <c r="C63" s="529"/>
      <c r="D63" s="529"/>
      <c r="E63" s="529"/>
      <c r="F63" s="529"/>
      <c r="G63" s="549"/>
      <c r="H63" s="529"/>
      <c r="I63" s="529"/>
      <c r="J63" s="529"/>
      <c r="K63" s="529"/>
      <c r="L63" s="549"/>
      <c r="M63" s="529"/>
      <c r="N63" s="529"/>
      <c r="O63" s="529"/>
      <c r="P63" s="529"/>
      <c r="Q63" s="549"/>
      <c r="R63" s="520"/>
      <c r="S63" s="520"/>
      <c r="T63" s="520"/>
      <c r="U63" s="520"/>
      <c r="V63" s="550"/>
      <c r="W63" s="324"/>
      <c r="X63" s="324"/>
      <c r="Y63" s="324"/>
      <c r="Z63" s="324"/>
      <c r="AA63" s="372"/>
      <c r="AB63" s="324"/>
      <c r="AC63" s="324"/>
      <c r="AD63" s="324"/>
      <c r="AE63" s="324"/>
      <c r="AF63" s="372"/>
      <c r="AG63" s="324"/>
      <c r="AH63" s="324"/>
      <c r="AI63" s="324"/>
      <c r="AJ63" s="373"/>
      <c r="AK63" s="372"/>
      <c r="AL63" s="709"/>
      <c r="AM63" s="709"/>
      <c r="AN63" s="709"/>
      <c r="AO63" s="709"/>
      <c r="AP63" s="46"/>
      <c r="AQ63" s="709"/>
      <c r="AR63" s="709"/>
      <c r="AS63" s="709"/>
      <c r="AT63" s="709"/>
      <c r="AU63" s="46"/>
      <c r="AV63" s="709"/>
      <c r="AW63" s="280"/>
      <c r="AX63" s="709"/>
      <c r="AY63" s="709"/>
      <c r="AZ63" s="710">
        <f>1-AZ62</f>
        <v>0.65</v>
      </c>
      <c r="BA63" s="364"/>
      <c r="BB63" s="280"/>
      <c r="BC63" s="280"/>
      <c r="BD63" s="280"/>
      <c r="BE63" s="710">
        <f>1-BE62</f>
        <v>0.65</v>
      </c>
      <c r="BF63" s="28"/>
      <c r="BG63" s="28"/>
      <c r="BH63" s="28"/>
      <c r="BI63" s="28"/>
      <c r="BJ63" s="710">
        <f>1-BJ62</f>
        <v>0.65</v>
      </c>
      <c r="BK63" s="28"/>
      <c r="BL63" s="28"/>
      <c r="BM63" s="28"/>
      <c r="BN63" s="28"/>
      <c r="BO63" s="710">
        <f>1-BO62</f>
        <v>0.65</v>
      </c>
      <c r="BP63" s="28"/>
      <c r="BQ63" s="28"/>
      <c r="BR63" s="28"/>
      <c r="BS63" s="28"/>
      <c r="BT63" s="710">
        <f>1-BT62</f>
        <v>0.65</v>
      </c>
      <c r="BU63" s="28"/>
      <c r="BV63" s="28"/>
      <c r="BW63" s="28"/>
      <c r="BX63" s="28"/>
      <c r="BY63" s="710">
        <f>1-BY62</f>
        <v>0.65</v>
      </c>
      <c r="BZ63" s="28"/>
      <c r="CA63" s="28"/>
      <c r="CB63" s="28"/>
      <c r="CC63" s="28"/>
      <c r="CD63" s="710">
        <f>1-CD62</f>
        <v>0.65</v>
      </c>
    </row>
    <row r="64" spans="1:83">
      <c r="B64" s="700" t="s">
        <v>235</v>
      </c>
      <c r="C64" s="701"/>
      <c r="D64" s="701"/>
      <c r="E64" s="701"/>
      <c r="F64" s="701"/>
      <c r="G64" s="701"/>
      <c r="H64" s="701"/>
      <c r="I64" s="701"/>
      <c r="J64" s="701"/>
      <c r="K64" s="701"/>
      <c r="L64" s="701"/>
      <c r="M64" s="701"/>
      <c r="N64" s="701"/>
      <c r="O64" s="701"/>
      <c r="P64" s="701"/>
      <c r="Q64" s="701"/>
      <c r="R64" s="701"/>
      <c r="S64" s="701"/>
      <c r="T64" s="701"/>
      <c r="U64" s="701"/>
      <c r="V64" s="701"/>
      <c r="W64" s="701"/>
      <c r="X64" s="701"/>
      <c r="Y64" s="701"/>
      <c r="Z64" s="701"/>
      <c r="AA64" s="701"/>
      <c r="AB64" s="701"/>
      <c r="AC64" s="701"/>
      <c r="AD64" s="701"/>
      <c r="AE64" s="701"/>
      <c r="AF64" s="701"/>
      <c r="AG64" s="701"/>
      <c r="AH64" s="701"/>
      <c r="AI64" s="701"/>
      <c r="AJ64" s="701"/>
      <c r="AK64" s="701"/>
      <c r="AL64" s="701"/>
      <c r="AM64" s="701"/>
      <c r="AN64" s="701"/>
      <c r="AO64" s="701"/>
      <c r="AP64" s="701"/>
      <c r="AQ64" s="701"/>
      <c r="AR64" s="701"/>
      <c r="AS64" s="701"/>
      <c r="AT64" s="701"/>
      <c r="AU64" s="701"/>
      <c r="AV64" s="701"/>
      <c r="AW64" s="701"/>
      <c r="AX64" s="701"/>
      <c r="AY64" s="701"/>
      <c r="AZ64" s="702">
        <f>AZ57*AZ62</f>
        <v>733.73999999999978</v>
      </c>
      <c r="BA64" s="703"/>
      <c r="BB64" s="670"/>
      <c r="BC64" s="670"/>
      <c r="BD64" s="670"/>
      <c r="BE64" s="702">
        <f t="shared" ref="BE64:CD64" si="4">BE57*BE62</f>
        <v>669.86500000000001</v>
      </c>
      <c r="BF64" s="704">
        <f t="shared" si="4"/>
        <v>0</v>
      </c>
      <c r="BG64" s="704">
        <f t="shared" si="4"/>
        <v>0</v>
      </c>
      <c r="BH64" s="704">
        <f t="shared" si="4"/>
        <v>0</v>
      </c>
      <c r="BI64" s="704">
        <f t="shared" si="4"/>
        <v>0</v>
      </c>
      <c r="BJ64" s="702">
        <f t="shared" si="4"/>
        <v>731.61514999999997</v>
      </c>
      <c r="BK64" s="704">
        <f t="shared" si="4"/>
        <v>0</v>
      </c>
      <c r="BL64" s="704">
        <f t="shared" si="4"/>
        <v>0</v>
      </c>
      <c r="BM64" s="704">
        <f t="shared" si="4"/>
        <v>0</v>
      </c>
      <c r="BN64" s="704">
        <f t="shared" si="4"/>
        <v>0</v>
      </c>
      <c r="BO64" s="702">
        <f t="shared" si="4"/>
        <v>774.47791050000001</v>
      </c>
      <c r="BP64" s="704">
        <f t="shared" si="4"/>
        <v>0</v>
      </c>
      <c r="BQ64" s="704">
        <f t="shared" si="4"/>
        <v>0</v>
      </c>
      <c r="BR64" s="704">
        <f t="shared" si="4"/>
        <v>0</v>
      </c>
      <c r="BS64" s="704">
        <f t="shared" si="4"/>
        <v>0</v>
      </c>
      <c r="BT64" s="702">
        <f t="shared" si="4"/>
        <v>819.98636926500001</v>
      </c>
      <c r="BU64" s="704">
        <f t="shared" si="4"/>
        <v>0</v>
      </c>
      <c r="BV64" s="704">
        <f t="shared" si="4"/>
        <v>0</v>
      </c>
      <c r="BW64" s="704">
        <f t="shared" si="4"/>
        <v>0</v>
      </c>
      <c r="BX64" s="704">
        <f t="shared" si="4"/>
        <v>0</v>
      </c>
      <c r="BY64" s="702">
        <f t="shared" si="4"/>
        <v>865.87057326104991</v>
      </c>
      <c r="BZ64" s="704">
        <f t="shared" si="4"/>
        <v>0</v>
      </c>
      <c r="CA64" s="704">
        <f t="shared" si="4"/>
        <v>0</v>
      </c>
      <c r="CB64" s="704">
        <f t="shared" si="4"/>
        <v>0</v>
      </c>
      <c r="CC64" s="704">
        <f t="shared" si="4"/>
        <v>0</v>
      </c>
      <c r="CD64" s="702">
        <f t="shared" si="4"/>
        <v>914.3909294441986</v>
      </c>
    </row>
    <row r="65" spans="1:84">
      <c r="B65" s="574" t="s">
        <v>76</v>
      </c>
      <c r="C65" s="529"/>
      <c r="D65" s="529"/>
      <c r="E65" s="529"/>
      <c r="F65" s="529"/>
      <c r="G65" s="549"/>
      <c r="H65" s="529"/>
      <c r="I65" s="529"/>
      <c r="J65" s="529"/>
      <c r="K65" s="529"/>
      <c r="L65" s="549"/>
      <c r="M65" s="529"/>
      <c r="N65" s="529"/>
      <c r="O65" s="529"/>
      <c r="P65" s="529"/>
      <c r="Q65" s="549"/>
      <c r="R65" s="520"/>
      <c r="S65" s="520"/>
      <c r="T65" s="520"/>
      <c r="U65" s="520"/>
      <c r="V65" s="550"/>
      <c r="W65" s="324"/>
      <c r="X65" s="324"/>
      <c r="Y65" s="324"/>
      <c r="Z65" s="324"/>
      <c r="AA65" s="372"/>
      <c r="AB65" s="324"/>
      <c r="AC65" s="324"/>
      <c r="AD65" s="324"/>
      <c r="AE65" s="324"/>
      <c r="AF65" s="372"/>
      <c r="AG65" s="324"/>
      <c r="AH65" s="324"/>
      <c r="AI65" s="324"/>
      <c r="AJ65" s="373"/>
      <c r="AK65" s="372"/>
      <c r="AL65" s="709"/>
      <c r="AM65" s="709"/>
      <c r="AN65" s="709"/>
      <c r="AO65" s="709"/>
      <c r="AP65" s="46"/>
      <c r="AQ65" s="709"/>
      <c r="AR65" s="709"/>
      <c r="AS65" s="709"/>
      <c r="AT65" s="709"/>
      <c r="AU65" s="46"/>
      <c r="AV65" s="709"/>
      <c r="AW65" s="280"/>
      <c r="AX65" s="709"/>
      <c r="AY65" s="709"/>
      <c r="AZ65" s="46"/>
      <c r="BA65" s="364"/>
      <c r="BB65" s="280"/>
      <c r="BC65" s="280"/>
      <c r="BD65" s="280"/>
      <c r="BE65" s="692">
        <v>0.36</v>
      </c>
      <c r="BF65" s="693"/>
      <c r="BG65" s="693"/>
      <c r="BH65" s="693"/>
      <c r="BI65" s="693"/>
      <c r="BJ65" s="692">
        <v>0.35</v>
      </c>
      <c r="BK65" s="693"/>
      <c r="BL65" s="693"/>
      <c r="BM65" s="693"/>
      <c r="BN65" s="693"/>
      <c r="BO65" s="692">
        <v>0.35</v>
      </c>
      <c r="BP65" s="693"/>
      <c r="BQ65" s="693"/>
      <c r="BR65" s="693"/>
      <c r="BS65" s="693"/>
      <c r="BT65" s="692">
        <v>0.35</v>
      </c>
      <c r="BU65" s="693"/>
      <c r="BV65" s="693"/>
      <c r="BW65" s="693"/>
      <c r="BX65" s="693"/>
      <c r="BY65" s="692">
        <v>0.36</v>
      </c>
      <c r="BZ65" s="693"/>
      <c r="CA65" s="693"/>
      <c r="CB65" s="693"/>
      <c r="CC65" s="693"/>
      <c r="CD65" s="692">
        <v>0.36</v>
      </c>
    </row>
    <row r="66" spans="1:84">
      <c r="B66" s="268" t="s">
        <v>229</v>
      </c>
      <c r="C66" s="529"/>
      <c r="D66" s="529"/>
      <c r="E66" s="529"/>
      <c r="F66" s="529"/>
      <c r="G66" s="549"/>
      <c r="H66" s="529"/>
      <c r="I66" s="529"/>
      <c r="J66" s="529"/>
      <c r="K66" s="529"/>
      <c r="L66" s="549"/>
      <c r="M66" s="529"/>
      <c r="N66" s="529"/>
      <c r="O66" s="529"/>
      <c r="P66" s="529"/>
      <c r="Q66" s="549"/>
      <c r="R66" s="520"/>
      <c r="S66" s="520"/>
      <c r="T66" s="520"/>
      <c r="U66" s="520"/>
      <c r="V66" s="550"/>
      <c r="W66" s="324"/>
      <c r="X66" s="324"/>
      <c r="Y66" s="324"/>
      <c r="Z66" s="324"/>
      <c r="AA66" s="372"/>
      <c r="AB66" s="324"/>
      <c r="AC66" s="324"/>
      <c r="AD66" s="324"/>
      <c r="AE66" s="324"/>
      <c r="AF66" s="372"/>
      <c r="AG66" s="324"/>
      <c r="AH66" s="324"/>
      <c r="AI66" s="324"/>
      <c r="AJ66" s="373"/>
      <c r="AK66" s="372"/>
      <c r="AL66" s="709"/>
      <c r="AM66" s="709"/>
      <c r="AN66" s="709"/>
      <c r="AO66" s="709"/>
      <c r="AP66" s="46"/>
      <c r="AQ66" s="709"/>
      <c r="AR66" s="709"/>
      <c r="AS66" s="709"/>
      <c r="AT66" s="709"/>
      <c r="AU66" s="46"/>
      <c r="AV66" s="709"/>
      <c r="AW66" s="280"/>
      <c r="AX66" s="709"/>
      <c r="AY66" s="709"/>
      <c r="AZ66" s="46"/>
      <c r="BA66" s="364"/>
      <c r="BB66" s="280"/>
      <c r="BC66" s="280"/>
      <c r="BD66" s="280"/>
      <c r="BE66" s="46">
        <f>BE64*BE65</f>
        <v>241.1514</v>
      </c>
      <c r="BF66" s="28"/>
      <c r="BG66" s="28"/>
      <c r="BH66" s="28"/>
      <c r="BI66" s="28"/>
      <c r="BJ66" s="46">
        <f>BJ64*BJ65</f>
        <v>256.06530249999997</v>
      </c>
      <c r="BK66" s="28"/>
      <c r="BL66" s="28"/>
      <c r="BM66" s="28"/>
      <c r="BN66" s="28"/>
      <c r="BO66" s="46">
        <f>BO64*BO65</f>
        <v>271.06726867499998</v>
      </c>
      <c r="BP66" s="28"/>
      <c r="BQ66" s="28"/>
      <c r="BR66" s="28"/>
      <c r="BS66" s="28"/>
      <c r="BT66" s="46">
        <f>BT64*BT65</f>
        <v>286.99522924274999</v>
      </c>
      <c r="BU66" s="28"/>
      <c r="BV66" s="28"/>
      <c r="BW66" s="28"/>
      <c r="BX66" s="28"/>
      <c r="BY66" s="46">
        <f>BY64*BY65</f>
        <v>311.71340637397793</v>
      </c>
      <c r="BZ66" s="28"/>
      <c r="CA66" s="28"/>
      <c r="CB66" s="28"/>
      <c r="CC66" s="28"/>
      <c r="CD66" s="46">
        <f>CD64*CD65</f>
        <v>329.18073459991149</v>
      </c>
    </row>
    <row r="67" spans="1:84" hidden="1">
      <c r="B67" s="268" t="s">
        <v>83</v>
      </c>
      <c r="C67" s="529"/>
      <c r="D67" s="529"/>
      <c r="E67" s="529"/>
      <c r="F67" s="529"/>
      <c r="G67" s="549"/>
      <c r="H67" s="529"/>
      <c r="I67" s="529"/>
      <c r="J67" s="529"/>
      <c r="K67" s="529"/>
      <c r="L67" s="549"/>
      <c r="M67" s="529"/>
      <c r="N67" s="529"/>
      <c r="O67" s="529"/>
      <c r="P67" s="529"/>
      <c r="Q67" s="549"/>
      <c r="R67" s="520"/>
      <c r="S67" s="520"/>
      <c r="T67" s="520"/>
      <c r="U67" s="520"/>
      <c r="V67" s="550"/>
      <c r="W67" s="324"/>
      <c r="X67" s="324"/>
      <c r="Y67" s="324"/>
      <c r="Z67" s="324"/>
      <c r="AA67" s="372"/>
      <c r="AB67" s="324"/>
      <c r="AC67" s="324"/>
      <c r="AD67" s="324"/>
      <c r="AE67" s="324"/>
      <c r="AF67" s="372"/>
      <c r="AG67" s="324"/>
      <c r="AH67" s="324"/>
      <c r="AI67" s="324"/>
      <c r="AJ67" s="373"/>
      <c r="AK67" s="372"/>
      <c r="AL67" s="709"/>
      <c r="AM67" s="709"/>
      <c r="AN67" s="709"/>
      <c r="AO67" s="709"/>
      <c r="AP67" s="46"/>
      <c r="AQ67" s="709"/>
      <c r="AR67" s="709"/>
      <c r="AS67" s="709"/>
      <c r="AT67" s="709"/>
      <c r="AU67" s="46"/>
      <c r="AV67" s="709"/>
      <c r="AW67" s="280"/>
      <c r="AX67" s="709"/>
      <c r="AY67" s="709"/>
      <c r="AZ67" s="46"/>
      <c r="BA67" s="364"/>
      <c r="BB67" s="280"/>
      <c r="BC67" s="280"/>
      <c r="BD67" s="280"/>
      <c r="BE67" s="46"/>
      <c r="BF67" s="28"/>
      <c r="BG67" s="28"/>
      <c r="BH67" s="28"/>
      <c r="BI67" s="28"/>
      <c r="BJ67" s="46"/>
      <c r="BK67" s="28"/>
      <c r="BL67" s="28"/>
      <c r="BM67" s="28"/>
      <c r="BN67" s="28"/>
      <c r="BO67" s="46"/>
      <c r="BP67" s="28"/>
      <c r="BQ67" s="28"/>
      <c r="BR67" s="28"/>
      <c r="BS67" s="28"/>
      <c r="BT67" s="46"/>
      <c r="BU67" s="28"/>
      <c r="BV67" s="28"/>
      <c r="BW67" s="28"/>
      <c r="BX67" s="28"/>
      <c r="BY67" s="46"/>
      <c r="BZ67" s="28"/>
      <c r="CA67" s="28"/>
      <c r="CB67" s="28"/>
      <c r="CC67" s="28"/>
      <c r="CD67" s="46"/>
    </row>
    <row r="68" spans="1:84" hidden="1">
      <c r="B68" s="268" t="s">
        <v>84</v>
      </c>
      <c r="C68" s="529"/>
      <c r="D68" s="529"/>
      <c r="E68" s="529"/>
      <c r="F68" s="529"/>
      <c r="G68" s="549"/>
      <c r="H68" s="529"/>
      <c r="I68" s="529"/>
      <c r="J68" s="529"/>
      <c r="K68" s="529"/>
      <c r="L68" s="549"/>
      <c r="M68" s="529"/>
      <c r="N68" s="529"/>
      <c r="O68" s="529"/>
      <c r="P68" s="529"/>
      <c r="Q68" s="549"/>
      <c r="R68" s="520"/>
      <c r="S68" s="520"/>
      <c r="T68" s="520"/>
      <c r="U68" s="520"/>
      <c r="V68" s="550"/>
      <c r="W68" s="324"/>
      <c r="X68" s="324"/>
      <c r="Y68" s="324"/>
      <c r="Z68" s="324"/>
      <c r="AA68" s="372"/>
      <c r="AB68" s="324"/>
      <c r="AC68" s="324"/>
      <c r="AD68" s="324"/>
      <c r="AE68" s="324"/>
      <c r="AF68" s="372"/>
      <c r="AG68" s="324"/>
      <c r="AH68" s="324"/>
      <c r="AI68" s="324"/>
      <c r="AJ68" s="373"/>
      <c r="AK68" s="372"/>
      <c r="AL68" s="709"/>
      <c r="AM68" s="709"/>
      <c r="AN68" s="709"/>
      <c r="AO68" s="709"/>
      <c r="AP68" s="46"/>
      <c r="AQ68" s="709"/>
      <c r="AR68" s="709"/>
      <c r="AS68" s="709"/>
      <c r="AT68" s="709"/>
      <c r="AU68" s="46"/>
      <c r="AV68" s="709"/>
      <c r="AW68" s="280"/>
      <c r="AX68" s="709"/>
      <c r="AY68" s="709"/>
      <c r="AZ68" s="46"/>
      <c r="BA68" s="364"/>
      <c r="BB68" s="280"/>
      <c r="BC68" s="280"/>
      <c r="BD68" s="280"/>
      <c r="BE68" s="46"/>
      <c r="BF68" s="28"/>
      <c r="BG68" s="28"/>
      <c r="BH68" s="28"/>
      <c r="BI68" s="28"/>
      <c r="BJ68" s="46"/>
      <c r="BK68" s="28"/>
      <c r="BL68" s="28"/>
      <c r="BM68" s="28"/>
      <c r="BN68" s="28"/>
      <c r="BO68" s="46"/>
      <c r="BP68" s="28"/>
      <c r="BQ68" s="28"/>
      <c r="BR68" s="28"/>
      <c r="BS68" s="28"/>
      <c r="BT68" s="46"/>
      <c r="BU68" s="28"/>
      <c r="BV68" s="28"/>
      <c r="BW68" s="28"/>
      <c r="BX68" s="28"/>
      <c r="BY68" s="46"/>
      <c r="BZ68" s="28"/>
      <c r="CA68" s="28"/>
      <c r="CB68" s="28"/>
      <c r="CC68" s="28"/>
      <c r="CD68" s="46"/>
    </row>
    <row r="69" spans="1:84" hidden="1">
      <c r="B69" s="268" t="s">
        <v>230</v>
      </c>
      <c r="C69" s="529"/>
      <c r="D69" s="529"/>
      <c r="E69" s="529"/>
      <c r="F69" s="529"/>
      <c r="G69" s="549"/>
      <c r="H69" s="529"/>
      <c r="I69" s="529"/>
      <c r="J69" s="529"/>
      <c r="K69" s="529"/>
      <c r="L69" s="549"/>
      <c r="M69" s="529"/>
      <c r="N69" s="529"/>
      <c r="O69" s="529"/>
      <c r="P69" s="529"/>
      <c r="Q69" s="549"/>
      <c r="R69" s="520"/>
      <c r="S69" s="520"/>
      <c r="T69" s="520"/>
      <c r="U69" s="520"/>
      <c r="V69" s="550"/>
      <c r="W69" s="324"/>
      <c r="X69" s="324"/>
      <c r="Y69" s="324"/>
      <c r="Z69" s="324"/>
      <c r="AA69" s="372"/>
      <c r="AB69" s="324"/>
      <c r="AC69" s="324"/>
      <c r="AD69" s="324"/>
      <c r="AE69" s="324"/>
      <c r="AF69" s="372"/>
      <c r="AG69" s="324"/>
      <c r="AH69" s="324"/>
      <c r="AI69" s="324"/>
      <c r="AJ69" s="373"/>
      <c r="AK69" s="372"/>
      <c r="AL69" s="709"/>
      <c r="AM69" s="709"/>
      <c r="AN69" s="709"/>
      <c r="AO69" s="709"/>
      <c r="AP69" s="46"/>
      <c r="AQ69" s="709"/>
      <c r="AR69" s="709"/>
      <c r="AS69" s="709"/>
      <c r="AT69" s="709"/>
      <c r="AU69" s="46"/>
      <c r="AV69" s="709"/>
      <c r="AW69" s="280"/>
      <c r="AX69" s="709"/>
      <c r="AY69" s="709"/>
      <c r="AZ69" s="46"/>
      <c r="BA69" s="364"/>
      <c r="BB69" s="280"/>
      <c r="BC69" s="280"/>
      <c r="BD69" s="280"/>
      <c r="BE69" s="46"/>
      <c r="BF69" s="28"/>
      <c r="BG69" s="28"/>
      <c r="BH69" s="28"/>
      <c r="BI69" s="28"/>
      <c r="BJ69" s="46"/>
      <c r="BK69" s="28"/>
      <c r="BL69" s="28"/>
      <c r="BM69" s="28"/>
      <c r="BN69" s="28"/>
      <c r="BO69" s="46"/>
      <c r="BP69" s="28"/>
      <c r="BQ69" s="28"/>
      <c r="BR69" s="28"/>
      <c r="BS69" s="28"/>
      <c r="BT69" s="46"/>
      <c r="BU69" s="28"/>
      <c r="BV69" s="28"/>
      <c r="BW69" s="28"/>
      <c r="BX69" s="28"/>
      <c r="BY69" s="46"/>
      <c r="BZ69" s="28"/>
      <c r="CA69" s="28"/>
      <c r="CB69" s="28"/>
      <c r="CC69" s="28"/>
      <c r="CD69" s="46"/>
    </row>
    <row r="70" spans="1:84">
      <c r="B70" s="268" t="s">
        <v>231</v>
      </c>
      <c r="C70" s="529"/>
      <c r="D70" s="529"/>
      <c r="E70" s="529"/>
      <c r="F70" s="529"/>
      <c r="G70" s="549"/>
      <c r="H70" s="529"/>
      <c r="I70" s="529"/>
      <c r="J70" s="529"/>
      <c r="K70" s="529"/>
      <c r="L70" s="549"/>
      <c r="M70" s="529"/>
      <c r="N70" s="529"/>
      <c r="O70" s="529"/>
      <c r="P70" s="529"/>
      <c r="Q70" s="549"/>
      <c r="R70" s="520"/>
      <c r="S70" s="520"/>
      <c r="T70" s="520"/>
      <c r="U70" s="520"/>
      <c r="V70" s="550"/>
      <c r="W70" s="324"/>
      <c r="X70" s="324"/>
      <c r="Y70" s="324"/>
      <c r="Z70" s="324"/>
      <c r="AA70" s="372"/>
      <c r="AB70" s="324"/>
      <c r="AC70" s="324"/>
      <c r="AD70" s="324"/>
      <c r="AE70" s="324"/>
      <c r="AF70" s="372"/>
      <c r="AG70" s="324"/>
      <c r="AH70" s="324"/>
      <c r="AI70" s="324"/>
      <c r="AJ70" s="373"/>
      <c r="AK70" s="372"/>
      <c r="AL70" s="709"/>
      <c r="AM70" s="709"/>
      <c r="AN70" s="709"/>
      <c r="AO70" s="709"/>
      <c r="AP70" s="46"/>
      <c r="AQ70" s="709"/>
      <c r="AR70" s="709"/>
      <c r="AS70" s="709"/>
      <c r="AT70" s="709"/>
      <c r="AU70" s="46"/>
      <c r="AV70" s="709"/>
      <c r="AW70" s="280"/>
      <c r="AX70" s="709"/>
      <c r="AY70" s="709"/>
      <c r="AZ70" s="46"/>
      <c r="BA70" s="364"/>
      <c r="BB70" s="280"/>
      <c r="BC70" s="280"/>
      <c r="BD70" s="280"/>
      <c r="BE70" s="277">
        <f>BE66+(BE66/BE$80*BE$81)</f>
        <v>250.08486311013337</v>
      </c>
      <c r="BF70" s="191"/>
      <c r="BG70" s="191"/>
      <c r="BH70" s="191"/>
      <c r="BI70" s="191"/>
      <c r="BJ70" s="277">
        <f>BJ66+(BJ66/BJ$80*BJ$81)</f>
        <v>265.9324508973412</v>
      </c>
      <c r="BK70" s="191"/>
      <c r="BL70" s="191"/>
      <c r="BM70" s="191"/>
      <c r="BN70" s="191"/>
      <c r="BO70" s="277">
        <f>BO66+(BO66/BO$80*BO$81)</f>
        <v>280.69036455852842</v>
      </c>
      <c r="BP70" s="191"/>
      <c r="BQ70" s="191"/>
      <c r="BR70" s="191"/>
      <c r="BS70" s="191"/>
      <c r="BT70" s="277">
        <f>BT66+(BT66/BT$80*BT$81)</f>
        <v>296.44173030264125</v>
      </c>
      <c r="BU70" s="191"/>
      <c r="BV70" s="191"/>
      <c r="BW70" s="191"/>
      <c r="BX70" s="191"/>
      <c r="BY70" s="277">
        <f>BY66+(BY66/BY$80*BY$81)</f>
        <v>321.19932985312175</v>
      </c>
      <c r="BZ70" s="191"/>
      <c r="CA70" s="191"/>
      <c r="CB70" s="191"/>
      <c r="CC70" s="191"/>
      <c r="CD70" s="277">
        <f>CD66+(CD66/CD$80*CD$81)</f>
        <v>338.66970401187677</v>
      </c>
    </row>
    <row r="71" spans="1:84">
      <c r="B71" s="268"/>
      <c r="C71" s="529"/>
      <c r="D71" s="529"/>
      <c r="E71" s="529"/>
      <c r="F71" s="529"/>
      <c r="G71" s="712"/>
      <c r="H71" s="529"/>
      <c r="I71" s="529"/>
      <c r="J71" s="529"/>
      <c r="K71" s="529"/>
      <c r="L71" s="712"/>
      <c r="M71" s="529"/>
      <c r="N71" s="529"/>
      <c r="O71" s="529"/>
      <c r="P71" s="529"/>
      <c r="Q71" s="712"/>
      <c r="R71" s="520"/>
      <c r="S71" s="520"/>
      <c r="T71" s="520"/>
      <c r="U71" s="520"/>
      <c r="V71" s="557"/>
      <c r="W71" s="324"/>
      <c r="X71" s="324"/>
      <c r="Y71" s="324"/>
      <c r="Z71" s="324"/>
      <c r="AA71" s="461"/>
      <c r="AB71" s="324"/>
      <c r="AC71" s="324"/>
      <c r="AD71" s="324"/>
      <c r="AE71" s="324"/>
      <c r="AF71" s="461"/>
      <c r="AG71" s="324"/>
      <c r="AH71" s="324"/>
      <c r="AI71" s="324"/>
      <c r="AJ71" s="373"/>
      <c r="AK71" s="461"/>
      <c r="AL71" s="709"/>
      <c r="AM71" s="709"/>
      <c r="AN71" s="709"/>
      <c r="AO71" s="709"/>
      <c r="AP71" s="45"/>
      <c r="AQ71" s="709"/>
      <c r="AR71" s="709"/>
      <c r="AS71" s="709"/>
      <c r="AT71" s="709"/>
      <c r="AU71" s="45"/>
      <c r="AV71" s="709"/>
      <c r="AW71" s="280"/>
      <c r="AX71" s="709"/>
      <c r="AY71" s="709"/>
      <c r="AZ71" s="46"/>
      <c r="BA71" s="364"/>
      <c r="BB71" s="280"/>
      <c r="BC71" s="280"/>
      <c r="BD71" s="280"/>
      <c r="BE71" s="46"/>
      <c r="BF71" s="28"/>
      <c r="BG71" s="28"/>
      <c r="BH71" s="28"/>
      <c r="BI71" s="28"/>
      <c r="BJ71" s="46"/>
      <c r="BK71" s="28"/>
      <c r="BL71" s="28"/>
      <c r="BM71" s="28"/>
      <c r="BN71" s="28"/>
      <c r="BO71" s="46"/>
      <c r="BP71" s="28"/>
      <c r="BQ71" s="28"/>
      <c r="BR71" s="28"/>
      <c r="BS71" s="28"/>
      <c r="BT71" s="46"/>
      <c r="BU71" s="28"/>
      <c r="BV71" s="28"/>
      <c r="BW71" s="28"/>
      <c r="BX71" s="28"/>
      <c r="BY71" s="46"/>
      <c r="BZ71" s="28"/>
      <c r="CA71" s="28"/>
      <c r="CB71" s="28"/>
      <c r="CC71" s="28"/>
      <c r="CD71" s="46"/>
    </row>
    <row r="72" spans="1:84">
      <c r="B72" s="700" t="s">
        <v>236</v>
      </c>
      <c r="C72" s="701"/>
      <c r="D72" s="701"/>
      <c r="E72" s="701"/>
      <c r="F72" s="701"/>
      <c r="G72" s="701"/>
      <c r="H72" s="701"/>
      <c r="I72" s="701"/>
      <c r="J72" s="701"/>
      <c r="K72" s="701"/>
      <c r="L72" s="701"/>
      <c r="M72" s="701"/>
      <c r="N72" s="701"/>
      <c r="O72" s="701"/>
      <c r="P72" s="701"/>
      <c r="Q72" s="701"/>
      <c r="R72" s="701"/>
      <c r="S72" s="701"/>
      <c r="T72" s="701"/>
      <c r="U72" s="701"/>
      <c r="V72" s="701"/>
      <c r="W72" s="701"/>
      <c r="X72" s="701"/>
      <c r="Y72" s="701"/>
      <c r="Z72" s="701"/>
      <c r="AA72" s="701"/>
      <c r="AB72" s="701"/>
      <c r="AC72" s="701"/>
      <c r="AD72" s="701"/>
      <c r="AE72" s="701"/>
      <c r="AF72" s="701"/>
      <c r="AG72" s="701"/>
      <c r="AH72" s="701"/>
      <c r="AI72" s="701"/>
      <c r="AJ72" s="701"/>
      <c r="AK72" s="701"/>
      <c r="AL72" s="701"/>
      <c r="AM72" s="701"/>
      <c r="AN72" s="701"/>
      <c r="AO72" s="701"/>
      <c r="AP72" s="701"/>
      <c r="AQ72" s="701"/>
      <c r="AR72" s="701"/>
      <c r="AS72" s="701"/>
      <c r="AT72" s="701"/>
      <c r="AU72" s="701"/>
      <c r="AV72" s="701"/>
      <c r="AW72" s="701"/>
      <c r="AX72" s="701"/>
      <c r="AY72" s="701"/>
      <c r="AZ72" s="702">
        <f>AZ63*AZ57</f>
        <v>1362.6599999999999</v>
      </c>
      <c r="BA72" s="703">
        <f t="shared" ref="BA72:CD72" si="5">BA63*BA57</f>
        <v>0</v>
      </c>
      <c r="BB72" s="670">
        <f t="shared" si="5"/>
        <v>0</v>
      </c>
      <c r="BC72" s="670">
        <f t="shared" si="5"/>
        <v>0</v>
      </c>
      <c r="BD72" s="670">
        <f t="shared" si="5"/>
        <v>0</v>
      </c>
      <c r="BE72" s="702">
        <f t="shared" si="5"/>
        <v>1244.0350000000001</v>
      </c>
      <c r="BF72" s="704">
        <f t="shared" si="5"/>
        <v>0</v>
      </c>
      <c r="BG72" s="704">
        <f t="shared" si="5"/>
        <v>0</v>
      </c>
      <c r="BH72" s="704">
        <f t="shared" si="5"/>
        <v>0</v>
      </c>
      <c r="BI72" s="704">
        <f t="shared" si="5"/>
        <v>0</v>
      </c>
      <c r="BJ72" s="702">
        <f t="shared" si="5"/>
        <v>1358.7138500000001</v>
      </c>
      <c r="BK72" s="704">
        <f t="shared" si="5"/>
        <v>0</v>
      </c>
      <c r="BL72" s="704">
        <f t="shared" si="5"/>
        <v>0</v>
      </c>
      <c r="BM72" s="704">
        <f t="shared" si="5"/>
        <v>0</v>
      </c>
      <c r="BN72" s="704">
        <f t="shared" si="5"/>
        <v>0</v>
      </c>
      <c r="BO72" s="702">
        <f t="shared" si="5"/>
        <v>1438.3161195</v>
      </c>
      <c r="BP72" s="704">
        <f t="shared" si="5"/>
        <v>0</v>
      </c>
      <c r="BQ72" s="704">
        <f t="shared" si="5"/>
        <v>0</v>
      </c>
      <c r="BR72" s="704">
        <f t="shared" si="5"/>
        <v>0</v>
      </c>
      <c r="BS72" s="704">
        <f t="shared" si="5"/>
        <v>0</v>
      </c>
      <c r="BT72" s="702">
        <f t="shared" si="5"/>
        <v>1522.8318286350002</v>
      </c>
      <c r="BU72" s="704">
        <f t="shared" si="5"/>
        <v>0</v>
      </c>
      <c r="BV72" s="704">
        <f t="shared" si="5"/>
        <v>0</v>
      </c>
      <c r="BW72" s="704">
        <f t="shared" si="5"/>
        <v>0</v>
      </c>
      <c r="BX72" s="704">
        <f t="shared" si="5"/>
        <v>0</v>
      </c>
      <c r="BY72" s="702">
        <f t="shared" si="5"/>
        <v>1608.0453503419501</v>
      </c>
      <c r="BZ72" s="704">
        <f t="shared" si="5"/>
        <v>0</v>
      </c>
      <c r="CA72" s="704">
        <f t="shared" si="5"/>
        <v>0</v>
      </c>
      <c r="CB72" s="704">
        <f t="shared" si="5"/>
        <v>0</v>
      </c>
      <c r="CC72" s="704">
        <f t="shared" si="5"/>
        <v>0</v>
      </c>
      <c r="CD72" s="702">
        <f t="shared" si="5"/>
        <v>1698.1545832535119</v>
      </c>
    </row>
    <row r="73" spans="1:84">
      <c r="B73" s="574" t="s">
        <v>76</v>
      </c>
      <c r="C73" s="529"/>
      <c r="D73" s="529"/>
      <c r="E73" s="529"/>
      <c r="F73" s="529"/>
      <c r="G73" s="549"/>
      <c r="H73" s="529"/>
      <c r="I73" s="529"/>
      <c r="J73" s="529"/>
      <c r="K73" s="529"/>
      <c r="L73" s="549"/>
      <c r="M73" s="529"/>
      <c r="N73" s="529"/>
      <c r="O73" s="529"/>
      <c r="P73" s="529"/>
      <c r="Q73" s="549"/>
      <c r="R73" s="520"/>
      <c r="S73" s="520"/>
      <c r="T73" s="520"/>
      <c r="U73" s="520"/>
      <c r="V73" s="550"/>
      <c r="W73" s="324"/>
      <c r="X73" s="324"/>
      <c r="Y73" s="324"/>
      <c r="Z73" s="324"/>
      <c r="AA73" s="372"/>
      <c r="AB73" s="324"/>
      <c r="AC73" s="324"/>
      <c r="AD73" s="324"/>
      <c r="AE73" s="324"/>
      <c r="AF73" s="372"/>
      <c r="AG73" s="324"/>
      <c r="AH73" s="324"/>
      <c r="AI73" s="324"/>
      <c r="AJ73" s="373"/>
      <c r="AK73" s="372"/>
      <c r="AL73" s="709"/>
      <c r="AM73" s="709"/>
      <c r="AN73" s="709"/>
      <c r="AO73" s="709"/>
      <c r="AP73" s="46"/>
      <c r="AQ73" s="709"/>
      <c r="AR73" s="709"/>
      <c r="AS73" s="709"/>
      <c r="AT73" s="709"/>
      <c r="AU73" s="46"/>
      <c r="AV73" s="709"/>
      <c r="AW73" s="280"/>
      <c r="AX73" s="709"/>
      <c r="AY73" s="709"/>
      <c r="AZ73" s="46"/>
      <c r="BA73" s="364"/>
      <c r="BB73" s="280"/>
      <c r="BC73" s="280"/>
      <c r="BD73" s="280"/>
      <c r="BE73" s="692">
        <v>0.36</v>
      </c>
      <c r="BF73" s="693"/>
      <c r="BG73" s="693"/>
      <c r="BH73" s="693"/>
      <c r="BI73" s="693"/>
      <c r="BJ73" s="692">
        <v>0.35</v>
      </c>
      <c r="BK73" s="693"/>
      <c r="BL73" s="693"/>
      <c r="BM73" s="693"/>
      <c r="BN73" s="693"/>
      <c r="BO73" s="692">
        <v>0.35</v>
      </c>
      <c r="BP73" s="693"/>
      <c r="BQ73" s="693"/>
      <c r="BR73" s="693"/>
      <c r="BS73" s="693"/>
      <c r="BT73" s="692">
        <v>0.35</v>
      </c>
      <c r="BU73" s="693"/>
      <c r="BV73" s="693"/>
      <c r="BW73" s="693"/>
      <c r="BX73" s="693"/>
      <c r="BY73" s="692">
        <v>0.36</v>
      </c>
      <c r="BZ73" s="693"/>
      <c r="CA73" s="693"/>
      <c r="CB73" s="693"/>
      <c r="CC73" s="693"/>
      <c r="CD73" s="692">
        <v>0.36</v>
      </c>
    </row>
    <row r="74" spans="1:84">
      <c r="B74" s="268" t="s">
        <v>229</v>
      </c>
      <c r="C74" s="529"/>
      <c r="D74" s="529"/>
      <c r="E74" s="529"/>
      <c r="F74" s="529"/>
      <c r="G74" s="549"/>
      <c r="H74" s="529"/>
      <c r="I74" s="529"/>
      <c r="J74" s="529"/>
      <c r="K74" s="529"/>
      <c r="L74" s="549"/>
      <c r="M74" s="529"/>
      <c r="N74" s="529"/>
      <c r="O74" s="529"/>
      <c r="P74" s="529"/>
      <c r="Q74" s="549"/>
      <c r="R74" s="520"/>
      <c r="S74" s="520"/>
      <c r="T74" s="520"/>
      <c r="U74" s="520"/>
      <c r="V74" s="550"/>
      <c r="W74" s="324"/>
      <c r="X74" s="324"/>
      <c r="Y74" s="324"/>
      <c r="Z74" s="324"/>
      <c r="AA74" s="372"/>
      <c r="AB74" s="324"/>
      <c r="AC74" s="324"/>
      <c r="AD74" s="324"/>
      <c r="AE74" s="324"/>
      <c r="AF74" s="372"/>
      <c r="AG74" s="324"/>
      <c r="AH74" s="324"/>
      <c r="AI74" s="324"/>
      <c r="AJ74" s="373"/>
      <c r="AK74" s="372"/>
      <c r="AL74" s="709"/>
      <c r="AM74" s="709"/>
      <c r="AN74" s="709"/>
      <c r="AO74" s="709"/>
      <c r="AP74" s="46"/>
      <c r="AQ74" s="709"/>
      <c r="AR74" s="709"/>
      <c r="AS74" s="709"/>
      <c r="AT74" s="709"/>
      <c r="AU74" s="46"/>
      <c r="AV74" s="709"/>
      <c r="AW74" s="280"/>
      <c r="AX74" s="709"/>
      <c r="AY74" s="709"/>
      <c r="AZ74" s="46"/>
      <c r="BA74" s="364"/>
      <c r="BB74" s="280"/>
      <c r="BC74" s="280"/>
      <c r="BD74" s="280"/>
      <c r="BE74" s="46">
        <f>BE72*BE73</f>
        <v>447.8526</v>
      </c>
      <c r="BF74" s="28"/>
      <c r="BG74" s="28"/>
      <c r="BH74" s="28"/>
      <c r="BI74" s="28"/>
      <c r="BJ74" s="46">
        <f>BJ72*BJ73</f>
        <v>475.5498475</v>
      </c>
      <c r="BK74" s="28"/>
      <c r="BL74" s="28"/>
      <c r="BM74" s="28"/>
      <c r="BN74" s="28"/>
      <c r="BO74" s="46">
        <f>BO72*BO73</f>
        <v>503.41064182499997</v>
      </c>
      <c r="BP74" s="28"/>
      <c r="BQ74" s="28"/>
      <c r="BR74" s="28"/>
      <c r="BS74" s="28"/>
      <c r="BT74" s="46">
        <f>BT72*BT73</f>
        <v>532.99114002225008</v>
      </c>
      <c r="BU74" s="28"/>
      <c r="BV74" s="28"/>
      <c r="BW74" s="28"/>
      <c r="BX74" s="28"/>
      <c r="BY74" s="46">
        <f>BY72*BY73</f>
        <v>578.89632612310197</v>
      </c>
      <c r="BZ74" s="28"/>
      <c r="CA74" s="28"/>
      <c r="CB74" s="28"/>
      <c r="CC74" s="28"/>
      <c r="CD74" s="46">
        <f>CD72*CD73</f>
        <v>611.33564997126427</v>
      </c>
    </row>
    <row r="75" spans="1:84" hidden="1">
      <c r="B75" s="268" t="s">
        <v>83</v>
      </c>
      <c r="C75" s="529"/>
      <c r="D75" s="529"/>
      <c r="E75" s="529"/>
      <c r="F75" s="529"/>
      <c r="G75" s="549"/>
      <c r="H75" s="529"/>
      <c r="I75" s="529"/>
      <c r="J75" s="529"/>
      <c r="K75" s="529"/>
      <c r="L75" s="549"/>
      <c r="M75" s="529"/>
      <c r="N75" s="529"/>
      <c r="O75" s="529"/>
      <c r="P75" s="529"/>
      <c r="Q75" s="549"/>
      <c r="R75" s="520"/>
      <c r="S75" s="520"/>
      <c r="T75" s="520"/>
      <c r="U75" s="520"/>
      <c r="V75" s="550"/>
      <c r="W75" s="324"/>
      <c r="X75" s="324"/>
      <c r="Y75" s="324"/>
      <c r="Z75" s="324"/>
      <c r="AA75" s="372"/>
      <c r="AB75" s="324"/>
      <c r="AC75" s="324"/>
      <c r="AD75" s="324"/>
      <c r="AE75" s="324"/>
      <c r="AF75" s="372"/>
      <c r="AG75" s="324"/>
      <c r="AH75" s="324"/>
      <c r="AI75" s="324"/>
      <c r="AJ75" s="373"/>
      <c r="AK75" s="372"/>
      <c r="AL75" s="709"/>
      <c r="AM75" s="709"/>
      <c r="AN75" s="709"/>
      <c r="AO75" s="709"/>
      <c r="AP75" s="46"/>
      <c r="AQ75" s="709"/>
      <c r="AR75" s="709"/>
      <c r="AS75" s="709"/>
      <c r="AT75" s="709"/>
      <c r="AU75" s="46"/>
      <c r="AV75" s="709"/>
      <c r="AW75" s="280"/>
      <c r="AX75" s="709"/>
      <c r="AY75" s="709"/>
      <c r="AZ75" s="46"/>
      <c r="BA75" s="364"/>
      <c r="BB75" s="280"/>
      <c r="BC75" s="280"/>
      <c r="BD75" s="280"/>
      <c r="BE75" s="46"/>
      <c r="BF75" s="28"/>
      <c r="BG75" s="28"/>
      <c r="BH75" s="28"/>
      <c r="BI75" s="28"/>
      <c r="BJ75" s="46"/>
      <c r="BK75" s="28"/>
      <c r="BL75" s="28"/>
      <c r="BM75" s="28"/>
      <c r="BN75" s="28"/>
      <c r="BO75" s="46"/>
      <c r="BP75" s="28"/>
      <c r="BQ75" s="28"/>
      <c r="BR75" s="28"/>
      <c r="BS75" s="28"/>
      <c r="BT75" s="46"/>
      <c r="BU75" s="28"/>
      <c r="BV75" s="28"/>
      <c r="BW75" s="28"/>
      <c r="BX75" s="28"/>
      <c r="BY75" s="46"/>
      <c r="BZ75" s="28"/>
      <c r="CA75" s="28"/>
      <c r="CB75" s="28"/>
      <c r="CC75" s="28"/>
      <c r="CD75" s="46"/>
    </row>
    <row r="76" spans="1:84" hidden="1">
      <c r="B76" s="268" t="s">
        <v>84</v>
      </c>
      <c r="C76" s="529"/>
      <c r="D76" s="529"/>
      <c r="E76" s="529"/>
      <c r="F76" s="529"/>
      <c r="G76" s="549"/>
      <c r="H76" s="529"/>
      <c r="I76" s="529"/>
      <c r="J76" s="529"/>
      <c r="K76" s="529"/>
      <c r="L76" s="549"/>
      <c r="M76" s="529"/>
      <c r="N76" s="529"/>
      <c r="O76" s="529"/>
      <c r="P76" s="529"/>
      <c r="Q76" s="549"/>
      <c r="R76" s="520"/>
      <c r="S76" s="520"/>
      <c r="T76" s="520"/>
      <c r="U76" s="520"/>
      <c r="V76" s="550"/>
      <c r="W76" s="324"/>
      <c r="X76" s="324"/>
      <c r="Y76" s="324"/>
      <c r="Z76" s="324"/>
      <c r="AA76" s="372"/>
      <c r="AB76" s="324"/>
      <c r="AC76" s="324"/>
      <c r="AD76" s="324"/>
      <c r="AE76" s="324"/>
      <c r="AF76" s="372"/>
      <c r="AG76" s="324"/>
      <c r="AH76" s="324"/>
      <c r="AI76" s="324"/>
      <c r="AJ76" s="373"/>
      <c r="AK76" s="372"/>
      <c r="AL76" s="709"/>
      <c r="AM76" s="709"/>
      <c r="AN76" s="709"/>
      <c r="AO76" s="709"/>
      <c r="AP76" s="46"/>
      <c r="AQ76" s="709"/>
      <c r="AR76" s="709"/>
      <c r="AS76" s="709"/>
      <c r="AT76" s="709"/>
      <c r="AU76" s="46"/>
      <c r="AV76" s="709"/>
      <c r="AW76" s="280"/>
      <c r="AX76" s="709"/>
      <c r="AY76" s="709"/>
      <c r="AZ76" s="46"/>
      <c r="BA76" s="364"/>
      <c r="BB76" s="280"/>
      <c r="BC76" s="280"/>
      <c r="BD76" s="280"/>
      <c r="BE76" s="46"/>
      <c r="BF76" s="28"/>
      <c r="BG76" s="28"/>
      <c r="BH76" s="28"/>
      <c r="BI76" s="28"/>
      <c r="BJ76" s="46"/>
      <c r="BK76" s="28"/>
      <c r="BL76" s="28"/>
      <c r="BM76" s="28"/>
      <c r="BN76" s="28"/>
      <c r="BO76" s="46"/>
      <c r="BP76" s="28"/>
      <c r="BQ76" s="28"/>
      <c r="BR76" s="28"/>
      <c r="BS76" s="28"/>
      <c r="BT76" s="46"/>
      <c r="BU76" s="28"/>
      <c r="BV76" s="28"/>
      <c r="BW76" s="28"/>
      <c r="BX76" s="28"/>
      <c r="BY76" s="46"/>
      <c r="BZ76" s="28"/>
      <c r="CA76" s="28"/>
      <c r="CB76" s="28"/>
      <c r="CC76" s="28"/>
      <c r="CD76" s="46"/>
    </row>
    <row r="77" spans="1:84" hidden="1">
      <c r="B77" s="268" t="s">
        <v>230</v>
      </c>
      <c r="C77" s="529"/>
      <c r="D77" s="529"/>
      <c r="E77" s="529"/>
      <c r="F77" s="529"/>
      <c r="G77" s="549"/>
      <c r="H77" s="529"/>
      <c r="I77" s="529"/>
      <c r="J77" s="529"/>
      <c r="K77" s="529"/>
      <c r="L77" s="549"/>
      <c r="M77" s="529"/>
      <c r="N77" s="529"/>
      <c r="O77" s="529"/>
      <c r="P77" s="529"/>
      <c r="Q77" s="549"/>
      <c r="R77" s="520"/>
      <c r="S77" s="520"/>
      <c r="T77" s="520"/>
      <c r="U77" s="520"/>
      <c r="V77" s="550"/>
      <c r="W77" s="324"/>
      <c r="X77" s="324"/>
      <c r="Y77" s="324"/>
      <c r="Z77" s="324"/>
      <c r="AA77" s="372"/>
      <c r="AB77" s="324"/>
      <c r="AC77" s="324"/>
      <c r="AD77" s="324"/>
      <c r="AE77" s="324"/>
      <c r="AF77" s="372"/>
      <c r="AG77" s="324"/>
      <c r="AH77" s="324"/>
      <c r="AI77" s="324"/>
      <c r="AJ77" s="373"/>
      <c r="AK77" s="372"/>
      <c r="AL77" s="709"/>
      <c r="AM77" s="709"/>
      <c r="AN77" s="709"/>
      <c r="AO77" s="709"/>
      <c r="AP77" s="46"/>
      <c r="AQ77" s="709"/>
      <c r="AR77" s="709"/>
      <c r="AS77" s="709"/>
      <c r="AT77" s="709"/>
      <c r="AU77" s="46"/>
      <c r="AV77" s="709"/>
      <c r="AW77" s="280"/>
      <c r="AX77" s="709"/>
      <c r="AY77" s="709"/>
      <c r="AZ77" s="46"/>
      <c r="BA77" s="364"/>
      <c r="BB77" s="280"/>
      <c r="BC77" s="280"/>
      <c r="BD77" s="280"/>
      <c r="BE77" s="46"/>
      <c r="BF77" s="28"/>
      <c r="BG77" s="28"/>
      <c r="BH77" s="28"/>
      <c r="BI77" s="28"/>
      <c r="BJ77" s="46"/>
      <c r="BK77" s="28"/>
      <c r="BL77" s="28"/>
      <c r="BM77" s="28"/>
      <c r="BN77" s="28"/>
      <c r="BO77" s="46"/>
      <c r="BP77" s="28"/>
      <c r="BQ77" s="28"/>
      <c r="BR77" s="28"/>
      <c r="BS77" s="28"/>
      <c r="BT77" s="46"/>
      <c r="BU77" s="28"/>
      <c r="BV77" s="28"/>
      <c r="BW77" s="28"/>
      <c r="BX77" s="28"/>
      <c r="BY77" s="46"/>
      <c r="BZ77" s="28"/>
      <c r="CA77" s="28"/>
      <c r="CB77" s="28"/>
      <c r="CC77" s="28"/>
      <c r="CD77" s="46"/>
    </row>
    <row r="78" spans="1:84">
      <c r="B78" s="713" t="s">
        <v>231</v>
      </c>
      <c r="C78" s="522"/>
      <c r="D78" s="522"/>
      <c r="E78" s="522"/>
      <c r="F78" s="522"/>
      <c r="G78" s="523"/>
      <c r="H78" s="522"/>
      <c r="I78" s="522"/>
      <c r="J78" s="522"/>
      <c r="K78" s="522"/>
      <c r="L78" s="523"/>
      <c r="M78" s="522"/>
      <c r="N78" s="522"/>
      <c r="O78" s="522"/>
      <c r="P78" s="522"/>
      <c r="Q78" s="523"/>
      <c r="R78" s="485"/>
      <c r="S78" s="485"/>
      <c r="T78" s="485"/>
      <c r="U78" s="485"/>
      <c r="V78" s="486"/>
      <c r="W78" s="487"/>
      <c r="X78" s="487"/>
      <c r="Y78" s="487"/>
      <c r="Z78" s="487"/>
      <c r="AA78" s="472"/>
      <c r="AB78" s="487"/>
      <c r="AC78" s="487"/>
      <c r="AD78" s="487"/>
      <c r="AE78" s="487"/>
      <c r="AF78" s="472"/>
      <c r="AG78" s="487"/>
      <c r="AH78" s="487"/>
      <c r="AI78" s="487"/>
      <c r="AJ78" s="714"/>
      <c r="AK78" s="472"/>
      <c r="AL78" s="715"/>
      <c r="AM78" s="715"/>
      <c r="AN78" s="715"/>
      <c r="AO78" s="715"/>
      <c r="AP78" s="716"/>
      <c r="AQ78" s="715"/>
      <c r="AR78" s="715"/>
      <c r="AS78" s="715"/>
      <c r="AT78" s="715"/>
      <c r="AU78" s="716"/>
      <c r="AV78" s="715"/>
      <c r="AW78" s="717"/>
      <c r="AX78" s="715"/>
      <c r="AY78" s="715"/>
      <c r="AZ78" s="46"/>
      <c r="BA78" s="718"/>
      <c r="BB78" s="707"/>
      <c r="BC78" s="707"/>
      <c r="BD78" s="707"/>
      <c r="BE78" s="277">
        <f>BE74+(BE74/BE$80*BE$81)</f>
        <v>464.4433172045334</v>
      </c>
      <c r="BF78" s="719"/>
      <c r="BG78" s="719"/>
      <c r="BH78" s="719"/>
      <c r="BI78" s="719"/>
      <c r="BJ78" s="277">
        <f>BJ74+(BJ74/BJ$80*BJ$81)</f>
        <v>493.87455166649085</v>
      </c>
      <c r="BK78" s="719"/>
      <c r="BL78" s="719"/>
      <c r="BM78" s="719"/>
      <c r="BN78" s="719"/>
      <c r="BO78" s="277">
        <f>BO74+(BO74/BO$80*BO$81)</f>
        <v>521.2821056086957</v>
      </c>
      <c r="BP78" s="719"/>
      <c r="BQ78" s="719"/>
      <c r="BR78" s="719"/>
      <c r="BS78" s="719"/>
      <c r="BT78" s="277">
        <f>BT74+(BT74/BT$80*BT$81)</f>
        <v>550.53464199061955</v>
      </c>
      <c r="BU78" s="719"/>
      <c r="BV78" s="719"/>
      <c r="BW78" s="719"/>
      <c r="BX78" s="719"/>
      <c r="BY78" s="277">
        <f>BY74+(BY74/BY$80*BY$81)</f>
        <v>596.51304115579762</v>
      </c>
      <c r="BZ78" s="719"/>
      <c r="CA78" s="719"/>
      <c r="CB78" s="719"/>
      <c r="CC78" s="719"/>
      <c r="CD78" s="277">
        <f>CD74+(CD74/CD$80*CD$81)</f>
        <v>628.95802173634263</v>
      </c>
    </row>
    <row r="79" spans="1:84">
      <c r="A79" s="720"/>
      <c r="B79" s="721"/>
      <c r="C79" s="529"/>
      <c r="D79" s="529"/>
      <c r="E79" s="529"/>
      <c r="F79" s="529"/>
      <c r="G79" s="712"/>
      <c r="H79" s="529"/>
      <c r="I79" s="529"/>
      <c r="J79" s="529"/>
      <c r="K79" s="529"/>
      <c r="L79" s="712"/>
      <c r="M79" s="529"/>
      <c r="N79" s="529"/>
      <c r="O79" s="529"/>
      <c r="P79" s="529"/>
      <c r="Q79" s="712"/>
      <c r="R79" s="520"/>
      <c r="S79" s="520"/>
      <c r="T79" s="520"/>
      <c r="U79" s="520"/>
      <c r="V79" s="557"/>
      <c r="W79" s="324"/>
      <c r="X79" s="324"/>
      <c r="Y79" s="324"/>
      <c r="Z79" s="324"/>
      <c r="AA79" s="461"/>
      <c r="AB79" s="324"/>
      <c r="AC79" s="324"/>
      <c r="AD79" s="324"/>
      <c r="AE79" s="324"/>
      <c r="AF79" s="461"/>
      <c r="AG79" s="324"/>
      <c r="AH79" s="324"/>
      <c r="AI79" s="324"/>
      <c r="AJ79" s="373"/>
      <c r="AK79" s="461"/>
      <c r="AL79" s="709"/>
      <c r="AM79" s="709"/>
      <c r="AN79" s="709"/>
      <c r="AO79" s="709"/>
      <c r="AP79" s="45"/>
      <c r="AQ79" s="709"/>
      <c r="AR79" s="709"/>
      <c r="AS79" s="709"/>
      <c r="AT79" s="709"/>
      <c r="AU79" s="45"/>
      <c r="AV79" s="709"/>
      <c r="AW79" s="280"/>
      <c r="AX79" s="709"/>
      <c r="AY79" s="709"/>
      <c r="AZ79" s="722"/>
      <c r="BA79" s="723"/>
      <c r="BB79" s="724"/>
      <c r="BC79" s="724"/>
      <c r="BD79" s="724"/>
      <c r="BE79" s="722"/>
      <c r="BF79" s="725"/>
      <c r="BG79" s="725"/>
      <c r="BH79" s="725"/>
      <c r="BI79" s="725"/>
      <c r="BJ79" s="722"/>
      <c r="BK79" s="725"/>
      <c r="BL79" s="725"/>
      <c r="BM79" s="725"/>
      <c r="BN79" s="725"/>
      <c r="BO79" s="722"/>
      <c r="BP79" s="725"/>
      <c r="BQ79" s="725"/>
      <c r="BR79" s="725"/>
      <c r="BS79" s="725"/>
      <c r="BT79" s="722"/>
      <c r="BU79" s="725"/>
      <c r="BV79" s="725"/>
      <c r="BW79" s="725"/>
      <c r="BX79" s="725"/>
      <c r="BY79" s="722"/>
      <c r="BZ79" s="725"/>
      <c r="CA79" s="725"/>
      <c r="CB79" s="725"/>
      <c r="CC79" s="725"/>
      <c r="CD79" s="722"/>
      <c r="CE79" s="720"/>
      <c r="CF79" s="726"/>
    </row>
    <row r="80" spans="1:84">
      <c r="B80" s="217" t="s">
        <v>237</v>
      </c>
      <c r="AZ80" s="580">
        <f>IS!AZ20</f>
        <v>3846.2000000000003</v>
      </c>
      <c r="BA80" s="580"/>
      <c r="BB80" s="580"/>
      <c r="BC80" s="580"/>
      <c r="BD80" s="580"/>
      <c r="BE80" s="580">
        <f>IS!BE20</f>
        <v>5091.1000000000004</v>
      </c>
      <c r="BF80" s="580">
        <f>IS!BF20</f>
        <v>958.97312000000022</v>
      </c>
      <c r="BG80" s="580">
        <f>IS!BG20</f>
        <v>1309.4867420000005</v>
      </c>
      <c r="BH80" s="580">
        <f>IS!BH20</f>
        <v>1395.0711780000001</v>
      </c>
      <c r="BI80" s="580">
        <f>IS!BI20</f>
        <v>1526.7284390000002</v>
      </c>
      <c r="BJ80" s="580">
        <f>IS!BJ20</f>
        <v>5190.2594790000003</v>
      </c>
      <c r="BK80" s="580">
        <f>IS!BK20</f>
        <v>0</v>
      </c>
      <c r="BL80" s="580">
        <f>IS!BL20</f>
        <v>0</v>
      </c>
      <c r="BM80" s="580">
        <f>IS!BM20</f>
        <v>0</v>
      </c>
      <c r="BN80" s="580">
        <f>IS!BN20</f>
        <v>0</v>
      </c>
      <c r="BO80" s="580">
        <f>IS!BO20</f>
        <v>5633.6811345500028</v>
      </c>
      <c r="BP80" s="580">
        <f>IS!BP20</f>
        <v>0</v>
      </c>
      <c r="BQ80" s="580">
        <f>IS!BQ20</f>
        <v>0</v>
      </c>
      <c r="BR80" s="580">
        <f>IS!BR20</f>
        <v>0</v>
      </c>
      <c r="BS80" s="580">
        <f>IS!BS20</f>
        <v>0</v>
      </c>
      <c r="BT80" s="580">
        <f>IS!BT20</f>
        <v>6076.2228770882994</v>
      </c>
      <c r="BU80" s="580">
        <f>IS!BU20</f>
        <v>0</v>
      </c>
      <c r="BV80" s="580">
        <f>IS!BV20</f>
        <v>0</v>
      </c>
      <c r="BW80" s="580">
        <f>IS!BW20</f>
        <v>0</v>
      </c>
      <c r="BX80" s="580">
        <f>IS!BX20</f>
        <v>0</v>
      </c>
      <c r="BY80" s="580">
        <f>IS!BY20</f>
        <v>6572.1256777861618</v>
      </c>
      <c r="BZ80" s="580">
        <f>IS!BZ20</f>
        <v>0</v>
      </c>
      <c r="CA80" s="580">
        <f>IS!CA20</f>
        <v>0</v>
      </c>
      <c r="CB80" s="580">
        <f>IS!CB20</f>
        <v>0</v>
      </c>
      <c r="CC80" s="580">
        <f>IS!CC20</f>
        <v>0</v>
      </c>
      <c r="CD80" s="580">
        <f>IS!CD20</f>
        <v>6938.176746250776</v>
      </c>
      <c r="CE80" s="727">
        <f>IS!CE20</f>
        <v>0</v>
      </c>
    </row>
    <row r="81" spans="2:86">
      <c r="B81" s="217" t="s">
        <v>238</v>
      </c>
      <c r="AZ81" s="580">
        <f>'BS &amp; CF'!AL105</f>
        <v>186.89999999999992</v>
      </c>
      <c r="BE81" s="580">
        <f>'BS &amp; CF'!AQ105</f>
        <v>188.59999999999991</v>
      </c>
      <c r="BJ81" s="580">
        <f>'BS &amp; CF'!AV105</f>
        <v>200</v>
      </c>
      <c r="BO81" s="580">
        <f>'BS &amp; CF'!BA105</f>
        <v>200</v>
      </c>
      <c r="BT81" s="580">
        <f>'BS &amp; CF'!BF105</f>
        <v>200</v>
      </c>
      <c r="BY81" s="580">
        <f>'BS &amp; CF'!BK105</f>
        <v>200</v>
      </c>
      <c r="CD81" s="580">
        <f>'BS &amp; CF'!BP105</f>
        <v>200</v>
      </c>
    </row>
    <row r="82" spans="2:86">
      <c r="B82" s="217" t="s">
        <v>239</v>
      </c>
      <c r="AZ82" s="580">
        <f>IS!AZ96</f>
        <v>4033.1</v>
      </c>
      <c r="BE82" s="580">
        <f>IS!BE96</f>
        <v>5279.7000000000007</v>
      </c>
      <c r="BJ82" s="580">
        <f>IS!BJ96</f>
        <v>5590.2594790000003</v>
      </c>
      <c r="BO82" s="580">
        <f>IS!BO96</f>
        <v>6033.6811345500028</v>
      </c>
      <c r="BT82" s="580">
        <f>IS!BT96</f>
        <v>6476.2228770882994</v>
      </c>
      <c r="BY82" s="580">
        <f>IS!BY96</f>
        <v>6972.1256777861618</v>
      </c>
      <c r="CD82" s="580">
        <f>IS!CD96</f>
        <v>7338.176746250776</v>
      </c>
    </row>
    <row r="84" spans="2:86" ht="13" thickBot="1"/>
    <row r="85" spans="2:86">
      <c r="B85" s="728" t="s">
        <v>240</v>
      </c>
      <c r="C85" s="729"/>
      <c r="D85" s="729"/>
      <c r="E85" s="729"/>
      <c r="F85" s="729"/>
      <c r="G85" s="729"/>
      <c r="H85" s="729"/>
      <c r="I85" s="729"/>
      <c r="J85" s="729"/>
      <c r="K85" s="729"/>
      <c r="L85" s="729"/>
      <c r="M85" s="729"/>
      <c r="N85" s="729"/>
      <c r="O85" s="729"/>
      <c r="P85" s="729"/>
      <c r="Q85" s="729"/>
      <c r="R85" s="729"/>
      <c r="S85" s="729"/>
      <c r="T85" s="729"/>
      <c r="U85" s="729"/>
      <c r="V85" s="729"/>
      <c r="W85" s="729"/>
      <c r="X85" s="729"/>
      <c r="Y85" s="729"/>
      <c r="Z85" s="729"/>
      <c r="AA85" s="729"/>
      <c r="AB85" s="729"/>
      <c r="AC85" s="729"/>
      <c r="AD85" s="729"/>
      <c r="AE85" s="729"/>
      <c r="AF85" s="729"/>
      <c r="AG85" s="729"/>
      <c r="AH85" s="729"/>
      <c r="AI85" s="729"/>
      <c r="AJ85" s="729"/>
      <c r="AK85" s="729"/>
      <c r="AL85" s="729"/>
      <c r="AM85" s="729"/>
      <c r="AN85" s="729"/>
      <c r="AO85" s="729"/>
      <c r="AP85" s="729"/>
      <c r="AQ85" s="729"/>
      <c r="AR85" s="729"/>
      <c r="AS85" s="729"/>
      <c r="AT85" s="729"/>
      <c r="AU85" s="729"/>
      <c r="AV85" s="729"/>
      <c r="AW85" s="729"/>
      <c r="AX85" s="729"/>
      <c r="AY85" s="729"/>
      <c r="AZ85" s="729"/>
      <c r="BA85" s="729"/>
      <c r="BB85" s="729"/>
      <c r="BC85" s="729"/>
      <c r="BD85" s="729"/>
      <c r="BE85" s="729"/>
      <c r="BF85" s="729"/>
      <c r="BG85" s="729"/>
      <c r="BH85" s="729"/>
      <c r="BI85" s="729"/>
      <c r="BJ85" s="729"/>
      <c r="BK85" s="729"/>
      <c r="BL85" s="729"/>
      <c r="BM85" s="729"/>
      <c r="BN85" s="729"/>
      <c r="BO85" s="729"/>
      <c r="BP85" s="729"/>
      <c r="BQ85" s="729"/>
      <c r="BR85" s="729"/>
      <c r="BS85" s="729"/>
      <c r="BT85" s="729"/>
      <c r="BU85" s="729"/>
      <c r="BV85" s="729"/>
      <c r="BW85" s="729"/>
      <c r="BX85" s="729"/>
      <c r="BY85" s="729"/>
      <c r="BZ85" s="729"/>
      <c r="CA85" s="729"/>
      <c r="CB85" s="729"/>
      <c r="CC85" s="729"/>
      <c r="CD85" s="729"/>
      <c r="CE85" s="729"/>
      <c r="CF85" s="729"/>
      <c r="CG85" s="729"/>
      <c r="CH85" s="730"/>
    </row>
    <row r="86" spans="2:86">
      <c r="B86" s="731"/>
      <c r="C86" s="726"/>
      <c r="D86" s="726"/>
      <c r="E86" s="726"/>
      <c r="F86" s="726"/>
      <c r="G86" s="726"/>
      <c r="H86" s="726"/>
      <c r="I86" s="726"/>
      <c r="J86" s="726"/>
      <c r="K86" s="726"/>
      <c r="L86" s="726"/>
      <c r="M86" s="726"/>
      <c r="N86" s="726"/>
      <c r="O86" s="726"/>
      <c r="P86" s="726"/>
      <c r="Q86" s="726"/>
      <c r="R86" s="726"/>
      <c r="S86" s="726"/>
      <c r="T86" s="726"/>
      <c r="U86" s="726"/>
      <c r="V86" s="726"/>
      <c r="W86" s="726"/>
      <c r="X86" s="726"/>
      <c r="Y86" s="726"/>
      <c r="Z86" s="726"/>
      <c r="AA86" s="726"/>
      <c r="AB86" s="726"/>
      <c r="AC86" s="726"/>
      <c r="AD86" s="726"/>
      <c r="AE86" s="726"/>
      <c r="AF86" s="726"/>
      <c r="AG86" s="726"/>
      <c r="AH86" s="726"/>
      <c r="AI86" s="726"/>
      <c r="AJ86" s="726"/>
      <c r="AK86" s="726"/>
      <c r="AL86" s="726"/>
      <c r="AM86" s="726"/>
      <c r="AN86" s="726"/>
      <c r="AO86" s="726"/>
      <c r="AP86" s="726"/>
      <c r="AQ86" s="726"/>
      <c r="AR86" s="726"/>
      <c r="AS86" s="726"/>
      <c r="AT86" s="726"/>
      <c r="AU86" s="726"/>
      <c r="AV86" s="726"/>
      <c r="AW86" s="726"/>
      <c r="AX86" s="726"/>
      <c r="AY86" s="726"/>
      <c r="AZ86" s="732" t="s">
        <v>26</v>
      </c>
      <c r="BA86" s="733"/>
      <c r="BB86" s="733"/>
      <c r="BC86" s="733"/>
      <c r="BD86" s="733"/>
      <c r="BE86" s="732"/>
      <c r="BF86" s="733"/>
      <c r="BG86" s="733"/>
      <c r="BH86" s="733"/>
      <c r="BI86" s="733"/>
      <c r="BJ86" s="732"/>
      <c r="BK86" s="726"/>
      <c r="BL86" s="726"/>
      <c r="BM86" s="726"/>
      <c r="BN86" s="726"/>
      <c r="BO86" s="726"/>
      <c r="BP86" s="726"/>
      <c r="BQ86" s="726"/>
      <c r="BR86" s="726"/>
      <c r="BS86" s="726"/>
      <c r="BT86" s="726"/>
      <c r="BU86" s="726"/>
      <c r="BV86" s="726"/>
      <c r="BW86" s="726"/>
      <c r="BX86" s="726"/>
      <c r="BY86" s="726"/>
      <c r="BZ86" s="726"/>
      <c r="CA86" s="726"/>
      <c r="CB86" s="726"/>
      <c r="CC86" s="726"/>
      <c r="CD86" s="726"/>
      <c r="CE86" s="720"/>
      <c r="CF86" s="726"/>
      <c r="CG86" s="726"/>
      <c r="CH86" s="734"/>
    </row>
    <row r="87" spans="2:86" ht="15">
      <c r="B87" s="731"/>
      <c r="C87" s="726"/>
      <c r="D87" s="726"/>
      <c r="E87" s="726"/>
      <c r="F87" s="726"/>
      <c r="G87" s="726"/>
      <c r="H87" s="726"/>
      <c r="I87" s="726"/>
      <c r="J87" s="726"/>
      <c r="K87" s="726"/>
      <c r="L87" s="726"/>
      <c r="M87" s="726"/>
      <c r="N87" s="726"/>
      <c r="O87" s="726"/>
      <c r="P87" s="726"/>
      <c r="Q87" s="726"/>
      <c r="R87" s="726"/>
      <c r="S87" s="726"/>
      <c r="T87" s="726"/>
      <c r="U87" s="726"/>
      <c r="V87" s="726"/>
      <c r="W87" s="726"/>
      <c r="X87" s="726"/>
      <c r="Y87" s="726"/>
      <c r="Z87" s="726"/>
      <c r="AA87" s="726"/>
      <c r="AB87" s="726"/>
      <c r="AC87" s="726"/>
      <c r="AD87" s="726"/>
      <c r="AE87" s="726"/>
      <c r="AF87" s="726"/>
      <c r="AG87" s="726"/>
      <c r="AH87" s="726"/>
      <c r="AI87" s="726"/>
      <c r="AJ87" s="726"/>
      <c r="AK87" s="726"/>
      <c r="AL87" s="726"/>
      <c r="AM87" s="726"/>
      <c r="AN87" s="726"/>
      <c r="AO87" s="726"/>
      <c r="AP87" s="726"/>
      <c r="AQ87" s="726"/>
      <c r="AR87" s="726"/>
      <c r="AS87" s="726"/>
      <c r="AT87" s="726"/>
      <c r="AU87" s="726"/>
      <c r="AV87" s="726"/>
      <c r="AW87" s="726"/>
      <c r="AX87" s="726"/>
      <c r="AY87" s="726"/>
      <c r="AZ87" s="735" t="s">
        <v>102</v>
      </c>
      <c r="BA87" s="736"/>
      <c r="BB87" s="736"/>
      <c r="BC87" s="736"/>
      <c r="BD87" s="736"/>
      <c r="BE87" s="735" t="s">
        <v>241</v>
      </c>
      <c r="BF87" s="736"/>
      <c r="BG87" s="736"/>
      <c r="BH87" s="736"/>
      <c r="BI87" s="736"/>
      <c r="BJ87" s="735" t="s">
        <v>242</v>
      </c>
      <c r="BK87" s="726"/>
      <c r="BL87" s="726"/>
      <c r="BM87" s="726"/>
      <c r="BN87" s="726"/>
      <c r="BO87" s="1022" t="s">
        <v>243</v>
      </c>
      <c r="BP87" s="1022"/>
      <c r="BQ87" s="1022"/>
      <c r="BR87" s="1022"/>
      <c r="BS87" s="1022"/>
      <c r="BT87" s="1022"/>
      <c r="BU87" s="1022"/>
      <c r="BV87" s="1022"/>
      <c r="BW87" s="1022"/>
      <c r="BX87" s="1022"/>
      <c r="BY87" s="1022"/>
      <c r="BZ87" s="1022"/>
      <c r="CA87" s="1022"/>
      <c r="CB87" s="1022"/>
      <c r="CC87" s="1022"/>
      <c r="CD87" s="1022"/>
      <c r="CE87" s="1022"/>
      <c r="CF87" s="1022"/>
      <c r="CG87" s="1022"/>
      <c r="CH87" s="1023"/>
    </row>
    <row r="88" spans="2:86">
      <c r="B88" s="737" t="s">
        <v>244</v>
      </c>
      <c r="C88" s="390"/>
      <c r="D88" s="390"/>
      <c r="E88" s="390"/>
      <c r="F88" s="390"/>
      <c r="G88" s="390"/>
      <c r="H88" s="390"/>
      <c r="I88" s="390"/>
      <c r="J88" s="390"/>
      <c r="K88" s="390"/>
      <c r="L88" s="390"/>
      <c r="M88" s="390"/>
      <c r="N88" s="390"/>
      <c r="O88" s="390"/>
      <c r="P88" s="390"/>
      <c r="Q88" s="390"/>
      <c r="R88" s="390"/>
      <c r="S88" s="390"/>
      <c r="T88" s="390"/>
      <c r="U88" s="390"/>
      <c r="V88" s="390"/>
      <c r="W88" s="390"/>
      <c r="X88" s="390"/>
      <c r="Y88" s="390"/>
      <c r="Z88" s="390"/>
      <c r="AA88" s="390"/>
      <c r="AB88" s="390"/>
      <c r="AC88" s="390"/>
      <c r="AD88" s="390"/>
      <c r="AE88" s="390"/>
      <c r="AF88" s="390"/>
      <c r="AG88" s="390"/>
      <c r="AH88" s="390"/>
      <c r="AI88" s="390"/>
      <c r="AJ88" s="390"/>
      <c r="AK88" s="390"/>
      <c r="AL88" s="390"/>
      <c r="AM88" s="390"/>
      <c r="AN88" s="390"/>
      <c r="AO88" s="390"/>
      <c r="AP88" s="390"/>
      <c r="AQ88" s="390"/>
      <c r="AR88" s="390"/>
      <c r="AS88" s="390"/>
      <c r="AT88" s="390"/>
      <c r="AU88" s="390"/>
      <c r="AV88" s="390"/>
      <c r="AW88" s="390"/>
      <c r="AX88" s="390"/>
      <c r="AY88" s="390"/>
      <c r="AZ88" s="738">
        <f>BJ22</f>
        <v>1081.7367216500197</v>
      </c>
      <c r="BA88" s="726"/>
      <c r="BB88" s="726"/>
      <c r="BC88" s="726"/>
      <c r="BD88" s="726"/>
      <c r="BE88" s="739">
        <v>15</v>
      </c>
      <c r="BF88" s="726"/>
      <c r="BG88" s="726"/>
      <c r="BH88" s="726"/>
      <c r="BI88" s="726"/>
      <c r="BJ88" s="738">
        <f>AZ88*BE88</f>
        <v>16226.050824750295</v>
      </c>
      <c r="BK88" s="726"/>
      <c r="BL88" s="726"/>
      <c r="BM88" s="726"/>
      <c r="BN88" s="726"/>
      <c r="BO88" s="726" t="s">
        <v>443</v>
      </c>
      <c r="BP88" s="726"/>
      <c r="BQ88" s="726"/>
      <c r="BR88" s="726"/>
      <c r="BS88" s="726"/>
      <c r="BT88" s="726"/>
      <c r="BU88" s="726"/>
      <c r="BV88" s="726"/>
      <c r="BW88" s="726"/>
      <c r="BX88" s="726"/>
      <c r="BY88" s="726"/>
      <c r="BZ88" s="726"/>
      <c r="CA88" s="726"/>
      <c r="CB88" s="726"/>
      <c r="CC88" s="726"/>
      <c r="CD88" s="726"/>
      <c r="CE88" s="720"/>
      <c r="CF88" s="726"/>
      <c r="CG88" s="726"/>
      <c r="CH88" s="734"/>
    </row>
    <row r="89" spans="2:86">
      <c r="B89" s="737" t="s">
        <v>245</v>
      </c>
      <c r="C89" s="390"/>
      <c r="D89" s="390"/>
      <c r="E89" s="390"/>
      <c r="F89" s="390"/>
      <c r="G89" s="390"/>
      <c r="H89" s="390"/>
      <c r="I89" s="390"/>
      <c r="J89" s="390"/>
      <c r="K89" s="390"/>
      <c r="L89" s="390"/>
      <c r="M89" s="390"/>
      <c r="N89" s="390"/>
      <c r="O89" s="390"/>
      <c r="P89" s="390"/>
      <c r="Q89" s="390"/>
      <c r="R89" s="390"/>
      <c r="S89" s="390"/>
      <c r="T89" s="390"/>
      <c r="U89" s="390"/>
      <c r="V89" s="390"/>
      <c r="W89" s="390"/>
      <c r="X89" s="390"/>
      <c r="Y89" s="390"/>
      <c r="Z89" s="390"/>
      <c r="AA89" s="390"/>
      <c r="AB89" s="390"/>
      <c r="AC89" s="390"/>
      <c r="AD89" s="390"/>
      <c r="AE89" s="390"/>
      <c r="AF89" s="390"/>
      <c r="AG89" s="390"/>
      <c r="AH89" s="390"/>
      <c r="AI89" s="390"/>
      <c r="AJ89" s="390"/>
      <c r="AK89" s="390"/>
      <c r="AL89" s="390"/>
      <c r="AM89" s="390"/>
      <c r="AN89" s="390"/>
      <c r="AO89" s="390"/>
      <c r="AP89" s="390"/>
      <c r="AQ89" s="390"/>
      <c r="AR89" s="390"/>
      <c r="AS89" s="390"/>
      <c r="AT89" s="390"/>
      <c r="AU89" s="390"/>
      <c r="AV89" s="390"/>
      <c r="AW89" s="390"/>
      <c r="AX89" s="390"/>
      <c r="AY89" s="390"/>
      <c r="AZ89" s="738">
        <f>BJ31</f>
        <v>1230.3508968306246</v>
      </c>
      <c r="BA89" s="726"/>
      <c r="BB89" s="726"/>
      <c r="BC89" s="726"/>
      <c r="BD89" s="726"/>
      <c r="BE89" s="739">
        <v>12</v>
      </c>
      <c r="BF89" s="726"/>
      <c r="BG89" s="726"/>
      <c r="BH89" s="726"/>
      <c r="BI89" s="726"/>
      <c r="BJ89" s="738">
        <f t="shared" ref="BJ89:BJ93" si="6">AZ89*BE89</f>
        <v>14764.210761967495</v>
      </c>
      <c r="BK89" s="726"/>
      <c r="BL89" s="726"/>
      <c r="BM89" s="726"/>
      <c r="BN89" s="726"/>
      <c r="BO89" s="726" t="s">
        <v>246</v>
      </c>
      <c r="BP89" s="726"/>
      <c r="BQ89" s="726"/>
      <c r="BR89" s="726"/>
      <c r="BS89" s="726"/>
      <c r="BT89" s="726"/>
      <c r="BU89" s="726"/>
      <c r="BV89" s="726"/>
      <c r="BW89" s="726"/>
      <c r="BX89" s="726"/>
      <c r="BY89" s="726"/>
      <c r="BZ89" s="726"/>
      <c r="CA89" s="726"/>
      <c r="CB89" s="726"/>
      <c r="CC89" s="726"/>
      <c r="CD89" s="726"/>
      <c r="CE89" s="720"/>
      <c r="CF89" s="726"/>
      <c r="CG89" s="726"/>
      <c r="CH89" s="734"/>
    </row>
    <row r="90" spans="2:86">
      <c r="B90" s="737" t="s">
        <v>247</v>
      </c>
      <c r="C90" s="390"/>
      <c r="D90" s="390"/>
      <c r="E90" s="390"/>
      <c r="F90" s="390"/>
      <c r="G90" s="390"/>
      <c r="H90" s="390"/>
      <c r="I90" s="390"/>
      <c r="J90" s="390"/>
      <c r="K90" s="390"/>
      <c r="L90" s="390"/>
      <c r="M90" s="390"/>
      <c r="N90" s="390"/>
      <c r="O90" s="390"/>
      <c r="P90" s="390"/>
      <c r="Q90" s="390"/>
      <c r="R90" s="390"/>
      <c r="S90" s="390"/>
      <c r="T90" s="390"/>
      <c r="U90" s="390"/>
      <c r="V90" s="390"/>
      <c r="W90" s="390"/>
      <c r="X90" s="390"/>
      <c r="Y90" s="390"/>
      <c r="Z90" s="390"/>
      <c r="AA90" s="390"/>
      <c r="AB90" s="390"/>
      <c r="AC90" s="390"/>
      <c r="AD90" s="390"/>
      <c r="AE90" s="390"/>
      <c r="AF90" s="390"/>
      <c r="AG90" s="390"/>
      <c r="AH90" s="390"/>
      <c r="AI90" s="390"/>
      <c r="AJ90" s="390"/>
      <c r="AK90" s="390"/>
      <c r="AL90" s="390"/>
      <c r="AM90" s="390"/>
      <c r="AN90" s="390"/>
      <c r="AO90" s="390"/>
      <c r="AP90" s="390"/>
      <c r="AQ90" s="390"/>
      <c r="AR90" s="390"/>
      <c r="AS90" s="390"/>
      <c r="AT90" s="390"/>
      <c r="AU90" s="390"/>
      <c r="AV90" s="390"/>
      <c r="AW90" s="390"/>
      <c r="AX90" s="390"/>
      <c r="AY90" s="390"/>
      <c r="AZ90" s="738">
        <f>BJ39</f>
        <v>742.7802422417775</v>
      </c>
      <c r="BA90" s="726"/>
      <c r="BB90" s="726"/>
      <c r="BC90" s="726"/>
      <c r="BD90" s="726"/>
      <c r="BE90" s="739">
        <v>10</v>
      </c>
      <c r="BF90" s="726"/>
      <c r="BG90" s="726"/>
      <c r="BH90" s="726"/>
      <c r="BI90" s="726"/>
      <c r="BJ90" s="738">
        <f t="shared" si="6"/>
        <v>7427.8024224177752</v>
      </c>
      <c r="BK90" s="726"/>
      <c r="BL90" s="726"/>
      <c r="BM90" s="726"/>
      <c r="BN90" s="726"/>
      <c r="BO90" s="726" t="s">
        <v>444</v>
      </c>
      <c r="BP90" s="726"/>
      <c r="BQ90" s="726"/>
      <c r="BR90" s="726"/>
      <c r="BS90" s="726"/>
      <c r="BT90" s="726"/>
      <c r="BU90" s="726"/>
      <c r="BV90" s="726"/>
      <c r="BW90" s="726"/>
      <c r="BX90" s="726"/>
      <c r="BY90" s="726"/>
      <c r="BZ90" s="726"/>
      <c r="CA90" s="726"/>
      <c r="CB90" s="726"/>
      <c r="CC90" s="726"/>
      <c r="CD90" s="726"/>
      <c r="CE90" s="720"/>
      <c r="CF90" s="726"/>
      <c r="CG90" s="726"/>
      <c r="CH90" s="734"/>
    </row>
    <row r="91" spans="2:86">
      <c r="B91" s="737" t="s">
        <v>248</v>
      </c>
      <c r="C91" s="390"/>
      <c r="D91" s="390"/>
      <c r="E91" s="390"/>
      <c r="F91" s="390"/>
      <c r="G91" s="390"/>
      <c r="H91" s="390"/>
      <c r="I91" s="390"/>
      <c r="J91" s="390"/>
      <c r="K91" s="390"/>
      <c r="L91" s="390"/>
      <c r="M91" s="390"/>
      <c r="N91" s="390"/>
      <c r="O91" s="390"/>
      <c r="P91" s="390"/>
      <c r="Q91" s="390"/>
      <c r="R91" s="390"/>
      <c r="S91" s="390"/>
      <c r="T91" s="390"/>
      <c r="U91" s="390"/>
      <c r="V91" s="390"/>
      <c r="W91" s="390"/>
      <c r="X91" s="390"/>
      <c r="Y91" s="390"/>
      <c r="Z91" s="390"/>
      <c r="AA91" s="390"/>
      <c r="AB91" s="390"/>
      <c r="AC91" s="390"/>
      <c r="AD91" s="390"/>
      <c r="AE91" s="390"/>
      <c r="AF91" s="390"/>
      <c r="AG91" s="390"/>
      <c r="AH91" s="390"/>
      <c r="AI91" s="390"/>
      <c r="AJ91" s="390"/>
      <c r="AK91" s="390"/>
      <c r="AL91" s="390"/>
      <c r="AM91" s="390"/>
      <c r="AN91" s="390"/>
      <c r="AO91" s="390"/>
      <c r="AP91" s="390"/>
      <c r="AQ91" s="390"/>
      <c r="AR91" s="390"/>
      <c r="AS91" s="390"/>
      <c r="AT91" s="390"/>
      <c r="AU91" s="390"/>
      <c r="AV91" s="390"/>
      <c r="AW91" s="390"/>
      <c r="AX91" s="390"/>
      <c r="AY91" s="390"/>
      <c r="AZ91" s="738">
        <f>BJ47</f>
        <v>889.7754991346095</v>
      </c>
      <c r="BA91" s="726"/>
      <c r="BB91" s="726"/>
      <c r="BC91" s="726"/>
      <c r="BD91" s="726"/>
      <c r="BE91" s="739">
        <v>6</v>
      </c>
      <c r="BF91" s="726"/>
      <c r="BG91" s="726"/>
      <c r="BH91" s="726"/>
      <c r="BI91" s="726"/>
      <c r="BJ91" s="738">
        <f t="shared" si="6"/>
        <v>5338.6529948076568</v>
      </c>
      <c r="BK91" s="726"/>
      <c r="BL91" s="726"/>
      <c r="BM91" s="726"/>
      <c r="BN91" s="726"/>
      <c r="BO91" s="726"/>
      <c r="BP91" s="726"/>
      <c r="BQ91" s="726"/>
      <c r="BR91" s="726"/>
      <c r="BS91" s="726"/>
      <c r="BT91" s="726"/>
      <c r="BU91" s="726"/>
      <c r="BV91" s="726"/>
      <c r="BW91" s="726"/>
      <c r="BX91" s="726"/>
      <c r="BY91" s="726"/>
      <c r="BZ91" s="726"/>
      <c r="CA91" s="726"/>
      <c r="CB91" s="726"/>
      <c r="CC91" s="726"/>
      <c r="CD91" s="726"/>
      <c r="CE91" s="720"/>
      <c r="CF91" s="726"/>
      <c r="CG91" s="726"/>
      <c r="CH91" s="734"/>
    </row>
    <row r="92" spans="2:86">
      <c r="B92" s="737" t="s">
        <v>196</v>
      </c>
      <c r="C92" s="390"/>
      <c r="D92" s="390"/>
      <c r="E92" s="390"/>
      <c r="F92" s="390"/>
      <c r="G92" s="390"/>
      <c r="H92" s="390"/>
      <c r="I92" s="390"/>
      <c r="J92" s="390"/>
      <c r="K92" s="390"/>
      <c r="L92" s="390"/>
      <c r="M92" s="390"/>
      <c r="N92" s="390"/>
      <c r="O92" s="390"/>
      <c r="P92" s="390"/>
      <c r="Q92" s="390"/>
      <c r="R92" s="390"/>
      <c r="S92" s="390"/>
      <c r="T92" s="390"/>
      <c r="U92" s="390"/>
      <c r="V92" s="390"/>
      <c r="W92" s="390"/>
      <c r="X92" s="390"/>
      <c r="Y92" s="390"/>
      <c r="Z92" s="390"/>
      <c r="AA92" s="390"/>
      <c r="AB92" s="390"/>
      <c r="AC92" s="390"/>
      <c r="AD92" s="390"/>
      <c r="AE92" s="390"/>
      <c r="AF92" s="390"/>
      <c r="AG92" s="390"/>
      <c r="AH92" s="390"/>
      <c r="AI92" s="390"/>
      <c r="AJ92" s="390"/>
      <c r="AK92" s="390"/>
      <c r="AL92" s="390"/>
      <c r="AM92" s="390"/>
      <c r="AN92" s="390"/>
      <c r="AO92" s="390"/>
      <c r="AP92" s="390"/>
      <c r="AQ92" s="390"/>
      <c r="AR92" s="390"/>
      <c r="AS92" s="390"/>
      <c r="AT92" s="390"/>
      <c r="AU92" s="390"/>
      <c r="AV92" s="390"/>
      <c r="AW92" s="390"/>
      <c r="AX92" s="390"/>
      <c r="AY92" s="390"/>
      <c r="AZ92" s="738">
        <f>BJ55</f>
        <v>685.809116579136</v>
      </c>
      <c r="BA92" s="726"/>
      <c r="BB92" s="726"/>
      <c r="BC92" s="726"/>
      <c r="BD92" s="726"/>
      <c r="BE92" s="739">
        <v>10</v>
      </c>
      <c r="BF92" s="726"/>
      <c r="BG92" s="726"/>
      <c r="BH92" s="726"/>
      <c r="BI92" s="726"/>
      <c r="BJ92" s="738">
        <f t="shared" si="6"/>
        <v>6858.0911657913603</v>
      </c>
      <c r="BK92" s="726"/>
      <c r="BL92" s="726"/>
      <c r="BM92" s="726"/>
      <c r="BN92" s="726"/>
      <c r="BO92" s="726" t="s">
        <v>249</v>
      </c>
      <c r="BP92" s="726"/>
      <c r="BQ92" s="726"/>
      <c r="BR92" s="726"/>
      <c r="BS92" s="726"/>
      <c r="BT92" s="726"/>
      <c r="BU92" s="726"/>
      <c r="BV92" s="726"/>
      <c r="BW92" s="726"/>
      <c r="BX92" s="726"/>
      <c r="BY92" s="726"/>
      <c r="BZ92" s="726"/>
      <c r="CA92" s="726"/>
      <c r="CB92" s="726"/>
      <c r="CC92" s="726"/>
      <c r="CD92" s="726"/>
      <c r="CE92" s="720"/>
      <c r="CF92" s="726"/>
      <c r="CG92" s="726"/>
      <c r="CH92" s="734"/>
    </row>
    <row r="93" spans="2:86" ht="15">
      <c r="B93" s="737" t="s">
        <v>250</v>
      </c>
      <c r="C93" s="390"/>
      <c r="D93" s="390"/>
      <c r="E93" s="390"/>
      <c r="F93" s="390"/>
      <c r="G93" s="390"/>
      <c r="H93" s="390"/>
      <c r="I93" s="390"/>
      <c r="J93" s="390"/>
      <c r="K93" s="390"/>
      <c r="L93" s="390"/>
      <c r="M93" s="390"/>
      <c r="N93" s="390"/>
      <c r="O93" s="390"/>
      <c r="P93" s="390"/>
      <c r="Q93" s="390"/>
      <c r="R93" s="390"/>
      <c r="S93" s="390"/>
      <c r="T93" s="390"/>
      <c r="U93" s="390"/>
      <c r="V93" s="390"/>
      <c r="W93" s="390"/>
      <c r="X93" s="390"/>
      <c r="Y93" s="390"/>
      <c r="Z93" s="390"/>
      <c r="AA93" s="390"/>
      <c r="AB93" s="390"/>
      <c r="AC93" s="390"/>
      <c r="AD93" s="390"/>
      <c r="AE93" s="390"/>
      <c r="AF93" s="390"/>
      <c r="AG93" s="390"/>
      <c r="AH93" s="390"/>
      <c r="AI93" s="390"/>
      <c r="AJ93" s="390"/>
      <c r="AK93" s="390"/>
      <c r="AL93" s="390"/>
      <c r="AM93" s="390"/>
      <c r="AN93" s="390"/>
      <c r="AO93" s="390"/>
      <c r="AP93" s="390"/>
      <c r="AQ93" s="390"/>
      <c r="AR93" s="390"/>
      <c r="AS93" s="390"/>
      <c r="AT93" s="390"/>
      <c r="AU93" s="390"/>
      <c r="AV93" s="390"/>
      <c r="AW93" s="390"/>
      <c r="AX93" s="390"/>
      <c r="AY93" s="390"/>
      <c r="AZ93" s="738">
        <f>BJ70+BJ78</f>
        <v>759.80700256383204</v>
      </c>
      <c r="BA93" s="726"/>
      <c r="BB93" s="726"/>
      <c r="BC93" s="726"/>
      <c r="BD93" s="726"/>
      <c r="BE93" s="739">
        <v>12</v>
      </c>
      <c r="BF93" s="726"/>
      <c r="BG93" s="726"/>
      <c r="BH93" s="726"/>
      <c r="BI93" s="726"/>
      <c r="BJ93" s="740">
        <f t="shared" si="6"/>
        <v>9117.6840307659841</v>
      </c>
      <c r="BK93" s="726"/>
      <c r="BL93" s="726"/>
      <c r="BM93" s="726"/>
      <c r="BN93" s="726"/>
      <c r="BO93" s="726" t="s">
        <v>251</v>
      </c>
      <c r="BP93" s="726"/>
      <c r="BQ93" s="726"/>
      <c r="BR93" s="726"/>
      <c r="BS93" s="726"/>
      <c r="BT93" s="726"/>
      <c r="BU93" s="726"/>
      <c r="BV93" s="726"/>
      <c r="BW93" s="726"/>
      <c r="BX93" s="726"/>
      <c r="BY93" s="726"/>
      <c r="BZ93" s="726"/>
      <c r="CA93" s="726"/>
      <c r="CB93" s="726"/>
      <c r="CC93" s="726"/>
      <c r="CD93" s="726"/>
      <c r="CE93" s="720"/>
      <c r="CF93" s="726"/>
      <c r="CG93" s="726"/>
      <c r="CH93" s="734"/>
    </row>
    <row r="94" spans="2:86">
      <c r="B94" s="737" t="s">
        <v>252</v>
      </c>
      <c r="C94" s="741"/>
      <c r="D94" s="741"/>
      <c r="E94" s="741"/>
      <c r="F94" s="741"/>
      <c r="G94" s="741"/>
      <c r="H94" s="741"/>
      <c r="I94" s="741"/>
      <c r="J94" s="741"/>
      <c r="K94" s="741"/>
      <c r="L94" s="741"/>
      <c r="M94" s="741"/>
      <c r="N94" s="741"/>
      <c r="O94" s="741"/>
      <c r="P94" s="741"/>
      <c r="Q94" s="741"/>
      <c r="R94" s="741"/>
      <c r="S94" s="741"/>
      <c r="T94" s="741"/>
      <c r="U94" s="741"/>
      <c r="V94" s="741"/>
      <c r="W94" s="741"/>
      <c r="X94" s="741"/>
      <c r="Y94" s="741"/>
      <c r="Z94" s="741"/>
      <c r="AA94" s="741"/>
      <c r="AB94" s="741"/>
      <c r="AC94" s="741"/>
      <c r="AD94" s="741"/>
      <c r="AE94" s="741"/>
      <c r="AF94" s="741"/>
      <c r="AG94" s="741"/>
      <c r="AH94" s="741"/>
      <c r="AI94" s="741"/>
      <c r="AJ94" s="741"/>
      <c r="AK94" s="741"/>
      <c r="AL94" s="741"/>
      <c r="AM94" s="741"/>
      <c r="AN94" s="741"/>
      <c r="AO94" s="741"/>
      <c r="AP94" s="741"/>
      <c r="AQ94" s="741"/>
      <c r="AR94" s="741"/>
      <c r="AS94" s="741"/>
      <c r="AT94" s="741"/>
      <c r="AU94" s="741"/>
      <c r="AV94" s="741"/>
      <c r="AW94" s="741"/>
      <c r="AX94" s="741"/>
      <c r="AY94" s="741"/>
      <c r="AZ94" s="742">
        <f>SUM(AZ88:AZ93)</f>
        <v>5390.2594789999994</v>
      </c>
      <c r="BA94" s="726"/>
      <c r="BB94" s="726"/>
      <c r="BC94" s="726"/>
      <c r="BD94" s="726"/>
      <c r="BE94" s="743">
        <f>BJ94/AZ94</f>
        <v>11.081561552502874</v>
      </c>
      <c r="BF94" s="726"/>
      <c r="BG94" s="726"/>
      <c r="BH94" s="726"/>
      <c r="BI94" s="726"/>
      <c r="BJ94" s="742">
        <f>SUM(BJ88:BJ93)</f>
        <v>59732.492200500565</v>
      </c>
      <c r="BK94" s="726"/>
      <c r="BL94" s="726"/>
      <c r="BM94" s="726"/>
      <c r="BN94" s="726"/>
      <c r="BO94" s="726"/>
      <c r="BP94" s="726"/>
      <c r="BQ94" s="726"/>
      <c r="BR94" s="726"/>
      <c r="BS94" s="726"/>
      <c r="BT94" s="726"/>
      <c r="BU94" s="726"/>
      <c r="BV94" s="726"/>
      <c r="BW94" s="726"/>
      <c r="BX94" s="726"/>
      <c r="BY94" s="726"/>
      <c r="BZ94" s="726"/>
      <c r="CA94" s="726"/>
      <c r="CB94" s="726"/>
      <c r="CC94" s="726"/>
      <c r="CD94" s="726"/>
      <c r="CE94" s="720"/>
      <c r="CF94" s="726"/>
      <c r="CG94" s="726"/>
      <c r="CH94" s="734"/>
    </row>
    <row r="95" spans="2:86">
      <c r="B95" s="744"/>
      <c r="C95" s="390"/>
      <c r="D95" s="390"/>
      <c r="E95" s="390"/>
      <c r="F95" s="390"/>
      <c r="G95" s="390"/>
      <c r="H95" s="390"/>
      <c r="I95" s="390"/>
      <c r="J95" s="390"/>
      <c r="K95" s="390"/>
      <c r="L95" s="390"/>
      <c r="M95" s="390"/>
      <c r="N95" s="390"/>
      <c r="O95" s="390"/>
      <c r="P95" s="390"/>
      <c r="Q95" s="390"/>
      <c r="R95" s="390"/>
      <c r="S95" s="390"/>
      <c r="T95" s="390"/>
      <c r="U95" s="390"/>
      <c r="V95" s="390"/>
      <c r="W95" s="390"/>
      <c r="X95" s="390"/>
      <c r="Y95" s="390"/>
      <c r="Z95" s="390"/>
      <c r="AA95" s="390"/>
      <c r="AB95" s="390"/>
      <c r="AC95" s="390"/>
      <c r="AD95" s="390"/>
      <c r="AE95" s="390"/>
      <c r="AF95" s="390"/>
      <c r="AG95" s="390"/>
      <c r="AH95" s="390"/>
      <c r="AI95" s="390"/>
      <c r="AJ95" s="390"/>
      <c r="AK95" s="390"/>
      <c r="AL95" s="390"/>
      <c r="AM95" s="390"/>
      <c r="AN95" s="390"/>
      <c r="AO95" s="390"/>
      <c r="AP95" s="390"/>
      <c r="AQ95" s="390"/>
      <c r="AR95" s="390"/>
      <c r="AS95" s="390"/>
      <c r="AT95" s="390"/>
      <c r="AU95" s="390"/>
      <c r="AV95" s="390"/>
      <c r="AW95" s="390"/>
      <c r="AX95" s="390"/>
      <c r="AY95" s="390"/>
      <c r="AZ95" s="390"/>
      <c r="BA95" s="390"/>
      <c r="BB95" s="390"/>
      <c r="BC95" s="390"/>
      <c r="BD95" s="390"/>
      <c r="BE95" s="390"/>
      <c r="BF95" s="390"/>
      <c r="BG95" s="390"/>
      <c r="BH95" s="390"/>
      <c r="BI95" s="390"/>
      <c r="BJ95" s="390"/>
      <c r="BK95" s="390"/>
      <c r="BL95" s="390"/>
      <c r="BM95" s="390"/>
      <c r="BN95" s="390"/>
      <c r="BO95" s="390"/>
      <c r="BP95" s="726"/>
      <c r="BQ95" s="726"/>
      <c r="BR95" s="726"/>
      <c r="BS95" s="726"/>
      <c r="BT95" s="726"/>
      <c r="BU95" s="726"/>
      <c r="BV95" s="726"/>
      <c r="BW95" s="726"/>
      <c r="BX95" s="726"/>
      <c r="BY95" s="726"/>
      <c r="BZ95" s="726"/>
      <c r="CA95" s="726"/>
      <c r="CB95" s="726"/>
      <c r="CC95" s="726"/>
      <c r="CD95" s="726"/>
      <c r="CE95" s="720"/>
      <c r="CF95" s="726"/>
      <c r="CG95" s="726"/>
      <c r="CH95" s="734"/>
    </row>
    <row r="96" spans="2:86">
      <c r="B96" s="744" t="s">
        <v>253</v>
      </c>
      <c r="C96" s="390"/>
      <c r="D96" s="390"/>
      <c r="E96" s="390"/>
      <c r="F96" s="390"/>
      <c r="G96" s="390"/>
      <c r="H96" s="390"/>
      <c r="I96" s="390"/>
      <c r="J96" s="390"/>
      <c r="K96" s="390"/>
      <c r="L96" s="390"/>
      <c r="M96" s="390"/>
      <c r="N96" s="390"/>
      <c r="O96" s="390"/>
      <c r="P96" s="390"/>
      <c r="Q96" s="390"/>
      <c r="R96" s="390"/>
      <c r="S96" s="390"/>
      <c r="T96" s="390"/>
      <c r="U96" s="390"/>
      <c r="V96" s="390"/>
      <c r="W96" s="390"/>
      <c r="X96" s="390"/>
      <c r="Y96" s="390"/>
      <c r="Z96" s="390"/>
      <c r="AA96" s="390"/>
      <c r="AB96" s="390"/>
      <c r="AC96" s="390"/>
      <c r="AD96" s="390"/>
      <c r="AE96" s="390"/>
      <c r="AF96" s="390"/>
      <c r="AG96" s="390"/>
      <c r="AH96" s="390"/>
      <c r="AI96" s="390"/>
      <c r="AJ96" s="390"/>
      <c r="AK96" s="390"/>
      <c r="AL96" s="390"/>
      <c r="AM96" s="390"/>
      <c r="AN96" s="390"/>
      <c r="AO96" s="390"/>
      <c r="AP96" s="390"/>
      <c r="AQ96" s="390"/>
      <c r="AR96" s="390"/>
      <c r="AS96" s="390"/>
      <c r="AT96" s="390"/>
      <c r="AU96" s="390"/>
      <c r="AV96" s="390"/>
      <c r="AW96" s="390"/>
      <c r="AX96" s="390"/>
      <c r="AY96" s="390"/>
      <c r="AZ96" s="390"/>
      <c r="BA96" s="390"/>
      <c r="BB96" s="390"/>
      <c r="BC96" s="390"/>
      <c r="BD96" s="390"/>
      <c r="BE96" s="390"/>
      <c r="BF96" s="390"/>
      <c r="BG96" s="390"/>
      <c r="BH96" s="390"/>
      <c r="BI96" s="390"/>
      <c r="BJ96" s="738">
        <f>'BS &amp; CF'!AQ84</f>
        <v>30542.018888888884</v>
      </c>
      <c r="BK96" s="390"/>
      <c r="BL96" s="390"/>
      <c r="BM96" s="390"/>
      <c r="BN96" s="390"/>
      <c r="BO96" s="390"/>
      <c r="BP96" s="726"/>
      <c r="BQ96" s="726"/>
      <c r="BR96" s="726"/>
      <c r="BS96" s="726"/>
      <c r="BT96" s="726"/>
      <c r="BU96" s="726"/>
      <c r="BV96" s="726"/>
      <c r="BW96" s="726"/>
      <c r="BX96" s="726"/>
      <c r="BY96" s="726"/>
      <c r="BZ96" s="726"/>
      <c r="CA96" s="726"/>
      <c r="CB96" s="726"/>
      <c r="CC96" s="726"/>
      <c r="CD96" s="726"/>
      <c r="CE96" s="720"/>
      <c r="CF96" s="726"/>
      <c r="CG96" s="726"/>
      <c r="CH96" s="734"/>
    </row>
    <row r="97" spans="2:86">
      <c r="B97" s="737" t="s">
        <v>254</v>
      </c>
      <c r="C97" s="390"/>
      <c r="D97" s="390"/>
      <c r="E97" s="390"/>
      <c r="F97" s="390"/>
      <c r="G97" s="390"/>
      <c r="H97" s="390"/>
      <c r="I97" s="390"/>
      <c r="J97" s="390"/>
      <c r="K97" s="390"/>
      <c r="L97" s="390"/>
      <c r="M97" s="390"/>
      <c r="N97" s="390"/>
      <c r="O97" s="390"/>
      <c r="P97" s="390"/>
      <c r="Q97" s="390"/>
      <c r="R97" s="390"/>
      <c r="S97" s="390"/>
      <c r="T97" s="390"/>
      <c r="U97" s="390"/>
      <c r="V97" s="390"/>
      <c r="W97" s="390"/>
      <c r="X97" s="390"/>
      <c r="Y97" s="390"/>
      <c r="Z97" s="390"/>
      <c r="AA97" s="390"/>
      <c r="AB97" s="390"/>
      <c r="AC97" s="390"/>
      <c r="AD97" s="390"/>
      <c r="AE97" s="390"/>
      <c r="AF97" s="390"/>
      <c r="AG97" s="390"/>
      <c r="AH97" s="390"/>
      <c r="AI97" s="390"/>
      <c r="AJ97" s="390"/>
      <c r="AK97" s="390"/>
      <c r="AL97" s="390"/>
      <c r="AM97" s="390"/>
      <c r="AN97" s="390"/>
      <c r="AO97" s="390"/>
      <c r="AP97" s="390"/>
      <c r="AQ97" s="390"/>
      <c r="AR97" s="390"/>
      <c r="AS97" s="390"/>
      <c r="AT97" s="390"/>
      <c r="AU97" s="390"/>
      <c r="AV97" s="390"/>
      <c r="AW97" s="390"/>
      <c r="AX97" s="390"/>
      <c r="AY97" s="390"/>
      <c r="AZ97" s="390"/>
      <c r="BA97" s="390"/>
      <c r="BB97" s="390"/>
      <c r="BC97" s="390"/>
      <c r="BD97" s="390"/>
      <c r="BE97" s="390"/>
      <c r="BF97" s="390"/>
      <c r="BG97" s="390"/>
      <c r="BH97" s="390"/>
      <c r="BI97" s="390"/>
      <c r="BJ97" s="742">
        <f>BJ94-BJ96</f>
        <v>29190.47331161168</v>
      </c>
      <c r="BK97" s="390"/>
      <c r="BL97" s="390"/>
      <c r="BM97" s="390"/>
      <c r="BN97" s="390"/>
      <c r="BO97" s="390"/>
      <c r="BP97" s="726"/>
      <c r="BQ97" s="726"/>
      <c r="BR97" s="726"/>
      <c r="BS97" s="726"/>
      <c r="BT97" s="726"/>
      <c r="BU97" s="726"/>
      <c r="BV97" s="726"/>
      <c r="BW97" s="726"/>
      <c r="BX97" s="726"/>
      <c r="BY97" s="726"/>
      <c r="BZ97" s="726"/>
      <c r="CA97" s="726"/>
      <c r="CB97" s="726"/>
      <c r="CC97" s="726"/>
      <c r="CD97" s="726"/>
      <c r="CE97" s="720"/>
      <c r="CF97" s="726"/>
      <c r="CG97" s="726"/>
      <c r="CH97" s="734"/>
    </row>
    <row r="98" spans="2:86">
      <c r="B98" s="744" t="s">
        <v>255</v>
      </c>
      <c r="C98" s="390"/>
      <c r="D98" s="390"/>
      <c r="E98" s="390"/>
      <c r="F98" s="390"/>
      <c r="G98" s="390"/>
      <c r="H98" s="390"/>
      <c r="I98" s="390"/>
      <c r="J98" s="390"/>
      <c r="K98" s="390"/>
      <c r="L98" s="390"/>
      <c r="M98" s="390"/>
      <c r="N98" s="390"/>
      <c r="O98" s="390"/>
      <c r="P98" s="390"/>
      <c r="Q98" s="390"/>
      <c r="R98" s="390"/>
      <c r="S98" s="390"/>
      <c r="T98" s="390"/>
      <c r="U98" s="390"/>
      <c r="V98" s="390"/>
      <c r="W98" s="390"/>
      <c r="X98" s="390"/>
      <c r="Y98" s="390"/>
      <c r="Z98" s="390"/>
      <c r="AA98" s="390"/>
      <c r="AB98" s="390"/>
      <c r="AC98" s="390"/>
      <c r="AD98" s="390"/>
      <c r="AE98" s="390"/>
      <c r="AF98" s="390"/>
      <c r="AG98" s="390"/>
      <c r="AH98" s="390"/>
      <c r="AI98" s="390"/>
      <c r="AJ98" s="390"/>
      <c r="AK98" s="390"/>
      <c r="AL98" s="390"/>
      <c r="AM98" s="390"/>
      <c r="AN98" s="390"/>
      <c r="AO98" s="390"/>
      <c r="AP98" s="390"/>
      <c r="AQ98" s="390"/>
      <c r="AR98" s="390"/>
      <c r="AS98" s="390"/>
      <c r="AT98" s="390"/>
      <c r="AU98" s="390"/>
      <c r="AV98" s="390"/>
      <c r="AW98" s="390"/>
      <c r="AX98" s="390"/>
      <c r="AY98" s="390"/>
      <c r="AZ98" s="390"/>
      <c r="BA98" s="390"/>
      <c r="BB98" s="390"/>
      <c r="BC98" s="390"/>
      <c r="BD98" s="390"/>
      <c r="BE98" s="390"/>
      <c r="BF98" s="390"/>
      <c r="BG98" s="390"/>
      <c r="BH98" s="390"/>
      <c r="BI98" s="390"/>
      <c r="BJ98" s="738">
        <f>IS!BD33</f>
        <v>349.9</v>
      </c>
      <c r="BK98" s="390"/>
      <c r="BL98" s="390"/>
      <c r="BM98" s="390"/>
      <c r="BN98" s="390"/>
      <c r="BO98" s="390"/>
      <c r="BP98" s="726"/>
      <c r="BQ98" s="726"/>
      <c r="BR98" s="726"/>
      <c r="BS98" s="726"/>
      <c r="BT98" s="726"/>
      <c r="BU98" s="726"/>
      <c r="BV98" s="726"/>
      <c r="BW98" s="726"/>
      <c r="BX98" s="726"/>
      <c r="BY98" s="726"/>
      <c r="BZ98" s="726"/>
      <c r="CA98" s="726"/>
      <c r="CB98" s="726"/>
      <c r="CC98" s="726"/>
      <c r="CD98" s="726"/>
      <c r="CE98" s="720"/>
      <c r="CF98" s="726"/>
      <c r="CG98" s="726"/>
      <c r="CH98" s="734"/>
    </row>
    <row r="99" spans="2:86" ht="13" thickBot="1">
      <c r="B99" s="745" t="s">
        <v>256</v>
      </c>
      <c r="C99" s="746"/>
      <c r="D99" s="746"/>
      <c r="E99" s="746"/>
      <c r="F99" s="746"/>
      <c r="G99" s="746"/>
      <c r="H99" s="746"/>
      <c r="I99" s="746"/>
      <c r="J99" s="746"/>
      <c r="K99" s="746"/>
      <c r="L99" s="746"/>
      <c r="M99" s="746"/>
      <c r="N99" s="746"/>
      <c r="O99" s="746"/>
      <c r="P99" s="746"/>
      <c r="Q99" s="746"/>
      <c r="R99" s="746"/>
      <c r="S99" s="746"/>
      <c r="T99" s="746"/>
      <c r="U99" s="746"/>
      <c r="V99" s="746"/>
      <c r="W99" s="746"/>
      <c r="X99" s="746"/>
      <c r="Y99" s="746"/>
      <c r="Z99" s="746"/>
      <c r="AA99" s="746"/>
      <c r="AB99" s="746"/>
      <c r="AC99" s="746"/>
      <c r="AD99" s="746"/>
      <c r="AE99" s="746"/>
      <c r="AF99" s="746"/>
      <c r="AG99" s="746"/>
      <c r="AH99" s="746"/>
      <c r="AI99" s="746"/>
      <c r="AJ99" s="746"/>
      <c r="AK99" s="746"/>
      <c r="AL99" s="746"/>
      <c r="AM99" s="746"/>
      <c r="AN99" s="746"/>
      <c r="AO99" s="746"/>
      <c r="AP99" s="746"/>
      <c r="AQ99" s="746"/>
      <c r="AR99" s="746"/>
      <c r="AS99" s="746"/>
      <c r="AT99" s="746"/>
      <c r="AU99" s="746"/>
      <c r="AV99" s="746"/>
      <c r="AW99" s="746"/>
      <c r="AX99" s="746"/>
      <c r="AY99" s="746"/>
      <c r="AZ99" s="746"/>
      <c r="BA99" s="746"/>
      <c r="BB99" s="746"/>
      <c r="BC99" s="746"/>
      <c r="BD99" s="746"/>
      <c r="BE99" s="746"/>
      <c r="BF99" s="746"/>
      <c r="BG99" s="746"/>
      <c r="BH99" s="746"/>
      <c r="BI99" s="746"/>
      <c r="BJ99" s="747">
        <f>BJ97/BJ98</f>
        <v>83.425188086915355</v>
      </c>
      <c r="BK99" s="746"/>
      <c r="BL99" s="746"/>
      <c r="BM99" s="746"/>
      <c r="BN99" s="746"/>
      <c r="BO99" s="746"/>
      <c r="BP99" s="748"/>
      <c r="BQ99" s="748"/>
      <c r="BR99" s="748"/>
      <c r="BS99" s="748"/>
      <c r="BT99" s="748"/>
      <c r="BU99" s="748"/>
      <c r="BV99" s="748"/>
      <c r="BW99" s="748"/>
      <c r="BX99" s="748"/>
      <c r="BY99" s="748"/>
      <c r="BZ99" s="748"/>
      <c r="CA99" s="748"/>
      <c r="CB99" s="748"/>
      <c r="CC99" s="748"/>
      <c r="CD99" s="748"/>
      <c r="CE99" s="749"/>
      <c r="CF99" s="748"/>
      <c r="CG99" s="748"/>
      <c r="CH99" s="750"/>
    </row>
    <row r="100" spans="2:86" ht="13" thickBot="1">
      <c r="B100" s="198"/>
      <c r="C100" s="197"/>
      <c r="D100" s="197"/>
      <c r="E100" s="197"/>
      <c r="F100" s="197"/>
      <c r="G100" s="197"/>
      <c r="H100" s="197"/>
      <c r="I100" s="197"/>
      <c r="J100" s="197"/>
      <c r="K100" s="197"/>
      <c r="L100" s="197"/>
      <c r="M100" s="197"/>
      <c r="N100" s="197"/>
      <c r="O100" s="197"/>
      <c r="P100" s="197"/>
      <c r="Q100" s="197"/>
      <c r="R100" s="197"/>
      <c r="S100" s="197"/>
      <c r="T100" s="197"/>
      <c r="U100" s="197"/>
      <c r="V100" s="197"/>
      <c r="W100" s="197"/>
      <c r="X100" s="197"/>
      <c r="Y100" s="197"/>
      <c r="Z100" s="197"/>
      <c r="AA100" s="197"/>
      <c r="AB100" s="197"/>
      <c r="AC100" s="197"/>
      <c r="AD100" s="197"/>
      <c r="AE100" s="197"/>
      <c r="AF100" s="197"/>
      <c r="AG100" s="197"/>
      <c r="AH100" s="197"/>
      <c r="AI100" s="197"/>
      <c r="AJ100" s="197"/>
      <c r="AK100" s="197"/>
      <c r="AL100" s="197"/>
      <c r="AM100" s="197"/>
      <c r="AN100" s="197"/>
      <c r="AO100" s="197"/>
      <c r="AP100" s="197"/>
      <c r="AQ100" s="197"/>
      <c r="AR100" s="197"/>
      <c r="AS100" s="197"/>
      <c r="AT100" s="197"/>
      <c r="AU100" s="197"/>
      <c r="AV100" s="197"/>
      <c r="AW100" s="197"/>
      <c r="AX100" s="197"/>
      <c r="AY100" s="197"/>
      <c r="AZ100" s="197"/>
      <c r="BA100" s="197"/>
      <c r="BB100" s="197"/>
      <c r="BC100" s="197"/>
      <c r="BD100" s="197"/>
      <c r="BE100" s="197"/>
      <c r="BF100" s="197"/>
      <c r="BG100" s="197"/>
      <c r="BH100" s="197"/>
      <c r="BI100" s="197"/>
      <c r="BJ100" s="197"/>
      <c r="BK100" s="197"/>
      <c r="BL100" s="197"/>
      <c r="BM100" s="197"/>
      <c r="BN100" s="197"/>
      <c r="BO100" s="197"/>
    </row>
    <row r="101" spans="2:86">
      <c r="B101" s="728" t="s">
        <v>257</v>
      </c>
      <c r="C101" s="729"/>
      <c r="D101" s="729"/>
      <c r="E101" s="729"/>
      <c r="F101" s="729"/>
      <c r="G101" s="729"/>
      <c r="H101" s="729"/>
      <c r="I101" s="729"/>
      <c r="J101" s="729"/>
      <c r="K101" s="729"/>
      <c r="L101" s="729"/>
      <c r="M101" s="729"/>
      <c r="N101" s="729"/>
      <c r="O101" s="729"/>
      <c r="P101" s="729"/>
      <c r="Q101" s="729"/>
      <c r="R101" s="729"/>
      <c r="S101" s="729"/>
      <c r="T101" s="729"/>
      <c r="U101" s="729"/>
      <c r="V101" s="729"/>
      <c r="W101" s="729"/>
      <c r="X101" s="729"/>
      <c r="Y101" s="729"/>
      <c r="Z101" s="729"/>
      <c r="AA101" s="729"/>
      <c r="AB101" s="729"/>
      <c r="AC101" s="729"/>
      <c r="AD101" s="729"/>
      <c r="AE101" s="729"/>
      <c r="AF101" s="729"/>
      <c r="AG101" s="729"/>
      <c r="AH101" s="729"/>
      <c r="AI101" s="729"/>
      <c r="AJ101" s="729"/>
      <c r="AK101" s="729"/>
      <c r="AL101" s="729"/>
      <c r="AM101" s="729"/>
      <c r="AN101" s="729"/>
      <c r="AO101" s="729"/>
      <c r="AP101" s="729"/>
      <c r="AQ101" s="729"/>
      <c r="AR101" s="729"/>
      <c r="AS101" s="729"/>
      <c r="AT101" s="729"/>
      <c r="AU101" s="729"/>
      <c r="AV101" s="729"/>
      <c r="AW101" s="729"/>
      <c r="AX101" s="729"/>
      <c r="AY101" s="729"/>
      <c r="AZ101" s="729"/>
      <c r="BA101" s="729"/>
      <c r="BB101" s="729"/>
      <c r="BC101" s="729"/>
      <c r="BD101" s="729"/>
      <c r="BE101" s="729"/>
      <c r="BF101" s="729"/>
      <c r="BG101" s="729"/>
      <c r="BH101" s="729"/>
      <c r="BI101" s="729"/>
      <c r="BJ101" s="729"/>
      <c r="BK101" s="729"/>
      <c r="BL101" s="729"/>
      <c r="BM101" s="729"/>
      <c r="BN101" s="729"/>
      <c r="BO101" s="729"/>
      <c r="BP101" s="729"/>
      <c r="BQ101" s="729"/>
      <c r="BR101" s="729"/>
      <c r="BS101" s="729"/>
      <c r="BT101" s="729"/>
      <c r="BU101" s="729"/>
      <c r="BV101" s="729"/>
      <c r="BW101" s="729"/>
      <c r="BX101" s="729"/>
      <c r="BY101" s="729"/>
      <c r="BZ101" s="729"/>
      <c r="CA101" s="729"/>
      <c r="CB101" s="729"/>
      <c r="CC101" s="729"/>
      <c r="CD101" s="729"/>
      <c r="CE101" s="729"/>
      <c r="CF101" s="729"/>
      <c r="CG101" s="729"/>
      <c r="CH101" s="730"/>
    </row>
    <row r="102" spans="2:86">
      <c r="B102" s="731"/>
      <c r="C102" s="726"/>
      <c r="D102" s="726"/>
      <c r="E102" s="726"/>
      <c r="F102" s="726"/>
      <c r="G102" s="726"/>
      <c r="H102" s="726"/>
      <c r="I102" s="726"/>
      <c r="J102" s="726"/>
      <c r="K102" s="726"/>
      <c r="L102" s="726"/>
      <c r="M102" s="726"/>
      <c r="N102" s="726"/>
      <c r="O102" s="726"/>
      <c r="P102" s="726"/>
      <c r="Q102" s="726"/>
      <c r="R102" s="726"/>
      <c r="S102" s="726"/>
      <c r="T102" s="726"/>
      <c r="U102" s="726"/>
      <c r="V102" s="726"/>
      <c r="W102" s="726"/>
      <c r="X102" s="726"/>
      <c r="Y102" s="726"/>
      <c r="Z102" s="726"/>
      <c r="AA102" s="726"/>
      <c r="AB102" s="726"/>
      <c r="AC102" s="726"/>
      <c r="AD102" s="726"/>
      <c r="AE102" s="726"/>
      <c r="AF102" s="726"/>
      <c r="AG102" s="726"/>
      <c r="AH102" s="726"/>
      <c r="AI102" s="726"/>
      <c r="AJ102" s="726"/>
      <c r="AK102" s="726"/>
      <c r="AL102" s="726"/>
      <c r="AM102" s="726"/>
      <c r="AN102" s="726"/>
      <c r="AO102" s="726"/>
      <c r="AP102" s="726"/>
      <c r="AQ102" s="726"/>
      <c r="AR102" s="726"/>
      <c r="AS102" s="726"/>
      <c r="AT102" s="726"/>
      <c r="AU102" s="726"/>
      <c r="AV102" s="726"/>
      <c r="AW102" s="726"/>
      <c r="AX102" s="726"/>
      <c r="AY102" s="726"/>
      <c r="AZ102" s="732" t="s">
        <v>26</v>
      </c>
      <c r="BA102" s="733"/>
      <c r="BB102" s="733"/>
      <c r="BC102" s="733"/>
      <c r="BD102" s="733"/>
      <c r="BE102" s="732"/>
      <c r="BF102" s="733"/>
      <c r="BG102" s="733"/>
      <c r="BH102" s="733"/>
      <c r="BI102" s="733"/>
      <c r="BJ102" s="732"/>
      <c r="BK102" s="726"/>
      <c r="BL102" s="726"/>
      <c r="BM102" s="726"/>
      <c r="BN102" s="726"/>
      <c r="BO102" s="726"/>
      <c r="BP102" s="726"/>
      <c r="BQ102" s="726"/>
      <c r="BR102" s="726"/>
      <c r="BS102" s="726"/>
      <c r="BT102" s="726"/>
      <c r="BU102" s="726"/>
      <c r="BV102" s="726"/>
      <c r="BW102" s="726"/>
      <c r="BX102" s="726"/>
      <c r="BY102" s="726"/>
      <c r="BZ102" s="726"/>
      <c r="CA102" s="726"/>
      <c r="CB102" s="726"/>
      <c r="CC102" s="726"/>
      <c r="CD102" s="726"/>
      <c r="CE102" s="720"/>
      <c r="CF102" s="726"/>
      <c r="CG102" s="726"/>
      <c r="CH102" s="734"/>
    </row>
    <row r="103" spans="2:86" ht="15">
      <c r="B103" s="731"/>
      <c r="C103" s="726"/>
      <c r="D103" s="726"/>
      <c r="E103" s="726"/>
      <c r="F103" s="726"/>
      <c r="G103" s="726"/>
      <c r="H103" s="726"/>
      <c r="I103" s="726"/>
      <c r="J103" s="726"/>
      <c r="K103" s="726"/>
      <c r="L103" s="726"/>
      <c r="M103" s="726"/>
      <c r="N103" s="726"/>
      <c r="O103" s="726"/>
      <c r="P103" s="726"/>
      <c r="Q103" s="726"/>
      <c r="R103" s="726"/>
      <c r="S103" s="726"/>
      <c r="T103" s="726"/>
      <c r="U103" s="726"/>
      <c r="V103" s="726"/>
      <c r="W103" s="726"/>
      <c r="X103" s="726"/>
      <c r="Y103" s="726"/>
      <c r="Z103" s="726"/>
      <c r="AA103" s="726"/>
      <c r="AB103" s="726"/>
      <c r="AC103" s="726"/>
      <c r="AD103" s="726"/>
      <c r="AE103" s="726"/>
      <c r="AF103" s="726"/>
      <c r="AG103" s="726"/>
      <c r="AH103" s="726"/>
      <c r="AI103" s="726"/>
      <c r="AJ103" s="726"/>
      <c r="AK103" s="726"/>
      <c r="AL103" s="726"/>
      <c r="AM103" s="726"/>
      <c r="AN103" s="726"/>
      <c r="AO103" s="726"/>
      <c r="AP103" s="726"/>
      <c r="AQ103" s="726"/>
      <c r="AR103" s="726"/>
      <c r="AS103" s="726"/>
      <c r="AT103" s="726"/>
      <c r="AU103" s="726"/>
      <c r="AV103" s="726"/>
      <c r="AW103" s="726"/>
      <c r="AX103" s="726"/>
      <c r="AY103" s="726"/>
      <c r="AZ103" s="735" t="s">
        <v>102</v>
      </c>
      <c r="BA103" s="736"/>
      <c r="BB103" s="736"/>
      <c r="BC103" s="736"/>
      <c r="BD103" s="736"/>
      <c r="BE103" s="735" t="s">
        <v>241</v>
      </c>
      <c r="BF103" s="736"/>
      <c r="BG103" s="736"/>
      <c r="BH103" s="736"/>
      <c r="BI103" s="736"/>
      <c r="BJ103" s="735" t="s">
        <v>242</v>
      </c>
      <c r="BK103" s="726"/>
      <c r="BL103" s="726"/>
      <c r="BM103" s="726"/>
      <c r="BN103" s="726"/>
      <c r="BO103" s="1022" t="s">
        <v>243</v>
      </c>
      <c r="BP103" s="1022"/>
      <c r="BQ103" s="1022"/>
      <c r="BR103" s="1022"/>
      <c r="BS103" s="1022"/>
      <c r="BT103" s="1022"/>
      <c r="BU103" s="1022"/>
      <c r="BV103" s="1022"/>
      <c r="BW103" s="1022"/>
      <c r="BX103" s="1022"/>
      <c r="BY103" s="1022"/>
      <c r="BZ103" s="1022"/>
      <c r="CA103" s="1022"/>
      <c r="CB103" s="1022"/>
      <c r="CC103" s="1022"/>
      <c r="CD103" s="1022"/>
      <c r="CE103" s="1022"/>
      <c r="CF103" s="1022"/>
      <c r="CG103" s="1022"/>
      <c r="CH103" s="1023"/>
    </row>
    <row r="104" spans="2:86">
      <c r="B104" s="737" t="s">
        <v>244</v>
      </c>
      <c r="C104" s="390"/>
      <c r="D104" s="390"/>
      <c r="E104" s="390"/>
      <c r="F104" s="390"/>
      <c r="G104" s="390"/>
      <c r="H104" s="390"/>
      <c r="I104" s="390"/>
      <c r="J104" s="390"/>
      <c r="K104" s="390"/>
      <c r="L104" s="390"/>
      <c r="M104" s="390"/>
      <c r="N104" s="390"/>
      <c r="O104" s="390"/>
      <c r="P104" s="390"/>
      <c r="Q104" s="390"/>
      <c r="R104" s="390"/>
      <c r="S104" s="390"/>
      <c r="T104" s="390"/>
      <c r="U104" s="390"/>
      <c r="V104" s="390"/>
      <c r="W104" s="390"/>
      <c r="X104" s="390"/>
      <c r="Y104" s="390"/>
      <c r="Z104" s="390"/>
      <c r="AA104" s="390"/>
      <c r="AB104" s="390"/>
      <c r="AC104" s="390"/>
      <c r="AD104" s="390"/>
      <c r="AE104" s="390"/>
      <c r="AF104" s="390"/>
      <c r="AG104" s="390"/>
      <c r="AH104" s="390"/>
      <c r="AI104" s="390"/>
      <c r="AJ104" s="390"/>
      <c r="AK104" s="390"/>
      <c r="AL104" s="390"/>
      <c r="AM104" s="390"/>
      <c r="AN104" s="390"/>
      <c r="AO104" s="390"/>
      <c r="AP104" s="390"/>
      <c r="AQ104" s="390"/>
      <c r="AR104" s="390"/>
      <c r="AS104" s="390"/>
      <c r="AT104" s="390"/>
      <c r="AU104" s="390"/>
      <c r="AV104" s="390"/>
      <c r="AW104" s="390"/>
      <c r="AX104" s="390"/>
      <c r="AY104" s="390"/>
      <c r="AZ104" s="738">
        <f>AZ88</f>
        <v>1081.7367216500197</v>
      </c>
      <c r="BA104" s="726"/>
      <c r="BB104" s="726"/>
      <c r="BC104" s="726"/>
      <c r="BD104" s="726"/>
      <c r="BE104" s="739">
        <v>12.5</v>
      </c>
      <c r="BF104" s="726"/>
      <c r="BG104" s="726"/>
      <c r="BH104" s="726"/>
      <c r="BI104" s="726"/>
      <c r="BJ104" s="738">
        <f>AZ104*BE104</f>
        <v>13521.709020625247</v>
      </c>
      <c r="BK104" s="726"/>
      <c r="BL104" s="726"/>
      <c r="BM104" s="726"/>
      <c r="BN104" s="726"/>
      <c r="BO104" s="726" t="s">
        <v>258</v>
      </c>
      <c r="BP104" s="726"/>
      <c r="BQ104" s="726"/>
      <c r="BR104" s="726"/>
      <c r="BS104" s="726"/>
      <c r="BT104" s="726"/>
      <c r="BU104" s="726"/>
      <c r="BV104" s="726"/>
      <c r="BW104" s="726"/>
      <c r="BX104" s="726"/>
      <c r="BY104" s="726"/>
      <c r="BZ104" s="726"/>
      <c r="CA104" s="726"/>
      <c r="CB104" s="726"/>
      <c r="CC104" s="726"/>
      <c r="CD104" s="726"/>
      <c r="CE104" s="720"/>
      <c r="CF104" s="726"/>
      <c r="CG104" s="726"/>
      <c r="CH104" s="734"/>
    </row>
    <row r="105" spans="2:86">
      <c r="B105" s="737" t="s">
        <v>245</v>
      </c>
      <c r="C105" s="390"/>
      <c r="D105" s="390"/>
      <c r="E105" s="390"/>
      <c r="F105" s="390"/>
      <c r="G105" s="390"/>
      <c r="H105" s="390"/>
      <c r="I105" s="390"/>
      <c r="J105" s="390"/>
      <c r="K105" s="390"/>
      <c r="L105" s="390"/>
      <c r="M105" s="390"/>
      <c r="N105" s="390"/>
      <c r="O105" s="390"/>
      <c r="P105" s="390"/>
      <c r="Q105" s="390"/>
      <c r="R105" s="390"/>
      <c r="S105" s="390"/>
      <c r="T105" s="390"/>
      <c r="U105" s="390"/>
      <c r="V105" s="390"/>
      <c r="W105" s="390"/>
      <c r="X105" s="390"/>
      <c r="Y105" s="390"/>
      <c r="Z105" s="390"/>
      <c r="AA105" s="390"/>
      <c r="AB105" s="390"/>
      <c r="AC105" s="390"/>
      <c r="AD105" s="390"/>
      <c r="AE105" s="390"/>
      <c r="AF105" s="390"/>
      <c r="AG105" s="390"/>
      <c r="AH105" s="390"/>
      <c r="AI105" s="390"/>
      <c r="AJ105" s="390"/>
      <c r="AK105" s="390"/>
      <c r="AL105" s="390"/>
      <c r="AM105" s="390"/>
      <c r="AN105" s="390"/>
      <c r="AO105" s="390"/>
      <c r="AP105" s="390"/>
      <c r="AQ105" s="390"/>
      <c r="AR105" s="390"/>
      <c r="AS105" s="390"/>
      <c r="AT105" s="390"/>
      <c r="AU105" s="390"/>
      <c r="AV105" s="390"/>
      <c r="AW105" s="390"/>
      <c r="AX105" s="390"/>
      <c r="AY105" s="390"/>
      <c r="AZ105" s="738">
        <f t="shared" ref="AZ105:AZ109" si="7">AZ89</f>
        <v>1230.3508968306246</v>
      </c>
      <c r="BA105" s="726"/>
      <c r="BB105" s="726"/>
      <c r="BC105" s="726"/>
      <c r="BD105" s="726"/>
      <c r="BE105" s="739">
        <v>10</v>
      </c>
      <c r="BF105" s="726"/>
      <c r="BG105" s="726"/>
      <c r="BH105" s="726"/>
      <c r="BI105" s="726"/>
      <c r="BJ105" s="738">
        <f t="shared" ref="BJ105:BJ109" si="8">AZ105*BE105</f>
        <v>12303.508968306247</v>
      </c>
      <c r="BK105" s="726"/>
      <c r="BL105" s="726"/>
      <c r="BM105" s="726"/>
      <c r="BN105" s="726"/>
      <c r="BO105" s="726" t="s">
        <v>246</v>
      </c>
      <c r="BP105" s="726"/>
      <c r="BQ105" s="726"/>
      <c r="BR105" s="726"/>
      <c r="BS105" s="726"/>
      <c r="BT105" s="726"/>
      <c r="BU105" s="726"/>
      <c r="BV105" s="726"/>
      <c r="BW105" s="726"/>
      <c r="BX105" s="726"/>
      <c r="BY105" s="726"/>
      <c r="BZ105" s="726"/>
      <c r="CA105" s="726"/>
      <c r="CB105" s="726"/>
      <c r="CC105" s="726"/>
      <c r="CD105" s="726"/>
      <c r="CE105" s="720"/>
      <c r="CF105" s="726"/>
      <c r="CG105" s="726"/>
      <c r="CH105" s="734"/>
    </row>
    <row r="106" spans="2:86">
      <c r="B106" s="737" t="s">
        <v>247</v>
      </c>
      <c r="C106" s="390"/>
      <c r="D106" s="390"/>
      <c r="E106" s="390"/>
      <c r="F106" s="390"/>
      <c r="G106" s="390"/>
      <c r="H106" s="390"/>
      <c r="I106" s="390"/>
      <c r="J106" s="390"/>
      <c r="K106" s="390"/>
      <c r="L106" s="390"/>
      <c r="M106" s="390"/>
      <c r="N106" s="390"/>
      <c r="O106" s="390"/>
      <c r="P106" s="390"/>
      <c r="Q106" s="390"/>
      <c r="R106" s="390"/>
      <c r="S106" s="390"/>
      <c r="T106" s="390"/>
      <c r="U106" s="390"/>
      <c r="V106" s="390"/>
      <c r="W106" s="390"/>
      <c r="X106" s="390"/>
      <c r="Y106" s="390"/>
      <c r="Z106" s="390"/>
      <c r="AA106" s="390"/>
      <c r="AB106" s="390"/>
      <c r="AC106" s="390"/>
      <c r="AD106" s="390"/>
      <c r="AE106" s="390"/>
      <c r="AF106" s="390"/>
      <c r="AG106" s="390"/>
      <c r="AH106" s="390"/>
      <c r="AI106" s="390"/>
      <c r="AJ106" s="390"/>
      <c r="AK106" s="390"/>
      <c r="AL106" s="390"/>
      <c r="AM106" s="390"/>
      <c r="AN106" s="390"/>
      <c r="AO106" s="390"/>
      <c r="AP106" s="390"/>
      <c r="AQ106" s="390"/>
      <c r="AR106" s="390"/>
      <c r="AS106" s="390"/>
      <c r="AT106" s="390"/>
      <c r="AU106" s="390"/>
      <c r="AV106" s="390"/>
      <c r="AW106" s="390"/>
      <c r="AX106" s="390"/>
      <c r="AY106" s="390"/>
      <c r="AZ106" s="738">
        <f t="shared" si="7"/>
        <v>742.7802422417775</v>
      </c>
      <c r="BA106" s="726"/>
      <c r="BB106" s="726"/>
      <c r="BC106" s="726"/>
      <c r="BD106" s="726"/>
      <c r="BE106" s="739">
        <v>7</v>
      </c>
      <c r="BF106" s="726"/>
      <c r="BG106" s="726"/>
      <c r="BH106" s="726"/>
      <c r="BI106" s="726"/>
      <c r="BJ106" s="738">
        <f t="shared" si="8"/>
        <v>5199.4616956924428</v>
      </c>
      <c r="BK106" s="726"/>
      <c r="BL106" s="726"/>
      <c r="BM106" s="726"/>
      <c r="BN106" s="726"/>
      <c r="BO106" s="726" t="s">
        <v>259</v>
      </c>
      <c r="BP106" s="726"/>
      <c r="BQ106" s="726"/>
      <c r="BR106" s="726"/>
      <c r="BS106" s="726"/>
      <c r="BT106" s="726"/>
      <c r="BU106" s="726"/>
      <c r="BV106" s="726"/>
      <c r="BW106" s="726"/>
      <c r="BX106" s="726"/>
      <c r="BY106" s="726"/>
      <c r="BZ106" s="726"/>
      <c r="CA106" s="726"/>
      <c r="CB106" s="726"/>
      <c r="CC106" s="726"/>
      <c r="CD106" s="726"/>
      <c r="CE106" s="720"/>
      <c r="CF106" s="726"/>
      <c r="CG106" s="726"/>
      <c r="CH106" s="734"/>
    </row>
    <row r="107" spans="2:86">
      <c r="B107" s="737" t="s">
        <v>248</v>
      </c>
      <c r="C107" s="390"/>
      <c r="D107" s="390"/>
      <c r="E107" s="390"/>
      <c r="F107" s="390"/>
      <c r="G107" s="390"/>
      <c r="H107" s="390"/>
      <c r="I107" s="390"/>
      <c r="J107" s="390"/>
      <c r="K107" s="390"/>
      <c r="L107" s="390"/>
      <c r="M107" s="390"/>
      <c r="N107" s="390"/>
      <c r="O107" s="390"/>
      <c r="P107" s="390"/>
      <c r="Q107" s="390"/>
      <c r="R107" s="390"/>
      <c r="S107" s="390"/>
      <c r="T107" s="390"/>
      <c r="U107" s="390"/>
      <c r="V107" s="390"/>
      <c r="W107" s="390"/>
      <c r="X107" s="390"/>
      <c r="Y107" s="390"/>
      <c r="Z107" s="390"/>
      <c r="AA107" s="390"/>
      <c r="AB107" s="390"/>
      <c r="AC107" s="390"/>
      <c r="AD107" s="390"/>
      <c r="AE107" s="390"/>
      <c r="AF107" s="390"/>
      <c r="AG107" s="390"/>
      <c r="AH107" s="390"/>
      <c r="AI107" s="390"/>
      <c r="AJ107" s="390"/>
      <c r="AK107" s="390"/>
      <c r="AL107" s="390"/>
      <c r="AM107" s="390"/>
      <c r="AN107" s="390"/>
      <c r="AO107" s="390"/>
      <c r="AP107" s="390"/>
      <c r="AQ107" s="390"/>
      <c r="AR107" s="390"/>
      <c r="AS107" s="390"/>
      <c r="AT107" s="390"/>
      <c r="AU107" s="390"/>
      <c r="AV107" s="390"/>
      <c r="AW107" s="390"/>
      <c r="AX107" s="390"/>
      <c r="AY107" s="390"/>
      <c r="AZ107" s="738">
        <f t="shared" si="7"/>
        <v>889.7754991346095</v>
      </c>
      <c r="BA107" s="726"/>
      <c r="BB107" s="726"/>
      <c r="BC107" s="726"/>
      <c r="BD107" s="726"/>
      <c r="BE107" s="739">
        <v>5</v>
      </c>
      <c r="BF107" s="726"/>
      <c r="BG107" s="726"/>
      <c r="BH107" s="726"/>
      <c r="BI107" s="726"/>
      <c r="BJ107" s="738">
        <f t="shared" si="8"/>
        <v>4448.8774956730476</v>
      </c>
      <c r="BK107" s="726"/>
      <c r="BL107" s="726"/>
      <c r="BM107" s="726"/>
      <c r="BN107" s="726"/>
      <c r="BO107" s="726"/>
      <c r="BP107" s="726"/>
      <c r="BQ107" s="726"/>
      <c r="BR107" s="726"/>
      <c r="BS107" s="726"/>
      <c r="BT107" s="726"/>
      <c r="BU107" s="726"/>
      <c r="BV107" s="726"/>
      <c r="BW107" s="726"/>
      <c r="BX107" s="726"/>
      <c r="BY107" s="726"/>
      <c r="BZ107" s="726"/>
      <c r="CA107" s="726"/>
      <c r="CB107" s="726"/>
      <c r="CC107" s="726"/>
      <c r="CD107" s="726"/>
      <c r="CE107" s="720"/>
      <c r="CF107" s="726"/>
      <c r="CG107" s="726"/>
      <c r="CH107" s="734"/>
    </row>
    <row r="108" spans="2:86">
      <c r="B108" s="737" t="s">
        <v>196</v>
      </c>
      <c r="C108" s="390"/>
      <c r="D108" s="390"/>
      <c r="E108" s="390"/>
      <c r="F108" s="390"/>
      <c r="G108" s="390"/>
      <c r="H108" s="390"/>
      <c r="I108" s="390"/>
      <c r="J108" s="390"/>
      <c r="K108" s="390"/>
      <c r="L108" s="390"/>
      <c r="M108" s="390"/>
      <c r="N108" s="390"/>
      <c r="O108" s="390"/>
      <c r="P108" s="390"/>
      <c r="Q108" s="390"/>
      <c r="R108" s="390"/>
      <c r="S108" s="390"/>
      <c r="T108" s="390"/>
      <c r="U108" s="390"/>
      <c r="V108" s="390"/>
      <c r="W108" s="390"/>
      <c r="X108" s="390"/>
      <c r="Y108" s="390"/>
      <c r="Z108" s="390"/>
      <c r="AA108" s="390"/>
      <c r="AB108" s="390"/>
      <c r="AC108" s="390"/>
      <c r="AD108" s="390"/>
      <c r="AE108" s="390"/>
      <c r="AF108" s="390"/>
      <c r="AG108" s="390"/>
      <c r="AH108" s="390"/>
      <c r="AI108" s="390"/>
      <c r="AJ108" s="390"/>
      <c r="AK108" s="390"/>
      <c r="AL108" s="390"/>
      <c r="AM108" s="390"/>
      <c r="AN108" s="390"/>
      <c r="AO108" s="390"/>
      <c r="AP108" s="390"/>
      <c r="AQ108" s="390"/>
      <c r="AR108" s="390"/>
      <c r="AS108" s="390"/>
      <c r="AT108" s="390"/>
      <c r="AU108" s="390"/>
      <c r="AV108" s="390"/>
      <c r="AW108" s="390"/>
      <c r="AX108" s="390"/>
      <c r="AY108" s="390"/>
      <c r="AZ108" s="738">
        <f t="shared" si="7"/>
        <v>685.809116579136</v>
      </c>
      <c r="BA108" s="726"/>
      <c r="BB108" s="726"/>
      <c r="BC108" s="726"/>
      <c r="BD108" s="726"/>
      <c r="BE108" s="739">
        <v>8</v>
      </c>
      <c r="BF108" s="726"/>
      <c r="BG108" s="726"/>
      <c r="BH108" s="726"/>
      <c r="BI108" s="726"/>
      <c r="BJ108" s="738">
        <f t="shared" si="8"/>
        <v>5486.472932633088</v>
      </c>
      <c r="BK108" s="726"/>
      <c r="BL108" s="726"/>
      <c r="BM108" s="726"/>
      <c r="BN108" s="726"/>
      <c r="BO108" s="726" t="s">
        <v>249</v>
      </c>
      <c r="BP108" s="726"/>
      <c r="BQ108" s="726"/>
      <c r="BR108" s="726"/>
      <c r="BS108" s="726"/>
      <c r="BT108" s="726"/>
      <c r="BU108" s="726"/>
      <c r="BV108" s="726"/>
      <c r="BW108" s="726"/>
      <c r="BX108" s="726"/>
      <c r="BY108" s="726"/>
      <c r="BZ108" s="726"/>
      <c r="CA108" s="726"/>
      <c r="CB108" s="726"/>
      <c r="CC108" s="726"/>
      <c r="CD108" s="726"/>
      <c r="CE108" s="720"/>
      <c r="CF108" s="726"/>
      <c r="CG108" s="726"/>
      <c r="CH108" s="734"/>
    </row>
    <row r="109" spans="2:86" ht="15">
      <c r="B109" s="737" t="s">
        <v>250</v>
      </c>
      <c r="C109" s="390"/>
      <c r="D109" s="390"/>
      <c r="E109" s="390"/>
      <c r="F109" s="390"/>
      <c r="G109" s="390"/>
      <c r="H109" s="390"/>
      <c r="I109" s="390"/>
      <c r="J109" s="390"/>
      <c r="K109" s="390"/>
      <c r="L109" s="390"/>
      <c r="M109" s="390"/>
      <c r="N109" s="390"/>
      <c r="O109" s="390"/>
      <c r="P109" s="390"/>
      <c r="Q109" s="390"/>
      <c r="R109" s="390"/>
      <c r="S109" s="390"/>
      <c r="T109" s="390"/>
      <c r="U109" s="390"/>
      <c r="V109" s="390"/>
      <c r="W109" s="390"/>
      <c r="X109" s="390"/>
      <c r="Y109" s="390"/>
      <c r="Z109" s="390"/>
      <c r="AA109" s="390"/>
      <c r="AB109" s="390"/>
      <c r="AC109" s="390"/>
      <c r="AD109" s="390"/>
      <c r="AE109" s="390"/>
      <c r="AF109" s="390"/>
      <c r="AG109" s="390"/>
      <c r="AH109" s="390"/>
      <c r="AI109" s="390"/>
      <c r="AJ109" s="390"/>
      <c r="AK109" s="390"/>
      <c r="AL109" s="390"/>
      <c r="AM109" s="390"/>
      <c r="AN109" s="390"/>
      <c r="AO109" s="390"/>
      <c r="AP109" s="390"/>
      <c r="AQ109" s="390"/>
      <c r="AR109" s="390"/>
      <c r="AS109" s="390"/>
      <c r="AT109" s="390"/>
      <c r="AU109" s="390"/>
      <c r="AV109" s="390"/>
      <c r="AW109" s="390"/>
      <c r="AX109" s="390"/>
      <c r="AY109" s="390"/>
      <c r="AZ109" s="738">
        <f t="shared" si="7"/>
        <v>759.80700256383204</v>
      </c>
      <c r="BA109" s="726"/>
      <c r="BB109" s="726"/>
      <c r="BC109" s="726"/>
      <c r="BD109" s="726"/>
      <c r="BE109" s="739">
        <v>8</v>
      </c>
      <c r="BF109" s="726"/>
      <c r="BG109" s="726"/>
      <c r="BH109" s="726"/>
      <c r="BI109" s="726"/>
      <c r="BJ109" s="740">
        <f t="shared" si="8"/>
        <v>6078.4560205106563</v>
      </c>
      <c r="BK109" s="726"/>
      <c r="BL109" s="726"/>
      <c r="BM109" s="726"/>
      <c r="BN109" s="726"/>
      <c r="BO109" s="726" t="s">
        <v>251</v>
      </c>
      <c r="BP109" s="726"/>
      <c r="BQ109" s="726"/>
      <c r="BR109" s="726"/>
      <c r="BS109" s="726"/>
      <c r="BT109" s="726"/>
      <c r="BU109" s="726"/>
      <c r="BV109" s="726"/>
      <c r="BW109" s="726"/>
      <c r="BX109" s="726"/>
      <c r="BY109" s="726"/>
      <c r="BZ109" s="726"/>
      <c r="CA109" s="726"/>
      <c r="CB109" s="726"/>
      <c r="CC109" s="726"/>
      <c r="CD109" s="726"/>
      <c r="CE109" s="720"/>
      <c r="CF109" s="726"/>
      <c r="CG109" s="726"/>
      <c r="CH109" s="734"/>
    </row>
    <row r="110" spans="2:86">
      <c r="B110" s="737" t="s">
        <v>252</v>
      </c>
      <c r="C110" s="741"/>
      <c r="D110" s="741"/>
      <c r="E110" s="741"/>
      <c r="F110" s="741"/>
      <c r="G110" s="741"/>
      <c r="H110" s="741"/>
      <c r="I110" s="741"/>
      <c r="J110" s="741"/>
      <c r="K110" s="741"/>
      <c r="L110" s="741"/>
      <c r="M110" s="741"/>
      <c r="N110" s="741"/>
      <c r="O110" s="741"/>
      <c r="P110" s="741"/>
      <c r="Q110" s="741"/>
      <c r="R110" s="741"/>
      <c r="S110" s="741"/>
      <c r="T110" s="741"/>
      <c r="U110" s="741"/>
      <c r="V110" s="741"/>
      <c r="W110" s="741"/>
      <c r="X110" s="741"/>
      <c r="Y110" s="741"/>
      <c r="Z110" s="741"/>
      <c r="AA110" s="741"/>
      <c r="AB110" s="741"/>
      <c r="AC110" s="741"/>
      <c r="AD110" s="741"/>
      <c r="AE110" s="741"/>
      <c r="AF110" s="741"/>
      <c r="AG110" s="741"/>
      <c r="AH110" s="741"/>
      <c r="AI110" s="741"/>
      <c r="AJ110" s="741"/>
      <c r="AK110" s="741"/>
      <c r="AL110" s="741"/>
      <c r="AM110" s="741"/>
      <c r="AN110" s="741"/>
      <c r="AO110" s="741"/>
      <c r="AP110" s="741"/>
      <c r="AQ110" s="741"/>
      <c r="AR110" s="741"/>
      <c r="AS110" s="741"/>
      <c r="AT110" s="741"/>
      <c r="AU110" s="741"/>
      <c r="AV110" s="741"/>
      <c r="AW110" s="741"/>
      <c r="AX110" s="741"/>
      <c r="AY110" s="741"/>
      <c r="AZ110" s="742">
        <f>SUM(AZ104:AZ109)</f>
        <v>5390.2594789999994</v>
      </c>
      <c r="BA110" s="726"/>
      <c r="BB110" s="726"/>
      <c r="BC110" s="726"/>
      <c r="BD110" s="726"/>
      <c r="BE110" s="743">
        <f>BJ110/AZ110</f>
        <v>8.7265717572036632</v>
      </c>
      <c r="BF110" s="726"/>
      <c r="BG110" s="726"/>
      <c r="BH110" s="726"/>
      <c r="BI110" s="726"/>
      <c r="BJ110" s="742">
        <f>SUM(BJ104:BJ109)</f>
        <v>47038.486133440725</v>
      </c>
      <c r="BK110" s="726"/>
      <c r="BL110" s="726"/>
      <c r="BM110" s="726"/>
      <c r="BN110" s="726"/>
      <c r="BO110" s="726"/>
      <c r="BP110" s="726"/>
      <c r="BQ110" s="726"/>
      <c r="BR110" s="726"/>
      <c r="BS110" s="726"/>
      <c r="BT110" s="726"/>
      <c r="BU110" s="726"/>
      <c r="BV110" s="726"/>
      <c r="BW110" s="726"/>
      <c r="BX110" s="726"/>
      <c r="BY110" s="726"/>
      <c r="BZ110" s="726"/>
      <c r="CA110" s="726"/>
      <c r="CB110" s="726"/>
      <c r="CC110" s="726"/>
      <c r="CD110" s="726"/>
      <c r="CE110" s="720"/>
      <c r="CF110" s="726"/>
      <c r="CG110" s="726"/>
      <c r="CH110" s="734"/>
    </row>
    <row r="111" spans="2:86">
      <c r="B111" s="744"/>
      <c r="C111" s="390"/>
      <c r="D111" s="390"/>
      <c r="E111" s="390"/>
      <c r="F111" s="390"/>
      <c r="G111" s="390"/>
      <c r="H111" s="390"/>
      <c r="I111" s="390"/>
      <c r="J111" s="390"/>
      <c r="K111" s="390"/>
      <c r="L111" s="390"/>
      <c r="M111" s="390"/>
      <c r="N111" s="390"/>
      <c r="O111" s="390"/>
      <c r="P111" s="390"/>
      <c r="Q111" s="390"/>
      <c r="R111" s="390"/>
      <c r="S111" s="390"/>
      <c r="T111" s="390"/>
      <c r="U111" s="390"/>
      <c r="V111" s="390"/>
      <c r="W111" s="390"/>
      <c r="X111" s="390"/>
      <c r="Y111" s="390"/>
      <c r="Z111" s="390"/>
      <c r="AA111" s="390"/>
      <c r="AB111" s="390"/>
      <c r="AC111" s="390"/>
      <c r="AD111" s="390"/>
      <c r="AE111" s="390"/>
      <c r="AF111" s="390"/>
      <c r="AG111" s="390"/>
      <c r="AH111" s="390"/>
      <c r="AI111" s="390"/>
      <c r="AJ111" s="390"/>
      <c r="AK111" s="390"/>
      <c r="AL111" s="390"/>
      <c r="AM111" s="390"/>
      <c r="AN111" s="390"/>
      <c r="AO111" s="390"/>
      <c r="AP111" s="390"/>
      <c r="AQ111" s="390"/>
      <c r="AR111" s="390"/>
      <c r="AS111" s="390"/>
      <c r="AT111" s="390"/>
      <c r="AU111" s="390"/>
      <c r="AV111" s="390"/>
      <c r="AW111" s="390"/>
      <c r="AX111" s="390"/>
      <c r="AY111" s="390"/>
      <c r="AZ111" s="390"/>
      <c r="BA111" s="390"/>
      <c r="BB111" s="390"/>
      <c r="BC111" s="390"/>
      <c r="BD111" s="390"/>
      <c r="BE111" s="390"/>
      <c r="BF111" s="390"/>
      <c r="BG111" s="390"/>
      <c r="BH111" s="390"/>
      <c r="BI111" s="390"/>
      <c r="BJ111" s="390"/>
      <c r="BK111" s="390"/>
      <c r="BL111" s="390"/>
      <c r="BM111" s="390"/>
      <c r="BN111" s="390"/>
      <c r="BO111" s="390"/>
      <c r="BP111" s="726"/>
      <c r="BQ111" s="726"/>
      <c r="BR111" s="726"/>
      <c r="BS111" s="726"/>
      <c r="BT111" s="726"/>
      <c r="BU111" s="726"/>
      <c r="BV111" s="726"/>
      <c r="BW111" s="726"/>
      <c r="BX111" s="726"/>
      <c r="BY111" s="726"/>
      <c r="BZ111" s="726"/>
      <c r="CA111" s="726"/>
      <c r="CB111" s="726"/>
      <c r="CC111" s="726"/>
      <c r="CD111" s="726"/>
      <c r="CE111" s="720"/>
      <c r="CF111" s="726"/>
      <c r="CG111" s="726"/>
      <c r="CH111" s="734"/>
    </row>
    <row r="112" spans="2:86">
      <c r="B112" s="744" t="s">
        <v>253</v>
      </c>
      <c r="C112" s="390"/>
      <c r="D112" s="390"/>
      <c r="E112" s="390"/>
      <c r="F112" s="390"/>
      <c r="G112" s="390"/>
      <c r="H112" s="390"/>
      <c r="I112" s="390"/>
      <c r="J112" s="390"/>
      <c r="K112" s="390"/>
      <c r="L112" s="390"/>
      <c r="M112" s="390"/>
      <c r="N112" s="390"/>
      <c r="O112" s="390"/>
      <c r="P112" s="390"/>
      <c r="Q112" s="390"/>
      <c r="R112" s="390"/>
      <c r="S112" s="390"/>
      <c r="T112" s="390"/>
      <c r="U112" s="390"/>
      <c r="V112" s="390"/>
      <c r="W112" s="390"/>
      <c r="X112" s="390"/>
      <c r="Y112" s="390"/>
      <c r="Z112" s="390"/>
      <c r="AA112" s="390"/>
      <c r="AB112" s="390"/>
      <c r="AC112" s="390"/>
      <c r="AD112" s="390"/>
      <c r="AE112" s="390"/>
      <c r="AF112" s="390"/>
      <c r="AG112" s="390"/>
      <c r="AH112" s="390"/>
      <c r="AI112" s="390"/>
      <c r="AJ112" s="390"/>
      <c r="AK112" s="390"/>
      <c r="AL112" s="390"/>
      <c r="AM112" s="390"/>
      <c r="AN112" s="390"/>
      <c r="AO112" s="390"/>
      <c r="AP112" s="390"/>
      <c r="AQ112" s="390"/>
      <c r="AR112" s="390"/>
      <c r="AS112" s="390"/>
      <c r="AT112" s="390"/>
      <c r="AU112" s="390"/>
      <c r="AV112" s="390"/>
      <c r="AW112" s="390"/>
      <c r="AX112" s="390"/>
      <c r="AY112" s="390"/>
      <c r="AZ112" s="390"/>
      <c r="BA112" s="390"/>
      <c r="BB112" s="390"/>
      <c r="BC112" s="390"/>
      <c r="BD112" s="390"/>
      <c r="BE112" s="390"/>
      <c r="BF112" s="390"/>
      <c r="BG112" s="390"/>
      <c r="BH112" s="390"/>
      <c r="BI112" s="390"/>
      <c r="BJ112" s="738">
        <f>BJ96</f>
        <v>30542.018888888884</v>
      </c>
      <c r="BK112" s="390"/>
      <c r="BL112" s="390"/>
      <c r="BM112" s="390"/>
      <c r="BN112" s="390"/>
      <c r="BO112" s="390"/>
      <c r="BP112" s="726"/>
      <c r="BQ112" s="726"/>
      <c r="BR112" s="726"/>
      <c r="BS112" s="726"/>
      <c r="BT112" s="726"/>
      <c r="BU112" s="726"/>
      <c r="BV112" s="726"/>
      <c r="BW112" s="726"/>
      <c r="BX112" s="726"/>
      <c r="BY112" s="726"/>
      <c r="BZ112" s="726"/>
      <c r="CA112" s="726"/>
      <c r="CB112" s="726"/>
      <c r="CC112" s="726"/>
      <c r="CD112" s="726"/>
      <c r="CE112" s="720"/>
      <c r="CF112" s="726"/>
      <c r="CG112" s="726"/>
      <c r="CH112" s="734"/>
    </row>
    <row r="113" spans="2:86">
      <c r="B113" s="737" t="s">
        <v>254</v>
      </c>
      <c r="C113" s="390"/>
      <c r="D113" s="390"/>
      <c r="E113" s="390"/>
      <c r="F113" s="390"/>
      <c r="G113" s="390"/>
      <c r="H113" s="390"/>
      <c r="I113" s="390"/>
      <c r="J113" s="390"/>
      <c r="K113" s="390"/>
      <c r="L113" s="390"/>
      <c r="M113" s="390"/>
      <c r="N113" s="390"/>
      <c r="O113" s="390"/>
      <c r="P113" s="390"/>
      <c r="Q113" s="390"/>
      <c r="R113" s="390"/>
      <c r="S113" s="390"/>
      <c r="T113" s="390"/>
      <c r="U113" s="390"/>
      <c r="V113" s="390"/>
      <c r="W113" s="390"/>
      <c r="X113" s="390"/>
      <c r="Y113" s="390"/>
      <c r="Z113" s="390"/>
      <c r="AA113" s="390"/>
      <c r="AB113" s="390"/>
      <c r="AC113" s="390"/>
      <c r="AD113" s="390"/>
      <c r="AE113" s="390"/>
      <c r="AF113" s="390"/>
      <c r="AG113" s="390"/>
      <c r="AH113" s="390"/>
      <c r="AI113" s="390"/>
      <c r="AJ113" s="390"/>
      <c r="AK113" s="390"/>
      <c r="AL113" s="390"/>
      <c r="AM113" s="390"/>
      <c r="AN113" s="390"/>
      <c r="AO113" s="390"/>
      <c r="AP113" s="390"/>
      <c r="AQ113" s="390"/>
      <c r="AR113" s="390"/>
      <c r="AS113" s="390"/>
      <c r="AT113" s="390"/>
      <c r="AU113" s="390"/>
      <c r="AV113" s="390"/>
      <c r="AW113" s="390"/>
      <c r="AX113" s="390"/>
      <c r="AY113" s="390"/>
      <c r="AZ113" s="390"/>
      <c r="BA113" s="390"/>
      <c r="BB113" s="390"/>
      <c r="BC113" s="390"/>
      <c r="BD113" s="390"/>
      <c r="BE113" s="390"/>
      <c r="BF113" s="390"/>
      <c r="BG113" s="390"/>
      <c r="BH113" s="390"/>
      <c r="BI113" s="390"/>
      <c r="BJ113" s="742">
        <f>BJ110-BJ112</f>
        <v>16496.467244551841</v>
      </c>
      <c r="BK113" s="390"/>
      <c r="BL113" s="390"/>
      <c r="BM113" s="390"/>
      <c r="BN113" s="390"/>
      <c r="BO113" s="390"/>
      <c r="BP113" s="726"/>
      <c r="BQ113" s="726"/>
      <c r="BR113" s="726"/>
      <c r="BS113" s="726"/>
      <c r="BT113" s="726"/>
      <c r="BU113" s="726"/>
      <c r="BV113" s="726"/>
      <c r="BW113" s="726"/>
      <c r="BX113" s="726"/>
      <c r="BY113" s="726"/>
      <c r="BZ113" s="726"/>
      <c r="CA113" s="726"/>
      <c r="CB113" s="726"/>
      <c r="CC113" s="726"/>
      <c r="CD113" s="726"/>
      <c r="CE113" s="720"/>
      <c r="CF113" s="726"/>
      <c r="CG113" s="726"/>
      <c r="CH113" s="734"/>
    </row>
    <row r="114" spans="2:86">
      <c r="B114" s="744" t="s">
        <v>255</v>
      </c>
      <c r="C114" s="390"/>
      <c r="D114" s="390"/>
      <c r="E114" s="390"/>
      <c r="F114" s="390"/>
      <c r="G114" s="390"/>
      <c r="H114" s="390"/>
      <c r="I114" s="390"/>
      <c r="J114" s="390"/>
      <c r="K114" s="390"/>
      <c r="L114" s="390"/>
      <c r="M114" s="390"/>
      <c r="N114" s="390"/>
      <c r="O114" s="390"/>
      <c r="P114" s="390"/>
      <c r="Q114" s="390"/>
      <c r="R114" s="390"/>
      <c r="S114" s="390"/>
      <c r="T114" s="390"/>
      <c r="U114" s="390"/>
      <c r="V114" s="390"/>
      <c r="W114" s="390"/>
      <c r="X114" s="390"/>
      <c r="Y114" s="390"/>
      <c r="Z114" s="390"/>
      <c r="AA114" s="390"/>
      <c r="AB114" s="390"/>
      <c r="AC114" s="390"/>
      <c r="AD114" s="390"/>
      <c r="AE114" s="390"/>
      <c r="AF114" s="390"/>
      <c r="AG114" s="390"/>
      <c r="AH114" s="390"/>
      <c r="AI114" s="390"/>
      <c r="AJ114" s="390"/>
      <c r="AK114" s="390"/>
      <c r="AL114" s="390"/>
      <c r="AM114" s="390"/>
      <c r="AN114" s="390"/>
      <c r="AO114" s="390"/>
      <c r="AP114" s="390"/>
      <c r="AQ114" s="390"/>
      <c r="AR114" s="390"/>
      <c r="AS114" s="390"/>
      <c r="AT114" s="390"/>
      <c r="AU114" s="390"/>
      <c r="AV114" s="390"/>
      <c r="AW114" s="390"/>
      <c r="AX114" s="390"/>
      <c r="AY114" s="390"/>
      <c r="AZ114" s="390"/>
      <c r="BA114" s="390"/>
      <c r="BB114" s="390"/>
      <c r="BC114" s="390"/>
      <c r="BD114" s="390"/>
      <c r="BE114" s="390"/>
      <c r="BF114" s="390"/>
      <c r="BG114" s="390"/>
      <c r="BH114" s="390"/>
      <c r="BI114" s="390"/>
      <c r="BJ114" s="738">
        <f>BJ98</f>
        <v>349.9</v>
      </c>
      <c r="BK114" s="390"/>
      <c r="BL114" s="390"/>
      <c r="BM114" s="390"/>
      <c r="BN114" s="390"/>
      <c r="BO114" s="390"/>
      <c r="BP114" s="726"/>
      <c r="BQ114" s="726"/>
      <c r="BR114" s="726"/>
      <c r="BS114" s="726"/>
      <c r="BT114" s="726" t="s">
        <v>39</v>
      </c>
      <c r="BU114" s="726"/>
      <c r="BV114" s="726"/>
      <c r="BW114" s="726"/>
      <c r="BX114" s="726"/>
      <c r="BY114" s="726"/>
      <c r="BZ114" s="726"/>
      <c r="CA114" s="726"/>
      <c r="CB114" s="726"/>
      <c r="CC114" s="726"/>
      <c r="CD114" s="726"/>
      <c r="CE114" s="720"/>
      <c r="CF114" s="726"/>
      <c r="CG114" s="726"/>
      <c r="CH114" s="734"/>
    </row>
    <row r="115" spans="2:86" ht="13" thickBot="1">
      <c r="B115" s="745" t="s">
        <v>256</v>
      </c>
      <c r="C115" s="746"/>
      <c r="D115" s="746"/>
      <c r="E115" s="746"/>
      <c r="F115" s="746"/>
      <c r="G115" s="746"/>
      <c r="H115" s="746"/>
      <c r="I115" s="746"/>
      <c r="J115" s="746"/>
      <c r="K115" s="746"/>
      <c r="L115" s="746"/>
      <c r="M115" s="746"/>
      <c r="N115" s="746"/>
      <c r="O115" s="746"/>
      <c r="P115" s="746"/>
      <c r="Q115" s="746"/>
      <c r="R115" s="746"/>
      <c r="S115" s="746"/>
      <c r="T115" s="746"/>
      <c r="U115" s="746"/>
      <c r="V115" s="746"/>
      <c r="W115" s="746"/>
      <c r="X115" s="746"/>
      <c r="Y115" s="746"/>
      <c r="Z115" s="746"/>
      <c r="AA115" s="746"/>
      <c r="AB115" s="746"/>
      <c r="AC115" s="746"/>
      <c r="AD115" s="746"/>
      <c r="AE115" s="746"/>
      <c r="AF115" s="746"/>
      <c r="AG115" s="746"/>
      <c r="AH115" s="746"/>
      <c r="AI115" s="746"/>
      <c r="AJ115" s="746"/>
      <c r="AK115" s="746"/>
      <c r="AL115" s="746"/>
      <c r="AM115" s="746"/>
      <c r="AN115" s="746"/>
      <c r="AO115" s="746"/>
      <c r="AP115" s="746"/>
      <c r="AQ115" s="746"/>
      <c r="AR115" s="746"/>
      <c r="AS115" s="746"/>
      <c r="AT115" s="746"/>
      <c r="AU115" s="746"/>
      <c r="AV115" s="746"/>
      <c r="AW115" s="746"/>
      <c r="AX115" s="746"/>
      <c r="AY115" s="746"/>
      <c r="AZ115" s="746"/>
      <c r="BA115" s="746"/>
      <c r="BB115" s="746"/>
      <c r="BC115" s="746"/>
      <c r="BD115" s="746"/>
      <c r="BE115" s="746"/>
      <c r="BF115" s="746"/>
      <c r="BG115" s="746"/>
      <c r="BH115" s="746"/>
      <c r="BI115" s="746"/>
      <c r="BJ115" s="747">
        <f>BJ113/BJ114</f>
        <v>47.146233908407666</v>
      </c>
      <c r="BK115" s="746"/>
      <c r="BL115" s="746"/>
      <c r="BM115" s="746"/>
      <c r="BN115" s="746"/>
      <c r="BO115" s="746"/>
      <c r="BP115" s="748"/>
      <c r="BQ115" s="748"/>
      <c r="BR115" s="748"/>
      <c r="BS115" s="748"/>
      <c r="BT115" s="748"/>
      <c r="BU115" s="748"/>
      <c r="BV115" s="748"/>
      <c r="BW115" s="748"/>
      <c r="BX115" s="748"/>
      <c r="BY115" s="748"/>
      <c r="BZ115" s="748"/>
      <c r="CA115" s="748"/>
      <c r="CB115" s="748"/>
      <c r="CC115" s="748"/>
      <c r="CD115" s="748"/>
      <c r="CE115" s="749"/>
      <c r="CF115" s="748"/>
      <c r="CG115" s="748"/>
      <c r="CH115" s="750"/>
    </row>
    <row r="116" spans="2:86" ht="13" thickBot="1"/>
    <row r="117" spans="2:86">
      <c r="B117" s="728" t="s">
        <v>260</v>
      </c>
      <c r="C117" s="729"/>
      <c r="D117" s="729"/>
      <c r="E117" s="729"/>
      <c r="F117" s="729"/>
      <c r="G117" s="729"/>
      <c r="H117" s="729"/>
      <c r="I117" s="729"/>
      <c r="J117" s="729"/>
      <c r="K117" s="729"/>
      <c r="L117" s="729"/>
      <c r="M117" s="729"/>
      <c r="N117" s="729"/>
      <c r="O117" s="729"/>
      <c r="P117" s="729"/>
      <c r="Q117" s="729"/>
      <c r="R117" s="729"/>
      <c r="S117" s="729"/>
      <c r="T117" s="729"/>
      <c r="U117" s="729"/>
      <c r="V117" s="729"/>
      <c r="W117" s="729"/>
      <c r="X117" s="729"/>
      <c r="Y117" s="729"/>
      <c r="Z117" s="729"/>
      <c r="AA117" s="729"/>
      <c r="AB117" s="729"/>
      <c r="AC117" s="729"/>
      <c r="AD117" s="729"/>
      <c r="AE117" s="729"/>
      <c r="AF117" s="729"/>
      <c r="AG117" s="729"/>
      <c r="AH117" s="729"/>
      <c r="AI117" s="729"/>
      <c r="AJ117" s="729"/>
      <c r="AK117" s="729"/>
      <c r="AL117" s="729"/>
      <c r="AM117" s="729"/>
      <c r="AN117" s="729"/>
      <c r="AO117" s="729"/>
      <c r="AP117" s="729"/>
      <c r="AQ117" s="729"/>
      <c r="AR117" s="729"/>
      <c r="AS117" s="729"/>
      <c r="AT117" s="729"/>
      <c r="AU117" s="729"/>
      <c r="AV117" s="729"/>
      <c r="AW117" s="729"/>
      <c r="AX117" s="729"/>
      <c r="AY117" s="729"/>
      <c r="AZ117" s="729"/>
      <c r="BA117" s="729"/>
      <c r="BB117" s="729"/>
      <c r="BC117" s="729"/>
      <c r="BD117" s="729"/>
      <c r="BE117" s="729"/>
      <c r="BF117" s="729"/>
      <c r="BG117" s="729"/>
      <c r="BH117" s="729"/>
      <c r="BI117" s="729"/>
      <c r="BJ117" s="729"/>
      <c r="BK117" s="729"/>
      <c r="BL117" s="729"/>
      <c r="BM117" s="729"/>
      <c r="BN117" s="729"/>
      <c r="BO117" s="729"/>
      <c r="BP117" s="729"/>
      <c r="BQ117" s="729"/>
      <c r="BR117" s="729"/>
      <c r="BS117" s="729"/>
      <c r="BT117" s="729"/>
      <c r="BU117" s="729"/>
      <c r="BV117" s="729"/>
      <c r="BW117" s="729"/>
      <c r="BX117" s="729"/>
      <c r="BY117" s="729"/>
      <c r="BZ117" s="729"/>
      <c r="CA117" s="729"/>
      <c r="CB117" s="729"/>
      <c r="CC117" s="729"/>
      <c r="CD117" s="729"/>
      <c r="CE117" s="729"/>
      <c r="CF117" s="729"/>
      <c r="CG117" s="729"/>
      <c r="CH117" s="730"/>
    </row>
    <row r="118" spans="2:86">
      <c r="B118" s="731"/>
      <c r="C118" s="726"/>
      <c r="D118" s="726"/>
      <c r="E118" s="726"/>
      <c r="F118" s="726"/>
      <c r="G118" s="726"/>
      <c r="H118" s="726"/>
      <c r="I118" s="726"/>
      <c r="J118" s="726"/>
      <c r="K118" s="726"/>
      <c r="L118" s="726"/>
      <c r="M118" s="726"/>
      <c r="N118" s="726"/>
      <c r="O118" s="726"/>
      <c r="P118" s="726"/>
      <c r="Q118" s="726"/>
      <c r="R118" s="726"/>
      <c r="S118" s="726"/>
      <c r="T118" s="726"/>
      <c r="U118" s="726"/>
      <c r="V118" s="726"/>
      <c r="W118" s="726"/>
      <c r="X118" s="726"/>
      <c r="Y118" s="726"/>
      <c r="Z118" s="726"/>
      <c r="AA118" s="726"/>
      <c r="AB118" s="726"/>
      <c r="AC118" s="726"/>
      <c r="AD118" s="726"/>
      <c r="AE118" s="726"/>
      <c r="AF118" s="726"/>
      <c r="AG118" s="726"/>
      <c r="AH118" s="726"/>
      <c r="AI118" s="726"/>
      <c r="AJ118" s="726"/>
      <c r="AK118" s="726"/>
      <c r="AL118" s="726"/>
      <c r="AM118" s="726"/>
      <c r="AN118" s="726"/>
      <c r="AO118" s="726"/>
      <c r="AP118" s="726"/>
      <c r="AQ118" s="726"/>
      <c r="AR118" s="726"/>
      <c r="AS118" s="726"/>
      <c r="AT118" s="726"/>
      <c r="AU118" s="726"/>
      <c r="AV118" s="726"/>
      <c r="AW118" s="726"/>
      <c r="AX118" s="726"/>
      <c r="AY118" s="726"/>
      <c r="AZ118" s="732" t="s">
        <v>26</v>
      </c>
      <c r="BA118" s="733"/>
      <c r="BB118" s="733"/>
      <c r="BC118" s="733"/>
      <c r="BD118" s="733"/>
      <c r="BE118" s="732"/>
      <c r="BF118" s="733"/>
      <c r="BG118" s="733"/>
      <c r="BH118" s="733"/>
      <c r="BI118" s="733"/>
      <c r="BJ118" s="732"/>
      <c r="BK118" s="726"/>
      <c r="BL118" s="726"/>
      <c r="BM118" s="726"/>
      <c r="BN118" s="726"/>
      <c r="BO118" s="726"/>
      <c r="BP118" s="726"/>
      <c r="BQ118" s="726"/>
      <c r="BR118" s="726"/>
      <c r="BS118" s="726"/>
      <c r="BT118" s="726"/>
      <c r="BU118" s="726"/>
      <c r="BV118" s="726"/>
      <c r="BW118" s="726"/>
      <c r="BX118" s="726"/>
      <c r="BY118" s="726"/>
      <c r="BZ118" s="726"/>
      <c r="CA118" s="726"/>
      <c r="CB118" s="726"/>
      <c r="CC118" s="726"/>
      <c r="CD118" s="726"/>
      <c r="CE118" s="720"/>
      <c r="CF118" s="726"/>
      <c r="CG118" s="726"/>
      <c r="CH118" s="734"/>
    </row>
    <row r="119" spans="2:86" ht="15">
      <c r="B119" s="731"/>
      <c r="C119" s="726"/>
      <c r="D119" s="726"/>
      <c r="E119" s="726"/>
      <c r="F119" s="726"/>
      <c r="G119" s="726"/>
      <c r="H119" s="726"/>
      <c r="I119" s="726"/>
      <c r="J119" s="726"/>
      <c r="K119" s="726"/>
      <c r="L119" s="726"/>
      <c r="M119" s="726"/>
      <c r="N119" s="726"/>
      <c r="O119" s="726"/>
      <c r="P119" s="726"/>
      <c r="Q119" s="726"/>
      <c r="R119" s="726"/>
      <c r="S119" s="726"/>
      <c r="T119" s="726"/>
      <c r="U119" s="726"/>
      <c r="V119" s="726"/>
      <c r="W119" s="726"/>
      <c r="X119" s="726"/>
      <c r="Y119" s="726"/>
      <c r="Z119" s="726"/>
      <c r="AA119" s="726"/>
      <c r="AB119" s="726"/>
      <c r="AC119" s="726"/>
      <c r="AD119" s="726"/>
      <c r="AE119" s="726"/>
      <c r="AF119" s="726"/>
      <c r="AG119" s="726"/>
      <c r="AH119" s="726"/>
      <c r="AI119" s="726"/>
      <c r="AJ119" s="726"/>
      <c r="AK119" s="726"/>
      <c r="AL119" s="726"/>
      <c r="AM119" s="726"/>
      <c r="AN119" s="726"/>
      <c r="AO119" s="726"/>
      <c r="AP119" s="726"/>
      <c r="AQ119" s="726"/>
      <c r="AR119" s="726"/>
      <c r="AS119" s="726"/>
      <c r="AT119" s="726"/>
      <c r="AU119" s="726"/>
      <c r="AV119" s="726"/>
      <c r="AW119" s="726"/>
      <c r="AX119" s="726"/>
      <c r="AY119" s="726"/>
      <c r="AZ119" s="735" t="s">
        <v>102</v>
      </c>
      <c r="BA119" s="736"/>
      <c r="BB119" s="736"/>
      <c r="BC119" s="736"/>
      <c r="BD119" s="736"/>
      <c r="BE119" s="735" t="s">
        <v>241</v>
      </c>
      <c r="BF119" s="736"/>
      <c r="BG119" s="736"/>
      <c r="BH119" s="736"/>
      <c r="BI119" s="736"/>
      <c r="BJ119" s="735" t="s">
        <v>242</v>
      </c>
      <c r="BK119" s="726"/>
      <c r="BL119" s="726"/>
      <c r="BM119" s="726"/>
      <c r="BN119" s="726"/>
      <c r="BO119" s="1022" t="s">
        <v>243</v>
      </c>
      <c r="BP119" s="1022"/>
      <c r="BQ119" s="1022"/>
      <c r="BR119" s="1022"/>
      <c r="BS119" s="1022"/>
      <c r="BT119" s="1022"/>
      <c r="BU119" s="1022"/>
      <c r="BV119" s="1022"/>
      <c r="BW119" s="1022"/>
      <c r="BX119" s="1022"/>
      <c r="BY119" s="1022"/>
      <c r="BZ119" s="1022"/>
      <c r="CA119" s="1022"/>
      <c r="CB119" s="1022"/>
      <c r="CC119" s="1022"/>
      <c r="CD119" s="1022"/>
      <c r="CE119" s="1022"/>
      <c r="CF119" s="1022"/>
      <c r="CG119" s="1022"/>
      <c r="CH119" s="1023"/>
    </row>
    <row r="120" spans="2:86">
      <c r="B120" s="737" t="s">
        <v>244</v>
      </c>
      <c r="C120" s="390"/>
      <c r="D120" s="390"/>
      <c r="E120" s="390"/>
      <c r="F120" s="390"/>
      <c r="G120" s="390"/>
      <c r="H120" s="390"/>
      <c r="I120" s="390"/>
      <c r="J120" s="390"/>
      <c r="K120" s="390"/>
      <c r="L120" s="390"/>
      <c r="M120" s="390"/>
      <c r="N120" s="390"/>
      <c r="O120" s="390"/>
      <c r="P120" s="390"/>
      <c r="Q120" s="390"/>
      <c r="R120" s="390"/>
      <c r="S120" s="390"/>
      <c r="T120" s="390"/>
      <c r="U120" s="390"/>
      <c r="V120" s="390"/>
      <c r="W120" s="390"/>
      <c r="X120" s="390"/>
      <c r="Y120" s="390"/>
      <c r="Z120" s="390"/>
      <c r="AA120" s="390"/>
      <c r="AB120" s="390"/>
      <c r="AC120" s="390"/>
      <c r="AD120" s="390"/>
      <c r="AE120" s="390"/>
      <c r="AF120" s="390"/>
      <c r="AG120" s="390"/>
      <c r="AH120" s="390"/>
      <c r="AI120" s="390"/>
      <c r="AJ120" s="390"/>
      <c r="AK120" s="390"/>
      <c r="AL120" s="390"/>
      <c r="AM120" s="390"/>
      <c r="AN120" s="390"/>
      <c r="AO120" s="390"/>
      <c r="AP120" s="390"/>
      <c r="AQ120" s="390"/>
      <c r="AR120" s="390"/>
      <c r="AS120" s="390"/>
      <c r="AT120" s="390"/>
      <c r="AU120" s="390"/>
      <c r="AV120" s="390"/>
      <c r="AW120" s="390"/>
      <c r="AX120" s="390"/>
      <c r="AY120" s="390"/>
      <c r="AZ120" s="738">
        <f>AZ104</f>
        <v>1081.7367216500197</v>
      </c>
      <c r="BA120" s="726"/>
      <c r="BB120" s="726"/>
      <c r="BC120" s="726"/>
      <c r="BD120" s="726"/>
      <c r="BE120" s="739">
        <v>11</v>
      </c>
      <c r="BF120" s="726"/>
      <c r="BG120" s="726"/>
      <c r="BH120" s="726"/>
      <c r="BI120" s="726"/>
      <c r="BJ120" s="738">
        <f>AZ120*BE120</f>
        <v>11899.103938150216</v>
      </c>
      <c r="BK120" s="726"/>
      <c r="BL120" s="726"/>
      <c r="BM120" s="726"/>
      <c r="BN120" s="726"/>
      <c r="BO120" s="726" t="s">
        <v>261</v>
      </c>
      <c r="BP120" s="726"/>
      <c r="BQ120" s="726"/>
      <c r="BR120" s="726"/>
      <c r="BS120" s="726"/>
      <c r="BT120" s="726"/>
      <c r="BU120" s="726"/>
      <c r="BV120" s="726"/>
      <c r="BW120" s="726"/>
      <c r="BX120" s="726"/>
      <c r="BY120" s="726"/>
      <c r="BZ120" s="726"/>
      <c r="CA120" s="726"/>
      <c r="CB120" s="726"/>
      <c r="CC120" s="726"/>
      <c r="CD120" s="726"/>
      <c r="CE120" s="720"/>
      <c r="CF120" s="726"/>
      <c r="CG120" s="726"/>
      <c r="CH120" s="734"/>
    </row>
    <row r="121" spans="2:86">
      <c r="B121" s="737" t="s">
        <v>245</v>
      </c>
      <c r="C121" s="390"/>
      <c r="D121" s="390"/>
      <c r="E121" s="390"/>
      <c r="F121" s="390"/>
      <c r="G121" s="390"/>
      <c r="H121" s="390"/>
      <c r="I121" s="390"/>
      <c r="J121" s="390"/>
      <c r="K121" s="390"/>
      <c r="L121" s="390"/>
      <c r="M121" s="390"/>
      <c r="N121" s="390"/>
      <c r="O121" s="390"/>
      <c r="P121" s="390"/>
      <c r="Q121" s="390"/>
      <c r="R121" s="390"/>
      <c r="S121" s="390"/>
      <c r="T121" s="390"/>
      <c r="U121" s="390"/>
      <c r="V121" s="390"/>
      <c r="W121" s="390"/>
      <c r="X121" s="390"/>
      <c r="Y121" s="390"/>
      <c r="Z121" s="390"/>
      <c r="AA121" s="390"/>
      <c r="AB121" s="390"/>
      <c r="AC121" s="390"/>
      <c r="AD121" s="390"/>
      <c r="AE121" s="390"/>
      <c r="AF121" s="390"/>
      <c r="AG121" s="390"/>
      <c r="AH121" s="390"/>
      <c r="AI121" s="390"/>
      <c r="AJ121" s="390"/>
      <c r="AK121" s="390"/>
      <c r="AL121" s="390"/>
      <c r="AM121" s="390"/>
      <c r="AN121" s="390"/>
      <c r="AO121" s="390"/>
      <c r="AP121" s="390"/>
      <c r="AQ121" s="390"/>
      <c r="AR121" s="390"/>
      <c r="AS121" s="390"/>
      <c r="AT121" s="390"/>
      <c r="AU121" s="390"/>
      <c r="AV121" s="390"/>
      <c r="AW121" s="390"/>
      <c r="AX121" s="390"/>
      <c r="AY121" s="390"/>
      <c r="AZ121" s="738">
        <f t="shared" ref="AZ121:AZ125" si="9">AZ105</f>
        <v>1230.3508968306246</v>
      </c>
      <c r="BA121" s="726"/>
      <c r="BB121" s="726"/>
      <c r="BC121" s="726"/>
      <c r="BD121" s="726"/>
      <c r="BE121" s="739">
        <v>9</v>
      </c>
      <c r="BF121" s="726"/>
      <c r="BG121" s="726"/>
      <c r="BH121" s="726"/>
      <c r="BI121" s="726"/>
      <c r="BJ121" s="738">
        <f t="shared" ref="BJ121:BJ125" si="10">AZ121*BE121</f>
        <v>11073.158071475622</v>
      </c>
      <c r="BK121" s="726"/>
      <c r="BL121" s="726"/>
      <c r="BM121" s="726"/>
      <c r="BN121" s="726"/>
      <c r="BO121" s="726" t="s">
        <v>246</v>
      </c>
      <c r="BP121" s="726"/>
      <c r="BQ121" s="726"/>
      <c r="BR121" s="726"/>
      <c r="BS121" s="726"/>
      <c r="BT121" s="726"/>
      <c r="BU121" s="726"/>
      <c r="BV121" s="726"/>
      <c r="BW121" s="726"/>
      <c r="BX121" s="726"/>
      <c r="BY121" s="726"/>
      <c r="BZ121" s="726"/>
      <c r="CA121" s="726"/>
      <c r="CB121" s="726"/>
      <c r="CC121" s="726"/>
      <c r="CD121" s="726"/>
      <c r="CE121" s="720"/>
      <c r="CF121" s="726"/>
      <c r="CG121" s="726"/>
      <c r="CH121" s="734"/>
    </row>
    <row r="122" spans="2:86">
      <c r="B122" s="737" t="s">
        <v>247</v>
      </c>
      <c r="C122" s="390"/>
      <c r="D122" s="390"/>
      <c r="E122" s="390"/>
      <c r="F122" s="390"/>
      <c r="G122" s="390"/>
      <c r="H122" s="390"/>
      <c r="I122" s="390"/>
      <c r="J122" s="390"/>
      <c r="K122" s="390"/>
      <c r="L122" s="390"/>
      <c r="M122" s="390"/>
      <c r="N122" s="390"/>
      <c r="O122" s="390"/>
      <c r="P122" s="390"/>
      <c r="Q122" s="390"/>
      <c r="R122" s="390"/>
      <c r="S122" s="390"/>
      <c r="T122" s="390"/>
      <c r="U122" s="390"/>
      <c r="V122" s="390"/>
      <c r="W122" s="390"/>
      <c r="X122" s="390"/>
      <c r="Y122" s="390"/>
      <c r="Z122" s="390"/>
      <c r="AA122" s="390"/>
      <c r="AB122" s="390"/>
      <c r="AC122" s="390"/>
      <c r="AD122" s="390"/>
      <c r="AE122" s="390"/>
      <c r="AF122" s="390"/>
      <c r="AG122" s="390"/>
      <c r="AH122" s="390"/>
      <c r="AI122" s="390"/>
      <c r="AJ122" s="390"/>
      <c r="AK122" s="390"/>
      <c r="AL122" s="390"/>
      <c r="AM122" s="390"/>
      <c r="AN122" s="390"/>
      <c r="AO122" s="390"/>
      <c r="AP122" s="390"/>
      <c r="AQ122" s="390"/>
      <c r="AR122" s="390"/>
      <c r="AS122" s="390"/>
      <c r="AT122" s="390"/>
      <c r="AU122" s="390"/>
      <c r="AV122" s="390"/>
      <c r="AW122" s="390"/>
      <c r="AX122" s="390"/>
      <c r="AY122" s="390"/>
      <c r="AZ122" s="738">
        <f t="shared" si="9"/>
        <v>742.7802422417775</v>
      </c>
      <c r="BA122" s="726"/>
      <c r="BB122" s="726"/>
      <c r="BC122" s="726"/>
      <c r="BD122" s="726"/>
      <c r="BE122" s="739">
        <v>6</v>
      </c>
      <c r="BF122" s="726"/>
      <c r="BG122" s="726"/>
      <c r="BH122" s="726"/>
      <c r="BI122" s="726"/>
      <c r="BJ122" s="738">
        <f t="shared" si="10"/>
        <v>4456.6814534506648</v>
      </c>
      <c r="BK122" s="726"/>
      <c r="BL122" s="726"/>
      <c r="BM122" s="726"/>
      <c r="BN122" s="726"/>
      <c r="BO122" s="726"/>
      <c r="BP122" s="726"/>
      <c r="BQ122" s="726"/>
      <c r="BR122" s="726"/>
      <c r="BS122" s="726"/>
      <c r="BT122" s="726"/>
      <c r="BU122" s="726"/>
      <c r="BV122" s="726"/>
      <c r="BW122" s="726"/>
      <c r="BX122" s="726"/>
      <c r="BY122" s="726"/>
      <c r="BZ122" s="726"/>
      <c r="CA122" s="726"/>
      <c r="CB122" s="726"/>
      <c r="CC122" s="726"/>
      <c r="CD122" s="726"/>
      <c r="CE122" s="720"/>
      <c r="CF122" s="726"/>
      <c r="CG122" s="726"/>
      <c r="CH122" s="734"/>
    </row>
    <row r="123" spans="2:86">
      <c r="B123" s="737" t="s">
        <v>248</v>
      </c>
      <c r="C123" s="390"/>
      <c r="D123" s="390"/>
      <c r="E123" s="390"/>
      <c r="F123" s="390"/>
      <c r="G123" s="390"/>
      <c r="H123" s="390"/>
      <c r="I123" s="390"/>
      <c r="J123" s="390"/>
      <c r="K123" s="390"/>
      <c r="L123" s="390"/>
      <c r="M123" s="390"/>
      <c r="N123" s="390"/>
      <c r="O123" s="390"/>
      <c r="P123" s="390"/>
      <c r="Q123" s="390"/>
      <c r="R123" s="390"/>
      <c r="S123" s="390"/>
      <c r="T123" s="390"/>
      <c r="U123" s="390"/>
      <c r="V123" s="390"/>
      <c r="W123" s="390"/>
      <c r="X123" s="390"/>
      <c r="Y123" s="390"/>
      <c r="Z123" s="390"/>
      <c r="AA123" s="390"/>
      <c r="AB123" s="390"/>
      <c r="AC123" s="390"/>
      <c r="AD123" s="390"/>
      <c r="AE123" s="390"/>
      <c r="AF123" s="390"/>
      <c r="AG123" s="390"/>
      <c r="AH123" s="390"/>
      <c r="AI123" s="390"/>
      <c r="AJ123" s="390"/>
      <c r="AK123" s="390"/>
      <c r="AL123" s="390"/>
      <c r="AM123" s="390"/>
      <c r="AN123" s="390"/>
      <c r="AO123" s="390"/>
      <c r="AP123" s="390"/>
      <c r="AQ123" s="390"/>
      <c r="AR123" s="390"/>
      <c r="AS123" s="390"/>
      <c r="AT123" s="390"/>
      <c r="AU123" s="390"/>
      <c r="AV123" s="390"/>
      <c r="AW123" s="390"/>
      <c r="AX123" s="390"/>
      <c r="AY123" s="390"/>
      <c r="AZ123" s="738">
        <f t="shared" si="9"/>
        <v>889.7754991346095</v>
      </c>
      <c r="BA123" s="726"/>
      <c r="BB123" s="726"/>
      <c r="BC123" s="726"/>
      <c r="BD123" s="726"/>
      <c r="BE123" s="739">
        <v>5</v>
      </c>
      <c r="BF123" s="726"/>
      <c r="BG123" s="726"/>
      <c r="BH123" s="726"/>
      <c r="BI123" s="726"/>
      <c r="BJ123" s="738">
        <f t="shared" si="10"/>
        <v>4448.8774956730476</v>
      </c>
      <c r="BK123" s="726"/>
      <c r="BL123" s="726"/>
      <c r="BM123" s="726"/>
      <c r="BN123" s="726"/>
      <c r="BO123" s="726"/>
      <c r="BP123" s="726"/>
      <c r="BQ123" s="726"/>
      <c r="BR123" s="726"/>
      <c r="BS123" s="726"/>
      <c r="BT123" s="726"/>
      <c r="BU123" s="726"/>
      <c r="BV123" s="726"/>
      <c r="BW123" s="726"/>
      <c r="BX123" s="726"/>
      <c r="BY123" s="726"/>
      <c r="BZ123" s="726"/>
      <c r="CA123" s="726"/>
      <c r="CB123" s="726"/>
      <c r="CC123" s="726"/>
      <c r="CD123" s="726"/>
      <c r="CE123" s="720"/>
      <c r="CF123" s="726"/>
      <c r="CG123" s="726"/>
      <c r="CH123" s="734"/>
    </row>
    <row r="124" spans="2:86">
      <c r="B124" s="737" t="s">
        <v>196</v>
      </c>
      <c r="C124" s="390"/>
      <c r="D124" s="390"/>
      <c r="E124" s="390"/>
      <c r="F124" s="390"/>
      <c r="G124" s="390"/>
      <c r="H124" s="390"/>
      <c r="I124" s="390"/>
      <c r="J124" s="390"/>
      <c r="K124" s="390"/>
      <c r="L124" s="390"/>
      <c r="M124" s="390"/>
      <c r="N124" s="390"/>
      <c r="O124" s="390"/>
      <c r="P124" s="390"/>
      <c r="Q124" s="390"/>
      <c r="R124" s="390"/>
      <c r="S124" s="390"/>
      <c r="T124" s="390"/>
      <c r="U124" s="390"/>
      <c r="V124" s="390"/>
      <c r="W124" s="390"/>
      <c r="X124" s="390"/>
      <c r="Y124" s="390"/>
      <c r="Z124" s="390"/>
      <c r="AA124" s="390"/>
      <c r="AB124" s="390"/>
      <c r="AC124" s="390"/>
      <c r="AD124" s="390"/>
      <c r="AE124" s="390"/>
      <c r="AF124" s="390"/>
      <c r="AG124" s="390"/>
      <c r="AH124" s="390"/>
      <c r="AI124" s="390"/>
      <c r="AJ124" s="390"/>
      <c r="AK124" s="390"/>
      <c r="AL124" s="390"/>
      <c r="AM124" s="390"/>
      <c r="AN124" s="390"/>
      <c r="AO124" s="390"/>
      <c r="AP124" s="390"/>
      <c r="AQ124" s="390"/>
      <c r="AR124" s="390"/>
      <c r="AS124" s="390"/>
      <c r="AT124" s="390"/>
      <c r="AU124" s="390"/>
      <c r="AV124" s="390"/>
      <c r="AW124" s="390"/>
      <c r="AX124" s="390"/>
      <c r="AY124" s="390"/>
      <c r="AZ124" s="738">
        <f t="shared" si="9"/>
        <v>685.809116579136</v>
      </c>
      <c r="BA124" s="726"/>
      <c r="BB124" s="726"/>
      <c r="BC124" s="726"/>
      <c r="BD124" s="726"/>
      <c r="BE124" s="739">
        <v>7</v>
      </c>
      <c r="BF124" s="726"/>
      <c r="BG124" s="726"/>
      <c r="BH124" s="726"/>
      <c r="BI124" s="726"/>
      <c r="BJ124" s="738">
        <f t="shared" si="10"/>
        <v>4800.6638160539524</v>
      </c>
      <c r="BK124" s="726"/>
      <c r="BL124" s="726"/>
      <c r="BM124" s="726"/>
      <c r="BN124" s="726"/>
      <c r="BO124" s="726"/>
      <c r="BP124" s="726"/>
      <c r="BQ124" s="726"/>
      <c r="BR124" s="726"/>
      <c r="BS124" s="726"/>
      <c r="BT124" s="726"/>
      <c r="BU124" s="726"/>
      <c r="BV124" s="726"/>
      <c r="BW124" s="726"/>
      <c r="BX124" s="726"/>
      <c r="BY124" s="726"/>
      <c r="BZ124" s="726"/>
      <c r="CA124" s="726"/>
      <c r="CB124" s="726"/>
      <c r="CC124" s="726"/>
      <c r="CD124" s="726"/>
      <c r="CE124" s="720"/>
      <c r="CF124" s="726"/>
      <c r="CG124" s="726"/>
      <c r="CH124" s="734"/>
    </row>
    <row r="125" spans="2:86" ht="15">
      <c r="B125" s="737" t="s">
        <v>250</v>
      </c>
      <c r="C125" s="390"/>
      <c r="D125" s="390"/>
      <c r="E125" s="390"/>
      <c r="F125" s="390"/>
      <c r="G125" s="390"/>
      <c r="H125" s="390"/>
      <c r="I125" s="390"/>
      <c r="J125" s="390"/>
      <c r="K125" s="390"/>
      <c r="L125" s="390"/>
      <c r="M125" s="390"/>
      <c r="N125" s="390"/>
      <c r="O125" s="390"/>
      <c r="P125" s="390"/>
      <c r="Q125" s="390"/>
      <c r="R125" s="390"/>
      <c r="S125" s="390"/>
      <c r="T125" s="390"/>
      <c r="U125" s="390"/>
      <c r="V125" s="390"/>
      <c r="W125" s="390"/>
      <c r="X125" s="390"/>
      <c r="Y125" s="390"/>
      <c r="Z125" s="390"/>
      <c r="AA125" s="390"/>
      <c r="AB125" s="390"/>
      <c r="AC125" s="390"/>
      <c r="AD125" s="390"/>
      <c r="AE125" s="390"/>
      <c r="AF125" s="390"/>
      <c r="AG125" s="390"/>
      <c r="AH125" s="390"/>
      <c r="AI125" s="390"/>
      <c r="AJ125" s="390"/>
      <c r="AK125" s="390"/>
      <c r="AL125" s="390"/>
      <c r="AM125" s="390"/>
      <c r="AN125" s="390"/>
      <c r="AO125" s="390"/>
      <c r="AP125" s="390"/>
      <c r="AQ125" s="390"/>
      <c r="AR125" s="390"/>
      <c r="AS125" s="390"/>
      <c r="AT125" s="390"/>
      <c r="AU125" s="390"/>
      <c r="AV125" s="390"/>
      <c r="AW125" s="390"/>
      <c r="AX125" s="390"/>
      <c r="AY125" s="390"/>
      <c r="AZ125" s="738">
        <f t="shared" si="9"/>
        <v>759.80700256383204</v>
      </c>
      <c r="BA125" s="726"/>
      <c r="BB125" s="726"/>
      <c r="BC125" s="726"/>
      <c r="BD125" s="726"/>
      <c r="BE125" s="739">
        <v>7</v>
      </c>
      <c r="BF125" s="726"/>
      <c r="BG125" s="726"/>
      <c r="BH125" s="726"/>
      <c r="BI125" s="726"/>
      <c r="BJ125" s="740">
        <f t="shared" si="10"/>
        <v>5318.6490179468246</v>
      </c>
      <c r="BK125" s="726"/>
      <c r="BL125" s="726"/>
      <c r="BM125" s="726"/>
      <c r="BN125" s="726"/>
      <c r="BO125" s="726"/>
      <c r="BP125" s="726"/>
      <c r="BQ125" s="726"/>
      <c r="BR125" s="726"/>
      <c r="BS125" s="726"/>
      <c r="BT125" s="726"/>
      <c r="BU125" s="726"/>
      <c r="BV125" s="726"/>
      <c r="BW125" s="726"/>
      <c r="BX125" s="726"/>
      <c r="BY125" s="726"/>
      <c r="BZ125" s="726"/>
      <c r="CA125" s="726"/>
      <c r="CB125" s="726"/>
      <c r="CC125" s="726"/>
      <c r="CD125" s="726"/>
      <c r="CE125" s="720"/>
      <c r="CF125" s="726"/>
      <c r="CG125" s="726"/>
      <c r="CH125" s="734"/>
    </row>
    <row r="126" spans="2:86">
      <c r="B126" s="737" t="s">
        <v>252</v>
      </c>
      <c r="C126" s="741"/>
      <c r="D126" s="741"/>
      <c r="E126" s="741"/>
      <c r="F126" s="741"/>
      <c r="G126" s="741"/>
      <c r="H126" s="741"/>
      <c r="I126" s="741"/>
      <c r="J126" s="741"/>
      <c r="K126" s="741"/>
      <c r="L126" s="741"/>
      <c r="M126" s="741"/>
      <c r="N126" s="741"/>
      <c r="O126" s="741"/>
      <c r="P126" s="741"/>
      <c r="Q126" s="741"/>
      <c r="R126" s="741"/>
      <c r="S126" s="741"/>
      <c r="T126" s="741"/>
      <c r="U126" s="741"/>
      <c r="V126" s="741"/>
      <c r="W126" s="741"/>
      <c r="X126" s="741"/>
      <c r="Y126" s="741"/>
      <c r="Z126" s="741"/>
      <c r="AA126" s="741"/>
      <c r="AB126" s="741"/>
      <c r="AC126" s="741"/>
      <c r="AD126" s="741"/>
      <c r="AE126" s="741"/>
      <c r="AF126" s="741"/>
      <c r="AG126" s="741"/>
      <c r="AH126" s="741"/>
      <c r="AI126" s="741"/>
      <c r="AJ126" s="741"/>
      <c r="AK126" s="741"/>
      <c r="AL126" s="741"/>
      <c r="AM126" s="741"/>
      <c r="AN126" s="741"/>
      <c r="AO126" s="741"/>
      <c r="AP126" s="741"/>
      <c r="AQ126" s="741"/>
      <c r="AR126" s="741"/>
      <c r="AS126" s="741"/>
      <c r="AT126" s="741"/>
      <c r="AU126" s="741"/>
      <c r="AV126" s="741"/>
      <c r="AW126" s="741"/>
      <c r="AX126" s="741"/>
      <c r="AY126" s="741"/>
      <c r="AZ126" s="742">
        <f>SUM(AZ120:AZ125)</f>
        <v>5390.2594789999994</v>
      </c>
      <c r="BA126" s="726"/>
      <c r="BB126" s="726"/>
      <c r="BC126" s="726"/>
      <c r="BD126" s="726"/>
      <c r="BE126" s="743">
        <f>BJ126/AZ126</f>
        <v>7.7913009487516609</v>
      </c>
      <c r="BF126" s="726"/>
      <c r="BG126" s="726"/>
      <c r="BH126" s="726"/>
      <c r="BI126" s="726"/>
      <c r="BJ126" s="742">
        <f>SUM(BJ120:BJ125)</f>
        <v>41997.133792750326</v>
      </c>
      <c r="BK126" s="726"/>
      <c r="BL126" s="726"/>
      <c r="BM126" s="726"/>
      <c r="BN126" s="726"/>
      <c r="BO126" s="726"/>
      <c r="BP126" s="726"/>
      <c r="BQ126" s="726"/>
      <c r="BR126" s="726"/>
      <c r="BS126" s="726"/>
      <c r="BT126" s="726"/>
      <c r="BU126" s="726"/>
      <c r="BV126" s="726"/>
      <c r="BW126" s="726"/>
      <c r="BX126" s="726"/>
      <c r="BY126" s="726"/>
      <c r="BZ126" s="726"/>
      <c r="CA126" s="726"/>
      <c r="CB126" s="726"/>
      <c r="CC126" s="726"/>
      <c r="CD126" s="726"/>
      <c r="CE126" s="720"/>
      <c r="CF126" s="726"/>
      <c r="CG126" s="726"/>
      <c r="CH126" s="734"/>
    </row>
    <row r="127" spans="2:86">
      <c r="B127" s="744"/>
      <c r="C127" s="390"/>
      <c r="D127" s="390"/>
      <c r="E127" s="390"/>
      <c r="F127" s="390"/>
      <c r="G127" s="390"/>
      <c r="H127" s="390"/>
      <c r="I127" s="390"/>
      <c r="J127" s="390"/>
      <c r="K127" s="390"/>
      <c r="L127" s="390"/>
      <c r="M127" s="390"/>
      <c r="N127" s="390"/>
      <c r="O127" s="390"/>
      <c r="P127" s="390"/>
      <c r="Q127" s="390"/>
      <c r="R127" s="390"/>
      <c r="S127" s="390"/>
      <c r="T127" s="390"/>
      <c r="U127" s="390"/>
      <c r="V127" s="390"/>
      <c r="W127" s="390"/>
      <c r="X127" s="390"/>
      <c r="Y127" s="390"/>
      <c r="Z127" s="390"/>
      <c r="AA127" s="390"/>
      <c r="AB127" s="390"/>
      <c r="AC127" s="390"/>
      <c r="AD127" s="390"/>
      <c r="AE127" s="390"/>
      <c r="AF127" s="390"/>
      <c r="AG127" s="390"/>
      <c r="AH127" s="390"/>
      <c r="AI127" s="390"/>
      <c r="AJ127" s="390"/>
      <c r="AK127" s="390"/>
      <c r="AL127" s="390"/>
      <c r="AM127" s="390"/>
      <c r="AN127" s="390"/>
      <c r="AO127" s="390"/>
      <c r="AP127" s="390"/>
      <c r="AQ127" s="390"/>
      <c r="AR127" s="390"/>
      <c r="AS127" s="390"/>
      <c r="AT127" s="390"/>
      <c r="AU127" s="390"/>
      <c r="AV127" s="390"/>
      <c r="AW127" s="390"/>
      <c r="AX127" s="390"/>
      <c r="AY127" s="390"/>
      <c r="AZ127" s="390"/>
      <c r="BA127" s="390"/>
      <c r="BB127" s="390"/>
      <c r="BC127" s="390"/>
      <c r="BD127" s="390"/>
      <c r="BE127" s="390"/>
      <c r="BF127" s="390"/>
      <c r="BG127" s="390"/>
      <c r="BH127" s="390"/>
      <c r="BI127" s="390"/>
      <c r="BJ127" s="390"/>
      <c r="BK127" s="390"/>
      <c r="BL127" s="390"/>
      <c r="BM127" s="390"/>
      <c r="BN127" s="390"/>
      <c r="BO127" s="390"/>
      <c r="BP127" s="726"/>
      <c r="BQ127" s="726"/>
      <c r="BR127" s="726"/>
      <c r="BS127" s="726"/>
      <c r="BT127" s="726"/>
      <c r="BU127" s="726"/>
      <c r="BV127" s="726"/>
      <c r="BW127" s="726"/>
      <c r="BX127" s="726"/>
      <c r="BY127" s="726"/>
      <c r="BZ127" s="726"/>
      <c r="CA127" s="726"/>
      <c r="CB127" s="726"/>
      <c r="CC127" s="726"/>
      <c r="CD127" s="726"/>
      <c r="CE127" s="720"/>
      <c r="CF127" s="726"/>
      <c r="CG127" s="726"/>
      <c r="CH127" s="734"/>
    </row>
    <row r="128" spans="2:86">
      <c r="B128" s="744" t="s">
        <v>253</v>
      </c>
      <c r="C128" s="390"/>
      <c r="D128" s="390"/>
      <c r="E128" s="390"/>
      <c r="F128" s="390"/>
      <c r="G128" s="390"/>
      <c r="H128" s="390"/>
      <c r="I128" s="390"/>
      <c r="J128" s="390"/>
      <c r="K128" s="390"/>
      <c r="L128" s="390"/>
      <c r="M128" s="390"/>
      <c r="N128" s="390"/>
      <c r="O128" s="390"/>
      <c r="P128" s="390"/>
      <c r="Q128" s="390"/>
      <c r="R128" s="390"/>
      <c r="S128" s="390"/>
      <c r="T128" s="390"/>
      <c r="U128" s="390"/>
      <c r="V128" s="390"/>
      <c r="W128" s="390"/>
      <c r="X128" s="390"/>
      <c r="Y128" s="390"/>
      <c r="Z128" s="390"/>
      <c r="AA128" s="390"/>
      <c r="AB128" s="390"/>
      <c r="AC128" s="390"/>
      <c r="AD128" s="390"/>
      <c r="AE128" s="390"/>
      <c r="AF128" s="390"/>
      <c r="AG128" s="390"/>
      <c r="AH128" s="390"/>
      <c r="AI128" s="390"/>
      <c r="AJ128" s="390"/>
      <c r="AK128" s="390"/>
      <c r="AL128" s="390"/>
      <c r="AM128" s="390"/>
      <c r="AN128" s="390"/>
      <c r="AO128" s="390"/>
      <c r="AP128" s="390"/>
      <c r="AQ128" s="390"/>
      <c r="AR128" s="390"/>
      <c r="AS128" s="390"/>
      <c r="AT128" s="390"/>
      <c r="AU128" s="390"/>
      <c r="AV128" s="390"/>
      <c r="AW128" s="390"/>
      <c r="AX128" s="390"/>
      <c r="AY128" s="390"/>
      <c r="AZ128" s="390"/>
      <c r="BA128" s="390"/>
      <c r="BB128" s="390"/>
      <c r="BC128" s="390"/>
      <c r="BD128" s="390"/>
      <c r="BE128" s="390"/>
      <c r="BF128" s="390"/>
      <c r="BG128" s="390"/>
      <c r="BH128" s="390"/>
      <c r="BI128" s="390"/>
      <c r="BJ128" s="738">
        <f>BJ112</f>
        <v>30542.018888888884</v>
      </c>
      <c r="BK128" s="390"/>
      <c r="BL128" s="390"/>
      <c r="BM128" s="390"/>
      <c r="BN128" s="390"/>
      <c r="BO128" s="390"/>
      <c r="BP128" s="726"/>
      <c r="BQ128" s="726"/>
      <c r="BR128" s="726"/>
      <c r="BS128" s="726"/>
      <c r="BT128" s="726"/>
      <c r="BU128" s="726"/>
      <c r="BV128" s="726"/>
      <c r="BW128" s="726"/>
      <c r="BX128" s="726"/>
      <c r="BY128" s="726"/>
      <c r="BZ128" s="726"/>
      <c r="CA128" s="726"/>
      <c r="CB128" s="726"/>
      <c r="CC128" s="726"/>
      <c r="CD128" s="726"/>
      <c r="CE128" s="720"/>
      <c r="CF128" s="726"/>
      <c r="CG128" s="726"/>
      <c r="CH128" s="734"/>
    </row>
    <row r="129" spans="2:86">
      <c r="B129" s="737" t="s">
        <v>254</v>
      </c>
      <c r="C129" s="390"/>
      <c r="D129" s="390"/>
      <c r="E129" s="390"/>
      <c r="F129" s="390"/>
      <c r="G129" s="390"/>
      <c r="H129" s="390"/>
      <c r="I129" s="390"/>
      <c r="J129" s="390"/>
      <c r="K129" s="390"/>
      <c r="L129" s="390"/>
      <c r="M129" s="390"/>
      <c r="N129" s="390"/>
      <c r="O129" s="390"/>
      <c r="P129" s="390"/>
      <c r="Q129" s="390"/>
      <c r="R129" s="390"/>
      <c r="S129" s="390"/>
      <c r="T129" s="390"/>
      <c r="U129" s="390"/>
      <c r="V129" s="390"/>
      <c r="W129" s="390"/>
      <c r="X129" s="390"/>
      <c r="Y129" s="390"/>
      <c r="Z129" s="390"/>
      <c r="AA129" s="390"/>
      <c r="AB129" s="390"/>
      <c r="AC129" s="390"/>
      <c r="AD129" s="390"/>
      <c r="AE129" s="390"/>
      <c r="AF129" s="390"/>
      <c r="AG129" s="390"/>
      <c r="AH129" s="390"/>
      <c r="AI129" s="390"/>
      <c r="AJ129" s="390"/>
      <c r="AK129" s="390"/>
      <c r="AL129" s="390"/>
      <c r="AM129" s="390"/>
      <c r="AN129" s="390"/>
      <c r="AO129" s="390"/>
      <c r="AP129" s="390"/>
      <c r="AQ129" s="390"/>
      <c r="AR129" s="390"/>
      <c r="AS129" s="390"/>
      <c r="AT129" s="390"/>
      <c r="AU129" s="390"/>
      <c r="AV129" s="390"/>
      <c r="AW129" s="390"/>
      <c r="AX129" s="390"/>
      <c r="AY129" s="390"/>
      <c r="AZ129" s="390"/>
      <c r="BA129" s="390"/>
      <c r="BB129" s="390"/>
      <c r="BC129" s="390"/>
      <c r="BD129" s="390"/>
      <c r="BE129" s="390"/>
      <c r="BF129" s="390"/>
      <c r="BG129" s="390"/>
      <c r="BH129" s="390"/>
      <c r="BI129" s="390"/>
      <c r="BJ129" s="742">
        <f>BJ126-BJ128</f>
        <v>11455.114903861442</v>
      </c>
      <c r="BK129" s="390"/>
      <c r="BL129" s="390"/>
      <c r="BM129" s="390"/>
      <c r="BN129" s="390"/>
      <c r="BO129" s="390"/>
      <c r="BP129" s="726"/>
      <c r="BQ129" s="726"/>
      <c r="BR129" s="726"/>
      <c r="BS129" s="726"/>
      <c r="BT129" s="726"/>
      <c r="BU129" s="726"/>
      <c r="BV129" s="726"/>
      <c r="BW129" s="726"/>
      <c r="BX129" s="726"/>
      <c r="BY129" s="726"/>
      <c r="BZ129" s="726"/>
      <c r="CA129" s="726"/>
      <c r="CB129" s="726"/>
      <c r="CC129" s="726"/>
      <c r="CD129" s="726"/>
      <c r="CE129" s="720"/>
      <c r="CF129" s="726"/>
      <c r="CG129" s="726"/>
      <c r="CH129" s="734"/>
    </row>
    <row r="130" spans="2:86">
      <c r="B130" s="744" t="s">
        <v>255</v>
      </c>
      <c r="C130" s="390"/>
      <c r="D130" s="390"/>
      <c r="E130" s="390"/>
      <c r="F130" s="390"/>
      <c r="G130" s="390"/>
      <c r="H130" s="390"/>
      <c r="I130" s="390"/>
      <c r="J130" s="390"/>
      <c r="K130" s="390"/>
      <c r="L130" s="390"/>
      <c r="M130" s="390"/>
      <c r="N130" s="390"/>
      <c r="O130" s="390"/>
      <c r="P130" s="390"/>
      <c r="Q130" s="390"/>
      <c r="R130" s="390"/>
      <c r="S130" s="390"/>
      <c r="T130" s="390"/>
      <c r="U130" s="390"/>
      <c r="V130" s="390"/>
      <c r="W130" s="390"/>
      <c r="X130" s="390"/>
      <c r="Y130" s="390"/>
      <c r="Z130" s="390"/>
      <c r="AA130" s="390"/>
      <c r="AB130" s="390"/>
      <c r="AC130" s="390"/>
      <c r="AD130" s="390"/>
      <c r="AE130" s="390"/>
      <c r="AF130" s="390"/>
      <c r="AG130" s="390"/>
      <c r="AH130" s="390"/>
      <c r="AI130" s="390"/>
      <c r="AJ130" s="390"/>
      <c r="AK130" s="390"/>
      <c r="AL130" s="390"/>
      <c r="AM130" s="390"/>
      <c r="AN130" s="390"/>
      <c r="AO130" s="390"/>
      <c r="AP130" s="390"/>
      <c r="AQ130" s="390"/>
      <c r="AR130" s="390"/>
      <c r="AS130" s="390"/>
      <c r="AT130" s="390"/>
      <c r="AU130" s="390"/>
      <c r="AV130" s="390"/>
      <c r="AW130" s="390"/>
      <c r="AX130" s="390"/>
      <c r="AY130" s="390"/>
      <c r="AZ130" s="390"/>
      <c r="BA130" s="390"/>
      <c r="BB130" s="390"/>
      <c r="BC130" s="390"/>
      <c r="BD130" s="390"/>
      <c r="BE130" s="390"/>
      <c r="BF130" s="390"/>
      <c r="BG130" s="390"/>
      <c r="BH130" s="390"/>
      <c r="BI130" s="390"/>
      <c r="BJ130" s="738">
        <f>BJ114</f>
        <v>349.9</v>
      </c>
      <c r="BK130" s="390"/>
      <c r="BL130" s="390"/>
      <c r="BM130" s="390"/>
      <c r="BN130" s="390"/>
      <c r="BO130" s="390"/>
      <c r="BP130" s="726"/>
      <c r="BQ130" s="726"/>
      <c r="BR130" s="726"/>
      <c r="BS130" s="726"/>
      <c r="BT130" s="726"/>
      <c r="BU130" s="726"/>
      <c r="BV130" s="726"/>
      <c r="BW130" s="726"/>
      <c r="BX130" s="726"/>
      <c r="BY130" s="726"/>
      <c r="BZ130" s="726"/>
      <c r="CA130" s="726"/>
      <c r="CB130" s="726"/>
      <c r="CC130" s="726"/>
      <c r="CD130" s="726"/>
      <c r="CE130" s="720"/>
      <c r="CF130" s="726"/>
      <c r="CG130" s="726"/>
      <c r="CH130" s="734"/>
    </row>
    <row r="131" spans="2:86" ht="13" thickBot="1">
      <c r="B131" s="745" t="s">
        <v>256</v>
      </c>
      <c r="C131" s="746"/>
      <c r="D131" s="746"/>
      <c r="E131" s="746"/>
      <c r="F131" s="746"/>
      <c r="G131" s="746"/>
      <c r="H131" s="746"/>
      <c r="I131" s="746"/>
      <c r="J131" s="746"/>
      <c r="K131" s="746"/>
      <c r="L131" s="746"/>
      <c r="M131" s="746"/>
      <c r="N131" s="746"/>
      <c r="O131" s="746"/>
      <c r="P131" s="746"/>
      <c r="Q131" s="746"/>
      <c r="R131" s="746"/>
      <c r="S131" s="746"/>
      <c r="T131" s="746"/>
      <c r="U131" s="746"/>
      <c r="V131" s="746"/>
      <c r="W131" s="746"/>
      <c r="X131" s="746"/>
      <c r="Y131" s="746"/>
      <c r="Z131" s="746"/>
      <c r="AA131" s="746"/>
      <c r="AB131" s="746"/>
      <c r="AC131" s="746"/>
      <c r="AD131" s="746"/>
      <c r="AE131" s="746"/>
      <c r="AF131" s="746"/>
      <c r="AG131" s="746"/>
      <c r="AH131" s="746"/>
      <c r="AI131" s="746"/>
      <c r="AJ131" s="746"/>
      <c r="AK131" s="746"/>
      <c r="AL131" s="746"/>
      <c r="AM131" s="746"/>
      <c r="AN131" s="746"/>
      <c r="AO131" s="746"/>
      <c r="AP131" s="746"/>
      <c r="AQ131" s="746"/>
      <c r="AR131" s="746"/>
      <c r="AS131" s="746"/>
      <c r="AT131" s="746"/>
      <c r="AU131" s="746"/>
      <c r="AV131" s="746"/>
      <c r="AW131" s="746"/>
      <c r="AX131" s="746"/>
      <c r="AY131" s="746"/>
      <c r="AZ131" s="746"/>
      <c r="BA131" s="746"/>
      <c r="BB131" s="746"/>
      <c r="BC131" s="746"/>
      <c r="BD131" s="746"/>
      <c r="BE131" s="746"/>
      <c r="BF131" s="746"/>
      <c r="BG131" s="746"/>
      <c r="BH131" s="746"/>
      <c r="BI131" s="746"/>
      <c r="BJ131" s="747">
        <f>BJ129/BJ130</f>
        <v>32.738253512036131</v>
      </c>
      <c r="BK131" s="746"/>
      <c r="BL131" s="746"/>
      <c r="BM131" s="746"/>
      <c r="BN131" s="746"/>
      <c r="BO131" s="746"/>
      <c r="BP131" s="748"/>
      <c r="BQ131" s="748"/>
      <c r="BR131" s="748"/>
      <c r="BS131" s="748"/>
      <c r="BT131" s="748"/>
      <c r="BU131" s="748"/>
      <c r="BV131" s="748"/>
      <c r="BW131" s="748"/>
      <c r="BX131" s="748"/>
      <c r="BY131" s="748"/>
      <c r="BZ131" s="748"/>
      <c r="CA131" s="748"/>
      <c r="CB131" s="748"/>
      <c r="CC131" s="748"/>
      <c r="CD131" s="748"/>
      <c r="CE131" s="749"/>
      <c r="CF131" s="748"/>
      <c r="CG131" s="748"/>
      <c r="CH131" s="750"/>
    </row>
  </sheetData>
  <mergeCells count="3">
    <mergeCell ref="BO87:CH87"/>
    <mergeCell ref="BO103:CH103"/>
    <mergeCell ref="BO119:CH119"/>
  </mergeCells>
  <conditionalFormatting sqref="AY1:CD1 A1:AX8 AY7:AZ7 BE7:CD7 AY8:CD8 AY4:CD6 A49:GI49 A41 AP42:AP48 AS44:CD46 AK42:AK48 A42:AF48 A72:GI72 A65:A71 A73:A79 CE73:GI79 AK26:AK31 AS26:BD26 BF26:BI26 BK26:BN26 BP26:BS26 BU26:BX26 BZ26:CC26 AS27:CD30 A40:GI40 A33:AX39 BZ33:CC34 BU33:BX34 BP33:BS34 BK33:BN34 AZ33:BI34 A13:A14 AZ36:BI38 AZ35:BD35 BK36:BN38 BP36:BS38 BU36:BX38 BZ36:CC38 AS42:BD43 C65:BD65 CE65:GI65 C66:GI69 CE33:GI39 BK17:BN24 BP17:BS24 BU17:BX24 BZ17:CC24 A17:BI24 A16 A56:GI64 BJ19:BJ24 BO19:BO24 BT19:BT24 BY19:BY24 AS31:BD31 AZ39:BD39 AS48:CD48 AS47:BD47 C71:GI71 C70:BD70 CE70:GI70 CE1:GI6 CE7:CF9 A86:BE87 CE13:CJ13 A10:CJ12 CH9:CJ9 CI7:GI8 CE15:CJ18 CD19:CJ24 CL15:GI24 CL9:GI13 A80:GI85 A116:GI116 A101:A115 CI101:GI115 BK86:GI86 BK87:BN87 CI87:GI87 A94:GI100 BP89:GI89 BF89:BN89 A88:BD93 BF90:GI93 BF88:GI88 A132:GI65097 A117:A131 CI117:GI131">
    <cfRule type="expression" dxfId="628" priority="122" stopIfTrue="1">
      <formula>ISERROR(A1)</formula>
    </cfRule>
  </conditionalFormatting>
  <conditionalFormatting sqref="A15">
    <cfRule type="expression" dxfId="627" priority="121" stopIfTrue="1">
      <formula>ISERROR(A15)</formula>
    </cfRule>
  </conditionalFormatting>
  <conditionalFormatting sqref="A25:A31 C26:AE31">
    <cfRule type="expression" dxfId="626" priority="120" stopIfTrue="1">
      <formula>ISERROR(A25)</formula>
    </cfRule>
  </conditionalFormatting>
  <conditionalFormatting sqref="BA7:BD7">
    <cfRule type="expression" dxfId="625" priority="119" stopIfTrue="1">
      <formula>ISERROR(BA7)</formula>
    </cfRule>
  </conditionalFormatting>
  <conditionalFormatting sqref="AY33:AY39">
    <cfRule type="expression" dxfId="624" priority="118" stopIfTrue="1">
      <formula>ISERROR(AY33)</formula>
    </cfRule>
  </conditionalFormatting>
  <conditionalFormatting sqref="BJ33 BJ36:BJ38">
    <cfRule type="expression" dxfId="623" priority="117" stopIfTrue="1">
      <formula>ISERROR(BJ33)</formula>
    </cfRule>
  </conditionalFormatting>
  <conditionalFormatting sqref="BO33 BO36:BO38">
    <cfRule type="expression" dxfId="622" priority="116" stopIfTrue="1">
      <formula>ISERROR(BO33)</formula>
    </cfRule>
  </conditionalFormatting>
  <conditionalFormatting sqref="BT33 BT36:BT38">
    <cfRule type="expression" dxfId="621" priority="115" stopIfTrue="1">
      <formula>ISERROR(BT33)</formula>
    </cfRule>
  </conditionalFormatting>
  <conditionalFormatting sqref="BY33 BY36:BY38">
    <cfRule type="expression" dxfId="620" priority="114" stopIfTrue="1">
      <formula>ISERROR(BY33)</formula>
    </cfRule>
  </conditionalFormatting>
  <conditionalFormatting sqref="CD33 CD36:CD38">
    <cfRule type="expression" dxfId="619" priority="113" stopIfTrue="1">
      <formula>ISERROR(CD33)</formula>
    </cfRule>
  </conditionalFormatting>
  <conditionalFormatting sqref="B65:B71">
    <cfRule type="expression" dxfId="618" priority="88" stopIfTrue="1">
      <formula>ISERROR(B65)</formula>
    </cfRule>
  </conditionalFormatting>
  <conditionalFormatting sqref="B26:B31">
    <cfRule type="expression" dxfId="617" priority="112" stopIfTrue="1">
      <formula>ISERROR(B26)</formula>
    </cfRule>
  </conditionalFormatting>
  <conditionalFormatting sqref="B13:CD13">
    <cfRule type="expression" dxfId="616" priority="111" stopIfTrue="1">
      <formula>ISERROR(B13)</formula>
    </cfRule>
  </conditionalFormatting>
  <conditionalFormatting sqref="B41:CD41">
    <cfRule type="expression" dxfId="615" priority="110" stopIfTrue="1">
      <formula>ISERROR(B41)</formula>
    </cfRule>
  </conditionalFormatting>
  <conditionalFormatting sqref="B14:CD14">
    <cfRule type="expression" dxfId="614" priority="109" stopIfTrue="1">
      <formula>ISERROR(B14)</formula>
    </cfRule>
  </conditionalFormatting>
  <conditionalFormatting sqref="B15:CD15">
    <cfRule type="expression" dxfId="613" priority="108" stopIfTrue="1">
      <formula>ISERROR(B15)</formula>
    </cfRule>
  </conditionalFormatting>
  <conditionalFormatting sqref="B16:CD16">
    <cfRule type="expression" dxfId="612" priority="107" stopIfTrue="1">
      <formula>ISERROR(B16)</formula>
    </cfRule>
  </conditionalFormatting>
  <conditionalFormatting sqref="B25:CD25">
    <cfRule type="expression" dxfId="611" priority="106" stopIfTrue="1">
      <formula>ISERROR(B25)</formula>
    </cfRule>
  </conditionalFormatting>
  <conditionalFormatting sqref="AK50:AK55 AU50:AU55 AZ50:AZ55 BE50:BI54 BK50:BN54 BP50:BS54 BU50:BX54 BZ50:CC54">
    <cfRule type="expression" dxfId="610" priority="105" stopIfTrue="1">
      <formula>ISERROR(AK50)</formula>
    </cfRule>
  </conditionalFormatting>
  <conditionalFormatting sqref="A50:A55 C50:AE55">
    <cfRule type="expression" dxfId="609" priority="104" stopIfTrue="1">
      <formula>ISERROR(A50)</formula>
    </cfRule>
  </conditionalFormatting>
  <conditionalFormatting sqref="BB50:BB55">
    <cfRule type="expression" dxfId="608" priority="103" stopIfTrue="1">
      <formula>ISERROR(BB50)</formula>
    </cfRule>
  </conditionalFormatting>
  <conditionalFormatting sqref="AW50:AX55">
    <cfRule type="expression" dxfId="607" priority="102" stopIfTrue="1">
      <formula>ISERROR(AW50)</formula>
    </cfRule>
  </conditionalFormatting>
  <conditionalFormatting sqref="BA50:BA55">
    <cfRule type="expression" dxfId="606" priority="101" stopIfTrue="1">
      <formula>ISERROR(BA50)</formula>
    </cfRule>
  </conditionalFormatting>
  <conditionalFormatting sqref="AV50:AV55">
    <cfRule type="expression" dxfId="605" priority="100" stopIfTrue="1">
      <formula>ISERROR(AV50)</formula>
    </cfRule>
  </conditionalFormatting>
  <conditionalFormatting sqref="AY50:AY55">
    <cfRule type="expression" dxfId="604" priority="99" stopIfTrue="1">
      <formula>ISERROR(AY50)</formula>
    </cfRule>
  </conditionalFormatting>
  <conditionalFormatting sqref="AT50:AT55">
    <cfRule type="expression" dxfId="603" priority="98" stopIfTrue="1">
      <formula>ISERROR(AT50)</formula>
    </cfRule>
  </conditionalFormatting>
  <conditionalFormatting sqref="AS50:AS55">
    <cfRule type="expression" dxfId="602" priority="97" stopIfTrue="1">
      <formula>ISERROR(AS50)</formula>
    </cfRule>
  </conditionalFormatting>
  <conditionalFormatting sqref="CD51:CD54">
    <cfRule type="expression" dxfId="601" priority="90" stopIfTrue="1">
      <formula>ISERROR(CD51)</formula>
    </cfRule>
  </conditionalFormatting>
  <conditionalFormatting sqref="BO51:BO54">
    <cfRule type="expression" dxfId="600" priority="93" stopIfTrue="1">
      <formula>ISERROR(BO51)</formula>
    </cfRule>
  </conditionalFormatting>
  <conditionalFormatting sqref="BC50:BC55">
    <cfRule type="expression" dxfId="599" priority="96" stopIfTrue="1">
      <formula>ISERROR(BC50)</formula>
    </cfRule>
  </conditionalFormatting>
  <conditionalFormatting sqref="BD50:BD55">
    <cfRule type="expression" dxfId="598" priority="95" stopIfTrue="1">
      <formula>ISERROR(BD50)</formula>
    </cfRule>
  </conditionalFormatting>
  <conditionalFormatting sqref="BJ51:BJ54">
    <cfRule type="expression" dxfId="597" priority="94" stopIfTrue="1">
      <formula>ISERROR(BJ51)</formula>
    </cfRule>
  </conditionalFormatting>
  <conditionalFormatting sqref="BT51:BT54">
    <cfRule type="expression" dxfId="596" priority="92" stopIfTrue="1">
      <formula>ISERROR(BT51)</formula>
    </cfRule>
  </conditionalFormatting>
  <conditionalFormatting sqref="BY51:BY54">
    <cfRule type="expression" dxfId="595" priority="91" stopIfTrue="1">
      <formula>ISERROR(BY51)</formula>
    </cfRule>
  </conditionalFormatting>
  <conditionalFormatting sqref="B50:B55">
    <cfRule type="expression" dxfId="594" priority="89" stopIfTrue="1">
      <formula>ISERROR(B50)</formula>
    </cfRule>
  </conditionalFormatting>
  <conditionalFormatting sqref="C75:CD77 C73:BD74 C79:CD79 C78:BD78">
    <cfRule type="expression" dxfId="593" priority="87" stopIfTrue="1">
      <formula>ISERROR(C73)</formula>
    </cfRule>
  </conditionalFormatting>
  <conditionalFormatting sqref="B73:B79">
    <cfRule type="expression" dxfId="592" priority="86" stopIfTrue="1">
      <formula>ISERROR(B73)</formula>
    </cfRule>
  </conditionalFormatting>
  <conditionalFormatting sqref="A9:AX9 AZ9:BI9 BK9:BN9 BP9:BS9 BU9:BX9 BZ9:CC9">
    <cfRule type="expression" dxfId="591" priority="85" stopIfTrue="1">
      <formula>ISERROR(A9)</formula>
    </cfRule>
  </conditionalFormatting>
  <conditionalFormatting sqref="AY9">
    <cfRule type="expression" dxfId="590" priority="84" stopIfTrue="1">
      <formula>ISERROR(AY9)</formula>
    </cfRule>
  </conditionalFormatting>
  <conditionalFormatting sqref="BJ9">
    <cfRule type="expression" dxfId="589" priority="83" stopIfTrue="1">
      <formula>ISERROR(BJ9)</formula>
    </cfRule>
  </conditionalFormatting>
  <conditionalFormatting sqref="BO9">
    <cfRule type="expression" dxfId="588" priority="82" stopIfTrue="1">
      <formula>ISERROR(BO9)</formula>
    </cfRule>
  </conditionalFormatting>
  <conditionalFormatting sqref="BT9">
    <cfRule type="expression" dxfId="587" priority="81" stopIfTrue="1">
      <formula>ISERROR(BT9)</formula>
    </cfRule>
  </conditionalFormatting>
  <conditionalFormatting sqref="BY9">
    <cfRule type="expression" dxfId="586" priority="80" stopIfTrue="1">
      <formula>ISERROR(BY9)</formula>
    </cfRule>
  </conditionalFormatting>
  <conditionalFormatting sqref="CD9">
    <cfRule type="expression" dxfId="585" priority="79" stopIfTrue="1">
      <formula>ISERROR(CD9)</formula>
    </cfRule>
  </conditionalFormatting>
  <conditionalFormatting sqref="CD32">
    <cfRule type="expression" dxfId="584" priority="72" stopIfTrue="1">
      <formula>ISERROR(CD32)</formula>
    </cfRule>
  </conditionalFormatting>
  <conditionalFormatting sqref="CD18">
    <cfRule type="expression" dxfId="583" priority="62" stopIfTrue="1">
      <formula>ISERROR(CD18)</formula>
    </cfRule>
  </conditionalFormatting>
  <conditionalFormatting sqref="AZ32:BI32 A32:AX32 CE32:GI32 BZ32:CC32 BU32:BX32 BP32:BS32 BK32:BN32">
    <cfRule type="expression" dxfId="582" priority="78" stopIfTrue="1">
      <formula>ISERROR(A32)</formula>
    </cfRule>
  </conditionalFormatting>
  <conditionalFormatting sqref="AY32">
    <cfRule type="expression" dxfId="581" priority="77" stopIfTrue="1">
      <formula>ISERROR(AY32)</formula>
    </cfRule>
  </conditionalFormatting>
  <conditionalFormatting sqref="BJ32">
    <cfRule type="expression" dxfId="580" priority="76" stopIfTrue="1">
      <formula>ISERROR(BJ32)</formula>
    </cfRule>
  </conditionalFormatting>
  <conditionalFormatting sqref="BO32">
    <cfRule type="expression" dxfId="579" priority="75" stopIfTrue="1">
      <formula>ISERROR(BO32)</formula>
    </cfRule>
  </conditionalFormatting>
  <conditionalFormatting sqref="BT32">
    <cfRule type="expression" dxfId="578" priority="74" stopIfTrue="1">
      <formula>ISERROR(BT32)</formula>
    </cfRule>
  </conditionalFormatting>
  <conditionalFormatting sqref="BY32">
    <cfRule type="expression" dxfId="577" priority="73" stopIfTrue="1">
      <formula>ISERROR(BY32)</formula>
    </cfRule>
  </conditionalFormatting>
  <conditionalFormatting sqref="BJ17">
    <cfRule type="expression" dxfId="576" priority="71" stopIfTrue="1">
      <formula>ISERROR(BJ17)</formula>
    </cfRule>
  </conditionalFormatting>
  <conditionalFormatting sqref="BO17">
    <cfRule type="expression" dxfId="575" priority="70" stopIfTrue="1">
      <formula>ISERROR(BO17)</formula>
    </cfRule>
  </conditionalFormatting>
  <conditionalFormatting sqref="BT17">
    <cfRule type="expression" dxfId="574" priority="69" stopIfTrue="1">
      <formula>ISERROR(BT17)</formula>
    </cfRule>
  </conditionalFormatting>
  <conditionalFormatting sqref="BY17">
    <cfRule type="expression" dxfId="573" priority="68" stopIfTrue="1">
      <formula>ISERROR(BY17)</formula>
    </cfRule>
  </conditionalFormatting>
  <conditionalFormatting sqref="CD17">
    <cfRule type="expression" dxfId="572" priority="67" stopIfTrue="1">
      <formula>ISERROR(CD17)</formula>
    </cfRule>
  </conditionalFormatting>
  <conditionalFormatting sqref="BJ18">
    <cfRule type="expression" dxfId="571" priority="66" stopIfTrue="1">
      <formula>ISERROR(BJ18)</formula>
    </cfRule>
  </conditionalFormatting>
  <conditionalFormatting sqref="BO18">
    <cfRule type="expression" dxfId="570" priority="65" stopIfTrue="1">
      <formula>ISERROR(BO18)</formula>
    </cfRule>
  </conditionalFormatting>
  <conditionalFormatting sqref="BT18">
    <cfRule type="expression" dxfId="569" priority="64" stopIfTrue="1">
      <formula>ISERROR(BT18)</formula>
    </cfRule>
  </conditionalFormatting>
  <conditionalFormatting sqref="BY18">
    <cfRule type="expression" dxfId="568" priority="63" stopIfTrue="1">
      <formula>ISERROR(BY18)</formula>
    </cfRule>
  </conditionalFormatting>
  <conditionalFormatting sqref="BE26">
    <cfRule type="expression" dxfId="567" priority="61" stopIfTrue="1">
      <formula>ISERROR(BE26)</formula>
    </cfRule>
  </conditionalFormatting>
  <conditionalFormatting sqref="BJ26">
    <cfRule type="expression" dxfId="566" priority="60" stopIfTrue="1">
      <formula>ISERROR(BJ26)</formula>
    </cfRule>
  </conditionalFormatting>
  <conditionalFormatting sqref="BO26">
    <cfRule type="expression" dxfId="565" priority="59" stopIfTrue="1">
      <formula>ISERROR(BO26)</formula>
    </cfRule>
  </conditionalFormatting>
  <conditionalFormatting sqref="BT26">
    <cfRule type="expression" dxfId="564" priority="58" stopIfTrue="1">
      <formula>ISERROR(BT26)</formula>
    </cfRule>
  </conditionalFormatting>
  <conditionalFormatting sqref="BJ34">
    <cfRule type="expression" dxfId="563" priority="57" stopIfTrue="1">
      <formula>ISERROR(BJ34)</formula>
    </cfRule>
  </conditionalFormatting>
  <conditionalFormatting sqref="BO34">
    <cfRule type="expression" dxfId="562" priority="56" stopIfTrue="1">
      <formula>ISERROR(BO34)</formula>
    </cfRule>
  </conditionalFormatting>
  <conditionalFormatting sqref="BT34">
    <cfRule type="expression" dxfId="561" priority="55" stopIfTrue="1">
      <formula>ISERROR(BT34)</formula>
    </cfRule>
  </conditionalFormatting>
  <conditionalFormatting sqref="BY34">
    <cfRule type="expression" dxfId="560" priority="54" stopIfTrue="1">
      <formula>ISERROR(BY34)</formula>
    </cfRule>
  </conditionalFormatting>
  <conditionalFormatting sqref="CD34">
    <cfRule type="expression" dxfId="559" priority="53" stopIfTrue="1">
      <formula>ISERROR(CD34)</formula>
    </cfRule>
  </conditionalFormatting>
  <conditionalFormatting sqref="BE35:CD35">
    <cfRule type="expression" dxfId="558" priority="52" stopIfTrue="1">
      <formula>ISERROR(BE35)</formula>
    </cfRule>
  </conditionalFormatting>
  <conditionalFormatting sqref="BZ42:CC42 BU42:BX42 BP42:BS42 BK42:BN42 BE42:BI42">
    <cfRule type="expression" dxfId="557" priority="51" stopIfTrue="1">
      <formula>ISERROR(BE42)</formula>
    </cfRule>
  </conditionalFormatting>
  <conditionalFormatting sqref="BJ42">
    <cfRule type="expression" dxfId="556" priority="50" stopIfTrue="1">
      <formula>ISERROR(BJ42)</formula>
    </cfRule>
  </conditionalFormatting>
  <conditionalFormatting sqref="BE43:CD43">
    <cfRule type="expression" dxfId="555" priority="49" stopIfTrue="1">
      <formula>ISERROR(BE43)</formula>
    </cfRule>
  </conditionalFormatting>
  <conditionalFormatting sqref="BZ65:CC65 BU65:BX65 BP65:BS65 BK65:BN65 BE65:BI65">
    <cfRule type="expression" dxfId="554" priority="48" stopIfTrue="1">
      <formula>ISERROR(BE65)</formula>
    </cfRule>
  </conditionalFormatting>
  <conditionalFormatting sqref="BJ65">
    <cfRule type="expression" dxfId="553" priority="47" stopIfTrue="1">
      <formula>ISERROR(BJ65)</formula>
    </cfRule>
  </conditionalFormatting>
  <conditionalFormatting sqref="BO65">
    <cfRule type="expression" dxfId="552" priority="46" stopIfTrue="1">
      <formula>ISERROR(BO65)</formula>
    </cfRule>
  </conditionalFormatting>
  <conditionalFormatting sqref="BT65">
    <cfRule type="expression" dxfId="551" priority="45" stopIfTrue="1">
      <formula>ISERROR(BT65)</formula>
    </cfRule>
  </conditionalFormatting>
  <conditionalFormatting sqref="BY65">
    <cfRule type="expression" dxfId="550" priority="44" stopIfTrue="1">
      <formula>ISERROR(BY65)</formula>
    </cfRule>
  </conditionalFormatting>
  <conditionalFormatting sqref="CD65">
    <cfRule type="expression" dxfId="549" priority="43" stopIfTrue="1">
      <formula>ISERROR(CD65)</formula>
    </cfRule>
  </conditionalFormatting>
  <conditionalFormatting sqref="BT73">
    <cfRule type="expression" dxfId="548" priority="38" stopIfTrue="1">
      <formula>ISERROR(BT73)</formula>
    </cfRule>
  </conditionalFormatting>
  <conditionalFormatting sqref="BE74:CD74">
    <cfRule type="expression" dxfId="547" priority="42" stopIfTrue="1">
      <formula>ISERROR(BE74)</formula>
    </cfRule>
  </conditionalFormatting>
  <conditionalFormatting sqref="BZ73:CC73 BU73:BX73 BP73:BS73 BK73:BN73 BE73:BI73">
    <cfRule type="expression" dxfId="546" priority="41" stopIfTrue="1">
      <formula>ISERROR(BE73)</formula>
    </cfRule>
  </conditionalFormatting>
  <conditionalFormatting sqref="BJ73">
    <cfRule type="expression" dxfId="545" priority="40" stopIfTrue="1">
      <formula>ISERROR(BJ73)</formula>
    </cfRule>
  </conditionalFormatting>
  <conditionalFormatting sqref="BO73">
    <cfRule type="expression" dxfId="544" priority="39" stopIfTrue="1">
      <formula>ISERROR(BO73)</formula>
    </cfRule>
  </conditionalFormatting>
  <conditionalFormatting sqref="BY73">
    <cfRule type="expression" dxfId="543" priority="37" stopIfTrue="1">
      <formula>ISERROR(BY73)</formula>
    </cfRule>
  </conditionalFormatting>
  <conditionalFormatting sqref="CD73">
    <cfRule type="expression" dxfId="542" priority="36" stopIfTrue="1">
      <formula>ISERROR(CD73)</formula>
    </cfRule>
  </conditionalFormatting>
  <conditionalFormatting sqref="BJ50">
    <cfRule type="expression" dxfId="541" priority="35" stopIfTrue="1">
      <formula>ISERROR(BJ50)</formula>
    </cfRule>
  </conditionalFormatting>
  <conditionalFormatting sqref="BO50">
    <cfRule type="expression" dxfId="540" priority="34" stopIfTrue="1">
      <formula>ISERROR(BO50)</formula>
    </cfRule>
  </conditionalFormatting>
  <conditionalFormatting sqref="BT50">
    <cfRule type="expression" dxfId="539" priority="33" stopIfTrue="1">
      <formula>ISERROR(BT50)</formula>
    </cfRule>
  </conditionalFormatting>
  <conditionalFormatting sqref="BY50">
    <cfRule type="expression" dxfId="538" priority="32" stopIfTrue="1">
      <formula>ISERROR(BY50)</formula>
    </cfRule>
  </conditionalFormatting>
  <conditionalFormatting sqref="CD50">
    <cfRule type="expression" dxfId="537" priority="31" stopIfTrue="1">
      <formula>ISERROR(CD50)</formula>
    </cfRule>
  </conditionalFormatting>
  <conditionalFormatting sqref="BE31:CD31">
    <cfRule type="expression" dxfId="536" priority="30" stopIfTrue="1">
      <formula>ISERROR(BE31)</formula>
    </cfRule>
  </conditionalFormatting>
  <conditionalFormatting sqref="BE39:CD39">
    <cfRule type="expression" dxfId="535" priority="29" stopIfTrue="1">
      <formula>ISERROR(BE39)</formula>
    </cfRule>
  </conditionalFormatting>
  <conditionalFormatting sqref="BE47:CD47">
    <cfRule type="expression" dxfId="534" priority="28" stopIfTrue="1">
      <formula>ISERROR(BE47)</formula>
    </cfRule>
  </conditionalFormatting>
  <conditionalFormatting sqref="BE55:CD55">
    <cfRule type="expression" dxfId="533" priority="27" stopIfTrue="1">
      <formula>ISERROR(BE55)</formula>
    </cfRule>
  </conditionalFormatting>
  <conditionalFormatting sqref="BE70:CD70">
    <cfRule type="expression" dxfId="532" priority="26" stopIfTrue="1">
      <formula>ISERROR(BE70)</formula>
    </cfRule>
  </conditionalFormatting>
  <conditionalFormatting sqref="BE78:CD78">
    <cfRule type="expression" dxfId="531" priority="25" stopIfTrue="1">
      <formula>ISERROR(BE78)</formula>
    </cfRule>
  </conditionalFormatting>
  <conditionalFormatting sqref="BJ86:BJ87">
    <cfRule type="expression" dxfId="530" priority="24" stopIfTrue="1">
      <formula>ISERROR(BJ86)</formula>
    </cfRule>
  </conditionalFormatting>
  <conditionalFormatting sqref="CK9:CK13 CK15:CK24">
    <cfRule type="expression" dxfId="529" priority="23" stopIfTrue="1">
      <formula>ISERROR(CK9)</formula>
    </cfRule>
  </conditionalFormatting>
  <conditionalFormatting sqref="BK102:CH102 B102:BE103 B101:CH101 B110:CH111 B112:BI115 BK112:CH115 BK103:BN103 B104:BD109 BF104:CH104 BF109:CH109 BF108:BN108 BP108:CH108 BF106:CH107 BF105:BN105 BP105:CH105">
    <cfRule type="expression" dxfId="528" priority="22" stopIfTrue="1">
      <formula>ISERROR(B101)</formula>
    </cfRule>
  </conditionalFormatting>
  <conditionalFormatting sqref="BJ102:BJ103">
    <cfRule type="expression" dxfId="527" priority="21" stopIfTrue="1">
      <formula>ISERROR(BJ102)</formula>
    </cfRule>
  </conditionalFormatting>
  <conditionalFormatting sqref="BJ112:BJ115">
    <cfRule type="expression" dxfId="526" priority="20" stopIfTrue="1">
      <formula>ISERROR(BJ112)</formula>
    </cfRule>
  </conditionalFormatting>
  <conditionalFormatting sqref="BO87">
    <cfRule type="expression" dxfId="525" priority="19" stopIfTrue="1">
      <formula>ISERROR(BO87)</formula>
    </cfRule>
  </conditionalFormatting>
  <conditionalFormatting sqref="BO103">
    <cfRule type="expression" dxfId="524" priority="18" stopIfTrue="1">
      <formula>ISERROR(BO103)</formula>
    </cfRule>
  </conditionalFormatting>
  <conditionalFormatting sqref="BO89">
    <cfRule type="expression" dxfId="523" priority="17" stopIfTrue="1">
      <formula>ISERROR(BO89)</formula>
    </cfRule>
  </conditionalFormatting>
  <conditionalFormatting sqref="BE88:BE93">
    <cfRule type="expression" dxfId="522" priority="16" stopIfTrue="1">
      <formula>ISERROR(BE88)</formula>
    </cfRule>
  </conditionalFormatting>
  <conditionalFormatting sqref="BE104:BE109">
    <cfRule type="expression" dxfId="521" priority="15" stopIfTrue="1">
      <formula>ISERROR(BE104)</formula>
    </cfRule>
  </conditionalFormatting>
  <conditionalFormatting sqref="BY26">
    <cfRule type="expression" dxfId="520" priority="14" stopIfTrue="1">
      <formula>ISERROR(BY26)</formula>
    </cfRule>
  </conditionalFormatting>
  <conditionalFormatting sqref="CD26">
    <cfRule type="expression" dxfId="519" priority="13" stopIfTrue="1">
      <formula>ISERROR(CD26)</formula>
    </cfRule>
  </conditionalFormatting>
  <conditionalFormatting sqref="BO42">
    <cfRule type="expression" dxfId="518" priority="12" stopIfTrue="1">
      <formula>ISERROR(BO42)</formula>
    </cfRule>
  </conditionalFormatting>
  <conditionalFormatting sqref="BT42">
    <cfRule type="expression" dxfId="517" priority="11" stopIfTrue="1">
      <formula>ISERROR(BT42)</formula>
    </cfRule>
  </conditionalFormatting>
  <conditionalFormatting sqref="BY42">
    <cfRule type="expression" dxfId="516" priority="10" stopIfTrue="1">
      <formula>ISERROR(BY42)</formula>
    </cfRule>
  </conditionalFormatting>
  <conditionalFormatting sqref="CD42">
    <cfRule type="expression" dxfId="515" priority="9" stopIfTrue="1">
      <formula>ISERROR(CD42)</formula>
    </cfRule>
  </conditionalFormatting>
  <conditionalFormatting sqref="BK118:CH118 B118:BE119 B117:CH117 B126:CH127 B128:BI131 BK128:CH131 BK119:BN119 B120:BD125 BF120:CH120 BF122:CH125 BF121:BN121 BP121:CH121">
    <cfRule type="expression" dxfId="514" priority="8" stopIfTrue="1">
      <formula>ISERROR(B117)</formula>
    </cfRule>
  </conditionalFormatting>
  <conditionalFormatting sqref="BJ118:BJ119">
    <cfRule type="expression" dxfId="513" priority="7" stopIfTrue="1">
      <formula>ISERROR(BJ118)</formula>
    </cfRule>
  </conditionalFormatting>
  <conditionalFormatting sqref="BJ128:BJ131">
    <cfRule type="expression" dxfId="512" priority="6" stopIfTrue="1">
      <formula>ISERROR(BJ128)</formula>
    </cfRule>
  </conditionalFormatting>
  <conditionalFormatting sqref="BO119">
    <cfRule type="expression" dxfId="511" priority="5" stopIfTrue="1">
      <formula>ISERROR(BO119)</formula>
    </cfRule>
  </conditionalFormatting>
  <conditionalFormatting sqref="BE120:BE125">
    <cfRule type="expression" dxfId="510" priority="4" stopIfTrue="1">
      <formula>ISERROR(BE120)</formula>
    </cfRule>
  </conditionalFormatting>
  <conditionalFormatting sqref="BO108">
    <cfRule type="expression" dxfId="509" priority="3" stopIfTrue="1">
      <formula>ISERROR(BO108)</formula>
    </cfRule>
  </conditionalFormatting>
  <conditionalFormatting sqref="BO105">
    <cfRule type="expression" dxfId="508" priority="2" stopIfTrue="1">
      <formula>ISERROR(BO105)</formula>
    </cfRule>
  </conditionalFormatting>
  <conditionalFormatting sqref="BO121">
    <cfRule type="expression" dxfId="507" priority="1" stopIfTrue="1">
      <formula>ISERROR(BO121)</formula>
    </cfRule>
  </conditionalFormatting>
  <dataValidations count="1">
    <dataValidation type="custom" allowBlank="1" showInputMessage="1" showErrorMessage="1" sqref="BK8:BN8 BZ8:CC8 BU8:BX8 BP8:BS8 BF8:BI8 W7:Z8 AV7:AY8 AQ7:AT8 AL7:AO8 AB7:AE8 AG7:AJ8 R6:U8 BA7:BD8" xr:uid="{00000000-0002-0000-0200-000000000000}">
      <formula1>-1</formula1>
    </dataValidation>
  </dataValidations>
  <pageMargins left="0.75" right="0.75" top="1" bottom="1" header="0.5" footer="0.5"/>
  <pageSetup scale="35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H27"/>
  <sheetViews>
    <sheetView showGridLines="0" tabSelected="1" workbookViewId="0">
      <selection activeCell="D14" sqref="D14"/>
    </sheetView>
  </sheetViews>
  <sheetFormatPr baseColWidth="10" defaultRowHeight="16"/>
  <cols>
    <col min="1" max="1" width="4.33203125" style="1002" customWidth="1"/>
    <col min="2" max="3" width="3.33203125" style="1002" customWidth="1"/>
    <col min="4" max="4" width="72" style="1002" customWidth="1"/>
    <col min="5" max="5" width="1.1640625" style="1002" customWidth="1"/>
    <col min="6" max="6" width="67.33203125" style="1002" customWidth="1"/>
    <col min="7" max="8" width="3.1640625" style="1002" customWidth="1"/>
    <col min="9" max="16384" width="10.83203125" style="1002"/>
  </cols>
  <sheetData>
    <row r="1" spans="2:8" ht="17" thickBot="1"/>
    <row r="2" spans="2:8">
      <c r="B2" s="1003"/>
      <c r="C2" s="1004"/>
      <c r="D2" s="1004"/>
      <c r="E2" s="1004"/>
      <c r="F2" s="1004"/>
      <c r="G2" s="1004"/>
      <c r="H2" s="1005"/>
    </row>
    <row r="3" spans="2:8">
      <c r="B3" s="1006"/>
      <c r="C3" s="1007"/>
      <c r="D3" s="1007"/>
      <c r="E3" s="1007"/>
      <c r="F3" s="1007"/>
      <c r="G3" s="1007"/>
      <c r="H3" s="1008"/>
    </row>
    <row r="4" spans="2:8">
      <c r="B4" s="1006"/>
      <c r="C4" s="1007"/>
      <c r="D4" s="1007"/>
      <c r="E4" s="1007"/>
      <c r="F4" s="1007"/>
      <c r="G4" s="1007"/>
      <c r="H4" s="1008"/>
    </row>
    <row r="5" spans="2:8">
      <c r="B5" s="1006"/>
      <c r="C5" s="1007"/>
      <c r="D5" s="1007"/>
      <c r="E5" s="1007"/>
      <c r="F5" s="1007"/>
      <c r="G5" s="1007"/>
      <c r="H5" s="1008"/>
    </row>
    <row r="6" spans="2:8">
      <c r="B6" s="1006"/>
      <c r="C6" s="1007"/>
      <c r="D6" s="1007"/>
      <c r="E6" s="1007"/>
      <c r="F6" s="1007"/>
      <c r="G6" s="1007"/>
      <c r="H6" s="1008"/>
    </row>
    <row r="7" spans="2:8">
      <c r="B7" s="1006"/>
      <c r="C7" s="1007"/>
      <c r="D7" s="1007"/>
      <c r="E7" s="1007"/>
      <c r="F7" s="1007"/>
      <c r="G7" s="1007"/>
      <c r="H7" s="1008"/>
    </row>
    <row r="8" spans="2:8">
      <c r="B8" s="1006"/>
      <c r="C8" s="1007"/>
      <c r="D8" s="1007"/>
      <c r="E8" s="1007"/>
      <c r="F8" s="1007"/>
      <c r="G8" s="1007"/>
      <c r="H8" s="1008"/>
    </row>
    <row r="9" spans="2:8">
      <c r="B9" s="1006"/>
      <c r="C9" s="1007"/>
      <c r="D9" s="1007"/>
      <c r="E9" s="1007"/>
      <c r="F9" s="1007"/>
      <c r="G9" s="1007"/>
      <c r="H9" s="1008"/>
    </row>
    <row r="10" spans="2:8">
      <c r="B10" s="1006"/>
      <c r="C10" s="1007"/>
      <c r="D10" s="1007"/>
      <c r="E10" s="1007"/>
      <c r="F10" s="1007"/>
      <c r="G10" s="1007"/>
      <c r="H10" s="1008"/>
    </row>
    <row r="11" spans="2:8">
      <c r="B11" s="1006"/>
      <c r="C11" s="1007"/>
      <c r="D11" s="1007"/>
      <c r="E11" s="1007"/>
      <c r="F11" s="1007"/>
      <c r="G11" s="1007"/>
      <c r="H11" s="1008"/>
    </row>
    <row r="12" spans="2:8">
      <c r="B12" s="1006"/>
      <c r="C12" s="1007"/>
      <c r="D12" s="1007"/>
      <c r="E12" s="1007"/>
      <c r="F12" s="1007"/>
      <c r="G12" s="1007"/>
      <c r="H12" s="1008"/>
    </row>
    <row r="13" spans="2:8" ht="71" customHeight="1">
      <c r="B13" s="1006"/>
      <c r="C13" s="1007"/>
      <c r="D13" s="1024" t="s">
        <v>445</v>
      </c>
      <c r="E13" s="1024"/>
      <c r="F13" s="1024"/>
      <c r="G13" s="1007"/>
      <c r="H13" s="1008"/>
    </row>
    <row r="14" spans="2:8" ht="24">
      <c r="B14" s="1006"/>
      <c r="C14" s="1007"/>
      <c r="D14" s="1009"/>
      <c r="E14" s="1009"/>
      <c r="F14" s="1009"/>
      <c r="G14" s="1007"/>
      <c r="H14" s="1008"/>
    </row>
    <row r="15" spans="2:8" ht="24">
      <c r="B15" s="1006"/>
      <c r="C15" s="1007"/>
      <c r="D15" s="1010" t="s">
        <v>446</v>
      </c>
      <c r="E15" s="1011"/>
      <c r="F15" s="1010" t="s">
        <v>447</v>
      </c>
      <c r="G15" s="1007"/>
      <c r="H15" s="1008"/>
    </row>
    <row r="16" spans="2:8" ht="5" customHeight="1">
      <c r="B16" s="1006"/>
      <c r="C16" s="1007"/>
      <c r="D16" s="1012"/>
      <c r="E16" s="1012"/>
      <c r="F16" s="1013"/>
      <c r="G16" s="1007"/>
      <c r="H16" s="1008"/>
    </row>
    <row r="17" spans="2:8" ht="24">
      <c r="B17" s="1006"/>
      <c r="C17" s="1007"/>
      <c r="D17" s="1014" t="s">
        <v>448</v>
      </c>
      <c r="E17" s="1014"/>
      <c r="F17" s="1015" t="s">
        <v>457</v>
      </c>
      <c r="G17" s="1007"/>
      <c r="H17" s="1008"/>
    </row>
    <row r="18" spans="2:8" ht="24">
      <c r="B18" s="1006"/>
      <c r="C18" s="1007"/>
      <c r="D18" s="1015" t="s">
        <v>450</v>
      </c>
      <c r="E18" s="1015"/>
      <c r="F18" s="1027" t="s">
        <v>449</v>
      </c>
      <c r="G18" s="1007"/>
      <c r="H18" s="1008"/>
    </row>
    <row r="19" spans="2:8" ht="24">
      <c r="B19" s="1006"/>
      <c r="C19" s="1007"/>
      <c r="D19" s="1015" t="s">
        <v>452</v>
      </c>
      <c r="E19" s="1015"/>
      <c r="F19" s="1015" t="s">
        <v>458</v>
      </c>
      <c r="G19" s="1007"/>
      <c r="H19" s="1008"/>
    </row>
    <row r="20" spans="2:8" ht="24">
      <c r="B20" s="1006"/>
      <c r="C20" s="1007"/>
      <c r="D20" s="1015" t="s">
        <v>454</v>
      </c>
      <c r="E20" s="1015"/>
      <c r="F20" s="1015" t="s">
        <v>451</v>
      </c>
      <c r="G20" s="1007"/>
      <c r="H20" s="1008"/>
    </row>
    <row r="21" spans="2:8" ht="24">
      <c r="B21" s="1006"/>
      <c r="C21" s="1007"/>
      <c r="D21" s="1015" t="s">
        <v>456</v>
      </c>
      <c r="E21" s="1015"/>
      <c r="F21" s="1015" t="s">
        <v>453</v>
      </c>
      <c r="G21" s="1007"/>
      <c r="H21" s="1008"/>
    </row>
    <row r="22" spans="2:8" ht="24">
      <c r="B22" s="1016"/>
      <c r="C22" s="1017"/>
      <c r="D22" s="1012"/>
      <c r="E22" s="1012"/>
      <c r="F22" s="1015" t="s">
        <v>455</v>
      </c>
      <c r="G22" s="1007"/>
      <c r="H22" s="1008"/>
    </row>
    <row r="23" spans="2:8">
      <c r="B23" s="1016"/>
      <c r="C23" s="1017"/>
      <c r="D23" s="1012"/>
      <c r="E23" s="1012"/>
      <c r="F23" s="1018"/>
      <c r="G23" s="1007"/>
      <c r="H23" s="1008"/>
    </row>
    <row r="24" spans="2:8">
      <c r="B24" s="1006"/>
      <c r="C24" s="1007"/>
      <c r="D24" s="1012"/>
      <c r="E24" s="1012"/>
      <c r="F24" s="1013"/>
      <c r="G24" s="1007"/>
      <c r="H24" s="1008"/>
    </row>
    <row r="25" spans="2:8">
      <c r="B25" s="1006"/>
      <c r="C25" s="1007"/>
      <c r="D25" s="1012"/>
      <c r="E25" s="1012"/>
      <c r="F25" s="1013"/>
      <c r="G25" s="1007"/>
      <c r="H25" s="1008"/>
    </row>
    <row r="26" spans="2:8">
      <c r="B26" s="1006"/>
      <c r="C26" s="1007"/>
      <c r="D26" s="1007"/>
      <c r="E26" s="1007"/>
      <c r="F26" s="1007"/>
      <c r="G26" s="1007"/>
      <c r="H26" s="1008"/>
    </row>
    <row r="27" spans="2:8" ht="17" thickBot="1">
      <c r="B27" s="1019"/>
      <c r="C27" s="1020"/>
      <c r="D27" s="1020"/>
      <c r="E27" s="1020"/>
      <c r="F27" s="1020"/>
      <c r="G27" s="1020"/>
      <c r="H27" s="1021"/>
    </row>
  </sheetData>
  <mergeCells count="1">
    <mergeCell ref="D13:F13"/>
  </mergeCells>
  <hyperlinks>
    <hyperlink ref="D17" r:id="rId1" xr:uid="{00000000-0004-0000-0300-000000000000}"/>
    <hyperlink ref="D18" r:id="rId2" xr:uid="{00000000-0004-0000-0300-000001000000}"/>
    <hyperlink ref="D19" r:id="rId3" xr:uid="{00000000-0004-0000-0300-000002000000}"/>
    <hyperlink ref="D20" r:id="rId4" display="WSO Templates (Resume, Networking, Models, etc)" xr:uid="{00000000-0004-0000-0300-000004000000}"/>
    <hyperlink ref="D21" r:id="rId5" display="The Talent Oasis - Land a Job!" xr:uid="{00000000-0004-0000-0300-000007000000}"/>
    <hyperlink ref="F22" r:id="rId6" display="GMAT/Series 7 Exam Prep Courses" xr:uid="{47AF6FA9-0CF7-B140-B002-349DCA539611}"/>
    <hyperlink ref="F21" r:id="rId7" display="Find a Mentor" xr:uid="{076ABA2A-B876-394D-9288-B2631A68F4F4}"/>
    <hyperlink ref="F20" r:id="rId8" display="Resume Review Service" xr:uid="{2679747E-D1F4-1A4F-B58D-CCB104FFEDEE}"/>
    <hyperlink ref="F18" r:id="rId9" display="Interview &amp; Prep Courses (IB, PE, HF, Consulting)" xr:uid="{EB8F2F9E-6C30-1442-A61B-BC3059828DA4}"/>
    <hyperlink ref="F19" r:id="rId10" xr:uid="{14A480B5-4CF7-8D44-A733-A61D0259C759}"/>
    <hyperlink ref="F17" r:id="rId11" xr:uid="{45506E3F-88D7-F541-A667-253114248ACE}"/>
  </hyperlinks>
  <pageMargins left="0.7" right="0.7" top="0.75" bottom="0.75" header="0.3" footer="0.3"/>
  <pageSetup orientation="portrait" horizontalDpi="0" verticalDpi="0"/>
  <drawing r:id="rId1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3:W105"/>
  <sheetViews>
    <sheetView showGridLines="0" workbookViewId="0">
      <pane xSplit="3" ySplit="3" topLeftCell="D77" activePane="bottomRight" state="frozen"/>
      <selection activeCell="L4" sqref="L4"/>
      <selection pane="topRight" activeCell="L4" sqref="L4"/>
      <selection pane="bottomLeft" activeCell="L4" sqref="L4"/>
      <selection pane="bottomRight" activeCell="B111" sqref="B111"/>
    </sheetView>
  </sheetViews>
  <sheetFormatPr baseColWidth="10" defaultColWidth="9.1640625" defaultRowHeight="13"/>
  <cols>
    <col min="1" max="1" width="2" style="914" customWidth="1"/>
    <col min="2" max="2" width="44" style="898" bestFit="1" customWidth="1"/>
    <col min="3" max="3" width="9.83203125" style="898" customWidth="1"/>
    <col min="4" max="4" width="10.33203125" style="898" bestFit="1" customWidth="1"/>
    <col min="5" max="20" width="9.1640625" style="898"/>
    <col min="21" max="21" width="9.33203125" style="898" bestFit="1" customWidth="1"/>
    <col min="22" max="22" width="1.5" style="898" customWidth="1"/>
    <col min="23" max="16384" width="9.1640625" style="898"/>
  </cols>
  <sheetData>
    <row r="3" spans="2:23">
      <c r="B3" s="895" t="s">
        <v>400</v>
      </c>
      <c r="C3" s="896"/>
      <c r="D3" s="896">
        <v>2014</v>
      </c>
      <c r="E3" s="896">
        <v>2015</v>
      </c>
      <c r="F3" s="896">
        <v>2016</v>
      </c>
      <c r="G3" s="896">
        <v>2017</v>
      </c>
      <c r="H3" s="896">
        <v>2018</v>
      </c>
      <c r="I3" s="896">
        <v>2019</v>
      </c>
      <c r="J3" s="896">
        <v>2020</v>
      </c>
      <c r="K3" s="896">
        <v>2021</v>
      </c>
      <c r="L3" s="896">
        <v>2022</v>
      </c>
      <c r="M3" s="896">
        <v>2023</v>
      </c>
      <c r="N3" s="896">
        <v>2024</v>
      </c>
      <c r="O3" s="896">
        <v>2025</v>
      </c>
      <c r="P3" s="896">
        <v>2026</v>
      </c>
      <c r="Q3" s="896">
        <v>2027</v>
      </c>
      <c r="R3" s="896">
        <v>2028</v>
      </c>
      <c r="S3" s="896">
        <v>2029</v>
      </c>
      <c r="T3" s="896">
        <v>2030</v>
      </c>
      <c r="U3" s="897" t="s">
        <v>401</v>
      </c>
    </row>
    <row r="4" spans="2:23">
      <c r="B4" s="899" t="s">
        <v>338</v>
      </c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1"/>
    </row>
    <row r="5" spans="2:23">
      <c r="B5" s="902" t="str">
        <f>Sales!B27</f>
        <v>Total Dermatology</v>
      </c>
      <c r="C5" s="903"/>
      <c r="D5" s="904">
        <f>Sales!AZ27</f>
        <v>1300</v>
      </c>
      <c r="E5" s="904">
        <f>Sales!BE27</f>
        <v>1666.1999999999998</v>
      </c>
      <c r="F5" s="904">
        <f>Sales!BJ27</f>
        <v>1521.7450000000001</v>
      </c>
      <c r="G5" s="904">
        <f>Sales!BO27</f>
        <v>1597.4701</v>
      </c>
      <c r="H5" s="904">
        <f>Sales!BT27</f>
        <v>1657.0353020000002</v>
      </c>
      <c r="I5" s="904">
        <f>Sales!BY27</f>
        <v>1758.1176580400002</v>
      </c>
      <c r="J5" s="904">
        <f>Sales!CD27</f>
        <v>1871.6736487008002</v>
      </c>
      <c r="K5" s="904">
        <f t="shared" ref="K5:T5" si="0">J5*(1+K6)</f>
        <v>1871.6736487008002</v>
      </c>
      <c r="L5" s="904">
        <f t="shared" si="0"/>
        <v>1871.6736487008002</v>
      </c>
      <c r="M5" s="904">
        <f t="shared" si="0"/>
        <v>1871.6736487008002</v>
      </c>
      <c r="N5" s="904">
        <f t="shared" si="0"/>
        <v>1871.6736487008002</v>
      </c>
      <c r="O5" s="904">
        <f t="shared" si="0"/>
        <v>1871.6736487008002</v>
      </c>
      <c r="P5" s="904">
        <f t="shared" si="0"/>
        <v>1871.6736487008002</v>
      </c>
      <c r="Q5" s="904">
        <f t="shared" si="0"/>
        <v>1871.6736487008002</v>
      </c>
      <c r="R5" s="904">
        <f t="shared" si="0"/>
        <v>1871.6736487008002</v>
      </c>
      <c r="S5" s="904">
        <f t="shared" si="0"/>
        <v>1871.6736487008002</v>
      </c>
      <c r="T5" s="904">
        <f t="shared" si="0"/>
        <v>1497.3389189606403</v>
      </c>
      <c r="U5" s="905"/>
      <c r="W5" s="898" t="s">
        <v>402</v>
      </c>
    </row>
    <row r="6" spans="2:23" s="911" customFormat="1">
      <c r="B6" s="906" t="s">
        <v>126</v>
      </c>
      <c r="C6" s="907"/>
      <c r="D6" s="904"/>
      <c r="E6" s="908">
        <f t="shared" ref="E6:J6" si="1">E5/D5-1</f>
        <v>0.28169230769230746</v>
      </c>
      <c r="F6" s="908">
        <f t="shared" si="1"/>
        <v>-8.6697275237066163E-2</v>
      </c>
      <c r="G6" s="908">
        <f t="shared" si="1"/>
        <v>4.9762016632221462E-2</v>
      </c>
      <c r="H6" s="908">
        <f t="shared" si="1"/>
        <v>3.7287209319285752E-2</v>
      </c>
      <c r="I6" s="908">
        <f t="shared" si="1"/>
        <v>6.1001932739752851E-2</v>
      </c>
      <c r="J6" s="908">
        <f t="shared" si="1"/>
        <v>6.4589528545771824E-2</v>
      </c>
      <c r="K6" s="909">
        <v>0</v>
      </c>
      <c r="L6" s="909">
        <v>0</v>
      </c>
      <c r="M6" s="909">
        <v>0</v>
      </c>
      <c r="N6" s="909">
        <v>0</v>
      </c>
      <c r="O6" s="909">
        <v>0</v>
      </c>
      <c r="P6" s="909">
        <v>0</v>
      </c>
      <c r="Q6" s="909">
        <v>0</v>
      </c>
      <c r="R6" s="909">
        <v>0</v>
      </c>
      <c r="S6" s="910">
        <v>0</v>
      </c>
      <c r="T6" s="910">
        <v>-0.2</v>
      </c>
      <c r="U6" s="905"/>
    </row>
    <row r="7" spans="2:23">
      <c r="B7" s="902" t="str">
        <f>Sales!B43</f>
        <v>Total Consumer</v>
      </c>
      <c r="C7" s="903"/>
      <c r="D7" s="904">
        <f>Sales!AZ43</f>
        <v>587.4</v>
      </c>
      <c r="E7" s="904">
        <f>Sales!BE43</f>
        <v>625.6</v>
      </c>
      <c r="F7" s="904">
        <f>Sales!BJ43</f>
        <v>613</v>
      </c>
      <c r="G7" s="904">
        <f>Sales!BO43</f>
        <v>663.46999999999991</v>
      </c>
      <c r="H7" s="904">
        <f>Sales!BT43</f>
        <v>695.25839999999994</v>
      </c>
      <c r="I7" s="904">
        <f>Sales!BY43</f>
        <v>725.26664800000003</v>
      </c>
      <c r="J7" s="904">
        <f>Sales!CD43</f>
        <v>753.09635168</v>
      </c>
      <c r="K7" s="904">
        <f>J7*(1+K8)</f>
        <v>783.2202057472</v>
      </c>
      <c r="L7" s="904">
        <f>K7*(1+L8)</f>
        <v>814.54901397708807</v>
      </c>
      <c r="M7" s="904">
        <f t="shared" ref="M7:T7" si="2">L7*(1+M8)</f>
        <v>838.98548439640069</v>
      </c>
      <c r="N7" s="904">
        <f t="shared" si="2"/>
        <v>864.15504892829279</v>
      </c>
      <c r="O7" s="904">
        <f t="shared" si="2"/>
        <v>890.07970039614156</v>
      </c>
      <c r="P7" s="904">
        <f t="shared" si="2"/>
        <v>916.78209140802585</v>
      </c>
      <c r="Q7" s="904">
        <f t="shared" si="2"/>
        <v>944.28555415026665</v>
      </c>
      <c r="R7" s="904">
        <f t="shared" si="2"/>
        <v>972.61412077477462</v>
      </c>
      <c r="S7" s="904">
        <f t="shared" si="2"/>
        <v>1001.7925443980179</v>
      </c>
      <c r="T7" s="904">
        <f t="shared" si="2"/>
        <v>1031.8463207299585</v>
      </c>
      <c r="U7" s="905"/>
    </row>
    <row r="8" spans="2:23" s="911" customFormat="1">
      <c r="B8" s="906" t="s">
        <v>126</v>
      </c>
      <c r="C8" s="907"/>
      <c r="D8" s="904"/>
      <c r="E8" s="908">
        <f t="shared" ref="E8:J8" si="3">E7/D7-1</f>
        <v>6.5032345931222313E-2</v>
      </c>
      <c r="F8" s="908">
        <f t="shared" si="3"/>
        <v>-2.0140664961636912E-2</v>
      </c>
      <c r="G8" s="908">
        <f t="shared" si="3"/>
        <v>8.2332789559543151E-2</v>
      </c>
      <c r="H8" s="908">
        <f t="shared" si="3"/>
        <v>4.7912339668711557E-2</v>
      </c>
      <c r="I8" s="908">
        <f t="shared" si="3"/>
        <v>4.3161287947042659E-2</v>
      </c>
      <c r="J8" s="908">
        <f t="shared" si="3"/>
        <v>3.8371685443889358E-2</v>
      </c>
      <c r="K8" s="909">
        <v>0.04</v>
      </c>
      <c r="L8" s="909">
        <v>0.04</v>
      </c>
      <c r="M8" s="909">
        <v>0.03</v>
      </c>
      <c r="N8" s="909">
        <v>0.03</v>
      </c>
      <c r="O8" s="909">
        <v>0.03</v>
      </c>
      <c r="P8" s="909">
        <v>0.03</v>
      </c>
      <c r="Q8" s="909">
        <v>0.03</v>
      </c>
      <c r="R8" s="909">
        <v>0.03</v>
      </c>
      <c r="S8" s="909">
        <v>0.03</v>
      </c>
      <c r="T8" s="909">
        <v>0.03</v>
      </c>
      <c r="U8" s="905"/>
    </row>
    <row r="9" spans="2:23">
      <c r="B9" s="902" t="str">
        <f>Sales!B53</f>
        <v>Total Ophthalmology Rx</v>
      </c>
      <c r="C9" s="903"/>
      <c r="D9" s="904">
        <f>Sales!AZ53</f>
        <v>465.40000000000003</v>
      </c>
      <c r="E9" s="904">
        <f>Sales!BE53</f>
        <v>490.8</v>
      </c>
      <c r="F9" s="904">
        <f>Sales!BJ53</f>
        <v>492</v>
      </c>
      <c r="G9" s="904">
        <f>Sales!BO53</f>
        <v>608.6</v>
      </c>
      <c r="H9" s="904">
        <f>Sales!BT53</f>
        <v>702.94399999999996</v>
      </c>
      <c r="I9" s="904">
        <f>Sales!BY53</f>
        <v>816.19360000000006</v>
      </c>
      <c r="J9" s="904">
        <f>Sales!CD53</f>
        <v>901.517472</v>
      </c>
      <c r="K9" s="904">
        <f t="shared" ref="K9:T9" si="4">J9*(1+K10)</f>
        <v>973.63886976000003</v>
      </c>
      <c r="L9" s="904">
        <f t="shared" si="4"/>
        <v>1022.320813248</v>
      </c>
      <c r="M9" s="904">
        <f t="shared" si="4"/>
        <v>1052.9904376454401</v>
      </c>
      <c r="N9" s="904">
        <f t="shared" si="4"/>
        <v>1074.0502463983489</v>
      </c>
      <c r="O9" s="904">
        <f t="shared" si="4"/>
        <v>1074.0502463983489</v>
      </c>
      <c r="P9" s="904">
        <f t="shared" si="4"/>
        <v>1074.0502463983489</v>
      </c>
      <c r="Q9" s="904">
        <f t="shared" si="4"/>
        <v>1074.0502463983489</v>
      </c>
      <c r="R9" s="904">
        <f t="shared" si="4"/>
        <v>1074.0502463983489</v>
      </c>
      <c r="S9" s="904">
        <f t="shared" si="4"/>
        <v>1074.0502463983489</v>
      </c>
      <c r="T9" s="904">
        <f t="shared" si="4"/>
        <v>1074.0502463983489</v>
      </c>
      <c r="U9" s="905"/>
    </row>
    <row r="10" spans="2:23" s="911" customFormat="1">
      <c r="B10" s="906" t="s">
        <v>126</v>
      </c>
      <c r="C10" s="907"/>
      <c r="D10" s="904"/>
      <c r="E10" s="908">
        <f t="shared" ref="E10:J10" si="5">E9/D9-1</f>
        <v>5.4576708207993097E-2</v>
      </c>
      <c r="F10" s="908">
        <f t="shared" si="5"/>
        <v>2.4449877750611915E-3</v>
      </c>
      <c r="G10" s="908">
        <f t="shared" si="5"/>
        <v>0.23699186991869925</v>
      </c>
      <c r="H10" s="908">
        <f t="shared" si="5"/>
        <v>0.15501807426881364</v>
      </c>
      <c r="I10" s="908">
        <f t="shared" si="5"/>
        <v>0.1611075704465792</v>
      </c>
      <c r="J10" s="908">
        <f t="shared" si="5"/>
        <v>0.10453876629270309</v>
      </c>
      <c r="K10" s="909">
        <v>0.08</v>
      </c>
      <c r="L10" s="909">
        <v>0.05</v>
      </c>
      <c r="M10" s="909">
        <v>0.03</v>
      </c>
      <c r="N10" s="909">
        <v>0.02</v>
      </c>
      <c r="O10" s="909">
        <v>0</v>
      </c>
      <c r="P10" s="909">
        <v>0</v>
      </c>
      <c r="Q10" s="909">
        <v>0</v>
      </c>
      <c r="R10" s="909">
        <v>0</v>
      </c>
      <c r="S10" s="909">
        <v>0</v>
      </c>
      <c r="T10" s="909">
        <v>0</v>
      </c>
      <c r="U10" s="905"/>
    </row>
    <row r="11" spans="2:23" s="911" customFormat="1">
      <c r="B11" s="902" t="str">
        <f>Sales!B56</f>
        <v>Total Contact Lenses</v>
      </c>
      <c r="C11" s="907"/>
      <c r="D11" s="904">
        <f>Sales!AZ56</f>
        <v>170.4</v>
      </c>
      <c r="E11" s="904">
        <f>Sales!BE56</f>
        <v>212.8</v>
      </c>
      <c r="F11" s="904">
        <f>Sales!BJ56</f>
        <v>237</v>
      </c>
      <c r="G11" s="904">
        <f>Sales!BO56</f>
        <v>265.44</v>
      </c>
      <c r="H11" s="904">
        <f>Sales!BT56</f>
        <v>291.98400000000004</v>
      </c>
      <c r="I11" s="904">
        <f>Sales!BY56</f>
        <v>321.18240000000009</v>
      </c>
      <c r="J11" s="904">
        <f>Sales!CD56</f>
        <v>353.3006400000001</v>
      </c>
      <c r="K11" s="904">
        <f t="shared" ref="K11:T11" si="6">J11*(1+K12)</f>
        <v>381.56469120000014</v>
      </c>
      <c r="L11" s="904">
        <f t="shared" si="6"/>
        <v>412.08986649600018</v>
      </c>
      <c r="M11" s="904">
        <f t="shared" si="6"/>
        <v>445.0570558156802</v>
      </c>
      <c r="N11" s="904">
        <f t="shared" si="6"/>
        <v>480.66162028093464</v>
      </c>
      <c r="O11" s="904">
        <f t="shared" si="6"/>
        <v>519.1145499034094</v>
      </c>
      <c r="P11" s="904">
        <f t="shared" si="6"/>
        <v>550.26142289761401</v>
      </c>
      <c r="Q11" s="904">
        <f t="shared" si="6"/>
        <v>583.27710827147087</v>
      </c>
      <c r="R11" s="904">
        <f t="shared" si="6"/>
        <v>618.27373476775915</v>
      </c>
      <c r="S11" s="904">
        <f t="shared" si="6"/>
        <v>649.18742150614719</v>
      </c>
      <c r="T11" s="904">
        <f t="shared" si="6"/>
        <v>681.64679258145463</v>
      </c>
      <c r="U11" s="905"/>
    </row>
    <row r="12" spans="2:23" s="911" customFormat="1">
      <c r="B12" s="906" t="s">
        <v>126</v>
      </c>
      <c r="C12" s="907"/>
      <c r="D12" s="904"/>
      <c r="E12" s="908"/>
      <c r="F12" s="908"/>
      <c r="G12" s="908">
        <f>G11/F11-1</f>
        <v>0.11999999999999988</v>
      </c>
      <c r="H12" s="908">
        <f>H11/G11-1</f>
        <v>0.10000000000000009</v>
      </c>
      <c r="I12" s="908">
        <f>I11/H11-1</f>
        <v>0.10000000000000009</v>
      </c>
      <c r="J12" s="908">
        <f>J11/I11-1</f>
        <v>0.10000000000000009</v>
      </c>
      <c r="K12" s="909">
        <v>0.08</v>
      </c>
      <c r="L12" s="909">
        <v>0.08</v>
      </c>
      <c r="M12" s="909">
        <v>0.08</v>
      </c>
      <c r="N12" s="909">
        <v>0.08</v>
      </c>
      <c r="O12" s="909">
        <v>0.08</v>
      </c>
      <c r="P12" s="909">
        <v>0.06</v>
      </c>
      <c r="Q12" s="909">
        <v>0.06</v>
      </c>
      <c r="R12" s="909">
        <v>0.06</v>
      </c>
      <c r="S12" s="909">
        <v>0.05</v>
      </c>
      <c r="T12" s="909">
        <v>0.05</v>
      </c>
      <c r="U12" s="905"/>
    </row>
    <row r="13" spans="2:23" s="911" customFormat="1">
      <c r="B13" s="902" t="str">
        <f>Sales!B59</f>
        <v>Total Surgical</v>
      </c>
      <c r="C13" s="907"/>
      <c r="D13" s="904">
        <f>Sales!AZ59</f>
        <v>215.1</v>
      </c>
      <c r="E13" s="904">
        <f>Sales!BE59</f>
        <v>224.6</v>
      </c>
      <c r="F13" s="904">
        <f>Sales!BJ59</f>
        <v>310</v>
      </c>
      <c r="G13" s="904">
        <f>Sales!BO59</f>
        <v>319.3</v>
      </c>
      <c r="H13" s="904">
        <f>Sales!BT59</f>
        <v>328.87900000000002</v>
      </c>
      <c r="I13" s="904">
        <f>Sales!BY59</f>
        <v>335.45658000000003</v>
      </c>
      <c r="J13" s="904">
        <f>Sales!CD59</f>
        <v>342.16571160000007</v>
      </c>
      <c r="K13" s="904">
        <f t="shared" ref="K13:T13" si="7">J13*(1+K14)</f>
        <v>342.16571160000007</v>
      </c>
      <c r="L13" s="904">
        <f t="shared" si="7"/>
        <v>342.16571160000007</v>
      </c>
      <c r="M13" s="904">
        <f t="shared" si="7"/>
        <v>342.16571160000007</v>
      </c>
      <c r="N13" s="904">
        <f t="shared" si="7"/>
        <v>342.16571160000007</v>
      </c>
      <c r="O13" s="904">
        <f t="shared" si="7"/>
        <v>342.16571160000007</v>
      </c>
      <c r="P13" s="904">
        <f t="shared" si="7"/>
        <v>342.16571160000007</v>
      </c>
      <c r="Q13" s="904">
        <f t="shared" si="7"/>
        <v>342.16571160000007</v>
      </c>
      <c r="R13" s="904">
        <f t="shared" si="7"/>
        <v>342.16571160000007</v>
      </c>
      <c r="S13" s="904">
        <f t="shared" si="7"/>
        <v>342.16571160000007</v>
      </c>
      <c r="T13" s="904">
        <f t="shared" si="7"/>
        <v>342.16571160000007</v>
      </c>
      <c r="U13" s="905"/>
    </row>
    <row r="14" spans="2:23" s="911" customFormat="1">
      <c r="B14" s="906" t="s">
        <v>126</v>
      </c>
      <c r="C14" s="907"/>
      <c r="D14" s="904"/>
      <c r="E14" s="908">
        <f t="shared" ref="E14:J14" si="8">E13/D13-1</f>
        <v>4.4165504416550538E-2</v>
      </c>
      <c r="F14" s="908">
        <f t="shared" si="8"/>
        <v>0.38023152270703475</v>
      </c>
      <c r="G14" s="908">
        <f t="shared" si="8"/>
        <v>3.0000000000000027E-2</v>
      </c>
      <c r="H14" s="908">
        <f t="shared" si="8"/>
        <v>3.0000000000000027E-2</v>
      </c>
      <c r="I14" s="908">
        <f t="shared" si="8"/>
        <v>2.0000000000000018E-2</v>
      </c>
      <c r="J14" s="908">
        <f t="shared" si="8"/>
        <v>2.0000000000000018E-2</v>
      </c>
      <c r="K14" s="909">
        <v>0</v>
      </c>
      <c r="L14" s="909">
        <v>0</v>
      </c>
      <c r="M14" s="909">
        <v>0</v>
      </c>
      <c r="N14" s="909">
        <v>0</v>
      </c>
      <c r="O14" s="909">
        <v>0</v>
      </c>
      <c r="P14" s="909">
        <v>0</v>
      </c>
      <c r="Q14" s="909">
        <v>0</v>
      </c>
      <c r="R14" s="909">
        <v>0</v>
      </c>
      <c r="S14" s="909">
        <v>0</v>
      </c>
      <c r="T14" s="909">
        <v>0</v>
      </c>
      <c r="U14" s="905"/>
    </row>
    <row r="15" spans="2:23" s="911" customFormat="1">
      <c r="B15" s="902" t="str">
        <f>Sales!B73</f>
        <v>Total Neuro/Other/Generics</v>
      </c>
      <c r="C15" s="907"/>
      <c r="D15" s="904">
        <f>Sales!AZ73</f>
        <v>1604.7</v>
      </c>
      <c r="E15" s="904">
        <f>Sales!BE73</f>
        <v>2169.3000000000002</v>
      </c>
      <c r="F15" s="904">
        <f>Sales!BJ73</f>
        <v>1586.595</v>
      </c>
      <c r="G15" s="904">
        <f>Sales!BO73</f>
        <v>1538.2652499999999</v>
      </c>
      <c r="H15" s="904">
        <f>Sales!BT73</f>
        <v>1533.1692499999999</v>
      </c>
      <c r="I15" s="904">
        <f>Sales!BY73</f>
        <v>1512.1101699999999</v>
      </c>
      <c r="J15" s="904">
        <f>Sales!CD73</f>
        <v>1491.9542216</v>
      </c>
      <c r="K15" s="904">
        <f t="shared" ref="K15:T15" si="9">J15*(1+K16)</f>
        <v>1462.115137168</v>
      </c>
      <c r="L15" s="904">
        <f t="shared" si="9"/>
        <v>1432.8728344246401</v>
      </c>
      <c r="M15" s="904">
        <f t="shared" si="9"/>
        <v>1404.2153777361473</v>
      </c>
      <c r="N15" s="904">
        <f t="shared" si="9"/>
        <v>1376.1310701814243</v>
      </c>
      <c r="O15" s="904">
        <f t="shared" si="9"/>
        <v>1348.6084487777957</v>
      </c>
      <c r="P15" s="904">
        <f t="shared" si="9"/>
        <v>1281.178026338906</v>
      </c>
      <c r="Q15" s="904">
        <f t="shared" si="9"/>
        <v>1217.1191250219606</v>
      </c>
      <c r="R15" s="904">
        <f t="shared" si="9"/>
        <v>1156.2631687708624</v>
      </c>
      <c r="S15" s="904">
        <f t="shared" si="9"/>
        <v>1098.4500103323192</v>
      </c>
      <c r="T15" s="904">
        <f t="shared" si="9"/>
        <v>1043.5275098157031</v>
      </c>
      <c r="U15" s="905"/>
    </row>
    <row r="16" spans="2:23" s="911" customFormat="1">
      <c r="B16" s="906" t="s">
        <v>126</v>
      </c>
      <c r="C16" s="907"/>
      <c r="D16" s="904"/>
      <c r="E16" s="908">
        <f t="shared" ref="E16:J16" si="10">E15/D15-1</f>
        <v>0.35184146569452235</v>
      </c>
      <c r="F16" s="908">
        <f t="shared" si="10"/>
        <v>-0.26861429954363159</v>
      </c>
      <c r="G16" s="908">
        <f t="shared" si="10"/>
        <v>-3.046130234874056E-2</v>
      </c>
      <c r="H16" s="908">
        <f t="shared" si="10"/>
        <v>-3.3128226747630718E-3</v>
      </c>
      <c r="I16" s="908">
        <f t="shared" si="10"/>
        <v>-1.3735652472810833E-2</v>
      </c>
      <c r="J16" s="908">
        <f t="shared" si="10"/>
        <v>-1.332968245296573E-2</v>
      </c>
      <c r="K16" s="909">
        <v>-0.02</v>
      </c>
      <c r="L16" s="909">
        <v>-0.02</v>
      </c>
      <c r="M16" s="909">
        <v>-0.02</v>
      </c>
      <c r="N16" s="909">
        <v>-0.02</v>
      </c>
      <c r="O16" s="909">
        <v>-0.02</v>
      </c>
      <c r="P16" s="909">
        <v>-0.05</v>
      </c>
      <c r="Q16" s="909">
        <v>-0.05</v>
      </c>
      <c r="R16" s="909">
        <v>-0.05</v>
      </c>
      <c r="S16" s="909">
        <v>-0.05</v>
      </c>
      <c r="T16" s="909">
        <v>-0.05</v>
      </c>
      <c r="U16" s="905"/>
    </row>
    <row r="17" spans="2:21" s="911" customFormat="1">
      <c r="B17" s="902" t="str">
        <f>Sales!B81</f>
        <v>Total Dental</v>
      </c>
      <c r="C17" s="907"/>
      <c r="D17" s="904">
        <f>Sales!AZ81</f>
        <v>123.4</v>
      </c>
      <c r="E17" s="904">
        <f>Sales!BE81</f>
        <v>182.3</v>
      </c>
      <c r="F17" s="904">
        <f>Sales!BJ81</f>
        <v>190</v>
      </c>
      <c r="G17" s="904">
        <f>Sales!BO81</f>
        <v>209</v>
      </c>
      <c r="H17" s="904">
        <f>Sales!BT81</f>
        <v>229.90000000000003</v>
      </c>
      <c r="I17" s="904">
        <f>Sales!BY81</f>
        <v>251.92200000000005</v>
      </c>
      <c r="J17" s="904">
        <f>Sales!CD81</f>
        <v>275.02332000000007</v>
      </c>
      <c r="K17" s="904">
        <f t="shared" ref="K17:T17" si="11">J17*(1+K18)</f>
        <v>291.52471920000011</v>
      </c>
      <c r="L17" s="904">
        <f t="shared" si="11"/>
        <v>145.76235960000005</v>
      </c>
      <c r="M17" s="904">
        <f t="shared" si="11"/>
        <v>116.60988768000004</v>
      </c>
      <c r="N17" s="904">
        <f t="shared" si="11"/>
        <v>110.77939329600004</v>
      </c>
      <c r="O17" s="904">
        <f t="shared" si="11"/>
        <v>105.24042363120003</v>
      </c>
      <c r="P17" s="904">
        <f t="shared" si="11"/>
        <v>105.24042363120003</v>
      </c>
      <c r="Q17" s="904">
        <f t="shared" si="11"/>
        <v>105.24042363120003</v>
      </c>
      <c r="R17" s="904">
        <f t="shared" si="11"/>
        <v>105.24042363120003</v>
      </c>
      <c r="S17" s="904">
        <f t="shared" si="11"/>
        <v>105.24042363120003</v>
      </c>
      <c r="T17" s="904">
        <f t="shared" si="11"/>
        <v>105.24042363120003</v>
      </c>
      <c r="U17" s="905"/>
    </row>
    <row r="18" spans="2:21" s="911" customFormat="1">
      <c r="B18" s="906" t="s">
        <v>126</v>
      </c>
      <c r="C18" s="907"/>
      <c r="D18" s="904"/>
      <c r="E18" s="908">
        <f t="shared" ref="E18:J18" si="12">E17/D17-1</f>
        <v>0.47730956239870337</v>
      </c>
      <c r="F18" s="908">
        <f t="shared" si="12"/>
        <v>4.2238069116840249E-2</v>
      </c>
      <c r="G18" s="908">
        <f t="shared" si="12"/>
        <v>0.10000000000000009</v>
      </c>
      <c r="H18" s="908">
        <f t="shared" si="12"/>
        <v>0.10000000000000009</v>
      </c>
      <c r="I18" s="908">
        <f t="shared" si="12"/>
        <v>9.5789473684210646E-2</v>
      </c>
      <c r="J18" s="908">
        <f t="shared" si="12"/>
        <v>9.1700288184437984E-2</v>
      </c>
      <c r="K18" s="909">
        <v>0.06</v>
      </c>
      <c r="L18" s="910">
        <v>-0.5</v>
      </c>
      <c r="M18" s="909">
        <v>-0.2</v>
      </c>
      <c r="N18" s="909">
        <v>-0.05</v>
      </c>
      <c r="O18" s="909">
        <v>-0.05</v>
      </c>
      <c r="P18" s="909">
        <v>0</v>
      </c>
      <c r="Q18" s="909">
        <v>0</v>
      </c>
      <c r="R18" s="909">
        <v>0</v>
      </c>
      <c r="S18" s="909">
        <v>0</v>
      </c>
      <c r="T18" s="909">
        <v>0</v>
      </c>
      <c r="U18" s="905"/>
    </row>
    <row r="19" spans="2:21" s="911" customFormat="1">
      <c r="B19" s="902" t="str">
        <f>Sales!B84</f>
        <v>Total Oncology/Urology (Provenge)</v>
      </c>
      <c r="C19" s="907"/>
      <c r="D19" s="904">
        <f>Sales!AZ84</f>
        <v>0</v>
      </c>
      <c r="E19" s="904">
        <f>Sales!BE84</f>
        <v>250.10000000000002</v>
      </c>
      <c r="F19" s="904">
        <f>Sales!BJ84</f>
        <v>305</v>
      </c>
      <c r="G19" s="904">
        <f>Sales!BO84</f>
        <v>314.15000000000003</v>
      </c>
      <c r="H19" s="904">
        <f>Sales!BT84</f>
        <v>320.43300000000005</v>
      </c>
      <c r="I19" s="904">
        <f>Sales!BY84</f>
        <v>326.84166000000005</v>
      </c>
      <c r="J19" s="904">
        <f>Sales!CD84</f>
        <v>326.84166000000005</v>
      </c>
      <c r="K19" s="904">
        <f t="shared" ref="K19:T19" si="13">J19*(1+K20)</f>
        <v>310.49957700000004</v>
      </c>
      <c r="L19" s="904">
        <f t="shared" si="13"/>
        <v>294.97459815000002</v>
      </c>
      <c r="M19" s="904">
        <f t="shared" si="13"/>
        <v>280.22586824249998</v>
      </c>
      <c r="N19" s="904">
        <f t="shared" si="13"/>
        <v>266.214574830375</v>
      </c>
      <c r="O19" s="904">
        <f t="shared" si="13"/>
        <v>252.90384608885623</v>
      </c>
      <c r="P19" s="904">
        <f t="shared" si="13"/>
        <v>240.25865378441341</v>
      </c>
      <c r="Q19" s="904">
        <f t="shared" si="13"/>
        <v>228.24572109519272</v>
      </c>
      <c r="R19" s="904">
        <f t="shared" si="13"/>
        <v>216.83343504043307</v>
      </c>
      <c r="S19" s="904">
        <f t="shared" si="13"/>
        <v>205.99176328841142</v>
      </c>
      <c r="T19" s="904">
        <f t="shared" si="13"/>
        <v>195.69217512399084</v>
      </c>
      <c r="U19" s="905"/>
    </row>
    <row r="20" spans="2:21" s="911" customFormat="1">
      <c r="B20" s="906" t="s">
        <v>126</v>
      </c>
      <c r="C20" s="907"/>
      <c r="D20" s="904"/>
      <c r="E20" s="908"/>
      <c r="F20" s="908">
        <f t="shared" ref="F20:J20" si="14">F19/E19-1</f>
        <v>0.21951219512195119</v>
      </c>
      <c r="G20" s="908">
        <f t="shared" si="14"/>
        <v>3.0000000000000027E-2</v>
      </c>
      <c r="H20" s="908">
        <f t="shared" si="14"/>
        <v>2.0000000000000018E-2</v>
      </c>
      <c r="I20" s="908">
        <f t="shared" si="14"/>
        <v>2.0000000000000018E-2</v>
      </c>
      <c r="J20" s="908">
        <f t="shared" si="14"/>
        <v>0</v>
      </c>
      <c r="K20" s="909">
        <v>-0.05</v>
      </c>
      <c r="L20" s="909">
        <v>-0.05</v>
      </c>
      <c r="M20" s="909">
        <v>-0.05</v>
      </c>
      <c r="N20" s="909">
        <v>-0.05</v>
      </c>
      <c r="O20" s="909">
        <v>-0.05</v>
      </c>
      <c r="P20" s="909">
        <v>-0.05</v>
      </c>
      <c r="Q20" s="909">
        <v>-0.05</v>
      </c>
      <c r="R20" s="909">
        <v>-0.05</v>
      </c>
      <c r="S20" s="909">
        <v>-0.05</v>
      </c>
      <c r="T20" s="909">
        <v>-0.05</v>
      </c>
      <c r="U20" s="905"/>
    </row>
    <row r="21" spans="2:21" s="911" customFormat="1">
      <c r="B21" s="902" t="str">
        <f>Sales!B87</f>
        <v>Total Women's Health (Addyi)</v>
      </c>
      <c r="C21" s="907"/>
      <c r="D21" s="904">
        <f>Sales!AZ87</f>
        <v>0</v>
      </c>
      <c r="E21" s="904">
        <f>Sales!BE87</f>
        <v>0</v>
      </c>
      <c r="F21" s="904">
        <f>Sales!BJ87</f>
        <v>23</v>
      </c>
      <c r="G21" s="904">
        <f>Sales!BO87</f>
        <v>34.5</v>
      </c>
      <c r="H21" s="904">
        <f>Sales!BT87</f>
        <v>44.85</v>
      </c>
      <c r="I21" s="904">
        <f>Sales!BY87</f>
        <v>56.0625</v>
      </c>
      <c r="J21" s="904">
        <f>Sales!CD87</f>
        <v>67.274999999999991</v>
      </c>
      <c r="K21" s="904">
        <f t="shared" ref="K21:T21" si="15">J21*(1+K22)</f>
        <v>72.656999999999996</v>
      </c>
      <c r="L21" s="904">
        <f t="shared" si="15"/>
        <v>78.469560000000001</v>
      </c>
      <c r="M21" s="904">
        <f t="shared" si="15"/>
        <v>83.17773360000001</v>
      </c>
      <c r="N21" s="904">
        <f t="shared" si="15"/>
        <v>88.168397616000021</v>
      </c>
      <c r="O21" s="904">
        <f t="shared" si="15"/>
        <v>92.576817496800032</v>
      </c>
      <c r="P21" s="904">
        <f t="shared" si="15"/>
        <v>95.354122021704029</v>
      </c>
      <c r="Q21" s="904">
        <f t="shared" si="15"/>
        <v>9.5354122021704004</v>
      </c>
      <c r="R21" s="904">
        <f t="shared" si="15"/>
        <v>9.0586415920618801</v>
      </c>
      <c r="S21" s="904">
        <f t="shared" si="15"/>
        <v>8.6057095124587857</v>
      </c>
      <c r="T21" s="904">
        <f t="shared" si="15"/>
        <v>8.175424036835846</v>
      </c>
      <c r="U21" s="905"/>
    </row>
    <row r="22" spans="2:21" s="911" customFormat="1">
      <c r="B22" s="906" t="s">
        <v>126</v>
      </c>
      <c r="C22" s="907"/>
      <c r="D22" s="904"/>
      <c r="E22" s="908"/>
      <c r="F22" s="908"/>
      <c r="G22" s="908">
        <f t="shared" ref="G22:J22" si="16">G21/F21-1</f>
        <v>0.5</v>
      </c>
      <c r="H22" s="908">
        <f t="shared" si="16"/>
        <v>0.30000000000000004</v>
      </c>
      <c r="I22" s="908">
        <f t="shared" si="16"/>
        <v>0.25</v>
      </c>
      <c r="J22" s="908">
        <f t="shared" si="16"/>
        <v>0.19999999999999996</v>
      </c>
      <c r="K22" s="909">
        <v>0.08</v>
      </c>
      <c r="L22" s="909">
        <v>0.08</v>
      </c>
      <c r="M22" s="909">
        <v>0.06</v>
      </c>
      <c r="N22" s="909">
        <v>0.06</v>
      </c>
      <c r="O22" s="909">
        <v>0.05</v>
      </c>
      <c r="P22" s="909">
        <v>0.03</v>
      </c>
      <c r="Q22" s="910">
        <v>-0.9</v>
      </c>
      <c r="R22" s="909">
        <v>-0.05</v>
      </c>
      <c r="S22" s="909">
        <v>-0.05</v>
      </c>
      <c r="T22" s="909">
        <v>-0.05</v>
      </c>
      <c r="U22" s="905"/>
    </row>
    <row r="23" spans="2:21" s="911" customFormat="1">
      <c r="B23" s="902" t="str">
        <f>Sales!B113</f>
        <v>Total Gastrointestinal (Salix)</v>
      </c>
      <c r="C23" s="907"/>
      <c r="D23" s="904">
        <f>Sales!AZ113</f>
        <v>0</v>
      </c>
      <c r="E23" s="904">
        <f>Sales!BE113</f>
        <v>1285.0999999999999</v>
      </c>
      <c r="F23" s="904">
        <f>Sales!BJ113</f>
        <v>2154</v>
      </c>
      <c r="G23" s="904">
        <f>Sales!BO113</f>
        <v>2504.77</v>
      </c>
      <c r="H23" s="904">
        <f>Sales!BT113</f>
        <v>2797.9175</v>
      </c>
      <c r="I23" s="904">
        <f>Sales!BY113</f>
        <v>3075.81916</v>
      </c>
      <c r="J23" s="904">
        <f>Sales!CD113</f>
        <v>3204.2119913000001</v>
      </c>
      <c r="K23" s="904">
        <f t="shared" ref="K23:T23" si="17">J23*(1+K24)</f>
        <v>3268.2962311260003</v>
      </c>
      <c r="L23" s="904">
        <f t="shared" si="17"/>
        <v>3399.0280803710402</v>
      </c>
      <c r="M23" s="904">
        <f t="shared" si="17"/>
        <v>3534.989203585882</v>
      </c>
      <c r="N23" s="904">
        <f t="shared" si="17"/>
        <v>1413.9956814343529</v>
      </c>
      <c r="O23" s="904">
        <f t="shared" si="17"/>
        <v>1442.2755950630401</v>
      </c>
      <c r="P23" s="904">
        <f t="shared" si="17"/>
        <v>1471.1211069643009</v>
      </c>
      <c r="Q23" s="904">
        <f t="shared" si="17"/>
        <v>1500.5435291035869</v>
      </c>
      <c r="R23" s="904">
        <f t="shared" si="17"/>
        <v>1530.5543996856586</v>
      </c>
      <c r="S23" s="904">
        <f t="shared" si="17"/>
        <v>1561.1654876793718</v>
      </c>
      <c r="T23" s="904">
        <f t="shared" si="17"/>
        <v>1092.8158413755602</v>
      </c>
      <c r="U23" s="905"/>
    </row>
    <row r="24" spans="2:21" s="911" customFormat="1">
      <c r="B24" s="906" t="s">
        <v>126</v>
      </c>
      <c r="C24" s="907"/>
      <c r="D24" s="912"/>
      <c r="E24" s="912"/>
      <c r="F24" s="908">
        <f t="shared" ref="F24:J24" si="18">F23/E23-1</f>
        <v>0.67613415298420376</v>
      </c>
      <c r="G24" s="908">
        <f t="shared" si="18"/>
        <v>0.16284586815227486</v>
      </c>
      <c r="H24" s="908">
        <f t="shared" si="18"/>
        <v>0.11703569589223761</v>
      </c>
      <c r="I24" s="908">
        <f t="shared" si="18"/>
        <v>9.9324465428305198E-2</v>
      </c>
      <c r="J24" s="908">
        <f t="shared" si="18"/>
        <v>4.1742646306943465E-2</v>
      </c>
      <c r="K24" s="910">
        <v>0.02</v>
      </c>
      <c r="L24" s="909">
        <v>0.04</v>
      </c>
      <c r="M24" s="909">
        <v>0.04</v>
      </c>
      <c r="N24" s="910">
        <v>-0.6</v>
      </c>
      <c r="O24" s="909">
        <v>0.02</v>
      </c>
      <c r="P24" s="909">
        <v>0.02</v>
      </c>
      <c r="Q24" s="909">
        <v>0.02</v>
      </c>
      <c r="R24" s="909">
        <v>0.02</v>
      </c>
      <c r="S24" s="909">
        <v>0.02</v>
      </c>
      <c r="T24" s="910">
        <v>-0.3</v>
      </c>
      <c r="U24" s="905"/>
    </row>
    <row r="25" spans="2:21" s="911" customFormat="1">
      <c r="B25" s="913" t="s">
        <v>403</v>
      </c>
      <c r="C25" s="907"/>
      <c r="D25" s="912">
        <f>SUM(D5,D7,D9,D11,D13,D15,D17,D19,D23,D21)</f>
        <v>4466.3999999999996</v>
      </c>
      <c r="E25" s="912">
        <f t="shared" ref="E25:T25" si="19">SUM(E5,E7,E9,E11,E13,E15,E17,E19,E23,E21)</f>
        <v>7106.8000000000011</v>
      </c>
      <c r="F25" s="912">
        <f t="shared" si="19"/>
        <v>7432.34</v>
      </c>
      <c r="G25" s="912">
        <f t="shared" si="19"/>
        <v>8054.9653500000004</v>
      </c>
      <c r="H25" s="912">
        <f t="shared" si="19"/>
        <v>8602.3704519999992</v>
      </c>
      <c r="I25" s="912">
        <f t="shared" si="19"/>
        <v>9178.9723760400011</v>
      </c>
      <c r="J25" s="912">
        <f t="shared" si="19"/>
        <v>9587.0600168807996</v>
      </c>
      <c r="K25" s="912">
        <f t="shared" si="19"/>
        <v>9757.3557915019992</v>
      </c>
      <c r="L25" s="912">
        <f t="shared" si="19"/>
        <v>9813.9064865675682</v>
      </c>
      <c r="M25" s="912">
        <f t="shared" si="19"/>
        <v>9970.0904090028507</v>
      </c>
      <c r="N25" s="912">
        <f t="shared" si="19"/>
        <v>7887.9953932665294</v>
      </c>
      <c r="O25" s="912">
        <f t="shared" si="19"/>
        <v>7938.6889880563922</v>
      </c>
      <c r="P25" s="912">
        <f t="shared" si="19"/>
        <v>7948.0854537453133</v>
      </c>
      <c r="Q25" s="912">
        <f t="shared" si="19"/>
        <v>7876.1364801749987</v>
      </c>
      <c r="R25" s="912">
        <f t="shared" si="19"/>
        <v>7896.727530961899</v>
      </c>
      <c r="S25" s="912">
        <f t="shared" si="19"/>
        <v>7918.3229670470755</v>
      </c>
      <c r="T25" s="912">
        <f t="shared" si="19"/>
        <v>7072.4993642536911</v>
      </c>
      <c r="U25" s="905"/>
    </row>
    <row r="26" spans="2:21" s="911" customFormat="1">
      <c r="B26" s="906" t="s">
        <v>126</v>
      </c>
      <c r="C26" s="907"/>
      <c r="D26" s="912"/>
      <c r="E26" s="908">
        <f t="shared" ref="E26:T26" si="20">E25/D25-1</f>
        <v>0.59116962206698953</v>
      </c>
      <c r="F26" s="908">
        <f t="shared" si="20"/>
        <v>4.5806832892440807E-2</v>
      </c>
      <c r="G26" s="908">
        <f t="shared" si="20"/>
        <v>8.3772452551955423E-2</v>
      </c>
      <c r="H26" s="908">
        <f t="shared" si="20"/>
        <v>6.7958715924209212E-2</v>
      </c>
      <c r="I26" s="908">
        <f t="shared" si="20"/>
        <v>6.7028260089164737E-2</v>
      </c>
      <c r="J26" s="908">
        <f t="shared" si="20"/>
        <v>4.4458968185375092E-2</v>
      </c>
      <c r="K26" s="908">
        <f t="shared" si="20"/>
        <v>1.7763086318573595E-2</v>
      </c>
      <c r="L26" s="908">
        <f t="shared" si="20"/>
        <v>5.7956987808951421E-3</v>
      </c>
      <c r="M26" s="908">
        <f t="shared" si="20"/>
        <v>1.5914551728106741E-2</v>
      </c>
      <c r="N26" s="908">
        <f t="shared" si="20"/>
        <v>-0.20883411587283296</v>
      </c>
      <c r="O26" s="908">
        <f t="shared" si="20"/>
        <v>6.4266765207718901E-3</v>
      </c>
      <c r="P26" s="908">
        <f t="shared" si="20"/>
        <v>1.183629400655084E-3</v>
      </c>
      <c r="Q26" s="908">
        <f t="shared" si="20"/>
        <v>-9.0523653764204015E-3</v>
      </c>
      <c r="R26" s="908">
        <f t="shared" si="20"/>
        <v>2.6143593167449186E-3</v>
      </c>
      <c r="S26" s="908">
        <f t="shared" si="20"/>
        <v>2.7347323306399218E-3</v>
      </c>
      <c r="T26" s="908">
        <f t="shared" si="20"/>
        <v>-0.10681852790210344</v>
      </c>
      <c r="U26" s="905"/>
    </row>
    <row r="27" spans="2:21" s="911" customFormat="1">
      <c r="B27" s="902"/>
      <c r="C27" s="907"/>
      <c r="D27" s="912"/>
      <c r="E27" s="912"/>
      <c r="F27" s="912"/>
      <c r="G27" s="912"/>
      <c r="H27" s="912"/>
      <c r="I27" s="912"/>
      <c r="J27" s="912"/>
      <c r="K27" s="912"/>
      <c r="L27" s="912"/>
      <c r="M27" s="912"/>
      <c r="N27" s="912"/>
      <c r="O27" s="912"/>
      <c r="P27" s="912"/>
      <c r="Q27" s="912"/>
      <c r="R27" s="912"/>
      <c r="S27" s="912"/>
      <c r="T27" s="912"/>
      <c r="U27" s="905"/>
    </row>
    <row r="28" spans="2:21" s="911" customFormat="1">
      <c r="B28" s="913" t="str">
        <f>Sales!B117</f>
        <v>Total Developed ROW (Canada/Austraila/Japan/WEU)</v>
      </c>
      <c r="C28" s="907"/>
      <c r="D28" s="912">
        <f>Sales!AZ117</f>
        <v>1700.7</v>
      </c>
      <c r="E28" s="912">
        <f>Sales!BE117</f>
        <v>1473.9</v>
      </c>
      <c r="F28" s="912">
        <f>Sales!BJ117</f>
        <v>1444.0820000000003</v>
      </c>
      <c r="G28" s="912">
        <f>Sales!BO117</f>
        <v>1472.9636400000004</v>
      </c>
      <c r="H28" s="912">
        <f>Sales!BT117</f>
        <v>1502.4229128000004</v>
      </c>
      <c r="I28" s="912">
        <f>Sales!BY117</f>
        <v>1532.4713710560004</v>
      </c>
      <c r="J28" s="912">
        <f>Sales!CD117</f>
        <v>1563.1207984771204</v>
      </c>
      <c r="K28" s="912">
        <f t="shared" ref="K28:T28" si="21">J28*(1+K29)</f>
        <v>1563.1207984771204</v>
      </c>
      <c r="L28" s="912">
        <f t="shared" si="21"/>
        <v>1563.1207984771204</v>
      </c>
      <c r="M28" s="912">
        <f t="shared" si="21"/>
        <v>1563.1207984771204</v>
      </c>
      <c r="N28" s="912">
        <f t="shared" si="21"/>
        <v>1563.1207984771204</v>
      </c>
      <c r="O28" s="912">
        <f t="shared" si="21"/>
        <v>1563.1207984771204</v>
      </c>
      <c r="P28" s="912">
        <f t="shared" si="21"/>
        <v>1563.1207984771204</v>
      </c>
      <c r="Q28" s="912">
        <f t="shared" si="21"/>
        <v>1563.1207984771204</v>
      </c>
      <c r="R28" s="912">
        <f t="shared" si="21"/>
        <v>1563.1207984771204</v>
      </c>
      <c r="S28" s="912">
        <f t="shared" si="21"/>
        <v>1563.1207984771204</v>
      </c>
      <c r="T28" s="912">
        <f t="shared" si="21"/>
        <v>1563.1207984771204</v>
      </c>
      <c r="U28" s="905"/>
    </row>
    <row r="29" spans="2:21" s="911" customFormat="1">
      <c r="B29" s="906" t="s">
        <v>126</v>
      </c>
      <c r="C29" s="907"/>
      <c r="D29" s="904"/>
      <c r="E29" s="908">
        <f t="shared" ref="E29:J29" si="22">E28/D28-1</f>
        <v>-0.13335685306050449</v>
      </c>
      <c r="F29" s="908">
        <f t="shared" si="22"/>
        <v>-2.023068050749699E-2</v>
      </c>
      <c r="G29" s="908">
        <f t="shared" si="22"/>
        <v>2.0000000000000018E-2</v>
      </c>
      <c r="H29" s="908">
        <f t="shared" si="22"/>
        <v>2.0000000000000018E-2</v>
      </c>
      <c r="I29" s="908">
        <f t="shared" si="22"/>
        <v>2.0000000000000018E-2</v>
      </c>
      <c r="J29" s="908">
        <f t="shared" si="22"/>
        <v>2.0000000000000018E-2</v>
      </c>
      <c r="K29" s="909">
        <v>0</v>
      </c>
      <c r="L29" s="909">
        <v>0</v>
      </c>
      <c r="M29" s="909">
        <v>0</v>
      </c>
      <c r="N29" s="909">
        <v>0</v>
      </c>
      <c r="O29" s="909">
        <v>0</v>
      </c>
      <c r="P29" s="909">
        <v>0</v>
      </c>
      <c r="Q29" s="909">
        <v>0</v>
      </c>
      <c r="R29" s="909">
        <v>0</v>
      </c>
      <c r="S29" s="909">
        <v>0</v>
      </c>
      <c r="T29" s="909">
        <v>0</v>
      </c>
      <c r="U29" s="905"/>
    </row>
    <row r="30" spans="2:21" s="911" customFormat="1">
      <c r="B30" s="906"/>
      <c r="C30" s="907"/>
      <c r="D30" s="904"/>
      <c r="E30" s="908"/>
      <c r="F30" s="908"/>
      <c r="G30" s="908"/>
      <c r="H30" s="908"/>
      <c r="I30" s="908"/>
      <c r="J30" s="908"/>
      <c r="K30" s="908"/>
      <c r="L30" s="908"/>
      <c r="M30" s="908"/>
      <c r="N30" s="908"/>
      <c r="O30" s="908"/>
      <c r="P30" s="908"/>
      <c r="Q30" s="908"/>
      <c r="R30" s="908"/>
      <c r="S30" s="908"/>
      <c r="T30" s="908"/>
      <c r="U30" s="905"/>
    </row>
    <row r="31" spans="2:21" s="911" customFormat="1">
      <c r="B31" s="902" t="str">
        <f>Sales!B125</f>
        <v>Emerging Mkts - EMEA</v>
      </c>
      <c r="C31" s="907"/>
      <c r="D31" s="904">
        <f>Sales!AZ125</f>
        <v>1134.7</v>
      </c>
      <c r="E31" s="904">
        <f>Sales!BE125</f>
        <v>976.40000000000009</v>
      </c>
      <c r="F31" s="904">
        <f>Sales!BJ125</f>
        <v>1132.471</v>
      </c>
      <c r="G31" s="904">
        <f>Sales!BO125</f>
        <v>1189.09455</v>
      </c>
      <c r="H31" s="904">
        <f>Sales!BT125</f>
        <v>1248.5492775</v>
      </c>
      <c r="I31" s="904">
        <f>Sales!BY125</f>
        <v>1310.9767413750001</v>
      </c>
      <c r="J31" s="904">
        <f>Sales!CD125</f>
        <v>1376.5255784437502</v>
      </c>
      <c r="K31" s="904">
        <f t="shared" ref="K31:T31" si="23">J31*(1+K32)</f>
        <v>1431.5866015815002</v>
      </c>
      <c r="L31" s="904">
        <f t="shared" si="23"/>
        <v>1488.8500656447602</v>
      </c>
      <c r="M31" s="904">
        <f t="shared" si="23"/>
        <v>1548.4040682705506</v>
      </c>
      <c r="N31" s="904">
        <f t="shared" si="23"/>
        <v>1594.8561903186671</v>
      </c>
      <c r="O31" s="904">
        <f t="shared" si="23"/>
        <v>1642.7018760282272</v>
      </c>
      <c r="P31" s="904">
        <f t="shared" si="23"/>
        <v>1675.5559135487918</v>
      </c>
      <c r="Q31" s="904">
        <f t="shared" si="23"/>
        <v>1709.0670318197676</v>
      </c>
      <c r="R31" s="904">
        <f t="shared" si="23"/>
        <v>1743.248372456163</v>
      </c>
      <c r="S31" s="904">
        <f t="shared" si="23"/>
        <v>1743.248372456163</v>
      </c>
      <c r="T31" s="904">
        <f t="shared" si="23"/>
        <v>1743.248372456163</v>
      </c>
      <c r="U31" s="905"/>
    </row>
    <row r="32" spans="2:21" s="911" customFormat="1">
      <c r="B32" s="906" t="s">
        <v>126</v>
      </c>
      <c r="C32" s="907"/>
      <c r="D32" s="904"/>
      <c r="E32" s="908">
        <f t="shared" ref="E32:J32" si="24">E31/D31-1</f>
        <v>-0.13950824006345286</v>
      </c>
      <c r="F32" s="908">
        <f t="shared" si="24"/>
        <v>0.15984330192544038</v>
      </c>
      <c r="G32" s="908">
        <f t="shared" si="24"/>
        <v>5.0000000000000044E-2</v>
      </c>
      <c r="H32" s="908">
        <f t="shared" si="24"/>
        <v>5.0000000000000044E-2</v>
      </c>
      <c r="I32" s="908">
        <f t="shared" si="24"/>
        <v>5.0000000000000044E-2</v>
      </c>
      <c r="J32" s="908">
        <f t="shared" si="24"/>
        <v>5.0000000000000044E-2</v>
      </c>
      <c r="K32" s="909">
        <v>0.04</v>
      </c>
      <c r="L32" s="909">
        <v>0.04</v>
      </c>
      <c r="M32" s="909">
        <v>0.04</v>
      </c>
      <c r="N32" s="909">
        <v>0.03</v>
      </c>
      <c r="O32" s="909">
        <v>0.03</v>
      </c>
      <c r="P32" s="909">
        <v>0.02</v>
      </c>
      <c r="Q32" s="909">
        <v>0.02</v>
      </c>
      <c r="R32" s="909">
        <v>0.02</v>
      </c>
      <c r="S32" s="909">
        <v>0</v>
      </c>
      <c r="T32" s="909">
        <v>0</v>
      </c>
      <c r="U32" s="905"/>
    </row>
    <row r="33" spans="1:21" s="911" customFormat="1">
      <c r="B33" s="902" t="str">
        <f>Sales!B129</f>
        <v>Emerging Mkts - Latin America</v>
      </c>
      <c r="C33" s="907"/>
      <c r="D33" s="904">
        <f>Sales!AZ129</f>
        <v>435.4</v>
      </c>
      <c r="E33" s="904">
        <f>Sales!BE129</f>
        <v>376.29999999999995</v>
      </c>
      <c r="F33" s="904">
        <f>Sales!BJ129</f>
        <v>359.572</v>
      </c>
      <c r="G33" s="904">
        <f>Sales!BO129</f>
        <v>377.55060000000003</v>
      </c>
      <c r="H33" s="904">
        <f>Sales!BT129</f>
        <v>396.42813000000007</v>
      </c>
      <c r="I33" s="904">
        <f>Sales!BY129</f>
        <v>416.24953650000009</v>
      </c>
      <c r="J33" s="904">
        <f>Sales!CD129</f>
        <v>437.06201332500012</v>
      </c>
      <c r="K33" s="904">
        <f t="shared" ref="K33:T33" si="25">J33*(1+K34)</f>
        <v>454.54449385800012</v>
      </c>
      <c r="L33" s="904">
        <f t="shared" si="25"/>
        <v>472.72627361232014</v>
      </c>
      <c r="M33" s="904">
        <f t="shared" si="25"/>
        <v>491.63532455681298</v>
      </c>
      <c r="N33" s="904">
        <f t="shared" si="25"/>
        <v>506.38438429351737</v>
      </c>
      <c r="O33" s="904">
        <f t="shared" si="25"/>
        <v>521.57591582232294</v>
      </c>
      <c r="P33" s="904">
        <f t="shared" si="25"/>
        <v>532.00743413876944</v>
      </c>
      <c r="Q33" s="904">
        <f t="shared" si="25"/>
        <v>542.6475828215448</v>
      </c>
      <c r="R33" s="904">
        <f t="shared" si="25"/>
        <v>553.50053447797575</v>
      </c>
      <c r="S33" s="904">
        <f t="shared" si="25"/>
        <v>553.50053447797575</v>
      </c>
      <c r="T33" s="904">
        <f t="shared" si="25"/>
        <v>553.50053447797575</v>
      </c>
      <c r="U33" s="905"/>
    </row>
    <row r="34" spans="1:21" s="911" customFormat="1">
      <c r="B34" s="906" t="s">
        <v>126</v>
      </c>
      <c r="C34" s="907"/>
      <c r="D34" s="904"/>
      <c r="E34" s="908">
        <f t="shared" ref="E34:J34" si="26">E33/D33-1</f>
        <v>-0.13573725310059725</v>
      </c>
      <c r="F34" s="908">
        <f t="shared" si="26"/>
        <v>-4.4453893170342651E-2</v>
      </c>
      <c r="G34" s="908">
        <f t="shared" si="26"/>
        <v>5.0000000000000044E-2</v>
      </c>
      <c r="H34" s="908">
        <f t="shared" si="26"/>
        <v>5.0000000000000044E-2</v>
      </c>
      <c r="I34" s="908">
        <f t="shared" si="26"/>
        <v>5.0000000000000044E-2</v>
      </c>
      <c r="J34" s="908">
        <f t="shared" si="26"/>
        <v>5.0000000000000044E-2</v>
      </c>
      <c r="K34" s="909">
        <v>0.04</v>
      </c>
      <c r="L34" s="909">
        <v>0.04</v>
      </c>
      <c r="M34" s="909">
        <v>0.04</v>
      </c>
      <c r="N34" s="909">
        <v>0.03</v>
      </c>
      <c r="O34" s="909">
        <v>0.03</v>
      </c>
      <c r="P34" s="909">
        <v>0.02</v>
      </c>
      <c r="Q34" s="909">
        <v>0.02</v>
      </c>
      <c r="R34" s="909">
        <v>0.02</v>
      </c>
      <c r="S34" s="909">
        <v>0</v>
      </c>
      <c r="T34" s="909">
        <v>0</v>
      </c>
      <c r="U34" s="905"/>
    </row>
    <row r="35" spans="1:21" s="911" customFormat="1">
      <c r="B35" s="902" t="str">
        <f>Sales!B133</f>
        <v>Emerging Mkts - Asia</v>
      </c>
      <c r="C35" s="907"/>
      <c r="D35" s="904">
        <f>Sales!AZ133</f>
        <v>526.29999999999995</v>
      </c>
      <c r="E35" s="904">
        <f>Sales!BE133</f>
        <v>561.20000000000005</v>
      </c>
      <c r="F35" s="904">
        <f>Sales!BJ133</f>
        <v>598.28600000000006</v>
      </c>
      <c r="G35" s="904">
        <f>Sales!BO133</f>
        <v>646.14888000000008</v>
      </c>
      <c r="H35" s="904">
        <f>Sales!BT133</f>
        <v>697.84079040000017</v>
      </c>
      <c r="I35" s="904">
        <f>Sales!BY133</f>
        <v>746.68964572800019</v>
      </c>
      <c r="J35" s="904">
        <f>Sales!CD133</f>
        <v>798.95792092896022</v>
      </c>
      <c r="K35" s="904">
        <f t="shared" ref="K35:T35" si="27">J35*(1+K36)</f>
        <v>846.89539618469792</v>
      </c>
      <c r="L35" s="904">
        <f t="shared" si="27"/>
        <v>897.70911995577978</v>
      </c>
      <c r="M35" s="904">
        <f t="shared" si="27"/>
        <v>942.59457595356878</v>
      </c>
      <c r="N35" s="904">
        <f t="shared" si="27"/>
        <v>989.72430475124725</v>
      </c>
      <c r="O35" s="904">
        <f t="shared" si="27"/>
        <v>1039.2105199888097</v>
      </c>
      <c r="P35" s="904">
        <f t="shared" si="27"/>
        <v>1070.386835588474</v>
      </c>
      <c r="Q35" s="904">
        <f t="shared" si="27"/>
        <v>1102.4984406561282</v>
      </c>
      <c r="R35" s="904">
        <f t="shared" si="27"/>
        <v>1135.5733938758121</v>
      </c>
      <c r="S35" s="904">
        <f t="shared" si="27"/>
        <v>1158.2848617533284</v>
      </c>
      <c r="T35" s="904">
        <f t="shared" si="27"/>
        <v>1181.450558988395</v>
      </c>
      <c r="U35" s="905"/>
    </row>
    <row r="36" spans="1:21" s="911" customFormat="1">
      <c r="B36" s="906" t="s">
        <v>126</v>
      </c>
      <c r="C36" s="907"/>
      <c r="D36" s="904"/>
      <c r="E36" s="908">
        <f t="shared" ref="E36:J36" si="28">E35/D35-1</f>
        <v>6.6311989359681078E-2</v>
      </c>
      <c r="F36" s="908">
        <f t="shared" si="28"/>
        <v>6.6083392729864521E-2</v>
      </c>
      <c r="G36" s="908">
        <f t="shared" si="28"/>
        <v>8.0000000000000071E-2</v>
      </c>
      <c r="H36" s="908">
        <f t="shared" si="28"/>
        <v>8.0000000000000071E-2</v>
      </c>
      <c r="I36" s="908">
        <f t="shared" si="28"/>
        <v>7.0000000000000062E-2</v>
      </c>
      <c r="J36" s="908">
        <f t="shared" si="28"/>
        <v>7.0000000000000062E-2</v>
      </c>
      <c r="K36" s="909">
        <v>0.06</v>
      </c>
      <c r="L36" s="909">
        <v>0.06</v>
      </c>
      <c r="M36" s="909">
        <v>0.05</v>
      </c>
      <c r="N36" s="909">
        <v>0.05</v>
      </c>
      <c r="O36" s="909">
        <v>0.05</v>
      </c>
      <c r="P36" s="909">
        <v>0.03</v>
      </c>
      <c r="Q36" s="909">
        <v>0.03</v>
      </c>
      <c r="R36" s="909">
        <v>0.03</v>
      </c>
      <c r="S36" s="909">
        <v>0.02</v>
      </c>
      <c r="T36" s="909">
        <v>0.02</v>
      </c>
      <c r="U36" s="905"/>
    </row>
    <row r="37" spans="1:21" s="911" customFormat="1">
      <c r="B37" s="913" t="str">
        <f>Sales!B137</f>
        <v>Total Emerging Markets</v>
      </c>
      <c r="C37" s="907"/>
      <c r="D37" s="912">
        <f>SUM(D31,D33,D35)</f>
        <v>2096.3999999999996</v>
      </c>
      <c r="E37" s="912">
        <f t="shared" ref="E37:T37" si="29">SUM(E31,E33,E35)</f>
        <v>1913.9</v>
      </c>
      <c r="F37" s="912">
        <f t="shared" si="29"/>
        <v>2090.3290000000002</v>
      </c>
      <c r="G37" s="912">
        <f t="shared" si="29"/>
        <v>2212.79403</v>
      </c>
      <c r="H37" s="912">
        <f t="shared" si="29"/>
        <v>2342.8181979000001</v>
      </c>
      <c r="I37" s="912">
        <f t="shared" si="29"/>
        <v>2473.915923603</v>
      </c>
      <c r="J37" s="912">
        <f t="shared" si="29"/>
        <v>2612.5455126977104</v>
      </c>
      <c r="K37" s="912">
        <f t="shared" si="29"/>
        <v>2733.0264916241981</v>
      </c>
      <c r="L37" s="912">
        <f t="shared" si="29"/>
        <v>2859.2854592128601</v>
      </c>
      <c r="M37" s="912">
        <f t="shared" si="29"/>
        <v>2982.6339687809323</v>
      </c>
      <c r="N37" s="912">
        <f t="shared" si="29"/>
        <v>3090.9648793634315</v>
      </c>
      <c r="O37" s="912">
        <f t="shared" si="29"/>
        <v>3203.4883118393595</v>
      </c>
      <c r="P37" s="912">
        <f t="shared" si="29"/>
        <v>3277.9501832760352</v>
      </c>
      <c r="Q37" s="912">
        <f t="shared" si="29"/>
        <v>3354.2130552974404</v>
      </c>
      <c r="R37" s="912">
        <f t="shared" si="29"/>
        <v>3432.3223008099508</v>
      </c>
      <c r="S37" s="912">
        <f t="shared" si="29"/>
        <v>3455.0337686874673</v>
      </c>
      <c r="T37" s="912">
        <f t="shared" si="29"/>
        <v>3478.1994659225338</v>
      </c>
      <c r="U37" s="905"/>
    </row>
    <row r="38" spans="1:21" s="911" customFormat="1">
      <c r="B38" s="906" t="s">
        <v>126</v>
      </c>
      <c r="C38" s="904"/>
      <c r="D38" s="904"/>
      <c r="E38" s="908">
        <f t="shared" ref="E38:T38" si="30">E37/D37-1</f>
        <v>-8.7053997328753852E-2</v>
      </c>
      <c r="F38" s="908">
        <f t="shared" si="30"/>
        <v>9.2182977167041269E-2</v>
      </c>
      <c r="G38" s="908">
        <f t="shared" si="30"/>
        <v>5.8586485668045585E-2</v>
      </c>
      <c r="H38" s="908">
        <f t="shared" si="30"/>
        <v>5.8760176562840716E-2</v>
      </c>
      <c r="I38" s="908">
        <f t="shared" si="30"/>
        <v>5.5957276505923526E-2</v>
      </c>
      <c r="J38" s="908">
        <f t="shared" si="30"/>
        <v>5.6036499774337889E-2</v>
      </c>
      <c r="K38" s="908">
        <f t="shared" si="30"/>
        <v>4.6116317721898392E-2</v>
      </c>
      <c r="L38" s="908">
        <f t="shared" si="30"/>
        <v>4.6197491307019112E-2</v>
      </c>
      <c r="M38" s="908">
        <f t="shared" si="30"/>
        <v>4.3139627479527265E-2</v>
      </c>
      <c r="N38" s="908">
        <f t="shared" si="30"/>
        <v>3.6320551471079821E-2</v>
      </c>
      <c r="O38" s="908">
        <f t="shared" si="30"/>
        <v>3.6403982855703454E-2</v>
      </c>
      <c r="P38" s="908">
        <f t="shared" si="30"/>
        <v>2.3243996602541506E-2</v>
      </c>
      <c r="Q38" s="908">
        <f t="shared" si="30"/>
        <v>2.3265415200784734E-2</v>
      </c>
      <c r="R38" s="908">
        <f t="shared" si="30"/>
        <v>2.3286906414352382E-2</v>
      </c>
      <c r="S38" s="908">
        <f t="shared" si="30"/>
        <v>6.6169391703561065E-3</v>
      </c>
      <c r="T38" s="908">
        <f t="shared" si="30"/>
        <v>6.7049119591866546E-3</v>
      </c>
      <c r="U38" s="905"/>
    </row>
    <row r="39" spans="1:21">
      <c r="B39" s="915" t="s">
        <v>188</v>
      </c>
      <c r="C39" s="916"/>
      <c r="D39" s="917">
        <f>D25+D28+D37</f>
        <v>8263.5</v>
      </c>
      <c r="E39" s="917">
        <f t="shared" ref="E39:T39" si="31">E25+E28+E37</f>
        <v>10494.6</v>
      </c>
      <c r="F39" s="917">
        <f t="shared" si="31"/>
        <v>10966.751</v>
      </c>
      <c r="G39" s="917">
        <f t="shared" si="31"/>
        <v>11740.723020000001</v>
      </c>
      <c r="H39" s="917">
        <f t="shared" si="31"/>
        <v>12447.6115627</v>
      </c>
      <c r="I39" s="917">
        <f t="shared" si="31"/>
        <v>13185.359670699003</v>
      </c>
      <c r="J39" s="917">
        <f t="shared" si="31"/>
        <v>13762.726328055631</v>
      </c>
      <c r="K39" s="917">
        <f t="shared" si="31"/>
        <v>14053.503081603318</v>
      </c>
      <c r="L39" s="917">
        <f t="shared" si="31"/>
        <v>14236.31274425755</v>
      </c>
      <c r="M39" s="917">
        <f t="shared" si="31"/>
        <v>14515.845176260904</v>
      </c>
      <c r="N39" s="917">
        <f t="shared" si="31"/>
        <v>12542.081071107081</v>
      </c>
      <c r="O39" s="917">
        <f t="shared" si="31"/>
        <v>12705.298098372872</v>
      </c>
      <c r="P39" s="917">
        <f t="shared" si="31"/>
        <v>12789.156435498469</v>
      </c>
      <c r="Q39" s="917">
        <f t="shared" si="31"/>
        <v>12793.470333949561</v>
      </c>
      <c r="R39" s="917">
        <f t="shared" si="31"/>
        <v>12892.170630248969</v>
      </c>
      <c r="S39" s="917">
        <f t="shared" si="31"/>
        <v>12936.477534211663</v>
      </c>
      <c r="T39" s="917">
        <f t="shared" si="31"/>
        <v>12113.819628653346</v>
      </c>
      <c r="U39" s="916"/>
    </row>
    <row r="40" spans="1:21">
      <c r="B40" s="918" t="s">
        <v>126</v>
      </c>
      <c r="C40" s="919"/>
      <c r="D40" s="920"/>
      <c r="E40" s="920">
        <f t="shared" ref="E40:T40" si="32">E39/D39-1</f>
        <v>0.26999455436558373</v>
      </c>
      <c r="F40" s="920">
        <f t="shared" si="32"/>
        <v>4.4989899567396519E-2</v>
      </c>
      <c r="G40" s="920">
        <f t="shared" si="32"/>
        <v>7.0574413515908319E-2</v>
      </c>
      <c r="H40" s="920">
        <f t="shared" si="32"/>
        <v>6.0208263281216423E-2</v>
      </c>
      <c r="I40" s="920">
        <f t="shared" si="32"/>
        <v>5.9268246304351901E-2</v>
      </c>
      <c r="J40" s="920">
        <f t="shared" si="32"/>
        <v>4.3788464765179835E-2</v>
      </c>
      <c r="K40" s="920">
        <f t="shared" si="32"/>
        <v>2.1127845356841313E-2</v>
      </c>
      <c r="L40" s="920">
        <f t="shared" si="32"/>
        <v>1.3008120579810267E-2</v>
      </c>
      <c r="M40" s="920">
        <f t="shared" si="32"/>
        <v>1.9635170779463751E-2</v>
      </c>
      <c r="N40" s="920">
        <f t="shared" si="32"/>
        <v>-0.1359730750216116</v>
      </c>
      <c r="O40" s="920">
        <f t="shared" si="32"/>
        <v>1.3013552243876791E-2</v>
      </c>
      <c r="P40" s="920">
        <f t="shared" si="32"/>
        <v>6.6002652182035604E-3</v>
      </c>
      <c r="Q40" s="920">
        <f t="shared" si="32"/>
        <v>3.3730906904216873E-4</v>
      </c>
      <c r="R40" s="920">
        <f t="shared" si="32"/>
        <v>7.7148962496509377E-3</v>
      </c>
      <c r="S40" s="920">
        <f t="shared" si="32"/>
        <v>3.4367295650536978E-3</v>
      </c>
      <c r="T40" s="920">
        <f t="shared" si="32"/>
        <v>-6.3592110246605049E-2</v>
      </c>
      <c r="U40" s="921"/>
    </row>
    <row r="41" spans="1:21" s="924" customFormat="1">
      <c r="A41" s="922"/>
      <c r="B41" s="923"/>
      <c r="C41" s="923"/>
    </row>
    <row r="42" spans="1:21" s="924" customFormat="1">
      <c r="A42" s="922"/>
      <c r="B42" s="899" t="s">
        <v>355</v>
      </c>
      <c r="C42" s="901"/>
      <c r="D42" s="900"/>
      <c r="E42" s="900"/>
      <c r="F42" s="900"/>
      <c r="G42" s="900"/>
      <c r="H42" s="900"/>
      <c r="I42" s="900"/>
      <c r="J42" s="900"/>
      <c r="K42" s="925"/>
      <c r="L42" s="925"/>
      <c r="M42" s="925"/>
      <c r="N42" s="925"/>
      <c r="O42" s="925"/>
      <c r="P42" s="925"/>
      <c r="Q42" s="925"/>
      <c r="R42" s="925"/>
      <c r="S42" s="925"/>
      <c r="T42" s="925"/>
      <c r="U42" s="926"/>
    </row>
    <row r="43" spans="1:21" s="924" customFormat="1">
      <c r="A43" s="922"/>
      <c r="B43" s="927" t="s">
        <v>404</v>
      </c>
      <c r="C43" s="923"/>
      <c r="D43" s="923"/>
      <c r="E43" s="923">
        <f>SUM($D$70:E70)/$C$81*-1</f>
        <v>0</v>
      </c>
      <c r="F43" s="923">
        <f>SUM($D$70:F70)/$C$81*-1</f>
        <v>0</v>
      </c>
      <c r="G43" s="923">
        <f>SUM($D$70:G70)/$C$81*-1</f>
        <v>0</v>
      </c>
      <c r="H43" s="923">
        <f>SUM($D$70:H70)/$C$81*-1</f>
        <v>0</v>
      </c>
      <c r="I43" s="923">
        <f>SUM($D$70:I70)/$C$81*-1</f>
        <v>0</v>
      </c>
      <c r="J43" s="923">
        <f>SUM($D$70:J70)/$C$81*-1</f>
        <v>0</v>
      </c>
      <c r="K43" s="923">
        <f>SUM($D$70:K70)/$C$81*-1</f>
        <v>0</v>
      </c>
      <c r="L43" s="923">
        <f>SUM($D$70:L70)/$C$81*-1</f>
        <v>0</v>
      </c>
      <c r="M43" s="923">
        <f>SUM($D$70:M70)/$C$81*-1</f>
        <v>0</v>
      </c>
      <c r="N43" s="923">
        <f>SUM($D$70:N70)/$C$81*-1</f>
        <v>0</v>
      </c>
      <c r="O43" s="923">
        <f>SUM($D$70:O70)/$C$81*-1</f>
        <v>0</v>
      </c>
      <c r="P43" s="923">
        <f>SUM($D$70:P70)/$C$81*-1</f>
        <v>0</v>
      </c>
      <c r="Q43" s="923">
        <f>SUM($D$70:Q70)/$C$81*-1</f>
        <v>0</v>
      </c>
      <c r="R43" s="923">
        <f>SUM($D$70:R70)/$C$81*-1</f>
        <v>0</v>
      </c>
      <c r="S43" s="923">
        <f>SUM($D$70:S70)/$C$81*-1</f>
        <v>0</v>
      </c>
      <c r="T43" s="923">
        <f>SUM($D$70:T70)/$C$81*-1</f>
        <v>0</v>
      </c>
      <c r="U43" s="928"/>
    </row>
    <row r="44" spans="1:21" s="924" customFormat="1">
      <c r="A44" s="922"/>
      <c r="B44" s="929" t="s">
        <v>405</v>
      </c>
      <c r="C44" s="930"/>
      <c r="D44" s="930">
        <f>D39+D43</f>
        <v>8263.5</v>
      </c>
      <c r="E44" s="930">
        <f t="shared" ref="E44:T44" si="33">E39+E43</f>
        <v>10494.6</v>
      </c>
      <c r="F44" s="930">
        <f t="shared" si="33"/>
        <v>10966.751</v>
      </c>
      <c r="G44" s="930">
        <f t="shared" si="33"/>
        <v>11740.723020000001</v>
      </c>
      <c r="H44" s="930">
        <f t="shared" si="33"/>
        <v>12447.6115627</v>
      </c>
      <c r="I44" s="930">
        <f t="shared" si="33"/>
        <v>13185.359670699003</v>
      </c>
      <c r="J44" s="930">
        <f t="shared" si="33"/>
        <v>13762.726328055631</v>
      </c>
      <c r="K44" s="930">
        <f t="shared" si="33"/>
        <v>14053.503081603318</v>
      </c>
      <c r="L44" s="930">
        <f t="shared" si="33"/>
        <v>14236.31274425755</v>
      </c>
      <c r="M44" s="930">
        <f t="shared" si="33"/>
        <v>14515.845176260904</v>
      </c>
      <c r="N44" s="930">
        <f t="shared" si="33"/>
        <v>12542.081071107081</v>
      </c>
      <c r="O44" s="930">
        <f t="shared" si="33"/>
        <v>12705.298098372872</v>
      </c>
      <c r="P44" s="930">
        <f t="shared" si="33"/>
        <v>12789.156435498469</v>
      </c>
      <c r="Q44" s="930">
        <f t="shared" si="33"/>
        <v>12793.470333949561</v>
      </c>
      <c r="R44" s="930">
        <f t="shared" si="33"/>
        <v>12892.170630248969</v>
      </c>
      <c r="S44" s="930">
        <f t="shared" si="33"/>
        <v>12936.477534211663</v>
      </c>
      <c r="T44" s="930">
        <f t="shared" si="33"/>
        <v>12113.819628653346</v>
      </c>
      <c r="U44" s="931"/>
    </row>
    <row r="45" spans="1:21" s="924" customFormat="1">
      <c r="A45" s="922"/>
      <c r="B45" s="923"/>
      <c r="C45" s="923"/>
    </row>
    <row r="46" spans="1:21">
      <c r="B46" s="899" t="s">
        <v>72</v>
      </c>
      <c r="C46" s="901"/>
      <c r="D46" s="900"/>
      <c r="E46" s="900"/>
      <c r="F46" s="900"/>
      <c r="G46" s="900"/>
      <c r="H46" s="900"/>
      <c r="I46" s="900"/>
      <c r="J46" s="900"/>
      <c r="K46" s="900"/>
      <c r="L46" s="900"/>
      <c r="M46" s="900"/>
      <c r="N46" s="900"/>
      <c r="O46" s="900"/>
      <c r="P46" s="900"/>
      <c r="Q46" s="900"/>
      <c r="R46" s="900"/>
      <c r="S46" s="900"/>
      <c r="T46" s="900"/>
      <c r="U46" s="901"/>
    </row>
    <row r="47" spans="1:21">
      <c r="B47" s="932" t="s">
        <v>191</v>
      </c>
      <c r="C47" s="933"/>
      <c r="D47" s="934">
        <f t="shared" ref="D47:S51" si="34">D54/D$39</f>
        <v>0.26129364070914257</v>
      </c>
      <c r="E47" s="935">
        <f t="shared" si="34"/>
        <v>0.23476835705982124</v>
      </c>
      <c r="F47" s="935">
        <f t="shared" si="34"/>
        <v>0.23770658009833537</v>
      </c>
      <c r="G47" s="935">
        <f t="shared" si="34"/>
        <v>0.23515892675832831</v>
      </c>
      <c r="H47" s="935">
        <f t="shared" si="34"/>
        <v>0.23085632307999876</v>
      </c>
      <c r="I47" s="935">
        <f t="shared" si="34"/>
        <v>0.22555886210741871</v>
      </c>
      <c r="J47" s="935">
        <f t="shared" si="34"/>
        <v>0.22087192385660209</v>
      </c>
      <c r="K47" s="936">
        <f t="shared" ref="K47:T49" si="35">J47</f>
        <v>0.22087192385660209</v>
      </c>
      <c r="L47" s="936">
        <f>K47</f>
        <v>0.22087192385660209</v>
      </c>
      <c r="M47" s="936">
        <f t="shared" ref="M47:T47" si="36">L47</f>
        <v>0.22087192385660209</v>
      </c>
      <c r="N47" s="936">
        <f t="shared" si="36"/>
        <v>0.22087192385660209</v>
      </c>
      <c r="O47" s="936">
        <f t="shared" si="36"/>
        <v>0.22087192385660209</v>
      </c>
      <c r="P47" s="936">
        <f t="shared" si="36"/>
        <v>0.22087192385660209</v>
      </c>
      <c r="Q47" s="936">
        <f t="shared" si="36"/>
        <v>0.22087192385660209</v>
      </c>
      <c r="R47" s="936">
        <f t="shared" si="36"/>
        <v>0.22087192385660209</v>
      </c>
      <c r="S47" s="936">
        <f t="shared" si="36"/>
        <v>0.22087192385660209</v>
      </c>
      <c r="T47" s="936">
        <f t="shared" si="36"/>
        <v>0.22087192385660209</v>
      </c>
      <c r="U47" s="937" t="s">
        <v>39</v>
      </c>
    </row>
    <row r="48" spans="1:21">
      <c r="B48" s="932" t="s">
        <v>42</v>
      </c>
      <c r="C48" s="933"/>
      <c r="D48" s="934">
        <f t="shared" si="34"/>
        <v>0.24364978519997582</v>
      </c>
      <c r="E48" s="934">
        <f t="shared" si="34"/>
        <v>0.24834676881443787</v>
      </c>
      <c r="F48" s="935">
        <f t="shared" si="34"/>
        <v>0.25139332104832141</v>
      </c>
      <c r="G48" s="935">
        <f t="shared" si="34"/>
        <v>0.25</v>
      </c>
      <c r="H48" s="935">
        <f t="shared" si="34"/>
        <v>0.24799999999999997</v>
      </c>
      <c r="I48" s="935">
        <f t="shared" si="34"/>
        <v>0.245</v>
      </c>
      <c r="J48" s="935">
        <f t="shared" si="34"/>
        <v>0.245</v>
      </c>
      <c r="K48" s="936">
        <f t="shared" si="35"/>
        <v>0.245</v>
      </c>
      <c r="L48" s="936">
        <f t="shared" si="35"/>
        <v>0.245</v>
      </c>
      <c r="M48" s="936">
        <f t="shared" si="35"/>
        <v>0.245</v>
      </c>
      <c r="N48" s="936">
        <f t="shared" si="35"/>
        <v>0.245</v>
      </c>
      <c r="O48" s="936">
        <f t="shared" si="35"/>
        <v>0.245</v>
      </c>
      <c r="P48" s="936">
        <f t="shared" si="35"/>
        <v>0.245</v>
      </c>
      <c r="Q48" s="936">
        <f t="shared" si="35"/>
        <v>0.245</v>
      </c>
      <c r="R48" s="936">
        <f t="shared" si="35"/>
        <v>0.245</v>
      </c>
      <c r="S48" s="936">
        <f t="shared" si="35"/>
        <v>0.245</v>
      </c>
      <c r="T48" s="936">
        <f t="shared" si="35"/>
        <v>0.245</v>
      </c>
      <c r="U48" s="937"/>
    </row>
    <row r="49" spans="1:21">
      <c r="B49" s="932" t="s">
        <v>40</v>
      </c>
      <c r="C49" s="933"/>
      <c r="D49" s="934">
        <f t="shared" si="34"/>
        <v>2.9612149815453501E-2</v>
      </c>
      <c r="E49" s="934">
        <f t="shared" si="34"/>
        <v>3.1730604310788404E-2</v>
      </c>
      <c r="F49" s="935">
        <f t="shared" si="34"/>
        <v>3.7627797968605291E-2</v>
      </c>
      <c r="G49" s="935">
        <f t="shared" si="34"/>
        <v>3.5000000000000003E-2</v>
      </c>
      <c r="H49" s="935">
        <f t="shared" si="34"/>
        <v>3.3000000000000002E-2</v>
      </c>
      <c r="I49" s="935">
        <f t="shared" si="34"/>
        <v>3.1E-2</v>
      </c>
      <c r="J49" s="935">
        <f t="shared" si="34"/>
        <v>3.0000000000000002E-2</v>
      </c>
      <c r="K49" s="938">
        <f t="shared" si="35"/>
        <v>3.0000000000000002E-2</v>
      </c>
      <c r="L49" s="938">
        <f t="shared" si="35"/>
        <v>3.0000000000000002E-2</v>
      </c>
      <c r="M49" s="938">
        <f t="shared" si="35"/>
        <v>3.0000000000000002E-2</v>
      </c>
      <c r="N49" s="938">
        <f t="shared" si="35"/>
        <v>3.0000000000000002E-2</v>
      </c>
      <c r="O49" s="938">
        <f t="shared" si="35"/>
        <v>3.0000000000000002E-2</v>
      </c>
      <c r="P49" s="938">
        <f t="shared" si="35"/>
        <v>3.0000000000000002E-2</v>
      </c>
      <c r="Q49" s="938">
        <f t="shared" si="35"/>
        <v>3.0000000000000002E-2</v>
      </c>
      <c r="R49" s="938">
        <f t="shared" si="35"/>
        <v>3.0000000000000002E-2</v>
      </c>
      <c r="S49" s="938">
        <f t="shared" si="35"/>
        <v>3.0000000000000002E-2</v>
      </c>
      <c r="T49" s="938">
        <f t="shared" si="35"/>
        <v>3.0000000000000002E-2</v>
      </c>
      <c r="U49" s="939" t="s">
        <v>39</v>
      </c>
    </row>
    <row r="50" spans="1:21">
      <c r="B50" s="932" t="s">
        <v>406</v>
      </c>
      <c r="C50" s="933"/>
      <c r="D50" s="934">
        <f t="shared" si="34"/>
        <v>0.53455557572457191</v>
      </c>
      <c r="E50" s="934">
        <f t="shared" si="34"/>
        <v>0.51484573018504753</v>
      </c>
      <c r="F50" s="934">
        <f t="shared" si="34"/>
        <v>0.52672769911526207</v>
      </c>
      <c r="G50" s="934">
        <f t="shared" si="34"/>
        <v>0.52015892675832831</v>
      </c>
      <c r="H50" s="934">
        <f t="shared" si="34"/>
        <v>0.51185632307999873</v>
      </c>
      <c r="I50" s="934">
        <f t="shared" si="34"/>
        <v>0.50155886210741873</v>
      </c>
      <c r="J50" s="934">
        <f t="shared" si="34"/>
        <v>0.49587192385660211</v>
      </c>
      <c r="K50" s="934">
        <f t="shared" si="34"/>
        <v>0.49587192385660211</v>
      </c>
      <c r="L50" s="934">
        <f t="shared" si="34"/>
        <v>0.49587192385660211</v>
      </c>
      <c r="M50" s="934">
        <f t="shared" si="34"/>
        <v>0.49587192385660211</v>
      </c>
      <c r="N50" s="934">
        <f t="shared" si="34"/>
        <v>0.49587192385660211</v>
      </c>
      <c r="O50" s="934">
        <f t="shared" si="34"/>
        <v>0.495871923856602</v>
      </c>
      <c r="P50" s="934">
        <f t="shared" si="34"/>
        <v>0.49587192385660211</v>
      </c>
      <c r="Q50" s="934">
        <f t="shared" si="34"/>
        <v>0.49587192385660211</v>
      </c>
      <c r="R50" s="934">
        <f t="shared" si="34"/>
        <v>0.49587192385660217</v>
      </c>
      <c r="S50" s="934">
        <f t="shared" si="34"/>
        <v>0.49587192385660217</v>
      </c>
      <c r="T50" s="934">
        <f t="shared" ref="N50:T51" si="37">T57/T$39</f>
        <v>0.49587192385660206</v>
      </c>
      <c r="U50" s="940"/>
    </row>
    <row r="51" spans="1:21">
      <c r="B51" s="941" t="s">
        <v>407</v>
      </c>
      <c r="C51" s="942"/>
      <c r="D51" s="943">
        <f t="shared" si="34"/>
        <v>0.46544442427542809</v>
      </c>
      <c r="E51" s="943">
        <f t="shared" si="34"/>
        <v>0.48515426981495241</v>
      </c>
      <c r="F51" s="943">
        <f t="shared" si="34"/>
        <v>0.47327230088473787</v>
      </c>
      <c r="G51" s="943">
        <f t="shared" si="34"/>
        <v>0.47984107324167163</v>
      </c>
      <c r="H51" s="943">
        <f t="shared" si="34"/>
        <v>0.48814367692000127</v>
      </c>
      <c r="I51" s="943">
        <f t="shared" si="34"/>
        <v>0.49844113789258127</v>
      </c>
      <c r="J51" s="943">
        <f t="shared" si="34"/>
        <v>0.50412807614339794</v>
      </c>
      <c r="K51" s="943">
        <f t="shared" si="34"/>
        <v>0.50412807614339794</v>
      </c>
      <c r="L51" s="943">
        <f t="shared" si="34"/>
        <v>0.50412807614339783</v>
      </c>
      <c r="M51" s="943">
        <f t="shared" si="34"/>
        <v>0.50412807614339783</v>
      </c>
      <c r="N51" s="943">
        <f t="shared" si="37"/>
        <v>0.50412807614339794</v>
      </c>
      <c r="O51" s="943">
        <f t="shared" si="37"/>
        <v>0.50412807614339794</v>
      </c>
      <c r="P51" s="943">
        <f t="shared" si="37"/>
        <v>0.50412807614339794</v>
      </c>
      <c r="Q51" s="943">
        <f t="shared" si="37"/>
        <v>0.50412807614339794</v>
      </c>
      <c r="R51" s="943">
        <f t="shared" si="37"/>
        <v>0.50412807614339783</v>
      </c>
      <c r="S51" s="943">
        <f t="shared" si="37"/>
        <v>0.50412807614339783</v>
      </c>
      <c r="T51" s="943">
        <f t="shared" si="37"/>
        <v>0.50412807614339794</v>
      </c>
      <c r="U51" s="944"/>
    </row>
    <row r="52" spans="1:21" s="924" customFormat="1" ht="3.75" customHeight="1">
      <c r="A52" s="922"/>
      <c r="B52" s="923"/>
      <c r="C52" s="923"/>
    </row>
    <row r="53" spans="1:21">
      <c r="B53" s="899" t="s">
        <v>408</v>
      </c>
      <c r="C53" s="901"/>
      <c r="D53" s="900"/>
      <c r="E53" s="900"/>
      <c r="F53" s="900"/>
      <c r="G53" s="900"/>
      <c r="H53" s="900"/>
      <c r="I53" s="900"/>
      <c r="J53" s="900"/>
      <c r="K53" s="900"/>
      <c r="L53" s="900"/>
      <c r="M53" s="900"/>
      <c r="N53" s="900"/>
      <c r="O53" s="900"/>
      <c r="P53" s="900"/>
      <c r="Q53" s="900"/>
      <c r="R53" s="900"/>
      <c r="S53" s="900"/>
      <c r="T53" s="900"/>
      <c r="U53" s="901"/>
    </row>
    <row r="54" spans="1:21">
      <c r="B54" s="932" t="s">
        <v>191</v>
      </c>
      <c r="C54" s="933"/>
      <c r="D54" s="945">
        <f>IS!AZ11</f>
        <v>2159.1999999999998</v>
      </c>
      <c r="E54" s="945">
        <f>IS!BE11</f>
        <v>2463.8000000000002</v>
      </c>
      <c r="F54" s="945">
        <f>IS!BJ11</f>
        <v>2606.8688749999997</v>
      </c>
      <c r="G54" s="945">
        <f>IS!BO11</f>
        <v>2760.9358247499995</v>
      </c>
      <c r="H54" s="945">
        <f>IS!BT11</f>
        <v>2873.6098364929994</v>
      </c>
      <c r="I54" s="945">
        <f>IS!BY11</f>
        <v>2974.0747237999162</v>
      </c>
      <c r="J54" s="945">
        <f>IS!CD11</f>
        <v>3039.7998415895563</v>
      </c>
      <c r="K54" s="945">
        <f t="shared" ref="K54:T56" si="38">K47*K$39</f>
        <v>3104.024262558411</v>
      </c>
      <c r="L54" s="945">
        <f t="shared" si="38"/>
        <v>3144.4017844484274</v>
      </c>
      <c r="M54" s="945">
        <f t="shared" si="38"/>
        <v>3206.142650485323</v>
      </c>
      <c r="N54" s="945">
        <f t="shared" si="38"/>
        <v>2770.1935753408934</v>
      </c>
      <c r="O54" s="945">
        <f t="shared" si="38"/>
        <v>2806.2436341592443</v>
      </c>
      <c r="P54" s="945">
        <f t="shared" si="38"/>
        <v>2824.7655864115904</v>
      </c>
      <c r="Q54" s="945">
        <f t="shared" si="38"/>
        <v>2825.7184054618051</v>
      </c>
      <c r="R54" s="945">
        <f t="shared" si="38"/>
        <v>2847.5185297906723</v>
      </c>
      <c r="S54" s="945">
        <f t="shared" si="38"/>
        <v>2857.304680909042</v>
      </c>
      <c r="T54" s="945">
        <f t="shared" si="38"/>
        <v>2675.6026466325338</v>
      </c>
      <c r="U54" s="933"/>
    </row>
    <row r="55" spans="1:21">
      <c r="B55" s="932" t="s">
        <v>42</v>
      </c>
      <c r="C55" s="933"/>
      <c r="D55" s="945">
        <f>IS!AZ15</f>
        <v>2013.4</v>
      </c>
      <c r="E55" s="945">
        <f>IS!BE15</f>
        <v>2606.2999999999997</v>
      </c>
      <c r="F55" s="945">
        <f>IS!BJ15</f>
        <v>2756.9679550000001</v>
      </c>
      <c r="G55" s="945">
        <f>IS!BO15</f>
        <v>2935.1807550000003</v>
      </c>
      <c r="H55" s="945">
        <f>IS!BT15</f>
        <v>3087.0076675495998</v>
      </c>
      <c r="I55" s="945">
        <f>IS!BY15</f>
        <v>3230.4131193212556</v>
      </c>
      <c r="J55" s="945">
        <f>IS!CD15</f>
        <v>3371.8679503736294</v>
      </c>
      <c r="K55" s="945">
        <f t="shared" si="38"/>
        <v>3443.1082549928128</v>
      </c>
      <c r="L55" s="945">
        <f t="shared" si="38"/>
        <v>3487.8966223430998</v>
      </c>
      <c r="M55" s="945">
        <f t="shared" si="38"/>
        <v>3556.3820681839215</v>
      </c>
      <c r="N55" s="945">
        <f t="shared" si="38"/>
        <v>3072.8098624212348</v>
      </c>
      <c r="O55" s="945">
        <f t="shared" si="38"/>
        <v>3112.7980341013536</v>
      </c>
      <c r="P55" s="945">
        <f t="shared" si="38"/>
        <v>3133.3433266971251</v>
      </c>
      <c r="Q55" s="945">
        <f t="shared" si="38"/>
        <v>3134.4002318176422</v>
      </c>
      <c r="R55" s="945">
        <f t="shared" si="38"/>
        <v>3158.5818044109974</v>
      </c>
      <c r="S55" s="945">
        <f t="shared" si="38"/>
        <v>3169.4369958818575</v>
      </c>
      <c r="T55" s="945">
        <f t="shared" si="38"/>
        <v>2967.8858090200697</v>
      </c>
      <c r="U55" s="933"/>
    </row>
    <row r="56" spans="1:21" ht="16">
      <c r="B56" s="946" t="s">
        <v>40</v>
      </c>
      <c r="C56" s="947"/>
      <c r="D56" s="948">
        <f>IS!AZ14</f>
        <v>244.70000000000002</v>
      </c>
      <c r="E56" s="948">
        <f>IS!BE14</f>
        <v>333</v>
      </c>
      <c r="F56" s="948">
        <f>IS!BJ14</f>
        <v>412.65469100000001</v>
      </c>
      <c r="G56" s="948">
        <f>IS!BO14</f>
        <v>410.92530570000008</v>
      </c>
      <c r="H56" s="948">
        <f>IS!BT14</f>
        <v>410.77118156910001</v>
      </c>
      <c r="I56" s="948">
        <f>IS!BY14</f>
        <v>408.7461497916691</v>
      </c>
      <c r="J56" s="948">
        <f>IS!CD14</f>
        <v>412.88178984166893</v>
      </c>
      <c r="K56" s="948">
        <f t="shared" si="38"/>
        <v>421.60509244809958</v>
      </c>
      <c r="L56" s="948">
        <f t="shared" si="38"/>
        <v>427.08938232772653</v>
      </c>
      <c r="M56" s="948">
        <f t="shared" si="38"/>
        <v>435.47535528782714</v>
      </c>
      <c r="N56" s="948">
        <f t="shared" si="38"/>
        <v>376.26243213321243</v>
      </c>
      <c r="O56" s="948">
        <f t="shared" si="38"/>
        <v>381.15894295118619</v>
      </c>
      <c r="P56" s="948">
        <f t="shared" si="38"/>
        <v>383.67469306495411</v>
      </c>
      <c r="Q56" s="948">
        <f t="shared" si="38"/>
        <v>383.80411001848688</v>
      </c>
      <c r="R56" s="948">
        <f t="shared" si="38"/>
        <v>386.76511890746912</v>
      </c>
      <c r="S56" s="948">
        <f t="shared" si="38"/>
        <v>388.0943260263499</v>
      </c>
      <c r="T56" s="948">
        <f t="shared" si="38"/>
        <v>363.41458885960043</v>
      </c>
      <c r="U56" s="947"/>
    </row>
    <row r="57" spans="1:21">
      <c r="B57" s="932" t="s">
        <v>406</v>
      </c>
      <c r="C57" s="933"/>
      <c r="D57" s="945">
        <f t="shared" ref="D57:T57" si="39">SUM(D54:D56)</f>
        <v>4417.3</v>
      </c>
      <c r="E57" s="945">
        <f t="shared" si="39"/>
        <v>5403.1</v>
      </c>
      <c r="F57" s="945">
        <f t="shared" si="39"/>
        <v>5776.4915209999999</v>
      </c>
      <c r="G57" s="945">
        <f t="shared" si="39"/>
        <v>6107.0418854500003</v>
      </c>
      <c r="H57" s="945">
        <f t="shared" si="39"/>
        <v>6371.3886856116987</v>
      </c>
      <c r="I57" s="945">
        <f t="shared" si="39"/>
        <v>6613.2339929128411</v>
      </c>
      <c r="J57" s="945">
        <f t="shared" si="39"/>
        <v>6824.5495818048548</v>
      </c>
      <c r="K57" s="945">
        <f t="shared" si="39"/>
        <v>6968.7376099993235</v>
      </c>
      <c r="L57" s="945">
        <f t="shared" si="39"/>
        <v>7059.3877891192542</v>
      </c>
      <c r="M57" s="945">
        <f t="shared" si="39"/>
        <v>7198.0000739570723</v>
      </c>
      <c r="N57" s="945">
        <f t="shared" si="39"/>
        <v>6219.265869895341</v>
      </c>
      <c r="O57" s="945">
        <f t="shared" si="39"/>
        <v>6300.2006112117833</v>
      </c>
      <c r="P57" s="945">
        <f t="shared" si="39"/>
        <v>6341.7836061736698</v>
      </c>
      <c r="Q57" s="945">
        <f t="shared" si="39"/>
        <v>6343.9227472979346</v>
      </c>
      <c r="R57" s="945">
        <f t="shared" si="39"/>
        <v>6392.8654531091397</v>
      </c>
      <c r="S57" s="945">
        <f t="shared" si="39"/>
        <v>6414.8360028172501</v>
      </c>
      <c r="T57" s="945">
        <f t="shared" si="39"/>
        <v>6006.9030445122035</v>
      </c>
      <c r="U57" s="933"/>
    </row>
    <row r="58" spans="1:21">
      <c r="B58" s="949" t="s">
        <v>409</v>
      </c>
      <c r="C58" s="950"/>
      <c r="D58" s="951">
        <f t="shared" ref="D58:T58" si="40">D39-D57</f>
        <v>3846.2</v>
      </c>
      <c r="E58" s="951">
        <f t="shared" si="40"/>
        <v>5091.5</v>
      </c>
      <c r="F58" s="951">
        <f t="shared" si="40"/>
        <v>5190.2594790000003</v>
      </c>
      <c r="G58" s="951">
        <f t="shared" si="40"/>
        <v>5633.6811345500009</v>
      </c>
      <c r="H58" s="951">
        <f t="shared" si="40"/>
        <v>6076.2228770883012</v>
      </c>
      <c r="I58" s="951">
        <f t="shared" si="40"/>
        <v>6572.1256777861618</v>
      </c>
      <c r="J58" s="951">
        <f t="shared" si="40"/>
        <v>6938.176746250776</v>
      </c>
      <c r="K58" s="951">
        <f t="shared" si="40"/>
        <v>7084.7654716039942</v>
      </c>
      <c r="L58" s="951">
        <f t="shared" si="40"/>
        <v>7176.9249551382954</v>
      </c>
      <c r="M58" s="951">
        <f t="shared" si="40"/>
        <v>7317.8451023038315</v>
      </c>
      <c r="N58" s="951">
        <f t="shared" si="40"/>
        <v>6322.8152012117398</v>
      </c>
      <c r="O58" s="951">
        <f t="shared" si="40"/>
        <v>6405.0974871610888</v>
      </c>
      <c r="P58" s="951">
        <f t="shared" si="40"/>
        <v>6447.3728293247996</v>
      </c>
      <c r="Q58" s="951">
        <f t="shared" si="40"/>
        <v>6449.5475866516263</v>
      </c>
      <c r="R58" s="951">
        <f t="shared" si="40"/>
        <v>6499.3051771398295</v>
      </c>
      <c r="S58" s="951">
        <f t="shared" si="40"/>
        <v>6521.6415313944126</v>
      </c>
      <c r="T58" s="951">
        <f t="shared" si="40"/>
        <v>6106.9165841411423</v>
      </c>
      <c r="U58" s="950"/>
    </row>
    <row r="59" spans="1:21">
      <c r="B59" s="949" t="s">
        <v>410</v>
      </c>
      <c r="C59" s="950"/>
      <c r="D59" s="951">
        <f>D43*D51</f>
        <v>0</v>
      </c>
      <c r="E59" s="951">
        <f t="shared" ref="E59:T59" si="41">E43*E51</f>
        <v>0</v>
      </c>
      <c r="F59" s="951">
        <f t="shared" si="41"/>
        <v>0</v>
      </c>
      <c r="G59" s="951">
        <f>G43*G51</f>
        <v>0</v>
      </c>
      <c r="H59" s="951">
        <f t="shared" si="41"/>
        <v>0</v>
      </c>
      <c r="I59" s="951">
        <f t="shared" si="41"/>
        <v>0</v>
      </c>
      <c r="J59" s="951">
        <f t="shared" si="41"/>
        <v>0</v>
      </c>
      <c r="K59" s="951">
        <f t="shared" si="41"/>
        <v>0</v>
      </c>
      <c r="L59" s="951">
        <f t="shared" si="41"/>
        <v>0</v>
      </c>
      <c r="M59" s="951">
        <f t="shared" si="41"/>
        <v>0</v>
      </c>
      <c r="N59" s="951">
        <f t="shared" si="41"/>
        <v>0</v>
      </c>
      <c r="O59" s="951">
        <f t="shared" si="41"/>
        <v>0</v>
      </c>
      <c r="P59" s="951">
        <f t="shared" si="41"/>
        <v>0</v>
      </c>
      <c r="Q59" s="951">
        <f t="shared" si="41"/>
        <v>0</v>
      </c>
      <c r="R59" s="951">
        <f t="shared" si="41"/>
        <v>0</v>
      </c>
      <c r="S59" s="951">
        <f t="shared" si="41"/>
        <v>0</v>
      </c>
      <c r="T59" s="951">
        <f t="shared" si="41"/>
        <v>0</v>
      </c>
      <c r="U59" s="950"/>
    </row>
    <row r="60" spans="1:21">
      <c r="B60" s="952" t="s">
        <v>411</v>
      </c>
      <c r="C60" s="953"/>
      <c r="D60" s="954">
        <f>IS!AZ58</f>
        <v>3.3456618370601605E-2</v>
      </c>
      <c r="E60" s="954">
        <f>IS!BE58</f>
        <v>3.6792657760399694E-2</v>
      </c>
      <c r="F60" s="954">
        <f>IS!BJ58</f>
        <v>0.15</v>
      </c>
      <c r="G60" s="954">
        <f>IS!BO58</f>
        <v>0.15</v>
      </c>
      <c r="H60" s="954">
        <f>IS!BT58</f>
        <v>0.15</v>
      </c>
      <c r="I60" s="954">
        <f>IS!BY58</f>
        <v>0.15</v>
      </c>
      <c r="J60" s="954">
        <f>IS!CD58</f>
        <v>0.15</v>
      </c>
      <c r="K60" s="955">
        <v>0.2</v>
      </c>
      <c r="L60" s="955">
        <f t="shared" ref="L60:T60" si="42">K60</f>
        <v>0.2</v>
      </c>
      <c r="M60" s="955">
        <f t="shared" si="42"/>
        <v>0.2</v>
      </c>
      <c r="N60" s="955">
        <f t="shared" si="42"/>
        <v>0.2</v>
      </c>
      <c r="O60" s="955">
        <f t="shared" si="42"/>
        <v>0.2</v>
      </c>
      <c r="P60" s="955">
        <f t="shared" si="42"/>
        <v>0.2</v>
      </c>
      <c r="Q60" s="955">
        <f t="shared" si="42"/>
        <v>0.2</v>
      </c>
      <c r="R60" s="955">
        <f t="shared" si="42"/>
        <v>0.2</v>
      </c>
      <c r="S60" s="955">
        <f t="shared" si="42"/>
        <v>0.2</v>
      </c>
      <c r="T60" s="955">
        <f t="shared" si="42"/>
        <v>0.2</v>
      </c>
      <c r="U60" s="956" t="s">
        <v>39</v>
      </c>
    </row>
    <row r="61" spans="1:21">
      <c r="B61" s="932" t="s">
        <v>412</v>
      </c>
      <c r="C61" s="933"/>
      <c r="D61" s="945">
        <f>IS!AZ27*-1</f>
        <v>-98.6</v>
      </c>
      <c r="E61" s="945">
        <f>IS!BE27*-1</f>
        <v>-135.5</v>
      </c>
      <c r="F61" s="945">
        <f>IS!BJ27*-1</f>
        <v>-534.1922406000001</v>
      </c>
      <c r="G61" s="945">
        <f>IS!BO27*-1</f>
        <v>-641.23119518250041</v>
      </c>
      <c r="H61" s="945">
        <f>IS!BT27*-1</f>
        <v>-740.6124565632449</v>
      </c>
      <c r="I61" s="945">
        <f>IS!BY27*-1</f>
        <v>-839.74787666792429</v>
      </c>
      <c r="J61" s="945">
        <f>IS!CD27*-1</f>
        <v>-919.40553693761638</v>
      </c>
      <c r="K61" s="945">
        <f t="shared" ref="K61:T61" si="43">-(K58+K59)*K60</f>
        <v>-1416.953094320799</v>
      </c>
      <c r="L61" s="945">
        <f t="shared" si="43"/>
        <v>-1435.3849910276592</v>
      </c>
      <c r="M61" s="945">
        <f t="shared" si="43"/>
        <v>-1463.5690204607663</v>
      </c>
      <c r="N61" s="945">
        <f t="shared" si="43"/>
        <v>-1264.5630402423481</v>
      </c>
      <c r="O61" s="945">
        <f t="shared" si="43"/>
        <v>-1281.0194974322178</v>
      </c>
      <c r="P61" s="945">
        <f t="shared" si="43"/>
        <v>-1289.4745658649599</v>
      </c>
      <c r="Q61" s="945">
        <f t="shared" si="43"/>
        <v>-1289.9095173303253</v>
      </c>
      <c r="R61" s="945">
        <f t="shared" si="43"/>
        <v>-1299.861035427966</v>
      </c>
      <c r="S61" s="945">
        <f t="shared" si="43"/>
        <v>-1304.3283062788826</v>
      </c>
      <c r="T61" s="945">
        <f t="shared" si="43"/>
        <v>-1221.3833168282285</v>
      </c>
      <c r="U61" s="933"/>
    </row>
    <row r="62" spans="1:21">
      <c r="B62" s="932" t="s">
        <v>413</v>
      </c>
      <c r="C62" s="933"/>
      <c r="D62" s="945">
        <f t="shared" ref="D62:T62" si="44">D59*D60*-1</f>
        <v>0</v>
      </c>
      <c r="E62" s="945">
        <f t="shared" si="44"/>
        <v>0</v>
      </c>
      <c r="F62" s="945">
        <f t="shared" si="44"/>
        <v>0</v>
      </c>
      <c r="G62" s="945">
        <f t="shared" si="44"/>
        <v>0</v>
      </c>
      <c r="H62" s="945">
        <f t="shared" si="44"/>
        <v>0</v>
      </c>
      <c r="I62" s="945">
        <f t="shared" si="44"/>
        <v>0</v>
      </c>
      <c r="J62" s="945">
        <f t="shared" si="44"/>
        <v>0</v>
      </c>
      <c r="K62" s="945">
        <f t="shared" si="44"/>
        <v>0</v>
      </c>
      <c r="L62" s="945">
        <f t="shared" si="44"/>
        <v>0</v>
      </c>
      <c r="M62" s="945">
        <f t="shared" si="44"/>
        <v>0</v>
      </c>
      <c r="N62" s="945">
        <f t="shared" si="44"/>
        <v>0</v>
      </c>
      <c r="O62" s="945">
        <f t="shared" si="44"/>
        <v>0</v>
      </c>
      <c r="P62" s="945">
        <f t="shared" si="44"/>
        <v>0</v>
      </c>
      <c r="Q62" s="945">
        <f t="shared" si="44"/>
        <v>0</v>
      </c>
      <c r="R62" s="945">
        <f t="shared" si="44"/>
        <v>0</v>
      </c>
      <c r="S62" s="945">
        <f t="shared" si="44"/>
        <v>0</v>
      </c>
      <c r="T62" s="945">
        <f t="shared" si="44"/>
        <v>0</v>
      </c>
      <c r="U62" s="933"/>
    </row>
    <row r="63" spans="1:21">
      <c r="B63" s="957" t="s">
        <v>414</v>
      </c>
      <c r="C63" s="933"/>
      <c r="D63" s="958">
        <f>'BS &amp; CF'!AL105</f>
        <v>186.89999999999992</v>
      </c>
      <c r="E63" s="958">
        <f>'BS &amp; CF'!AQ105</f>
        <v>188.59999999999991</v>
      </c>
      <c r="F63" s="958">
        <f>'BS &amp; CF'!AV105</f>
        <v>200</v>
      </c>
      <c r="G63" s="958">
        <f>'BS &amp; CF'!BA105</f>
        <v>200</v>
      </c>
      <c r="H63" s="958">
        <f>'BS &amp; CF'!BF105</f>
        <v>200</v>
      </c>
      <c r="I63" s="958">
        <f>'BS &amp; CF'!BK105</f>
        <v>200</v>
      </c>
      <c r="J63" s="958">
        <f>'BS &amp; CF'!BP105</f>
        <v>200</v>
      </c>
      <c r="K63" s="945">
        <f t="shared" ref="K63:T65" si="45">J63</f>
        <v>200</v>
      </c>
      <c r="L63" s="945">
        <f t="shared" si="45"/>
        <v>200</v>
      </c>
      <c r="M63" s="945">
        <f t="shared" si="45"/>
        <v>200</v>
      </c>
      <c r="N63" s="945">
        <f t="shared" si="45"/>
        <v>200</v>
      </c>
      <c r="O63" s="945">
        <f t="shared" si="45"/>
        <v>200</v>
      </c>
      <c r="P63" s="945">
        <f t="shared" si="45"/>
        <v>200</v>
      </c>
      <c r="Q63" s="945">
        <f t="shared" si="45"/>
        <v>200</v>
      </c>
      <c r="R63" s="945">
        <f t="shared" si="45"/>
        <v>200</v>
      </c>
      <c r="S63" s="945">
        <f t="shared" si="45"/>
        <v>200</v>
      </c>
      <c r="T63" s="945">
        <f t="shared" si="45"/>
        <v>200</v>
      </c>
      <c r="U63" s="933"/>
    </row>
    <row r="64" spans="1:21">
      <c r="B64" s="932" t="s">
        <v>415</v>
      </c>
      <c r="C64" s="933"/>
      <c r="D64" s="958">
        <f>'BS &amp; CF'!AL64</f>
        <v>-668.4</v>
      </c>
      <c r="E64" s="958">
        <f>'BS &amp; CF'!AQ64</f>
        <v>-927.71888888888861</v>
      </c>
      <c r="F64" s="958">
        <f>'BS &amp; CF'!AV64</f>
        <v>-192.08088466666709</v>
      </c>
      <c r="G64" s="958">
        <f>'BS &amp; CF'!BA64</f>
        <v>-249.64870474722181</v>
      </c>
      <c r="H64" s="958">
        <f>'BS &amp; CF'!BF64</f>
        <v>-227.31354876481112</v>
      </c>
      <c r="I64" s="958">
        <f>'BS &amp; CF'!BK64</f>
        <v>-231.33740109433791</v>
      </c>
      <c r="J64" s="958">
        <f>'BS &amp; CF'!BP64</f>
        <v>-176.60309364486648</v>
      </c>
      <c r="K64" s="945">
        <f t="shared" si="45"/>
        <v>-176.60309364486648</v>
      </c>
      <c r="L64" s="945">
        <f t="shared" si="45"/>
        <v>-176.60309364486648</v>
      </c>
      <c r="M64" s="945">
        <f t="shared" si="45"/>
        <v>-176.60309364486648</v>
      </c>
      <c r="N64" s="945">
        <f t="shared" si="45"/>
        <v>-176.60309364486648</v>
      </c>
      <c r="O64" s="945">
        <f t="shared" si="45"/>
        <v>-176.60309364486648</v>
      </c>
      <c r="P64" s="945">
        <f t="shared" si="45"/>
        <v>-176.60309364486648</v>
      </c>
      <c r="Q64" s="945">
        <f t="shared" si="45"/>
        <v>-176.60309364486648</v>
      </c>
      <c r="R64" s="945">
        <f t="shared" si="45"/>
        <v>-176.60309364486648</v>
      </c>
      <c r="S64" s="945">
        <f t="shared" si="45"/>
        <v>-176.60309364486648</v>
      </c>
      <c r="T64" s="945">
        <f t="shared" si="45"/>
        <v>-176.60309364486648</v>
      </c>
      <c r="U64" s="933"/>
    </row>
    <row r="65" spans="1:21">
      <c r="B65" s="932" t="s">
        <v>416</v>
      </c>
      <c r="C65" s="933"/>
      <c r="D65" s="958"/>
      <c r="E65" s="958">
        <f>'BS &amp; CF'!AQ62</f>
        <v>-75</v>
      </c>
      <c r="F65" s="958">
        <f>'BS &amp; CF'!AV62</f>
        <v>-175</v>
      </c>
      <c r="G65" s="958">
        <f>'BS &amp; CF'!BA62</f>
        <v>0</v>
      </c>
      <c r="H65" s="959">
        <f>G65</f>
        <v>0</v>
      </c>
      <c r="I65" s="959">
        <f>H65</f>
        <v>0</v>
      </c>
      <c r="J65" s="959">
        <f>I65</f>
        <v>0</v>
      </c>
      <c r="K65" s="959">
        <f t="shared" si="45"/>
        <v>0</v>
      </c>
      <c r="L65" s="959">
        <f t="shared" si="45"/>
        <v>0</v>
      </c>
      <c r="M65" s="959">
        <f t="shared" si="45"/>
        <v>0</v>
      </c>
      <c r="N65" s="959">
        <f t="shared" si="45"/>
        <v>0</v>
      </c>
      <c r="O65" s="959">
        <f t="shared" si="45"/>
        <v>0</v>
      </c>
      <c r="P65" s="959">
        <f t="shared" si="45"/>
        <v>0</v>
      </c>
      <c r="Q65" s="959">
        <f t="shared" si="45"/>
        <v>0</v>
      </c>
      <c r="R65" s="959">
        <f t="shared" si="45"/>
        <v>0</v>
      </c>
      <c r="S65" s="959">
        <f t="shared" si="45"/>
        <v>0</v>
      </c>
      <c r="T65" s="959">
        <f t="shared" si="45"/>
        <v>0</v>
      </c>
      <c r="U65" s="933"/>
    </row>
    <row r="66" spans="1:21">
      <c r="B66" s="932" t="s">
        <v>417</v>
      </c>
      <c r="C66" s="933"/>
      <c r="D66" s="958">
        <f>'BS &amp; CF'!AL68</f>
        <v>191.90000000000003</v>
      </c>
      <c r="E66" s="958">
        <f>'BS &amp; CF'!AQ68</f>
        <v>-15450</v>
      </c>
      <c r="F66" s="958">
        <f>'BS &amp; CF'!AV68</f>
        <v>-975</v>
      </c>
      <c r="G66" s="958">
        <f>-'BS &amp; CF'!BA68</f>
        <v>0</v>
      </c>
      <c r="H66" s="958">
        <f>-'BS &amp; CF'!BF68</f>
        <v>0</v>
      </c>
      <c r="I66" s="958">
        <f>-'BS &amp; CF'!BK68</f>
        <v>0</v>
      </c>
      <c r="J66" s="958">
        <f>-'BS &amp; CF'!BP68</f>
        <v>0</v>
      </c>
      <c r="K66" s="960">
        <v>0</v>
      </c>
      <c r="L66" s="960">
        <v>0</v>
      </c>
      <c r="M66" s="960">
        <v>0</v>
      </c>
      <c r="N66" s="960">
        <v>0</v>
      </c>
      <c r="O66" s="960">
        <v>0</v>
      </c>
      <c r="P66" s="960">
        <v>0</v>
      </c>
      <c r="Q66" s="960">
        <v>0</v>
      </c>
      <c r="R66" s="960">
        <v>0</v>
      </c>
      <c r="S66" s="960">
        <v>0</v>
      </c>
      <c r="T66" s="960">
        <v>0</v>
      </c>
      <c r="U66" s="933"/>
    </row>
    <row r="67" spans="1:21">
      <c r="B67" s="932" t="s">
        <v>316</v>
      </c>
      <c r="C67" s="933"/>
      <c r="D67" s="958">
        <f>'BS &amp; CF'!AL67</f>
        <v>-291.60000000000002</v>
      </c>
      <c r="E67" s="958">
        <f>'BS &amp; CF'!AQ67</f>
        <v>-238.7</v>
      </c>
      <c r="F67" s="958">
        <f>'BS &amp; CF'!AV67</f>
        <v>-350</v>
      </c>
      <c r="G67" s="958">
        <f>'BS &amp; CF'!BA67</f>
        <v>-350</v>
      </c>
      <c r="H67" s="958">
        <f>'BS &amp; CF'!BF67</f>
        <v>-350</v>
      </c>
      <c r="I67" s="958">
        <f>'BS &amp; CF'!BK67</f>
        <v>-350</v>
      </c>
      <c r="J67" s="958">
        <f>'BS &amp; CF'!BP67</f>
        <v>-350</v>
      </c>
      <c r="K67" s="945">
        <f t="shared" ref="K67:T67" si="46">J67</f>
        <v>-350</v>
      </c>
      <c r="L67" s="945">
        <f t="shared" si="46"/>
        <v>-350</v>
      </c>
      <c r="M67" s="945">
        <f t="shared" si="46"/>
        <v>-350</v>
      </c>
      <c r="N67" s="945">
        <f t="shared" si="46"/>
        <v>-350</v>
      </c>
      <c r="O67" s="945">
        <f t="shared" si="46"/>
        <v>-350</v>
      </c>
      <c r="P67" s="945">
        <f t="shared" si="46"/>
        <v>-350</v>
      </c>
      <c r="Q67" s="945">
        <f t="shared" si="46"/>
        <v>-350</v>
      </c>
      <c r="R67" s="945">
        <f t="shared" si="46"/>
        <v>-350</v>
      </c>
      <c r="S67" s="945">
        <f t="shared" si="46"/>
        <v>-350</v>
      </c>
      <c r="T67" s="945">
        <f t="shared" si="46"/>
        <v>-350</v>
      </c>
      <c r="U67" s="933"/>
    </row>
    <row r="68" spans="1:21">
      <c r="B68" s="961" t="s">
        <v>418</v>
      </c>
      <c r="C68" s="962"/>
      <c r="D68" s="963">
        <f>D58+D59+D61+D63+D64+D66+D67+D62+D65</f>
        <v>3166.4</v>
      </c>
      <c r="E68" s="963">
        <f t="shared" ref="E68:T68" si="47">E58+E59+E61+E63+E64+E66+E67+E62+E65</f>
        <v>-11546.818888888889</v>
      </c>
      <c r="F68" s="963">
        <f t="shared" si="47"/>
        <v>3163.9863537333331</v>
      </c>
      <c r="G68" s="963">
        <f>G58+G59+G61+G63+G64+G66+G67+G62+G65</f>
        <v>4592.8012346202786</v>
      </c>
      <c r="H68" s="963">
        <f t="shared" si="47"/>
        <v>4958.2968717602444</v>
      </c>
      <c r="I68" s="963">
        <f t="shared" si="47"/>
        <v>5351.0404000238996</v>
      </c>
      <c r="J68" s="963">
        <f t="shared" si="47"/>
        <v>5692.1681156682935</v>
      </c>
      <c r="K68" s="963">
        <f t="shared" si="47"/>
        <v>5341.209283638329</v>
      </c>
      <c r="L68" s="963">
        <f t="shared" si="47"/>
        <v>5414.93687046577</v>
      </c>
      <c r="M68" s="963">
        <f t="shared" si="47"/>
        <v>5527.6729881981992</v>
      </c>
      <c r="N68" s="963">
        <f t="shared" si="47"/>
        <v>4731.6490673245262</v>
      </c>
      <c r="O68" s="963">
        <f t="shared" si="47"/>
        <v>4797.4748960840043</v>
      </c>
      <c r="P68" s="963">
        <f t="shared" si="47"/>
        <v>4831.2951698149736</v>
      </c>
      <c r="Q68" s="963">
        <f t="shared" si="47"/>
        <v>4833.0349756764354</v>
      </c>
      <c r="R68" s="963">
        <f t="shared" si="47"/>
        <v>4872.8410480669972</v>
      </c>
      <c r="S68" s="963">
        <f t="shared" si="47"/>
        <v>4890.7101314706633</v>
      </c>
      <c r="T68" s="963">
        <f t="shared" si="47"/>
        <v>4558.9301736680482</v>
      </c>
      <c r="U68" s="962"/>
    </row>
    <row r="69" spans="1:21">
      <c r="B69" s="915" t="s">
        <v>419</v>
      </c>
      <c r="C69" s="964"/>
      <c r="D69" s="965">
        <f>D68-D66</f>
        <v>2974.5</v>
      </c>
      <c r="E69" s="965">
        <f t="shared" ref="E69:T69" si="48">E68-E66</f>
        <v>3903.181111111111</v>
      </c>
      <c r="F69" s="965">
        <f t="shared" si="48"/>
        <v>4138.9863537333331</v>
      </c>
      <c r="G69" s="965">
        <f>G68-G66</f>
        <v>4592.8012346202786</v>
      </c>
      <c r="H69" s="965">
        <f t="shared" si="48"/>
        <v>4958.2968717602444</v>
      </c>
      <c r="I69" s="965">
        <f t="shared" si="48"/>
        <v>5351.0404000238996</v>
      </c>
      <c r="J69" s="965">
        <f t="shared" si="48"/>
        <v>5692.1681156682935</v>
      </c>
      <c r="K69" s="965">
        <f t="shared" si="48"/>
        <v>5341.209283638329</v>
      </c>
      <c r="L69" s="965">
        <f t="shared" si="48"/>
        <v>5414.93687046577</v>
      </c>
      <c r="M69" s="965">
        <f t="shared" si="48"/>
        <v>5527.6729881981992</v>
      </c>
      <c r="N69" s="965">
        <f t="shared" si="48"/>
        <v>4731.6490673245262</v>
      </c>
      <c r="O69" s="965">
        <f t="shared" si="48"/>
        <v>4797.4748960840043</v>
      </c>
      <c r="P69" s="965">
        <f t="shared" si="48"/>
        <v>4831.2951698149736</v>
      </c>
      <c r="Q69" s="965">
        <f t="shared" si="48"/>
        <v>4833.0349756764354</v>
      </c>
      <c r="R69" s="965">
        <f t="shared" si="48"/>
        <v>4872.8410480669972</v>
      </c>
      <c r="S69" s="965">
        <f t="shared" si="48"/>
        <v>4890.7101314706633</v>
      </c>
      <c r="T69" s="965">
        <f t="shared" si="48"/>
        <v>4558.9301736680482</v>
      </c>
      <c r="U69" s="966"/>
    </row>
    <row r="70" spans="1:21">
      <c r="B70" s="967" t="s">
        <v>355</v>
      </c>
      <c r="C70" s="964"/>
      <c r="D70" s="968"/>
      <c r="E70" s="968"/>
      <c r="F70" s="969">
        <v>0</v>
      </c>
      <c r="G70" s="968">
        <v>0</v>
      </c>
      <c r="H70" s="968">
        <f>MIN($C$82*G68*-1,0)</f>
        <v>0</v>
      </c>
      <c r="I70" s="968">
        <f>MIN($C$82*H68*-1,0)</f>
        <v>0</v>
      </c>
      <c r="J70" s="968">
        <f>MIN($C$82*I68*-1,0)</f>
        <v>0</v>
      </c>
      <c r="K70" s="968"/>
      <c r="L70" s="968"/>
      <c r="M70" s="968"/>
      <c r="N70" s="968"/>
      <c r="O70" s="968"/>
      <c r="P70" s="968"/>
      <c r="Q70" s="968"/>
      <c r="R70" s="968"/>
      <c r="S70" s="968"/>
      <c r="T70" s="968"/>
      <c r="U70" s="966"/>
    </row>
    <row r="71" spans="1:21">
      <c r="B71" s="929" t="s">
        <v>420</v>
      </c>
      <c r="C71" s="970"/>
      <c r="D71" s="971"/>
      <c r="E71" s="971">
        <f t="shared" ref="E71:T71" si="49">E68+E70</f>
        <v>-11546.818888888889</v>
      </c>
      <c r="F71" s="971">
        <f t="shared" si="49"/>
        <v>3163.9863537333331</v>
      </c>
      <c r="G71" s="971">
        <f t="shared" si="49"/>
        <v>4592.8012346202786</v>
      </c>
      <c r="H71" s="971">
        <f t="shared" si="49"/>
        <v>4958.2968717602444</v>
      </c>
      <c r="I71" s="971">
        <f t="shared" si="49"/>
        <v>5351.0404000238996</v>
      </c>
      <c r="J71" s="971">
        <f t="shared" si="49"/>
        <v>5692.1681156682935</v>
      </c>
      <c r="K71" s="971">
        <f t="shared" si="49"/>
        <v>5341.209283638329</v>
      </c>
      <c r="L71" s="971">
        <f t="shared" si="49"/>
        <v>5414.93687046577</v>
      </c>
      <c r="M71" s="971">
        <f t="shared" si="49"/>
        <v>5527.6729881981992</v>
      </c>
      <c r="N71" s="971">
        <f t="shared" si="49"/>
        <v>4731.6490673245262</v>
      </c>
      <c r="O71" s="971">
        <f t="shared" si="49"/>
        <v>4797.4748960840043</v>
      </c>
      <c r="P71" s="971">
        <f t="shared" si="49"/>
        <v>4831.2951698149736</v>
      </c>
      <c r="Q71" s="971">
        <f t="shared" si="49"/>
        <v>4833.0349756764354</v>
      </c>
      <c r="R71" s="971">
        <f t="shared" si="49"/>
        <v>4872.8410480669972</v>
      </c>
      <c r="S71" s="971">
        <f t="shared" si="49"/>
        <v>4890.7101314706633</v>
      </c>
      <c r="T71" s="971">
        <f t="shared" si="49"/>
        <v>4558.9301736680482</v>
      </c>
      <c r="U71" s="942"/>
    </row>
    <row r="72" spans="1:21" s="924" customFormat="1">
      <c r="A72" s="922"/>
      <c r="B72" s="923"/>
      <c r="C72" s="923"/>
    </row>
    <row r="73" spans="1:21">
      <c r="B73" s="899" t="s">
        <v>421</v>
      </c>
      <c r="C73" s="901"/>
      <c r="D73" s="900"/>
      <c r="E73" s="900"/>
      <c r="F73" s="900"/>
      <c r="G73" s="900"/>
      <c r="H73" s="900"/>
      <c r="I73" s="900"/>
      <c r="J73" s="900"/>
      <c r="K73" s="900"/>
      <c r="L73" s="900"/>
      <c r="M73" s="900"/>
      <c r="N73" s="900"/>
      <c r="O73" s="900"/>
      <c r="P73" s="900"/>
      <c r="Q73" s="900"/>
      <c r="R73" s="900"/>
      <c r="S73" s="900"/>
      <c r="T73" s="900"/>
      <c r="U73" s="901"/>
    </row>
    <row r="74" spans="1:21">
      <c r="B74" s="932" t="s">
        <v>422</v>
      </c>
      <c r="C74" s="933"/>
      <c r="D74" s="945"/>
      <c r="E74" s="945"/>
      <c r="F74" s="945">
        <v>0</v>
      </c>
      <c r="G74" s="945">
        <f t="shared" ref="G74:T74" si="50">F74+1</f>
        <v>1</v>
      </c>
      <c r="H74" s="945">
        <f t="shared" si="50"/>
        <v>2</v>
      </c>
      <c r="I74" s="945">
        <f t="shared" si="50"/>
        <v>3</v>
      </c>
      <c r="J74" s="945">
        <f t="shared" si="50"/>
        <v>4</v>
      </c>
      <c r="K74" s="945">
        <f t="shared" si="50"/>
        <v>5</v>
      </c>
      <c r="L74" s="945">
        <f t="shared" si="50"/>
        <v>6</v>
      </c>
      <c r="M74" s="945">
        <f t="shared" si="50"/>
        <v>7</v>
      </c>
      <c r="N74" s="945">
        <f t="shared" si="50"/>
        <v>8</v>
      </c>
      <c r="O74" s="945">
        <f t="shared" si="50"/>
        <v>9</v>
      </c>
      <c r="P74" s="945">
        <f t="shared" si="50"/>
        <v>10</v>
      </c>
      <c r="Q74" s="945">
        <f t="shared" si="50"/>
        <v>11</v>
      </c>
      <c r="R74" s="945">
        <f t="shared" si="50"/>
        <v>12</v>
      </c>
      <c r="S74" s="945">
        <f t="shared" si="50"/>
        <v>13</v>
      </c>
      <c r="T74" s="945">
        <f t="shared" si="50"/>
        <v>14</v>
      </c>
      <c r="U74" s="933"/>
    </row>
    <row r="75" spans="1:21">
      <c r="B75" s="932" t="s">
        <v>423</v>
      </c>
      <c r="C75" s="933"/>
      <c r="D75" s="972"/>
      <c r="E75" s="972"/>
      <c r="F75" s="972">
        <f t="shared" ref="F75:T75" si="51">(1+$C$79)^F74</f>
        <v>1</v>
      </c>
      <c r="G75" s="972">
        <f t="shared" si="51"/>
        <v>1.0900000000000001</v>
      </c>
      <c r="H75" s="972">
        <f t="shared" si="51"/>
        <v>1.1881000000000002</v>
      </c>
      <c r="I75" s="972">
        <f t="shared" si="51"/>
        <v>1.2950290000000002</v>
      </c>
      <c r="J75" s="972">
        <f t="shared" si="51"/>
        <v>1.4115816100000003</v>
      </c>
      <c r="K75" s="972">
        <f t="shared" si="51"/>
        <v>1.5386239549000005</v>
      </c>
      <c r="L75" s="972">
        <f t="shared" si="51"/>
        <v>1.6771001108410006</v>
      </c>
      <c r="M75" s="972">
        <f t="shared" si="51"/>
        <v>1.8280391208166906</v>
      </c>
      <c r="N75" s="972">
        <f t="shared" si="51"/>
        <v>1.9925626416901929</v>
      </c>
      <c r="O75" s="972">
        <f t="shared" si="51"/>
        <v>2.1718932794423105</v>
      </c>
      <c r="P75" s="972">
        <f t="shared" si="51"/>
        <v>2.3673636745921187</v>
      </c>
      <c r="Q75" s="972">
        <f t="shared" si="51"/>
        <v>2.5804264053054093</v>
      </c>
      <c r="R75" s="972">
        <f t="shared" si="51"/>
        <v>2.812664781782896</v>
      </c>
      <c r="S75" s="972">
        <f t="shared" si="51"/>
        <v>3.0658046121433573</v>
      </c>
      <c r="T75" s="972">
        <f t="shared" si="51"/>
        <v>3.3417270272362596</v>
      </c>
      <c r="U75" s="973"/>
    </row>
    <row r="76" spans="1:21">
      <c r="B76" s="961" t="s">
        <v>424</v>
      </c>
      <c r="C76" s="974"/>
      <c r="D76" s="975"/>
      <c r="E76" s="975"/>
      <c r="F76" s="975">
        <f t="shared" ref="F76:T76" si="52">F71/F75</f>
        <v>3163.9863537333331</v>
      </c>
      <c r="G76" s="975">
        <f t="shared" si="52"/>
        <v>4213.5791143305305</v>
      </c>
      <c r="H76" s="975">
        <f t="shared" si="52"/>
        <v>4173.2992776367673</v>
      </c>
      <c r="I76" s="975">
        <f t="shared" si="52"/>
        <v>4131.984998037804</v>
      </c>
      <c r="J76" s="975">
        <f t="shared" si="52"/>
        <v>4032.4753987608924</v>
      </c>
      <c r="K76" s="975">
        <f t="shared" si="52"/>
        <v>3471.4195542246507</v>
      </c>
      <c r="L76" s="975">
        <f t="shared" si="52"/>
        <v>3228.749932972331</v>
      </c>
      <c r="M76" s="975">
        <f t="shared" si="52"/>
        <v>3023.8264188398048</v>
      </c>
      <c r="N76" s="975">
        <f t="shared" si="52"/>
        <v>2374.6551141352829</v>
      </c>
      <c r="O76" s="975">
        <f t="shared" si="52"/>
        <v>2208.8907136891548</v>
      </c>
      <c r="P76" s="975">
        <f t="shared" si="52"/>
        <v>2040.7912910327875</v>
      </c>
      <c r="Q76" s="975">
        <f t="shared" si="52"/>
        <v>1872.9598200280452</v>
      </c>
      <c r="R76" s="975">
        <f t="shared" si="52"/>
        <v>1732.4642024984555</v>
      </c>
      <c r="S76" s="975">
        <f t="shared" si="52"/>
        <v>1595.2452129855342</v>
      </c>
      <c r="T76" s="975">
        <f t="shared" si="52"/>
        <v>1364.2437387946866</v>
      </c>
      <c r="U76" s="974">
        <f>T76*(1+C80)/(C79-C80)</f>
        <v>12154.171491079935</v>
      </c>
    </row>
    <row r="77" spans="1:21" s="924" customFormat="1" ht="3.75" customHeight="1">
      <c r="A77" s="922"/>
      <c r="B77" s="923"/>
      <c r="C77" s="923"/>
    </row>
    <row r="78" spans="1:21">
      <c r="B78" s="899" t="s">
        <v>425</v>
      </c>
      <c r="C78" s="901"/>
    </row>
    <row r="79" spans="1:21">
      <c r="B79" s="932" t="s">
        <v>426</v>
      </c>
      <c r="C79" s="976">
        <v>0.09</v>
      </c>
    </row>
    <row r="80" spans="1:21">
      <c r="B80" s="932" t="s">
        <v>427</v>
      </c>
      <c r="C80" s="977">
        <v>-0.02</v>
      </c>
    </row>
    <row r="81" spans="2:12">
      <c r="B81" s="978" t="s">
        <v>428</v>
      </c>
      <c r="C81" s="1001">
        <v>5</v>
      </c>
    </row>
    <row r="82" spans="2:12">
      <c r="B82" s="979" t="s">
        <v>429</v>
      </c>
      <c r="C82" s="980">
        <v>0</v>
      </c>
      <c r="L82" s="981"/>
    </row>
    <row r="83" spans="2:12">
      <c r="B83" s="932"/>
      <c r="C83" s="982"/>
    </row>
    <row r="84" spans="2:12">
      <c r="B84" s="932" t="s">
        <v>430</v>
      </c>
      <c r="C84" s="914">
        <f>SUM(F76:H76)</f>
        <v>11550.86474570063</v>
      </c>
    </row>
    <row r="85" spans="2:12">
      <c r="B85" s="932" t="s">
        <v>431</v>
      </c>
      <c r="C85" s="914">
        <f>SUM(I76:T76)</f>
        <v>31077.706395999427</v>
      </c>
    </row>
    <row r="86" spans="2:12" ht="16">
      <c r="B86" s="946" t="s">
        <v>432</v>
      </c>
      <c r="C86" s="947">
        <f>U76</f>
        <v>12154.171491079935</v>
      </c>
      <c r="F86" s="983"/>
    </row>
    <row r="87" spans="2:12">
      <c r="B87" s="949" t="s">
        <v>424</v>
      </c>
      <c r="C87" s="950">
        <f>SUM(C84:C86)</f>
        <v>54782.742632779991</v>
      </c>
    </row>
    <row r="88" spans="2:12" ht="16">
      <c r="B88" s="946" t="s">
        <v>433</v>
      </c>
      <c r="C88" s="947">
        <f>'BS &amp; CF'!AQ84</f>
        <v>30542.018888888884</v>
      </c>
    </row>
    <row r="89" spans="2:12">
      <c r="B89" s="949" t="s">
        <v>434</v>
      </c>
      <c r="C89" s="950">
        <f>C87-C88</f>
        <v>24240.723743891107</v>
      </c>
    </row>
    <row r="90" spans="2:12">
      <c r="B90" s="932" t="s">
        <v>255</v>
      </c>
      <c r="C90" s="898">
        <f>IS!BD33</f>
        <v>349.9</v>
      </c>
    </row>
    <row r="91" spans="2:12">
      <c r="B91" s="984" t="s">
        <v>435</v>
      </c>
      <c r="C91" s="985">
        <f>C89/C90</f>
        <v>69.279004698174077</v>
      </c>
    </row>
    <row r="93" spans="2:12">
      <c r="E93" s="355"/>
      <c r="F93" s="355"/>
      <c r="G93" s="355"/>
      <c r="H93" s="355"/>
      <c r="I93" s="355"/>
      <c r="J93" s="355"/>
      <c r="K93" s="355"/>
    </row>
    <row r="94" spans="2:12" ht="14" hidden="1" thickBot="1">
      <c r="B94" s="986" t="s">
        <v>436</v>
      </c>
      <c r="C94" s="987"/>
      <c r="D94" s="988"/>
      <c r="E94" s="355"/>
      <c r="F94" s="355"/>
      <c r="G94" s="355"/>
      <c r="H94" s="355"/>
      <c r="I94" s="355"/>
      <c r="J94" s="355"/>
      <c r="K94" s="355"/>
    </row>
    <row r="95" spans="2:12" hidden="1">
      <c r="B95" s="989" t="s">
        <v>437</v>
      </c>
      <c r="C95" s="990"/>
      <c r="D95" s="991">
        <f>(F68/F75)+(G68/G75)+(H68/H75)</f>
        <v>11550.86474570063</v>
      </c>
      <c r="E95" s="355"/>
      <c r="F95" s="355"/>
      <c r="G95" s="355"/>
      <c r="H95" s="355"/>
      <c r="I95" s="355"/>
      <c r="J95" s="355"/>
      <c r="K95" s="355"/>
    </row>
    <row r="96" spans="2:12" ht="16" hidden="1">
      <c r="B96" s="992" t="s">
        <v>438</v>
      </c>
      <c r="C96" s="993"/>
      <c r="D96" s="994">
        <f>(H68*(1+D103))/(C79-D103)/H75</f>
        <v>30818.210050240748</v>
      </c>
      <c r="E96" s="355"/>
      <c r="F96" s="355"/>
      <c r="G96" s="355"/>
      <c r="H96" s="355"/>
      <c r="I96" s="355"/>
      <c r="J96" s="355"/>
      <c r="K96" s="355"/>
    </row>
    <row r="97" spans="2:11" hidden="1">
      <c r="B97" s="989" t="s">
        <v>424</v>
      </c>
      <c r="C97" s="990"/>
      <c r="D97" s="991">
        <f>SUM(D95:D96)</f>
        <v>42369.074795941378</v>
      </c>
      <c r="E97" s="355"/>
      <c r="F97" s="355"/>
      <c r="G97" s="355"/>
      <c r="H97" s="355"/>
      <c r="I97" s="355"/>
      <c r="J97" s="355"/>
      <c r="K97" s="355"/>
    </row>
    <row r="98" spans="2:11" ht="16" hidden="1">
      <c r="B98" s="992" t="s">
        <v>439</v>
      </c>
      <c r="C98" s="993"/>
      <c r="D98" s="994">
        <f>C88</f>
        <v>30542.018888888884</v>
      </c>
      <c r="E98" s="355"/>
      <c r="F98" s="355"/>
      <c r="G98" s="355"/>
      <c r="H98" s="355"/>
      <c r="I98" s="355"/>
      <c r="J98" s="355"/>
      <c r="K98" s="355"/>
    </row>
    <row r="99" spans="2:11" ht="16" hidden="1">
      <c r="B99" s="989" t="s">
        <v>434</v>
      </c>
      <c r="C99" s="993"/>
      <c r="D99" s="991">
        <f>D97-D98</f>
        <v>11827.055907052494</v>
      </c>
      <c r="E99" s="355"/>
      <c r="F99" s="355"/>
      <c r="G99" s="355"/>
      <c r="H99" s="355"/>
      <c r="I99" s="355"/>
      <c r="J99" s="355"/>
      <c r="K99" s="355"/>
    </row>
    <row r="100" spans="2:11" ht="16" hidden="1">
      <c r="B100" s="992" t="s">
        <v>255</v>
      </c>
      <c r="C100" s="993"/>
      <c r="D100" s="994">
        <f>C90</f>
        <v>349.9</v>
      </c>
      <c r="E100" s="355"/>
      <c r="F100" s="355"/>
      <c r="G100" s="355"/>
      <c r="H100" s="355"/>
      <c r="I100" s="355"/>
      <c r="J100" s="355"/>
      <c r="K100" s="355"/>
    </row>
    <row r="101" spans="2:11" ht="16" hidden="1">
      <c r="B101" s="989" t="s">
        <v>440</v>
      </c>
      <c r="C101" s="993"/>
      <c r="D101" s="995">
        <f>D99/D100</f>
        <v>33.801245804665605</v>
      </c>
      <c r="E101" s="355"/>
      <c r="F101" s="355"/>
      <c r="G101" s="355"/>
      <c r="H101" s="355"/>
      <c r="I101" s="355"/>
      <c r="J101" s="355"/>
      <c r="K101" s="355"/>
    </row>
    <row r="102" spans="2:11" ht="17" hidden="1" thickBot="1">
      <c r="B102" s="989" t="s">
        <v>441</v>
      </c>
      <c r="C102" s="993"/>
      <c r="D102" s="995" t="e">
        <f ca="1">_xll.BDP("vrx us equity","px_last")</f>
        <v>#NAME?</v>
      </c>
      <c r="E102" s="355"/>
      <c r="F102" s="355"/>
      <c r="G102" s="355"/>
      <c r="H102" s="355"/>
      <c r="I102" s="355"/>
      <c r="J102" s="355"/>
      <c r="K102" s="355"/>
    </row>
    <row r="103" spans="2:11" ht="14" hidden="1" thickBot="1">
      <c r="B103" s="996" t="s">
        <v>442</v>
      </c>
      <c r="C103" s="997"/>
      <c r="D103" s="998">
        <v>-0.04</v>
      </c>
      <c r="E103" s="355"/>
      <c r="F103" s="355"/>
      <c r="G103" s="355"/>
      <c r="H103" s="355"/>
      <c r="I103" s="355"/>
      <c r="J103" s="355"/>
      <c r="K103" s="355"/>
    </row>
    <row r="104" spans="2:11" hidden="1">
      <c r="E104" s="355"/>
      <c r="F104" s="355"/>
      <c r="G104" s="355"/>
      <c r="H104" s="355"/>
      <c r="I104" s="355"/>
      <c r="J104" s="355"/>
      <c r="K104" s="355"/>
    </row>
    <row r="105" spans="2:11">
      <c r="E105" s="355"/>
      <c r="F105" s="355"/>
      <c r="G105" s="355"/>
      <c r="H105" s="355"/>
      <c r="I105" s="355"/>
      <c r="J105" s="355"/>
      <c r="K105" s="355"/>
    </row>
  </sheetData>
  <conditionalFormatting sqref="C81:C82 B3:U3">
    <cfRule type="expression" dxfId="506" priority="44" stopIfTrue="1">
      <formula>ISERROR(B3)</formula>
    </cfRule>
  </conditionalFormatting>
  <conditionalFormatting sqref="U77:U65556 U72:U75 V72:IO65556 D72:T92 F60:F71 A1:IO3 D57:E71 G60:J60 G61:T71 A38:C93 E30:T30 C4:IO6 U28:IO71 L31:T38 A4:B20 C7 C8:IO8 K7:IO7 C9 C10:IO10 K9:IO9 C11 C12:IO12 K11:IO11 C13 K13:IO13 C15 K15:IO15 C17 K17:IO17 C19 K19:IO19 C24:E27 C23 F24:J24 U23:IO24 F25:IO27 C29:D30 C28 E29:J29 K31:K36 C31:C36 D38:K38 C37:K37 C20:IO20 C18:IO18 A23:B37 C14:IO14 C16:IO16 A104:C1048576 A94:A103 D106:T65556 M94:T103 D98:D105 L104:T105 D93:D96 L93:T93 D39:T56 F57:T59">
    <cfRule type="expression" dxfId="505" priority="43" stopIfTrue="1">
      <formula>ISERROR(A1)</formula>
    </cfRule>
  </conditionalFormatting>
  <conditionalFormatting sqref="L25:T27 L5:T20">
    <cfRule type="expression" dxfId="504" priority="42" stopIfTrue="1">
      <formula>ISERROR(L5)</formula>
    </cfRule>
  </conditionalFormatting>
  <conditionalFormatting sqref="K6">
    <cfRule type="expression" dxfId="503" priority="41" stopIfTrue="1">
      <formula>ISERROR(K6)</formula>
    </cfRule>
  </conditionalFormatting>
  <conditionalFormatting sqref="K5">
    <cfRule type="expression" dxfId="502" priority="40" stopIfTrue="1">
      <formula>ISERROR(K5)</formula>
    </cfRule>
  </conditionalFormatting>
  <conditionalFormatting sqref="K7:K8">
    <cfRule type="expression" dxfId="501" priority="39" stopIfTrue="1">
      <formula>ISERROR(K7)</formula>
    </cfRule>
  </conditionalFormatting>
  <conditionalFormatting sqref="K9:K10">
    <cfRule type="expression" dxfId="500" priority="38" stopIfTrue="1">
      <formula>ISERROR(K9)</formula>
    </cfRule>
  </conditionalFormatting>
  <conditionalFormatting sqref="K11:K12">
    <cfRule type="expression" dxfId="499" priority="37" stopIfTrue="1">
      <formula>ISERROR(K11)</formula>
    </cfRule>
  </conditionalFormatting>
  <conditionalFormatting sqref="K13:K14 L14:T14">
    <cfRule type="expression" dxfId="498" priority="36" stopIfTrue="1">
      <formula>ISERROR(K13)</formula>
    </cfRule>
  </conditionalFormatting>
  <conditionalFormatting sqref="K15:K16">
    <cfRule type="expression" dxfId="497" priority="35" stopIfTrue="1">
      <formula>ISERROR(K15)</formula>
    </cfRule>
  </conditionalFormatting>
  <conditionalFormatting sqref="K17:K18">
    <cfRule type="expression" dxfId="496" priority="34" stopIfTrue="1">
      <formula>ISERROR(K17)</formula>
    </cfRule>
  </conditionalFormatting>
  <conditionalFormatting sqref="K19:K20 L20:T20">
    <cfRule type="expression" dxfId="495" priority="33" stopIfTrue="1">
      <formula>ISERROR(K19)</formula>
    </cfRule>
  </conditionalFormatting>
  <conditionalFormatting sqref="K31:K32">
    <cfRule type="expression" dxfId="494" priority="32" stopIfTrue="1">
      <formula>ISERROR(K31)</formula>
    </cfRule>
  </conditionalFormatting>
  <conditionalFormatting sqref="K33:K34">
    <cfRule type="expression" dxfId="493" priority="31" stopIfTrue="1">
      <formula>ISERROR(K33)</formula>
    </cfRule>
  </conditionalFormatting>
  <conditionalFormatting sqref="K35:K36">
    <cfRule type="expression" dxfId="492" priority="30" stopIfTrue="1">
      <formula>ISERROR(K35)</formula>
    </cfRule>
  </conditionalFormatting>
  <conditionalFormatting sqref="K37:K38">
    <cfRule type="expression" dxfId="491" priority="29" stopIfTrue="1">
      <formula>ISERROR(K37)</formula>
    </cfRule>
  </conditionalFormatting>
  <conditionalFormatting sqref="D7:J7">
    <cfRule type="expression" dxfId="490" priority="28" stopIfTrue="1">
      <formula>ISERROR(D7)</formula>
    </cfRule>
  </conditionalFormatting>
  <conditionalFormatting sqref="D9:J9">
    <cfRule type="expression" dxfId="489" priority="27" stopIfTrue="1">
      <formula>ISERROR(D9)</formula>
    </cfRule>
  </conditionalFormatting>
  <conditionalFormatting sqref="D11:J11">
    <cfRule type="expression" dxfId="488" priority="26" stopIfTrue="1">
      <formula>ISERROR(D11)</formula>
    </cfRule>
  </conditionalFormatting>
  <conditionalFormatting sqref="D13:J13">
    <cfRule type="expression" dxfId="487" priority="25" stopIfTrue="1">
      <formula>ISERROR(D13)</formula>
    </cfRule>
  </conditionalFormatting>
  <conditionalFormatting sqref="D15:J15">
    <cfRule type="expression" dxfId="486" priority="24" stopIfTrue="1">
      <formula>ISERROR(D15)</formula>
    </cfRule>
  </conditionalFormatting>
  <conditionalFormatting sqref="D17:J17">
    <cfRule type="expression" dxfId="485" priority="23" stopIfTrue="1">
      <formula>ISERROR(D17)</formula>
    </cfRule>
  </conditionalFormatting>
  <conditionalFormatting sqref="D19:J19">
    <cfRule type="expression" dxfId="484" priority="22" stopIfTrue="1">
      <formula>ISERROR(D19)</formula>
    </cfRule>
  </conditionalFormatting>
  <conditionalFormatting sqref="D23:J23">
    <cfRule type="expression" dxfId="483" priority="21" stopIfTrue="1">
      <formula>ISERROR(D23)</formula>
    </cfRule>
  </conditionalFormatting>
  <conditionalFormatting sqref="K23:T24">
    <cfRule type="expression" dxfId="482" priority="20" stopIfTrue="1">
      <formula>ISERROR(K23)</formula>
    </cfRule>
  </conditionalFormatting>
  <conditionalFormatting sqref="L23:T24">
    <cfRule type="expression" dxfId="481" priority="19" stopIfTrue="1">
      <formula>ISERROR(L23)</formula>
    </cfRule>
  </conditionalFormatting>
  <conditionalFormatting sqref="K23:K24 L24:M24">
    <cfRule type="expression" dxfId="480" priority="18" stopIfTrue="1">
      <formula>ISERROR(K23)</formula>
    </cfRule>
  </conditionalFormatting>
  <conditionalFormatting sqref="D28:J28">
    <cfRule type="expression" dxfId="479" priority="17" stopIfTrue="1">
      <formula>ISERROR(D28)</formula>
    </cfRule>
  </conditionalFormatting>
  <conditionalFormatting sqref="K28:T29">
    <cfRule type="expression" dxfId="478" priority="16" stopIfTrue="1">
      <formula>ISERROR(K28)</formula>
    </cfRule>
  </conditionalFormatting>
  <conditionalFormatting sqref="L28:T29">
    <cfRule type="expression" dxfId="477" priority="15" stopIfTrue="1">
      <formula>ISERROR(L28)</formula>
    </cfRule>
  </conditionalFormatting>
  <conditionalFormatting sqref="K28:K29 L29:M29">
    <cfRule type="expression" dxfId="476" priority="14" stopIfTrue="1">
      <formula>ISERROR(K28)</formula>
    </cfRule>
  </conditionalFormatting>
  <conditionalFormatting sqref="D32:J32">
    <cfRule type="expression" dxfId="475" priority="13" stopIfTrue="1">
      <formula>ISERROR(D32)</formula>
    </cfRule>
  </conditionalFormatting>
  <conditionalFormatting sqref="D31:J31">
    <cfRule type="expression" dxfId="474" priority="12" stopIfTrue="1">
      <formula>ISERROR(D31)</formula>
    </cfRule>
  </conditionalFormatting>
  <conditionalFormatting sqref="D34:J34">
    <cfRule type="expression" dxfId="473" priority="11" stopIfTrue="1">
      <formula>ISERROR(D34)</formula>
    </cfRule>
  </conditionalFormatting>
  <conditionalFormatting sqref="D33:J33">
    <cfRule type="expression" dxfId="472" priority="10" stopIfTrue="1">
      <formula>ISERROR(D33)</formula>
    </cfRule>
  </conditionalFormatting>
  <conditionalFormatting sqref="D36:J36">
    <cfRule type="expression" dxfId="471" priority="9" stopIfTrue="1">
      <formula>ISERROR(D36)</formula>
    </cfRule>
  </conditionalFormatting>
  <conditionalFormatting sqref="D35:J35">
    <cfRule type="expression" dxfId="470" priority="8" stopIfTrue="1">
      <formula>ISERROR(D35)</formula>
    </cfRule>
  </conditionalFormatting>
  <conditionalFormatting sqref="A21:B22 C21 K21:IO21 C22:P22 R22:IO22">
    <cfRule type="expression" dxfId="469" priority="7" stopIfTrue="1">
      <formula>ISERROR(A21)</formula>
    </cfRule>
  </conditionalFormatting>
  <conditionalFormatting sqref="L21:T21 L22:P22 R22:T22">
    <cfRule type="expression" dxfId="468" priority="6" stopIfTrue="1">
      <formula>ISERROR(L21)</formula>
    </cfRule>
  </conditionalFormatting>
  <conditionalFormatting sqref="K21:K22 L22:P22 R22:T22">
    <cfRule type="expression" dxfId="467" priority="5" stopIfTrue="1">
      <formula>ISERROR(K21)</formula>
    </cfRule>
  </conditionalFormatting>
  <conditionalFormatting sqref="D21:J21">
    <cfRule type="expression" dxfId="466" priority="4" stopIfTrue="1">
      <formula>ISERROR(D21)</formula>
    </cfRule>
  </conditionalFormatting>
  <conditionalFormatting sqref="Q22">
    <cfRule type="expression" dxfId="465" priority="3" stopIfTrue="1">
      <formula>ISERROR(Q22)</formula>
    </cfRule>
  </conditionalFormatting>
  <conditionalFormatting sqref="Q22">
    <cfRule type="expression" dxfId="464" priority="2" stopIfTrue="1">
      <formula>ISERROR(Q22)</formula>
    </cfRule>
  </conditionalFormatting>
  <conditionalFormatting sqref="B94:C96 C98:C103">
    <cfRule type="expression" dxfId="463" priority="1" stopIfTrue="1">
      <formula>ISERROR(B94)</formula>
    </cfRule>
  </conditionalFormatting>
  <pageMargins left="0.7" right="0.7" top="0.75" bottom="0.75" header="0.3" footer="0.3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CE109"/>
  <sheetViews>
    <sheetView showGridLines="0" workbookViewId="0">
      <pane xSplit="2" ySplit="8" topLeftCell="AZ9" activePane="bottomRight" state="frozen"/>
      <selection activeCell="L4" sqref="L4"/>
      <selection pane="topRight" activeCell="L4" sqref="L4"/>
      <selection pane="bottomLeft" activeCell="L4" sqref="L4"/>
      <selection pane="bottomRight" activeCell="B4" sqref="B4:B5"/>
    </sheetView>
  </sheetViews>
  <sheetFormatPr baseColWidth="10" defaultColWidth="9.1640625" defaultRowHeight="12" outlineLevelRow="2" outlineLevelCol="1"/>
  <cols>
    <col min="1" max="1" width="2" style="208" customWidth="1"/>
    <col min="2" max="2" width="35.5" style="217" customWidth="1"/>
    <col min="3" max="3" width="9.5" style="218" hidden="1" customWidth="1" outlineLevel="1"/>
    <col min="4" max="6" width="9.1640625" style="218" hidden="1" customWidth="1" outlineLevel="1"/>
    <col min="7" max="7" width="0" style="218" hidden="1" customWidth="1" collapsed="1"/>
    <col min="8" max="11" width="9.1640625" style="218" hidden="1" customWidth="1" outlineLevel="1"/>
    <col min="12" max="12" width="0" style="218" hidden="1" customWidth="1" collapsed="1"/>
    <col min="13" max="16" width="9.1640625" style="218" hidden="1" customWidth="1" outlineLevel="1"/>
    <col min="17" max="17" width="0" style="218" hidden="1" customWidth="1" collapsed="1"/>
    <col min="18" max="21" width="9.1640625" style="218" hidden="1" customWidth="1" outlineLevel="1"/>
    <col min="22" max="22" width="10.83203125" style="218" hidden="1" customWidth="1" collapsed="1"/>
    <col min="23" max="26" width="9.1640625" style="218" hidden="1" customWidth="1" outlineLevel="1"/>
    <col min="27" max="27" width="11.1640625" style="218" hidden="1" customWidth="1" collapsed="1"/>
    <col min="28" max="31" width="9.1640625" style="218" hidden="1" customWidth="1" outlineLevel="1"/>
    <col min="32" max="32" width="11.1640625" style="218" hidden="1" customWidth="1" collapsed="1"/>
    <col min="33" max="36" width="9.1640625" style="218" hidden="1" customWidth="1" outlineLevel="1"/>
    <col min="37" max="37" width="11.1640625" style="218" hidden="1" customWidth="1" collapsed="1"/>
    <col min="38" max="41" width="9.1640625" style="218" hidden="1" customWidth="1" outlineLevel="1"/>
    <col min="42" max="42" width="11.33203125" style="218" hidden="1" customWidth="1" collapsed="1"/>
    <col min="43" max="46" width="9.1640625" style="218" hidden="1" customWidth="1" outlineLevel="1"/>
    <col min="47" max="47" width="11.1640625" style="218" hidden="1" customWidth="1" collapsed="1"/>
    <col min="48" max="51" width="9.1640625" style="218" hidden="1" customWidth="1" outlineLevel="1"/>
    <col min="52" max="52" width="10.83203125" style="218" bestFit="1" customWidth="1" collapsed="1"/>
    <col min="53" max="56" width="9.1640625" style="218" hidden="1" customWidth="1" outlineLevel="1"/>
    <col min="57" max="57" width="9.1640625" style="218" collapsed="1"/>
    <col min="58" max="61" width="9.1640625" style="218" hidden="1" customWidth="1" outlineLevel="1"/>
    <col min="62" max="62" width="9.1640625" style="218" collapsed="1"/>
    <col min="63" max="66" width="9.1640625" style="218" hidden="1" customWidth="1" outlineLevel="1"/>
    <col min="67" max="67" width="9.1640625" style="218" collapsed="1"/>
    <col min="68" max="71" width="9.1640625" style="218" hidden="1" customWidth="1" outlineLevel="1"/>
    <col min="72" max="72" width="9.1640625" style="218" collapsed="1"/>
    <col min="73" max="76" width="9.1640625" style="218" hidden="1" customWidth="1" outlineLevel="1"/>
    <col min="77" max="77" width="9.1640625" style="218" collapsed="1"/>
    <col min="78" max="81" width="9.1640625" style="218" hidden="1" customWidth="1" outlineLevel="1"/>
    <col min="82" max="82" width="9.1640625" style="218" collapsed="1"/>
    <col min="83" max="83" width="1" style="208" customWidth="1"/>
    <col min="84" max="16384" width="9.1640625" style="218"/>
  </cols>
  <sheetData>
    <row r="2" spans="1:83" s="197" customFormat="1">
      <c r="A2" s="2"/>
      <c r="B2" s="192" t="s">
        <v>1</v>
      </c>
      <c r="C2" s="193"/>
      <c r="D2" s="193"/>
      <c r="E2" s="193"/>
      <c r="F2" s="194"/>
      <c r="G2" s="195"/>
      <c r="H2" s="194"/>
      <c r="I2" s="193"/>
      <c r="J2" s="193"/>
      <c r="K2" s="194"/>
      <c r="L2" s="195"/>
      <c r="M2" s="194"/>
      <c r="N2" s="193"/>
      <c r="O2" s="193"/>
      <c r="P2" s="194"/>
      <c r="Q2" s="195"/>
      <c r="R2" s="195"/>
      <c r="S2" s="195"/>
      <c r="T2" s="195"/>
      <c r="U2" s="195"/>
      <c r="V2" s="195"/>
      <c r="W2" s="195"/>
      <c r="X2" s="195"/>
      <c r="Y2" s="195"/>
      <c r="Z2" s="195"/>
      <c r="AA2" s="195"/>
      <c r="AB2" s="195"/>
      <c r="AC2" s="195"/>
      <c r="AD2" s="195"/>
      <c r="AE2" s="195"/>
      <c r="AF2" s="195"/>
      <c r="AG2" s="195"/>
      <c r="AH2" s="195"/>
      <c r="AI2" s="195"/>
      <c r="AJ2" s="195"/>
      <c r="AK2" s="195"/>
      <c r="AL2" s="195"/>
      <c r="AM2" s="195"/>
      <c r="AN2" s="195"/>
      <c r="AO2" s="195"/>
      <c r="AP2" s="195"/>
      <c r="AQ2" s="195"/>
      <c r="AR2" s="196"/>
      <c r="AS2" s="195"/>
      <c r="AT2" s="195"/>
      <c r="AU2" s="195"/>
      <c r="AV2" s="195"/>
      <c r="AW2" s="195"/>
      <c r="AX2" s="195"/>
      <c r="CE2" s="2"/>
    </row>
    <row r="3" spans="1:83" s="197" customFormat="1">
      <c r="A3" s="2"/>
      <c r="B3" s="192" t="s">
        <v>226</v>
      </c>
      <c r="C3" s="193"/>
      <c r="D3" s="193"/>
      <c r="E3" s="193"/>
      <c r="F3" s="194"/>
      <c r="G3" s="195"/>
      <c r="H3" s="194"/>
      <c r="I3" s="193"/>
      <c r="J3" s="193"/>
      <c r="K3" s="194"/>
      <c r="L3" s="195"/>
      <c r="M3" s="194"/>
      <c r="N3" s="193"/>
      <c r="O3" s="193"/>
      <c r="P3" s="194"/>
      <c r="Q3" s="195"/>
      <c r="R3" s="195"/>
      <c r="S3" s="195"/>
      <c r="T3" s="195"/>
      <c r="U3" s="195"/>
      <c r="V3" s="195"/>
      <c r="W3" s="195"/>
      <c r="X3" s="195"/>
      <c r="Y3" s="195"/>
      <c r="Z3" s="195"/>
      <c r="AA3" s="195"/>
      <c r="AB3" s="195"/>
      <c r="AC3" s="195"/>
      <c r="AD3" s="195"/>
      <c r="AE3" s="195"/>
      <c r="AF3" s="195"/>
      <c r="AG3" s="195"/>
      <c r="AH3" s="195"/>
      <c r="AI3" s="199"/>
      <c r="AJ3" s="195"/>
      <c r="AK3" s="195"/>
      <c r="AL3" s="195"/>
      <c r="AM3" s="195"/>
      <c r="AN3" s="195"/>
      <c r="AO3" s="195"/>
      <c r="AP3" s="195"/>
      <c r="AQ3" s="195"/>
      <c r="AR3" s="196"/>
      <c r="AS3" s="195"/>
      <c r="AT3" s="195"/>
      <c r="AU3" s="195"/>
      <c r="AV3" s="195"/>
      <c r="AW3" s="195"/>
      <c r="AX3" s="195"/>
      <c r="BO3" s="201"/>
      <c r="BY3" s="201"/>
      <c r="CE3" s="2"/>
    </row>
    <row r="4" spans="1:83" s="197" customFormat="1">
      <c r="A4" s="2"/>
      <c r="B4" s="198"/>
      <c r="C4" s="193"/>
      <c r="D4" s="193"/>
      <c r="E4" s="193"/>
      <c r="F4" s="194"/>
      <c r="G4" s="202"/>
      <c r="H4" s="194"/>
      <c r="I4" s="193"/>
      <c r="J4" s="193"/>
      <c r="K4" s="194"/>
      <c r="L4" s="203"/>
      <c r="M4" s="194"/>
      <c r="N4" s="193"/>
      <c r="O4" s="193"/>
      <c r="P4" s="194"/>
      <c r="Q4" s="203"/>
      <c r="R4" s="203"/>
      <c r="S4" s="203"/>
      <c r="T4" s="203"/>
      <c r="U4" s="203"/>
      <c r="V4" s="203"/>
      <c r="W4" s="203"/>
      <c r="Y4" s="203"/>
      <c r="Z4" s="203"/>
      <c r="AA4" s="203"/>
      <c r="AB4" s="203"/>
      <c r="AC4" s="203"/>
      <c r="AD4" s="203"/>
      <c r="AE4" s="203"/>
      <c r="AF4" s="203"/>
      <c r="AG4" s="204"/>
      <c r="AH4" s="204"/>
      <c r="AI4" s="204"/>
      <c r="AJ4" s="204"/>
      <c r="AK4" s="203"/>
      <c r="AL4" s="203"/>
      <c r="AM4" s="203"/>
      <c r="AN4" s="203"/>
      <c r="AO4" s="203"/>
      <c r="AP4" s="203"/>
      <c r="AQ4" s="203"/>
      <c r="AR4" s="203"/>
      <c r="AS4" s="203"/>
      <c r="AT4" s="203"/>
      <c r="AU4" s="203"/>
      <c r="AV4" s="203"/>
      <c r="AW4" s="203"/>
      <c r="AX4" s="205"/>
      <c r="AY4" s="203"/>
      <c r="AZ4" s="203"/>
      <c r="BA4" s="203"/>
      <c r="BB4" s="203"/>
      <c r="BC4" s="203"/>
      <c r="BD4" s="203"/>
      <c r="BE4" s="204"/>
      <c r="BF4" s="203"/>
      <c r="BG4" s="203"/>
      <c r="BH4" s="203"/>
      <c r="BI4" s="203"/>
      <c r="BJ4" s="203"/>
      <c r="BK4" s="203"/>
      <c r="BL4" s="203"/>
      <c r="BM4" s="203"/>
      <c r="BN4" s="203"/>
      <c r="BO4" s="203"/>
      <c r="BP4" s="203"/>
      <c r="BQ4" s="203"/>
      <c r="BR4" s="203"/>
      <c r="BS4" s="203"/>
      <c r="BT4" s="203"/>
      <c r="BU4" s="203"/>
      <c r="BV4" s="203"/>
      <c r="BW4" s="203"/>
      <c r="BX4" s="203"/>
      <c r="BY4" s="203"/>
      <c r="BZ4" s="203"/>
      <c r="CA4" s="203"/>
      <c r="CB4" s="203"/>
      <c r="CC4" s="203"/>
      <c r="CD4" s="203"/>
      <c r="CE4" s="2"/>
    </row>
    <row r="5" spans="1:83" s="197" customFormat="1">
      <c r="A5" s="2"/>
      <c r="B5" s="198"/>
      <c r="C5" s="193"/>
      <c r="D5" s="193"/>
      <c r="E5" s="193"/>
      <c r="F5" s="193"/>
      <c r="G5" s="203"/>
      <c r="H5" s="193"/>
      <c r="I5" s="193"/>
      <c r="J5" s="193"/>
      <c r="K5" s="193"/>
      <c r="L5" s="203"/>
      <c r="M5" s="193"/>
      <c r="N5" s="193"/>
      <c r="O5" s="193"/>
      <c r="P5" s="193"/>
      <c r="Q5" s="203" t="s">
        <v>39</v>
      </c>
      <c r="R5" s="203"/>
      <c r="S5" s="203"/>
      <c r="T5" s="203"/>
      <c r="U5" s="203"/>
      <c r="V5" s="203" t="s">
        <v>39</v>
      </c>
      <c r="W5" s="203"/>
      <c r="X5" s="203"/>
      <c r="Y5" s="203"/>
      <c r="Z5" s="203"/>
      <c r="AA5" s="203" t="s">
        <v>39</v>
      </c>
      <c r="AB5" s="203"/>
      <c r="AC5" s="203"/>
      <c r="AD5" s="203"/>
      <c r="AE5" s="203"/>
      <c r="AF5" s="203" t="s">
        <v>39</v>
      </c>
      <c r="AG5" s="203" t="s">
        <v>39</v>
      </c>
      <c r="AH5" s="203" t="s">
        <v>39</v>
      </c>
      <c r="AI5" s="203"/>
      <c r="AJ5" s="203"/>
      <c r="AK5" s="203"/>
      <c r="AL5" s="203"/>
      <c r="AM5" s="203"/>
      <c r="AN5" s="203"/>
      <c r="AO5" s="203"/>
      <c r="AP5" s="203"/>
      <c r="AQ5" s="203"/>
      <c r="AR5" s="203"/>
      <c r="AS5" s="205"/>
      <c r="AT5" s="203"/>
      <c r="AU5" s="206"/>
      <c r="AV5" s="203"/>
      <c r="AW5" s="203"/>
      <c r="AX5" s="203"/>
      <c r="AY5" s="203"/>
      <c r="AZ5" s="207"/>
      <c r="BA5" s="207"/>
      <c r="BB5" s="207"/>
      <c r="BC5" s="207"/>
      <c r="BD5" s="207"/>
      <c r="BE5" s="207"/>
      <c r="BF5" s="207"/>
      <c r="BG5" s="207"/>
      <c r="BH5" s="207"/>
      <c r="BI5" s="207"/>
      <c r="BJ5" s="207"/>
      <c r="BK5" s="207"/>
      <c r="BL5" s="207"/>
      <c r="BM5" s="207"/>
      <c r="BN5" s="207"/>
      <c r="BO5" s="207"/>
      <c r="BP5" s="207"/>
      <c r="BQ5" s="207"/>
      <c r="BR5" s="207"/>
      <c r="BS5" s="207"/>
      <c r="BT5" s="207"/>
      <c r="BU5" s="207"/>
      <c r="BV5" s="207"/>
      <c r="BW5" s="207"/>
      <c r="BX5" s="207"/>
      <c r="BY5" s="207"/>
      <c r="BZ5" s="207"/>
      <c r="CA5" s="207"/>
      <c r="CB5" s="207"/>
      <c r="CC5" s="207"/>
      <c r="CD5" s="207"/>
      <c r="CE5" s="2"/>
    </row>
    <row r="6" spans="1:83">
      <c r="B6" s="209"/>
      <c r="C6" s="210"/>
      <c r="D6" s="210"/>
      <c r="E6" s="210"/>
      <c r="F6" s="211"/>
      <c r="G6" s="212"/>
      <c r="H6" s="210"/>
      <c r="I6" s="210"/>
      <c r="J6" s="210"/>
      <c r="K6" s="211"/>
      <c r="L6" s="212"/>
      <c r="M6" s="210"/>
      <c r="N6" s="210"/>
      <c r="O6" s="210"/>
      <c r="P6" s="211"/>
      <c r="Q6" s="212"/>
      <c r="R6" s="213"/>
      <c r="S6" s="210"/>
      <c r="T6" s="210"/>
      <c r="U6" s="211"/>
      <c r="V6" s="214"/>
      <c r="W6" s="214"/>
      <c r="X6" s="214"/>
      <c r="Y6" s="214"/>
      <c r="Z6" s="214"/>
      <c r="AA6" s="214"/>
      <c r="AB6" s="214"/>
      <c r="AC6" s="214"/>
      <c r="AD6" s="214"/>
      <c r="AE6" s="214"/>
      <c r="AF6" s="214"/>
      <c r="AG6" s="214"/>
      <c r="AH6" s="214"/>
      <c r="AI6" s="214"/>
      <c r="AJ6" s="214"/>
      <c r="AK6" s="214"/>
      <c r="AL6" s="214"/>
      <c r="AM6" s="214"/>
      <c r="AN6" s="214"/>
      <c r="AO6" s="214"/>
      <c r="AP6" s="214"/>
      <c r="AQ6" s="214"/>
      <c r="AR6" s="214"/>
      <c r="AS6" s="214"/>
      <c r="AT6" s="214"/>
      <c r="AU6" s="214"/>
      <c r="AV6" s="214"/>
      <c r="AW6" s="214"/>
      <c r="AX6" s="214"/>
      <c r="AY6" s="214"/>
      <c r="AZ6" s="215"/>
      <c r="BA6" s="215"/>
      <c r="BB6" s="216"/>
      <c r="BC6" s="215"/>
      <c r="BD6" s="215"/>
      <c r="BE6" s="215"/>
      <c r="BF6" s="215"/>
      <c r="BG6" s="215"/>
      <c r="BH6" s="215"/>
      <c r="BI6" s="215"/>
      <c r="BJ6" s="207"/>
      <c r="BK6" s="207"/>
      <c r="BL6" s="207"/>
      <c r="BM6" s="207"/>
      <c r="BN6" s="207"/>
      <c r="BO6" s="207"/>
      <c r="BP6" s="207"/>
      <c r="BQ6" s="207"/>
      <c r="BR6" s="207"/>
      <c r="BS6" s="207"/>
      <c r="BT6" s="207"/>
      <c r="BU6" s="207"/>
      <c r="BV6" s="207"/>
      <c r="BW6" s="207"/>
      <c r="BX6" s="207"/>
      <c r="BY6" s="207"/>
      <c r="BZ6" s="207"/>
      <c r="CA6" s="207"/>
      <c r="CB6" s="207"/>
      <c r="CC6" s="207"/>
      <c r="CD6" s="207"/>
    </row>
    <row r="7" spans="1:83">
      <c r="B7" s="22" t="s">
        <v>5</v>
      </c>
      <c r="C7" s="23">
        <v>38412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19">
        <v>2014</v>
      </c>
      <c r="BA7" s="23">
        <v>42064</v>
      </c>
      <c r="BB7" s="23">
        <v>42156</v>
      </c>
      <c r="BC7" s="23">
        <v>42248</v>
      </c>
      <c r="BD7" s="23">
        <v>42339</v>
      </c>
      <c r="BE7" s="219">
        <v>2015</v>
      </c>
      <c r="BF7" s="219">
        <v>42065</v>
      </c>
      <c r="BG7" s="219">
        <v>42157</v>
      </c>
      <c r="BH7" s="219">
        <v>42249</v>
      </c>
      <c r="BI7" s="219">
        <v>42340</v>
      </c>
      <c r="BJ7" s="219">
        <v>2016</v>
      </c>
      <c r="BK7" s="219">
        <v>42066</v>
      </c>
      <c r="BL7" s="219">
        <v>42158</v>
      </c>
      <c r="BM7" s="219">
        <v>42250</v>
      </c>
      <c r="BN7" s="219">
        <v>42341</v>
      </c>
      <c r="BO7" s="219">
        <v>2017</v>
      </c>
      <c r="BP7" s="219">
        <v>42067</v>
      </c>
      <c r="BQ7" s="219">
        <v>42159</v>
      </c>
      <c r="BR7" s="219">
        <v>42251</v>
      </c>
      <c r="BS7" s="219">
        <v>42342</v>
      </c>
      <c r="BT7" s="219">
        <v>2018</v>
      </c>
      <c r="BU7" s="219">
        <v>42068</v>
      </c>
      <c r="BV7" s="219">
        <v>42160</v>
      </c>
      <c r="BW7" s="219">
        <v>42252</v>
      </c>
      <c r="BX7" s="219">
        <v>42343</v>
      </c>
      <c r="BY7" s="219">
        <v>2019</v>
      </c>
      <c r="BZ7" s="219">
        <v>42069</v>
      </c>
      <c r="CA7" s="219">
        <v>42161</v>
      </c>
      <c r="CB7" s="219">
        <v>42253</v>
      </c>
      <c r="CC7" s="219">
        <v>42344</v>
      </c>
      <c r="CD7" s="219">
        <v>2020</v>
      </c>
    </row>
    <row r="8" spans="1:83">
      <c r="B8" s="220" t="s">
        <v>6</v>
      </c>
      <c r="C8" s="221" t="s">
        <v>7</v>
      </c>
      <c r="D8" s="221" t="s">
        <v>8</v>
      </c>
      <c r="E8" s="221" t="s">
        <v>9</v>
      </c>
      <c r="F8" s="221" t="s">
        <v>10</v>
      </c>
      <c r="G8" s="222" t="s">
        <v>11</v>
      </c>
      <c r="H8" s="221" t="s">
        <v>7</v>
      </c>
      <c r="I8" s="221" t="s">
        <v>8</v>
      </c>
      <c r="J8" s="221" t="s">
        <v>9</v>
      </c>
      <c r="K8" s="221" t="s">
        <v>10</v>
      </c>
      <c r="L8" s="222" t="s">
        <v>12</v>
      </c>
      <c r="M8" s="221" t="s">
        <v>7</v>
      </c>
      <c r="N8" s="221" t="s">
        <v>8</v>
      </c>
      <c r="O8" s="221" t="s">
        <v>9</v>
      </c>
      <c r="P8" s="221" t="s">
        <v>10</v>
      </c>
      <c r="Q8" s="222" t="s">
        <v>13</v>
      </c>
      <c r="R8" s="221" t="s">
        <v>7</v>
      </c>
      <c r="S8" s="221" t="s">
        <v>8</v>
      </c>
      <c r="T8" s="221" t="s">
        <v>9</v>
      </c>
      <c r="U8" s="221" t="s">
        <v>10</v>
      </c>
      <c r="V8" s="222" t="s">
        <v>14</v>
      </c>
      <c r="W8" s="221" t="s">
        <v>7</v>
      </c>
      <c r="X8" s="221" t="s">
        <v>8</v>
      </c>
      <c r="Y8" s="221" t="s">
        <v>9</v>
      </c>
      <c r="Z8" s="221" t="s">
        <v>10</v>
      </c>
      <c r="AA8" s="222" t="s">
        <v>122</v>
      </c>
      <c r="AB8" s="221" t="s">
        <v>7</v>
      </c>
      <c r="AC8" s="221" t="s">
        <v>8</v>
      </c>
      <c r="AD8" s="221" t="s">
        <v>9</v>
      </c>
      <c r="AE8" s="221" t="s">
        <v>10</v>
      </c>
      <c r="AF8" s="222" t="s">
        <v>16</v>
      </c>
      <c r="AG8" s="221" t="s">
        <v>7</v>
      </c>
      <c r="AH8" s="221" t="s">
        <v>8</v>
      </c>
      <c r="AI8" s="221" t="s">
        <v>9</v>
      </c>
      <c r="AJ8" s="221" t="s">
        <v>10</v>
      </c>
      <c r="AK8" s="222" t="s">
        <v>17</v>
      </c>
      <c r="AL8" s="221" t="s">
        <v>7</v>
      </c>
      <c r="AM8" s="221" t="s">
        <v>8</v>
      </c>
      <c r="AN8" s="221" t="s">
        <v>9</v>
      </c>
      <c r="AO8" s="221" t="s">
        <v>10</v>
      </c>
      <c r="AP8" s="222" t="s">
        <v>18</v>
      </c>
      <c r="AQ8" s="221" t="s">
        <v>7</v>
      </c>
      <c r="AR8" s="221" t="s">
        <v>8</v>
      </c>
      <c r="AS8" s="221" t="s">
        <v>9</v>
      </c>
      <c r="AT8" s="221" t="s">
        <v>10</v>
      </c>
      <c r="AU8" s="222" t="s">
        <v>19</v>
      </c>
      <c r="AV8" s="221" t="s">
        <v>7</v>
      </c>
      <c r="AW8" s="221" t="s">
        <v>8</v>
      </c>
      <c r="AX8" s="221" t="s">
        <v>9</v>
      </c>
      <c r="AY8" s="221" t="s">
        <v>10</v>
      </c>
      <c r="AZ8" s="223" t="s">
        <v>20</v>
      </c>
      <c r="BA8" s="221" t="s">
        <v>7</v>
      </c>
      <c r="BB8" s="221" t="s">
        <v>8</v>
      </c>
      <c r="BC8" s="224" t="s">
        <v>24</v>
      </c>
      <c r="BD8" s="221" t="s">
        <v>25</v>
      </c>
      <c r="BE8" s="223" t="s">
        <v>21</v>
      </c>
      <c r="BF8" s="221" t="s">
        <v>22</v>
      </c>
      <c r="BG8" s="221" t="s">
        <v>23</v>
      </c>
      <c r="BH8" s="221" t="s">
        <v>24</v>
      </c>
      <c r="BI8" s="221" t="s">
        <v>25</v>
      </c>
      <c r="BJ8" s="223" t="s">
        <v>26</v>
      </c>
      <c r="BK8" s="221" t="s">
        <v>22</v>
      </c>
      <c r="BL8" s="221" t="s">
        <v>23</v>
      </c>
      <c r="BM8" s="221" t="s">
        <v>24</v>
      </c>
      <c r="BN8" s="221" t="s">
        <v>25</v>
      </c>
      <c r="BO8" s="223" t="s">
        <v>27</v>
      </c>
      <c r="BP8" s="221" t="s">
        <v>22</v>
      </c>
      <c r="BQ8" s="221" t="s">
        <v>23</v>
      </c>
      <c r="BR8" s="221" t="s">
        <v>24</v>
      </c>
      <c r="BS8" s="221" t="s">
        <v>25</v>
      </c>
      <c r="BT8" s="223" t="s">
        <v>28</v>
      </c>
      <c r="BU8" s="221" t="s">
        <v>22</v>
      </c>
      <c r="BV8" s="221" t="s">
        <v>23</v>
      </c>
      <c r="BW8" s="221" t="s">
        <v>24</v>
      </c>
      <c r="BX8" s="221" t="s">
        <v>25</v>
      </c>
      <c r="BY8" s="223" t="s">
        <v>29</v>
      </c>
      <c r="BZ8" s="221" t="s">
        <v>22</v>
      </c>
      <c r="CA8" s="221" t="s">
        <v>23</v>
      </c>
      <c r="CB8" s="221" t="s">
        <v>24</v>
      </c>
      <c r="CC8" s="221" t="s">
        <v>25</v>
      </c>
      <c r="CD8" s="223" t="s">
        <v>30</v>
      </c>
    </row>
    <row r="9" spans="1:83">
      <c r="B9" s="225" t="str">
        <f>Sales!B9</f>
        <v>Developed Markets Segment</v>
      </c>
      <c r="C9" s="226">
        <f>Sales!C9</f>
        <v>0</v>
      </c>
      <c r="D9" s="226">
        <f>Sales!D9</f>
        <v>0</v>
      </c>
      <c r="E9" s="226">
        <f>Sales!E9</f>
        <v>0</v>
      </c>
      <c r="F9" s="226">
        <f>Sales!F9</f>
        <v>0</v>
      </c>
      <c r="G9" s="227">
        <f>Sales!G9</f>
        <v>0</v>
      </c>
      <c r="H9" s="226">
        <f>Sales!H9</f>
        <v>0</v>
      </c>
      <c r="I9" s="226">
        <f>Sales!I9</f>
        <v>0</v>
      </c>
      <c r="J9" s="226">
        <f>Sales!J9</f>
        <v>0</v>
      </c>
      <c r="K9" s="226">
        <f>Sales!K9</f>
        <v>0</v>
      </c>
      <c r="L9" s="227">
        <f>Sales!L9</f>
        <v>0</v>
      </c>
      <c r="M9" s="226">
        <f>Sales!M9</f>
        <v>0</v>
      </c>
      <c r="N9" s="226">
        <f>Sales!N9</f>
        <v>0</v>
      </c>
      <c r="O9" s="226">
        <f>Sales!O9</f>
        <v>0</v>
      </c>
      <c r="P9" s="226">
        <f>Sales!P9</f>
        <v>0</v>
      </c>
      <c r="Q9" s="227">
        <f>Sales!Q9</f>
        <v>0</v>
      </c>
      <c r="R9" s="226">
        <f>Sales!R9</f>
        <v>0</v>
      </c>
      <c r="S9" s="226">
        <f>Sales!S9</f>
        <v>0</v>
      </c>
      <c r="T9" s="226">
        <f>Sales!T9</f>
        <v>0</v>
      </c>
      <c r="U9" s="226">
        <f>Sales!U9</f>
        <v>0</v>
      </c>
      <c r="V9" s="227">
        <f>Sales!V9</f>
        <v>0</v>
      </c>
      <c r="W9" s="226">
        <f>Sales!W9</f>
        <v>0</v>
      </c>
      <c r="X9" s="226">
        <f>Sales!X9</f>
        <v>0</v>
      </c>
      <c r="Y9" s="226">
        <f>Sales!Y9</f>
        <v>0</v>
      </c>
      <c r="Z9" s="226">
        <f>Sales!Z9</f>
        <v>0</v>
      </c>
      <c r="AA9" s="227">
        <f>Sales!AA9</f>
        <v>0</v>
      </c>
      <c r="AB9" s="226">
        <f>Sales!AB9</f>
        <v>0</v>
      </c>
      <c r="AC9" s="226">
        <f>Sales!AC9</f>
        <v>0</v>
      </c>
      <c r="AD9" s="226">
        <f>Sales!AD9</f>
        <v>0</v>
      </c>
      <c r="AE9" s="226">
        <f>Sales!AE9</f>
        <v>0</v>
      </c>
      <c r="AF9" s="227">
        <f>Sales!AF9</f>
        <v>0</v>
      </c>
      <c r="AG9" s="226">
        <f>Sales!AG9</f>
        <v>0</v>
      </c>
      <c r="AH9" s="226">
        <f>Sales!AH9</f>
        <v>0</v>
      </c>
      <c r="AI9" s="226">
        <f>Sales!AI9</f>
        <v>0</v>
      </c>
      <c r="AJ9" s="226">
        <f>Sales!AJ9</f>
        <v>0</v>
      </c>
      <c r="AK9" s="227">
        <f>Sales!AK9</f>
        <v>0</v>
      </c>
      <c r="AL9" s="226">
        <f>Sales!AL9</f>
        <v>0</v>
      </c>
      <c r="AM9" s="226">
        <f>Sales!AM9</f>
        <v>0</v>
      </c>
      <c r="AN9" s="226">
        <f>Sales!AN9</f>
        <v>0</v>
      </c>
      <c r="AO9" s="226">
        <f>Sales!AO9</f>
        <v>0</v>
      </c>
      <c r="AP9" s="227">
        <f>Sales!AP9</f>
        <v>0</v>
      </c>
      <c r="AQ9" s="226">
        <f>Sales!AQ9</f>
        <v>0</v>
      </c>
      <c r="AR9" s="226">
        <f>Sales!AR9</f>
        <v>0</v>
      </c>
      <c r="AS9" s="226">
        <f>Sales!AS9</f>
        <v>0</v>
      </c>
      <c r="AT9" s="226">
        <f>Sales!AT9</f>
        <v>0</v>
      </c>
      <c r="AU9" s="227"/>
      <c r="AV9" s="226"/>
      <c r="AW9" s="226"/>
      <c r="AX9" s="226"/>
      <c r="AY9" s="226"/>
      <c r="AZ9" s="227"/>
      <c r="BA9" s="226"/>
      <c r="BB9" s="226"/>
      <c r="BC9" s="226"/>
      <c r="BD9" s="226"/>
      <c r="BE9" s="227"/>
      <c r="BF9" s="228"/>
      <c r="BG9" s="228"/>
      <c r="BH9" s="228"/>
      <c r="BI9" s="228"/>
      <c r="BJ9" s="227"/>
      <c r="BK9" s="228"/>
      <c r="BL9" s="228"/>
      <c r="BM9" s="228"/>
      <c r="BN9" s="228"/>
      <c r="BO9" s="227"/>
      <c r="BP9" s="228"/>
      <c r="BQ9" s="228"/>
      <c r="BR9" s="228"/>
      <c r="BS9" s="228"/>
      <c r="BT9" s="227"/>
      <c r="BU9" s="228"/>
      <c r="BV9" s="228"/>
      <c r="BW9" s="228"/>
      <c r="BX9" s="228"/>
      <c r="BY9" s="227"/>
      <c r="BZ9" s="228"/>
      <c r="CA9" s="228"/>
      <c r="CB9" s="228"/>
      <c r="CC9" s="228"/>
      <c r="CD9" s="227"/>
    </row>
    <row r="10" spans="1:83" s="198" customFormat="1" hidden="1" outlineLevel="1">
      <c r="A10" s="12"/>
      <c r="B10" s="230" t="str">
        <f>Sales!B10</f>
        <v>Dermatology</v>
      </c>
      <c r="C10" s="231">
        <f>Sales!C10</f>
        <v>0</v>
      </c>
      <c r="D10" s="231">
        <f>Sales!D10</f>
        <v>0</v>
      </c>
      <c r="E10" s="231">
        <f>Sales!E10</f>
        <v>0</v>
      </c>
      <c r="F10" s="231">
        <f>Sales!F10</f>
        <v>0</v>
      </c>
      <c r="G10" s="232">
        <f>Sales!G10</f>
        <v>0</v>
      </c>
      <c r="H10" s="231">
        <f>Sales!H10</f>
        <v>0</v>
      </c>
      <c r="I10" s="231">
        <f>Sales!I10</f>
        <v>0</v>
      </c>
      <c r="J10" s="231">
        <f>Sales!J10</f>
        <v>0</v>
      </c>
      <c r="K10" s="231">
        <f>Sales!K10</f>
        <v>0</v>
      </c>
      <c r="L10" s="232">
        <f>Sales!L10</f>
        <v>0</v>
      </c>
      <c r="M10" s="231">
        <f>Sales!M10</f>
        <v>0</v>
      </c>
      <c r="N10" s="231">
        <f>Sales!N10</f>
        <v>0</v>
      </c>
      <c r="O10" s="231">
        <f>Sales!O10</f>
        <v>0</v>
      </c>
      <c r="P10" s="231">
        <f>Sales!P10</f>
        <v>0</v>
      </c>
      <c r="Q10" s="232">
        <f>Sales!Q10</f>
        <v>0</v>
      </c>
      <c r="R10" s="231">
        <f>Sales!R10</f>
        <v>0</v>
      </c>
      <c r="S10" s="231">
        <f>Sales!S10</f>
        <v>0</v>
      </c>
      <c r="T10" s="231">
        <f>Sales!T10</f>
        <v>0</v>
      </c>
      <c r="U10" s="231">
        <f>Sales!U10</f>
        <v>0</v>
      </c>
      <c r="V10" s="233">
        <f>Sales!V10</f>
        <v>0</v>
      </c>
      <c r="W10" s="234">
        <f>Sales!W10</f>
        <v>0</v>
      </c>
      <c r="X10" s="234">
        <f>Sales!X10</f>
        <v>0</v>
      </c>
      <c r="Y10" s="234">
        <f>Sales!Y10</f>
        <v>0</v>
      </c>
      <c r="Z10" s="234">
        <f>Sales!Z10</f>
        <v>0</v>
      </c>
      <c r="AA10" s="233">
        <f>Sales!AA10</f>
        <v>0</v>
      </c>
      <c r="AB10" s="234">
        <f>Sales!AB10</f>
        <v>0</v>
      </c>
      <c r="AC10" s="234">
        <f>Sales!AC10</f>
        <v>0</v>
      </c>
      <c r="AD10" s="234">
        <f>Sales!AD10</f>
        <v>0</v>
      </c>
      <c r="AE10" s="234">
        <f>Sales!AE10</f>
        <v>0</v>
      </c>
      <c r="AF10" s="233">
        <f>Sales!AF10</f>
        <v>0</v>
      </c>
      <c r="AG10" s="234">
        <f>Sales!AG10</f>
        <v>0</v>
      </c>
      <c r="AH10" s="234">
        <f>Sales!AH10</f>
        <v>0</v>
      </c>
      <c r="AI10" s="234">
        <f>Sales!AI10</f>
        <v>0</v>
      </c>
      <c r="AJ10" s="234">
        <f>Sales!AJ10</f>
        <v>0</v>
      </c>
      <c r="AK10" s="233">
        <f>Sales!AK10</f>
        <v>0</v>
      </c>
      <c r="AL10" s="234">
        <f>Sales!AL10</f>
        <v>0</v>
      </c>
      <c r="AM10" s="234">
        <f>Sales!AM10</f>
        <v>0</v>
      </c>
      <c r="AN10" s="234">
        <f>Sales!AN10</f>
        <v>0</v>
      </c>
      <c r="AO10" s="234">
        <f>Sales!AO10</f>
        <v>0</v>
      </c>
      <c r="AP10" s="233">
        <f>Sales!AP10</f>
        <v>0</v>
      </c>
      <c r="AQ10" s="231">
        <f>Sales!AQ10</f>
        <v>0</v>
      </c>
      <c r="AR10" s="231">
        <f>Sales!AR10</f>
        <v>0</v>
      </c>
      <c r="AS10" s="231">
        <f>Sales!AS10</f>
        <v>0</v>
      </c>
      <c r="AT10" s="231">
        <f>Sales!AT10</f>
        <v>0</v>
      </c>
      <c r="AU10" s="235"/>
      <c r="AV10" s="236"/>
      <c r="AW10" s="236"/>
      <c r="AX10" s="236"/>
      <c r="AY10" s="236"/>
      <c r="AZ10" s="235"/>
      <c r="BA10" s="236"/>
      <c r="BB10" s="236"/>
      <c r="BC10" s="236"/>
      <c r="BD10" s="236"/>
      <c r="BE10" s="235"/>
      <c r="BF10" s="237"/>
      <c r="BG10" s="237"/>
      <c r="BH10" s="237"/>
      <c r="BI10" s="237"/>
      <c r="BJ10" s="235"/>
      <c r="BK10" s="237"/>
      <c r="BL10" s="237"/>
      <c r="BM10" s="237"/>
      <c r="BN10" s="237"/>
      <c r="BO10" s="235"/>
      <c r="BP10" s="237"/>
      <c r="BQ10" s="237"/>
      <c r="BR10" s="237"/>
      <c r="BS10" s="237"/>
      <c r="BT10" s="235"/>
      <c r="BU10" s="237"/>
      <c r="BV10" s="237"/>
      <c r="BW10" s="237"/>
      <c r="BX10" s="237"/>
      <c r="BY10" s="235"/>
      <c r="BZ10" s="237"/>
      <c r="CA10" s="237"/>
      <c r="CB10" s="237"/>
      <c r="CC10" s="237"/>
      <c r="CD10" s="235"/>
      <c r="CE10" s="12"/>
    </row>
    <row r="11" spans="1:83" s="243" customFormat="1" hidden="1" outlineLevel="1">
      <c r="A11" s="157"/>
      <c r="B11" s="238" t="str">
        <f>Sales!B11</f>
        <v>Solodyn</v>
      </c>
      <c r="C11" s="236">
        <f>Sales!C11</f>
        <v>0</v>
      </c>
      <c r="D11" s="236">
        <f>Sales!D11</f>
        <v>0</v>
      </c>
      <c r="E11" s="236">
        <f>Sales!E11</f>
        <v>0</v>
      </c>
      <c r="F11" s="236">
        <f>Sales!F11</f>
        <v>0</v>
      </c>
      <c r="G11" s="235">
        <f>Sales!G11</f>
        <v>0</v>
      </c>
      <c r="H11" s="236">
        <f>Sales!H11</f>
        <v>0</v>
      </c>
      <c r="I11" s="236">
        <f>Sales!I11</f>
        <v>0</v>
      </c>
      <c r="J11" s="236">
        <f>Sales!J11</f>
        <v>0</v>
      </c>
      <c r="K11" s="236">
        <f>Sales!K11</f>
        <v>0</v>
      </c>
      <c r="L11" s="235">
        <f>Sales!L11</f>
        <v>0</v>
      </c>
      <c r="M11" s="236">
        <f>Sales!M11</f>
        <v>0</v>
      </c>
      <c r="N11" s="236">
        <f>Sales!N11</f>
        <v>0</v>
      </c>
      <c r="O11" s="236">
        <f>Sales!O11</f>
        <v>0</v>
      </c>
      <c r="P11" s="236">
        <f>Sales!P11</f>
        <v>0</v>
      </c>
      <c r="Q11" s="235">
        <f>Sales!Q11</f>
        <v>0</v>
      </c>
      <c r="R11" s="236">
        <f>Sales!R11</f>
        <v>0</v>
      </c>
      <c r="S11" s="236">
        <f>Sales!S11</f>
        <v>0</v>
      </c>
      <c r="T11" s="236">
        <f>Sales!T11</f>
        <v>0</v>
      </c>
      <c r="U11" s="236">
        <f>Sales!U11</f>
        <v>0</v>
      </c>
      <c r="V11" s="235">
        <f>Sales!V11</f>
        <v>0</v>
      </c>
      <c r="W11" s="236">
        <f>Sales!W11</f>
        <v>0</v>
      </c>
      <c r="X11" s="236">
        <f>Sales!X11</f>
        <v>0</v>
      </c>
      <c r="Y11" s="236">
        <f>Sales!Y11</f>
        <v>0</v>
      </c>
      <c r="Z11" s="236">
        <f>Sales!Z11</f>
        <v>0</v>
      </c>
      <c r="AA11" s="235">
        <f>Sales!AA11</f>
        <v>0</v>
      </c>
      <c r="AB11" s="236">
        <f>Sales!AB11</f>
        <v>0</v>
      </c>
      <c r="AC11" s="236">
        <f>Sales!AC11</f>
        <v>0</v>
      </c>
      <c r="AD11" s="236">
        <f>Sales!AD11</f>
        <v>0</v>
      </c>
      <c r="AE11" s="236">
        <f>Sales!AE11</f>
        <v>0</v>
      </c>
      <c r="AF11" s="235">
        <f>Sales!AF11</f>
        <v>0</v>
      </c>
      <c r="AG11" s="236">
        <f>Sales!AG11</f>
        <v>0</v>
      </c>
      <c r="AH11" s="236">
        <f>Sales!AH11</f>
        <v>0</v>
      </c>
      <c r="AI11" s="236">
        <f>Sales!AI11</f>
        <v>0</v>
      </c>
      <c r="AJ11" s="236">
        <f>Sales!AJ11</f>
        <v>0</v>
      </c>
      <c r="AK11" s="235">
        <f>Sales!AK11</f>
        <v>0</v>
      </c>
      <c r="AL11" s="236">
        <f>Sales!AL11</f>
        <v>0</v>
      </c>
      <c r="AM11" s="236">
        <f>Sales!AM11</f>
        <v>0</v>
      </c>
      <c r="AN11" s="236">
        <f>Sales!AN11</f>
        <v>0</v>
      </c>
      <c r="AO11" s="236">
        <f>Sales!AO11</f>
        <v>18</v>
      </c>
      <c r="AP11" s="235">
        <f>Sales!AP11</f>
        <v>18</v>
      </c>
      <c r="AQ11" s="239">
        <f>Sales!AQ11</f>
        <v>60</v>
      </c>
      <c r="AR11" s="239">
        <f>Sales!AR11</f>
        <v>55</v>
      </c>
      <c r="AS11" s="239">
        <f>Sales!AS11</f>
        <v>50</v>
      </c>
      <c r="AT11" s="239">
        <f>Sales!AT11</f>
        <v>50</v>
      </c>
      <c r="AU11" s="235">
        <f>Sales!AU11</f>
        <v>215</v>
      </c>
      <c r="AV11" s="239">
        <f>Sales!AV11</f>
        <v>51</v>
      </c>
      <c r="AW11" s="239">
        <f>Sales!AW11</f>
        <v>43</v>
      </c>
      <c r="AX11" s="239">
        <f>Sales!AX11</f>
        <v>53</v>
      </c>
      <c r="AY11" s="239">
        <f>Sales!AY11</f>
        <v>61</v>
      </c>
      <c r="AZ11" s="235">
        <f>Sales!AZ11</f>
        <v>208</v>
      </c>
      <c r="BA11" s="239">
        <f>Sales!BA11</f>
        <v>57</v>
      </c>
      <c r="BB11" s="239">
        <f>Sales!BB11</f>
        <v>65</v>
      </c>
      <c r="BC11" s="240">
        <f>Sales!BC11</f>
        <v>66</v>
      </c>
      <c r="BD11" s="240">
        <f>Sales!BD11</f>
        <v>26</v>
      </c>
      <c r="BE11" s="235">
        <f>Sales!BE11</f>
        <v>214</v>
      </c>
      <c r="BF11" s="241">
        <f>Sales!BF11</f>
        <v>20</v>
      </c>
      <c r="BG11" s="241">
        <f>Sales!BG11</f>
        <v>48</v>
      </c>
      <c r="BH11" s="241">
        <f>Sales!BH11</f>
        <v>48</v>
      </c>
      <c r="BI11" s="241">
        <f>Sales!BI11</f>
        <v>50</v>
      </c>
      <c r="BJ11" s="235">
        <f>Sales!BJ11</f>
        <v>166</v>
      </c>
      <c r="BK11" s="241">
        <f>Sales!BK11</f>
        <v>0</v>
      </c>
      <c r="BL11" s="241">
        <f>Sales!BL11</f>
        <v>0</v>
      </c>
      <c r="BM11" s="241">
        <f>Sales!BM11</f>
        <v>0</v>
      </c>
      <c r="BN11" s="241">
        <f>Sales!BN11</f>
        <v>0</v>
      </c>
      <c r="BO11" s="235">
        <f>Sales!BO11</f>
        <v>175.96</v>
      </c>
      <c r="BP11" s="241">
        <f>Sales!BP11</f>
        <v>0</v>
      </c>
      <c r="BQ11" s="241">
        <f>Sales!BQ11</f>
        <v>0</v>
      </c>
      <c r="BR11" s="241">
        <f>Sales!BR11</f>
        <v>0</v>
      </c>
      <c r="BS11" s="241">
        <f>Sales!BS11</f>
        <v>0</v>
      </c>
      <c r="BT11" s="244">
        <f>Sales!BT11</f>
        <v>87.98</v>
      </c>
      <c r="BU11" s="241">
        <f>Sales!BU11</f>
        <v>0</v>
      </c>
      <c r="BV11" s="241">
        <f>Sales!BV11</f>
        <v>0</v>
      </c>
      <c r="BW11" s="241">
        <f>Sales!BW11</f>
        <v>0</v>
      </c>
      <c r="BX11" s="241">
        <f>Sales!BX11</f>
        <v>0</v>
      </c>
      <c r="BY11" s="235">
        <f>Sales!BY11</f>
        <v>43.99</v>
      </c>
      <c r="BZ11" s="241">
        <f>Sales!BZ11</f>
        <v>0</v>
      </c>
      <c r="CA11" s="241">
        <f>Sales!CA11</f>
        <v>0</v>
      </c>
      <c r="CB11" s="241">
        <f>Sales!CB11</f>
        <v>0</v>
      </c>
      <c r="CC11" s="241">
        <f>Sales!CC11</f>
        <v>0</v>
      </c>
      <c r="CD11" s="235">
        <f>Sales!CD11</f>
        <v>21.995000000000001</v>
      </c>
      <c r="CE11" s="28"/>
    </row>
    <row r="12" spans="1:83" hidden="1" outlineLevel="1">
      <c r="B12" s="238" t="str">
        <f>Sales!B13</f>
        <v>Elidel</v>
      </c>
      <c r="C12" s="249">
        <f>Sales!C13</f>
        <v>0</v>
      </c>
      <c r="D12" s="249">
        <f>Sales!D13</f>
        <v>0</v>
      </c>
      <c r="E12" s="249">
        <f>Sales!E13</f>
        <v>0</v>
      </c>
      <c r="F12" s="249">
        <f>Sales!F13</f>
        <v>0</v>
      </c>
      <c r="G12" s="249">
        <f>Sales!G13</f>
        <v>0</v>
      </c>
      <c r="H12" s="249">
        <f>Sales!H13</f>
        <v>0</v>
      </c>
      <c r="I12" s="249">
        <f>Sales!I13</f>
        <v>0</v>
      </c>
      <c r="J12" s="249">
        <f>Sales!J13</f>
        <v>0</v>
      </c>
      <c r="K12" s="249">
        <f>Sales!K13</f>
        <v>0</v>
      </c>
      <c r="L12" s="249">
        <f>Sales!L13</f>
        <v>0</v>
      </c>
      <c r="M12" s="249">
        <f>Sales!M13</f>
        <v>0</v>
      </c>
      <c r="N12" s="249">
        <f>Sales!N13</f>
        <v>0</v>
      </c>
      <c r="O12" s="249">
        <f>Sales!O13</f>
        <v>0</v>
      </c>
      <c r="P12" s="249">
        <f>Sales!P13</f>
        <v>0</v>
      </c>
      <c r="Q12" s="249">
        <f>Sales!Q13</f>
        <v>0</v>
      </c>
      <c r="R12" s="249">
        <f>Sales!R13</f>
        <v>0</v>
      </c>
      <c r="S12" s="249">
        <f>Sales!S13</f>
        <v>0</v>
      </c>
      <c r="T12" s="249">
        <f>Sales!T13</f>
        <v>0</v>
      </c>
      <c r="U12" s="249">
        <f>Sales!U13</f>
        <v>0</v>
      </c>
      <c r="V12" s="249">
        <f>Sales!V13</f>
        <v>0</v>
      </c>
      <c r="W12" s="249">
        <f>Sales!W13</f>
        <v>0</v>
      </c>
      <c r="X12" s="249">
        <f>Sales!X13</f>
        <v>0</v>
      </c>
      <c r="Y12" s="249">
        <f>Sales!Y13</f>
        <v>0</v>
      </c>
      <c r="Z12" s="249">
        <f>Sales!Z13</f>
        <v>0</v>
      </c>
      <c r="AA12" s="249">
        <f>Sales!AA13</f>
        <v>0</v>
      </c>
      <c r="AB12" s="249">
        <f>Sales!AB13</f>
        <v>0</v>
      </c>
      <c r="AC12" s="249">
        <f>Sales!AC13</f>
        <v>0</v>
      </c>
      <c r="AD12" s="249">
        <f>Sales!AD13</f>
        <v>0</v>
      </c>
      <c r="AE12" s="249">
        <f>Sales!AE13</f>
        <v>0</v>
      </c>
      <c r="AF12" s="235">
        <f>Sales!AF13</f>
        <v>0</v>
      </c>
      <c r="AG12" s="249">
        <f>Sales!AG13</f>
        <v>0</v>
      </c>
      <c r="AH12" s="249">
        <f>Sales!AH13</f>
        <v>0</v>
      </c>
      <c r="AI12" s="249">
        <f>Sales!AI13</f>
        <v>0</v>
      </c>
      <c r="AJ12" s="249">
        <f>Sales!AJ13</f>
        <v>0</v>
      </c>
      <c r="AK12" s="235">
        <f>Sales!AK13</f>
        <v>0</v>
      </c>
      <c r="AL12" s="249">
        <f>Sales!AL13</f>
        <v>0</v>
      </c>
      <c r="AM12" s="249">
        <f>Sales!AM13</f>
        <v>0</v>
      </c>
      <c r="AN12" s="249">
        <f>Sales!AN13</f>
        <v>0</v>
      </c>
      <c r="AO12" s="249">
        <f>Sales!AO13</f>
        <v>0</v>
      </c>
      <c r="AP12" s="235">
        <f>Sales!AP13</f>
        <v>0</v>
      </c>
      <c r="AQ12" s="249">
        <f>Sales!AQ13</f>
        <v>0</v>
      </c>
      <c r="AR12" s="249">
        <f>Sales!AR13</f>
        <v>0</v>
      </c>
      <c r="AS12" s="249">
        <f>Sales!AS13</f>
        <v>0</v>
      </c>
      <c r="AT12" s="249">
        <f>Sales!AT13</f>
        <v>0</v>
      </c>
      <c r="AU12" s="235">
        <f>Sales!AU13</f>
        <v>0</v>
      </c>
      <c r="AV12" s="239">
        <f>Sales!AV13</f>
        <v>26</v>
      </c>
      <c r="AW12" s="239">
        <f>Sales!AW13</f>
        <v>25</v>
      </c>
      <c r="AX12" s="239">
        <f>Sales!AX13</f>
        <v>22</v>
      </c>
      <c r="AY12" s="239">
        <f>Sales!AY13</f>
        <v>31</v>
      </c>
      <c r="AZ12" s="235">
        <f>Sales!AZ13</f>
        <v>104</v>
      </c>
      <c r="BA12" s="239">
        <f>Sales!BA13</f>
        <v>26</v>
      </c>
      <c r="BB12" s="239">
        <f>Sales!BB13</f>
        <v>31</v>
      </c>
      <c r="BC12" s="240">
        <f>Sales!BC13</f>
        <v>32</v>
      </c>
      <c r="BD12" s="240">
        <f>Sales!BD13</f>
        <v>25</v>
      </c>
      <c r="BE12" s="235">
        <f>Sales!BE13</f>
        <v>114</v>
      </c>
      <c r="BF12" s="249">
        <f>Sales!BF13</f>
        <v>25</v>
      </c>
      <c r="BG12" s="249">
        <f>Sales!BG13</f>
        <v>27</v>
      </c>
      <c r="BH12" s="249">
        <f>Sales!BH13</f>
        <v>28</v>
      </c>
      <c r="BI12" s="249">
        <f>Sales!BI13</f>
        <v>25</v>
      </c>
      <c r="BJ12" s="235">
        <f>Sales!BJ13</f>
        <v>105</v>
      </c>
      <c r="BK12" s="241">
        <f>Sales!BK13</f>
        <v>0</v>
      </c>
      <c r="BL12" s="241">
        <f>Sales!BL13</f>
        <v>0</v>
      </c>
      <c r="BM12" s="241">
        <f>Sales!BM13</f>
        <v>0</v>
      </c>
      <c r="BN12" s="241">
        <f>Sales!BN13</f>
        <v>0</v>
      </c>
      <c r="BO12" s="244">
        <f>Sales!BO13</f>
        <v>10.499999999999998</v>
      </c>
      <c r="BP12" s="241">
        <f>Sales!BP13</f>
        <v>0</v>
      </c>
      <c r="BQ12" s="241">
        <f>Sales!BQ13</f>
        <v>0</v>
      </c>
      <c r="BR12" s="241">
        <f>Sales!BR13</f>
        <v>0</v>
      </c>
      <c r="BS12" s="241">
        <f>Sales!BS13</f>
        <v>0</v>
      </c>
      <c r="BT12" s="235">
        <f>Sales!BT13</f>
        <v>2.6249999999999996</v>
      </c>
      <c r="BU12" s="241">
        <f>Sales!BU13</f>
        <v>0</v>
      </c>
      <c r="BV12" s="241">
        <f>Sales!BV13</f>
        <v>0</v>
      </c>
      <c r="BW12" s="241">
        <f>Sales!BW13</f>
        <v>0</v>
      </c>
      <c r="BX12" s="241">
        <f>Sales!BX13</f>
        <v>0</v>
      </c>
      <c r="BY12" s="235">
        <f>Sales!BY13</f>
        <v>1.9687499999999996</v>
      </c>
      <c r="BZ12" s="241">
        <f>Sales!BZ13</f>
        <v>0</v>
      </c>
      <c r="CA12" s="241">
        <f>Sales!CA13</f>
        <v>0</v>
      </c>
      <c r="CB12" s="241">
        <f>Sales!CB13</f>
        <v>0</v>
      </c>
      <c r="CC12" s="241">
        <f>Sales!CC13</f>
        <v>0</v>
      </c>
      <c r="CD12" s="235">
        <f>Sales!CD13</f>
        <v>1.4765624999999996</v>
      </c>
    </row>
    <row r="13" spans="1:83" s="252" customFormat="1" outlineLevel="1">
      <c r="B13" s="238" t="str">
        <f>Sales!B15</f>
        <v>Jublia</v>
      </c>
      <c r="C13" s="253">
        <f>Sales!C15</f>
        <v>0</v>
      </c>
      <c r="D13" s="254">
        <f>Sales!D15</f>
        <v>0</v>
      </c>
      <c r="E13" s="254">
        <f>Sales!E15</f>
        <v>0</v>
      </c>
      <c r="F13" s="254">
        <f>Sales!F15</f>
        <v>0</v>
      </c>
      <c r="G13" s="255">
        <f>Sales!G15</f>
        <v>0</v>
      </c>
      <c r="H13" s="254">
        <f>Sales!H15</f>
        <v>0</v>
      </c>
      <c r="I13" s="254">
        <f>Sales!I15</f>
        <v>0</v>
      </c>
      <c r="J13" s="254">
        <f>Sales!J15</f>
        <v>0</v>
      </c>
      <c r="K13" s="254">
        <f>Sales!K15</f>
        <v>0</v>
      </c>
      <c r="L13" s="255">
        <f>Sales!L15</f>
        <v>0</v>
      </c>
      <c r="M13" s="254">
        <f>Sales!M15</f>
        <v>0</v>
      </c>
      <c r="N13" s="254">
        <f>Sales!N15</f>
        <v>0</v>
      </c>
      <c r="O13" s="254">
        <f>Sales!O15</f>
        <v>0</v>
      </c>
      <c r="P13" s="254">
        <f>Sales!P15</f>
        <v>0</v>
      </c>
      <c r="Q13" s="255">
        <f>Sales!Q15</f>
        <v>0</v>
      </c>
      <c r="R13" s="254">
        <f>Sales!R15</f>
        <v>0</v>
      </c>
      <c r="S13" s="254">
        <f>Sales!S15</f>
        <v>0</v>
      </c>
      <c r="T13" s="254">
        <f>Sales!T15</f>
        <v>0</v>
      </c>
      <c r="U13" s="254">
        <f>Sales!U15</f>
        <v>0</v>
      </c>
      <c r="V13" s="255">
        <f>Sales!V15</f>
        <v>0</v>
      </c>
      <c r="W13" s="256">
        <f>Sales!W15</f>
        <v>0</v>
      </c>
      <c r="X13" s="257">
        <f>Sales!X15</f>
        <v>0</v>
      </c>
      <c r="Y13" s="257">
        <f>Sales!Y15</f>
        <v>0</v>
      </c>
      <c r="Z13" s="257">
        <f>Sales!Z15</f>
        <v>0</v>
      </c>
      <c r="AA13" s="258">
        <f>Sales!AA15</f>
        <v>0</v>
      </c>
      <c r="AB13" s="256">
        <f>Sales!AB15</f>
        <v>0</v>
      </c>
      <c r="AC13" s="256">
        <f>Sales!AC15</f>
        <v>0</v>
      </c>
      <c r="AD13" s="256">
        <f>Sales!AD15</f>
        <v>0</v>
      </c>
      <c r="AE13" s="256">
        <f>Sales!AE15</f>
        <v>0</v>
      </c>
      <c r="AF13" s="235">
        <f>Sales!AF15</f>
        <v>0</v>
      </c>
      <c r="AG13" s="256">
        <f>Sales!AG15</f>
        <v>0</v>
      </c>
      <c r="AH13" s="256">
        <f>Sales!AH15</f>
        <v>0</v>
      </c>
      <c r="AI13" s="256">
        <f>Sales!AI15</f>
        <v>0</v>
      </c>
      <c r="AJ13" s="256">
        <f>Sales!AJ15</f>
        <v>0</v>
      </c>
      <c r="AK13" s="235">
        <f>Sales!AK15</f>
        <v>0</v>
      </c>
      <c r="AL13" s="257">
        <f>Sales!AL15</f>
        <v>0</v>
      </c>
      <c r="AM13" s="257">
        <f>Sales!AM15</f>
        <v>0</v>
      </c>
      <c r="AN13" s="257">
        <f>Sales!AN15</f>
        <v>0</v>
      </c>
      <c r="AO13" s="257">
        <f>Sales!AO15</f>
        <v>0</v>
      </c>
      <c r="AP13" s="235">
        <f>Sales!AP15</f>
        <v>0</v>
      </c>
      <c r="AQ13" s="257">
        <f>Sales!AQ15</f>
        <v>0</v>
      </c>
      <c r="AR13" s="257">
        <f>Sales!AR15</f>
        <v>0</v>
      </c>
      <c r="AS13" s="259">
        <f>Sales!AS15</f>
        <v>0</v>
      </c>
      <c r="AT13" s="259">
        <f>Sales!AT15</f>
        <v>0</v>
      </c>
      <c r="AU13" s="235">
        <f>Sales!AU15</f>
        <v>0</v>
      </c>
      <c r="AV13" s="236">
        <f>Sales!AV15</f>
        <v>0</v>
      </c>
      <c r="AW13" s="239">
        <f>Sales!AW15</f>
        <v>3</v>
      </c>
      <c r="AX13" s="239">
        <f>Sales!AX15</f>
        <v>12</v>
      </c>
      <c r="AY13" s="239">
        <f>Sales!AY15</f>
        <v>54</v>
      </c>
      <c r="AZ13" s="235">
        <f>Sales!AZ15</f>
        <v>69</v>
      </c>
      <c r="BA13" s="239">
        <f>Sales!BA15</f>
        <v>62</v>
      </c>
      <c r="BB13" s="239">
        <f>Sales!BB15</f>
        <v>102</v>
      </c>
      <c r="BC13" s="240">
        <f>Sales!BC15</f>
        <v>106</v>
      </c>
      <c r="BD13" s="240">
        <f>Sales!BD15</f>
        <v>68</v>
      </c>
      <c r="BE13" s="235">
        <f>Sales!BE15</f>
        <v>338</v>
      </c>
      <c r="BF13" s="241">
        <f>Sales!BF15</f>
        <v>55</v>
      </c>
      <c r="BG13" s="241">
        <f>Sales!BG15</f>
        <v>85</v>
      </c>
      <c r="BH13" s="241">
        <f>Sales!BH15</f>
        <v>105</v>
      </c>
      <c r="BI13" s="241">
        <f>Sales!BI15</f>
        <v>120</v>
      </c>
      <c r="BJ13" s="235">
        <f>Sales!BJ15</f>
        <v>365</v>
      </c>
      <c r="BK13" s="241">
        <f>Sales!BK15</f>
        <v>0</v>
      </c>
      <c r="BL13" s="241">
        <f>Sales!BL15</f>
        <v>0</v>
      </c>
      <c r="BM13" s="241">
        <f>Sales!BM15</f>
        <v>0</v>
      </c>
      <c r="BN13" s="241">
        <f>Sales!BN15</f>
        <v>0</v>
      </c>
      <c r="BO13" s="235">
        <f>Sales!BO15</f>
        <v>450</v>
      </c>
      <c r="BP13" s="241">
        <f>Sales!BP15</f>
        <v>0</v>
      </c>
      <c r="BQ13" s="241">
        <f>Sales!BQ15</f>
        <v>0</v>
      </c>
      <c r="BR13" s="241">
        <f>Sales!BR15</f>
        <v>0</v>
      </c>
      <c r="BS13" s="241">
        <f>Sales!BS15</f>
        <v>0</v>
      </c>
      <c r="BT13" s="235">
        <f>Sales!BT15</f>
        <v>500</v>
      </c>
      <c r="BU13" s="241">
        <f>Sales!BU15</f>
        <v>0</v>
      </c>
      <c r="BV13" s="241">
        <f>Sales!BV15</f>
        <v>0</v>
      </c>
      <c r="BW13" s="241">
        <f>Sales!BW15</f>
        <v>0</v>
      </c>
      <c r="BX13" s="241">
        <f>Sales!BX15</f>
        <v>0</v>
      </c>
      <c r="BY13" s="235">
        <f>Sales!BY15</f>
        <v>550</v>
      </c>
      <c r="BZ13" s="241">
        <f>Sales!BZ15</f>
        <v>0</v>
      </c>
      <c r="CA13" s="241">
        <f>Sales!CA15</f>
        <v>0</v>
      </c>
      <c r="CB13" s="241">
        <f>Sales!CB15</f>
        <v>0</v>
      </c>
      <c r="CC13" s="241">
        <f>Sales!CC15</f>
        <v>0</v>
      </c>
      <c r="CD13" s="235">
        <f>Sales!CD15</f>
        <v>600</v>
      </c>
    </row>
    <row r="14" spans="1:83" s="252" customFormat="1" hidden="1" outlineLevel="1">
      <c r="B14" s="238" t="str">
        <f>Sales!B17</f>
        <v>Luzu (luliconazole)</v>
      </c>
      <c r="C14" s="253">
        <f>Sales!C17</f>
        <v>0</v>
      </c>
      <c r="D14" s="254">
        <f>Sales!D17</f>
        <v>0</v>
      </c>
      <c r="E14" s="254">
        <f>Sales!E17</f>
        <v>0</v>
      </c>
      <c r="F14" s="254">
        <f>Sales!F17</f>
        <v>0</v>
      </c>
      <c r="G14" s="255">
        <f>Sales!G17</f>
        <v>0</v>
      </c>
      <c r="H14" s="254">
        <f>Sales!H17</f>
        <v>0</v>
      </c>
      <c r="I14" s="254">
        <f>Sales!I17</f>
        <v>0</v>
      </c>
      <c r="J14" s="254">
        <f>Sales!J17</f>
        <v>0</v>
      </c>
      <c r="K14" s="254">
        <f>Sales!K17</f>
        <v>0</v>
      </c>
      <c r="L14" s="255">
        <f>Sales!L17</f>
        <v>0</v>
      </c>
      <c r="M14" s="254">
        <f>Sales!M17</f>
        <v>0</v>
      </c>
      <c r="N14" s="254">
        <f>Sales!N17</f>
        <v>0</v>
      </c>
      <c r="O14" s="254">
        <f>Sales!O17</f>
        <v>0</v>
      </c>
      <c r="P14" s="254">
        <f>Sales!P17</f>
        <v>0</v>
      </c>
      <c r="Q14" s="255">
        <f>Sales!Q17</f>
        <v>0</v>
      </c>
      <c r="R14" s="254">
        <f>Sales!R17</f>
        <v>0</v>
      </c>
      <c r="S14" s="254">
        <f>Sales!S17</f>
        <v>0</v>
      </c>
      <c r="T14" s="254">
        <f>Sales!T17</f>
        <v>0</v>
      </c>
      <c r="U14" s="254">
        <f>Sales!U17</f>
        <v>0</v>
      </c>
      <c r="V14" s="255">
        <f>Sales!V17</f>
        <v>0</v>
      </c>
      <c r="W14" s="256">
        <f>Sales!W17</f>
        <v>0</v>
      </c>
      <c r="X14" s="257">
        <f>Sales!X17</f>
        <v>0</v>
      </c>
      <c r="Y14" s="257">
        <f>Sales!Y17</f>
        <v>0</v>
      </c>
      <c r="Z14" s="257">
        <f>Sales!Z17</f>
        <v>0</v>
      </c>
      <c r="AA14" s="258">
        <f>Sales!AA17</f>
        <v>0</v>
      </c>
      <c r="AB14" s="256">
        <f>Sales!AB17</f>
        <v>0</v>
      </c>
      <c r="AC14" s="256">
        <f>Sales!AC17</f>
        <v>0</v>
      </c>
      <c r="AD14" s="256">
        <f>Sales!AD17</f>
        <v>0</v>
      </c>
      <c r="AE14" s="256">
        <f>Sales!AE17</f>
        <v>0</v>
      </c>
      <c r="AF14" s="258">
        <f>Sales!AF17</f>
        <v>0</v>
      </c>
      <c r="AG14" s="256">
        <f>Sales!AG17</f>
        <v>0</v>
      </c>
      <c r="AH14" s="256">
        <f>Sales!AH17</f>
        <v>0</v>
      </c>
      <c r="AI14" s="256">
        <f>Sales!AI17</f>
        <v>0</v>
      </c>
      <c r="AJ14" s="256">
        <f>Sales!AJ17</f>
        <v>0</v>
      </c>
      <c r="AK14" s="258">
        <f>Sales!AK17</f>
        <v>0</v>
      </c>
      <c r="AL14" s="257">
        <f>Sales!AL17</f>
        <v>0</v>
      </c>
      <c r="AM14" s="257">
        <f>Sales!AM17</f>
        <v>0</v>
      </c>
      <c r="AN14" s="257">
        <f>Sales!AN17</f>
        <v>0</v>
      </c>
      <c r="AO14" s="257">
        <f>Sales!AO17</f>
        <v>0</v>
      </c>
      <c r="AP14" s="258">
        <f>Sales!AP17</f>
        <v>0</v>
      </c>
      <c r="AQ14" s="257">
        <f>Sales!AQ17</f>
        <v>0</v>
      </c>
      <c r="AR14" s="257">
        <f>Sales!AR17</f>
        <v>0</v>
      </c>
      <c r="AS14" s="259">
        <f>Sales!AS17</f>
        <v>0</v>
      </c>
      <c r="AT14" s="259">
        <f>Sales!AT17</f>
        <v>0</v>
      </c>
      <c r="AU14" s="235">
        <f>Sales!AU17</f>
        <v>0</v>
      </c>
      <c r="AV14" s="240">
        <f>Sales!AV17</f>
        <v>0</v>
      </c>
      <c r="AW14" s="239">
        <f>Sales!AW17</f>
        <v>2</v>
      </c>
      <c r="AX14" s="239">
        <f>Sales!AX17</f>
        <v>3</v>
      </c>
      <c r="AY14" s="239">
        <f>Sales!AY17</f>
        <v>5</v>
      </c>
      <c r="AZ14" s="235">
        <f>Sales!AZ17</f>
        <v>10</v>
      </c>
      <c r="BA14" s="239">
        <f>Sales!BA17</f>
        <v>5</v>
      </c>
      <c r="BB14" s="240">
        <f>Sales!BB17</f>
        <v>6</v>
      </c>
      <c r="BC14" s="240">
        <f>Sales!BC17</f>
        <v>8</v>
      </c>
      <c r="BD14" s="240">
        <f>Sales!BD17</f>
        <v>4</v>
      </c>
      <c r="BE14" s="235">
        <f>Sales!BE17</f>
        <v>23</v>
      </c>
      <c r="BF14" s="241">
        <f>Sales!BF17</f>
        <v>5</v>
      </c>
      <c r="BG14" s="241">
        <f>Sales!BG17</f>
        <v>8</v>
      </c>
      <c r="BH14" s="241">
        <f>Sales!BH17</f>
        <v>9</v>
      </c>
      <c r="BI14" s="241">
        <f>Sales!BI17</f>
        <v>10</v>
      </c>
      <c r="BJ14" s="235">
        <f>Sales!BJ17</f>
        <v>32</v>
      </c>
      <c r="BK14" s="241">
        <f>Sales!BK17</f>
        <v>0</v>
      </c>
      <c r="BL14" s="241">
        <f>Sales!BL17</f>
        <v>0</v>
      </c>
      <c r="BM14" s="241">
        <f>Sales!BM17</f>
        <v>0</v>
      </c>
      <c r="BN14" s="241">
        <f>Sales!BN17</f>
        <v>0</v>
      </c>
      <c r="BO14" s="235">
        <f>Sales!BO17</f>
        <v>40</v>
      </c>
      <c r="BP14" s="241">
        <f>Sales!BP17</f>
        <v>0</v>
      </c>
      <c r="BQ14" s="241">
        <f>Sales!BQ17</f>
        <v>0</v>
      </c>
      <c r="BR14" s="241">
        <f>Sales!BR17</f>
        <v>0</v>
      </c>
      <c r="BS14" s="241">
        <f>Sales!BS17</f>
        <v>0</v>
      </c>
      <c r="BT14" s="235">
        <f>Sales!BT17</f>
        <v>45</v>
      </c>
      <c r="BU14" s="241">
        <f>Sales!BU17</f>
        <v>0</v>
      </c>
      <c r="BV14" s="241">
        <f>Sales!BV17</f>
        <v>0</v>
      </c>
      <c r="BW14" s="241">
        <f>Sales!BW17</f>
        <v>0</v>
      </c>
      <c r="BX14" s="241">
        <f>Sales!BX17</f>
        <v>0</v>
      </c>
      <c r="BY14" s="235">
        <f>Sales!BY17</f>
        <v>50</v>
      </c>
      <c r="BZ14" s="241">
        <f>Sales!BZ17</f>
        <v>0</v>
      </c>
      <c r="CA14" s="241">
        <f>Sales!CA17</f>
        <v>0</v>
      </c>
      <c r="CB14" s="241">
        <f>Sales!CB17</f>
        <v>0</v>
      </c>
      <c r="CC14" s="241">
        <f>Sales!CC17</f>
        <v>0</v>
      </c>
      <c r="CD14" s="235">
        <f>Sales!CD17</f>
        <v>55</v>
      </c>
    </row>
    <row r="15" spans="1:83" s="252" customFormat="1" hidden="1" outlineLevel="1">
      <c r="B15" s="238" t="str">
        <f>Sales!B19</f>
        <v>Onexton</v>
      </c>
      <c r="C15" s="253">
        <f>Sales!C19</f>
        <v>0</v>
      </c>
      <c r="D15" s="254">
        <f>Sales!D19</f>
        <v>0</v>
      </c>
      <c r="E15" s="254">
        <f>Sales!E19</f>
        <v>0</v>
      </c>
      <c r="F15" s="254">
        <f>Sales!F19</f>
        <v>0</v>
      </c>
      <c r="G15" s="255">
        <f>Sales!G19</f>
        <v>0</v>
      </c>
      <c r="H15" s="254">
        <f>Sales!H19</f>
        <v>0</v>
      </c>
      <c r="I15" s="254">
        <f>Sales!I19</f>
        <v>0</v>
      </c>
      <c r="J15" s="254">
        <f>Sales!J19</f>
        <v>0</v>
      </c>
      <c r="K15" s="254">
        <f>Sales!K19</f>
        <v>0</v>
      </c>
      <c r="L15" s="255">
        <f>Sales!L19</f>
        <v>0</v>
      </c>
      <c r="M15" s="254">
        <f>Sales!M19</f>
        <v>0</v>
      </c>
      <c r="N15" s="254">
        <f>Sales!N19</f>
        <v>0</v>
      </c>
      <c r="O15" s="254">
        <f>Sales!O19</f>
        <v>0</v>
      </c>
      <c r="P15" s="254">
        <f>Sales!P19</f>
        <v>0</v>
      </c>
      <c r="Q15" s="255">
        <f>Sales!Q19</f>
        <v>0</v>
      </c>
      <c r="R15" s="254">
        <f>Sales!R19</f>
        <v>0</v>
      </c>
      <c r="S15" s="254">
        <f>Sales!S19</f>
        <v>0</v>
      </c>
      <c r="T15" s="254">
        <f>Sales!T19</f>
        <v>0</v>
      </c>
      <c r="U15" s="254">
        <f>Sales!U19</f>
        <v>0</v>
      </c>
      <c r="V15" s="255">
        <f>Sales!V19</f>
        <v>0</v>
      </c>
      <c r="W15" s="256">
        <f>Sales!W19</f>
        <v>0</v>
      </c>
      <c r="X15" s="257">
        <f>Sales!X19</f>
        <v>0</v>
      </c>
      <c r="Y15" s="257">
        <f>Sales!Y19</f>
        <v>0</v>
      </c>
      <c r="Z15" s="257">
        <f>Sales!Z19</f>
        <v>0</v>
      </c>
      <c r="AA15" s="258">
        <f>Sales!AA19</f>
        <v>0</v>
      </c>
      <c r="AB15" s="256">
        <f>Sales!AB19</f>
        <v>0</v>
      </c>
      <c r="AC15" s="256">
        <f>Sales!AC19</f>
        <v>0</v>
      </c>
      <c r="AD15" s="256">
        <f>Sales!AD19</f>
        <v>0</v>
      </c>
      <c r="AE15" s="256">
        <f>Sales!AE19</f>
        <v>0</v>
      </c>
      <c r="AF15" s="258">
        <f>Sales!AF19</f>
        <v>0</v>
      </c>
      <c r="AG15" s="256">
        <f>Sales!AG19</f>
        <v>0</v>
      </c>
      <c r="AH15" s="256">
        <f>Sales!AH19</f>
        <v>0</v>
      </c>
      <c r="AI15" s="256">
        <f>Sales!AI19</f>
        <v>0</v>
      </c>
      <c r="AJ15" s="256">
        <f>Sales!AJ19</f>
        <v>0</v>
      </c>
      <c r="AK15" s="258">
        <f>Sales!AK19</f>
        <v>0</v>
      </c>
      <c r="AL15" s="257">
        <f>Sales!AL19</f>
        <v>0</v>
      </c>
      <c r="AM15" s="257">
        <f>Sales!AM19</f>
        <v>0</v>
      </c>
      <c r="AN15" s="257">
        <f>Sales!AN19</f>
        <v>0</v>
      </c>
      <c r="AO15" s="257">
        <f>Sales!AO19</f>
        <v>0</v>
      </c>
      <c r="AP15" s="258">
        <f>Sales!AP19</f>
        <v>0</v>
      </c>
      <c r="AQ15" s="257">
        <f>Sales!AQ19</f>
        <v>0</v>
      </c>
      <c r="AR15" s="257">
        <f>Sales!AR19</f>
        <v>0</v>
      </c>
      <c r="AS15" s="257">
        <f>Sales!AS19</f>
        <v>0</v>
      </c>
      <c r="AT15" s="257">
        <f>Sales!AT19</f>
        <v>0</v>
      </c>
      <c r="AU15" s="235">
        <v>0</v>
      </c>
      <c r="AV15" s="235">
        <f>Sales!AV19</f>
        <v>0</v>
      </c>
      <c r="AW15" s="235">
        <f>Sales!AW19</f>
        <v>0</v>
      </c>
      <c r="AX15" s="235">
        <f>Sales!AX19</f>
        <v>0</v>
      </c>
      <c r="AY15" s="235">
        <f>Sales!AY19</f>
        <v>0</v>
      </c>
      <c r="AZ15" s="235">
        <v>0</v>
      </c>
      <c r="BA15" s="240">
        <f>Sales!BA19</f>
        <v>3</v>
      </c>
      <c r="BB15" s="240">
        <f>Sales!BB19</f>
        <v>10</v>
      </c>
      <c r="BC15" s="240">
        <f>Sales!BC19</f>
        <v>20</v>
      </c>
      <c r="BD15" s="240">
        <f>Sales!BD19</f>
        <v>10</v>
      </c>
      <c r="BE15" s="235">
        <f>Sales!BE19</f>
        <v>43</v>
      </c>
      <c r="BF15" s="241">
        <f>Sales!BF19</f>
        <v>10</v>
      </c>
      <c r="BG15" s="241">
        <f>Sales!BG19</f>
        <v>15</v>
      </c>
      <c r="BH15" s="241">
        <f>Sales!BH19</f>
        <v>20</v>
      </c>
      <c r="BI15" s="241">
        <f>Sales!BI19</f>
        <v>22</v>
      </c>
      <c r="BJ15" s="235">
        <f>Sales!BJ19</f>
        <v>67</v>
      </c>
      <c r="BK15" s="241">
        <f>Sales!BK19</f>
        <v>0</v>
      </c>
      <c r="BL15" s="241">
        <f>Sales!BL19</f>
        <v>0</v>
      </c>
      <c r="BM15" s="241">
        <f>Sales!BM19</f>
        <v>0</v>
      </c>
      <c r="BN15" s="241">
        <f>Sales!BN19</f>
        <v>0</v>
      </c>
      <c r="BO15" s="235">
        <f>Sales!BO19</f>
        <v>100</v>
      </c>
      <c r="BP15" s="241">
        <f>Sales!BP19</f>
        <v>0</v>
      </c>
      <c r="BQ15" s="241">
        <f>Sales!BQ19</f>
        <v>0</v>
      </c>
      <c r="BR15" s="241">
        <f>Sales!BR19</f>
        <v>0</v>
      </c>
      <c r="BS15" s="241">
        <f>Sales!BS19</f>
        <v>0</v>
      </c>
      <c r="BT15" s="235">
        <f>Sales!BT19</f>
        <v>135</v>
      </c>
      <c r="BU15" s="241">
        <f>Sales!BU19</f>
        <v>0</v>
      </c>
      <c r="BV15" s="241">
        <f>Sales!BV19</f>
        <v>0</v>
      </c>
      <c r="BW15" s="241">
        <f>Sales!BW19</f>
        <v>0</v>
      </c>
      <c r="BX15" s="241">
        <f>Sales!BX19</f>
        <v>0</v>
      </c>
      <c r="BY15" s="235">
        <f>Sales!BY19</f>
        <v>160</v>
      </c>
      <c r="BZ15" s="241">
        <f>Sales!BZ19</f>
        <v>0</v>
      </c>
      <c r="CA15" s="241">
        <f>Sales!CA19</f>
        <v>0</v>
      </c>
      <c r="CB15" s="241">
        <f>Sales!CB19</f>
        <v>0</v>
      </c>
      <c r="CC15" s="241">
        <f>Sales!CC19</f>
        <v>0</v>
      </c>
      <c r="CD15" s="235">
        <f>Sales!CD19</f>
        <v>175</v>
      </c>
    </row>
    <row r="16" spans="1:83" s="252" customFormat="1" hidden="1" outlineLevel="1">
      <c r="B16" s="238" t="str">
        <f>Sales!B21</f>
        <v>IDP-118 (psoriasis)</v>
      </c>
      <c r="C16" s="253">
        <f>Sales!C21</f>
        <v>0</v>
      </c>
      <c r="D16" s="254">
        <f>Sales!D21</f>
        <v>0</v>
      </c>
      <c r="E16" s="254">
        <f>Sales!E21</f>
        <v>0</v>
      </c>
      <c r="F16" s="254">
        <f>Sales!F21</f>
        <v>0</v>
      </c>
      <c r="G16" s="255">
        <f>Sales!G21</f>
        <v>0</v>
      </c>
      <c r="H16" s="254">
        <f>Sales!H21</f>
        <v>0</v>
      </c>
      <c r="I16" s="254">
        <f>Sales!I21</f>
        <v>0</v>
      </c>
      <c r="J16" s="254">
        <f>Sales!J21</f>
        <v>0</v>
      </c>
      <c r="K16" s="254">
        <f>Sales!K21</f>
        <v>0</v>
      </c>
      <c r="L16" s="255">
        <f>Sales!L21</f>
        <v>0</v>
      </c>
      <c r="M16" s="254">
        <f>Sales!M21</f>
        <v>0</v>
      </c>
      <c r="N16" s="254">
        <f>Sales!N21</f>
        <v>0</v>
      </c>
      <c r="O16" s="254">
        <f>Sales!O21</f>
        <v>0</v>
      </c>
      <c r="P16" s="254">
        <f>Sales!P21</f>
        <v>0</v>
      </c>
      <c r="Q16" s="255">
        <f>Sales!Q21</f>
        <v>0</v>
      </c>
      <c r="R16" s="254">
        <f>Sales!R21</f>
        <v>0</v>
      </c>
      <c r="S16" s="254">
        <f>Sales!S21</f>
        <v>0</v>
      </c>
      <c r="T16" s="254">
        <f>Sales!T21</f>
        <v>0</v>
      </c>
      <c r="U16" s="254">
        <f>Sales!U21</f>
        <v>0</v>
      </c>
      <c r="V16" s="255">
        <f>Sales!V21</f>
        <v>0</v>
      </c>
      <c r="W16" s="256">
        <f>Sales!W21</f>
        <v>0</v>
      </c>
      <c r="X16" s="257">
        <f>Sales!X21</f>
        <v>0</v>
      </c>
      <c r="Y16" s="257">
        <f>Sales!Y21</f>
        <v>0</v>
      </c>
      <c r="Z16" s="257">
        <f>Sales!Z21</f>
        <v>0</v>
      </c>
      <c r="AA16" s="258">
        <f>Sales!AA21</f>
        <v>0</v>
      </c>
      <c r="AB16" s="256">
        <f>Sales!AB21</f>
        <v>0</v>
      </c>
      <c r="AC16" s="256">
        <f>Sales!AC21</f>
        <v>0</v>
      </c>
      <c r="AD16" s="256">
        <f>Sales!AD21</f>
        <v>0</v>
      </c>
      <c r="AE16" s="256">
        <f>Sales!AE21</f>
        <v>0</v>
      </c>
      <c r="AF16" s="258">
        <f>Sales!AF21</f>
        <v>0</v>
      </c>
      <c r="AG16" s="256">
        <f>Sales!AG21</f>
        <v>0</v>
      </c>
      <c r="AH16" s="256">
        <f>Sales!AH21</f>
        <v>0</v>
      </c>
      <c r="AI16" s="256">
        <f>Sales!AI21</f>
        <v>0</v>
      </c>
      <c r="AJ16" s="256">
        <f>Sales!AJ21</f>
        <v>0</v>
      </c>
      <c r="AK16" s="258">
        <f>Sales!AK21</f>
        <v>0</v>
      </c>
      <c r="AL16" s="257">
        <f>Sales!AL21</f>
        <v>0</v>
      </c>
      <c r="AM16" s="257">
        <f>Sales!AM21</f>
        <v>0</v>
      </c>
      <c r="AN16" s="257">
        <f>Sales!AN21</f>
        <v>0</v>
      </c>
      <c r="AO16" s="257">
        <f>Sales!AO21</f>
        <v>0</v>
      </c>
      <c r="AP16" s="258">
        <f>Sales!AP21</f>
        <v>0</v>
      </c>
      <c r="AQ16" s="257">
        <f>Sales!AQ21</f>
        <v>0</v>
      </c>
      <c r="AR16" s="257">
        <f>Sales!AR21</f>
        <v>0</v>
      </c>
      <c r="AS16" s="259">
        <f>Sales!AS21</f>
        <v>0</v>
      </c>
      <c r="AT16" s="259">
        <f>Sales!AT21</f>
        <v>0</v>
      </c>
      <c r="AU16" s="235">
        <f>Sales!AU21</f>
        <v>0</v>
      </c>
      <c r="AV16" s="240">
        <f>Sales!AV21</f>
        <v>0</v>
      </c>
      <c r="AW16" s="240">
        <f>Sales!AW21</f>
        <v>0</v>
      </c>
      <c r="AX16" s="240">
        <f>Sales!AX21</f>
        <v>0</v>
      </c>
      <c r="AY16" s="240">
        <f>Sales!AY21</f>
        <v>0</v>
      </c>
      <c r="AZ16" s="235">
        <f>Sales!AZ21</f>
        <v>0</v>
      </c>
      <c r="BA16" s="240">
        <f>Sales!BA21</f>
        <v>0</v>
      </c>
      <c r="BB16" s="240">
        <f>Sales!BB21</f>
        <v>0</v>
      </c>
      <c r="BC16" s="240">
        <f>Sales!BC21</f>
        <v>0</v>
      </c>
      <c r="BD16" s="240">
        <f>Sales!BD21</f>
        <v>0</v>
      </c>
      <c r="BE16" s="235">
        <f>Sales!BE21</f>
        <v>0</v>
      </c>
      <c r="BF16" s="241">
        <f>Sales!BF21</f>
        <v>0</v>
      </c>
      <c r="BG16" s="241">
        <f>Sales!BG21</f>
        <v>0</v>
      </c>
      <c r="BH16" s="241">
        <f>Sales!BH21</f>
        <v>0</v>
      </c>
      <c r="BI16" s="241">
        <f>Sales!BI21</f>
        <v>0</v>
      </c>
      <c r="BJ16" s="235">
        <f>Sales!BJ21</f>
        <v>0</v>
      </c>
      <c r="BK16" s="241">
        <f>Sales!BK21</f>
        <v>0</v>
      </c>
      <c r="BL16" s="241">
        <f>Sales!BL21</f>
        <v>0</v>
      </c>
      <c r="BM16" s="241">
        <f>Sales!BM21</f>
        <v>0</v>
      </c>
      <c r="BN16" s="241">
        <f>Sales!BN21</f>
        <v>0</v>
      </c>
      <c r="BO16" s="235">
        <f>Sales!BO21</f>
        <v>50</v>
      </c>
      <c r="BP16" s="241">
        <f>Sales!BP21</f>
        <v>0</v>
      </c>
      <c r="BQ16" s="241">
        <f>Sales!BQ21</f>
        <v>0</v>
      </c>
      <c r="BR16" s="241">
        <f>Sales!BR21</f>
        <v>0</v>
      </c>
      <c r="BS16" s="241">
        <f>Sales!BS21</f>
        <v>0</v>
      </c>
      <c r="BT16" s="235">
        <f>Sales!BT21</f>
        <v>100</v>
      </c>
      <c r="BU16" s="241">
        <f>Sales!BU21</f>
        <v>0</v>
      </c>
      <c r="BV16" s="241">
        <f>Sales!BV21</f>
        <v>0</v>
      </c>
      <c r="BW16" s="241">
        <f>Sales!BW21</f>
        <v>0</v>
      </c>
      <c r="BX16" s="241">
        <f>Sales!BX21</f>
        <v>0</v>
      </c>
      <c r="BY16" s="235">
        <f>Sales!BY21</f>
        <v>150</v>
      </c>
      <c r="BZ16" s="241">
        <f>Sales!BZ21</f>
        <v>0</v>
      </c>
      <c r="CA16" s="241">
        <f>Sales!CA21</f>
        <v>0</v>
      </c>
      <c r="CB16" s="241">
        <f>Sales!CB21</f>
        <v>0</v>
      </c>
      <c r="CC16" s="241">
        <f>Sales!CC21</f>
        <v>0</v>
      </c>
      <c r="CD16" s="235">
        <f>Sales!CD21</f>
        <v>200</v>
      </c>
    </row>
    <row r="17" spans="1:83" s="252" customFormat="1" hidden="1" outlineLevel="1">
      <c r="B17" s="238" t="str">
        <f>Sales!B23</f>
        <v>brodalumab (IL-17, psoriasis)</v>
      </c>
      <c r="C17" s="253">
        <f>Sales!C23</f>
        <v>0</v>
      </c>
      <c r="D17" s="254">
        <f>Sales!D23</f>
        <v>0</v>
      </c>
      <c r="E17" s="254">
        <f>Sales!E23</f>
        <v>0</v>
      </c>
      <c r="F17" s="254">
        <f>Sales!F23</f>
        <v>0</v>
      </c>
      <c r="G17" s="255">
        <f>Sales!G23</f>
        <v>0</v>
      </c>
      <c r="H17" s="254">
        <f>Sales!H23</f>
        <v>0</v>
      </c>
      <c r="I17" s="254">
        <f>Sales!I23</f>
        <v>0</v>
      </c>
      <c r="J17" s="254">
        <f>Sales!J23</f>
        <v>0</v>
      </c>
      <c r="K17" s="254">
        <f>Sales!K23</f>
        <v>0</v>
      </c>
      <c r="L17" s="255">
        <f>Sales!L23</f>
        <v>0</v>
      </c>
      <c r="M17" s="254">
        <f>Sales!M23</f>
        <v>0</v>
      </c>
      <c r="N17" s="254">
        <f>Sales!N23</f>
        <v>0</v>
      </c>
      <c r="O17" s="254">
        <f>Sales!O23</f>
        <v>0</v>
      </c>
      <c r="P17" s="254">
        <f>Sales!P23</f>
        <v>0</v>
      </c>
      <c r="Q17" s="255">
        <f>Sales!Q23</f>
        <v>0</v>
      </c>
      <c r="R17" s="254">
        <f>Sales!R23</f>
        <v>0</v>
      </c>
      <c r="S17" s="254">
        <f>Sales!S23</f>
        <v>0</v>
      </c>
      <c r="T17" s="254">
        <f>Sales!T23</f>
        <v>0</v>
      </c>
      <c r="U17" s="254">
        <f>Sales!U23</f>
        <v>0</v>
      </c>
      <c r="V17" s="255">
        <f>Sales!V23</f>
        <v>0</v>
      </c>
      <c r="W17" s="256">
        <f>Sales!W23</f>
        <v>0</v>
      </c>
      <c r="X17" s="257">
        <f>Sales!X23</f>
        <v>0</v>
      </c>
      <c r="Y17" s="257">
        <f>Sales!Y23</f>
        <v>0</v>
      </c>
      <c r="Z17" s="257">
        <f>Sales!Z23</f>
        <v>0</v>
      </c>
      <c r="AA17" s="258">
        <f>Sales!AA23</f>
        <v>0</v>
      </c>
      <c r="AB17" s="256">
        <f>Sales!AB23</f>
        <v>0</v>
      </c>
      <c r="AC17" s="256">
        <f>Sales!AC23</f>
        <v>0</v>
      </c>
      <c r="AD17" s="256">
        <f>Sales!AD23</f>
        <v>0</v>
      </c>
      <c r="AE17" s="256">
        <f>Sales!AE23</f>
        <v>0</v>
      </c>
      <c r="AF17" s="258">
        <f>Sales!AF23</f>
        <v>0</v>
      </c>
      <c r="AG17" s="256">
        <f>Sales!AG23</f>
        <v>0</v>
      </c>
      <c r="AH17" s="256">
        <f>Sales!AH23</f>
        <v>0</v>
      </c>
      <c r="AI17" s="256">
        <f>Sales!AI23</f>
        <v>0</v>
      </c>
      <c r="AJ17" s="256">
        <f>Sales!AJ23</f>
        <v>0</v>
      </c>
      <c r="AK17" s="258">
        <f>Sales!AK23</f>
        <v>0</v>
      </c>
      <c r="AL17" s="257">
        <f>Sales!AL23</f>
        <v>0</v>
      </c>
      <c r="AM17" s="257">
        <f>Sales!AM23</f>
        <v>0</v>
      </c>
      <c r="AN17" s="257">
        <f>Sales!AN23</f>
        <v>0</v>
      </c>
      <c r="AO17" s="257">
        <f>Sales!AO23</f>
        <v>0</v>
      </c>
      <c r="AP17" s="258">
        <f>Sales!AP23</f>
        <v>0</v>
      </c>
      <c r="AQ17" s="257">
        <f>Sales!AQ23</f>
        <v>0</v>
      </c>
      <c r="AR17" s="257">
        <f>Sales!AR23</f>
        <v>0</v>
      </c>
      <c r="AS17" s="259">
        <f>Sales!AS23</f>
        <v>0</v>
      </c>
      <c r="AT17" s="259">
        <f>Sales!AT23</f>
        <v>0</v>
      </c>
      <c r="AU17" s="235">
        <f>Sales!AU23</f>
        <v>0</v>
      </c>
      <c r="AV17" s="240">
        <f>Sales!AV23</f>
        <v>0</v>
      </c>
      <c r="AW17" s="240">
        <f>Sales!AW23</f>
        <v>0</v>
      </c>
      <c r="AX17" s="240">
        <f>Sales!AX23</f>
        <v>0</v>
      </c>
      <c r="AY17" s="240">
        <f>Sales!AY23</f>
        <v>0</v>
      </c>
      <c r="AZ17" s="235">
        <f>Sales!AZ23</f>
        <v>0</v>
      </c>
      <c r="BA17" s="240">
        <f>Sales!BA23</f>
        <v>0</v>
      </c>
      <c r="BB17" s="240">
        <f>Sales!BB23</f>
        <v>0</v>
      </c>
      <c r="BC17" s="240">
        <f>Sales!BC23</f>
        <v>0</v>
      </c>
      <c r="BD17" s="240">
        <f>Sales!BD23</f>
        <v>0</v>
      </c>
      <c r="BE17" s="235">
        <f>Sales!BE23</f>
        <v>0</v>
      </c>
      <c r="BF17" s="241">
        <f>Sales!BF23</f>
        <v>0</v>
      </c>
      <c r="BG17" s="241">
        <f>Sales!BG23</f>
        <v>0</v>
      </c>
      <c r="BH17" s="241">
        <f>Sales!BH23</f>
        <v>0</v>
      </c>
      <c r="BI17" s="241">
        <f>Sales!BI23</f>
        <v>0</v>
      </c>
      <c r="BJ17" s="244">
        <f>Sales!BJ23</f>
        <v>0</v>
      </c>
      <c r="BK17" s="261">
        <f>Sales!BK23</f>
        <v>0</v>
      </c>
      <c r="BL17" s="261">
        <f>Sales!BL23</f>
        <v>0</v>
      </c>
      <c r="BM17" s="261">
        <f>Sales!BM23</f>
        <v>0</v>
      </c>
      <c r="BN17" s="261">
        <f>Sales!BN23</f>
        <v>0</v>
      </c>
      <c r="BO17" s="244">
        <f>Sales!BO23</f>
        <v>0</v>
      </c>
      <c r="BP17" s="261">
        <f>Sales!BP23</f>
        <v>0</v>
      </c>
      <c r="BQ17" s="261">
        <f>Sales!BQ23</f>
        <v>0</v>
      </c>
      <c r="BR17" s="261">
        <f>Sales!BR23</f>
        <v>0</v>
      </c>
      <c r="BS17" s="261">
        <f>Sales!BS23</f>
        <v>0</v>
      </c>
      <c r="BT17" s="244">
        <f>Sales!BT23</f>
        <v>0</v>
      </c>
      <c r="BU17" s="261">
        <f>Sales!BU23</f>
        <v>0</v>
      </c>
      <c r="BV17" s="261">
        <f>Sales!BV23</f>
        <v>0</v>
      </c>
      <c r="BW17" s="261">
        <f>Sales!BW23</f>
        <v>0</v>
      </c>
      <c r="BX17" s="261">
        <f>Sales!BX23</f>
        <v>0</v>
      </c>
      <c r="BY17" s="244">
        <f>Sales!BY23</f>
        <v>0</v>
      </c>
      <c r="BZ17" s="261">
        <f>Sales!BZ23</f>
        <v>0</v>
      </c>
      <c r="CA17" s="261">
        <f>Sales!CA23</f>
        <v>0</v>
      </c>
      <c r="CB17" s="261">
        <f>Sales!CB23</f>
        <v>0</v>
      </c>
      <c r="CC17" s="261">
        <f>Sales!CC23</f>
        <v>0</v>
      </c>
      <c r="CD17" s="244">
        <f>Sales!CD23</f>
        <v>0</v>
      </c>
      <c r="CE17" s="252">
        <v>0</v>
      </c>
    </row>
    <row r="18" spans="1:83" s="198" customFormat="1" ht="15" hidden="1" outlineLevel="1">
      <c r="A18" s="12"/>
      <c r="B18" s="625" t="str">
        <f>Sales!B25</f>
        <v>Other Dermatology</v>
      </c>
      <c r="C18" s="263">
        <f>Sales!C25</f>
        <v>0</v>
      </c>
      <c r="D18" s="263">
        <f>Sales!D25</f>
        <v>0</v>
      </c>
      <c r="E18" s="263">
        <f>Sales!E25</f>
        <v>0</v>
      </c>
      <c r="F18" s="263">
        <f>Sales!F25</f>
        <v>0</v>
      </c>
      <c r="G18" s="264">
        <f>Sales!G25</f>
        <v>0</v>
      </c>
      <c r="H18" s="263">
        <f>Sales!H25</f>
        <v>0</v>
      </c>
      <c r="I18" s="263">
        <f>Sales!I25</f>
        <v>0</v>
      </c>
      <c r="J18" s="263">
        <f>Sales!J25</f>
        <v>0</v>
      </c>
      <c r="K18" s="263">
        <f>Sales!K25</f>
        <v>0</v>
      </c>
      <c r="L18" s="264">
        <f>Sales!L25</f>
        <v>0</v>
      </c>
      <c r="M18" s="263">
        <f>Sales!M25</f>
        <v>0</v>
      </c>
      <c r="N18" s="263">
        <f>Sales!N25</f>
        <v>0</v>
      </c>
      <c r="O18" s="263">
        <f>Sales!O25</f>
        <v>0</v>
      </c>
      <c r="P18" s="263">
        <f>Sales!P25</f>
        <v>0</v>
      </c>
      <c r="Q18" s="264">
        <f>Sales!Q25</f>
        <v>0</v>
      </c>
      <c r="R18" s="263">
        <f>Sales!R25</f>
        <v>0</v>
      </c>
      <c r="S18" s="263">
        <f>Sales!S25</f>
        <v>0</v>
      </c>
      <c r="T18" s="263">
        <f>Sales!T25</f>
        <v>0</v>
      </c>
      <c r="U18" s="263">
        <f>Sales!U25</f>
        <v>0</v>
      </c>
      <c r="V18" s="265">
        <f>Sales!V25</f>
        <v>0</v>
      </c>
      <c r="W18" s="266">
        <f>Sales!W25</f>
        <v>0</v>
      </c>
      <c r="X18" s="266">
        <f>Sales!X25</f>
        <v>0</v>
      </c>
      <c r="Y18" s="266">
        <f>Sales!Y25</f>
        <v>0</v>
      </c>
      <c r="Z18" s="266">
        <f>Sales!Z25</f>
        <v>0</v>
      </c>
      <c r="AA18" s="265">
        <f>Sales!AA25</f>
        <v>0</v>
      </c>
      <c r="AB18" s="266">
        <f>Sales!AB25</f>
        <v>0</v>
      </c>
      <c r="AC18" s="266">
        <f>Sales!AC25</f>
        <v>0</v>
      </c>
      <c r="AD18" s="266">
        <f>Sales!AD25</f>
        <v>0</v>
      </c>
      <c r="AE18" s="266">
        <f>Sales!AE25</f>
        <v>0</v>
      </c>
      <c r="AF18" s="265">
        <f>Sales!AF25</f>
        <v>0</v>
      </c>
      <c r="AG18" s="266">
        <f>Sales!AG25</f>
        <v>0</v>
      </c>
      <c r="AH18" s="266">
        <f>Sales!AH25</f>
        <v>0</v>
      </c>
      <c r="AI18" s="266">
        <f>Sales!AI25</f>
        <v>0</v>
      </c>
      <c r="AJ18" s="266">
        <f>Sales!AJ25</f>
        <v>0</v>
      </c>
      <c r="AK18" s="265">
        <f>Sales!AK25</f>
        <v>0</v>
      </c>
      <c r="AL18" s="266">
        <f>Sales!AL25</f>
        <v>0</v>
      </c>
      <c r="AM18" s="266">
        <f>Sales!AM25</f>
        <v>0</v>
      </c>
      <c r="AN18" s="266">
        <f>Sales!AN25</f>
        <v>0</v>
      </c>
      <c r="AO18" s="266">
        <f>Sales!AO25</f>
        <v>0</v>
      </c>
      <c r="AP18" s="265">
        <f>Sales!AP25</f>
        <v>0</v>
      </c>
      <c r="AQ18" s="263">
        <f>Sales!AQ25</f>
        <v>0</v>
      </c>
      <c r="AR18" s="263">
        <f>Sales!AR25</f>
        <v>0</v>
      </c>
      <c r="AS18" s="626">
        <f>Sales!AS25</f>
        <v>155.5</v>
      </c>
      <c r="AT18" s="626">
        <f>Sales!AT25</f>
        <v>199.2</v>
      </c>
      <c r="AU18" s="627">
        <f>Sales!AU25</f>
        <v>0</v>
      </c>
      <c r="AV18" s="626">
        <f>Sales!AV25</f>
        <v>227.2</v>
      </c>
      <c r="AW18" s="626">
        <f>Sales!AW25</f>
        <v>225.3</v>
      </c>
      <c r="AX18" s="626">
        <f>Sales!AX25</f>
        <v>182.8</v>
      </c>
      <c r="AY18" s="626">
        <f>Sales!AY25</f>
        <v>273.7</v>
      </c>
      <c r="AZ18" s="627">
        <f>Sales!AZ25</f>
        <v>909</v>
      </c>
      <c r="BA18" s="626">
        <f>Sales!BA25</f>
        <v>266.3</v>
      </c>
      <c r="BB18" s="626">
        <f>Sales!BB25</f>
        <v>247.8</v>
      </c>
      <c r="BC18" s="626">
        <f>Sales!BC25</f>
        <v>233.5</v>
      </c>
      <c r="BD18" s="626">
        <f>Sales!BD25</f>
        <v>186.60000000000002</v>
      </c>
      <c r="BE18" s="627">
        <f>Sales!BE25</f>
        <v>934.2</v>
      </c>
      <c r="BF18" s="628">
        <f>Sales!BF25</f>
        <v>173.09500000000003</v>
      </c>
      <c r="BG18" s="628">
        <f>Sales!BG25</f>
        <v>198.24</v>
      </c>
      <c r="BH18" s="628">
        <f>Sales!BH25</f>
        <v>210.15</v>
      </c>
      <c r="BI18" s="628">
        <f>Sales!BI25</f>
        <v>205.26000000000005</v>
      </c>
      <c r="BJ18" s="627">
        <f>Sales!BJ25</f>
        <v>786.74500000000012</v>
      </c>
      <c r="BK18" s="629">
        <f>Sales!BK25</f>
        <v>0</v>
      </c>
      <c r="BL18" s="629">
        <f>Sales!BL25</f>
        <v>0</v>
      </c>
      <c r="BM18" s="629">
        <f>Sales!BM25</f>
        <v>0</v>
      </c>
      <c r="BN18" s="629">
        <f>Sales!BN25</f>
        <v>0</v>
      </c>
      <c r="BO18" s="627">
        <f>Sales!BO25</f>
        <v>771.01010000000008</v>
      </c>
      <c r="BP18" s="629">
        <f>Sales!BP25</f>
        <v>0</v>
      </c>
      <c r="BQ18" s="629">
        <f>Sales!BQ25</f>
        <v>0</v>
      </c>
      <c r="BR18" s="629">
        <f>Sales!BR25</f>
        <v>0</v>
      </c>
      <c r="BS18" s="629">
        <f>Sales!BS25</f>
        <v>0</v>
      </c>
      <c r="BT18" s="627">
        <f>Sales!BT25</f>
        <v>786.4303020000001</v>
      </c>
      <c r="BU18" s="629">
        <f>Sales!BU25</f>
        <v>0</v>
      </c>
      <c r="BV18" s="629">
        <f>Sales!BV25</f>
        <v>0</v>
      </c>
      <c r="BW18" s="629">
        <f>Sales!BW25</f>
        <v>0</v>
      </c>
      <c r="BX18" s="629">
        <f>Sales!BX25</f>
        <v>0</v>
      </c>
      <c r="BY18" s="627">
        <f>Sales!BY25</f>
        <v>802.15890804000014</v>
      </c>
      <c r="BZ18" s="629">
        <f>Sales!BZ25</f>
        <v>0</v>
      </c>
      <c r="CA18" s="629">
        <f>Sales!CA25</f>
        <v>0</v>
      </c>
      <c r="CB18" s="629">
        <f>Sales!CB25</f>
        <v>0</v>
      </c>
      <c r="CC18" s="629">
        <f>Sales!CC25</f>
        <v>0</v>
      </c>
      <c r="CD18" s="627">
        <f>Sales!CD25</f>
        <v>818.20208620080018</v>
      </c>
      <c r="CE18" s="12"/>
    </row>
    <row r="19" spans="1:83" s="198" customFormat="1" collapsed="1">
      <c r="A19" s="12"/>
      <c r="B19" s="268" t="str">
        <f>Sales!B27</f>
        <v>Total Dermatology</v>
      </c>
      <c r="C19" s="269">
        <f>Sales!C27</f>
        <v>0</v>
      </c>
      <c r="D19" s="269">
        <f>Sales!D27</f>
        <v>0</v>
      </c>
      <c r="E19" s="269">
        <f>Sales!E27</f>
        <v>0</v>
      </c>
      <c r="F19" s="269">
        <f>Sales!F27</f>
        <v>0</v>
      </c>
      <c r="G19" s="270">
        <f>Sales!G27</f>
        <v>0</v>
      </c>
      <c r="H19" s="269">
        <f>Sales!H27</f>
        <v>0</v>
      </c>
      <c r="I19" s="269">
        <f>Sales!I27</f>
        <v>0</v>
      </c>
      <c r="J19" s="269">
        <f>Sales!J27</f>
        <v>0</v>
      </c>
      <c r="K19" s="269">
        <f>Sales!K27</f>
        <v>0</v>
      </c>
      <c r="L19" s="270">
        <f>Sales!L27</f>
        <v>0</v>
      </c>
      <c r="M19" s="269">
        <f>Sales!M27</f>
        <v>0</v>
      </c>
      <c r="N19" s="269">
        <f>Sales!N27</f>
        <v>0</v>
      </c>
      <c r="O19" s="269">
        <f>Sales!O27</f>
        <v>0</v>
      </c>
      <c r="P19" s="269">
        <f>Sales!P27</f>
        <v>0</v>
      </c>
      <c r="Q19" s="270">
        <f>Sales!Q27</f>
        <v>0</v>
      </c>
      <c r="R19" s="269">
        <f>Sales!R27</f>
        <v>0</v>
      </c>
      <c r="S19" s="269">
        <f>Sales!S27</f>
        <v>0</v>
      </c>
      <c r="T19" s="269">
        <f>Sales!T27</f>
        <v>0</v>
      </c>
      <c r="U19" s="269">
        <f>Sales!U27</f>
        <v>0</v>
      </c>
      <c r="V19" s="271">
        <f>Sales!V27</f>
        <v>0</v>
      </c>
      <c r="W19" s="272">
        <f>Sales!W27</f>
        <v>0</v>
      </c>
      <c r="X19" s="272">
        <f>Sales!X27</f>
        <v>0</v>
      </c>
      <c r="Y19" s="272">
        <f>Sales!Y27</f>
        <v>0</v>
      </c>
      <c r="Z19" s="272">
        <f>Sales!Z27</f>
        <v>0</v>
      </c>
      <c r="AA19" s="271">
        <f>Sales!AA27</f>
        <v>0</v>
      </c>
      <c r="AB19" s="272">
        <f>Sales!AB27</f>
        <v>0</v>
      </c>
      <c r="AC19" s="272">
        <f>Sales!AC27</f>
        <v>0</v>
      </c>
      <c r="AD19" s="272">
        <f>Sales!AD27</f>
        <v>0</v>
      </c>
      <c r="AE19" s="272">
        <f>Sales!AE27</f>
        <v>0</v>
      </c>
      <c r="AF19" s="271">
        <f>Sales!AF27</f>
        <v>0</v>
      </c>
      <c r="AG19" s="272">
        <f>Sales!AG27</f>
        <v>0</v>
      </c>
      <c r="AH19" s="272">
        <f>Sales!AH27</f>
        <v>0</v>
      </c>
      <c r="AI19" s="272">
        <f>Sales!AI27</f>
        <v>0</v>
      </c>
      <c r="AJ19" s="272">
        <f>Sales!AJ27</f>
        <v>0</v>
      </c>
      <c r="AK19" s="271">
        <f>Sales!AK27</f>
        <v>0</v>
      </c>
      <c r="AL19" s="272">
        <f>Sales!AL27</f>
        <v>0</v>
      </c>
      <c r="AM19" s="272">
        <f>Sales!AM27</f>
        <v>0</v>
      </c>
      <c r="AN19" s="272">
        <f>Sales!AN27</f>
        <v>0</v>
      </c>
      <c r="AO19" s="272">
        <f>Sales!AO27</f>
        <v>0</v>
      </c>
      <c r="AP19" s="273">
        <f>Sales!AP27</f>
        <v>0</v>
      </c>
      <c r="AQ19" s="274">
        <f>Sales!AQ27</f>
        <v>0</v>
      </c>
      <c r="AR19" s="269">
        <f>Sales!AR27</f>
        <v>0</v>
      </c>
      <c r="AS19" s="275">
        <f>Sales!AS27</f>
        <v>205.5</v>
      </c>
      <c r="AT19" s="275">
        <f>Sales!AT27</f>
        <v>249.2</v>
      </c>
      <c r="AU19" s="276">
        <f>Sales!AU27</f>
        <v>0</v>
      </c>
      <c r="AV19" s="275">
        <f>Sales!AV27</f>
        <v>304.2</v>
      </c>
      <c r="AW19" s="275">
        <f>Sales!AW27</f>
        <v>298.3</v>
      </c>
      <c r="AX19" s="275">
        <f>Sales!AX27</f>
        <v>272.8</v>
      </c>
      <c r="AY19" s="275">
        <f>Sales!AY27</f>
        <v>424.7</v>
      </c>
      <c r="AZ19" s="277">
        <f>Sales!AZ27</f>
        <v>1300</v>
      </c>
      <c r="BA19" s="275">
        <f>Sales!BA27</f>
        <v>419.3</v>
      </c>
      <c r="BB19" s="275">
        <f>Sales!BB27</f>
        <v>461.8</v>
      </c>
      <c r="BC19" s="275">
        <f>Sales!BC27</f>
        <v>465.5</v>
      </c>
      <c r="BD19" s="275">
        <f>Sales!BD27</f>
        <v>319.60000000000002</v>
      </c>
      <c r="BE19" s="277">
        <f>Sales!BE27</f>
        <v>1666.1999999999998</v>
      </c>
      <c r="BF19" s="191">
        <f>Sales!BF27</f>
        <v>288.09500000000003</v>
      </c>
      <c r="BG19" s="191">
        <f>Sales!BG27</f>
        <v>381.24</v>
      </c>
      <c r="BH19" s="191">
        <f>Sales!BH27</f>
        <v>420.15</v>
      </c>
      <c r="BI19" s="191">
        <f>Sales!BI27</f>
        <v>432.26000000000005</v>
      </c>
      <c r="BJ19" s="277">
        <f>Sales!BJ27</f>
        <v>1521.7450000000001</v>
      </c>
      <c r="BK19" s="191">
        <f>Sales!BK27</f>
        <v>0</v>
      </c>
      <c r="BL19" s="191">
        <f>Sales!BL27</f>
        <v>0</v>
      </c>
      <c r="BM19" s="191">
        <f>Sales!BM27</f>
        <v>0</v>
      </c>
      <c r="BN19" s="191">
        <f>Sales!BN27</f>
        <v>0</v>
      </c>
      <c r="BO19" s="277">
        <f>Sales!BO27</f>
        <v>1597.4701</v>
      </c>
      <c r="BP19" s="191">
        <f>Sales!BP27</f>
        <v>0</v>
      </c>
      <c r="BQ19" s="191">
        <f>Sales!BQ27</f>
        <v>0</v>
      </c>
      <c r="BR19" s="191">
        <f>Sales!BR27</f>
        <v>0</v>
      </c>
      <c r="BS19" s="191">
        <f>Sales!BS27</f>
        <v>0</v>
      </c>
      <c r="BT19" s="277">
        <f>Sales!BT27</f>
        <v>1657.0353020000002</v>
      </c>
      <c r="BU19" s="191">
        <f>Sales!BU27</f>
        <v>0</v>
      </c>
      <c r="BV19" s="191">
        <f>Sales!BV27</f>
        <v>0</v>
      </c>
      <c r="BW19" s="191">
        <f>Sales!BW27</f>
        <v>0</v>
      </c>
      <c r="BX19" s="191">
        <f>Sales!BX27</f>
        <v>0</v>
      </c>
      <c r="BY19" s="277">
        <f>Sales!BY27</f>
        <v>1758.1176580400002</v>
      </c>
      <c r="BZ19" s="191">
        <f>Sales!BZ27</f>
        <v>0</v>
      </c>
      <c r="CA19" s="191">
        <f>Sales!CA27</f>
        <v>0</v>
      </c>
      <c r="CB19" s="191">
        <f>Sales!CB27</f>
        <v>0</v>
      </c>
      <c r="CC19" s="191">
        <f>Sales!CC27</f>
        <v>0</v>
      </c>
      <c r="CD19" s="277">
        <f>Sales!CD27</f>
        <v>1871.6736487008002</v>
      </c>
      <c r="CE19" s="12"/>
    </row>
    <row r="20" spans="1:83" s="198" customFormat="1" hidden="1">
      <c r="A20" s="12"/>
      <c r="B20" s="279" t="str">
        <f>Sales!B28</f>
        <v>growth</v>
      </c>
      <c r="C20" s="269">
        <f>Sales!C28</f>
        <v>0</v>
      </c>
      <c r="D20" s="269">
        <f>Sales!D28</f>
        <v>0</v>
      </c>
      <c r="E20" s="269">
        <f>Sales!E28</f>
        <v>0</v>
      </c>
      <c r="F20" s="269">
        <f>Sales!F28</f>
        <v>0</v>
      </c>
      <c r="G20" s="270">
        <f>Sales!G28</f>
        <v>0</v>
      </c>
      <c r="H20" s="269">
        <f>Sales!H28</f>
        <v>0</v>
      </c>
      <c r="I20" s="269">
        <f>Sales!I28</f>
        <v>0</v>
      </c>
      <c r="J20" s="269">
        <f>Sales!J28</f>
        <v>0</v>
      </c>
      <c r="K20" s="269">
        <f>Sales!K28</f>
        <v>0</v>
      </c>
      <c r="L20" s="270">
        <f>Sales!L28</f>
        <v>0</v>
      </c>
      <c r="M20" s="269">
        <f>Sales!M28</f>
        <v>0</v>
      </c>
      <c r="N20" s="269">
        <f>Sales!N28</f>
        <v>0</v>
      </c>
      <c r="O20" s="269">
        <f>Sales!O28</f>
        <v>0</v>
      </c>
      <c r="P20" s="269">
        <f>Sales!P28</f>
        <v>0</v>
      </c>
      <c r="Q20" s="270">
        <f>Sales!Q28</f>
        <v>0</v>
      </c>
      <c r="R20" s="269">
        <f>Sales!R28</f>
        <v>0</v>
      </c>
      <c r="S20" s="269">
        <f>Sales!S28</f>
        <v>0</v>
      </c>
      <c r="T20" s="269">
        <f>Sales!T28</f>
        <v>0</v>
      </c>
      <c r="U20" s="269">
        <f>Sales!U28</f>
        <v>0</v>
      </c>
      <c r="V20" s="271">
        <f>Sales!V28</f>
        <v>0</v>
      </c>
      <c r="W20" s="272">
        <f>Sales!W28</f>
        <v>0</v>
      </c>
      <c r="X20" s="272">
        <f>Sales!X28</f>
        <v>0</v>
      </c>
      <c r="Y20" s="272">
        <f>Sales!Y28</f>
        <v>0</v>
      </c>
      <c r="Z20" s="272">
        <f>Sales!Z28</f>
        <v>0</v>
      </c>
      <c r="AA20" s="271">
        <f>Sales!AA28</f>
        <v>0</v>
      </c>
      <c r="AB20" s="272">
        <f>Sales!AB28</f>
        <v>0</v>
      </c>
      <c r="AC20" s="272">
        <f>Sales!AC28</f>
        <v>0</v>
      </c>
      <c r="AD20" s="272">
        <f>Sales!AD28</f>
        <v>0</v>
      </c>
      <c r="AE20" s="272">
        <f>Sales!AE28</f>
        <v>0</v>
      </c>
      <c r="AF20" s="271">
        <f>Sales!AF28</f>
        <v>0</v>
      </c>
      <c r="AG20" s="272">
        <f>Sales!AG28</f>
        <v>0</v>
      </c>
      <c r="AH20" s="272">
        <f>Sales!AH28</f>
        <v>0</v>
      </c>
      <c r="AI20" s="272">
        <f>Sales!AI28</f>
        <v>0</v>
      </c>
      <c r="AJ20" s="272">
        <f>Sales!AJ28</f>
        <v>0</v>
      </c>
      <c r="AK20" s="271">
        <f>Sales!AK28</f>
        <v>0</v>
      </c>
      <c r="AL20" s="272">
        <f>Sales!AL28</f>
        <v>0</v>
      </c>
      <c r="AM20" s="272">
        <f>Sales!AM28</f>
        <v>0</v>
      </c>
      <c r="AN20" s="272">
        <f>Sales!AN28</f>
        <v>0</v>
      </c>
      <c r="AO20" s="272">
        <f>Sales!AO28</f>
        <v>0</v>
      </c>
      <c r="AP20" s="273">
        <f>Sales!AP28</f>
        <v>0</v>
      </c>
      <c r="AQ20" s="274">
        <f>Sales!AQ28</f>
        <v>0</v>
      </c>
      <c r="AR20" s="269">
        <f>Sales!AR28</f>
        <v>0</v>
      </c>
      <c r="AS20" s="280">
        <f>Sales!AS28</f>
        <v>0</v>
      </c>
      <c r="AT20" s="280">
        <f>Sales!AT28</f>
        <v>0</v>
      </c>
      <c r="AU20" s="276">
        <f>Sales!AU28</f>
        <v>0</v>
      </c>
      <c r="AV20" s="280">
        <f>Sales!AV28</f>
        <v>0</v>
      </c>
      <c r="AW20" s="280">
        <f>Sales!AW28</f>
        <v>0</v>
      </c>
      <c r="AX20" s="281">
        <f>Sales!AX28</f>
        <v>0.32749391727493915</v>
      </c>
      <c r="AY20" s="281">
        <f>Sales!AY28</f>
        <v>0.70425361155698241</v>
      </c>
      <c r="AZ20" s="276">
        <f>Sales!AZ28</f>
        <v>0</v>
      </c>
      <c r="BA20" s="281">
        <f>Sales!BA28</f>
        <v>0.37836949375410933</v>
      </c>
      <c r="BB20" s="281">
        <f>Sales!BB28</f>
        <v>0.5481059336238685</v>
      </c>
      <c r="BC20" s="281">
        <f>Sales!BC28</f>
        <v>0.70637829912023453</v>
      </c>
      <c r="BD20" s="281">
        <f>Sales!BD28</f>
        <v>-0.24746880150694606</v>
      </c>
      <c r="BE20" s="282">
        <f>Sales!BE28</f>
        <v>0.28169230769230746</v>
      </c>
      <c r="BF20" s="191">
        <f>Sales!BF28</f>
        <v>-0.31291438111137604</v>
      </c>
      <c r="BG20" s="191">
        <f>Sales!BG28</f>
        <v>-0.17444781290601996</v>
      </c>
      <c r="BH20" s="191">
        <f>Sales!BH28</f>
        <v>-9.7422126745435045E-2</v>
      </c>
      <c r="BI20" s="191">
        <f>Sales!BI28</f>
        <v>0.35250312891113889</v>
      </c>
      <c r="BJ20" s="282">
        <f>Sales!BJ28</f>
        <v>-8.6697275237066163E-2</v>
      </c>
      <c r="BK20" s="191">
        <f>Sales!BK28</f>
        <v>0</v>
      </c>
      <c r="BL20" s="191">
        <f>Sales!BL28</f>
        <v>0</v>
      </c>
      <c r="BM20" s="191">
        <f>Sales!BM28</f>
        <v>0</v>
      </c>
      <c r="BN20" s="191">
        <f>Sales!BN28</f>
        <v>0</v>
      </c>
      <c r="BO20" s="282">
        <f>Sales!BO28</f>
        <v>4.9762016632221462E-2</v>
      </c>
      <c r="BP20" s="191">
        <f>Sales!BP28</f>
        <v>0</v>
      </c>
      <c r="BQ20" s="191">
        <f>Sales!BQ28</f>
        <v>0</v>
      </c>
      <c r="BR20" s="191">
        <f>Sales!BR28</f>
        <v>0</v>
      </c>
      <c r="BS20" s="191">
        <f>Sales!BS28</f>
        <v>0</v>
      </c>
      <c r="BT20" s="282">
        <f>Sales!BT28</f>
        <v>3.7287209319285752E-2</v>
      </c>
      <c r="BU20" s="191">
        <f>Sales!BU28</f>
        <v>0</v>
      </c>
      <c r="BV20" s="191">
        <f>Sales!BV28</f>
        <v>0</v>
      </c>
      <c r="BW20" s="191">
        <f>Sales!BW28</f>
        <v>0</v>
      </c>
      <c r="BX20" s="191">
        <f>Sales!BX28</f>
        <v>0</v>
      </c>
      <c r="BY20" s="282">
        <f>Sales!BY28</f>
        <v>6.1001932739752851E-2</v>
      </c>
      <c r="BZ20" s="191">
        <f>Sales!BZ28</f>
        <v>0</v>
      </c>
      <c r="CA20" s="191">
        <f>Sales!CA28</f>
        <v>0</v>
      </c>
      <c r="CB20" s="191">
        <f>Sales!CB28</f>
        <v>0</v>
      </c>
      <c r="CC20" s="191">
        <f>Sales!CC28</f>
        <v>0</v>
      </c>
      <c r="CD20" s="282">
        <f>Sales!CD28</f>
        <v>6.4589528545771824E-2</v>
      </c>
      <c r="CE20" s="12"/>
    </row>
    <row r="21" spans="1:83" s="198" customFormat="1" hidden="1">
      <c r="A21" s="12"/>
      <c r="B21" s="268"/>
      <c r="C21" s="269"/>
      <c r="D21" s="269"/>
      <c r="E21" s="269"/>
      <c r="F21" s="269"/>
      <c r="G21" s="270"/>
      <c r="H21" s="269"/>
      <c r="I21" s="269"/>
      <c r="J21" s="269"/>
      <c r="K21" s="269"/>
      <c r="L21" s="270"/>
      <c r="M21" s="269"/>
      <c r="N21" s="269"/>
      <c r="O21" s="269"/>
      <c r="P21" s="269"/>
      <c r="Q21" s="270"/>
      <c r="R21" s="269"/>
      <c r="S21" s="269"/>
      <c r="T21" s="269"/>
      <c r="U21" s="269"/>
      <c r="V21" s="271"/>
      <c r="W21" s="272"/>
      <c r="X21" s="272"/>
      <c r="Y21" s="272"/>
      <c r="Z21" s="272"/>
      <c r="AA21" s="271"/>
      <c r="AB21" s="272"/>
      <c r="AC21" s="272"/>
      <c r="AD21" s="272"/>
      <c r="AE21" s="272"/>
      <c r="AF21" s="271"/>
      <c r="AG21" s="272"/>
      <c r="AH21" s="272"/>
      <c r="AI21" s="272"/>
      <c r="AJ21" s="272"/>
      <c r="AK21" s="271"/>
      <c r="AL21" s="272"/>
      <c r="AM21" s="272"/>
      <c r="AN21" s="272"/>
      <c r="AO21" s="272"/>
      <c r="AP21" s="273"/>
      <c r="AQ21" s="274"/>
      <c r="AR21" s="269"/>
      <c r="AS21" s="280"/>
      <c r="AT21" s="280"/>
      <c r="AU21" s="276"/>
      <c r="AV21" s="280"/>
      <c r="AW21" s="280"/>
      <c r="AX21" s="280"/>
      <c r="AY21" s="280"/>
      <c r="AZ21" s="276"/>
      <c r="BA21" s="280"/>
      <c r="BB21" s="280"/>
      <c r="BC21" s="280"/>
      <c r="BD21" s="280"/>
      <c r="BE21" s="276"/>
      <c r="BF21" s="191"/>
      <c r="BG21" s="191"/>
      <c r="BH21" s="191"/>
      <c r="BI21" s="191"/>
      <c r="BJ21" s="276"/>
      <c r="BK21" s="191"/>
      <c r="BL21" s="191"/>
      <c r="BM21" s="191"/>
      <c r="BN21" s="191"/>
      <c r="BO21" s="276"/>
      <c r="BP21" s="191"/>
      <c r="BQ21" s="191"/>
      <c r="BR21" s="191"/>
      <c r="BS21" s="191"/>
      <c r="BT21" s="276"/>
      <c r="BU21" s="191"/>
      <c r="BV21" s="191"/>
      <c r="BW21" s="191"/>
      <c r="BX21" s="191"/>
      <c r="BY21" s="276"/>
      <c r="BZ21" s="191"/>
      <c r="CA21" s="191"/>
      <c r="CB21" s="191"/>
      <c r="CC21" s="191"/>
      <c r="CD21" s="276"/>
      <c r="CE21" s="12"/>
    </row>
    <row r="22" spans="1:83" s="198" customFormat="1" hidden="1" outlineLevel="1">
      <c r="A22" s="12"/>
      <c r="B22" s="230" t="str">
        <f>Sales!B30</f>
        <v>Consumer</v>
      </c>
      <c r="C22" s="231">
        <f>Sales!C30</f>
        <v>0</v>
      </c>
      <c r="D22" s="231">
        <f>Sales!D30</f>
        <v>0</v>
      </c>
      <c r="E22" s="231">
        <f>Sales!E30</f>
        <v>0</v>
      </c>
      <c r="F22" s="231">
        <f>Sales!F30</f>
        <v>0</v>
      </c>
      <c r="G22" s="232">
        <f>Sales!G30</f>
        <v>0</v>
      </c>
      <c r="H22" s="231">
        <f>Sales!H30</f>
        <v>0</v>
      </c>
      <c r="I22" s="231">
        <f>Sales!I30</f>
        <v>0</v>
      </c>
      <c r="J22" s="231">
        <f>Sales!J30</f>
        <v>0</v>
      </c>
      <c r="K22" s="231">
        <f>Sales!K30</f>
        <v>0</v>
      </c>
      <c r="L22" s="232">
        <f>Sales!L30</f>
        <v>0</v>
      </c>
      <c r="M22" s="231">
        <f>Sales!M30</f>
        <v>0</v>
      </c>
      <c r="N22" s="231">
        <f>Sales!N30</f>
        <v>0</v>
      </c>
      <c r="O22" s="231">
        <f>Sales!O30</f>
        <v>0</v>
      </c>
      <c r="P22" s="231">
        <f>Sales!P30</f>
        <v>0</v>
      </c>
      <c r="Q22" s="232">
        <f>Sales!Q30</f>
        <v>0</v>
      </c>
      <c r="R22" s="231">
        <f>Sales!R30</f>
        <v>0</v>
      </c>
      <c r="S22" s="231">
        <f>Sales!S30</f>
        <v>0</v>
      </c>
      <c r="T22" s="231">
        <f>Sales!T30</f>
        <v>0</v>
      </c>
      <c r="U22" s="231">
        <f>Sales!U30</f>
        <v>0</v>
      </c>
      <c r="V22" s="233">
        <f>Sales!V30</f>
        <v>0</v>
      </c>
      <c r="W22" s="234">
        <f>Sales!W30</f>
        <v>0</v>
      </c>
      <c r="X22" s="234">
        <f>Sales!X30</f>
        <v>0</v>
      </c>
      <c r="Y22" s="234">
        <f>Sales!Y30</f>
        <v>0</v>
      </c>
      <c r="Z22" s="234">
        <f>Sales!Z30</f>
        <v>0</v>
      </c>
      <c r="AA22" s="233">
        <f>Sales!AA30</f>
        <v>0</v>
      </c>
      <c r="AB22" s="234">
        <f>Sales!AB30</f>
        <v>0</v>
      </c>
      <c r="AC22" s="234">
        <f>Sales!AC30</f>
        <v>0</v>
      </c>
      <c r="AD22" s="234">
        <f>Sales!AD30</f>
        <v>0</v>
      </c>
      <c r="AE22" s="234">
        <f>Sales!AE30</f>
        <v>0</v>
      </c>
      <c r="AF22" s="233">
        <f>Sales!AF30</f>
        <v>0</v>
      </c>
      <c r="AG22" s="234">
        <f>Sales!AG30</f>
        <v>0</v>
      </c>
      <c r="AH22" s="234">
        <f>Sales!AH30</f>
        <v>0</v>
      </c>
      <c r="AI22" s="234">
        <f>Sales!AI30</f>
        <v>0</v>
      </c>
      <c r="AJ22" s="234">
        <f>Sales!AJ30</f>
        <v>0</v>
      </c>
      <c r="AK22" s="233">
        <f>Sales!AK30</f>
        <v>0</v>
      </c>
      <c r="AL22" s="234">
        <f>Sales!AL30</f>
        <v>0</v>
      </c>
      <c r="AM22" s="234">
        <f>Sales!AM30</f>
        <v>0</v>
      </c>
      <c r="AN22" s="234">
        <f>Sales!AN30</f>
        <v>0</v>
      </c>
      <c r="AO22" s="234">
        <f>Sales!AO30</f>
        <v>0</v>
      </c>
      <c r="AP22" s="233">
        <f>Sales!AP30</f>
        <v>0</v>
      </c>
      <c r="AQ22" s="283">
        <f>Sales!AQ30</f>
        <v>0</v>
      </c>
      <c r="AR22" s="231">
        <f>Sales!AR30</f>
        <v>0</v>
      </c>
      <c r="AS22" s="236">
        <f>Sales!AS30</f>
        <v>0</v>
      </c>
      <c r="AT22" s="236">
        <f>Sales!AT30</f>
        <v>0</v>
      </c>
      <c r="AU22" s="235">
        <f>Sales!AU30</f>
        <v>0</v>
      </c>
      <c r="AV22" s="236">
        <f>Sales!AV30</f>
        <v>0</v>
      </c>
      <c r="AW22" s="236">
        <f>Sales!AW30</f>
        <v>0</v>
      </c>
      <c r="AX22" s="236">
        <f>Sales!AX30</f>
        <v>0</v>
      </c>
      <c r="AY22" s="236">
        <f>Sales!AY30</f>
        <v>0</v>
      </c>
      <c r="AZ22" s="235">
        <f>Sales!AZ30</f>
        <v>0</v>
      </c>
      <c r="BA22" s="236">
        <f>Sales!BA30</f>
        <v>0</v>
      </c>
      <c r="BB22" s="236">
        <f>Sales!BB30</f>
        <v>0</v>
      </c>
      <c r="BC22" s="236">
        <f>Sales!BC30</f>
        <v>0</v>
      </c>
      <c r="BD22" s="236">
        <f>Sales!BD30</f>
        <v>0</v>
      </c>
      <c r="BE22" s="235">
        <f>Sales!BE30</f>
        <v>0</v>
      </c>
      <c r="BF22" s="237">
        <f>Sales!BF30</f>
        <v>0</v>
      </c>
      <c r="BG22" s="237">
        <f>Sales!BG30</f>
        <v>0</v>
      </c>
      <c r="BH22" s="237">
        <f>Sales!BH30</f>
        <v>0</v>
      </c>
      <c r="BI22" s="237">
        <f>Sales!BI30</f>
        <v>0</v>
      </c>
      <c r="BJ22" s="235">
        <f>Sales!BJ30</f>
        <v>0</v>
      </c>
      <c r="BK22" s="237">
        <f>Sales!BK30</f>
        <v>0</v>
      </c>
      <c r="BL22" s="237">
        <f>Sales!BL30</f>
        <v>0</v>
      </c>
      <c r="BM22" s="237">
        <f>Sales!BM30</f>
        <v>0</v>
      </c>
      <c r="BN22" s="237">
        <f>Sales!BN30</f>
        <v>0</v>
      </c>
      <c r="BO22" s="235">
        <f>Sales!BO30</f>
        <v>0</v>
      </c>
      <c r="BP22" s="237">
        <f>Sales!BP30</f>
        <v>0</v>
      </c>
      <c r="BQ22" s="237">
        <f>Sales!BQ30</f>
        <v>0</v>
      </c>
      <c r="BR22" s="237">
        <f>Sales!BR30</f>
        <v>0</v>
      </c>
      <c r="BS22" s="237">
        <f>Sales!BS30</f>
        <v>0</v>
      </c>
      <c r="BT22" s="235">
        <f>Sales!BT30</f>
        <v>0</v>
      </c>
      <c r="BU22" s="237">
        <f>Sales!BU30</f>
        <v>0</v>
      </c>
      <c r="BV22" s="237">
        <f>Sales!BV30</f>
        <v>0</v>
      </c>
      <c r="BW22" s="237">
        <f>Sales!BW30</f>
        <v>0</v>
      </c>
      <c r="BX22" s="237">
        <f>Sales!BX30</f>
        <v>0</v>
      </c>
      <c r="BY22" s="235">
        <f>Sales!BY30</f>
        <v>0</v>
      </c>
      <c r="BZ22" s="237">
        <f>Sales!BZ30</f>
        <v>0</v>
      </c>
      <c r="CA22" s="237">
        <f>Sales!CA30</f>
        <v>0</v>
      </c>
      <c r="CB22" s="237">
        <f>Sales!CB30</f>
        <v>0</v>
      </c>
      <c r="CC22" s="237">
        <f>Sales!CC30</f>
        <v>0</v>
      </c>
      <c r="CD22" s="235">
        <f>Sales!CD30</f>
        <v>0</v>
      </c>
      <c r="CE22" s="12"/>
    </row>
    <row r="23" spans="1:83" s="198" customFormat="1" hidden="1" outlineLevel="2">
      <c r="A23" s="12"/>
      <c r="B23" s="238" t="str">
        <f>Sales!B31</f>
        <v>Ocuvite</v>
      </c>
      <c r="C23" s="231">
        <f>Sales!C31</f>
        <v>0</v>
      </c>
      <c r="D23" s="231">
        <f>Sales!D31</f>
        <v>0</v>
      </c>
      <c r="E23" s="231">
        <f>Sales!E31</f>
        <v>0</v>
      </c>
      <c r="F23" s="231">
        <f>Sales!F31</f>
        <v>0</v>
      </c>
      <c r="G23" s="232">
        <f>Sales!G31</f>
        <v>0</v>
      </c>
      <c r="H23" s="231">
        <f>Sales!H31</f>
        <v>0</v>
      </c>
      <c r="I23" s="231">
        <f>Sales!I31</f>
        <v>0</v>
      </c>
      <c r="J23" s="231">
        <f>Sales!J31</f>
        <v>0</v>
      </c>
      <c r="K23" s="231">
        <f>Sales!K31</f>
        <v>0</v>
      </c>
      <c r="L23" s="232">
        <f>Sales!L31</f>
        <v>0</v>
      </c>
      <c r="M23" s="231">
        <f>Sales!M31</f>
        <v>0</v>
      </c>
      <c r="N23" s="231">
        <f>Sales!N31</f>
        <v>0</v>
      </c>
      <c r="O23" s="231">
        <f>Sales!O31</f>
        <v>0</v>
      </c>
      <c r="P23" s="231">
        <f>Sales!P31</f>
        <v>0</v>
      </c>
      <c r="Q23" s="232">
        <f>Sales!Q31</f>
        <v>0</v>
      </c>
      <c r="R23" s="231">
        <f>Sales!R31</f>
        <v>0</v>
      </c>
      <c r="S23" s="231">
        <f>Sales!S31</f>
        <v>0</v>
      </c>
      <c r="T23" s="231">
        <f>Sales!T31</f>
        <v>0</v>
      </c>
      <c r="U23" s="231">
        <f>Sales!U31</f>
        <v>0</v>
      </c>
      <c r="V23" s="233">
        <f>Sales!V31</f>
        <v>0</v>
      </c>
      <c r="W23" s="234">
        <f>Sales!W31</f>
        <v>0</v>
      </c>
      <c r="X23" s="234">
        <f>Sales!X31</f>
        <v>0</v>
      </c>
      <c r="Y23" s="234">
        <f>Sales!Y31</f>
        <v>0</v>
      </c>
      <c r="Z23" s="234">
        <f>Sales!Z31</f>
        <v>0</v>
      </c>
      <c r="AA23" s="233">
        <f>Sales!AA31</f>
        <v>0</v>
      </c>
      <c r="AB23" s="234">
        <f>Sales!AB31</f>
        <v>0</v>
      </c>
      <c r="AC23" s="234">
        <f>Sales!AC31</f>
        <v>0</v>
      </c>
      <c r="AD23" s="234">
        <f>Sales!AD31</f>
        <v>0</v>
      </c>
      <c r="AE23" s="234">
        <f>Sales!AE31</f>
        <v>0</v>
      </c>
      <c r="AF23" s="233">
        <f>Sales!AF31</f>
        <v>0</v>
      </c>
      <c r="AG23" s="234">
        <f>Sales!AG31</f>
        <v>0</v>
      </c>
      <c r="AH23" s="234">
        <f>Sales!AH31</f>
        <v>0</v>
      </c>
      <c r="AI23" s="234">
        <f>Sales!AI31</f>
        <v>0</v>
      </c>
      <c r="AJ23" s="234">
        <f>Sales!AJ31</f>
        <v>0</v>
      </c>
      <c r="AK23" s="233">
        <f>Sales!AK31</f>
        <v>0</v>
      </c>
      <c r="AL23" s="234">
        <f>Sales!AL31</f>
        <v>0</v>
      </c>
      <c r="AM23" s="234">
        <f>Sales!AM31</f>
        <v>0</v>
      </c>
      <c r="AN23" s="234">
        <f>Sales!AN31</f>
        <v>0</v>
      </c>
      <c r="AO23" s="234">
        <f>Sales!AO31</f>
        <v>0</v>
      </c>
      <c r="AP23" s="233">
        <f>Sales!AP31</f>
        <v>0</v>
      </c>
      <c r="AQ23" s="283">
        <f>Sales!AQ31</f>
        <v>0</v>
      </c>
      <c r="AR23" s="231">
        <f>Sales!AR31</f>
        <v>0</v>
      </c>
      <c r="AS23" s="236">
        <f>Sales!AS31</f>
        <v>0</v>
      </c>
      <c r="AT23" s="236">
        <f>Sales!AT31</f>
        <v>0</v>
      </c>
      <c r="AU23" s="235">
        <f>Sales!AU31</f>
        <v>0</v>
      </c>
      <c r="AV23" s="236">
        <f>Sales!AV31</f>
        <v>60</v>
      </c>
      <c r="AW23" s="236">
        <f>Sales!AW31</f>
        <v>66</v>
      </c>
      <c r="AX23" s="236">
        <f>Sales!AX31</f>
        <v>62</v>
      </c>
      <c r="AY23" s="236">
        <f>Sales!AY31</f>
        <v>62</v>
      </c>
      <c r="AZ23" s="235">
        <f>Sales!AZ31</f>
        <v>250</v>
      </c>
      <c r="BA23" s="236">
        <f>Sales!BA31</f>
        <v>60</v>
      </c>
      <c r="BB23" s="236">
        <f>Sales!BB31</f>
        <v>59</v>
      </c>
      <c r="BC23" s="240">
        <f>Sales!BC31</f>
        <v>57</v>
      </c>
      <c r="BD23" s="240">
        <f>Sales!BD31</f>
        <v>61</v>
      </c>
      <c r="BE23" s="235">
        <f>Sales!BE31</f>
        <v>237</v>
      </c>
      <c r="BF23" s="237">
        <f>Sales!BF31</f>
        <v>57</v>
      </c>
      <c r="BG23" s="237">
        <f>Sales!BG31</f>
        <v>57</v>
      </c>
      <c r="BH23" s="237">
        <f>Sales!BH31</f>
        <v>57</v>
      </c>
      <c r="BI23" s="237">
        <f>Sales!BI31</f>
        <v>57</v>
      </c>
      <c r="BJ23" s="235">
        <f>Sales!BJ31</f>
        <v>228</v>
      </c>
      <c r="BK23" s="241">
        <f>Sales!BK31</f>
        <v>0</v>
      </c>
      <c r="BL23" s="241">
        <f>Sales!BL31</f>
        <v>0</v>
      </c>
      <c r="BM23" s="241">
        <f>Sales!BM31</f>
        <v>0</v>
      </c>
      <c r="BN23" s="241">
        <f>Sales!BN31</f>
        <v>0</v>
      </c>
      <c r="BO23" s="235">
        <f>Sales!BO31</f>
        <v>218.88</v>
      </c>
      <c r="BP23" s="241">
        <f>Sales!BP31</f>
        <v>0</v>
      </c>
      <c r="BQ23" s="241">
        <f>Sales!BQ31</f>
        <v>0</v>
      </c>
      <c r="BR23" s="241">
        <f>Sales!BR31</f>
        <v>0</v>
      </c>
      <c r="BS23" s="241">
        <f>Sales!BS31</f>
        <v>0</v>
      </c>
      <c r="BT23" s="235">
        <f>Sales!BT31</f>
        <v>210.12479999999999</v>
      </c>
      <c r="BU23" s="241">
        <f>Sales!BU31</f>
        <v>0</v>
      </c>
      <c r="BV23" s="241">
        <f>Sales!BV31</f>
        <v>0</v>
      </c>
      <c r="BW23" s="241">
        <f>Sales!BW31</f>
        <v>0</v>
      </c>
      <c r="BX23" s="241">
        <f>Sales!BX31</f>
        <v>0</v>
      </c>
      <c r="BY23" s="235">
        <f>Sales!BY31</f>
        <v>201.71980799999997</v>
      </c>
      <c r="BZ23" s="241">
        <f>Sales!BZ31</f>
        <v>0</v>
      </c>
      <c r="CA23" s="241">
        <f>Sales!CA31</f>
        <v>0</v>
      </c>
      <c r="CB23" s="241">
        <f>Sales!CB31</f>
        <v>0</v>
      </c>
      <c r="CC23" s="241">
        <f>Sales!CC31</f>
        <v>0</v>
      </c>
      <c r="CD23" s="235">
        <f>Sales!CD31</f>
        <v>193.65101567999997</v>
      </c>
      <c r="CE23" s="12"/>
    </row>
    <row r="24" spans="1:83" s="198" customFormat="1" hidden="1" outlineLevel="2">
      <c r="A24" s="12"/>
      <c r="B24" s="238" t="str">
        <f>Sales!B33</f>
        <v>Renu Multiplus</v>
      </c>
      <c r="C24" s="231">
        <f>Sales!C33</f>
        <v>0</v>
      </c>
      <c r="D24" s="231">
        <f>Sales!D33</f>
        <v>0</v>
      </c>
      <c r="E24" s="231">
        <f>Sales!E33</f>
        <v>0</v>
      </c>
      <c r="F24" s="231">
        <f>Sales!F33</f>
        <v>0</v>
      </c>
      <c r="G24" s="232">
        <f>Sales!G33</f>
        <v>0</v>
      </c>
      <c r="H24" s="231">
        <f>Sales!H33</f>
        <v>0</v>
      </c>
      <c r="I24" s="231">
        <f>Sales!I33</f>
        <v>0</v>
      </c>
      <c r="J24" s="231">
        <f>Sales!J33</f>
        <v>0</v>
      </c>
      <c r="K24" s="231">
        <f>Sales!K33</f>
        <v>0</v>
      </c>
      <c r="L24" s="232">
        <f>Sales!L33</f>
        <v>0</v>
      </c>
      <c r="M24" s="231">
        <f>Sales!M33</f>
        <v>0</v>
      </c>
      <c r="N24" s="231">
        <f>Sales!N33</f>
        <v>0</v>
      </c>
      <c r="O24" s="231">
        <f>Sales!O33</f>
        <v>0</v>
      </c>
      <c r="P24" s="231">
        <f>Sales!P33</f>
        <v>0</v>
      </c>
      <c r="Q24" s="232">
        <f>Sales!Q33</f>
        <v>0</v>
      </c>
      <c r="R24" s="231">
        <f>Sales!R33</f>
        <v>0</v>
      </c>
      <c r="S24" s="231">
        <f>Sales!S33</f>
        <v>0</v>
      </c>
      <c r="T24" s="231">
        <f>Sales!T33</f>
        <v>0</v>
      </c>
      <c r="U24" s="231">
        <f>Sales!U33</f>
        <v>0</v>
      </c>
      <c r="V24" s="233">
        <f>Sales!V33</f>
        <v>0</v>
      </c>
      <c r="W24" s="234">
        <f>Sales!W33</f>
        <v>0</v>
      </c>
      <c r="X24" s="234">
        <f>Sales!X33</f>
        <v>0</v>
      </c>
      <c r="Y24" s="234">
        <f>Sales!Y33</f>
        <v>0</v>
      </c>
      <c r="Z24" s="234">
        <f>Sales!Z33</f>
        <v>0</v>
      </c>
      <c r="AA24" s="233">
        <f>Sales!AA33</f>
        <v>0</v>
      </c>
      <c r="AB24" s="234">
        <f>Sales!AB33</f>
        <v>0</v>
      </c>
      <c r="AC24" s="234">
        <f>Sales!AC33</f>
        <v>0</v>
      </c>
      <c r="AD24" s="234">
        <f>Sales!AD33</f>
        <v>0</v>
      </c>
      <c r="AE24" s="234">
        <f>Sales!AE33</f>
        <v>0</v>
      </c>
      <c r="AF24" s="233">
        <f>Sales!AF33</f>
        <v>0</v>
      </c>
      <c r="AG24" s="234">
        <f>Sales!AG33</f>
        <v>0</v>
      </c>
      <c r="AH24" s="234">
        <f>Sales!AH33</f>
        <v>0</v>
      </c>
      <c r="AI24" s="234">
        <f>Sales!AI33</f>
        <v>0</v>
      </c>
      <c r="AJ24" s="234">
        <f>Sales!AJ33</f>
        <v>0</v>
      </c>
      <c r="AK24" s="233">
        <f>Sales!AK33</f>
        <v>0</v>
      </c>
      <c r="AL24" s="234">
        <f>Sales!AL33</f>
        <v>0</v>
      </c>
      <c r="AM24" s="234">
        <f>Sales!AM33</f>
        <v>0</v>
      </c>
      <c r="AN24" s="234">
        <f>Sales!AN33</f>
        <v>0</v>
      </c>
      <c r="AO24" s="234">
        <f>Sales!AO33</f>
        <v>0</v>
      </c>
      <c r="AP24" s="233">
        <f>Sales!AP33</f>
        <v>0</v>
      </c>
      <c r="AQ24" s="283">
        <f>Sales!AQ33</f>
        <v>0</v>
      </c>
      <c r="AR24" s="231">
        <f>Sales!AR33</f>
        <v>0</v>
      </c>
      <c r="AS24" s="236">
        <f>Sales!AS33</f>
        <v>0</v>
      </c>
      <c r="AT24" s="236">
        <f>Sales!AT33</f>
        <v>0</v>
      </c>
      <c r="AU24" s="235">
        <f>Sales!AU33</f>
        <v>0</v>
      </c>
      <c r="AV24" s="236">
        <f>Sales!AV33</f>
        <v>55</v>
      </c>
      <c r="AW24" s="236">
        <f>Sales!AW33</f>
        <v>49</v>
      </c>
      <c r="AX24" s="236">
        <f>Sales!AX33</f>
        <v>41</v>
      </c>
      <c r="AY24" s="236">
        <f>Sales!AY33</f>
        <v>46</v>
      </c>
      <c r="AZ24" s="235">
        <f>Sales!AZ33</f>
        <v>191</v>
      </c>
      <c r="BA24" s="236">
        <f>Sales!BA33</f>
        <v>42</v>
      </c>
      <c r="BB24" s="236">
        <f>Sales!BB33</f>
        <v>46</v>
      </c>
      <c r="BC24" s="240">
        <f>Sales!BC33</f>
        <v>54</v>
      </c>
      <c r="BD24" s="240">
        <f>Sales!BD33</f>
        <v>54</v>
      </c>
      <c r="BE24" s="235">
        <f>Sales!BE33</f>
        <v>196</v>
      </c>
      <c r="BF24" s="237">
        <f>Sales!BF33</f>
        <v>45</v>
      </c>
      <c r="BG24" s="237">
        <f>Sales!BG33</f>
        <v>50</v>
      </c>
      <c r="BH24" s="237">
        <f>Sales!BH33</f>
        <v>55</v>
      </c>
      <c r="BI24" s="237">
        <f>Sales!BI33</f>
        <v>55</v>
      </c>
      <c r="BJ24" s="235">
        <f>Sales!BJ33</f>
        <v>205</v>
      </c>
      <c r="BK24" s="241">
        <f>Sales!BK33</f>
        <v>0</v>
      </c>
      <c r="BL24" s="241">
        <f>Sales!BL33</f>
        <v>0</v>
      </c>
      <c r="BM24" s="241">
        <f>Sales!BM33</f>
        <v>0</v>
      </c>
      <c r="BN24" s="241">
        <f>Sales!BN33</f>
        <v>0</v>
      </c>
      <c r="BO24" s="235">
        <f>Sales!BO33</f>
        <v>211.15</v>
      </c>
      <c r="BP24" s="241">
        <f>Sales!BP33</f>
        <v>0</v>
      </c>
      <c r="BQ24" s="241">
        <f>Sales!BQ33</f>
        <v>0</v>
      </c>
      <c r="BR24" s="241">
        <f>Sales!BR33</f>
        <v>0</v>
      </c>
      <c r="BS24" s="241">
        <f>Sales!BS33</f>
        <v>0</v>
      </c>
      <c r="BT24" s="235">
        <f>Sales!BT33</f>
        <v>211.15</v>
      </c>
      <c r="BU24" s="241">
        <f>Sales!BU33</f>
        <v>0</v>
      </c>
      <c r="BV24" s="241">
        <f>Sales!BV33</f>
        <v>0</v>
      </c>
      <c r="BW24" s="241">
        <f>Sales!BW33</f>
        <v>0</v>
      </c>
      <c r="BX24" s="241">
        <f>Sales!BX33</f>
        <v>0</v>
      </c>
      <c r="BY24" s="235">
        <f>Sales!BY33</f>
        <v>211.15</v>
      </c>
      <c r="BZ24" s="241">
        <f>Sales!BZ33</f>
        <v>0</v>
      </c>
      <c r="CA24" s="241">
        <f>Sales!CA33</f>
        <v>0</v>
      </c>
      <c r="CB24" s="241">
        <f>Sales!CB33</f>
        <v>0</v>
      </c>
      <c r="CC24" s="241">
        <f>Sales!CC33</f>
        <v>0</v>
      </c>
      <c r="CD24" s="235">
        <f>Sales!CD33</f>
        <v>211.15</v>
      </c>
      <c r="CE24" s="12"/>
    </row>
    <row r="25" spans="1:83" s="198" customFormat="1" hidden="1" outlineLevel="2">
      <c r="A25" s="12"/>
      <c r="B25" s="238" t="str">
        <f>Sales!B35</f>
        <v>CeraVe</v>
      </c>
      <c r="C25" s="231">
        <f>Sales!C35</f>
        <v>0</v>
      </c>
      <c r="D25" s="231">
        <f>Sales!D35</f>
        <v>0</v>
      </c>
      <c r="E25" s="231">
        <f>Sales!E35</f>
        <v>0</v>
      </c>
      <c r="F25" s="231">
        <f>Sales!F35</f>
        <v>0</v>
      </c>
      <c r="G25" s="232">
        <f>Sales!G35</f>
        <v>0</v>
      </c>
      <c r="H25" s="231">
        <f>Sales!H35</f>
        <v>0</v>
      </c>
      <c r="I25" s="231">
        <f>Sales!I35</f>
        <v>0</v>
      </c>
      <c r="J25" s="231">
        <f>Sales!J35</f>
        <v>0</v>
      </c>
      <c r="K25" s="231">
        <f>Sales!K35</f>
        <v>0</v>
      </c>
      <c r="L25" s="232">
        <f>Sales!L35</f>
        <v>0</v>
      </c>
      <c r="M25" s="231">
        <f>Sales!M35</f>
        <v>0</v>
      </c>
      <c r="N25" s="231">
        <f>Sales!N35</f>
        <v>0</v>
      </c>
      <c r="O25" s="231">
        <f>Sales!O35</f>
        <v>0</v>
      </c>
      <c r="P25" s="231">
        <f>Sales!P35</f>
        <v>0</v>
      </c>
      <c r="Q25" s="232">
        <f>Sales!Q35</f>
        <v>0</v>
      </c>
      <c r="R25" s="231">
        <f>Sales!R35</f>
        <v>0</v>
      </c>
      <c r="S25" s="231">
        <f>Sales!S35</f>
        <v>0</v>
      </c>
      <c r="T25" s="231">
        <f>Sales!T35</f>
        <v>0</v>
      </c>
      <c r="U25" s="231">
        <f>Sales!U35</f>
        <v>0</v>
      </c>
      <c r="V25" s="233">
        <f>Sales!V35</f>
        <v>0</v>
      </c>
      <c r="W25" s="234">
        <f>Sales!W35</f>
        <v>0</v>
      </c>
      <c r="X25" s="234">
        <f>Sales!X35</f>
        <v>0</v>
      </c>
      <c r="Y25" s="234">
        <f>Sales!Y35</f>
        <v>0</v>
      </c>
      <c r="Z25" s="234">
        <f>Sales!Z35</f>
        <v>0</v>
      </c>
      <c r="AA25" s="233">
        <f>Sales!AA35</f>
        <v>0</v>
      </c>
      <c r="AB25" s="234">
        <f>Sales!AB35</f>
        <v>0</v>
      </c>
      <c r="AC25" s="234">
        <f>Sales!AC35</f>
        <v>0</v>
      </c>
      <c r="AD25" s="234">
        <f>Sales!AD35</f>
        <v>0</v>
      </c>
      <c r="AE25" s="234">
        <f>Sales!AE35</f>
        <v>0</v>
      </c>
      <c r="AF25" s="233">
        <f>Sales!AF35</f>
        <v>0</v>
      </c>
      <c r="AG25" s="234">
        <f>Sales!AG35</f>
        <v>0</v>
      </c>
      <c r="AH25" s="234">
        <f>Sales!AH35</f>
        <v>0</v>
      </c>
      <c r="AI25" s="234">
        <f>Sales!AI35</f>
        <v>0</v>
      </c>
      <c r="AJ25" s="234">
        <f>Sales!AJ35</f>
        <v>0</v>
      </c>
      <c r="AK25" s="233">
        <f>Sales!AK35</f>
        <v>0</v>
      </c>
      <c r="AL25" s="234">
        <f>Sales!AL35</f>
        <v>0</v>
      </c>
      <c r="AM25" s="234">
        <f>Sales!AM35</f>
        <v>0</v>
      </c>
      <c r="AN25" s="234">
        <f>Sales!AN35</f>
        <v>0</v>
      </c>
      <c r="AO25" s="234">
        <f>Sales!AO35</f>
        <v>0</v>
      </c>
      <c r="AP25" s="233">
        <f>Sales!AP35</f>
        <v>0</v>
      </c>
      <c r="AQ25" s="283">
        <f>Sales!AQ35</f>
        <v>0</v>
      </c>
      <c r="AR25" s="231">
        <f>Sales!AR35</f>
        <v>0</v>
      </c>
      <c r="AS25" s="236">
        <f>Sales!AS35</f>
        <v>0</v>
      </c>
      <c r="AT25" s="236">
        <f>Sales!AT35</f>
        <v>0</v>
      </c>
      <c r="AU25" s="235">
        <f>Sales!AU35</f>
        <v>0</v>
      </c>
      <c r="AV25" s="236">
        <f>Sales!AV35</f>
        <v>22</v>
      </c>
      <c r="AW25" s="236">
        <f>Sales!AW35</f>
        <v>26</v>
      </c>
      <c r="AX25" s="236">
        <f>Sales!AX35</f>
        <v>20</v>
      </c>
      <c r="AY25" s="236">
        <f>Sales!AY35</f>
        <v>27</v>
      </c>
      <c r="AZ25" s="235">
        <f>Sales!AZ35</f>
        <v>95</v>
      </c>
      <c r="BA25" s="236">
        <f>Sales!BA35</f>
        <v>30</v>
      </c>
      <c r="BB25" s="236">
        <f>Sales!BB35</f>
        <v>30</v>
      </c>
      <c r="BC25" s="240">
        <f>Sales!BC35</f>
        <v>26</v>
      </c>
      <c r="BD25" s="240">
        <f>Sales!BD35</f>
        <v>39</v>
      </c>
      <c r="BE25" s="235">
        <f>Sales!BE35</f>
        <v>125</v>
      </c>
      <c r="BF25" s="237">
        <f>Sales!BF35</f>
        <v>34</v>
      </c>
      <c r="BG25" s="237">
        <f>Sales!BG35</f>
        <v>34</v>
      </c>
      <c r="BH25" s="237">
        <f>Sales!BH35</f>
        <v>30</v>
      </c>
      <c r="BI25" s="237">
        <f>Sales!BI35</f>
        <v>40</v>
      </c>
      <c r="BJ25" s="235">
        <f>Sales!BJ35</f>
        <v>138</v>
      </c>
      <c r="BK25" s="241">
        <f>Sales!BK35</f>
        <v>0</v>
      </c>
      <c r="BL25" s="241">
        <f>Sales!BL35</f>
        <v>0</v>
      </c>
      <c r="BM25" s="241">
        <f>Sales!BM35</f>
        <v>0</v>
      </c>
      <c r="BN25" s="241">
        <f>Sales!BN35</f>
        <v>0</v>
      </c>
      <c r="BO25" s="235">
        <f>Sales!BO35</f>
        <v>146.28</v>
      </c>
      <c r="BP25" s="241">
        <f>Sales!BP35</f>
        <v>0</v>
      </c>
      <c r="BQ25" s="241">
        <f>Sales!BQ35</f>
        <v>0</v>
      </c>
      <c r="BR25" s="241">
        <f>Sales!BR35</f>
        <v>0</v>
      </c>
      <c r="BS25" s="241">
        <f>Sales!BS35</f>
        <v>0</v>
      </c>
      <c r="BT25" s="235">
        <f>Sales!BT35</f>
        <v>153.59399999999999</v>
      </c>
      <c r="BU25" s="241">
        <f>Sales!BU35</f>
        <v>0</v>
      </c>
      <c r="BV25" s="241">
        <f>Sales!BV35</f>
        <v>0</v>
      </c>
      <c r="BW25" s="241">
        <f>Sales!BW35</f>
        <v>0</v>
      </c>
      <c r="BX25" s="241">
        <f>Sales!BX35</f>
        <v>0</v>
      </c>
      <c r="BY25" s="235">
        <f>Sales!BY35</f>
        <v>159.73776000000001</v>
      </c>
      <c r="BZ25" s="241">
        <f>Sales!BZ35</f>
        <v>0</v>
      </c>
      <c r="CA25" s="241">
        <f>Sales!CA35</f>
        <v>0</v>
      </c>
      <c r="CB25" s="241">
        <f>Sales!CB35</f>
        <v>0</v>
      </c>
      <c r="CC25" s="241">
        <f>Sales!CC35</f>
        <v>0</v>
      </c>
      <c r="CD25" s="235">
        <f>Sales!CD35</f>
        <v>164.5298928</v>
      </c>
      <c r="CE25" s="12"/>
    </row>
    <row r="26" spans="1:83" s="198" customFormat="1" hidden="1" outlineLevel="2">
      <c r="A26" s="12"/>
      <c r="B26" s="238" t="str">
        <f>Sales!B37</f>
        <v>BioTrue Solution</v>
      </c>
      <c r="C26" s="231">
        <f>Sales!C37</f>
        <v>0</v>
      </c>
      <c r="D26" s="231">
        <f>Sales!D37</f>
        <v>0</v>
      </c>
      <c r="E26" s="231">
        <f>Sales!E37</f>
        <v>0</v>
      </c>
      <c r="F26" s="231">
        <f>Sales!F37</f>
        <v>0</v>
      </c>
      <c r="G26" s="232">
        <f>Sales!G37</f>
        <v>0</v>
      </c>
      <c r="H26" s="231">
        <f>Sales!H37</f>
        <v>0</v>
      </c>
      <c r="I26" s="231">
        <f>Sales!I37</f>
        <v>0</v>
      </c>
      <c r="J26" s="231">
        <f>Sales!J37</f>
        <v>0</v>
      </c>
      <c r="K26" s="231">
        <f>Sales!K37</f>
        <v>0</v>
      </c>
      <c r="L26" s="232">
        <f>Sales!L37</f>
        <v>0</v>
      </c>
      <c r="M26" s="231">
        <f>Sales!M37</f>
        <v>0</v>
      </c>
      <c r="N26" s="231">
        <f>Sales!N37</f>
        <v>0</v>
      </c>
      <c r="O26" s="231">
        <f>Sales!O37</f>
        <v>0</v>
      </c>
      <c r="P26" s="231">
        <f>Sales!P37</f>
        <v>0</v>
      </c>
      <c r="Q26" s="232">
        <f>Sales!Q37</f>
        <v>0</v>
      </c>
      <c r="R26" s="231">
        <f>Sales!R37</f>
        <v>0</v>
      </c>
      <c r="S26" s="231">
        <f>Sales!S37</f>
        <v>0</v>
      </c>
      <c r="T26" s="231">
        <f>Sales!T37</f>
        <v>0</v>
      </c>
      <c r="U26" s="231">
        <f>Sales!U37</f>
        <v>0</v>
      </c>
      <c r="V26" s="233">
        <f>Sales!V37</f>
        <v>0</v>
      </c>
      <c r="W26" s="234">
        <f>Sales!W37</f>
        <v>0</v>
      </c>
      <c r="X26" s="234">
        <f>Sales!X37</f>
        <v>0</v>
      </c>
      <c r="Y26" s="234">
        <f>Sales!Y37</f>
        <v>0</v>
      </c>
      <c r="Z26" s="234">
        <f>Sales!Z37</f>
        <v>0</v>
      </c>
      <c r="AA26" s="233">
        <f>Sales!AA37</f>
        <v>0</v>
      </c>
      <c r="AB26" s="234">
        <f>Sales!AB37</f>
        <v>0</v>
      </c>
      <c r="AC26" s="234">
        <f>Sales!AC37</f>
        <v>0</v>
      </c>
      <c r="AD26" s="234">
        <f>Sales!AD37</f>
        <v>0</v>
      </c>
      <c r="AE26" s="234">
        <f>Sales!AE37</f>
        <v>0</v>
      </c>
      <c r="AF26" s="233">
        <f>Sales!AF37</f>
        <v>0</v>
      </c>
      <c r="AG26" s="234">
        <f>Sales!AG37</f>
        <v>0</v>
      </c>
      <c r="AH26" s="234">
        <f>Sales!AH37</f>
        <v>0</v>
      </c>
      <c r="AI26" s="234">
        <f>Sales!AI37</f>
        <v>0</v>
      </c>
      <c r="AJ26" s="234">
        <f>Sales!AJ37</f>
        <v>0</v>
      </c>
      <c r="AK26" s="233">
        <f>Sales!AK37</f>
        <v>0</v>
      </c>
      <c r="AL26" s="234">
        <f>Sales!AL37</f>
        <v>0</v>
      </c>
      <c r="AM26" s="234">
        <f>Sales!AM37</f>
        <v>0</v>
      </c>
      <c r="AN26" s="234">
        <f>Sales!AN37</f>
        <v>0</v>
      </c>
      <c r="AO26" s="234">
        <f>Sales!AO37</f>
        <v>0</v>
      </c>
      <c r="AP26" s="233">
        <f>Sales!AP37</f>
        <v>0</v>
      </c>
      <c r="AQ26" s="283">
        <f>Sales!AQ37</f>
        <v>0</v>
      </c>
      <c r="AR26" s="231">
        <f>Sales!AR37</f>
        <v>0</v>
      </c>
      <c r="AS26" s="236">
        <f>Sales!AS37</f>
        <v>0</v>
      </c>
      <c r="AT26" s="236">
        <f>Sales!AT37</f>
        <v>0</v>
      </c>
      <c r="AU26" s="235">
        <f>Sales!AU37</f>
        <v>0</v>
      </c>
      <c r="AV26" s="236">
        <f>Sales!AV37</f>
        <v>24</v>
      </c>
      <c r="AW26" s="236">
        <f>Sales!AW37</f>
        <v>27</v>
      </c>
      <c r="AX26" s="236">
        <f>Sales!AX37</f>
        <v>26</v>
      </c>
      <c r="AY26" s="236">
        <f>Sales!AY37</f>
        <v>25</v>
      </c>
      <c r="AZ26" s="235">
        <f>Sales!AZ37</f>
        <v>102</v>
      </c>
      <c r="BA26" s="236">
        <f>Sales!BA37</f>
        <v>28</v>
      </c>
      <c r="BB26" s="236">
        <f>Sales!BB37</f>
        <v>29</v>
      </c>
      <c r="BC26" s="240">
        <f>Sales!BC37</f>
        <v>31</v>
      </c>
      <c r="BD26" s="240">
        <f>Sales!BD37</f>
        <v>28</v>
      </c>
      <c r="BE26" s="235">
        <f>Sales!BE37</f>
        <v>116</v>
      </c>
      <c r="BF26" s="237">
        <f>Sales!BF37</f>
        <v>28</v>
      </c>
      <c r="BG26" s="237">
        <f>Sales!BG37</f>
        <v>32</v>
      </c>
      <c r="BH26" s="237">
        <f>Sales!BH37</f>
        <v>34</v>
      </c>
      <c r="BI26" s="237">
        <f>Sales!BI37</f>
        <v>33</v>
      </c>
      <c r="BJ26" s="235">
        <f>Sales!BJ37</f>
        <v>127</v>
      </c>
      <c r="BK26" s="241">
        <f>Sales!BK37</f>
        <v>0</v>
      </c>
      <c r="BL26" s="241">
        <f>Sales!BL37</f>
        <v>0</v>
      </c>
      <c r="BM26" s="241">
        <f>Sales!BM37</f>
        <v>0</v>
      </c>
      <c r="BN26" s="241">
        <f>Sales!BN37</f>
        <v>0</v>
      </c>
      <c r="BO26" s="235">
        <f>Sales!BO37</f>
        <v>137.16</v>
      </c>
      <c r="BP26" s="241">
        <f>Sales!BP37</f>
        <v>0</v>
      </c>
      <c r="BQ26" s="241">
        <f>Sales!BQ37</f>
        <v>0</v>
      </c>
      <c r="BR26" s="241">
        <f>Sales!BR37</f>
        <v>0</v>
      </c>
      <c r="BS26" s="241">
        <f>Sales!BS37</f>
        <v>0</v>
      </c>
      <c r="BT26" s="235">
        <f>Sales!BT37</f>
        <v>145.3896</v>
      </c>
      <c r="BU26" s="241">
        <f>Sales!BU37</f>
        <v>0</v>
      </c>
      <c r="BV26" s="241">
        <f>Sales!BV37</f>
        <v>0</v>
      </c>
      <c r="BW26" s="241">
        <f>Sales!BW37</f>
        <v>0</v>
      </c>
      <c r="BX26" s="241">
        <f>Sales!BX37</f>
        <v>0</v>
      </c>
      <c r="BY26" s="235">
        <f>Sales!BY37</f>
        <v>152.65908000000002</v>
      </c>
      <c r="BZ26" s="241">
        <f>Sales!BZ37</f>
        <v>0</v>
      </c>
      <c r="CA26" s="241">
        <f>Sales!CA37</f>
        <v>0</v>
      </c>
      <c r="CB26" s="241">
        <f>Sales!CB37</f>
        <v>0</v>
      </c>
      <c r="CC26" s="241">
        <f>Sales!CC37</f>
        <v>0</v>
      </c>
      <c r="CD26" s="235">
        <f>Sales!CD37</f>
        <v>158.76544320000002</v>
      </c>
      <c r="CE26" s="12"/>
    </row>
    <row r="27" spans="1:83" s="252" customFormat="1" hidden="1" outlineLevel="2">
      <c r="B27" s="238" t="str">
        <f>Sales!B39</f>
        <v>Luminesse (Eye-whitening)</v>
      </c>
      <c r="C27" s="253">
        <f>Sales!C39</f>
        <v>0</v>
      </c>
      <c r="D27" s="254">
        <f>Sales!D39</f>
        <v>0</v>
      </c>
      <c r="E27" s="254">
        <f>Sales!E39</f>
        <v>0</v>
      </c>
      <c r="F27" s="254">
        <f>Sales!F39</f>
        <v>0</v>
      </c>
      <c r="G27" s="255">
        <f>Sales!G39</f>
        <v>0</v>
      </c>
      <c r="H27" s="254">
        <f>Sales!H39</f>
        <v>0</v>
      </c>
      <c r="I27" s="254">
        <f>Sales!I39</f>
        <v>0</v>
      </c>
      <c r="J27" s="254">
        <f>Sales!J39</f>
        <v>0</v>
      </c>
      <c r="K27" s="254">
        <f>Sales!K39</f>
        <v>0</v>
      </c>
      <c r="L27" s="255">
        <f>Sales!L39</f>
        <v>0</v>
      </c>
      <c r="M27" s="254">
        <f>Sales!M39</f>
        <v>0</v>
      </c>
      <c r="N27" s="254">
        <f>Sales!N39</f>
        <v>0</v>
      </c>
      <c r="O27" s="254">
        <f>Sales!O39</f>
        <v>0</v>
      </c>
      <c r="P27" s="254">
        <f>Sales!P39</f>
        <v>0</v>
      </c>
      <c r="Q27" s="255">
        <f>Sales!Q39</f>
        <v>0</v>
      </c>
      <c r="R27" s="254">
        <f>Sales!R39</f>
        <v>0</v>
      </c>
      <c r="S27" s="254">
        <f>Sales!S39</f>
        <v>0</v>
      </c>
      <c r="T27" s="254">
        <f>Sales!T39</f>
        <v>0</v>
      </c>
      <c r="U27" s="254">
        <f>Sales!U39</f>
        <v>0</v>
      </c>
      <c r="V27" s="255">
        <f>Sales!V39</f>
        <v>0</v>
      </c>
      <c r="W27" s="256">
        <f>Sales!W39</f>
        <v>0</v>
      </c>
      <c r="X27" s="257">
        <f>Sales!X39</f>
        <v>0</v>
      </c>
      <c r="Y27" s="257">
        <f>Sales!Y39</f>
        <v>0</v>
      </c>
      <c r="Z27" s="257">
        <f>Sales!Z39</f>
        <v>0</v>
      </c>
      <c r="AA27" s="258">
        <f>Sales!AA39</f>
        <v>0</v>
      </c>
      <c r="AB27" s="256">
        <f>Sales!AB39</f>
        <v>0</v>
      </c>
      <c r="AC27" s="256">
        <f>Sales!AC39</f>
        <v>0</v>
      </c>
      <c r="AD27" s="256">
        <f>Sales!AD39</f>
        <v>0</v>
      </c>
      <c r="AE27" s="256">
        <f>Sales!AE39</f>
        <v>0</v>
      </c>
      <c r="AF27" s="258">
        <f>Sales!AF39</f>
        <v>0</v>
      </c>
      <c r="AG27" s="256">
        <f>Sales!AG39</f>
        <v>0</v>
      </c>
      <c r="AH27" s="256">
        <f>Sales!AH39</f>
        <v>0</v>
      </c>
      <c r="AI27" s="256">
        <f>Sales!AI39</f>
        <v>0</v>
      </c>
      <c r="AJ27" s="256">
        <f>Sales!AJ39</f>
        <v>0</v>
      </c>
      <c r="AK27" s="258">
        <f>Sales!AK39</f>
        <v>0</v>
      </c>
      <c r="AL27" s="257">
        <f>Sales!AL39</f>
        <v>0</v>
      </c>
      <c r="AM27" s="257">
        <f>Sales!AM39</f>
        <v>0</v>
      </c>
      <c r="AN27" s="257">
        <f>Sales!AN39</f>
        <v>0</v>
      </c>
      <c r="AO27" s="257">
        <f>Sales!AO39</f>
        <v>0</v>
      </c>
      <c r="AP27" s="258">
        <f>Sales!AP39</f>
        <v>0</v>
      </c>
      <c r="AQ27" s="290">
        <f>Sales!AQ39</f>
        <v>0</v>
      </c>
      <c r="AR27" s="257">
        <f>Sales!AR39</f>
        <v>0</v>
      </c>
      <c r="AS27" s="240">
        <f>Sales!AS39</f>
        <v>0</v>
      </c>
      <c r="AT27" s="240">
        <f>Sales!AT39</f>
        <v>0</v>
      </c>
      <c r="AU27" s="235">
        <f>Sales!AU39</f>
        <v>0</v>
      </c>
      <c r="AV27" s="240">
        <f>Sales!AV39</f>
        <v>0</v>
      </c>
      <c r="AW27" s="240">
        <f>Sales!AW39</f>
        <v>0</v>
      </c>
      <c r="AX27" s="240">
        <f>Sales!AX39</f>
        <v>0</v>
      </c>
      <c r="AY27" s="240">
        <f>Sales!AY39</f>
        <v>0</v>
      </c>
      <c r="AZ27" s="235">
        <f>Sales!AZ39</f>
        <v>0</v>
      </c>
      <c r="BA27" s="240">
        <f>Sales!BA39</f>
        <v>0</v>
      </c>
      <c r="BB27" s="240">
        <f>Sales!BB39</f>
        <v>0</v>
      </c>
      <c r="BC27" s="240">
        <f>Sales!BC39</f>
        <v>0</v>
      </c>
      <c r="BD27" s="240">
        <f>Sales!BD39</f>
        <v>0</v>
      </c>
      <c r="BE27" s="235">
        <f>Sales!BE39</f>
        <v>0</v>
      </c>
      <c r="BF27" s="241">
        <f>Sales!BF39</f>
        <v>0</v>
      </c>
      <c r="BG27" s="241">
        <f>Sales!BG39</f>
        <v>0</v>
      </c>
      <c r="BH27" s="241">
        <f>Sales!BH39</f>
        <v>5</v>
      </c>
      <c r="BI27" s="241">
        <f>Sales!BI39</f>
        <v>10</v>
      </c>
      <c r="BJ27" s="235">
        <f>Sales!BJ39</f>
        <v>15</v>
      </c>
      <c r="BK27" s="241">
        <f>Sales!BK39</f>
        <v>0</v>
      </c>
      <c r="BL27" s="241">
        <f>Sales!BL39</f>
        <v>0</v>
      </c>
      <c r="BM27" s="241">
        <f>Sales!BM39</f>
        <v>0</v>
      </c>
      <c r="BN27" s="241">
        <f>Sales!BN39</f>
        <v>0</v>
      </c>
      <c r="BO27" s="235">
        <f>Sales!BO39</f>
        <v>50</v>
      </c>
      <c r="BP27" s="241">
        <f>Sales!BP39</f>
        <v>0</v>
      </c>
      <c r="BQ27" s="241">
        <f>Sales!BQ39</f>
        <v>0</v>
      </c>
      <c r="BR27" s="241">
        <f>Sales!BR39</f>
        <v>0</v>
      </c>
      <c r="BS27" s="241">
        <f>Sales!BS39</f>
        <v>0</v>
      </c>
      <c r="BT27" s="235">
        <f>Sales!BT39</f>
        <v>75</v>
      </c>
      <c r="BU27" s="241">
        <f>Sales!BU39</f>
        <v>0</v>
      </c>
      <c r="BV27" s="241">
        <f>Sales!BV39</f>
        <v>0</v>
      </c>
      <c r="BW27" s="241">
        <f>Sales!BW39</f>
        <v>0</v>
      </c>
      <c r="BX27" s="241">
        <f>Sales!BX39</f>
        <v>0</v>
      </c>
      <c r="BY27" s="235">
        <f>Sales!BY39</f>
        <v>100</v>
      </c>
      <c r="BZ27" s="241">
        <f>Sales!BZ39</f>
        <v>0</v>
      </c>
      <c r="CA27" s="241">
        <f>Sales!CA39</f>
        <v>0</v>
      </c>
      <c r="CB27" s="241">
        <f>Sales!CB39</f>
        <v>0</v>
      </c>
      <c r="CC27" s="241">
        <f>Sales!CC39</f>
        <v>0</v>
      </c>
      <c r="CD27" s="235">
        <f>Sales!CD39</f>
        <v>125</v>
      </c>
    </row>
    <row r="28" spans="1:83" s="291" customFormat="1" ht="15" hidden="1" outlineLevel="2">
      <c r="B28" s="625" t="str">
        <f>Sales!B41</f>
        <v>Other Consumer</v>
      </c>
      <c r="C28" s="630">
        <f>Sales!C41</f>
        <v>0</v>
      </c>
      <c r="D28" s="630">
        <f>Sales!D41</f>
        <v>0</v>
      </c>
      <c r="E28" s="630">
        <f>Sales!E41</f>
        <v>0</v>
      </c>
      <c r="F28" s="631">
        <f>Sales!F41</f>
        <v>0</v>
      </c>
      <c r="G28" s="632">
        <f>Sales!G41</f>
        <v>0</v>
      </c>
      <c r="H28" s="631">
        <f>Sales!H41</f>
        <v>0</v>
      </c>
      <c r="I28" s="631">
        <f>Sales!I41</f>
        <v>0</v>
      </c>
      <c r="J28" s="631">
        <f>Sales!J41</f>
        <v>0</v>
      </c>
      <c r="K28" s="631">
        <f>Sales!K41</f>
        <v>0</v>
      </c>
      <c r="L28" s="632">
        <f>Sales!L41</f>
        <v>0</v>
      </c>
      <c r="M28" s="631">
        <f>Sales!M41</f>
        <v>0</v>
      </c>
      <c r="N28" s="631">
        <f>Sales!N41</f>
        <v>0</v>
      </c>
      <c r="O28" s="631">
        <f>Sales!O41</f>
        <v>0</v>
      </c>
      <c r="P28" s="631">
        <f>Sales!P41</f>
        <v>0</v>
      </c>
      <c r="Q28" s="632">
        <f>Sales!Q41</f>
        <v>0</v>
      </c>
      <c r="R28" s="633">
        <f>Sales!R41</f>
        <v>0</v>
      </c>
      <c r="S28" s="633">
        <f>Sales!S41</f>
        <v>0</v>
      </c>
      <c r="T28" s="633">
        <f>Sales!T41</f>
        <v>0</v>
      </c>
      <c r="U28" s="633">
        <f>Sales!U41</f>
        <v>0</v>
      </c>
      <c r="V28" s="634">
        <f>Sales!V41</f>
        <v>0</v>
      </c>
      <c r="W28" s="633">
        <f>Sales!W41</f>
        <v>0</v>
      </c>
      <c r="X28" s="633">
        <f>Sales!X41</f>
        <v>0</v>
      </c>
      <c r="Y28" s="633">
        <f>Sales!Y41</f>
        <v>0</v>
      </c>
      <c r="Z28" s="633">
        <f>Sales!Z41</f>
        <v>0</v>
      </c>
      <c r="AA28" s="634">
        <f>Sales!AA41</f>
        <v>0</v>
      </c>
      <c r="AB28" s="633">
        <f>Sales!AB41</f>
        <v>0</v>
      </c>
      <c r="AC28" s="633">
        <f>Sales!AC41</f>
        <v>0</v>
      </c>
      <c r="AD28" s="633">
        <f>Sales!AD41</f>
        <v>0</v>
      </c>
      <c r="AE28" s="633">
        <f>Sales!AE41</f>
        <v>0</v>
      </c>
      <c r="AF28" s="634">
        <f>Sales!AF41</f>
        <v>0</v>
      </c>
      <c r="AG28" s="633">
        <f>Sales!AG41</f>
        <v>0</v>
      </c>
      <c r="AH28" s="633">
        <f>Sales!AH41</f>
        <v>0</v>
      </c>
      <c r="AI28" s="633">
        <f>Sales!AI41</f>
        <v>0</v>
      </c>
      <c r="AJ28" s="635">
        <f>Sales!AJ41</f>
        <v>0</v>
      </c>
      <c r="AK28" s="634">
        <f>Sales!AK41</f>
        <v>0</v>
      </c>
      <c r="AL28" s="636">
        <f>Sales!AL41</f>
        <v>0</v>
      </c>
      <c r="AM28" s="637">
        <f>Sales!AM41</f>
        <v>0</v>
      </c>
      <c r="AN28" s="636">
        <f>Sales!AN41</f>
        <v>0</v>
      </c>
      <c r="AO28" s="637">
        <f>Sales!AO41</f>
        <v>0</v>
      </c>
      <c r="AP28" s="634">
        <f>Sales!AP41</f>
        <v>0</v>
      </c>
      <c r="AQ28" s="638">
        <f>Sales!AQ41</f>
        <v>0</v>
      </c>
      <c r="AR28" s="637">
        <f>Sales!AR41</f>
        <v>0</v>
      </c>
      <c r="AS28" s="637">
        <f>Sales!AS41</f>
        <v>0</v>
      </c>
      <c r="AT28" s="637">
        <f>Sales!AT41</f>
        <v>0</v>
      </c>
      <c r="AU28" s="639">
        <f>Sales!AU41</f>
        <v>0</v>
      </c>
      <c r="AV28" s="626">
        <f>Sales!AV41</f>
        <v>-17</v>
      </c>
      <c r="AW28" s="626">
        <f>Sales!AW41</f>
        <v>-7.4000000000000057</v>
      </c>
      <c r="AX28" s="626">
        <f>Sales!AX41</f>
        <v>-7.5999999999999943</v>
      </c>
      <c r="AY28" s="626">
        <f>Sales!AY41</f>
        <v>-18.599999999999994</v>
      </c>
      <c r="AZ28" s="627">
        <f>Sales!AZ41</f>
        <v>-50.600000000000023</v>
      </c>
      <c r="BA28" s="626">
        <f>Sales!BA41</f>
        <v>-4.5</v>
      </c>
      <c r="BB28" s="626">
        <f>Sales!BB41</f>
        <v>-0.80000000000001137</v>
      </c>
      <c r="BC28" s="640">
        <f>Sales!BC41</f>
        <v>-17</v>
      </c>
      <c r="BD28" s="640">
        <f>Sales!BD41</f>
        <v>-26.099999999999994</v>
      </c>
      <c r="BE28" s="627">
        <f>Sales!BE41</f>
        <v>-48.400000000000006</v>
      </c>
      <c r="BF28" s="629">
        <f>Sales!BF41</f>
        <v>-25</v>
      </c>
      <c r="BG28" s="629">
        <f>Sales!BG41</f>
        <v>-25</v>
      </c>
      <c r="BH28" s="629">
        <f>Sales!BH41</f>
        <v>-25</v>
      </c>
      <c r="BI28" s="629">
        <f>Sales!BI41</f>
        <v>-25</v>
      </c>
      <c r="BJ28" s="627">
        <f>Sales!BJ41</f>
        <v>-100</v>
      </c>
      <c r="BK28" s="629">
        <f>Sales!BK41</f>
        <v>0</v>
      </c>
      <c r="BL28" s="629">
        <f>Sales!BL41</f>
        <v>0</v>
      </c>
      <c r="BM28" s="629">
        <f>Sales!BM41</f>
        <v>0</v>
      </c>
      <c r="BN28" s="629">
        <f>Sales!BN41</f>
        <v>0</v>
      </c>
      <c r="BO28" s="627">
        <f>Sales!BO41</f>
        <v>-100</v>
      </c>
      <c r="BP28" s="629">
        <f>Sales!BP41</f>
        <v>0</v>
      </c>
      <c r="BQ28" s="629">
        <f>Sales!BQ41</f>
        <v>0</v>
      </c>
      <c r="BR28" s="629">
        <f>Sales!BR41</f>
        <v>0</v>
      </c>
      <c r="BS28" s="629">
        <f>Sales!BS41</f>
        <v>0</v>
      </c>
      <c r="BT28" s="627">
        <f>Sales!BT41</f>
        <v>-100</v>
      </c>
      <c r="BU28" s="629">
        <f>Sales!BU41</f>
        <v>0</v>
      </c>
      <c r="BV28" s="629">
        <f>Sales!BV41</f>
        <v>0</v>
      </c>
      <c r="BW28" s="629">
        <f>Sales!BW41</f>
        <v>0</v>
      </c>
      <c r="BX28" s="629">
        <f>Sales!BX41</f>
        <v>0</v>
      </c>
      <c r="BY28" s="627">
        <f>Sales!BY41</f>
        <v>-100</v>
      </c>
      <c r="BZ28" s="629">
        <f>Sales!BZ41</f>
        <v>0</v>
      </c>
      <c r="CA28" s="629">
        <f>Sales!CA41</f>
        <v>0</v>
      </c>
      <c r="CB28" s="629">
        <f>Sales!CB41</f>
        <v>0</v>
      </c>
      <c r="CC28" s="629">
        <f>Sales!CC41</f>
        <v>0</v>
      </c>
      <c r="CD28" s="627">
        <f>Sales!CD41</f>
        <v>-100</v>
      </c>
    </row>
    <row r="29" spans="1:83" s="291" customFormat="1" collapsed="1">
      <c r="B29" s="298" t="str">
        <f>Sales!B43</f>
        <v>Total Consumer</v>
      </c>
      <c r="C29" s="299">
        <f>Sales!C43</f>
        <v>0</v>
      </c>
      <c r="D29" s="299">
        <f>Sales!D43</f>
        <v>0</v>
      </c>
      <c r="E29" s="299">
        <f>Sales!E43</f>
        <v>0</v>
      </c>
      <c r="F29" s="300">
        <f>Sales!F43</f>
        <v>0</v>
      </c>
      <c r="G29" s="301">
        <f>Sales!G43</f>
        <v>0</v>
      </c>
      <c r="H29" s="300">
        <f>Sales!H43</f>
        <v>0</v>
      </c>
      <c r="I29" s="300">
        <f>Sales!I43</f>
        <v>0</v>
      </c>
      <c r="J29" s="300">
        <f>Sales!J43</f>
        <v>0</v>
      </c>
      <c r="K29" s="300">
        <f>Sales!K43</f>
        <v>0</v>
      </c>
      <c r="L29" s="301">
        <f>Sales!L43</f>
        <v>0</v>
      </c>
      <c r="M29" s="300">
        <f>Sales!M43</f>
        <v>0</v>
      </c>
      <c r="N29" s="300">
        <f>Sales!N43</f>
        <v>0</v>
      </c>
      <c r="O29" s="300">
        <f>Sales!O43</f>
        <v>0</v>
      </c>
      <c r="P29" s="300">
        <f>Sales!P43</f>
        <v>0</v>
      </c>
      <c r="Q29" s="301">
        <f>Sales!Q43</f>
        <v>0</v>
      </c>
      <c r="R29" s="302">
        <f>Sales!R43</f>
        <v>0</v>
      </c>
      <c r="S29" s="302">
        <f>Sales!S43</f>
        <v>0</v>
      </c>
      <c r="T29" s="302">
        <f>Sales!T43</f>
        <v>0</v>
      </c>
      <c r="U29" s="302">
        <f>Sales!U43</f>
        <v>0</v>
      </c>
      <c r="V29" s="303">
        <f>Sales!V43</f>
        <v>0</v>
      </c>
      <c r="W29" s="302">
        <f>Sales!W43</f>
        <v>0</v>
      </c>
      <c r="X29" s="302">
        <f>Sales!X43</f>
        <v>0</v>
      </c>
      <c r="Y29" s="302">
        <f>Sales!Y43</f>
        <v>0</v>
      </c>
      <c r="Z29" s="302">
        <f>Sales!Z43</f>
        <v>0</v>
      </c>
      <c r="AA29" s="303">
        <f>Sales!AA43</f>
        <v>0</v>
      </c>
      <c r="AB29" s="302">
        <f>Sales!AB43</f>
        <v>0</v>
      </c>
      <c r="AC29" s="302">
        <f>Sales!AC43</f>
        <v>0</v>
      </c>
      <c r="AD29" s="302">
        <f>Sales!AD43</f>
        <v>0</v>
      </c>
      <c r="AE29" s="302">
        <f>Sales!AE43</f>
        <v>0</v>
      </c>
      <c r="AF29" s="303">
        <f>Sales!AF43</f>
        <v>0</v>
      </c>
      <c r="AG29" s="302">
        <f>Sales!AG43</f>
        <v>0</v>
      </c>
      <c r="AH29" s="302">
        <f>Sales!AH43</f>
        <v>0</v>
      </c>
      <c r="AI29" s="302">
        <f>Sales!AI43</f>
        <v>0</v>
      </c>
      <c r="AJ29" s="304">
        <f>Sales!AJ43</f>
        <v>0</v>
      </c>
      <c r="AK29" s="303">
        <f>Sales!AK43</f>
        <v>0</v>
      </c>
      <c r="AL29" s="305">
        <f>Sales!AL43</f>
        <v>0</v>
      </c>
      <c r="AM29" s="306">
        <f>Sales!AM43</f>
        <v>0</v>
      </c>
      <c r="AN29" s="305">
        <f>Sales!AN43</f>
        <v>0</v>
      </c>
      <c r="AO29" s="306">
        <f>Sales!AO43</f>
        <v>0</v>
      </c>
      <c r="AP29" s="307">
        <f>Sales!AP43</f>
        <v>0</v>
      </c>
      <c r="AQ29" s="308">
        <f>Sales!AQ43</f>
        <v>0</v>
      </c>
      <c r="AR29" s="306">
        <f>Sales!AR43</f>
        <v>0</v>
      </c>
      <c r="AS29" s="275">
        <f>Sales!AS43</f>
        <v>98.8</v>
      </c>
      <c r="AT29" s="275">
        <f>Sales!AT43</f>
        <v>133.30000000000001</v>
      </c>
      <c r="AU29" s="307">
        <f>Sales!AU43</f>
        <v>0</v>
      </c>
      <c r="AV29" s="275">
        <f>Sales!AV43</f>
        <v>144</v>
      </c>
      <c r="AW29" s="275">
        <f>Sales!AW43</f>
        <v>160.6</v>
      </c>
      <c r="AX29" s="275">
        <f>Sales!AX43</f>
        <v>141.4</v>
      </c>
      <c r="AY29" s="275">
        <f>Sales!AY43</f>
        <v>141.4</v>
      </c>
      <c r="AZ29" s="277">
        <f>Sales!AZ43</f>
        <v>587.4</v>
      </c>
      <c r="BA29" s="275">
        <f>Sales!BA43</f>
        <v>155.5</v>
      </c>
      <c r="BB29" s="275">
        <f>Sales!BB43</f>
        <v>163.19999999999999</v>
      </c>
      <c r="BC29" s="275">
        <f>Sales!BC43</f>
        <v>151</v>
      </c>
      <c r="BD29" s="275">
        <f>Sales!BD43</f>
        <v>155.9</v>
      </c>
      <c r="BE29" s="277">
        <f>Sales!BE43</f>
        <v>625.6</v>
      </c>
      <c r="BF29" s="285">
        <f>Sales!BF43</f>
        <v>139</v>
      </c>
      <c r="BG29" s="285">
        <f>Sales!BG43</f>
        <v>148</v>
      </c>
      <c r="BH29" s="285">
        <f>Sales!BH43</f>
        <v>156</v>
      </c>
      <c r="BI29" s="285">
        <f>Sales!BI43</f>
        <v>170</v>
      </c>
      <c r="BJ29" s="277">
        <f>Sales!BJ43</f>
        <v>613</v>
      </c>
      <c r="BK29" s="285">
        <f>Sales!BK43</f>
        <v>0</v>
      </c>
      <c r="BL29" s="285">
        <f>Sales!BL43</f>
        <v>0</v>
      </c>
      <c r="BM29" s="285">
        <f>Sales!BM43</f>
        <v>0</v>
      </c>
      <c r="BN29" s="285">
        <f>Sales!BN43</f>
        <v>0</v>
      </c>
      <c r="BO29" s="277">
        <f>Sales!BO43</f>
        <v>663.46999999999991</v>
      </c>
      <c r="BP29" s="285">
        <f>Sales!BP43</f>
        <v>0</v>
      </c>
      <c r="BQ29" s="285">
        <f>Sales!BQ43</f>
        <v>0</v>
      </c>
      <c r="BR29" s="285">
        <f>Sales!BR43</f>
        <v>0</v>
      </c>
      <c r="BS29" s="285">
        <f>Sales!BS43</f>
        <v>0</v>
      </c>
      <c r="BT29" s="277">
        <f>Sales!BT43</f>
        <v>695.25839999999994</v>
      </c>
      <c r="BU29" s="285">
        <f>Sales!BU43</f>
        <v>0</v>
      </c>
      <c r="BV29" s="285">
        <f>Sales!BV43</f>
        <v>0</v>
      </c>
      <c r="BW29" s="285">
        <f>Sales!BW43</f>
        <v>0</v>
      </c>
      <c r="BX29" s="285">
        <f>Sales!BX43</f>
        <v>0</v>
      </c>
      <c r="BY29" s="277">
        <f>Sales!BY43</f>
        <v>725.26664800000003</v>
      </c>
      <c r="BZ29" s="285">
        <f>Sales!BZ43</f>
        <v>0</v>
      </c>
      <c r="CA29" s="285">
        <f>Sales!CA43</f>
        <v>0</v>
      </c>
      <c r="CB29" s="285">
        <f>Sales!CB43</f>
        <v>0</v>
      </c>
      <c r="CC29" s="285">
        <f>Sales!CC43</f>
        <v>0</v>
      </c>
      <c r="CD29" s="277">
        <f>Sales!CD43</f>
        <v>753.09635168</v>
      </c>
    </row>
    <row r="30" spans="1:83" s="285" customFormat="1" hidden="1">
      <c r="B30" s="309" t="str">
        <f>Sales!B44</f>
        <v>growth</v>
      </c>
      <c r="C30" s="310">
        <f>Sales!C44</f>
        <v>0</v>
      </c>
      <c r="D30" s="310">
        <f>Sales!D44</f>
        <v>0</v>
      </c>
      <c r="E30" s="310">
        <f>Sales!E44</f>
        <v>0</v>
      </c>
      <c r="F30" s="310">
        <f>Sales!F44</f>
        <v>0</v>
      </c>
      <c r="G30" s="311">
        <f>Sales!G44</f>
        <v>0</v>
      </c>
      <c r="H30" s="310">
        <f>Sales!H44</f>
        <v>0</v>
      </c>
      <c r="I30" s="310">
        <f>Sales!I44</f>
        <v>0</v>
      </c>
      <c r="J30" s="310">
        <f>Sales!J44</f>
        <v>0</v>
      </c>
      <c r="K30" s="310">
        <f>Sales!K44</f>
        <v>0</v>
      </c>
      <c r="L30" s="311">
        <f>Sales!L44</f>
        <v>0</v>
      </c>
      <c r="M30" s="310">
        <f>Sales!M44</f>
        <v>0</v>
      </c>
      <c r="N30" s="310">
        <f>Sales!N44</f>
        <v>0</v>
      </c>
      <c r="O30" s="310">
        <f>Sales!O44</f>
        <v>0</v>
      </c>
      <c r="P30" s="310">
        <f>Sales!P44</f>
        <v>0</v>
      </c>
      <c r="Q30" s="311">
        <f>Sales!Q44</f>
        <v>0</v>
      </c>
      <c r="R30" s="310">
        <f>Sales!R44</f>
        <v>0</v>
      </c>
      <c r="S30" s="310">
        <f>Sales!S44</f>
        <v>0</v>
      </c>
      <c r="T30" s="310">
        <f>Sales!T44</f>
        <v>0</v>
      </c>
      <c r="U30" s="310">
        <f>Sales!U44</f>
        <v>0</v>
      </c>
      <c r="V30" s="311">
        <f>Sales!V44</f>
        <v>0</v>
      </c>
      <c r="W30" s="310">
        <f>Sales!W44</f>
        <v>0</v>
      </c>
      <c r="X30" s="310">
        <f>Sales!X44</f>
        <v>0</v>
      </c>
      <c r="Y30" s="310">
        <f>Sales!Y44</f>
        <v>0</v>
      </c>
      <c r="Z30" s="310">
        <f>Sales!Z44</f>
        <v>0</v>
      </c>
      <c r="AA30" s="311">
        <f>Sales!AA44</f>
        <v>0</v>
      </c>
      <c r="AB30" s="310">
        <f>Sales!AB44</f>
        <v>0</v>
      </c>
      <c r="AC30" s="310">
        <f>Sales!AC44</f>
        <v>0</v>
      </c>
      <c r="AD30" s="310">
        <f>Sales!AD44</f>
        <v>0</v>
      </c>
      <c r="AE30" s="310">
        <f>Sales!AE44</f>
        <v>0</v>
      </c>
      <c r="AF30" s="311">
        <f>Sales!AF44</f>
        <v>0</v>
      </c>
      <c r="AG30" s="310">
        <f>Sales!AG44</f>
        <v>0</v>
      </c>
      <c r="AH30" s="310">
        <f>Sales!AH44</f>
        <v>0</v>
      </c>
      <c r="AI30" s="310">
        <f>Sales!AI44</f>
        <v>0</v>
      </c>
      <c r="AJ30" s="310">
        <f>Sales!AJ44</f>
        <v>0</v>
      </c>
      <c r="AK30" s="311">
        <f>Sales!AK44</f>
        <v>0</v>
      </c>
      <c r="AL30" s="312">
        <f>Sales!AL44</f>
        <v>0</v>
      </c>
      <c r="AM30" s="313">
        <f>Sales!AM44</f>
        <v>0</v>
      </c>
      <c r="AN30" s="314">
        <f>Sales!AN44</f>
        <v>0</v>
      </c>
      <c r="AO30" s="315">
        <f>Sales!AO44</f>
        <v>0</v>
      </c>
      <c r="AP30" s="311">
        <f>Sales!AP44</f>
        <v>0</v>
      </c>
      <c r="AQ30" s="316">
        <f>Sales!AQ44</f>
        <v>0</v>
      </c>
      <c r="AR30" s="310">
        <f>Sales!AR44</f>
        <v>0</v>
      </c>
      <c r="AS30" s="310">
        <f>Sales!AS44</f>
        <v>0</v>
      </c>
      <c r="AT30" s="310">
        <f>Sales!AT44</f>
        <v>0</v>
      </c>
      <c r="AU30" s="311">
        <f>Sales!AU44</f>
        <v>0</v>
      </c>
      <c r="AV30" s="310">
        <f>Sales!AV44</f>
        <v>0</v>
      </c>
      <c r="AW30" s="310">
        <f>Sales!AW44</f>
        <v>0</v>
      </c>
      <c r="AX30" s="281">
        <f>Sales!AX44</f>
        <v>0.43117408906882604</v>
      </c>
      <c r="AY30" s="281">
        <f>Sales!AY44</f>
        <v>6.0765191297824428E-2</v>
      </c>
      <c r="AZ30" s="311">
        <f>Sales!AZ44</f>
        <v>0</v>
      </c>
      <c r="BA30" s="281">
        <f>Sales!BA44</f>
        <v>7.986111111111116E-2</v>
      </c>
      <c r="BB30" s="281">
        <f>Sales!BB44</f>
        <v>1.6189290161892966E-2</v>
      </c>
      <c r="BC30" s="281">
        <f>Sales!BC44</f>
        <v>6.7892503536067794E-2</v>
      </c>
      <c r="BD30" s="281">
        <f>Sales!BD44</f>
        <v>0.10254596888260248</v>
      </c>
      <c r="BE30" s="282">
        <f>Sales!BE44</f>
        <v>6.5032345931222313E-2</v>
      </c>
      <c r="BF30" s="285">
        <f>Sales!BF44</f>
        <v>-0.10610932475884249</v>
      </c>
      <c r="BG30" s="285">
        <f>Sales!BG44</f>
        <v>-9.3137254901960675E-2</v>
      </c>
      <c r="BH30" s="285">
        <f>Sales!BH44</f>
        <v>3.3112582781456901E-2</v>
      </c>
      <c r="BI30" s="285">
        <f>Sales!BI44</f>
        <v>9.0442591404746642E-2</v>
      </c>
      <c r="BJ30" s="282">
        <f>Sales!BJ44</f>
        <v>-2.0140664961636912E-2</v>
      </c>
      <c r="BK30" s="285">
        <f>Sales!BK44</f>
        <v>0</v>
      </c>
      <c r="BL30" s="285">
        <f>Sales!BL44</f>
        <v>0</v>
      </c>
      <c r="BM30" s="285">
        <f>Sales!BM44</f>
        <v>0</v>
      </c>
      <c r="BN30" s="285">
        <f>Sales!BN44</f>
        <v>0</v>
      </c>
      <c r="BO30" s="282">
        <f>Sales!BO44</f>
        <v>8.2332789559543151E-2</v>
      </c>
      <c r="BP30" s="285">
        <f>Sales!BP44</f>
        <v>0</v>
      </c>
      <c r="BQ30" s="285">
        <f>Sales!BQ44</f>
        <v>0</v>
      </c>
      <c r="BR30" s="285">
        <f>Sales!BR44</f>
        <v>0</v>
      </c>
      <c r="BS30" s="285">
        <f>Sales!BS44</f>
        <v>0</v>
      </c>
      <c r="BT30" s="282">
        <f>Sales!BT44</f>
        <v>4.7912339668711557E-2</v>
      </c>
      <c r="BU30" s="285">
        <f>Sales!BU44</f>
        <v>0</v>
      </c>
      <c r="BV30" s="285">
        <f>Sales!BV44</f>
        <v>0</v>
      </c>
      <c r="BW30" s="285">
        <f>Sales!BW44</f>
        <v>0</v>
      </c>
      <c r="BX30" s="285">
        <f>Sales!BX44</f>
        <v>0</v>
      </c>
      <c r="BY30" s="282">
        <f>Sales!BY44</f>
        <v>4.3161287947042659E-2</v>
      </c>
      <c r="BZ30" s="285">
        <f>Sales!BZ44</f>
        <v>0</v>
      </c>
      <c r="CA30" s="285">
        <f>Sales!CA44</f>
        <v>0</v>
      </c>
      <c r="CB30" s="285">
        <f>Sales!CB44</f>
        <v>0</v>
      </c>
      <c r="CC30" s="285">
        <f>Sales!CC44</f>
        <v>0</v>
      </c>
      <c r="CD30" s="282">
        <f>Sales!CD44</f>
        <v>3.8371685443889358E-2</v>
      </c>
    </row>
    <row r="31" spans="1:83" s="285" customFormat="1" hidden="1">
      <c r="B31" s="309"/>
      <c r="C31" s="310"/>
      <c r="D31" s="310"/>
      <c r="E31" s="310"/>
      <c r="F31" s="310"/>
      <c r="G31" s="311"/>
      <c r="H31" s="310"/>
      <c r="I31" s="310"/>
      <c r="J31" s="310"/>
      <c r="K31" s="310"/>
      <c r="L31" s="311"/>
      <c r="M31" s="310"/>
      <c r="N31" s="310"/>
      <c r="O31" s="310"/>
      <c r="P31" s="310"/>
      <c r="Q31" s="311"/>
      <c r="R31" s="310"/>
      <c r="S31" s="310"/>
      <c r="T31" s="310"/>
      <c r="U31" s="310"/>
      <c r="V31" s="311"/>
      <c r="W31" s="310"/>
      <c r="X31" s="310"/>
      <c r="Y31" s="310"/>
      <c r="Z31" s="310"/>
      <c r="AA31" s="311"/>
      <c r="AB31" s="310"/>
      <c r="AC31" s="310"/>
      <c r="AD31" s="310"/>
      <c r="AE31" s="310"/>
      <c r="AF31" s="311"/>
      <c r="AG31" s="310"/>
      <c r="AH31" s="310"/>
      <c r="AI31" s="310"/>
      <c r="AJ31" s="310"/>
      <c r="AK31" s="311"/>
      <c r="AL31" s="314"/>
      <c r="AM31" s="313"/>
      <c r="AN31" s="314"/>
      <c r="AO31" s="315"/>
      <c r="AP31" s="311"/>
      <c r="AQ31" s="316"/>
      <c r="AR31" s="310"/>
      <c r="AS31" s="310"/>
      <c r="AT31" s="310"/>
      <c r="AU31" s="311"/>
      <c r="AV31" s="310"/>
      <c r="AW31" s="310"/>
      <c r="AX31" s="310"/>
      <c r="AY31" s="310"/>
      <c r="AZ31" s="311"/>
      <c r="BA31" s="310"/>
      <c r="BB31" s="310"/>
      <c r="BC31" s="310"/>
      <c r="BD31" s="310"/>
      <c r="BE31" s="311"/>
      <c r="BJ31" s="311"/>
      <c r="BO31" s="311"/>
      <c r="BT31" s="311"/>
      <c r="BY31" s="311"/>
      <c r="CD31" s="311"/>
    </row>
    <row r="32" spans="1:83" s="285" customFormat="1" hidden="1" outlineLevel="1">
      <c r="B32" s="230" t="str">
        <f>Sales!B46</f>
        <v>Ophthalmology Rx</v>
      </c>
      <c r="C32" s="236">
        <f>Sales!C46</f>
        <v>0</v>
      </c>
      <c r="D32" s="236">
        <f>Sales!D46</f>
        <v>0</v>
      </c>
      <c r="E32" s="236">
        <f>Sales!E46</f>
        <v>0</v>
      </c>
      <c r="F32" s="236">
        <f>Sales!F46</f>
        <v>0</v>
      </c>
      <c r="G32" s="235">
        <f>Sales!G46</f>
        <v>0</v>
      </c>
      <c r="H32" s="236">
        <f>Sales!H46</f>
        <v>0</v>
      </c>
      <c r="I32" s="236">
        <f>Sales!I46</f>
        <v>0</v>
      </c>
      <c r="J32" s="236">
        <f>Sales!J46</f>
        <v>0</v>
      </c>
      <c r="K32" s="236">
        <f>Sales!K46</f>
        <v>0</v>
      </c>
      <c r="L32" s="235">
        <f>Sales!L46</f>
        <v>0</v>
      </c>
      <c r="M32" s="236">
        <f>Sales!M46</f>
        <v>0</v>
      </c>
      <c r="N32" s="236">
        <f>Sales!N46</f>
        <v>0</v>
      </c>
      <c r="O32" s="236">
        <f>Sales!O46</f>
        <v>0</v>
      </c>
      <c r="P32" s="236">
        <f>Sales!P46</f>
        <v>0</v>
      </c>
      <c r="Q32" s="235">
        <f>Sales!Q46</f>
        <v>0</v>
      </c>
      <c r="R32" s="236">
        <f>Sales!R46</f>
        <v>0</v>
      </c>
      <c r="S32" s="236">
        <f>Sales!S46</f>
        <v>0</v>
      </c>
      <c r="T32" s="236">
        <f>Sales!T46</f>
        <v>0</v>
      </c>
      <c r="U32" s="236">
        <f>Sales!U46</f>
        <v>0</v>
      </c>
      <c r="V32" s="235">
        <f>Sales!V46</f>
        <v>0</v>
      </c>
      <c r="W32" s="236">
        <f>Sales!W46</f>
        <v>0</v>
      </c>
      <c r="X32" s="236">
        <f>Sales!X46</f>
        <v>0</v>
      </c>
      <c r="Y32" s="236">
        <f>Sales!Y46</f>
        <v>0</v>
      </c>
      <c r="Z32" s="236">
        <f>Sales!Z46</f>
        <v>0</v>
      </c>
      <c r="AA32" s="235">
        <f>Sales!AA46</f>
        <v>0</v>
      </c>
      <c r="AB32" s="236">
        <f>Sales!AB46</f>
        <v>0</v>
      </c>
      <c r="AC32" s="236">
        <f>Sales!AC46</f>
        <v>0</v>
      </c>
      <c r="AD32" s="236">
        <f>Sales!AD46</f>
        <v>0</v>
      </c>
      <c r="AE32" s="236">
        <f>Sales!AE46</f>
        <v>0</v>
      </c>
      <c r="AF32" s="235">
        <f>Sales!AF46</f>
        <v>0</v>
      </c>
      <c r="AG32" s="236">
        <f>Sales!AG46</f>
        <v>0</v>
      </c>
      <c r="AH32" s="236">
        <f>Sales!AH46</f>
        <v>0</v>
      </c>
      <c r="AI32" s="236">
        <f>Sales!AI46</f>
        <v>0</v>
      </c>
      <c r="AJ32" s="236">
        <f>Sales!AJ46</f>
        <v>0</v>
      </c>
      <c r="AK32" s="235">
        <f>Sales!AK46</f>
        <v>0</v>
      </c>
      <c r="AL32" s="288">
        <f>Sales!AL46</f>
        <v>0</v>
      </c>
      <c r="AM32" s="239">
        <f>Sales!AM46</f>
        <v>0</v>
      </c>
      <c r="AN32" s="288">
        <f>Sales!AN46</f>
        <v>0</v>
      </c>
      <c r="AO32" s="240">
        <f>Sales!AO46</f>
        <v>0</v>
      </c>
      <c r="AP32" s="235">
        <f>Sales!AP46</f>
        <v>0</v>
      </c>
      <c r="AQ32" s="289">
        <f>Sales!AQ46</f>
        <v>0</v>
      </c>
      <c r="AR32" s="236">
        <f>Sales!AR46</f>
        <v>0</v>
      </c>
      <c r="AS32" s="236">
        <f>Sales!AS46</f>
        <v>0</v>
      </c>
      <c r="AT32" s="236">
        <f>Sales!AT46</f>
        <v>0</v>
      </c>
      <c r="AU32" s="235">
        <f>Sales!AU46</f>
        <v>0</v>
      </c>
      <c r="AV32" s="236">
        <f>Sales!AV46</f>
        <v>0</v>
      </c>
      <c r="AW32" s="236">
        <f>Sales!AW46</f>
        <v>0</v>
      </c>
      <c r="AX32" s="236">
        <f>Sales!AX46</f>
        <v>0</v>
      </c>
      <c r="AY32" s="236">
        <f>Sales!AY46</f>
        <v>0</v>
      </c>
      <c r="AZ32" s="235">
        <f>Sales!AZ46</f>
        <v>0</v>
      </c>
      <c r="BA32" s="236">
        <f>Sales!BA46</f>
        <v>0</v>
      </c>
      <c r="BB32" s="236">
        <f>Sales!BB46</f>
        <v>0</v>
      </c>
      <c r="BC32" s="236">
        <f>Sales!BC46</f>
        <v>0</v>
      </c>
      <c r="BD32" s="236">
        <f>Sales!BD46</f>
        <v>0</v>
      </c>
      <c r="BE32" s="235">
        <f>Sales!BE46</f>
        <v>0</v>
      </c>
      <c r="BF32" s="241">
        <f>Sales!BF46</f>
        <v>0</v>
      </c>
      <c r="BG32" s="241">
        <f>Sales!BG46</f>
        <v>0</v>
      </c>
      <c r="BH32" s="241">
        <f>Sales!BH46</f>
        <v>0</v>
      </c>
      <c r="BI32" s="241">
        <f>Sales!BI46</f>
        <v>0</v>
      </c>
      <c r="BJ32" s="235">
        <f>Sales!BJ46</f>
        <v>0</v>
      </c>
      <c r="BK32" s="241">
        <f>Sales!BK46</f>
        <v>0</v>
      </c>
      <c r="BL32" s="241">
        <f>Sales!BL46</f>
        <v>0</v>
      </c>
      <c r="BM32" s="241">
        <f>Sales!BM46</f>
        <v>0</v>
      </c>
      <c r="BN32" s="241">
        <f>Sales!BN46</f>
        <v>0</v>
      </c>
      <c r="BO32" s="235">
        <f>Sales!BO46</f>
        <v>0</v>
      </c>
      <c r="BP32" s="241">
        <f>Sales!BP46</f>
        <v>0</v>
      </c>
      <c r="BQ32" s="241">
        <f>Sales!BQ46</f>
        <v>0</v>
      </c>
      <c r="BR32" s="241">
        <f>Sales!BR46</f>
        <v>0</v>
      </c>
      <c r="BS32" s="241">
        <f>Sales!BS46</f>
        <v>0</v>
      </c>
      <c r="BT32" s="235">
        <f>Sales!BT46</f>
        <v>0</v>
      </c>
      <c r="BU32" s="241">
        <f>Sales!BU46</f>
        <v>0</v>
      </c>
      <c r="BV32" s="241">
        <f>Sales!BV46</f>
        <v>0</v>
      </c>
      <c r="BW32" s="241">
        <f>Sales!BW46</f>
        <v>0</v>
      </c>
      <c r="BX32" s="241">
        <f>Sales!BX46</f>
        <v>0</v>
      </c>
      <c r="BY32" s="235">
        <f>Sales!BY46</f>
        <v>0</v>
      </c>
      <c r="BZ32" s="241">
        <f>Sales!BZ46</f>
        <v>0</v>
      </c>
      <c r="CA32" s="241">
        <f>Sales!CA46</f>
        <v>0</v>
      </c>
      <c r="CB32" s="241">
        <f>Sales!CB46</f>
        <v>0</v>
      </c>
      <c r="CC32" s="241">
        <f>Sales!CC46</f>
        <v>0</v>
      </c>
      <c r="CD32" s="235">
        <f>Sales!CD46</f>
        <v>0</v>
      </c>
    </row>
    <row r="33" spans="2:83" s="285" customFormat="1" hidden="1" outlineLevel="2">
      <c r="B33" s="238" t="str">
        <f>Sales!B47</f>
        <v>Lotemax</v>
      </c>
      <c r="C33" s="236">
        <f>Sales!C47</f>
        <v>0</v>
      </c>
      <c r="D33" s="236">
        <f>Sales!D47</f>
        <v>0</v>
      </c>
      <c r="E33" s="236">
        <f>Sales!E47</f>
        <v>0</v>
      </c>
      <c r="F33" s="236">
        <f>Sales!F47</f>
        <v>0</v>
      </c>
      <c r="G33" s="235">
        <f>Sales!G47</f>
        <v>0</v>
      </c>
      <c r="H33" s="236">
        <f>Sales!H47</f>
        <v>0</v>
      </c>
      <c r="I33" s="236">
        <f>Sales!I47</f>
        <v>0</v>
      </c>
      <c r="J33" s="236">
        <f>Sales!J47</f>
        <v>0</v>
      </c>
      <c r="K33" s="236">
        <f>Sales!K47</f>
        <v>0</v>
      </c>
      <c r="L33" s="235">
        <f>Sales!L47</f>
        <v>0</v>
      </c>
      <c r="M33" s="236">
        <f>Sales!M47</f>
        <v>0</v>
      </c>
      <c r="N33" s="236">
        <f>Sales!N47</f>
        <v>0</v>
      </c>
      <c r="O33" s="236">
        <f>Sales!O47</f>
        <v>0</v>
      </c>
      <c r="P33" s="236">
        <f>Sales!P47</f>
        <v>0</v>
      </c>
      <c r="Q33" s="235">
        <f>Sales!Q47</f>
        <v>0</v>
      </c>
      <c r="R33" s="236">
        <f>Sales!R47</f>
        <v>0</v>
      </c>
      <c r="S33" s="236">
        <f>Sales!S47</f>
        <v>0</v>
      </c>
      <c r="T33" s="236">
        <f>Sales!T47</f>
        <v>0</v>
      </c>
      <c r="U33" s="236">
        <f>Sales!U47</f>
        <v>0</v>
      </c>
      <c r="V33" s="235">
        <f>Sales!V47</f>
        <v>0</v>
      </c>
      <c r="W33" s="236">
        <f>Sales!W47</f>
        <v>0</v>
      </c>
      <c r="X33" s="236">
        <f>Sales!X47</f>
        <v>0</v>
      </c>
      <c r="Y33" s="236">
        <f>Sales!Y47</f>
        <v>0</v>
      </c>
      <c r="Z33" s="236">
        <f>Sales!Z47</f>
        <v>0</v>
      </c>
      <c r="AA33" s="235">
        <f>Sales!AA47</f>
        <v>0</v>
      </c>
      <c r="AB33" s="236">
        <f>Sales!AB47</f>
        <v>0</v>
      </c>
      <c r="AC33" s="236">
        <f>Sales!AC47</f>
        <v>0</v>
      </c>
      <c r="AD33" s="236">
        <f>Sales!AD47</f>
        <v>0</v>
      </c>
      <c r="AE33" s="236">
        <f>Sales!AE47</f>
        <v>0</v>
      </c>
      <c r="AF33" s="235">
        <f>Sales!AF47</f>
        <v>0</v>
      </c>
      <c r="AG33" s="236">
        <f>Sales!AG47</f>
        <v>0</v>
      </c>
      <c r="AH33" s="236">
        <f>Sales!AH47</f>
        <v>0</v>
      </c>
      <c r="AI33" s="236">
        <f>Sales!AI47</f>
        <v>0</v>
      </c>
      <c r="AJ33" s="236">
        <f>Sales!AJ47</f>
        <v>0</v>
      </c>
      <c r="AK33" s="235">
        <f>Sales!AK47</f>
        <v>0</v>
      </c>
      <c r="AL33" s="288">
        <f>Sales!AL47</f>
        <v>0</v>
      </c>
      <c r="AM33" s="239">
        <f>Sales!AM47</f>
        <v>0</v>
      </c>
      <c r="AN33" s="288">
        <f>Sales!AN47</f>
        <v>0</v>
      </c>
      <c r="AO33" s="240">
        <f>Sales!AO47</f>
        <v>0</v>
      </c>
      <c r="AP33" s="235">
        <f>Sales!AP47</f>
        <v>0</v>
      </c>
      <c r="AQ33" s="289">
        <f>Sales!AQ47</f>
        <v>0</v>
      </c>
      <c r="AR33" s="236">
        <f>Sales!AR47</f>
        <v>0</v>
      </c>
      <c r="AS33" s="236">
        <f>Sales!AS47</f>
        <v>0</v>
      </c>
      <c r="AT33" s="236">
        <f>Sales!AT47</f>
        <v>0</v>
      </c>
      <c r="AU33" s="235">
        <f>Sales!AU47</f>
        <v>0</v>
      </c>
      <c r="AV33" s="236">
        <f>Sales!AV47</f>
        <v>26</v>
      </c>
      <c r="AW33" s="236">
        <f>Sales!AW47</f>
        <v>45</v>
      </c>
      <c r="AX33" s="236">
        <f>Sales!AX47</f>
        <v>35</v>
      </c>
      <c r="AY33" s="236">
        <f>Sales!AY47</f>
        <v>45</v>
      </c>
      <c r="AZ33" s="235">
        <f>Sales!AZ47</f>
        <v>151</v>
      </c>
      <c r="BA33" s="236">
        <f>Sales!BA47</f>
        <v>43</v>
      </c>
      <c r="BB33" s="236">
        <f>Sales!BB47</f>
        <v>53</v>
      </c>
      <c r="BC33" s="240">
        <f>Sales!BC47</f>
        <v>44</v>
      </c>
      <c r="BD33" s="240">
        <f>Sales!BD47</f>
        <v>43</v>
      </c>
      <c r="BE33" s="235">
        <f>Sales!BE47</f>
        <v>183</v>
      </c>
      <c r="BF33" s="241">
        <f>Sales!BF47</f>
        <v>40</v>
      </c>
      <c r="BG33" s="241">
        <f>Sales!BG47</f>
        <v>45</v>
      </c>
      <c r="BH33" s="241">
        <f>Sales!BH47</f>
        <v>40</v>
      </c>
      <c r="BI33" s="241">
        <f>Sales!BI47</f>
        <v>45</v>
      </c>
      <c r="BJ33" s="235">
        <f>Sales!BJ47</f>
        <v>170</v>
      </c>
      <c r="BK33" s="241">
        <f>Sales!BK47</f>
        <v>0</v>
      </c>
      <c r="BL33" s="241">
        <f>Sales!BL47</f>
        <v>0</v>
      </c>
      <c r="BM33" s="241">
        <f>Sales!BM47</f>
        <v>0</v>
      </c>
      <c r="BN33" s="241">
        <f>Sales!BN47</f>
        <v>0</v>
      </c>
      <c r="BO33" s="244">
        <f>Sales!BO47</f>
        <v>176.8</v>
      </c>
      <c r="BP33" s="241">
        <f>Sales!BP47</f>
        <v>0</v>
      </c>
      <c r="BQ33" s="241">
        <f>Sales!BQ47</f>
        <v>0</v>
      </c>
      <c r="BR33" s="241">
        <f>Sales!BR47</f>
        <v>0</v>
      </c>
      <c r="BS33" s="241">
        <f>Sales!BS47</f>
        <v>0</v>
      </c>
      <c r="BT33" s="235">
        <f>Sales!BT47</f>
        <v>183.87200000000001</v>
      </c>
      <c r="BU33" s="241">
        <f>Sales!BU47</f>
        <v>0</v>
      </c>
      <c r="BV33" s="241">
        <f>Sales!BV47</f>
        <v>0</v>
      </c>
      <c r="BW33" s="241">
        <f>Sales!BW47</f>
        <v>0</v>
      </c>
      <c r="BX33" s="241">
        <f>Sales!BX47</f>
        <v>0</v>
      </c>
      <c r="BY33" s="235">
        <f>Sales!BY47</f>
        <v>187.54944</v>
      </c>
      <c r="BZ33" s="241">
        <f>Sales!BZ47</f>
        <v>0</v>
      </c>
      <c r="CA33" s="241">
        <f>Sales!CA47</f>
        <v>0</v>
      </c>
      <c r="CB33" s="241">
        <f>Sales!CB47</f>
        <v>0</v>
      </c>
      <c r="CC33" s="241">
        <f>Sales!CC47</f>
        <v>0</v>
      </c>
      <c r="CD33" s="235">
        <f>Sales!CD47</f>
        <v>191.30042880000002</v>
      </c>
    </row>
    <row r="34" spans="2:83" s="252" customFormat="1" hidden="1" outlineLevel="2">
      <c r="B34" s="238" t="str">
        <f>Sales!B49</f>
        <v>Vesneo</v>
      </c>
      <c r="C34" s="253">
        <f>Sales!C49</f>
        <v>0</v>
      </c>
      <c r="D34" s="254">
        <f>Sales!D49</f>
        <v>0</v>
      </c>
      <c r="E34" s="254">
        <f>Sales!E49</f>
        <v>0</v>
      </c>
      <c r="F34" s="254">
        <f>Sales!F49</f>
        <v>0</v>
      </c>
      <c r="G34" s="255">
        <f>Sales!G49</f>
        <v>0</v>
      </c>
      <c r="H34" s="254">
        <f>Sales!H49</f>
        <v>0</v>
      </c>
      <c r="I34" s="254">
        <f>Sales!I49</f>
        <v>0</v>
      </c>
      <c r="J34" s="254">
        <f>Sales!J49</f>
        <v>0</v>
      </c>
      <c r="K34" s="254">
        <f>Sales!K49</f>
        <v>0</v>
      </c>
      <c r="L34" s="255">
        <f>Sales!L49</f>
        <v>0</v>
      </c>
      <c r="M34" s="254">
        <f>Sales!M49</f>
        <v>0</v>
      </c>
      <c r="N34" s="254">
        <f>Sales!N49</f>
        <v>0</v>
      </c>
      <c r="O34" s="254">
        <f>Sales!O49</f>
        <v>0</v>
      </c>
      <c r="P34" s="254">
        <f>Sales!P49</f>
        <v>0</v>
      </c>
      <c r="Q34" s="255">
        <f>Sales!Q49</f>
        <v>0</v>
      </c>
      <c r="R34" s="254">
        <f>Sales!R49</f>
        <v>0</v>
      </c>
      <c r="S34" s="254">
        <f>Sales!S49</f>
        <v>0</v>
      </c>
      <c r="T34" s="254">
        <f>Sales!T49</f>
        <v>0</v>
      </c>
      <c r="U34" s="254">
        <f>Sales!U49</f>
        <v>0</v>
      </c>
      <c r="V34" s="255">
        <f>Sales!V49</f>
        <v>0</v>
      </c>
      <c r="W34" s="256">
        <f>Sales!W49</f>
        <v>0</v>
      </c>
      <c r="X34" s="257">
        <f>Sales!X49</f>
        <v>0</v>
      </c>
      <c r="Y34" s="257">
        <f>Sales!Y49</f>
        <v>0</v>
      </c>
      <c r="Z34" s="257">
        <f>Sales!Z49</f>
        <v>0</v>
      </c>
      <c r="AA34" s="258">
        <f>Sales!AA49</f>
        <v>0</v>
      </c>
      <c r="AB34" s="256">
        <f>Sales!AB49</f>
        <v>0</v>
      </c>
      <c r="AC34" s="256">
        <f>Sales!AC49</f>
        <v>0</v>
      </c>
      <c r="AD34" s="256">
        <f>Sales!AD49</f>
        <v>0</v>
      </c>
      <c r="AE34" s="256">
        <f>Sales!AE49</f>
        <v>0</v>
      </c>
      <c r="AF34" s="258">
        <f>Sales!AF49</f>
        <v>0</v>
      </c>
      <c r="AG34" s="256">
        <f>Sales!AG49</f>
        <v>0</v>
      </c>
      <c r="AH34" s="256">
        <f>Sales!AH49</f>
        <v>0</v>
      </c>
      <c r="AI34" s="256">
        <f>Sales!AI49</f>
        <v>0</v>
      </c>
      <c r="AJ34" s="256">
        <f>Sales!AJ49</f>
        <v>0</v>
      </c>
      <c r="AK34" s="258">
        <f>Sales!AK49</f>
        <v>0</v>
      </c>
      <c r="AL34" s="257">
        <f>Sales!AL49</f>
        <v>0</v>
      </c>
      <c r="AM34" s="257">
        <f>Sales!AM49</f>
        <v>0</v>
      </c>
      <c r="AN34" s="257">
        <f>Sales!AN49</f>
        <v>0</v>
      </c>
      <c r="AO34" s="257">
        <f>Sales!AO49</f>
        <v>0</v>
      </c>
      <c r="AP34" s="258">
        <f>Sales!AP49</f>
        <v>0</v>
      </c>
      <c r="AQ34" s="290">
        <f>Sales!AQ49</f>
        <v>0</v>
      </c>
      <c r="AR34" s="257">
        <f>Sales!AR49</f>
        <v>0</v>
      </c>
      <c r="AS34" s="240">
        <f>Sales!AS49</f>
        <v>0</v>
      </c>
      <c r="AT34" s="240">
        <f>Sales!AT49</f>
        <v>0</v>
      </c>
      <c r="AU34" s="235">
        <f>Sales!AU49</f>
        <v>0</v>
      </c>
      <c r="AV34" s="240">
        <f>Sales!AV49</f>
        <v>0</v>
      </c>
      <c r="AW34" s="240">
        <f>Sales!AW49</f>
        <v>0</v>
      </c>
      <c r="AX34" s="240">
        <f>Sales!AX49</f>
        <v>0</v>
      </c>
      <c r="AY34" s="240">
        <f>Sales!AY49</f>
        <v>0</v>
      </c>
      <c r="AZ34" s="235">
        <f>Sales!AZ49</f>
        <v>0</v>
      </c>
      <c r="BA34" s="240">
        <f>Sales!BA49</f>
        <v>0</v>
      </c>
      <c r="BB34" s="240">
        <f>Sales!BB49</f>
        <v>0</v>
      </c>
      <c r="BC34" s="240">
        <f>Sales!BC49</f>
        <v>0</v>
      </c>
      <c r="BD34" s="240">
        <f>Sales!BD49</f>
        <v>0</v>
      </c>
      <c r="BE34" s="235">
        <f>Sales!BE49</f>
        <v>0</v>
      </c>
      <c r="BF34" s="241">
        <f>Sales!BF49</f>
        <v>0</v>
      </c>
      <c r="BG34" s="241">
        <f>Sales!BG49</f>
        <v>0</v>
      </c>
      <c r="BH34" s="241">
        <f>Sales!BH49</f>
        <v>15</v>
      </c>
      <c r="BI34" s="241">
        <f>Sales!BI49</f>
        <v>12</v>
      </c>
      <c r="BJ34" s="235">
        <f>Sales!BJ49</f>
        <v>27</v>
      </c>
      <c r="BK34" s="241">
        <f>Sales!BK49</f>
        <v>0</v>
      </c>
      <c r="BL34" s="241">
        <f>Sales!BL49</f>
        <v>0</v>
      </c>
      <c r="BM34" s="241">
        <f>Sales!BM49</f>
        <v>0</v>
      </c>
      <c r="BN34" s="241">
        <f>Sales!BN49</f>
        <v>0</v>
      </c>
      <c r="BO34" s="235">
        <f>Sales!BO49</f>
        <v>125</v>
      </c>
      <c r="BP34" s="241">
        <f>Sales!BP49</f>
        <v>0</v>
      </c>
      <c r="BQ34" s="241">
        <f>Sales!BQ49</f>
        <v>0</v>
      </c>
      <c r="BR34" s="241">
        <f>Sales!BR49</f>
        <v>0</v>
      </c>
      <c r="BS34" s="241">
        <f>Sales!BS49</f>
        <v>0</v>
      </c>
      <c r="BT34" s="235">
        <f>Sales!BT49</f>
        <v>200</v>
      </c>
      <c r="BU34" s="241">
        <f>Sales!BU49</f>
        <v>0</v>
      </c>
      <c r="BV34" s="241">
        <f>Sales!BV49</f>
        <v>0</v>
      </c>
      <c r="BW34" s="241">
        <f>Sales!BW49</f>
        <v>0</v>
      </c>
      <c r="BX34" s="241">
        <f>Sales!BX49</f>
        <v>0</v>
      </c>
      <c r="BY34" s="235">
        <f>Sales!BY49</f>
        <v>300</v>
      </c>
      <c r="BZ34" s="241">
        <f>Sales!BZ49</f>
        <v>0</v>
      </c>
      <c r="CA34" s="241">
        <f>Sales!CA49</f>
        <v>0</v>
      </c>
      <c r="CB34" s="241">
        <f>Sales!CB49</f>
        <v>0</v>
      </c>
      <c r="CC34" s="241">
        <f>Sales!CC49</f>
        <v>0</v>
      </c>
      <c r="CD34" s="235">
        <f>Sales!CD49</f>
        <v>375</v>
      </c>
    </row>
    <row r="35" spans="2:83" s="252" customFormat="1" ht="15" hidden="1" outlineLevel="2">
      <c r="B35" s="625" t="str">
        <f>Sales!B51</f>
        <v>Other Ophthalmology Rx</v>
      </c>
      <c r="C35" s="641">
        <f>Sales!C51</f>
        <v>0</v>
      </c>
      <c r="D35" s="642">
        <f>Sales!D51</f>
        <v>0</v>
      </c>
      <c r="E35" s="642">
        <f>Sales!E51</f>
        <v>0</v>
      </c>
      <c r="F35" s="642">
        <f>Sales!F51</f>
        <v>0</v>
      </c>
      <c r="G35" s="643">
        <f>Sales!G51</f>
        <v>0</v>
      </c>
      <c r="H35" s="642">
        <f>Sales!H51</f>
        <v>0</v>
      </c>
      <c r="I35" s="642">
        <f>Sales!I51</f>
        <v>0</v>
      </c>
      <c r="J35" s="642">
        <f>Sales!J51</f>
        <v>0</v>
      </c>
      <c r="K35" s="642">
        <f>Sales!K51</f>
        <v>0</v>
      </c>
      <c r="L35" s="643">
        <f>Sales!L51</f>
        <v>0</v>
      </c>
      <c r="M35" s="642">
        <f>Sales!M51</f>
        <v>0</v>
      </c>
      <c r="N35" s="642">
        <f>Sales!N51</f>
        <v>0</v>
      </c>
      <c r="O35" s="642">
        <f>Sales!O51</f>
        <v>0</v>
      </c>
      <c r="P35" s="642">
        <f>Sales!P51</f>
        <v>0</v>
      </c>
      <c r="Q35" s="643">
        <f>Sales!Q51</f>
        <v>0</v>
      </c>
      <c r="R35" s="642">
        <f>Sales!R51</f>
        <v>0</v>
      </c>
      <c r="S35" s="642">
        <f>Sales!S51</f>
        <v>0</v>
      </c>
      <c r="T35" s="642">
        <f>Sales!T51</f>
        <v>0</v>
      </c>
      <c r="U35" s="642">
        <f>Sales!U51</f>
        <v>0</v>
      </c>
      <c r="V35" s="643">
        <f>Sales!V51</f>
        <v>0</v>
      </c>
      <c r="W35" s="644">
        <f>Sales!W51</f>
        <v>0</v>
      </c>
      <c r="X35" s="637">
        <f>Sales!X51</f>
        <v>0</v>
      </c>
      <c r="Y35" s="637">
        <f>Sales!Y51</f>
        <v>0</v>
      </c>
      <c r="Z35" s="637">
        <f>Sales!Z51</f>
        <v>0</v>
      </c>
      <c r="AA35" s="634">
        <f>Sales!AA51</f>
        <v>0</v>
      </c>
      <c r="AB35" s="644">
        <f>Sales!AB51</f>
        <v>0</v>
      </c>
      <c r="AC35" s="644">
        <f>Sales!AC51</f>
        <v>0</v>
      </c>
      <c r="AD35" s="644">
        <f>Sales!AD51</f>
        <v>0</v>
      </c>
      <c r="AE35" s="644">
        <f>Sales!AE51</f>
        <v>0</v>
      </c>
      <c r="AF35" s="634">
        <f>Sales!AF51</f>
        <v>0</v>
      </c>
      <c r="AG35" s="644">
        <f>Sales!AG51</f>
        <v>0</v>
      </c>
      <c r="AH35" s="644">
        <f>Sales!AH51</f>
        <v>0</v>
      </c>
      <c r="AI35" s="644">
        <f>Sales!AI51</f>
        <v>0</v>
      </c>
      <c r="AJ35" s="644">
        <f>Sales!AJ51</f>
        <v>0</v>
      </c>
      <c r="AK35" s="634">
        <f>Sales!AK51</f>
        <v>0</v>
      </c>
      <c r="AL35" s="637">
        <f>Sales!AL51</f>
        <v>0</v>
      </c>
      <c r="AM35" s="637">
        <f>Sales!AM51</f>
        <v>0</v>
      </c>
      <c r="AN35" s="637">
        <f>Sales!AN51</f>
        <v>0</v>
      </c>
      <c r="AO35" s="637">
        <f>Sales!AO51</f>
        <v>0</v>
      </c>
      <c r="AP35" s="634">
        <f>Sales!AP51</f>
        <v>0</v>
      </c>
      <c r="AQ35" s="638">
        <f>Sales!AQ51</f>
        <v>0</v>
      </c>
      <c r="AR35" s="637">
        <f>Sales!AR51</f>
        <v>0</v>
      </c>
      <c r="AS35" s="633">
        <f>Sales!AS51</f>
        <v>0</v>
      </c>
      <c r="AT35" s="633">
        <f>Sales!AT51</f>
        <v>0</v>
      </c>
      <c r="AU35" s="634">
        <f>Sales!AU51</f>
        <v>0</v>
      </c>
      <c r="AV35" s="626">
        <f>Sales!AV51</f>
        <v>73.3</v>
      </c>
      <c r="AW35" s="626">
        <f>Sales!AW51</f>
        <v>71.5</v>
      </c>
      <c r="AX35" s="626">
        <f>Sales!AX51</f>
        <v>82.8</v>
      </c>
      <c r="AY35" s="626">
        <f>Sales!AY51</f>
        <v>86.800000000000011</v>
      </c>
      <c r="AZ35" s="627">
        <f>Sales!AZ51</f>
        <v>314.40000000000003</v>
      </c>
      <c r="BA35" s="626">
        <f>Sales!BA51</f>
        <v>86.1</v>
      </c>
      <c r="BB35" s="626">
        <f>Sales!BB51</f>
        <v>82.4</v>
      </c>
      <c r="BC35" s="640">
        <f>Sales!BC51</f>
        <v>70.3</v>
      </c>
      <c r="BD35" s="640">
        <f>Sales!BD51</f>
        <v>69</v>
      </c>
      <c r="BE35" s="627">
        <f>Sales!BE51</f>
        <v>307.8</v>
      </c>
      <c r="BF35" s="629">
        <f>Sales!BF51</f>
        <v>70</v>
      </c>
      <c r="BG35" s="629">
        <f>Sales!BG51</f>
        <v>75</v>
      </c>
      <c r="BH35" s="629">
        <f>Sales!BH51</f>
        <v>75</v>
      </c>
      <c r="BI35" s="629">
        <f>Sales!BI51</f>
        <v>75</v>
      </c>
      <c r="BJ35" s="627">
        <f>Sales!BJ51</f>
        <v>295</v>
      </c>
      <c r="BK35" s="629">
        <f>Sales!BK51</f>
        <v>0</v>
      </c>
      <c r="BL35" s="629">
        <f>Sales!BL51</f>
        <v>0</v>
      </c>
      <c r="BM35" s="629">
        <f>Sales!BM51</f>
        <v>0</v>
      </c>
      <c r="BN35" s="629">
        <f>Sales!BN51</f>
        <v>0</v>
      </c>
      <c r="BO35" s="627">
        <f>Sales!BO51</f>
        <v>306.8</v>
      </c>
      <c r="BP35" s="629">
        <f>Sales!BP51</f>
        <v>0</v>
      </c>
      <c r="BQ35" s="629">
        <f>Sales!BQ51</f>
        <v>0</v>
      </c>
      <c r="BR35" s="629">
        <f>Sales!BR51</f>
        <v>0</v>
      </c>
      <c r="BS35" s="629">
        <f>Sales!BS51</f>
        <v>0</v>
      </c>
      <c r="BT35" s="627">
        <f>Sales!BT51</f>
        <v>319.072</v>
      </c>
      <c r="BU35" s="629">
        <f>Sales!BU51</f>
        <v>0</v>
      </c>
      <c r="BV35" s="629">
        <f>Sales!BV51</f>
        <v>0</v>
      </c>
      <c r="BW35" s="629">
        <f>Sales!BW51</f>
        <v>0</v>
      </c>
      <c r="BX35" s="629">
        <f>Sales!BX51</f>
        <v>0</v>
      </c>
      <c r="BY35" s="627">
        <f>Sales!BY51</f>
        <v>328.64416</v>
      </c>
      <c r="BZ35" s="629">
        <f>Sales!BZ51</f>
        <v>0</v>
      </c>
      <c r="CA35" s="629">
        <f>Sales!CA51</f>
        <v>0</v>
      </c>
      <c r="CB35" s="629">
        <f>Sales!CB51</f>
        <v>0</v>
      </c>
      <c r="CC35" s="629">
        <f>Sales!CC51</f>
        <v>0</v>
      </c>
      <c r="CD35" s="627">
        <f>Sales!CD51</f>
        <v>335.21704319999998</v>
      </c>
    </row>
    <row r="36" spans="2:83" s="252" customFormat="1" collapsed="1">
      <c r="B36" s="298" t="str">
        <f>Sales!B53</f>
        <v>Total Ophthalmology Rx</v>
      </c>
      <c r="C36" s="317">
        <f>Sales!C53</f>
        <v>0</v>
      </c>
      <c r="D36" s="318">
        <f>Sales!D53</f>
        <v>0</v>
      </c>
      <c r="E36" s="318">
        <f>Sales!E53</f>
        <v>0</v>
      </c>
      <c r="F36" s="318">
        <f>Sales!F53</f>
        <v>0</v>
      </c>
      <c r="G36" s="319">
        <f>Sales!G53</f>
        <v>0</v>
      </c>
      <c r="H36" s="318">
        <f>Sales!H53</f>
        <v>0</v>
      </c>
      <c r="I36" s="318">
        <f>Sales!I53</f>
        <v>0</v>
      </c>
      <c r="J36" s="318">
        <f>Sales!J53</f>
        <v>0</v>
      </c>
      <c r="K36" s="318">
        <f>Sales!K53</f>
        <v>0</v>
      </c>
      <c r="L36" s="319">
        <f>Sales!L53</f>
        <v>0</v>
      </c>
      <c r="M36" s="318">
        <f>Sales!M53</f>
        <v>0</v>
      </c>
      <c r="N36" s="318">
        <f>Sales!N53</f>
        <v>0</v>
      </c>
      <c r="O36" s="318">
        <f>Sales!O53</f>
        <v>0</v>
      </c>
      <c r="P36" s="318">
        <f>Sales!P53</f>
        <v>0</v>
      </c>
      <c r="Q36" s="319">
        <f>Sales!Q53</f>
        <v>0</v>
      </c>
      <c r="R36" s="318">
        <f>Sales!R53</f>
        <v>0</v>
      </c>
      <c r="S36" s="318">
        <f>Sales!S53</f>
        <v>0</v>
      </c>
      <c r="T36" s="318">
        <f>Sales!T53</f>
        <v>0</v>
      </c>
      <c r="U36" s="318">
        <f>Sales!U53</f>
        <v>0</v>
      </c>
      <c r="V36" s="319">
        <f>Sales!V53</f>
        <v>0</v>
      </c>
      <c r="W36" s="320">
        <f>Sales!W53</f>
        <v>0</v>
      </c>
      <c r="X36" s="321">
        <f>Sales!X53</f>
        <v>0</v>
      </c>
      <c r="Y36" s="321">
        <f>Sales!Y53</f>
        <v>0</v>
      </c>
      <c r="Z36" s="321">
        <f>Sales!Z53</f>
        <v>0</v>
      </c>
      <c r="AA36" s="322">
        <f>Sales!AA53</f>
        <v>0</v>
      </c>
      <c r="AB36" s="320">
        <f>Sales!AB53</f>
        <v>0</v>
      </c>
      <c r="AC36" s="320">
        <f>Sales!AC53</f>
        <v>0</v>
      </c>
      <c r="AD36" s="320">
        <f>Sales!AD53</f>
        <v>0</v>
      </c>
      <c r="AE36" s="320">
        <f>Sales!AE53</f>
        <v>0</v>
      </c>
      <c r="AF36" s="322">
        <f>Sales!AF53</f>
        <v>0</v>
      </c>
      <c r="AG36" s="320">
        <f>Sales!AG53</f>
        <v>0</v>
      </c>
      <c r="AH36" s="320">
        <f>Sales!AH53</f>
        <v>0</v>
      </c>
      <c r="AI36" s="320">
        <f>Sales!AI53</f>
        <v>0</v>
      </c>
      <c r="AJ36" s="320">
        <f>Sales!AJ53</f>
        <v>0</v>
      </c>
      <c r="AK36" s="322">
        <f>Sales!AK53</f>
        <v>0</v>
      </c>
      <c r="AL36" s="321">
        <f>Sales!AL53</f>
        <v>0</v>
      </c>
      <c r="AM36" s="321">
        <f>Sales!AM53</f>
        <v>0</v>
      </c>
      <c r="AN36" s="321">
        <f>Sales!AN53</f>
        <v>0</v>
      </c>
      <c r="AO36" s="321">
        <f>Sales!AO53</f>
        <v>0</v>
      </c>
      <c r="AP36" s="322">
        <f>Sales!AP53</f>
        <v>0</v>
      </c>
      <c r="AQ36" s="323">
        <f>Sales!AQ53</f>
        <v>0</v>
      </c>
      <c r="AR36" s="321">
        <f>Sales!AR53</f>
        <v>0</v>
      </c>
      <c r="AS36" s="275">
        <f>Sales!AS53</f>
        <v>74.8</v>
      </c>
      <c r="AT36" s="275">
        <f>Sales!AT53</f>
        <v>122.6</v>
      </c>
      <c r="AU36" s="322">
        <f>Sales!AU53</f>
        <v>0</v>
      </c>
      <c r="AV36" s="275">
        <f>Sales!AV53</f>
        <v>99.3</v>
      </c>
      <c r="AW36" s="275">
        <f>Sales!AW53</f>
        <v>116.5</v>
      </c>
      <c r="AX36" s="275">
        <f>Sales!AX53</f>
        <v>117.8</v>
      </c>
      <c r="AY36" s="275">
        <f>Sales!AY53</f>
        <v>131.80000000000001</v>
      </c>
      <c r="AZ36" s="277">
        <f>Sales!AZ53</f>
        <v>465.40000000000003</v>
      </c>
      <c r="BA36" s="275">
        <f>Sales!BA53</f>
        <v>129.1</v>
      </c>
      <c r="BB36" s="275">
        <f>Sales!BB53</f>
        <v>135.4</v>
      </c>
      <c r="BC36" s="275">
        <f>Sales!BC53</f>
        <v>114.3</v>
      </c>
      <c r="BD36" s="275">
        <f>Sales!BD53</f>
        <v>112</v>
      </c>
      <c r="BE36" s="277">
        <f>Sales!BE53</f>
        <v>490.8</v>
      </c>
      <c r="BF36" s="28">
        <f>Sales!BF53</f>
        <v>110</v>
      </c>
      <c r="BG36" s="28">
        <f>Sales!BG53</f>
        <v>120</v>
      </c>
      <c r="BH36" s="28">
        <f>Sales!BH53</f>
        <v>130</v>
      </c>
      <c r="BI36" s="28">
        <f>Sales!BI53</f>
        <v>132</v>
      </c>
      <c r="BJ36" s="277">
        <f>Sales!BJ53</f>
        <v>492</v>
      </c>
      <c r="BK36" s="28">
        <f>Sales!BK53</f>
        <v>0</v>
      </c>
      <c r="BL36" s="28">
        <f>Sales!BL53</f>
        <v>0</v>
      </c>
      <c r="BM36" s="28">
        <f>Sales!BM53</f>
        <v>0</v>
      </c>
      <c r="BN36" s="28">
        <f>Sales!BN53</f>
        <v>0</v>
      </c>
      <c r="BO36" s="277">
        <f>Sales!BO53</f>
        <v>608.6</v>
      </c>
      <c r="BP36" s="28">
        <f>Sales!BP53</f>
        <v>0</v>
      </c>
      <c r="BQ36" s="28">
        <f>Sales!BQ53</f>
        <v>0</v>
      </c>
      <c r="BR36" s="28">
        <f>Sales!BR53</f>
        <v>0</v>
      </c>
      <c r="BS36" s="28">
        <f>Sales!BS53</f>
        <v>0</v>
      </c>
      <c r="BT36" s="277">
        <f>Sales!BT53</f>
        <v>702.94399999999996</v>
      </c>
      <c r="BU36" s="28">
        <f>Sales!BU53</f>
        <v>0</v>
      </c>
      <c r="BV36" s="28">
        <f>Sales!BV53</f>
        <v>0</v>
      </c>
      <c r="BW36" s="28">
        <f>Sales!BW53</f>
        <v>0</v>
      </c>
      <c r="BX36" s="28">
        <f>Sales!BX53</f>
        <v>0</v>
      </c>
      <c r="BY36" s="277">
        <f>Sales!BY53</f>
        <v>816.19360000000006</v>
      </c>
      <c r="BZ36" s="28">
        <f>Sales!BZ53</f>
        <v>0</v>
      </c>
      <c r="CA36" s="28">
        <f>Sales!CA53</f>
        <v>0</v>
      </c>
      <c r="CB36" s="28">
        <f>Sales!CB53</f>
        <v>0</v>
      </c>
      <c r="CC36" s="28">
        <f>Sales!CC53</f>
        <v>0</v>
      </c>
      <c r="CD36" s="277">
        <f>Sales!CD53</f>
        <v>901.517472</v>
      </c>
    </row>
    <row r="37" spans="2:83" s="252" customFormat="1" hidden="1">
      <c r="B37" s="309" t="str">
        <f>Sales!B54</f>
        <v>growth</v>
      </c>
      <c r="C37" s="317">
        <f>Sales!C54</f>
        <v>0</v>
      </c>
      <c r="D37" s="318">
        <f>Sales!D54</f>
        <v>0</v>
      </c>
      <c r="E37" s="318">
        <f>Sales!E54</f>
        <v>0</v>
      </c>
      <c r="F37" s="318">
        <f>Sales!F54</f>
        <v>0</v>
      </c>
      <c r="G37" s="319">
        <f>Sales!G54</f>
        <v>0</v>
      </c>
      <c r="H37" s="318">
        <f>Sales!H54</f>
        <v>0</v>
      </c>
      <c r="I37" s="318">
        <f>Sales!I54</f>
        <v>0</v>
      </c>
      <c r="J37" s="318">
        <f>Sales!J54</f>
        <v>0</v>
      </c>
      <c r="K37" s="318">
        <f>Sales!K54</f>
        <v>0</v>
      </c>
      <c r="L37" s="319">
        <f>Sales!L54</f>
        <v>0</v>
      </c>
      <c r="M37" s="318">
        <f>Sales!M54</f>
        <v>0</v>
      </c>
      <c r="N37" s="318">
        <f>Sales!N54</f>
        <v>0</v>
      </c>
      <c r="O37" s="318">
        <f>Sales!O54</f>
        <v>0</v>
      </c>
      <c r="P37" s="318">
        <f>Sales!P54</f>
        <v>0</v>
      </c>
      <c r="Q37" s="319">
        <f>Sales!Q54</f>
        <v>0</v>
      </c>
      <c r="R37" s="318">
        <f>Sales!R54</f>
        <v>0</v>
      </c>
      <c r="S37" s="318">
        <f>Sales!S54</f>
        <v>0</v>
      </c>
      <c r="T37" s="318">
        <f>Sales!T54</f>
        <v>0</v>
      </c>
      <c r="U37" s="318">
        <f>Sales!U54</f>
        <v>0</v>
      </c>
      <c r="V37" s="319">
        <f>Sales!V54</f>
        <v>0</v>
      </c>
      <c r="W37" s="320">
        <f>Sales!W54</f>
        <v>0</v>
      </c>
      <c r="X37" s="321">
        <f>Sales!X54</f>
        <v>0</v>
      </c>
      <c r="Y37" s="321">
        <f>Sales!Y54</f>
        <v>0</v>
      </c>
      <c r="Z37" s="321">
        <f>Sales!Z54</f>
        <v>0</v>
      </c>
      <c r="AA37" s="322">
        <f>Sales!AA54</f>
        <v>0</v>
      </c>
      <c r="AB37" s="320">
        <f>Sales!AB54</f>
        <v>0</v>
      </c>
      <c r="AC37" s="320">
        <f>Sales!AC54</f>
        <v>0</v>
      </c>
      <c r="AD37" s="320">
        <f>Sales!AD54</f>
        <v>0</v>
      </c>
      <c r="AE37" s="320">
        <f>Sales!AE54</f>
        <v>0</v>
      </c>
      <c r="AF37" s="322">
        <f>Sales!AF54</f>
        <v>0</v>
      </c>
      <c r="AG37" s="320">
        <f>Sales!AG54</f>
        <v>0</v>
      </c>
      <c r="AH37" s="320">
        <f>Sales!AH54</f>
        <v>0</v>
      </c>
      <c r="AI37" s="320">
        <f>Sales!AI54</f>
        <v>0</v>
      </c>
      <c r="AJ37" s="320">
        <f>Sales!AJ54</f>
        <v>0</v>
      </c>
      <c r="AK37" s="322">
        <f>Sales!AK54</f>
        <v>0</v>
      </c>
      <c r="AL37" s="321">
        <f>Sales!AL54</f>
        <v>0</v>
      </c>
      <c r="AM37" s="321">
        <f>Sales!AM54</f>
        <v>0</v>
      </c>
      <c r="AN37" s="321">
        <f>Sales!AN54</f>
        <v>0</v>
      </c>
      <c r="AO37" s="321">
        <f>Sales!AO54</f>
        <v>0</v>
      </c>
      <c r="AP37" s="322">
        <f>Sales!AP54</f>
        <v>0</v>
      </c>
      <c r="AQ37" s="323">
        <f>Sales!AQ54</f>
        <v>0</v>
      </c>
      <c r="AR37" s="321">
        <f>Sales!AR54</f>
        <v>0</v>
      </c>
      <c r="AS37" s="324">
        <f>Sales!AS54</f>
        <v>0</v>
      </c>
      <c r="AT37" s="324">
        <f>Sales!AT54</f>
        <v>0</v>
      </c>
      <c r="AU37" s="322">
        <f>Sales!AU54</f>
        <v>0</v>
      </c>
      <c r="AV37" s="321">
        <f>Sales!AV54</f>
        <v>0</v>
      </c>
      <c r="AW37" s="324">
        <f>Sales!AW54</f>
        <v>0</v>
      </c>
      <c r="AX37" s="281">
        <f>Sales!AX54</f>
        <v>0.57486631016042788</v>
      </c>
      <c r="AY37" s="281">
        <f>Sales!AY54</f>
        <v>7.5040783034257874E-2</v>
      </c>
      <c r="AZ37" s="322">
        <f>Sales!AZ54</f>
        <v>0</v>
      </c>
      <c r="BA37" s="281">
        <f>Sales!BA54</f>
        <v>0.30010070493454166</v>
      </c>
      <c r="BB37" s="281">
        <f>Sales!BB54</f>
        <v>0.16223175965665249</v>
      </c>
      <c r="BC37" s="281">
        <f>Sales!BC54</f>
        <v>-2.9711375212224111E-2</v>
      </c>
      <c r="BD37" s="281">
        <f>Sales!BD54</f>
        <v>-0.15022761760242798</v>
      </c>
      <c r="BE37" s="282">
        <f>Sales!BE54</f>
        <v>5.4576708207993097E-2</v>
      </c>
      <c r="BF37" s="28">
        <f>Sales!BF54</f>
        <v>-0.14794732765298213</v>
      </c>
      <c r="BG37" s="28">
        <f>Sales!BG54</f>
        <v>-0.11373707533234867</v>
      </c>
      <c r="BH37" s="28">
        <f>Sales!BH54</f>
        <v>0.13735783027121617</v>
      </c>
      <c r="BI37" s="28">
        <f>Sales!BI54</f>
        <v>0.1785714285714286</v>
      </c>
      <c r="BJ37" s="282">
        <f>Sales!BJ54</f>
        <v>2.4449877750611915E-3</v>
      </c>
      <c r="BK37" s="28">
        <f>Sales!BK54</f>
        <v>0</v>
      </c>
      <c r="BL37" s="28">
        <f>Sales!BL54</f>
        <v>0</v>
      </c>
      <c r="BM37" s="28">
        <f>Sales!BM54</f>
        <v>0</v>
      </c>
      <c r="BN37" s="28">
        <f>Sales!BN54</f>
        <v>0</v>
      </c>
      <c r="BO37" s="282">
        <f>Sales!BO54</f>
        <v>0.23699186991869925</v>
      </c>
      <c r="BP37" s="28">
        <f>Sales!BP54</f>
        <v>0</v>
      </c>
      <c r="BQ37" s="28">
        <f>Sales!BQ54</f>
        <v>0</v>
      </c>
      <c r="BR37" s="28">
        <f>Sales!BR54</f>
        <v>0</v>
      </c>
      <c r="BS37" s="28">
        <f>Sales!BS54</f>
        <v>0</v>
      </c>
      <c r="BT37" s="282">
        <f>Sales!BT54</f>
        <v>0.15501807426881364</v>
      </c>
      <c r="BU37" s="28">
        <f>Sales!BU54</f>
        <v>0</v>
      </c>
      <c r="BV37" s="28">
        <f>Sales!BV54</f>
        <v>0</v>
      </c>
      <c r="BW37" s="28">
        <f>Sales!BW54</f>
        <v>0</v>
      </c>
      <c r="BX37" s="28">
        <f>Sales!BX54</f>
        <v>0</v>
      </c>
      <c r="BY37" s="282">
        <f>Sales!BY54</f>
        <v>0.1611075704465792</v>
      </c>
      <c r="BZ37" s="28">
        <f>Sales!BZ54</f>
        <v>0</v>
      </c>
      <c r="CA37" s="28">
        <f>Sales!CA54</f>
        <v>0</v>
      </c>
      <c r="CB37" s="28">
        <f>Sales!CB54</f>
        <v>0</v>
      </c>
      <c r="CC37" s="28">
        <f>Sales!CC54</f>
        <v>0</v>
      </c>
      <c r="CD37" s="282">
        <f>Sales!CD54</f>
        <v>0.10453876629270309</v>
      </c>
    </row>
    <row r="38" spans="2:83" s="252" customFormat="1" hidden="1">
      <c r="B38" s="325"/>
      <c r="C38" s="317"/>
      <c r="D38" s="318"/>
      <c r="E38" s="318"/>
      <c r="F38" s="318"/>
      <c r="G38" s="319"/>
      <c r="H38" s="318"/>
      <c r="I38" s="318"/>
      <c r="J38" s="318"/>
      <c r="K38" s="318"/>
      <c r="L38" s="319"/>
      <c r="M38" s="318"/>
      <c r="N38" s="318"/>
      <c r="O38" s="318"/>
      <c r="P38" s="318"/>
      <c r="Q38" s="319"/>
      <c r="R38" s="318"/>
      <c r="S38" s="318"/>
      <c r="T38" s="318"/>
      <c r="U38" s="318"/>
      <c r="V38" s="319"/>
      <c r="W38" s="320"/>
      <c r="X38" s="321"/>
      <c r="Y38" s="321"/>
      <c r="Z38" s="321"/>
      <c r="AA38" s="322"/>
      <c r="AB38" s="320"/>
      <c r="AC38" s="320"/>
      <c r="AD38" s="320"/>
      <c r="AE38" s="320"/>
      <c r="AF38" s="322"/>
      <c r="AG38" s="320"/>
      <c r="AH38" s="320"/>
      <c r="AI38" s="320"/>
      <c r="AJ38" s="320"/>
      <c r="AK38" s="322"/>
      <c r="AL38" s="321"/>
      <c r="AM38" s="321"/>
      <c r="AN38" s="321"/>
      <c r="AO38" s="321"/>
      <c r="AP38" s="322"/>
      <c r="AQ38" s="323"/>
      <c r="AR38" s="321"/>
      <c r="AS38" s="324"/>
      <c r="AT38" s="324"/>
      <c r="AU38" s="322"/>
      <c r="AV38" s="321"/>
      <c r="AW38" s="324"/>
      <c r="AX38" s="324"/>
      <c r="AY38" s="324"/>
      <c r="AZ38" s="322"/>
      <c r="BA38" s="321"/>
      <c r="BB38" s="324"/>
      <c r="BC38" s="324"/>
      <c r="BD38" s="324"/>
      <c r="BE38" s="282"/>
      <c r="BF38" s="28"/>
      <c r="BG38" s="28"/>
      <c r="BH38" s="28"/>
      <c r="BI38" s="28"/>
      <c r="BJ38" s="282"/>
      <c r="BK38" s="28"/>
      <c r="BL38" s="28"/>
      <c r="BM38" s="28"/>
      <c r="BN38" s="28"/>
      <c r="BO38" s="282"/>
      <c r="BP38" s="28"/>
      <c r="BQ38" s="28"/>
      <c r="BR38" s="28"/>
      <c r="BS38" s="28"/>
      <c r="BT38" s="282"/>
      <c r="BU38" s="28"/>
      <c r="BV38" s="28"/>
      <c r="BW38" s="28"/>
      <c r="BX38" s="28"/>
      <c r="BY38" s="282"/>
      <c r="BZ38" s="28"/>
      <c r="CA38" s="28"/>
      <c r="CB38" s="28"/>
      <c r="CC38" s="28"/>
      <c r="CD38" s="282"/>
    </row>
    <row r="39" spans="2:83" s="252" customFormat="1">
      <c r="B39" s="268" t="str">
        <f>Sales!B56</f>
        <v>Total Contact Lenses</v>
      </c>
      <c r="C39" s="317">
        <f>Sales!C56</f>
        <v>0</v>
      </c>
      <c r="D39" s="318">
        <f>Sales!D56</f>
        <v>0</v>
      </c>
      <c r="E39" s="318">
        <f>Sales!E56</f>
        <v>0</v>
      </c>
      <c r="F39" s="318">
        <f>Sales!F56</f>
        <v>0</v>
      </c>
      <c r="G39" s="319">
        <f>Sales!G56</f>
        <v>0</v>
      </c>
      <c r="H39" s="318">
        <f>Sales!H56</f>
        <v>0</v>
      </c>
      <c r="I39" s="318">
        <f>Sales!I56</f>
        <v>0</v>
      </c>
      <c r="J39" s="318">
        <f>Sales!J56</f>
        <v>0</v>
      </c>
      <c r="K39" s="318">
        <f>Sales!K56</f>
        <v>0</v>
      </c>
      <c r="L39" s="319">
        <f>Sales!L56</f>
        <v>0</v>
      </c>
      <c r="M39" s="318">
        <f>Sales!M56</f>
        <v>0</v>
      </c>
      <c r="N39" s="318">
        <f>Sales!N56</f>
        <v>0</v>
      </c>
      <c r="O39" s="318">
        <f>Sales!O56</f>
        <v>0</v>
      </c>
      <c r="P39" s="318">
        <f>Sales!P56</f>
        <v>0</v>
      </c>
      <c r="Q39" s="319">
        <f>Sales!Q56</f>
        <v>0</v>
      </c>
      <c r="R39" s="318">
        <f>Sales!R56</f>
        <v>0</v>
      </c>
      <c r="S39" s="318">
        <f>Sales!S56</f>
        <v>0</v>
      </c>
      <c r="T39" s="318">
        <f>Sales!T56</f>
        <v>0</v>
      </c>
      <c r="U39" s="318">
        <f>Sales!U56</f>
        <v>0</v>
      </c>
      <c r="V39" s="319">
        <f>Sales!V56</f>
        <v>0</v>
      </c>
      <c r="W39" s="320">
        <f>Sales!W56</f>
        <v>0</v>
      </c>
      <c r="X39" s="321">
        <f>Sales!X56</f>
        <v>0</v>
      </c>
      <c r="Y39" s="321">
        <f>Sales!Y56</f>
        <v>0</v>
      </c>
      <c r="Z39" s="321">
        <f>Sales!Z56</f>
        <v>0</v>
      </c>
      <c r="AA39" s="322">
        <f>Sales!AA56</f>
        <v>0</v>
      </c>
      <c r="AB39" s="320">
        <f>Sales!AB56</f>
        <v>0</v>
      </c>
      <c r="AC39" s="320">
        <f>Sales!AC56</f>
        <v>0</v>
      </c>
      <c r="AD39" s="320">
        <f>Sales!AD56</f>
        <v>0</v>
      </c>
      <c r="AE39" s="320">
        <f>Sales!AE56</f>
        <v>0</v>
      </c>
      <c r="AF39" s="322">
        <f>Sales!AF56</f>
        <v>0</v>
      </c>
      <c r="AG39" s="320">
        <f>Sales!AG56</f>
        <v>0</v>
      </c>
      <c r="AH39" s="320">
        <f>Sales!AH56</f>
        <v>0</v>
      </c>
      <c r="AI39" s="320">
        <f>Sales!AI56</f>
        <v>0</v>
      </c>
      <c r="AJ39" s="320">
        <f>Sales!AJ56</f>
        <v>0</v>
      </c>
      <c r="AK39" s="322">
        <f>Sales!AK56</f>
        <v>0</v>
      </c>
      <c r="AL39" s="321">
        <f>Sales!AL56</f>
        <v>0</v>
      </c>
      <c r="AM39" s="321">
        <f>Sales!AM56</f>
        <v>0</v>
      </c>
      <c r="AN39" s="321">
        <f>Sales!AN56</f>
        <v>0</v>
      </c>
      <c r="AO39" s="321">
        <f>Sales!AO56</f>
        <v>0</v>
      </c>
      <c r="AP39" s="322">
        <f>Sales!AP56</f>
        <v>0</v>
      </c>
      <c r="AQ39" s="323">
        <f>Sales!AQ56</f>
        <v>0</v>
      </c>
      <c r="AR39" s="321">
        <f>Sales!AR56</f>
        <v>0</v>
      </c>
      <c r="AS39" s="275">
        <f>Sales!AS56</f>
        <v>24.6</v>
      </c>
      <c r="AT39" s="275">
        <f>Sales!AT56</f>
        <v>37.6</v>
      </c>
      <c r="AU39" s="322">
        <f>Sales!AU56</f>
        <v>0</v>
      </c>
      <c r="AV39" s="275">
        <f>Sales!AV56</f>
        <v>40.9</v>
      </c>
      <c r="AW39" s="275">
        <f>Sales!AW56</f>
        <v>42.1</v>
      </c>
      <c r="AX39" s="275">
        <f>Sales!AX56</f>
        <v>44.8</v>
      </c>
      <c r="AY39" s="275">
        <f>Sales!AY56</f>
        <v>42.6</v>
      </c>
      <c r="AZ39" s="277">
        <f>Sales!AZ56</f>
        <v>170.4</v>
      </c>
      <c r="BA39" s="275">
        <f>Sales!BA56</f>
        <v>47.7</v>
      </c>
      <c r="BB39" s="275">
        <f>Sales!BB56</f>
        <v>51.2</v>
      </c>
      <c r="BC39" s="315">
        <f>Sales!BC56</f>
        <v>60.4</v>
      </c>
      <c r="BD39" s="315">
        <f>Sales!BD56</f>
        <v>53.5</v>
      </c>
      <c r="BE39" s="277">
        <f>Sales!BE56</f>
        <v>212.8</v>
      </c>
      <c r="BF39" s="28">
        <f>Sales!BF56</f>
        <v>55</v>
      </c>
      <c r="BG39" s="28">
        <f>Sales!BG56</f>
        <v>57</v>
      </c>
      <c r="BH39" s="28">
        <f>Sales!BH56</f>
        <v>60</v>
      </c>
      <c r="BI39" s="28">
        <f>Sales!BI56</f>
        <v>65</v>
      </c>
      <c r="BJ39" s="277">
        <f>Sales!BJ56</f>
        <v>237</v>
      </c>
      <c r="BK39" s="28">
        <f>Sales!BK56</f>
        <v>0</v>
      </c>
      <c r="BL39" s="28">
        <f>Sales!BL56</f>
        <v>0</v>
      </c>
      <c r="BM39" s="28">
        <f>Sales!BM56</f>
        <v>0</v>
      </c>
      <c r="BN39" s="28">
        <f>Sales!BN56</f>
        <v>0</v>
      </c>
      <c r="BO39" s="277">
        <f>Sales!BO56</f>
        <v>265.44</v>
      </c>
      <c r="BP39" s="28">
        <f>Sales!BP56</f>
        <v>0</v>
      </c>
      <c r="BQ39" s="28">
        <f>Sales!BQ56</f>
        <v>0</v>
      </c>
      <c r="BR39" s="28">
        <f>Sales!BR56</f>
        <v>0</v>
      </c>
      <c r="BS39" s="28">
        <f>Sales!BS56</f>
        <v>0</v>
      </c>
      <c r="BT39" s="277">
        <f>Sales!BT56</f>
        <v>291.98400000000004</v>
      </c>
      <c r="BU39" s="28">
        <f>Sales!BU56</f>
        <v>0</v>
      </c>
      <c r="BV39" s="28">
        <f>Sales!BV56</f>
        <v>0</v>
      </c>
      <c r="BW39" s="28">
        <f>Sales!BW56</f>
        <v>0</v>
      </c>
      <c r="BX39" s="28">
        <f>Sales!BX56</f>
        <v>0</v>
      </c>
      <c r="BY39" s="277">
        <f>Sales!BY56</f>
        <v>321.18240000000009</v>
      </c>
      <c r="BZ39" s="28">
        <f>Sales!BZ56</f>
        <v>0</v>
      </c>
      <c r="CA39" s="28">
        <f>Sales!CA56</f>
        <v>0</v>
      </c>
      <c r="CB39" s="28">
        <f>Sales!CB56</f>
        <v>0</v>
      </c>
      <c r="CC39" s="28">
        <f>Sales!CC56</f>
        <v>0</v>
      </c>
      <c r="CD39" s="277">
        <f>Sales!CD56</f>
        <v>353.3006400000001</v>
      </c>
    </row>
    <row r="40" spans="2:83" s="252" customFormat="1" hidden="1">
      <c r="B40" s="309" t="str">
        <f>Sales!B57</f>
        <v>growth</v>
      </c>
      <c r="C40" s="317">
        <f>Sales!C57</f>
        <v>0</v>
      </c>
      <c r="D40" s="318">
        <f>Sales!D57</f>
        <v>0</v>
      </c>
      <c r="E40" s="318">
        <f>Sales!E57</f>
        <v>0</v>
      </c>
      <c r="F40" s="318">
        <f>Sales!F57</f>
        <v>0</v>
      </c>
      <c r="G40" s="319">
        <f>Sales!G57</f>
        <v>0</v>
      </c>
      <c r="H40" s="318">
        <f>Sales!H57</f>
        <v>0</v>
      </c>
      <c r="I40" s="318">
        <f>Sales!I57</f>
        <v>0</v>
      </c>
      <c r="J40" s="318">
        <f>Sales!J57</f>
        <v>0</v>
      </c>
      <c r="K40" s="318">
        <f>Sales!K57</f>
        <v>0</v>
      </c>
      <c r="L40" s="319">
        <f>Sales!L57</f>
        <v>0</v>
      </c>
      <c r="M40" s="318">
        <f>Sales!M57</f>
        <v>0</v>
      </c>
      <c r="N40" s="318">
        <f>Sales!N57</f>
        <v>0</v>
      </c>
      <c r="O40" s="318">
        <f>Sales!O57</f>
        <v>0</v>
      </c>
      <c r="P40" s="318">
        <f>Sales!P57</f>
        <v>0</v>
      </c>
      <c r="Q40" s="319">
        <f>Sales!Q57</f>
        <v>0</v>
      </c>
      <c r="R40" s="318">
        <f>Sales!R57</f>
        <v>0</v>
      </c>
      <c r="S40" s="318">
        <f>Sales!S57</f>
        <v>0</v>
      </c>
      <c r="T40" s="318">
        <f>Sales!T57</f>
        <v>0</v>
      </c>
      <c r="U40" s="318">
        <f>Sales!U57</f>
        <v>0</v>
      </c>
      <c r="V40" s="319">
        <f>Sales!V57</f>
        <v>0</v>
      </c>
      <c r="W40" s="320">
        <f>Sales!W57</f>
        <v>0</v>
      </c>
      <c r="X40" s="321">
        <f>Sales!X57</f>
        <v>0</v>
      </c>
      <c r="Y40" s="321">
        <f>Sales!Y57</f>
        <v>0</v>
      </c>
      <c r="Z40" s="321">
        <f>Sales!Z57</f>
        <v>0</v>
      </c>
      <c r="AA40" s="322">
        <f>Sales!AA57</f>
        <v>0</v>
      </c>
      <c r="AB40" s="320">
        <f>Sales!AB57</f>
        <v>0</v>
      </c>
      <c r="AC40" s="320">
        <f>Sales!AC57</f>
        <v>0</v>
      </c>
      <c r="AD40" s="320">
        <f>Sales!AD57</f>
        <v>0</v>
      </c>
      <c r="AE40" s="320">
        <f>Sales!AE57</f>
        <v>0</v>
      </c>
      <c r="AF40" s="322">
        <f>Sales!AF57</f>
        <v>0</v>
      </c>
      <c r="AG40" s="320">
        <f>Sales!AG57</f>
        <v>0</v>
      </c>
      <c r="AH40" s="320">
        <f>Sales!AH57</f>
        <v>0</v>
      </c>
      <c r="AI40" s="320">
        <f>Sales!AI57</f>
        <v>0</v>
      </c>
      <c r="AJ40" s="320">
        <f>Sales!AJ57</f>
        <v>0</v>
      </c>
      <c r="AK40" s="322">
        <f>Sales!AK57</f>
        <v>0</v>
      </c>
      <c r="AL40" s="321">
        <f>Sales!AL57</f>
        <v>0</v>
      </c>
      <c r="AM40" s="321">
        <f>Sales!AM57</f>
        <v>0</v>
      </c>
      <c r="AN40" s="321">
        <f>Sales!AN57</f>
        <v>0</v>
      </c>
      <c r="AO40" s="321">
        <f>Sales!AO57</f>
        <v>0</v>
      </c>
      <c r="AP40" s="322">
        <f>Sales!AP57</f>
        <v>0</v>
      </c>
      <c r="AQ40" s="323">
        <f>Sales!AQ57</f>
        <v>0</v>
      </c>
      <c r="AR40" s="321">
        <f>Sales!AR57</f>
        <v>0</v>
      </c>
      <c r="AS40" s="324">
        <f>Sales!AS57</f>
        <v>0</v>
      </c>
      <c r="AT40" s="324">
        <f>Sales!AT57</f>
        <v>0</v>
      </c>
      <c r="AU40" s="322">
        <f>Sales!AU57</f>
        <v>0</v>
      </c>
      <c r="AV40" s="321">
        <f>Sales!AV57</f>
        <v>0</v>
      </c>
      <c r="AW40" s="324">
        <f>Sales!AW57</f>
        <v>0</v>
      </c>
      <c r="AX40" s="281">
        <f>Sales!AX57</f>
        <v>0.82113821138211351</v>
      </c>
      <c r="AY40" s="281">
        <f>Sales!AY57</f>
        <v>0.13297872340425521</v>
      </c>
      <c r="AZ40" s="322">
        <f>Sales!AZ57</f>
        <v>0</v>
      </c>
      <c r="BA40" s="281">
        <f>Sales!BA57</f>
        <v>0.16625916870415658</v>
      </c>
      <c r="BB40" s="281">
        <f>Sales!BB57</f>
        <v>0.21615201900237535</v>
      </c>
      <c r="BC40" s="324">
        <f>Sales!BC57</f>
        <v>0.34821428571428581</v>
      </c>
      <c r="BD40" s="324">
        <f>Sales!BD57</f>
        <v>0.255868544600939</v>
      </c>
      <c r="BE40" s="282">
        <f>Sales!BE57</f>
        <v>0.24882629107981225</v>
      </c>
      <c r="BF40" s="28">
        <f>Sales!BF57</f>
        <v>0.1530398322851152</v>
      </c>
      <c r="BG40" s="28">
        <f>Sales!BG57</f>
        <v>0.11328125</v>
      </c>
      <c r="BH40" s="28">
        <f>Sales!BH57</f>
        <v>-6.6225165562913135E-3</v>
      </c>
      <c r="BI40" s="28">
        <f>Sales!BI57</f>
        <v>0.2149532710280373</v>
      </c>
      <c r="BJ40" s="282">
        <f>Sales!BJ57</f>
        <v>0.11372180451127822</v>
      </c>
      <c r="BK40" s="28">
        <f>Sales!BK57</f>
        <v>0</v>
      </c>
      <c r="BL40" s="28">
        <f>Sales!BL57</f>
        <v>0</v>
      </c>
      <c r="BM40" s="28">
        <f>Sales!BM57</f>
        <v>0</v>
      </c>
      <c r="BN40" s="28">
        <f>Sales!BN57</f>
        <v>0</v>
      </c>
      <c r="BO40" s="282">
        <f>Sales!BO57</f>
        <v>0.12</v>
      </c>
      <c r="BP40" s="28">
        <f>Sales!BP57</f>
        <v>0</v>
      </c>
      <c r="BQ40" s="28">
        <f>Sales!BQ57</f>
        <v>0</v>
      </c>
      <c r="BR40" s="28">
        <f>Sales!BR57</f>
        <v>0</v>
      </c>
      <c r="BS40" s="28">
        <f>Sales!BS57</f>
        <v>0</v>
      </c>
      <c r="BT40" s="282">
        <f>Sales!BT57</f>
        <v>0.1</v>
      </c>
      <c r="BU40" s="28">
        <f>Sales!BU57</f>
        <v>0</v>
      </c>
      <c r="BV40" s="28">
        <f>Sales!BV57</f>
        <v>0</v>
      </c>
      <c r="BW40" s="28">
        <f>Sales!BW57</f>
        <v>0</v>
      </c>
      <c r="BX40" s="28">
        <f>Sales!BX57</f>
        <v>0</v>
      </c>
      <c r="BY40" s="282">
        <f>Sales!BY57</f>
        <v>0.1</v>
      </c>
      <c r="BZ40" s="28">
        <f>Sales!BZ57</f>
        <v>0</v>
      </c>
      <c r="CA40" s="28">
        <f>Sales!CA57</f>
        <v>0</v>
      </c>
      <c r="CB40" s="28">
        <f>Sales!CB57</f>
        <v>0</v>
      </c>
      <c r="CC40" s="28">
        <f>Sales!CC57</f>
        <v>0</v>
      </c>
      <c r="CD40" s="282">
        <f>Sales!CD57</f>
        <v>0.1</v>
      </c>
    </row>
    <row r="41" spans="2:83" s="252" customFormat="1" hidden="1">
      <c r="B41" s="325"/>
      <c r="C41" s="317"/>
      <c r="D41" s="318"/>
      <c r="E41" s="318"/>
      <c r="F41" s="318"/>
      <c r="G41" s="319"/>
      <c r="H41" s="318"/>
      <c r="I41" s="318"/>
      <c r="J41" s="318"/>
      <c r="K41" s="318"/>
      <c r="L41" s="319"/>
      <c r="M41" s="318"/>
      <c r="N41" s="318"/>
      <c r="O41" s="318"/>
      <c r="P41" s="318"/>
      <c r="Q41" s="319"/>
      <c r="R41" s="318"/>
      <c r="S41" s="318"/>
      <c r="T41" s="318"/>
      <c r="U41" s="318"/>
      <c r="V41" s="319"/>
      <c r="W41" s="320"/>
      <c r="X41" s="321"/>
      <c r="Y41" s="321"/>
      <c r="Z41" s="321"/>
      <c r="AA41" s="322"/>
      <c r="AB41" s="320"/>
      <c r="AC41" s="320"/>
      <c r="AD41" s="320"/>
      <c r="AE41" s="320"/>
      <c r="AF41" s="322"/>
      <c r="AG41" s="320"/>
      <c r="AH41" s="320"/>
      <c r="AI41" s="320"/>
      <c r="AJ41" s="320"/>
      <c r="AK41" s="322"/>
      <c r="AL41" s="321"/>
      <c r="AM41" s="321"/>
      <c r="AN41" s="321"/>
      <c r="AO41" s="321"/>
      <c r="AP41" s="322"/>
      <c r="AQ41" s="323"/>
      <c r="AR41" s="321"/>
      <c r="AS41" s="324"/>
      <c r="AT41" s="324"/>
      <c r="AU41" s="322"/>
      <c r="AV41" s="321"/>
      <c r="AW41" s="324"/>
      <c r="AX41" s="324"/>
      <c r="AY41" s="324"/>
      <c r="AZ41" s="322"/>
      <c r="BA41" s="321"/>
      <c r="BB41" s="324"/>
      <c r="BC41" s="324"/>
      <c r="BD41" s="324"/>
      <c r="BE41" s="282"/>
      <c r="BF41" s="28"/>
      <c r="BG41" s="28"/>
      <c r="BH41" s="28"/>
      <c r="BI41" s="28"/>
      <c r="BJ41" s="276"/>
      <c r="BK41" s="28"/>
      <c r="BL41" s="28"/>
      <c r="BM41" s="28"/>
      <c r="BN41" s="28"/>
      <c r="BO41" s="276"/>
      <c r="BP41" s="28"/>
      <c r="BQ41" s="28"/>
      <c r="BR41" s="28"/>
      <c r="BS41" s="28"/>
      <c r="BT41" s="276"/>
      <c r="BU41" s="28"/>
      <c r="BV41" s="28"/>
      <c r="BW41" s="28"/>
      <c r="BX41" s="28"/>
      <c r="BY41" s="276"/>
      <c r="BZ41" s="28"/>
      <c r="CA41" s="28"/>
      <c r="CB41" s="28"/>
      <c r="CC41" s="28"/>
      <c r="CD41" s="276"/>
    </row>
    <row r="42" spans="2:83" s="285" customFormat="1">
      <c r="B42" s="298" t="str">
        <f>Sales!B59</f>
        <v>Total Surgical</v>
      </c>
      <c r="C42" s="310">
        <f>Sales!C59</f>
        <v>0</v>
      </c>
      <c r="D42" s="310">
        <f>Sales!D59</f>
        <v>0</v>
      </c>
      <c r="E42" s="310">
        <f>Sales!E59</f>
        <v>0</v>
      </c>
      <c r="F42" s="310">
        <f>Sales!F59</f>
        <v>0</v>
      </c>
      <c r="G42" s="311">
        <f>Sales!G59</f>
        <v>0</v>
      </c>
      <c r="H42" s="310">
        <f>Sales!H59</f>
        <v>0</v>
      </c>
      <c r="I42" s="310">
        <f>Sales!I59</f>
        <v>0</v>
      </c>
      <c r="J42" s="310">
        <f>Sales!J59</f>
        <v>0</v>
      </c>
      <c r="K42" s="310">
        <f>Sales!K59</f>
        <v>0</v>
      </c>
      <c r="L42" s="311">
        <f>Sales!L59</f>
        <v>0</v>
      </c>
      <c r="M42" s="310">
        <f>Sales!M59</f>
        <v>0</v>
      </c>
      <c r="N42" s="310">
        <f>Sales!N59</f>
        <v>0</v>
      </c>
      <c r="O42" s="310">
        <f>Sales!O59</f>
        <v>0</v>
      </c>
      <c r="P42" s="310">
        <f>Sales!P59</f>
        <v>0</v>
      </c>
      <c r="Q42" s="311">
        <f>Sales!Q59</f>
        <v>0</v>
      </c>
      <c r="R42" s="310">
        <f>Sales!R59</f>
        <v>0</v>
      </c>
      <c r="S42" s="310">
        <f>Sales!S59</f>
        <v>0</v>
      </c>
      <c r="T42" s="310">
        <f>Sales!T59</f>
        <v>0</v>
      </c>
      <c r="U42" s="310">
        <f>Sales!U59</f>
        <v>0</v>
      </c>
      <c r="V42" s="311">
        <f>Sales!V59</f>
        <v>0</v>
      </c>
      <c r="W42" s="310">
        <f>Sales!W59</f>
        <v>0</v>
      </c>
      <c r="X42" s="310">
        <f>Sales!X59</f>
        <v>0</v>
      </c>
      <c r="Y42" s="310">
        <f>Sales!Y59</f>
        <v>0</v>
      </c>
      <c r="Z42" s="310">
        <f>Sales!Z59</f>
        <v>0</v>
      </c>
      <c r="AA42" s="311">
        <f>Sales!AA59</f>
        <v>0</v>
      </c>
      <c r="AB42" s="310">
        <f>Sales!AB59</f>
        <v>0</v>
      </c>
      <c r="AC42" s="310">
        <f>Sales!AC59</f>
        <v>0</v>
      </c>
      <c r="AD42" s="310">
        <f>Sales!AD59</f>
        <v>0</v>
      </c>
      <c r="AE42" s="310">
        <f>Sales!AE59</f>
        <v>0</v>
      </c>
      <c r="AF42" s="311">
        <f>Sales!AF59</f>
        <v>0</v>
      </c>
      <c r="AG42" s="310">
        <f>Sales!AG59</f>
        <v>0</v>
      </c>
      <c r="AH42" s="310">
        <f>Sales!AH59</f>
        <v>0</v>
      </c>
      <c r="AI42" s="310">
        <f>Sales!AI59</f>
        <v>0</v>
      </c>
      <c r="AJ42" s="310">
        <f>Sales!AJ59</f>
        <v>0</v>
      </c>
      <c r="AK42" s="311">
        <f>Sales!AK59</f>
        <v>0</v>
      </c>
      <c r="AL42" s="314">
        <f>Sales!AL59</f>
        <v>0</v>
      </c>
      <c r="AM42" s="313">
        <f>Sales!AM59</f>
        <v>0</v>
      </c>
      <c r="AN42" s="314">
        <f>Sales!AN59</f>
        <v>0</v>
      </c>
      <c r="AO42" s="315">
        <f>Sales!AO59</f>
        <v>0</v>
      </c>
      <c r="AP42" s="311">
        <f>Sales!AP59</f>
        <v>0</v>
      </c>
      <c r="AQ42" s="316">
        <f>Sales!AQ59</f>
        <v>0</v>
      </c>
      <c r="AR42" s="310">
        <f>Sales!AR59</f>
        <v>0</v>
      </c>
      <c r="AS42" s="275">
        <f>Sales!AS59</f>
        <v>31.1</v>
      </c>
      <c r="AT42" s="275">
        <f>Sales!AT59</f>
        <v>59.3</v>
      </c>
      <c r="AU42" s="311">
        <f>Sales!AU59</f>
        <v>0</v>
      </c>
      <c r="AV42" s="275">
        <f>Sales!AV59</f>
        <v>48.3</v>
      </c>
      <c r="AW42" s="275">
        <f>Sales!AW59</f>
        <v>56.2</v>
      </c>
      <c r="AX42" s="275">
        <f>Sales!AX59</f>
        <v>54</v>
      </c>
      <c r="AY42" s="275">
        <f>Sales!AY59</f>
        <v>56.6</v>
      </c>
      <c r="AZ42" s="277">
        <f>Sales!AZ59</f>
        <v>215.1</v>
      </c>
      <c r="BA42" s="275">
        <f>Sales!BA59</f>
        <v>48.1</v>
      </c>
      <c r="BB42" s="275">
        <f>Sales!BB59</f>
        <v>56.5</v>
      </c>
      <c r="BC42" s="315">
        <f>Sales!BC59</f>
        <v>54.6</v>
      </c>
      <c r="BD42" s="315">
        <f>Sales!BD59</f>
        <v>65.400000000000006</v>
      </c>
      <c r="BE42" s="332">
        <f>Sales!BE59</f>
        <v>224.6</v>
      </c>
      <c r="BF42" s="285">
        <f>Sales!BF59</f>
        <v>75</v>
      </c>
      <c r="BG42" s="285">
        <f>Sales!BG59</f>
        <v>77</v>
      </c>
      <c r="BH42" s="285">
        <f>Sales!BH59</f>
        <v>78</v>
      </c>
      <c r="BI42" s="285">
        <f>Sales!BI59</f>
        <v>80</v>
      </c>
      <c r="BJ42" s="332">
        <f>Sales!BJ59</f>
        <v>310</v>
      </c>
      <c r="BK42" s="285">
        <f>Sales!BK59</f>
        <v>0</v>
      </c>
      <c r="BL42" s="285">
        <f>Sales!BL59</f>
        <v>0</v>
      </c>
      <c r="BM42" s="285">
        <f>Sales!BM59</f>
        <v>0</v>
      </c>
      <c r="BN42" s="285">
        <f>Sales!BN59</f>
        <v>0</v>
      </c>
      <c r="BO42" s="332">
        <f>Sales!BO59</f>
        <v>319.3</v>
      </c>
      <c r="BP42" s="285">
        <f>Sales!BP59</f>
        <v>0</v>
      </c>
      <c r="BQ42" s="285">
        <f>Sales!BQ59</f>
        <v>0</v>
      </c>
      <c r="BR42" s="285">
        <f>Sales!BR59</f>
        <v>0</v>
      </c>
      <c r="BS42" s="285">
        <f>Sales!BS59</f>
        <v>0</v>
      </c>
      <c r="BT42" s="332">
        <f>Sales!BT59</f>
        <v>328.87900000000002</v>
      </c>
      <c r="BU42" s="285">
        <f>Sales!BU59</f>
        <v>0</v>
      </c>
      <c r="BV42" s="285">
        <f>Sales!BV59</f>
        <v>0</v>
      </c>
      <c r="BW42" s="285">
        <f>Sales!BW59</f>
        <v>0</v>
      </c>
      <c r="BX42" s="285">
        <f>Sales!BX59</f>
        <v>0</v>
      </c>
      <c r="BY42" s="332">
        <f>Sales!BY59</f>
        <v>335.45658000000003</v>
      </c>
      <c r="BZ42" s="285">
        <f>Sales!BZ59</f>
        <v>0</v>
      </c>
      <c r="CA42" s="285">
        <f>Sales!CA59</f>
        <v>0</v>
      </c>
      <c r="CB42" s="285">
        <f>Sales!CB59</f>
        <v>0</v>
      </c>
      <c r="CC42" s="285">
        <f>Sales!CC59</f>
        <v>0</v>
      </c>
      <c r="CD42" s="332">
        <f>Sales!CD59</f>
        <v>342.16571160000007</v>
      </c>
    </row>
    <row r="43" spans="2:83" s="285" customFormat="1" hidden="1">
      <c r="B43" s="309" t="str">
        <f>Sales!B60</f>
        <v>growth</v>
      </c>
      <c r="C43" s="310">
        <f>Sales!C60</f>
        <v>0</v>
      </c>
      <c r="D43" s="310">
        <f>Sales!D60</f>
        <v>0</v>
      </c>
      <c r="E43" s="310">
        <f>Sales!E60</f>
        <v>0</v>
      </c>
      <c r="F43" s="310">
        <f>Sales!F60</f>
        <v>0</v>
      </c>
      <c r="G43" s="311">
        <f>Sales!G60</f>
        <v>0</v>
      </c>
      <c r="H43" s="310">
        <f>Sales!H60</f>
        <v>0</v>
      </c>
      <c r="I43" s="310">
        <f>Sales!I60</f>
        <v>0</v>
      </c>
      <c r="J43" s="310">
        <f>Sales!J60</f>
        <v>0</v>
      </c>
      <c r="K43" s="310">
        <f>Sales!K60</f>
        <v>0</v>
      </c>
      <c r="L43" s="311">
        <f>Sales!L60</f>
        <v>0</v>
      </c>
      <c r="M43" s="310">
        <f>Sales!M60</f>
        <v>0</v>
      </c>
      <c r="N43" s="310">
        <f>Sales!N60</f>
        <v>0</v>
      </c>
      <c r="O43" s="310">
        <f>Sales!O60</f>
        <v>0</v>
      </c>
      <c r="P43" s="310">
        <f>Sales!P60</f>
        <v>0</v>
      </c>
      <c r="Q43" s="311">
        <f>Sales!Q60</f>
        <v>0</v>
      </c>
      <c r="R43" s="310">
        <f>Sales!R60</f>
        <v>0</v>
      </c>
      <c r="S43" s="310">
        <f>Sales!S60</f>
        <v>0</v>
      </c>
      <c r="T43" s="310">
        <f>Sales!T60</f>
        <v>0</v>
      </c>
      <c r="U43" s="310">
        <f>Sales!U60</f>
        <v>0</v>
      </c>
      <c r="V43" s="311">
        <f>Sales!V60</f>
        <v>0</v>
      </c>
      <c r="W43" s="310">
        <f>Sales!W60</f>
        <v>0</v>
      </c>
      <c r="X43" s="310">
        <f>Sales!X60</f>
        <v>0</v>
      </c>
      <c r="Y43" s="310">
        <f>Sales!Y60</f>
        <v>0</v>
      </c>
      <c r="Z43" s="310">
        <f>Sales!Z60</f>
        <v>0</v>
      </c>
      <c r="AA43" s="311">
        <f>Sales!AA60</f>
        <v>0</v>
      </c>
      <c r="AB43" s="310">
        <f>Sales!AB60</f>
        <v>0</v>
      </c>
      <c r="AC43" s="310">
        <f>Sales!AC60</f>
        <v>0</v>
      </c>
      <c r="AD43" s="310">
        <f>Sales!AD60</f>
        <v>0</v>
      </c>
      <c r="AE43" s="310">
        <f>Sales!AE60</f>
        <v>0</v>
      </c>
      <c r="AF43" s="311">
        <f>Sales!AF60</f>
        <v>0</v>
      </c>
      <c r="AG43" s="310">
        <f>Sales!AG60</f>
        <v>0</v>
      </c>
      <c r="AH43" s="310">
        <f>Sales!AH60</f>
        <v>0</v>
      </c>
      <c r="AI43" s="310">
        <f>Sales!AI60</f>
        <v>0</v>
      </c>
      <c r="AJ43" s="310">
        <f>Sales!AJ60</f>
        <v>0</v>
      </c>
      <c r="AK43" s="311">
        <f>Sales!AK60</f>
        <v>0</v>
      </c>
      <c r="AL43" s="314">
        <f>Sales!AL60</f>
        <v>0</v>
      </c>
      <c r="AM43" s="313">
        <f>Sales!AM60</f>
        <v>0</v>
      </c>
      <c r="AN43" s="314">
        <f>Sales!AN60</f>
        <v>0</v>
      </c>
      <c r="AO43" s="315">
        <f>Sales!AO60</f>
        <v>0</v>
      </c>
      <c r="AP43" s="311">
        <f>Sales!AP60</f>
        <v>0</v>
      </c>
      <c r="AQ43" s="316">
        <f>Sales!AQ60</f>
        <v>0</v>
      </c>
      <c r="AR43" s="310">
        <f>Sales!AR60</f>
        <v>0</v>
      </c>
      <c r="AS43" s="310">
        <f>Sales!AS60</f>
        <v>0</v>
      </c>
      <c r="AT43" s="310">
        <f>Sales!AT60</f>
        <v>0</v>
      </c>
      <c r="AU43" s="311">
        <f>Sales!AU60</f>
        <v>0</v>
      </c>
      <c r="AV43" s="310">
        <f>Sales!AV60</f>
        <v>0</v>
      </c>
      <c r="AW43" s="310">
        <f>Sales!AW60</f>
        <v>0</v>
      </c>
      <c r="AX43" s="281">
        <f>Sales!AX60</f>
        <v>0.7363344051446945</v>
      </c>
      <c r="AY43" s="281">
        <f>Sales!AY60</f>
        <v>-4.5531197301854953E-2</v>
      </c>
      <c r="AZ43" s="311">
        <f>Sales!AZ60</f>
        <v>0</v>
      </c>
      <c r="BA43" s="281">
        <f>Sales!BA60</f>
        <v>-4.1407867494822614E-3</v>
      </c>
      <c r="BB43" s="281">
        <f>Sales!BB60</f>
        <v>5.3380782918148739E-3</v>
      </c>
      <c r="BC43" s="324">
        <f>Sales!BC60</f>
        <v>1.1111111111111072E-2</v>
      </c>
      <c r="BD43" s="324">
        <f>Sales!BD60</f>
        <v>0.15547703180212014</v>
      </c>
      <c r="BE43" s="645">
        <f>Sales!BE60</f>
        <v>4.4165504416550538E-2</v>
      </c>
      <c r="BF43" s="285">
        <f>Sales!BF60</f>
        <v>0.55925155925155923</v>
      </c>
      <c r="BG43" s="285">
        <f>Sales!BG60</f>
        <v>0.36283185840707954</v>
      </c>
      <c r="BH43" s="285">
        <f>Sales!BH60</f>
        <v>0.4285714285714286</v>
      </c>
      <c r="BI43" s="285">
        <f>Sales!BI60</f>
        <v>0.2232415902140672</v>
      </c>
      <c r="BJ43" s="645">
        <f>Sales!BJ60</f>
        <v>0.38023152270703475</v>
      </c>
      <c r="BK43" s="285">
        <f>Sales!BK60</f>
        <v>0</v>
      </c>
      <c r="BL43" s="285">
        <f>Sales!BL60</f>
        <v>0</v>
      </c>
      <c r="BM43" s="285">
        <f>Sales!BM60</f>
        <v>0</v>
      </c>
      <c r="BN43" s="285">
        <f>Sales!BN60</f>
        <v>0</v>
      </c>
      <c r="BO43" s="645">
        <f>Sales!BO60</f>
        <v>0.03</v>
      </c>
      <c r="BP43" s="285">
        <f>Sales!BP60</f>
        <v>0</v>
      </c>
      <c r="BQ43" s="285">
        <f>Sales!BQ60</f>
        <v>0</v>
      </c>
      <c r="BR43" s="285">
        <f>Sales!BR60</f>
        <v>0</v>
      </c>
      <c r="BS43" s="285">
        <f>Sales!BS60</f>
        <v>0</v>
      </c>
      <c r="BT43" s="645">
        <f>Sales!BT60</f>
        <v>0.03</v>
      </c>
      <c r="BU43" s="285">
        <f>Sales!BU60</f>
        <v>0</v>
      </c>
      <c r="BV43" s="285">
        <f>Sales!BV60</f>
        <v>0</v>
      </c>
      <c r="BW43" s="285">
        <f>Sales!BW60</f>
        <v>0</v>
      </c>
      <c r="BX43" s="285">
        <f>Sales!BX60</f>
        <v>0</v>
      </c>
      <c r="BY43" s="645">
        <f>Sales!BY60</f>
        <v>0.02</v>
      </c>
      <c r="BZ43" s="285">
        <f>Sales!BZ60</f>
        <v>0</v>
      </c>
      <c r="CA43" s="285">
        <f>Sales!CA60</f>
        <v>0</v>
      </c>
      <c r="CB43" s="285">
        <f>Sales!CB60</f>
        <v>0</v>
      </c>
      <c r="CC43" s="285">
        <f>Sales!CC60</f>
        <v>0</v>
      </c>
      <c r="CD43" s="645">
        <f>Sales!CD60</f>
        <v>0.02</v>
      </c>
    </row>
    <row r="44" spans="2:83" s="285" customFormat="1" hidden="1">
      <c r="B44" s="309"/>
      <c r="C44" s="310"/>
      <c r="D44" s="310"/>
      <c r="E44" s="310"/>
      <c r="F44" s="310"/>
      <c r="G44" s="311"/>
      <c r="H44" s="310"/>
      <c r="I44" s="310"/>
      <c r="J44" s="310"/>
      <c r="K44" s="310"/>
      <c r="L44" s="311"/>
      <c r="M44" s="310"/>
      <c r="N44" s="310"/>
      <c r="O44" s="310"/>
      <c r="P44" s="310"/>
      <c r="Q44" s="311"/>
      <c r="R44" s="310"/>
      <c r="S44" s="310"/>
      <c r="T44" s="310"/>
      <c r="U44" s="310"/>
      <c r="V44" s="311"/>
      <c r="W44" s="310"/>
      <c r="X44" s="310"/>
      <c r="Y44" s="310"/>
      <c r="Z44" s="310"/>
      <c r="AA44" s="311"/>
      <c r="AB44" s="310"/>
      <c r="AC44" s="310"/>
      <c r="AD44" s="310"/>
      <c r="AE44" s="310"/>
      <c r="AF44" s="311"/>
      <c r="AG44" s="310"/>
      <c r="AH44" s="310"/>
      <c r="AI44" s="310"/>
      <c r="AJ44" s="310"/>
      <c r="AK44" s="311"/>
      <c r="AL44" s="314"/>
      <c r="AM44" s="313"/>
      <c r="AN44" s="314"/>
      <c r="AO44" s="315"/>
      <c r="AP44" s="311"/>
      <c r="AQ44" s="316"/>
      <c r="AR44" s="310"/>
      <c r="AS44" s="310"/>
      <c r="AT44" s="310"/>
      <c r="AU44" s="311"/>
      <c r="AV44" s="310"/>
      <c r="AW44" s="310"/>
      <c r="AX44" s="310"/>
      <c r="AY44" s="310"/>
      <c r="AZ44" s="311"/>
      <c r="BA44" s="310"/>
      <c r="BB44" s="310"/>
      <c r="BC44" s="310"/>
      <c r="BD44" s="310"/>
      <c r="BE44" s="311"/>
      <c r="BJ44" s="311"/>
      <c r="BO44" s="311"/>
      <c r="BT44" s="311"/>
      <c r="BY44" s="311"/>
      <c r="CD44" s="311"/>
    </row>
    <row r="45" spans="2:83" s="285" customFormat="1" outlineLevel="1">
      <c r="B45" s="230" t="str">
        <f>Sales!B62</f>
        <v>Neuro &amp; Other/Generics</v>
      </c>
      <c r="C45" s="236">
        <f>Sales!C62</f>
        <v>0</v>
      </c>
      <c r="D45" s="236">
        <f>Sales!D62</f>
        <v>0</v>
      </c>
      <c r="E45" s="236">
        <f>Sales!E62</f>
        <v>0</v>
      </c>
      <c r="F45" s="236">
        <f>Sales!F62</f>
        <v>0</v>
      </c>
      <c r="G45" s="235">
        <f>Sales!G62</f>
        <v>0</v>
      </c>
      <c r="H45" s="236">
        <f>Sales!H62</f>
        <v>0</v>
      </c>
      <c r="I45" s="236">
        <f>Sales!I62</f>
        <v>0</v>
      </c>
      <c r="J45" s="236">
        <f>Sales!J62</f>
        <v>0</v>
      </c>
      <c r="K45" s="236">
        <f>Sales!K62</f>
        <v>0</v>
      </c>
      <c r="L45" s="235">
        <f>Sales!L62</f>
        <v>0</v>
      </c>
      <c r="M45" s="236">
        <f>Sales!M62</f>
        <v>0</v>
      </c>
      <c r="N45" s="236">
        <f>Sales!N62</f>
        <v>0</v>
      </c>
      <c r="O45" s="236">
        <f>Sales!O62</f>
        <v>0</v>
      </c>
      <c r="P45" s="236">
        <f>Sales!P62</f>
        <v>0</v>
      </c>
      <c r="Q45" s="235">
        <f>Sales!Q62</f>
        <v>0</v>
      </c>
      <c r="R45" s="236">
        <f>Sales!R62</f>
        <v>0</v>
      </c>
      <c r="S45" s="236">
        <f>Sales!S62</f>
        <v>0</v>
      </c>
      <c r="T45" s="236">
        <f>Sales!T62</f>
        <v>0</v>
      </c>
      <c r="U45" s="236">
        <f>Sales!U62</f>
        <v>0</v>
      </c>
      <c r="V45" s="235">
        <f>Sales!V62</f>
        <v>0</v>
      </c>
      <c r="W45" s="236">
        <f>Sales!W62</f>
        <v>0</v>
      </c>
      <c r="X45" s="236">
        <f>Sales!X62</f>
        <v>0</v>
      </c>
      <c r="Y45" s="236">
        <f>Sales!Y62</f>
        <v>0</v>
      </c>
      <c r="Z45" s="236">
        <f>Sales!Z62</f>
        <v>0</v>
      </c>
      <c r="AA45" s="235">
        <f>Sales!AA62</f>
        <v>0</v>
      </c>
      <c r="AB45" s="236">
        <f>Sales!AB62</f>
        <v>0</v>
      </c>
      <c r="AC45" s="236">
        <f>Sales!AC62</f>
        <v>0</v>
      </c>
      <c r="AD45" s="236">
        <f>Sales!AD62</f>
        <v>0</v>
      </c>
      <c r="AE45" s="236">
        <f>Sales!AE62</f>
        <v>0</v>
      </c>
      <c r="AF45" s="235">
        <f>Sales!AF62</f>
        <v>0</v>
      </c>
      <c r="AG45" s="236">
        <f>Sales!AG62</f>
        <v>0</v>
      </c>
      <c r="AH45" s="236">
        <f>Sales!AH62</f>
        <v>0</v>
      </c>
      <c r="AI45" s="236">
        <f>Sales!AI62</f>
        <v>0</v>
      </c>
      <c r="AJ45" s="236">
        <f>Sales!AJ62</f>
        <v>0</v>
      </c>
      <c r="AK45" s="235">
        <f>Sales!AK62</f>
        <v>0</v>
      </c>
      <c r="AL45" s="288">
        <f>Sales!AL62</f>
        <v>0</v>
      </c>
      <c r="AM45" s="239">
        <f>Sales!AM62</f>
        <v>0</v>
      </c>
      <c r="AN45" s="288">
        <f>Sales!AN62</f>
        <v>0</v>
      </c>
      <c r="AO45" s="240">
        <f>Sales!AO62</f>
        <v>0</v>
      </c>
      <c r="AP45" s="235">
        <f>Sales!AP62</f>
        <v>0</v>
      </c>
      <c r="AQ45" s="289">
        <f>Sales!AQ62</f>
        <v>0</v>
      </c>
      <c r="AR45" s="236">
        <f>Sales!AR62</f>
        <v>0</v>
      </c>
      <c r="AS45" s="236">
        <f>Sales!AS62</f>
        <v>0</v>
      </c>
      <c r="AT45" s="236">
        <f>Sales!AT62</f>
        <v>0</v>
      </c>
      <c r="AU45" s="235">
        <f>Sales!AU62</f>
        <v>0</v>
      </c>
      <c r="AV45" s="236">
        <f>Sales!AV62</f>
        <v>0</v>
      </c>
      <c r="AW45" s="236">
        <f>Sales!AW62</f>
        <v>0</v>
      </c>
      <c r="AX45" s="236">
        <f>Sales!AX62</f>
        <v>0</v>
      </c>
      <c r="AY45" s="236">
        <f>Sales!AY62</f>
        <v>0</v>
      </c>
      <c r="AZ45" s="235"/>
      <c r="BA45" s="236"/>
      <c r="BB45" s="236"/>
      <c r="BC45" s="236"/>
      <c r="BD45" s="236"/>
      <c r="BE45" s="235"/>
      <c r="BF45" s="241"/>
      <c r="BG45" s="241"/>
      <c r="BH45" s="241"/>
      <c r="BI45" s="241"/>
      <c r="BJ45" s="235"/>
      <c r="BK45" s="241"/>
      <c r="BL45" s="241"/>
      <c r="BM45" s="241"/>
      <c r="BN45" s="241"/>
      <c r="BO45" s="235"/>
      <c r="BP45" s="241"/>
      <c r="BQ45" s="241"/>
      <c r="BR45" s="241"/>
      <c r="BS45" s="241"/>
      <c r="BT45" s="235"/>
      <c r="BU45" s="241"/>
      <c r="BV45" s="241"/>
      <c r="BW45" s="241"/>
      <c r="BX45" s="241"/>
      <c r="BY45" s="235"/>
      <c r="BZ45" s="241"/>
      <c r="CA45" s="241"/>
      <c r="CB45" s="241"/>
      <c r="CC45" s="241"/>
      <c r="CD45" s="235"/>
    </row>
    <row r="46" spans="2:83" s="28" customFormat="1" hidden="1" outlineLevel="2">
      <c r="B46" s="238" t="str">
        <f>Sales!B63</f>
        <v>Wellbutrin XL</v>
      </c>
      <c r="C46" s="336">
        <f>Sales!C63</f>
        <v>36.799999999999997</v>
      </c>
      <c r="D46" s="336">
        <f>Sales!D63</f>
        <v>70.5</v>
      </c>
      <c r="E46" s="336">
        <f>Sales!E63</f>
        <v>109.3</v>
      </c>
      <c r="F46" s="336">
        <f>Sales!F63</f>
        <v>137.69999999999999</v>
      </c>
      <c r="G46" s="337">
        <f>Sales!G63</f>
        <v>354.29999999999995</v>
      </c>
      <c r="H46" s="336">
        <f>Sales!H63</f>
        <v>65</v>
      </c>
      <c r="I46" s="336">
        <f>Sales!I63</f>
        <v>114</v>
      </c>
      <c r="J46" s="336">
        <f>Sales!J63</f>
        <v>123.3</v>
      </c>
      <c r="K46" s="336">
        <f>Sales!K63</f>
        <v>148.1</v>
      </c>
      <c r="L46" s="337">
        <f>Sales!L63</f>
        <v>450.4</v>
      </c>
      <c r="M46" s="336">
        <f>Sales!M63</f>
        <v>61.405000000000001</v>
      </c>
      <c r="N46" s="336">
        <f>Sales!N63</f>
        <v>53.048000000000002</v>
      </c>
      <c r="O46" s="336">
        <f>Sales!O63</f>
        <v>53.515999999999998</v>
      </c>
      <c r="P46" s="336">
        <f>Sales!P63</f>
        <v>44.356000000000002</v>
      </c>
      <c r="Q46" s="337">
        <f>Sales!Q63</f>
        <v>212.32499999999999</v>
      </c>
      <c r="R46" s="336">
        <f>Sales!R63</f>
        <v>58.856000000000002</v>
      </c>
      <c r="S46" s="336">
        <f>Sales!S63</f>
        <v>30.42</v>
      </c>
      <c r="T46" s="336">
        <f>Sales!T63</f>
        <v>16.587</v>
      </c>
      <c r="U46" s="336">
        <f>Sales!U63</f>
        <v>14.882</v>
      </c>
      <c r="V46" s="337">
        <f>Sales!V63</f>
        <v>120.74500000000002</v>
      </c>
      <c r="W46" s="236">
        <f>Sales!W63</f>
        <v>20.12</v>
      </c>
      <c r="X46" s="236">
        <f>Sales!X63</f>
        <v>37.134999999999998</v>
      </c>
      <c r="Y46" s="236">
        <f>Sales!Y63</f>
        <v>58.606000000000002</v>
      </c>
      <c r="Z46" s="236">
        <f>Sales!Z63</f>
        <v>57.427</v>
      </c>
      <c r="AA46" s="235">
        <f>Sales!AA63</f>
        <v>173.28799999999998</v>
      </c>
      <c r="AB46" s="236">
        <f>Sales!AB63</f>
        <v>49.79</v>
      </c>
      <c r="AC46" s="236">
        <f>Sales!AC63</f>
        <v>53.984000000000002</v>
      </c>
      <c r="AD46" s="236">
        <f>Sales!AD63</f>
        <v>52.136000000000003</v>
      </c>
      <c r="AE46" s="236">
        <f>Sales!AE63</f>
        <v>32.1</v>
      </c>
      <c r="AF46" s="235">
        <f>Sales!AF63</f>
        <v>188.01</v>
      </c>
      <c r="AG46" s="236">
        <f>Sales!AG63</f>
        <v>46.4</v>
      </c>
      <c r="AH46" s="236">
        <f>Sales!AH63</f>
        <v>39.799999999999997</v>
      </c>
      <c r="AI46" s="236">
        <f>Sales!AI63</f>
        <v>35.1</v>
      </c>
      <c r="AJ46" s="236">
        <f>Sales!AJ63</f>
        <v>37.899999999999984</v>
      </c>
      <c r="AK46" s="235">
        <f>Sales!AK63</f>
        <v>159.19999999999996</v>
      </c>
      <c r="AL46" s="287">
        <f>Sales!AL63</f>
        <v>33.9</v>
      </c>
      <c r="AM46" s="236">
        <f>Sales!AM63</f>
        <v>31.8</v>
      </c>
      <c r="AN46" s="236">
        <f>Sales!AN63</f>
        <v>35.1</v>
      </c>
      <c r="AO46" s="236">
        <f>Sales!AO63</f>
        <v>38</v>
      </c>
      <c r="AP46" s="235">
        <f>Sales!AP63</f>
        <v>138.80000000000001</v>
      </c>
      <c r="AQ46" s="289">
        <f>Sales!AQ63</f>
        <v>38</v>
      </c>
      <c r="AR46" s="236">
        <f>Sales!AR63</f>
        <v>40</v>
      </c>
      <c r="AS46" s="236">
        <f>Sales!AS63</f>
        <v>40</v>
      </c>
      <c r="AT46" s="236">
        <f>Sales!AT63</f>
        <v>40</v>
      </c>
      <c r="AU46" s="235">
        <f>Sales!AU63</f>
        <v>158</v>
      </c>
      <c r="AV46" s="239">
        <f>Sales!AV63</f>
        <v>60</v>
      </c>
      <c r="AW46" s="239">
        <f>Sales!AW63</f>
        <v>64</v>
      </c>
      <c r="AX46" s="239">
        <f>Sales!AX63</f>
        <v>72</v>
      </c>
      <c r="AY46" s="239">
        <f>Sales!AY63</f>
        <v>74</v>
      </c>
      <c r="AZ46" s="235">
        <f>Sales!AZ63</f>
        <v>270</v>
      </c>
      <c r="BA46" s="239">
        <f>Sales!BA63</f>
        <v>68</v>
      </c>
      <c r="BB46" s="239">
        <f>Sales!BB63</f>
        <v>67</v>
      </c>
      <c r="BC46" s="240">
        <f>Sales!BC63</f>
        <v>92</v>
      </c>
      <c r="BD46" s="240">
        <f>Sales!BD63</f>
        <v>93</v>
      </c>
      <c r="BE46" s="235">
        <f>Sales!BE63</f>
        <v>320</v>
      </c>
      <c r="BF46" s="241">
        <f>Sales!BF63</f>
        <v>75</v>
      </c>
      <c r="BG46" s="241">
        <f>Sales!BG63</f>
        <v>80</v>
      </c>
      <c r="BH46" s="241">
        <f>Sales!BH63</f>
        <v>80</v>
      </c>
      <c r="BI46" s="241">
        <f>Sales!BI63</f>
        <v>80</v>
      </c>
      <c r="BJ46" s="235">
        <f>Sales!BJ63</f>
        <v>315</v>
      </c>
      <c r="BK46" s="241">
        <f>Sales!BK63</f>
        <v>0</v>
      </c>
      <c r="BL46" s="241">
        <f>Sales!BL63</f>
        <v>0</v>
      </c>
      <c r="BM46" s="241">
        <f>Sales!BM63</f>
        <v>0</v>
      </c>
      <c r="BN46" s="241">
        <f>Sales!BN63</f>
        <v>0</v>
      </c>
      <c r="BO46" s="235">
        <f>Sales!BO63</f>
        <v>321.3</v>
      </c>
      <c r="BP46" s="241">
        <f>Sales!BP63</f>
        <v>0</v>
      </c>
      <c r="BQ46" s="241">
        <f>Sales!BQ63</f>
        <v>0</v>
      </c>
      <c r="BR46" s="241">
        <f>Sales!BR63</f>
        <v>0</v>
      </c>
      <c r="BS46" s="241">
        <f>Sales!BS63</f>
        <v>0</v>
      </c>
      <c r="BT46" s="235">
        <f>Sales!BT63</f>
        <v>321.3</v>
      </c>
      <c r="BU46" s="241">
        <f>Sales!BU63</f>
        <v>0</v>
      </c>
      <c r="BV46" s="241">
        <f>Sales!BV63</f>
        <v>0</v>
      </c>
      <c r="BW46" s="241">
        <f>Sales!BW63</f>
        <v>0</v>
      </c>
      <c r="BX46" s="241">
        <f>Sales!BX63</f>
        <v>0</v>
      </c>
      <c r="BY46" s="235">
        <f>Sales!BY63</f>
        <v>305.23500000000001</v>
      </c>
      <c r="BZ46" s="241">
        <f>Sales!BZ63</f>
        <v>0</v>
      </c>
      <c r="CA46" s="241">
        <f>Sales!CA63</f>
        <v>0</v>
      </c>
      <c r="CB46" s="241">
        <f>Sales!CB63</f>
        <v>0</v>
      </c>
      <c r="CC46" s="241">
        <f>Sales!CC63</f>
        <v>0</v>
      </c>
      <c r="CD46" s="235">
        <f>Sales!CD63</f>
        <v>289.97325000000001</v>
      </c>
    </row>
    <row r="47" spans="2:83" s="28" customFormat="1" hidden="1" outlineLevel="2">
      <c r="B47" s="238" t="str">
        <f>Sales!B65</f>
        <v>Xenazine/Nitoman</v>
      </c>
      <c r="C47" s="336">
        <f>Sales!C65</f>
        <v>0</v>
      </c>
      <c r="D47" s="336">
        <f>Sales!D65</f>
        <v>0</v>
      </c>
      <c r="E47" s="336">
        <f>Sales!E65</f>
        <v>0</v>
      </c>
      <c r="F47" s="336">
        <f>Sales!F65</f>
        <v>0</v>
      </c>
      <c r="G47" s="337">
        <f>Sales!G65</f>
        <v>0</v>
      </c>
      <c r="H47" s="336">
        <f>Sales!H65</f>
        <v>0</v>
      </c>
      <c r="I47" s="336">
        <f>Sales!I65</f>
        <v>0</v>
      </c>
      <c r="J47" s="336">
        <f>Sales!J65</f>
        <v>0</v>
      </c>
      <c r="K47" s="336">
        <f>Sales!K65</f>
        <v>0</v>
      </c>
      <c r="L47" s="337">
        <f>Sales!L65</f>
        <v>0</v>
      </c>
      <c r="M47" s="336">
        <f>Sales!M65</f>
        <v>0</v>
      </c>
      <c r="N47" s="336">
        <f>Sales!N65</f>
        <v>0</v>
      </c>
      <c r="O47" s="336">
        <f>Sales!O65</f>
        <v>0</v>
      </c>
      <c r="P47" s="336">
        <f>Sales!P65</f>
        <v>0</v>
      </c>
      <c r="Q47" s="337">
        <f>Sales!Q65</f>
        <v>0</v>
      </c>
      <c r="R47" s="336">
        <f>Sales!R65</f>
        <v>0</v>
      </c>
      <c r="S47" s="336">
        <f>Sales!S65</f>
        <v>0</v>
      </c>
      <c r="T47" s="336">
        <f>Sales!T65</f>
        <v>0.46600000000000003</v>
      </c>
      <c r="U47" s="336">
        <f>Sales!U65</f>
        <v>3.27</v>
      </c>
      <c r="V47" s="337">
        <f>Sales!V65</f>
        <v>3.7360000000000002</v>
      </c>
      <c r="W47" s="236">
        <f>Sales!W65</f>
        <v>6.6829999999999998</v>
      </c>
      <c r="X47" s="236">
        <f>Sales!X65</f>
        <v>11.048</v>
      </c>
      <c r="Y47" s="236">
        <f>Sales!Y65</f>
        <v>13.692</v>
      </c>
      <c r="Z47" s="236">
        <f>Sales!Z65</f>
        <v>17.010000000000002</v>
      </c>
      <c r="AA47" s="235">
        <f>Sales!AA65</f>
        <v>48.433000000000007</v>
      </c>
      <c r="AB47" s="236">
        <f>Sales!AB65</f>
        <v>16.11</v>
      </c>
      <c r="AC47" s="236">
        <f>Sales!AC65</f>
        <v>20.216000000000001</v>
      </c>
      <c r="AD47" s="236">
        <f>Sales!AD65</f>
        <v>21.852</v>
      </c>
      <c r="AE47" s="236">
        <f>Sales!AE65</f>
        <v>13.6</v>
      </c>
      <c r="AF47" s="235">
        <f>Sales!AF65</f>
        <v>71.777999999999992</v>
      </c>
      <c r="AG47" s="236">
        <f>Sales!AG65</f>
        <v>21.4</v>
      </c>
      <c r="AH47" s="236">
        <f>Sales!AH65</f>
        <v>26.3</v>
      </c>
      <c r="AI47" s="236">
        <f>Sales!AI65</f>
        <v>25.6</v>
      </c>
      <c r="AJ47" s="236">
        <f>Sales!AJ65</f>
        <v>31.900000000000013</v>
      </c>
      <c r="AK47" s="235">
        <f>Sales!AK65</f>
        <v>105.20000000000002</v>
      </c>
      <c r="AL47" s="236">
        <f>Sales!AL65</f>
        <v>31</v>
      </c>
      <c r="AM47" s="236">
        <f>Sales!AM65</f>
        <v>30</v>
      </c>
      <c r="AN47" s="344">
        <f>Sales!AN65</f>
        <v>32</v>
      </c>
      <c r="AO47" s="236">
        <f>Sales!AO65</f>
        <v>34</v>
      </c>
      <c r="AP47" s="235">
        <f>Sales!AP65</f>
        <v>127</v>
      </c>
      <c r="AQ47" s="345">
        <f>Sales!AQ65</f>
        <v>36</v>
      </c>
      <c r="AR47" s="240">
        <f>Sales!AR65</f>
        <v>38</v>
      </c>
      <c r="AS47" s="240">
        <f>Sales!AS65</f>
        <v>40</v>
      </c>
      <c r="AT47" s="240">
        <f>Sales!AT65</f>
        <v>45</v>
      </c>
      <c r="AU47" s="235">
        <f>Sales!AU65</f>
        <v>159</v>
      </c>
      <c r="AV47" s="239">
        <f>Sales!AV65</f>
        <v>50</v>
      </c>
      <c r="AW47" s="239">
        <f>Sales!AW65</f>
        <v>54</v>
      </c>
      <c r="AX47" s="239">
        <f>Sales!AX65</f>
        <v>56</v>
      </c>
      <c r="AY47" s="239">
        <f>Sales!AY65</f>
        <v>52</v>
      </c>
      <c r="AZ47" s="235">
        <f>Sales!AZ65</f>
        <v>212</v>
      </c>
      <c r="BA47" s="236">
        <f>Sales!BA65</f>
        <v>57</v>
      </c>
      <c r="BB47" s="236">
        <f>Sales!BB65</f>
        <v>66</v>
      </c>
      <c r="BC47" s="646">
        <f>Sales!BC65</f>
        <v>73</v>
      </c>
      <c r="BD47" s="236">
        <f>Sales!BD65</f>
        <v>50</v>
      </c>
      <c r="BE47" s="235">
        <f>Sales!BE65</f>
        <v>246</v>
      </c>
      <c r="BF47" s="241">
        <f>Sales!BF65</f>
        <v>7</v>
      </c>
      <c r="BG47" s="241">
        <f>Sales!BG65</f>
        <v>6</v>
      </c>
      <c r="BH47" s="241">
        <f>Sales!BH65</f>
        <v>5</v>
      </c>
      <c r="BI47" s="241">
        <f>Sales!BI65</f>
        <v>5</v>
      </c>
      <c r="BJ47" s="235">
        <f>Sales!BJ65</f>
        <v>23</v>
      </c>
      <c r="BK47" s="241">
        <f>Sales!BK65</f>
        <v>0</v>
      </c>
      <c r="BL47" s="241">
        <f>Sales!BL65</f>
        <v>0</v>
      </c>
      <c r="BM47" s="241">
        <f>Sales!BM65</f>
        <v>0</v>
      </c>
      <c r="BN47" s="241">
        <f>Sales!BN65</f>
        <v>0</v>
      </c>
      <c r="BO47" s="235">
        <f>Sales!BO65</f>
        <v>23</v>
      </c>
      <c r="BP47" s="241">
        <f>Sales!BP65</f>
        <v>0</v>
      </c>
      <c r="BQ47" s="241">
        <f>Sales!BQ65</f>
        <v>0</v>
      </c>
      <c r="BR47" s="241">
        <f>Sales!BR65</f>
        <v>0</v>
      </c>
      <c r="BS47" s="241">
        <f>Sales!BS65</f>
        <v>0</v>
      </c>
      <c r="BT47" s="235">
        <f>Sales!BT65</f>
        <v>23</v>
      </c>
      <c r="BU47" s="241">
        <f>Sales!BU65</f>
        <v>0</v>
      </c>
      <c r="BV47" s="241">
        <f>Sales!BV65</f>
        <v>0</v>
      </c>
      <c r="BW47" s="241">
        <f>Sales!BW65</f>
        <v>0</v>
      </c>
      <c r="BX47" s="241">
        <f>Sales!BX65</f>
        <v>0</v>
      </c>
      <c r="BY47" s="235">
        <f>Sales!BY65</f>
        <v>23</v>
      </c>
      <c r="BZ47" s="241">
        <f>Sales!BZ65</f>
        <v>0</v>
      </c>
      <c r="CA47" s="241">
        <f>Sales!CA65</f>
        <v>0</v>
      </c>
      <c r="CB47" s="241">
        <f>Sales!CB65</f>
        <v>0</v>
      </c>
      <c r="CC47" s="241">
        <f>Sales!CC65</f>
        <v>0</v>
      </c>
      <c r="CD47" s="235">
        <f>Sales!CD65</f>
        <v>23</v>
      </c>
      <c r="CE47" s="28" t="s">
        <v>39</v>
      </c>
    </row>
    <row r="48" spans="2:83" s="252" customFormat="1" outlineLevel="2">
      <c r="B48" s="238" t="str">
        <f>Sales!B67</f>
        <v>Nitropress</v>
      </c>
      <c r="C48" s="253">
        <f>Sales!C67</f>
        <v>0</v>
      </c>
      <c r="D48" s="254">
        <f>Sales!D67</f>
        <v>0</v>
      </c>
      <c r="E48" s="254">
        <f>Sales!E67</f>
        <v>0</v>
      </c>
      <c r="F48" s="254">
        <f>Sales!F67</f>
        <v>0</v>
      </c>
      <c r="G48" s="255">
        <f>Sales!G67</f>
        <v>0</v>
      </c>
      <c r="H48" s="254">
        <f>Sales!H67</f>
        <v>0</v>
      </c>
      <c r="I48" s="254">
        <f>Sales!I67</f>
        <v>0</v>
      </c>
      <c r="J48" s="254">
        <f>Sales!J67</f>
        <v>0</v>
      </c>
      <c r="K48" s="254">
        <f>Sales!K67</f>
        <v>0</v>
      </c>
      <c r="L48" s="255">
        <f>Sales!L67</f>
        <v>0</v>
      </c>
      <c r="M48" s="254">
        <f>Sales!M67</f>
        <v>0</v>
      </c>
      <c r="N48" s="254">
        <f>Sales!N67</f>
        <v>0</v>
      </c>
      <c r="O48" s="254">
        <f>Sales!O67</f>
        <v>0</v>
      </c>
      <c r="P48" s="254">
        <f>Sales!P67</f>
        <v>0</v>
      </c>
      <c r="Q48" s="255">
        <f>Sales!Q67</f>
        <v>0</v>
      </c>
      <c r="R48" s="254">
        <f>Sales!R67</f>
        <v>0</v>
      </c>
      <c r="S48" s="254">
        <f>Sales!S67</f>
        <v>0</v>
      </c>
      <c r="T48" s="254">
        <f>Sales!T67</f>
        <v>0</v>
      </c>
      <c r="U48" s="254">
        <f>Sales!U67</f>
        <v>0</v>
      </c>
      <c r="V48" s="255">
        <f>Sales!V67</f>
        <v>0</v>
      </c>
      <c r="W48" s="256">
        <f>Sales!W67</f>
        <v>0</v>
      </c>
      <c r="X48" s="257">
        <f>Sales!X67</f>
        <v>0</v>
      </c>
      <c r="Y48" s="257">
        <f>Sales!Y67</f>
        <v>0</v>
      </c>
      <c r="Z48" s="257">
        <f>Sales!Z67</f>
        <v>0</v>
      </c>
      <c r="AA48" s="258">
        <f>Sales!AA67</f>
        <v>0</v>
      </c>
      <c r="AB48" s="256">
        <f>Sales!AB67</f>
        <v>0</v>
      </c>
      <c r="AC48" s="256">
        <f>Sales!AC67</f>
        <v>0</v>
      </c>
      <c r="AD48" s="256">
        <f>Sales!AD67</f>
        <v>0</v>
      </c>
      <c r="AE48" s="256">
        <f>Sales!AE67</f>
        <v>0</v>
      </c>
      <c r="AF48" s="258">
        <f>Sales!AF67</f>
        <v>0</v>
      </c>
      <c r="AG48" s="256">
        <f>Sales!AG67</f>
        <v>0</v>
      </c>
      <c r="AH48" s="256">
        <f>Sales!AH67</f>
        <v>0</v>
      </c>
      <c r="AI48" s="256">
        <f>Sales!AI67</f>
        <v>0</v>
      </c>
      <c r="AJ48" s="256">
        <f>Sales!AJ67</f>
        <v>0</v>
      </c>
      <c r="AK48" s="258">
        <f>Sales!AK67</f>
        <v>0</v>
      </c>
      <c r="AL48" s="257">
        <f>Sales!AL67</f>
        <v>0</v>
      </c>
      <c r="AM48" s="257">
        <f>Sales!AM67</f>
        <v>0</v>
      </c>
      <c r="AN48" s="257">
        <f>Sales!AN67</f>
        <v>0</v>
      </c>
      <c r="AO48" s="257">
        <f>Sales!AO67</f>
        <v>0</v>
      </c>
      <c r="AP48" s="258">
        <f>Sales!AP67</f>
        <v>0</v>
      </c>
      <c r="AQ48" s="290">
        <f>Sales!AQ67</f>
        <v>0</v>
      </c>
      <c r="AR48" s="257">
        <f>Sales!AR67</f>
        <v>0</v>
      </c>
      <c r="AS48" s="247">
        <f>Sales!AS67</f>
        <v>0</v>
      </c>
      <c r="AT48" s="247">
        <f>Sales!AT67</f>
        <v>0</v>
      </c>
      <c r="AU48" s="258">
        <f>Sales!AU67</f>
        <v>0</v>
      </c>
      <c r="AV48" s="257">
        <f>Sales!AV67</f>
        <v>0</v>
      </c>
      <c r="AW48" s="247">
        <f>Sales!AW67</f>
        <v>0</v>
      </c>
      <c r="AX48" s="247">
        <f>Sales!AX67</f>
        <v>0</v>
      </c>
      <c r="AY48" s="247">
        <f>Sales!AY67</f>
        <v>0</v>
      </c>
      <c r="AZ48" s="258"/>
      <c r="BA48" s="236">
        <f>Sales!BA67</f>
        <v>62</v>
      </c>
      <c r="BB48" s="236">
        <f>Sales!BB67</f>
        <v>64</v>
      </c>
      <c r="BC48" s="240">
        <f>Sales!BC67</f>
        <v>35</v>
      </c>
      <c r="BD48" s="240">
        <f>Sales!BD67</f>
        <v>58</v>
      </c>
      <c r="BE48" s="235">
        <f>Sales!BE67</f>
        <v>219</v>
      </c>
      <c r="BF48" s="241">
        <f>Sales!BF67</f>
        <v>30</v>
      </c>
      <c r="BG48" s="241">
        <f>Sales!BG67</f>
        <v>30</v>
      </c>
      <c r="BH48" s="241">
        <f>Sales!BH67</f>
        <v>30</v>
      </c>
      <c r="BI48" s="241">
        <f>Sales!BI67</f>
        <v>30</v>
      </c>
      <c r="BJ48" s="235">
        <f>Sales!BJ67</f>
        <v>120</v>
      </c>
      <c r="BK48" s="241">
        <f>Sales!BK67</f>
        <v>0</v>
      </c>
      <c r="BL48" s="241">
        <f>Sales!BL67</f>
        <v>0</v>
      </c>
      <c r="BM48" s="241">
        <f>Sales!BM67</f>
        <v>0</v>
      </c>
      <c r="BN48" s="241">
        <f>Sales!BN67</f>
        <v>0</v>
      </c>
      <c r="BO48" s="235">
        <f>Sales!BO67</f>
        <v>117.6</v>
      </c>
      <c r="BP48" s="241">
        <f>Sales!BP67</f>
        <v>0</v>
      </c>
      <c r="BQ48" s="241">
        <f>Sales!BQ67</f>
        <v>0</v>
      </c>
      <c r="BR48" s="241">
        <f>Sales!BR67</f>
        <v>0</v>
      </c>
      <c r="BS48" s="241">
        <f>Sales!BS67</f>
        <v>0</v>
      </c>
      <c r="BT48" s="235">
        <f>Sales!BT67</f>
        <v>115.24799999999999</v>
      </c>
      <c r="BU48" s="241">
        <f>Sales!BU67</f>
        <v>0</v>
      </c>
      <c r="BV48" s="241">
        <f>Sales!BV67</f>
        <v>0</v>
      </c>
      <c r="BW48" s="241">
        <f>Sales!BW67</f>
        <v>0</v>
      </c>
      <c r="BX48" s="241">
        <f>Sales!BX67</f>
        <v>0</v>
      </c>
      <c r="BY48" s="235">
        <f>Sales!BY67</f>
        <v>112.94303999999998</v>
      </c>
      <c r="BZ48" s="241">
        <f>Sales!BZ67</f>
        <v>0</v>
      </c>
      <c r="CA48" s="241">
        <f>Sales!CA67</f>
        <v>0</v>
      </c>
      <c r="CB48" s="241">
        <f>Sales!CB67</f>
        <v>0</v>
      </c>
      <c r="CC48" s="241">
        <f>Sales!CC67</f>
        <v>0</v>
      </c>
      <c r="CD48" s="235">
        <f>Sales!CD67</f>
        <v>110.68417919999997</v>
      </c>
    </row>
    <row r="49" spans="1:82" s="252" customFormat="1" outlineLevel="2">
      <c r="B49" s="238" t="str">
        <f>Sales!B69</f>
        <v>Isuprel</v>
      </c>
      <c r="C49" s="253">
        <f>Sales!C69</f>
        <v>0</v>
      </c>
      <c r="D49" s="254">
        <f>Sales!D69</f>
        <v>0</v>
      </c>
      <c r="E49" s="254">
        <f>Sales!E69</f>
        <v>0</v>
      </c>
      <c r="F49" s="254">
        <f>Sales!F69</f>
        <v>0</v>
      </c>
      <c r="G49" s="255">
        <f>Sales!G69</f>
        <v>0</v>
      </c>
      <c r="H49" s="254">
        <f>Sales!H69</f>
        <v>0</v>
      </c>
      <c r="I49" s="254">
        <f>Sales!I69</f>
        <v>0</v>
      </c>
      <c r="J49" s="254">
        <f>Sales!J69</f>
        <v>0</v>
      </c>
      <c r="K49" s="254">
        <f>Sales!K69</f>
        <v>0</v>
      </c>
      <c r="L49" s="255">
        <f>Sales!L69</f>
        <v>0</v>
      </c>
      <c r="M49" s="254">
        <f>Sales!M69</f>
        <v>0</v>
      </c>
      <c r="N49" s="254">
        <f>Sales!N69</f>
        <v>0</v>
      </c>
      <c r="O49" s="254">
        <f>Sales!O69</f>
        <v>0</v>
      </c>
      <c r="P49" s="254">
        <f>Sales!P69</f>
        <v>0</v>
      </c>
      <c r="Q49" s="255">
        <f>Sales!Q69</f>
        <v>0</v>
      </c>
      <c r="R49" s="254">
        <f>Sales!R69</f>
        <v>0</v>
      </c>
      <c r="S49" s="254">
        <f>Sales!S69</f>
        <v>0</v>
      </c>
      <c r="T49" s="254">
        <f>Sales!T69</f>
        <v>0</v>
      </c>
      <c r="U49" s="254">
        <f>Sales!U69</f>
        <v>0</v>
      </c>
      <c r="V49" s="255">
        <f>Sales!V69</f>
        <v>0</v>
      </c>
      <c r="W49" s="256">
        <f>Sales!W69</f>
        <v>0</v>
      </c>
      <c r="X49" s="257">
        <f>Sales!X69</f>
        <v>0</v>
      </c>
      <c r="Y49" s="257">
        <f>Sales!Y69</f>
        <v>0</v>
      </c>
      <c r="Z49" s="257">
        <f>Sales!Z69</f>
        <v>0</v>
      </c>
      <c r="AA49" s="258">
        <f>Sales!AA69</f>
        <v>0</v>
      </c>
      <c r="AB49" s="256">
        <f>Sales!AB69</f>
        <v>0</v>
      </c>
      <c r="AC49" s="256">
        <f>Sales!AC69</f>
        <v>0</v>
      </c>
      <c r="AD49" s="256">
        <f>Sales!AD69</f>
        <v>0</v>
      </c>
      <c r="AE49" s="256">
        <f>Sales!AE69</f>
        <v>0</v>
      </c>
      <c r="AF49" s="258">
        <f>Sales!AF69</f>
        <v>0</v>
      </c>
      <c r="AG49" s="256">
        <f>Sales!AG69</f>
        <v>0</v>
      </c>
      <c r="AH49" s="256">
        <f>Sales!AH69</f>
        <v>0</v>
      </c>
      <c r="AI49" s="256">
        <f>Sales!AI69</f>
        <v>0</v>
      </c>
      <c r="AJ49" s="256">
        <f>Sales!AJ69</f>
        <v>0</v>
      </c>
      <c r="AK49" s="258">
        <f>Sales!AK69</f>
        <v>0</v>
      </c>
      <c r="AL49" s="257">
        <f>Sales!AL69</f>
        <v>0</v>
      </c>
      <c r="AM49" s="257">
        <f>Sales!AM69</f>
        <v>0</v>
      </c>
      <c r="AN49" s="257">
        <f>Sales!AN69</f>
        <v>0</v>
      </c>
      <c r="AO49" s="257">
        <f>Sales!AO69</f>
        <v>0</v>
      </c>
      <c r="AP49" s="258">
        <f>Sales!AP69</f>
        <v>0</v>
      </c>
      <c r="AQ49" s="290">
        <f>Sales!AQ69</f>
        <v>0</v>
      </c>
      <c r="AR49" s="257">
        <f>Sales!AR69</f>
        <v>0</v>
      </c>
      <c r="AS49" s="247">
        <f>Sales!AS69</f>
        <v>0</v>
      </c>
      <c r="AT49" s="247">
        <f>Sales!AT69</f>
        <v>0</v>
      </c>
      <c r="AU49" s="258">
        <f>Sales!AU69</f>
        <v>0</v>
      </c>
      <c r="AV49" s="257">
        <f>Sales!AV69</f>
        <v>0</v>
      </c>
      <c r="AW49" s="247">
        <f>Sales!AW69</f>
        <v>0</v>
      </c>
      <c r="AX49" s="247">
        <f>Sales!AX69</f>
        <v>0</v>
      </c>
      <c r="AY49" s="247">
        <f>Sales!AY69</f>
        <v>0</v>
      </c>
      <c r="AZ49" s="258"/>
      <c r="BA49" s="236">
        <f>Sales!BA69</f>
        <v>72</v>
      </c>
      <c r="BB49" s="236">
        <f>Sales!BB69</f>
        <v>49</v>
      </c>
      <c r="BC49" s="240">
        <f>Sales!BC69</f>
        <v>50</v>
      </c>
      <c r="BD49" s="240">
        <f>Sales!BD69</f>
        <v>53</v>
      </c>
      <c r="BE49" s="235">
        <f>Sales!BE69</f>
        <v>224</v>
      </c>
      <c r="BF49" s="241">
        <f>Sales!BF69</f>
        <v>35</v>
      </c>
      <c r="BG49" s="241">
        <f>Sales!BG69</f>
        <v>35</v>
      </c>
      <c r="BH49" s="241">
        <f>Sales!BH69</f>
        <v>35</v>
      </c>
      <c r="BI49" s="241">
        <f>Sales!BI69</f>
        <v>35</v>
      </c>
      <c r="BJ49" s="235">
        <f>Sales!BJ69</f>
        <v>140</v>
      </c>
      <c r="BK49" s="241">
        <f>Sales!BK69</f>
        <v>0</v>
      </c>
      <c r="BL49" s="241">
        <f>Sales!BL69</f>
        <v>0</v>
      </c>
      <c r="BM49" s="241">
        <f>Sales!BM69</f>
        <v>0</v>
      </c>
      <c r="BN49" s="241">
        <f>Sales!BN69</f>
        <v>0</v>
      </c>
      <c r="BO49" s="235">
        <f>Sales!BO69</f>
        <v>137.19999999999999</v>
      </c>
      <c r="BP49" s="241">
        <f>Sales!BP69</f>
        <v>0</v>
      </c>
      <c r="BQ49" s="241">
        <f>Sales!BQ69</f>
        <v>0</v>
      </c>
      <c r="BR49" s="241">
        <f>Sales!BR69</f>
        <v>0</v>
      </c>
      <c r="BS49" s="241">
        <f>Sales!BS69</f>
        <v>0</v>
      </c>
      <c r="BT49" s="235">
        <f>Sales!BT69</f>
        <v>134.45599999999999</v>
      </c>
      <c r="BU49" s="241">
        <f>Sales!BU69</f>
        <v>0</v>
      </c>
      <c r="BV49" s="241">
        <f>Sales!BV69</f>
        <v>0</v>
      </c>
      <c r="BW49" s="241">
        <f>Sales!BW69</f>
        <v>0</v>
      </c>
      <c r="BX49" s="241">
        <f>Sales!BX69</f>
        <v>0</v>
      </c>
      <c r="BY49" s="235">
        <f>Sales!BY69</f>
        <v>131.76687999999999</v>
      </c>
      <c r="BZ49" s="241">
        <f>Sales!BZ69</f>
        <v>0</v>
      </c>
      <c r="CA49" s="241">
        <f>Sales!CA69</f>
        <v>0</v>
      </c>
      <c r="CB49" s="241">
        <f>Sales!CB69</f>
        <v>0</v>
      </c>
      <c r="CC49" s="241">
        <f>Sales!CC69</f>
        <v>0</v>
      </c>
      <c r="CD49" s="235">
        <f>Sales!CD69</f>
        <v>129.13154239999997</v>
      </c>
    </row>
    <row r="50" spans="1:82" s="285" customFormat="1" hidden="1" outlineLevel="2">
      <c r="B50" s="238" t="str">
        <f>Sales!B71</f>
        <v>Other Neuro/Other/Generics</v>
      </c>
      <c r="C50" s="236">
        <f>Sales!C71</f>
        <v>0</v>
      </c>
      <c r="D50" s="236">
        <f>Sales!D71</f>
        <v>0</v>
      </c>
      <c r="E50" s="236">
        <f>Sales!E71</f>
        <v>0</v>
      </c>
      <c r="F50" s="236">
        <f>Sales!F71</f>
        <v>0</v>
      </c>
      <c r="G50" s="235">
        <f>Sales!G71</f>
        <v>0</v>
      </c>
      <c r="H50" s="236">
        <f>Sales!H71</f>
        <v>0</v>
      </c>
      <c r="I50" s="236">
        <f>Sales!I71</f>
        <v>0</v>
      </c>
      <c r="J50" s="236">
        <f>Sales!J71</f>
        <v>0</v>
      </c>
      <c r="K50" s="236">
        <f>Sales!K71</f>
        <v>0</v>
      </c>
      <c r="L50" s="235">
        <f>Sales!L71</f>
        <v>0</v>
      </c>
      <c r="M50" s="236">
        <f>Sales!M71</f>
        <v>0</v>
      </c>
      <c r="N50" s="236">
        <f>Sales!N71</f>
        <v>0</v>
      </c>
      <c r="O50" s="236">
        <f>Sales!O71</f>
        <v>0</v>
      </c>
      <c r="P50" s="236">
        <f>Sales!P71</f>
        <v>0</v>
      </c>
      <c r="Q50" s="235">
        <f>Sales!Q71</f>
        <v>0</v>
      </c>
      <c r="R50" s="236">
        <f>Sales!R71</f>
        <v>0</v>
      </c>
      <c r="S50" s="236">
        <f>Sales!S71</f>
        <v>0</v>
      </c>
      <c r="T50" s="236">
        <f>Sales!T71</f>
        <v>0</v>
      </c>
      <c r="U50" s="236">
        <f>Sales!U71</f>
        <v>0</v>
      </c>
      <c r="V50" s="235">
        <f>Sales!V71</f>
        <v>0</v>
      </c>
      <c r="W50" s="236">
        <f>Sales!W71</f>
        <v>0</v>
      </c>
      <c r="X50" s="236">
        <f>Sales!X71</f>
        <v>0</v>
      </c>
      <c r="Y50" s="236">
        <f>Sales!Y71</f>
        <v>0</v>
      </c>
      <c r="Z50" s="236">
        <f>Sales!Z71</f>
        <v>0</v>
      </c>
      <c r="AA50" s="235">
        <f>Sales!AA71</f>
        <v>0</v>
      </c>
      <c r="AB50" s="236">
        <f>Sales!AB71</f>
        <v>0</v>
      </c>
      <c r="AC50" s="236">
        <f>Sales!AC71</f>
        <v>0</v>
      </c>
      <c r="AD50" s="236">
        <f>Sales!AD71</f>
        <v>0</v>
      </c>
      <c r="AE50" s="236">
        <f>Sales!AE71</f>
        <v>0</v>
      </c>
      <c r="AF50" s="235">
        <f>Sales!AF71</f>
        <v>0</v>
      </c>
      <c r="AG50" s="236">
        <f>Sales!AG71</f>
        <v>0</v>
      </c>
      <c r="AH50" s="236">
        <f>Sales!AH71</f>
        <v>0</v>
      </c>
      <c r="AI50" s="236">
        <f>Sales!AI71</f>
        <v>0</v>
      </c>
      <c r="AJ50" s="236">
        <f>Sales!AJ71</f>
        <v>0</v>
      </c>
      <c r="AK50" s="235">
        <f>Sales!AK71</f>
        <v>0</v>
      </c>
      <c r="AL50" s="288">
        <f>Sales!AL71</f>
        <v>0</v>
      </c>
      <c r="AM50" s="239">
        <f>Sales!AM71</f>
        <v>0</v>
      </c>
      <c r="AN50" s="288">
        <f>Sales!AN71</f>
        <v>0</v>
      </c>
      <c r="AO50" s="240">
        <f>Sales!AO71</f>
        <v>0</v>
      </c>
      <c r="AP50" s="235">
        <f>Sales!AP71</f>
        <v>0</v>
      </c>
      <c r="AQ50" s="236">
        <f>Sales!AQ71</f>
        <v>0</v>
      </c>
      <c r="AR50" s="236">
        <f>Sales!AR71</f>
        <v>0</v>
      </c>
      <c r="AS50" s="236">
        <f>Sales!AS71</f>
        <v>274</v>
      </c>
      <c r="AT50" s="236">
        <f>Sales!AT71</f>
        <v>368.79999999999995</v>
      </c>
      <c r="AU50" s="235">
        <f>Sales!AU71</f>
        <v>0</v>
      </c>
      <c r="AV50" s="236">
        <f>Sales!AV71</f>
        <v>241.5</v>
      </c>
      <c r="AW50" s="236">
        <f>Sales!AW71</f>
        <v>214.7</v>
      </c>
      <c r="AX50" s="236">
        <f>Sales!AX71</f>
        <v>296</v>
      </c>
      <c r="AY50" s="236">
        <f>Sales!AY71</f>
        <v>370.5</v>
      </c>
      <c r="AZ50" s="235">
        <f>Sales!AZ71</f>
        <v>1122.7</v>
      </c>
      <c r="BA50" s="236">
        <f>Sales!BA71</f>
        <v>280.10000000000002</v>
      </c>
      <c r="BB50" s="236">
        <f>Sales!BB71</f>
        <v>280.20000000000005</v>
      </c>
      <c r="BC50" s="236">
        <f>Sales!BC71</f>
        <v>296.5</v>
      </c>
      <c r="BD50" s="236">
        <f>Sales!BD71</f>
        <v>303.5</v>
      </c>
      <c r="BE50" s="235">
        <f>Sales!BE71</f>
        <v>1160.3000000000002</v>
      </c>
      <c r="BF50" s="241">
        <f>Sales!BF71</f>
        <v>210.07500000000002</v>
      </c>
      <c r="BG50" s="241">
        <f>Sales!BG71</f>
        <v>238.17000000000004</v>
      </c>
      <c r="BH50" s="241">
        <f>Sales!BH71</f>
        <v>252.02500000000001</v>
      </c>
      <c r="BI50" s="241">
        <f>Sales!BI71</f>
        <v>288.32499999999999</v>
      </c>
      <c r="BJ50" s="235">
        <f>Sales!BJ71</f>
        <v>988.59500000000003</v>
      </c>
      <c r="BK50" s="241">
        <f>Sales!BK71</f>
        <v>0</v>
      </c>
      <c r="BL50" s="241">
        <f>Sales!BL71</f>
        <v>0</v>
      </c>
      <c r="BM50" s="241">
        <f>Sales!BM71</f>
        <v>0</v>
      </c>
      <c r="BN50" s="241">
        <f>Sales!BN71</f>
        <v>0</v>
      </c>
      <c r="BO50" s="235">
        <f>Sales!BO71</f>
        <v>939.16525000000001</v>
      </c>
      <c r="BP50" s="241">
        <f>Sales!BP71</f>
        <v>0</v>
      </c>
      <c r="BQ50" s="241">
        <f>Sales!BQ71</f>
        <v>0</v>
      </c>
      <c r="BR50" s="241">
        <f>Sales!BR71</f>
        <v>0</v>
      </c>
      <c r="BS50" s="241">
        <f>Sales!BS71</f>
        <v>0</v>
      </c>
      <c r="BT50" s="235">
        <f>Sales!BT71</f>
        <v>939.16525000000001</v>
      </c>
      <c r="BU50" s="241">
        <f>Sales!BU71</f>
        <v>0</v>
      </c>
      <c r="BV50" s="241">
        <f>Sales!BV71</f>
        <v>0</v>
      </c>
      <c r="BW50" s="241">
        <f>Sales!BW71</f>
        <v>0</v>
      </c>
      <c r="BX50" s="241">
        <f>Sales!BX71</f>
        <v>0</v>
      </c>
      <c r="BY50" s="235">
        <f>Sales!BY71</f>
        <v>939.16525000000001</v>
      </c>
      <c r="BZ50" s="241">
        <f>Sales!BZ71</f>
        <v>0</v>
      </c>
      <c r="CA50" s="241">
        <f>Sales!CA71</f>
        <v>0</v>
      </c>
      <c r="CB50" s="241">
        <f>Sales!CB71</f>
        <v>0</v>
      </c>
      <c r="CC50" s="241">
        <f>Sales!CC71</f>
        <v>0</v>
      </c>
      <c r="CD50" s="235">
        <f>Sales!CD71</f>
        <v>939.16525000000001</v>
      </c>
    </row>
    <row r="51" spans="1:82" s="355" customFormat="1" ht="13" collapsed="1">
      <c r="A51" s="349"/>
      <c r="B51" s="298" t="str">
        <f>Sales!B73</f>
        <v>Total Neuro/Other/Generics</v>
      </c>
      <c r="C51" s="350">
        <f>Sales!C73</f>
        <v>0</v>
      </c>
      <c r="D51" s="350">
        <f>Sales!D73</f>
        <v>0</v>
      </c>
      <c r="E51" s="350">
        <f>Sales!E73</f>
        <v>0</v>
      </c>
      <c r="F51" s="351">
        <f>Sales!F73</f>
        <v>0</v>
      </c>
      <c r="G51" s="352">
        <f>Sales!G73</f>
        <v>0</v>
      </c>
      <c r="H51" s="351">
        <f>Sales!H73</f>
        <v>0</v>
      </c>
      <c r="I51" s="351">
        <f>Sales!I73</f>
        <v>0</v>
      </c>
      <c r="J51" s="351">
        <f>Sales!J73</f>
        <v>0</v>
      </c>
      <c r="K51" s="351">
        <f>Sales!K73</f>
        <v>0</v>
      </c>
      <c r="L51" s="352">
        <f>Sales!L73</f>
        <v>0</v>
      </c>
      <c r="M51" s="351">
        <f>Sales!M73</f>
        <v>0</v>
      </c>
      <c r="N51" s="351">
        <f>Sales!N73</f>
        <v>0</v>
      </c>
      <c r="O51" s="351">
        <f>Sales!O73</f>
        <v>0</v>
      </c>
      <c r="P51" s="351">
        <f>Sales!P73</f>
        <v>0</v>
      </c>
      <c r="Q51" s="352">
        <f>Sales!Q73</f>
        <v>0</v>
      </c>
      <c r="R51" s="353">
        <f>Sales!R73</f>
        <v>0</v>
      </c>
      <c r="S51" s="353">
        <f>Sales!S73</f>
        <v>0</v>
      </c>
      <c r="T51" s="353">
        <f>Sales!T73</f>
        <v>0</v>
      </c>
      <c r="U51" s="353">
        <f>Sales!U73</f>
        <v>0</v>
      </c>
      <c r="V51" s="354">
        <f>Sales!V73</f>
        <v>0</v>
      </c>
      <c r="W51" s="353">
        <f>Sales!W73</f>
        <v>0</v>
      </c>
      <c r="X51" s="353">
        <f>Sales!X73</f>
        <v>0</v>
      </c>
      <c r="Y51" s="353">
        <f>Sales!Y73</f>
        <v>0</v>
      </c>
      <c r="Z51" s="353">
        <f>Sales!Z73</f>
        <v>0</v>
      </c>
      <c r="AA51" s="354">
        <f>Sales!AA73</f>
        <v>0</v>
      </c>
      <c r="AB51" s="302">
        <f>Sales!AB73</f>
        <v>0</v>
      </c>
      <c r="AC51" s="302">
        <f>Sales!AC73</f>
        <v>0</v>
      </c>
      <c r="AD51" s="302">
        <f>Sales!AD73</f>
        <v>0</v>
      </c>
      <c r="AE51" s="302">
        <f>Sales!AE73</f>
        <v>0</v>
      </c>
      <c r="AF51" s="311">
        <f>Sales!AF73</f>
        <v>0</v>
      </c>
      <c r="AG51" s="355">
        <f>Sales!AG73</f>
        <v>0</v>
      </c>
      <c r="AH51" s="355">
        <f>Sales!AH73</f>
        <v>0</v>
      </c>
      <c r="AI51" s="355">
        <f>Sales!AI73</f>
        <v>0</v>
      </c>
      <c r="AJ51" s="355">
        <f>Sales!AJ73</f>
        <v>0</v>
      </c>
      <c r="AK51" s="311">
        <f>Sales!AK73</f>
        <v>0</v>
      </c>
      <c r="AL51" s="355">
        <f>Sales!AL73</f>
        <v>0</v>
      </c>
      <c r="AM51" s="355">
        <f>Sales!AM73</f>
        <v>0</v>
      </c>
      <c r="AN51" s="355">
        <f>Sales!AN73</f>
        <v>0</v>
      </c>
      <c r="AO51" s="355">
        <f>Sales!AO73</f>
        <v>0</v>
      </c>
      <c r="AP51" s="311">
        <f>Sales!AP73</f>
        <v>0</v>
      </c>
      <c r="AQ51" s="356">
        <f>Sales!AQ73</f>
        <v>0</v>
      </c>
      <c r="AR51" s="355">
        <f>Sales!AR73</f>
        <v>0</v>
      </c>
      <c r="AS51" s="275">
        <f>Sales!AS73</f>
        <v>354</v>
      </c>
      <c r="AT51" s="275">
        <f>Sales!AT73</f>
        <v>453.79999999999995</v>
      </c>
      <c r="AU51" s="311">
        <f>Sales!AU73</f>
        <v>0</v>
      </c>
      <c r="AV51" s="275">
        <f>Sales!AV73</f>
        <v>351.5</v>
      </c>
      <c r="AW51" s="275">
        <f>Sales!AW73</f>
        <v>332.7</v>
      </c>
      <c r="AX51" s="275">
        <f>Sales!AX73</f>
        <v>424</v>
      </c>
      <c r="AY51" s="275">
        <f>Sales!AY73</f>
        <v>496.5</v>
      </c>
      <c r="AZ51" s="277">
        <f>Sales!AZ73</f>
        <v>1604.7</v>
      </c>
      <c r="BA51" s="275">
        <f>Sales!BA73</f>
        <v>539.1</v>
      </c>
      <c r="BB51" s="275">
        <f>Sales!BB73</f>
        <v>526.20000000000005</v>
      </c>
      <c r="BC51" s="275">
        <f>Sales!BC73</f>
        <v>546.5</v>
      </c>
      <c r="BD51" s="275">
        <f>Sales!BD73</f>
        <v>557.5</v>
      </c>
      <c r="BE51" s="332">
        <f>Sales!BE73</f>
        <v>2169.3000000000002</v>
      </c>
      <c r="BF51" s="285">
        <f>Sales!BF73</f>
        <v>357.07500000000005</v>
      </c>
      <c r="BG51" s="285">
        <f>Sales!BG73</f>
        <v>389.17000000000007</v>
      </c>
      <c r="BH51" s="285">
        <f>Sales!BH73</f>
        <v>402.02499999999998</v>
      </c>
      <c r="BI51" s="285">
        <f>Sales!BI73</f>
        <v>438.32499999999999</v>
      </c>
      <c r="BJ51" s="332">
        <f>Sales!BJ73</f>
        <v>1586.595</v>
      </c>
      <c r="BK51" s="285">
        <f>Sales!BK73</f>
        <v>0</v>
      </c>
      <c r="BL51" s="285">
        <f>Sales!BL73</f>
        <v>0</v>
      </c>
      <c r="BM51" s="285">
        <f>Sales!BM73</f>
        <v>0</v>
      </c>
      <c r="BN51" s="285">
        <f>Sales!BN73</f>
        <v>0</v>
      </c>
      <c r="BO51" s="332">
        <f>Sales!BO73</f>
        <v>1538.2652499999999</v>
      </c>
      <c r="BP51" s="285">
        <f>Sales!BP73</f>
        <v>0</v>
      </c>
      <c r="BQ51" s="285">
        <f>Sales!BQ73</f>
        <v>0</v>
      </c>
      <c r="BR51" s="285">
        <f>Sales!BR73</f>
        <v>0</v>
      </c>
      <c r="BS51" s="285">
        <f>Sales!BS73</f>
        <v>0</v>
      </c>
      <c r="BT51" s="332">
        <f>Sales!BT73</f>
        <v>1533.1692499999999</v>
      </c>
      <c r="BU51" s="285">
        <f>Sales!BU73</f>
        <v>0</v>
      </c>
      <c r="BV51" s="285">
        <f>Sales!BV73</f>
        <v>0</v>
      </c>
      <c r="BW51" s="285">
        <f>Sales!BW73</f>
        <v>0</v>
      </c>
      <c r="BX51" s="285">
        <f>Sales!BX73</f>
        <v>0</v>
      </c>
      <c r="BY51" s="332">
        <f>Sales!BY73</f>
        <v>1512.1101699999999</v>
      </c>
      <c r="BZ51" s="285">
        <f>Sales!BZ73</f>
        <v>0</v>
      </c>
      <c r="CA51" s="285">
        <f>Sales!CA73</f>
        <v>0</v>
      </c>
      <c r="CB51" s="285">
        <f>Sales!CB73</f>
        <v>0</v>
      </c>
      <c r="CC51" s="285">
        <f>Sales!CC73</f>
        <v>0</v>
      </c>
      <c r="CD51" s="332">
        <f>Sales!CD73</f>
        <v>1491.9542216</v>
      </c>
    </row>
    <row r="52" spans="1:82" s="355" customFormat="1" ht="13" hidden="1">
      <c r="A52" s="28"/>
      <c r="B52" s="309" t="str">
        <f>Sales!B74</f>
        <v>growth</v>
      </c>
      <c r="C52" s="357">
        <f>Sales!C74</f>
        <v>0</v>
      </c>
      <c r="D52" s="357">
        <f>Sales!D74</f>
        <v>0</v>
      </c>
      <c r="E52" s="357">
        <f>Sales!E74</f>
        <v>0</v>
      </c>
      <c r="F52" s="357">
        <f>Sales!F74</f>
        <v>0</v>
      </c>
      <c r="G52" s="358">
        <f>Sales!G74</f>
        <v>0</v>
      </c>
      <c r="H52" s="357">
        <f>Sales!H74</f>
        <v>0</v>
      </c>
      <c r="I52" s="357">
        <f>Sales!I74</f>
        <v>0</v>
      </c>
      <c r="J52" s="357">
        <f>Sales!J74</f>
        <v>0</v>
      </c>
      <c r="K52" s="357">
        <f>Sales!K74</f>
        <v>0</v>
      </c>
      <c r="L52" s="358">
        <f>Sales!L74</f>
        <v>0</v>
      </c>
      <c r="M52" s="357">
        <f>Sales!M74</f>
        <v>0</v>
      </c>
      <c r="N52" s="357">
        <f>Sales!N74</f>
        <v>0</v>
      </c>
      <c r="O52" s="357">
        <f>Sales!O74</f>
        <v>0</v>
      </c>
      <c r="P52" s="357">
        <f>Sales!P74</f>
        <v>0</v>
      </c>
      <c r="Q52" s="358">
        <f>Sales!Q74</f>
        <v>0</v>
      </c>
      <c r="R52" s="357">
        <f>Sales!R74</f>
        <v>0</v>
      </c>
      <c r="S52" s="357">
        <f>Sales!S74</f>
        <v>0</v>
      </c>
      <c r="T52" s="357">
        <f>Sales!T74</f>
        <v>0</v>
      </c>
      <c r="U52" s="357">
        <f>Sales!U74</f>
        <v>0</v>
      </c>
      <c r="V52" s="358">
        <f>Sales!V74</f>
        <v>0</v>
      </c>
      <c r="W52" s="357">
        <f>Sales!W74</f>
        <v>0</v>
      </c>
      <c r="X52" s="357">
        <f>Sales!X74</f>
        <v>0</v>
      </c>
      <c r="Y52" s="357">
        <f>Sales!Y74</f>
        <v>0</v>
      </c>
      <c r="Z52" s="357">
        <f>Sales!Z74</f>
        <v>0</v>
      </c>
      <c r="AA52" s="358">
        <f>Sales!AA74</f>
        <v>0</v>
      </c>
      <c r="AB52" s="310">
        <f>Sales!AB74</f>
        <v>0</v>
      </c>
      <c r="AC52" s="310">
        <f>Sales!AC74</f>
        <v>0</v>
      </c>
      <c r="AD52" s="310">
        <f>Sales!AD74</f>
        <v>0</v>
      </c>
      <c r="AE52" s="310">
        <f>Sales!AE74</f>
        <v>0</v>
      </c>
      <c r="AF52" s="311">
        <f>Sales!AF74</f>
        <v>0</v>
      </c>
      <c r="AG52" s="355">
        <f>Sales!AG74</f>
        <v>0</v>
      </c>
      <c r="AH52" s="355">
        <f>Sales!AH74</f>
        <v>0</v>
      </c>
      <c r="AI52" s="355">
        <f>Sales!AI74</f>
        <v>0</v>
      </c>
      <c r="AJ52" s="355">
        <f>Sales!AJ74</f>
        <v>0</v>
      </c>
      <c r="AK52" s="311">
        <f>Sales!AK74</f>
        <v>0</v>
      </c>
      <c r="AL52" s="355">
        <f>Sales!AL74</f>
        <v>0</v>
      </c>
      <c r="AM52" s="355">
        <f>Sales!AM74</f>
        <v>0</v>
      </c>
      <c r="AN52" s="355">
        <f>Sales!AN74</f>
        <v>0</v>
      </c>
      <c r="AO52" s="355">
        <f>Sales!AO74</f>
        <v>0</v>
      </c>
      <c r="AP52" s="311">
        <f>Sales!AP74</f>
        <v>0</v>
      </c>
      <c r="AQ52" s="356">
        <f>Sales!AQ74</f>
        <v>0</v>
      </c>
      <c r="AR52" s="355">
        <f>Sales!AR74</f>
        <v>0</v>
      </c>
      <c r="AS52" s="355">
        <f>Sales!AS74</f>
        <v>0</v>
      </c>
      <c r="AT52" s="355">
        <f>Sales!AT74</f>
        <v>0</v>
      </c>
      <c r="AU52" s="311">
        <f>Sales!AU74</f>
        <v>0</v>
      </c>
      <c r="AV52" s="355">
        <f>Sales!AV74</f>
        <v>0</v>
      </c>
      <c r="AW52" s="355">
        <f>Sales!AW74</f>
        <v>0</v>
      </c>
      <c r="AX52" s="281">
        <f>Sales!AX74</f>
        <v>0.19774011299435035</v>
      </c>
      <c r="AY52" s="281">
        <f>Sales!AY74</f>
        <v>9.409431467606888E-2</v>
      </c>
      <c r="AZ52" s="311">
        <f>Sales!AZ74</f>
        <v>0</v>
      </c>
      <c r="BA52" s="281">
        <f>Sales!BA74</f>
        <v>0.53371266002844964</v>
      </c>
      <c r="BB52" s="281">
        <f>Sales!BB74</f>
        <v>0.58160504959422932</v>
      </c>
      <c r="BC52" s="281">
        <f>Sales!BC74</f>
        <v>0.28891509433962259</v>
      </c>
      <c r="BD52" s="281">
        <f>Sales!BD74</f>
        <v>0.12286002014098685</v>
      </c>
      <c r="BE52" s="282">
        <f>Sales!BE74</f>
        <v>0.35184146569452235</v>
      </c>
      <c r="BF52" s="285">
        <f>Sales!BF74</f>
        <v>-0.33764607679465775</v>
      </c>
      <c r="BG52" s="285">
        <f>Sales!BG74</f>
        <v>-0.26041429114405157</v>
      </c>
      <c r="BH52" s="285">
        <f>Sales!BH74</f>
        <v>-0.26436413540713632</v>
      </c>
      <c r="BI52" s="285">
        <f>Sales!BI74</f>
        <v>-0.2137668161434978</v>
      </c>
      <c r="BJ52" s="282">
        <f>Sales!BJ74</f>
        <v>-0.26861429954363159</v>
      </c>
      <c r="BK52" s="285">
        <f>Sales!BK74</f>
        <v>0</v>
      </c>
      <c r="BL52" s="285">
        <f>Sales!BL74</f>
        <v>0</v>
      </c>
      <c r="BM52" s="285">
        <f>Sales!BM74</f>
        <v>0</v>
      </c>
      <c r="BN52" s="285">
        <f>Sales!BN74</f>
        <v>0</v>
      </c>
      <c r="BO52" s="282">
        <f>Sales!BO74</f>
        <v>-3.046130234874056E-2</v>
      </c>
      <c r="BP52" s="285">
        <f>Sales!BP74</f>
        <v>0</v>
      </c>
      <c r="BQ52" s="285">
        <f>Sales!BQ74</f>
        <v>0</v>
      </c>
      <c r="BR52" s="285">
        <f>Sales!BR74</f>
        <v>0</v>
      </c>
      <c r="BS52" s="285">
        <f>Sales!BS74</f>
        <v>0</v>
      </c>
      <c r="BT52" s="282">
        <f>Sales!BT74</f>
        <v>-3.3128226747630718E-3</v>
      </c>
      <c r="BU52" s="285">
        <f>Sales!BU74</f>
        <v>0</v>
      </c>
      <c r="BV52" s="285">
        <f>Sales!BV74</f>
        <v>0</v>
      </c>
      <c r="BW52" s="285">
        <f>Sales!BW74</f>
        <v>0</v>
      </c>
      <c r="BX52" s="285">
        <f>Sales!BX74</f>
        <v>0</v>
      </c>
      <c r="BY52" s="282">
        <f>Sales!BY74</f>
        <v>-1.3735652472810833E-2</v>
      </c>
      <c r="BZ52" s="285">
        <f>Sales!BZ74</f>
        <v>0</v>
      </c>
      <c r="CA52" s="285">
        <f>Sales!CA74</f>
        <v>0</v>
      </c>
      <c r="CB52" s="285">
        <f>Sales!CB74</f>
        <v>0</v>
      </c>
      <c r="CC52" s="285">
        <f>Sales!CC74</f>
        <v>0</v>
      </c>
      <c r="CD52" s="282">
        <f>Sales!CD74</f>
        <v>-1.332968245296573E-2</v>
      </c>
    </row>
    <row r="53" spans="1:82" s="355" customFormat="1" ht="13" hidden="1">
      <c r="A53" s="28"/>
      <c r="B53" s="309"/>
      <c r="C53" s="357"/>
      <c r="D53" s="357"/>
      <c r="E53" s="357"/>
      <c r="F53" s="357"/>
      <c r="G53" s="358"/>
      <c r="H53" s="357"/>
      <c r="I53" s="357"/>
      <c r="J53" s="357"/>
      <c r="K53" s="357"/>
      <c r="L53" s="358"/>
      <c r="M53" s="357"/>
      <c r="N53" s="357"/>
      <c r="O53" s="357"/>
      <c r="P53" s="357"/>
      <c r="Q53" s="358"/>
      <c r="R53" s="357"/>
      <c r="S53" s="357"/>
      <c r="T53" s="357"/>
      <c r="U53" s="357"/>
      <c r="V53" s="358"/>
      <c r="W53" s="357"/>
      <c r="X53" s="357"/>
      <c r="Y53" s="357"/>
      <c r="Z53" s="357"/>
      <c r="AA53" s="358"/>
      <c r="AB53" s="310"/>
      <c r="AC53" s="310"/>
      <c r="AD53" s="310"/>
      <c r="AE53" s="310"/>
      <c r="AF53" s="311"/>
      <c r="AK53" s="311"/>
      <c r="AP53" s="311"/>
      <c r="AQ53" s="356"/>
      <c r="AU53" s="311"/>
      <c r="AZ53" s="311"/>
      <c r="BE53" s="311"/>
      <c r="BF53" s="285"/>
      <c r="BG53" s="285"/>
      <c r="BH53" s="285"/>
      <c r="BI53" s="285"/>
      <c r="BJ53" s="311"/>
      <c r="BK53" s="285"/>
      <c r="BL53" s="285"/>
      <c r="BM53" s="285"/>
      <c r="BN53" s="285"/>
      <c r="BO53" s="311"/>
      <c r="BP53" s="285"/>
      <c r="BQ53" s="285"/>
      <c r="BR53" s="285"/>
      <c r="BS53" s="285"/>
      <c r="BT53" s="311"/>
      <c r="BU53" s="285"/>
      <c r="BV53" s="285"/>
      <c r="BW53" s="285"/>
      <c r="BX53" s="285"/>
      <c r="BY53" s="311"/>
      <c r="BZ53" s="285"/>
      <c r="CA53" s="285"/>
      <c r="CB53" s="285"/>
      <c r="CC53" s="285"/>
      <c r="CD53" s="311"/>
    </row>
    <row r="54" spans="1:82" s="285" customFormat="1" hidden="1" outlineLevel="1">
      <c r="B54" s="230" t="str">
        <f>Sales!B76</f>
        <v>Dental</v>
      </c>
      <c r="C54" s="236">
        <f>Sales!C76</f>
        <v>0</v>
      </c>
      <c r="D54" s="236">
        <f>Sales!D76</f>
        <v>0</v>
      </c>
      <c r="E54" s="236">
        <f>Sales!E76</f>
        <v>0</v>
      </c>
      <c r="F54" s="236">
        <f>Sales!F76</f>
        <v>0</v>
      </c>
      <c r="G54" s="235">
        <f>Sales!G76</f>
        <v>0</v>
      </c>
      <c r="H54" s="236">
        <f>Sales!H76</f>
        <v>0</v>
      </c>
      <c r="I54" s="236">
        <f>Sales!I76</f>
        <v>0</v>
      </c>
      <c r="J54" s="236">
        <f>Sales!J76</f>
        <v>0</v>
      </c>
      <c r="K54" s="236">
        <f>Sales!K76</f>
        <v>0</v>
      </c>
      <c r="L54" s="235">
        <f>Sales!L76</f>
        <v>0</v>
      </c>
      <c r="M54" s="236">
        <f>Sales!M76</f>
        <v>0</v>
      </c>
      <c r="N54" s="236">
        <f>Sales!N76</f>
        <v>0</v>
      </c>
      <c r="O54" s="236">
        <f>Sales!O76</f>
        <v>0</v>
      </c>
      <c r="P54" s="236">
        <f>Sales!P76</f>
        <v>0</v>
      </c>
      <c r="Q54" s="235">
        <f>Sales!Q76</f>
        <v>0</v>
      </c>
      <c r="R54" s="236">
        <f>Sales!R76</f>
        <v>0</v>
      </c>
      <c r="S54" s="236">
        <f>Sales!S76</f>
        <v>0</v>
      </c>
      <c r="T54" s="236">
        <f>Sales!T76</f>
        <v>0</v>
      </c>
      <c r="U54" s="236">
        <f>Sales!U76</f>
        <v>0</v>
      </c>
      <c r="V54" s="235">
        <f>Sales!V76</f>
        <v>0</v>
      </c>
      <c r="W54" s="236">
        <f>Sales!W76</f>
        <v>0</v>
      </c>
      <c r="X54" s="236">
        <f>Sales!X76</f>
        <v>0</v>
      </c>
      <c r="Y54" s="236">
        <f>Sales!Y76</f>
        <v>0</v>
      </c>
      <c r="Z54" s="236">
        <f>Sales!Z76</f>
        <v>0</v>
      </c>
      <c r="AA54" s="235">
        <f>Sales!AA76</f>
        <v>0</v>
      </c>
      <c r="AB54" s="310">
        <f>Sales!AB76</f>
        <v>0</v>
      </c>
      <c r="AC54" s="310">
        <f>Sales!AC76</f>
        <v>0</v>
      </c>
      <c r="AD54" s="310">
        <f>Sales!AD76</f>
        <v>0</v>
      </c>
      <c r="AE54" s="310">
        <f>Sales!AE76</f>
        <v>0</v>
      </c>
      <c r="AF54" s="235">
        <f>Sales!AF76</f>
        <v>0</v>
      </c>
      <c r="AG54" s="236">
        <f>Sales!AG76</f>
        <v>0</v>
      </c>
      <c r="AH54" s="236">
        <f>Sales!AH76</f>
        <v>0</v>
      </c>
      <c r="AI54" s="236">
        <f>Sales!AI76</f>
        <v>0</v>
      </c>
      <c r="AJ54" s="236">
        <f>Sales!AJ76</f>
        <v>0</v>
      </c>
      <c r="AK54" s="235">
        <f>Sales!AK76</f>
        <v>0</v>
      </c>
      <c r="AL54" s="288">
        <f>Sales!AL76</f>
        <v>0</v>
      </c>
      <c r="AM54" s="239">
        <f>Sales!AM76</f>
        <v>0</v>
      </c>
      <c r="AN54" s="288">
        <f>Sales!AN76</f>
        <v>0</v>
      </c>
      <c r="AO54" s="240">
        <f>Sales!AO76</f>
        <v>0</v>
      </c>
      <c r="AP54" s="235">
        <f>Sales!AP76</f>
        <v>0</v>
      </c>
      <c r="AQ54" s="289">
        <f>Sales!AQ76</f>
        <v>0</v>
      </c>
      <c r="AR54" s="236">
        <f>Sales!AR76</f>
        <v>0</v>
      </c>
      <c r="AS54" s="236">
        <f>Sales!AS76</f>
        <v>0</v>
      </c>
      <c r="AT54" s="236">
        <f>Sales!AT76</f>
        <v>0</v>
      </c>
      <c r="AU54" s="235">
        <f>Sales!AU76</f>
        <v>0</v>
      </c>
      <c r="AV54" s="236">
        <f>Sales!AV76</f>
        <v>0</v>
      </c>
      <c r="AW54" s="236">
        <f>Sales!AW76</f>
        <v>0</v>
      </c>
      <c r="AX54" s="236">
        <f>Sales!AX76</f>
        <v>0</v>
      </c>
      <c r="AY54" s="236">
        <f>Sales!AY76</f>
        <v>0</v>
      </c>
      <c r="AZ54" s="235">
        <f>Sales!AZ76</f>
        <v>0</v>
      </c>
      <c r="BA54" s="236">
        <f>Sales!BA76</f>
        <v>0</v>
      </c>
      <c r="BB54" s="236">
        <f>Sales!BB76</f>
        <v>0</v>
      </c>
      <c r="BC54" s="236">
        <f>Sales!BC76</f>
        <v>0</v>
      </c>
      <c r="BD54" s="236">
        <f>Sales!BD76</f>
        <v>0</v>
      </c>
      <c r="BE54" s="235">
        <f>Sales!BE76</f>
        <v>0</v>
      </c>
      <c r="BF54" s="241">
        <f>Sales!BF76</f>
        <v>0</v>
      </c>
      <c r="BG54" s="241">
        <f>Sales!BG76</f>
        <v>0</v>
      </c>
      <c r="BH54" s="241">
        <f>Sales!BH76</f>
        <v>0</v>
      </c>
      <c r="BI54" s="241">
        <f>Sales!BI76</f>
        <v>0</v>
      </c>
      <c r="BJ54" s="235">
        <f>Sales!BJ76</f>
        <v>0</v>
      </c>
      <c r="BK54" s="241">
        <f>Sales!BK76</f>
        <v>0</v>
      </c>
      <c r="BL54" s="241">
        <f>Sales!BL76</f>
        <v>0</v>
      </c>
      <c r="BM54" s="241">
        <f>Sales!BM76</f>
        <v>0</v>
      </c>
      <c r="BN54" s="241">
        <f>Sales!BN76</f>
        <v>0</v>
      </c>
      <c r="BO54" s="235">
        <f>Sales!BO76</f>
        <v>0</v>
      </c>
      <c r="BP54" s="241">
        <f>Sales!BP76</f>
        <v>0</v>
      </c>
      <c r="BQ54" s="241">
        <f>Sales!BQ76</f>
        <v>0</v>
      </c>
      <c r="BR54" s="241">
        <f>Sales!BR76</f>
        <v>0</v>
      </c>
      <c r="BS54" s="241">
        <f>Sales!BS76</f>
        <v>0</v>
      </c>
      <c r="BT54" s="235">
        <f>Sales!BT76</f>
        <v>0</v>
      </c>
      <c r="BU54" s="241">
        <f>Sales!BU76</f>
        <v>0</v>
      </c>
      <c r="BV54" s="241">
        <f>Sales!BV76</f>
        <v>0</v>
      </c>
      <c r="BW54" s="241">
        <f>Sales!BW76</f>
        <v>0</v>
      </c>
      <c r="BX54" s="241">
        <f>Sales!BX76</f>
        <v>0</v>
      </c>
      <c r="BY54" s="235">
        <f>Sales!BY76</f>
        <v>0</v>
      </c>
      <c r="BZ54" s="241">
        <f>Sales!BZ76</f>
        <v>0</v>
      </c>
      <c r="CA54" s="241">
        <f>Sales!CA76</f>
        <v>0</v>
      </c>
      <c r="CB54" s="241">
        <f>Sales!CB76</f>
        <v>0</v>
      </c>
      <c r="CC54" s="241">
        <f>Sales!CC76</f>
        <v>0</v>
      </c>
      <c r="CD54" s="235">
        <f>Sales!CD76</f>
        <v>0</v>
      </c>
    </row>
    <row r="55" spans="1:82" s="28" customFormat="1" hidden="1" outlineLevel="2">
      <c r="B55" s="238" t="str">
        <f>Sales!B77</f>
        <v>Arestin</v>
      </c>
      <c r="C55" s="336">
        <f>Sales!C77</f>
        <v>36.799999999999997</v>
      </c>
      <c r="D55" s="336">
        <f>Sales!D77</f>
        <v>70.5</v>
      </c>
      <c r="E55" s="336">
        <f>Sales!E77</f>
        <v>109.3</v>
      </c>
      <c r="F55" s="336">
        <f>Sales!F77</f>
        <v>137.69999999999999</v>
      </c>
      <c r="G55" s="337">
        <f>Sales!G77</f>
        <v>354.29999999999995</v>
      </c>
      <c r="H55" s="336">
        <f>Sales!H77</f>
        <v>65</v>
      </c>
      <c r="I55" s="336">
        <f>Sales!I77</f>
        <v>114</v>
      </c>
      <c r="J55" s="336">
        <f>Sales!J77</f>
        <v>123.3</v>
      </c>
      <c r="K55" s="336">
        <f>Sales!K77</f>
        <v>148.1</v>
      </c>
      <c r="L55" s="337">
        <f>Sales!L77</f>
        <v>450.4</v>
      </c>
      <c r="M55" s="336">
        <f>Sales!M77</f>
        <v>61.405000000000001</v>
      </c>
      <c r="N55" s="336">
        <f>Sales!N77</f>
        <v>53.048000000000002</v>
      </c>
      <c r="O55" s="336">
        <f>Sales!O77</f>
        <v>53.515999999999998</v>
      </c>
      <c r="P55" s="336">
        <f>Sales!P77</f>
        <v>44.356000000000002</v>
      </c>
      <c r="Q55" s="337">
        <f>Sales!Q77</f>
        <v>212.32499999999999</v>
      </c>
      <c r="R55" s="336">
        <f>Sales!R77</f>
        <v>58.856000000000002</v>
      </c>
      <c r="S55" s="336">
        <f>Sales!S77</f>
        <v>30.42</v>
      </c>
      <c r="T55" s="336">
        <f>Sales!T77</f>
        <v>16.587</v>
      </c>
      <c r="U55" s="336">
        <f>Sales!U77</f>
        <v>14.882</v>
      </c>
      <c r="V55" s="337">
        <f>Sales!V77</f>
        <v>120.74500000000002</v>
      </c>
      <c r="W55" s="236">
        <f>Sales!W77</f>
        <v>20.12</v>
      </c>
      <c r="X55" s="236">
        <f>Sales!X77</f>
        <v>37.134999999999998</v>
      </c>
      <c r="Y55" s="236">
        <f>Sales!Y77</f>
        <v>58.606000000000002</v>
      </c>
      <c r="Z55" s="236">
        <f>Sales!Z77</f>
        <v>57.427</v>
      </c>
      <c r="AA55" s="235">
        <f>Sales!AA77</f>
        <v>173.28799999999998</v>
      </c>
      <c r="AB55" s="310">
        <f>Sales!AB77</f>
        <v>0</v>
      </c>
      <c r="AC55" s="310">
        <f>Sales!AC77</f>
        <v>0</v>
      </c>
      <c r="AD55" s="310">
        <f>Sales!AD77</f>
        <v>0</v>
      </c>
      <c r="AE55" s="310">
        <f>Sales!AE77</f>
        <v>0</v>
      </c>
      <c r="AF55" s="235">
        <f>Sales!AF77</f>
        <v>0</v>
      </c>
      <c r="AG55" s="236">
        <f>Sales!AG77</f>
        <v>0</v>
      </c>
      <c r="AH55" s="236">
        <f>Sales!AH77</f>
        <v>0</v>
      </c>
      <c r="AI55" s="236">
        <f>Sales!AI77</f>
        <v>0</v>
      </c>
      <c r="AJ55" s="236">
        <f>Sales!AJ77</f>
        <v>0</v>
      </c>
      <c r="AK55" s="235">
        <f>Sales!AK77</f>
        <v>0</v>
      </c>
      <c r="AL55" s="287">
        <f>Sales!AL77</f>
        <v>0</v>
      </c>
      <c r="AM55" s="236">
        <f>Sales!AM77</f>
        <v>0</v>
      </c>
      <c r="AN55" s="236">
        <f>Sales!AN77</f>
        <v>0</v>
      </c>
      <c r="AO55" s="236">
        <f>Sales!AO77</f>
        <v>0</v>
      </c>
      <c r="AP55" s="235">
        <f>Sales!AP77</f>
        <v>0</v>
      </c>
      <c r="AQ55" s="289">
        <f>Sales!AQ77</f>
        <v>0</v>
      </c>
      <c r="AR55" s="236">
        <f>Sales!AR77</f>
        <v>0</v>
      </c>
      <c r="AS55" s="239">
        <f>Sales!AS77</f>
        <v>0</v>
      </c>
      <c r="AT55" s="239">
        <f>Sales!AT77</f>
        <v>0</v>
      </c>
      <c r="AU55" s="235">
        <f>Sales!AU77</f>
        <v>0</v>
      </c>
      <c r="AV55" s="239">
        <f>Sales!AV77</f>
        <v>15</v>
      </c>
      <c r="AW55" s="239">
        <f>Sales!AW77</f>
        <v>30</v>
      </c>
      <c r="AX55" s="239">
        <f>Sales!AX77</f>
        <v>30</v>
      </c>
      <c r="AY55" s="239">
        <f>Sales!AY77</f>
        <v>38</v>
      </c>
      <c r="AZ55" s="235">
        <f>Sales!AZ77</f>
        <v>113</v>
      </c>
      <c r="BA55" s="239">
        <f>Sales!BA77</f>
        <v>32</v>
      </c>
      <c r="BB55" s="239">
        <f>Sales!BB77</f>
        <v>52</v>
      </c>
      <c r="BC55" s="240">
        <f>Sales!BC77</f>
        <v>35</v>
      </c>
      <c r="BD55" s="240">
        <f>Sales!BD77</f>
        <v>32</v>
      </c>
      <c r="BE55" s="235">
        <f>Sales!BE77</f>
        <v>151</v>
      </c>
      <c r="BF55" s="241">
        <f>Sales!BF77</f>
        <v>32</v>
      </c>
      <c r="BG55" s="241">
        <f>Sales!BG77</f>
        <v>38</v>
      </c>
      <c r="BH55" s="241">
        <f>Sales!BH77</f>
        <v>40</v>
      </c>
      <c r="BI55" s="241">
        <f>Sales!BI77</f>
        <v>40</v>
      </c>
      <c r="BJ55" s="235">
        <f>Sales!BJ77</f>
        <v>150</v>
      </c>
      <c r="BK55" s="241">
        <f>Sales!BK77</f>
        <v>0</v>
      </c>
      <c r="BL55" s="241">
        <f>Sales!BL77</f>
        <v>0</v>
      </c>
      <c r="BM55" s="241">
        <f>Sales!BM77</f>
        <v>0</v>
      </c>
      <c r="BN55" s="241">
        <f>Sales!BN77</f>
        <v>0</v>
      </c>
      <c r="BO55" s="235">
        <f>Sales!BO77</f>
        <v>165</v>
      </c>
      <c r="BP55" s="241">
        <f>Sales!BP77</f>
        <v>0</v>
      </c>
      <c r="BQ55" s="241">
        <f>Sales!BQ77</f>
        <v>0</v>
      </c>
      <c r="BR55" s="241">
        <f>Sales!BR77</f>
        <v>0</v>
      </c>
      <c r="BS55" s="241">
        <f>Sales!BS77</f>
        <v>0</v>
      </c>
      <c r="BT55" s="235">
        <f>Sales!BT77</f>
        <v>181.50000000000003</v>
      </c>
      <c r="BU55" s="241">
        <f>Sales!BU77</f>
        <v>0</v>
      </c>
      <c r="BV55" s="241">
        <f>Sales!BV77</f>
        <v>0</v>
      </c>
      <c r="BW55" s="241">
        <f>Sales!BW77</f>
        <v>0</v>
      </c>
      <c r="BX55" s="241">
        <f>Sales!BX77</f>
        <v>0</v>
      </c>
      <c r="BY55" s="235">
        <f>Sales!BY77</f>
        <v>199.65000000000003</v>
      </c>
      <c r="BZ55" s="241">
        <f>Sales!BZ77</f>
        <v>0</v>
      </c>
      <c r="CA55" s="241">
        <f>Sales!CA77</f>
        <v>0</v>
      </c>
      <c r="CB55" s="241">
        <f>Sales!CB77</f>
        <v>0</v>
      </c>
      <c r="CC55" s="241">
        <f>Sales!CC77</f>
        <v>0</v>
      </c>
      <c r="CD55" s="235">
        <f>Sales!CD77</f>
        <v>219.61500000000007</v>
      </c>
    </row>
    <row r="56" spans="1:82" s="342" customFormat="1" hidden="1" outlineLevel="2">
      <c r="B56" s="245" t="str">
        <f>Sales!B78</f>
        <v>growth</v>
      </c>
      <c r="C56" s="338">
        <f>Sales!C78</f>
        <v>0</v>
      </c>
      <c r="D56" s="338">
        <f>Sales!D78</f>
        <v>0</v>
      </c>
      <c r="E56" s="338">
        <f>Sales!E78</f>
        <v>0</v>
      </c>
      <c r="F56" s="338">
        <f>Sales!F78</f>
        <v>0</v>
      </c>
      <c r="G56" s="251">
        <f>Sales!G78</f>
        <v>0</v>
      </c>
      <c r="H56" s="338">
        <f>Sales!H78</f>
        <v>0.76630434782608714</v>
      </c>
      <c r="I56" s="338">
        <f>Sales!I78</f>
        <v>0.61702127659574457</v>
      </c>
      <c r="J56" s="338">
        <f>Sales!J78</f>
        <v>0.12808783165599258</v>
      </c>
      <c r="K56" s="338">
        <f>Sales!K78</f>
        <v>7.5526506899056045E-2</v>
      </c>
      <c r="L56" s="251">
        <f>Sales!L78</f>
        <v>0.27123906294101063</v>
      </c>
      <c r="M56" s="338">
        <f>Sales!M78</f>
        <v>-5.530769230769228E-2</v>
      </c>
      <c r="N56" s="338">
        <f>Sales!N78</f>
        <v>-0.53466666666666662</v>
      </c>
      <c r="O56" s="338">
        <f>Sales!O78</f>
        <v>-0.56596918085969183</v>
      </c>
      <c r="P56" s="338">
        <f>Sales!P78</f>
        <v>-0.70049966239027683</v>
      </c>
      <c r="Q56" s="251">
        <f>Sales!Q78</f>
        <v>-0.52858570159857909</v>
      </c>
      <c r="R56" s="338">
        <f>Sales!R78</f>
        <v>-4.1511277583258677E-2</v>
      </c>
      <c r="S56" s="338">
        <f>Sales!S78</f>
        <v>-0.42655708038003315</v>
      </c>
      <c r="T56" s="338">
        <f>Sales!T78</f>
        <v>-0.69005531056132741</v>
      </c>
      <c r="U56" s="338">
        <f>Sales!U78</f>
        <v>-0.66448732978627478</v>
      </c>
      <c r="V56" s="251">
        <f>Sales!V78</f>
        <v>-0.43131991051454122</v>
      </c>
      <c r="W56" s="247">
        <f>Sales!W78</f>
        <v>-0.65814870191654207</v>
      </c>
      <c r="X56" s="247">
        <f>Sales!X78</f>
        <v>0.22074293228139363</v>
      </c>
      <c r="Y56" s="247">
        <f>Sales!Y78</f>
        <v>2.53324892988485</v>
      </c>
      <c r="Z56" s="247">
        <f>Sales!Z78</f>
        <v>2.8588227388791831</v>
      </c>
      <c r="AA56" s="251">
        <f>Sales!AA78</f>
        <v>0.43515673526854082</v>
      </c>
      <c r="AB56" s="302">
        <f>Sales!AB78</f>
        <v>0</v>
      </c>
      <c r="AC56" s="302">
        <f>Sales!AC78</f>
        <v>0</v>
      </c>
      <c r="AD56" s="302">
        <f>Sales!AD78</f>
        <v>0</v>
      </c>
      <c r="AE56" s="302">
        <f>Sales!AE78</f>
        <v>0</v>
      </c>
      <c r="AF56" s="251">
        <f>Sales!AF78</f>
        <v>0</v>
      </c>
      <c r="AG56" s="247">
        <f>Sales!AG78</f>
        <v>0</v>
      </c>
      <c r="AH56" s="247">
        <f>Sales!AH78</f>
        <v>0</v>
      </c>
      <c r="AI56" s="247">
        <f>Sales!AI78</f>
        <v>0</v>
      </c>
      <c r="AJ56" s="247">
        <f>Sales!AJ78</f>
        <v>0</v>
      </c>
      <c r="AK56" s="251">
        <f>Sales!AK78</f>
        <v>0</v>
      </c>
      <c r="AL56" s="247">
        <f>Sales!AL78</f>
        <v>0</v>
      </c>
      <c r="AM56" s="247">
        <f>Sales!AM78</f>
        <v>0</v>
      </c>
      <c r="AN56" s="247">
        <f>Sales!AN78</f>
        <v>0</v>
      </c>
      <c r="AO56" s="247">
        <f>Sales!AO78</f>
        <v>0</v>
      </c>
      <c r="AP56" s="251">
        <f>Sales!AP78</f>
        <v>0</v>
      </c>
      <c r="AQ56" s="339">
        <f>Sales!AQ78</f>
        <v>0</v>
      </c>
      <c r="AR56" s="295">
        <f>Sales!AR78</f>
        <v>0</v>
      </c>
      <c r="AS56" s="247">
        <f>Sales!AS78</f>
        <v>0</v>
      </c>
      <c r="AT56" s="247">
        <f>Sales!AT78</f>
        <v>0</v>
      </c>
      <c r="AU56" s="235">
        <f>Sales!AU78</f>
        <v>0</v>
      </c>
      <c r="AV56" s="247">
        <f>Sales!AV78</f>
        <v>0</v>
      </c>
      <c r="AW56" s="247">
        <f>Sales!AW78</f>
        <v>0</v>
      </c>
      <c r="AX56" s="247">
        <f>Sales!AX78</f>
        <v>0</v>
      </c>
      <c r="AY56" s="247">
        <f>Sales!AY78</f>
        <v>0</v>
      </c>
      <c r="AZ56" s="251">
        <f>Sales!AZ78</f>
        <v>0</v>
      </c>
      <c r="BA56" s="247">
        <f>Sales!BA78</f>
        <v>1.1333333333333333</v>
      </c>
      <c r="BB56" s="247">
        <f>Sales!BB78</f>
        <v>0.73333333333333339</v>
      </c>
      <c r="BC56" s="247">
        <f>Sales!BC78</f>
        <v>0.16666666666666674</v>
      </c>
      <c r="BD56" s="247">
        <f>Sales!BD78</f>
        <v>-0.15789473684210531</v>
      </c>
      <c r="BE56" s="251">
        <f>Sales!BE78</f>
        <v>0.33628318584070804</v>
      </c>
      <c r="BF56" s="340">
        <f>Sales!BF78</f>
        <v>0</v>
      </c>
      <c r="BG56" s="340">
        <f>Sales!BG78</f>
        <v>-0.26923076923076927</v>
      </c>
      <c r="BH56" s="340">
        <f>Sales!BH78</f>
        <v>0.14285714285714279</v>
      </c>
      <c r="BI56" s="340">
        <f>Sales!BI78</f>
        <v>0.25</v>
      </c>
      <c r="BJ56" s="251">
        <f>Sales!BJ78</f>
        <v>-6.6225165562914245E-3</v>
      </c>
      <c r="BK56" s="340">
        <f>Sales!BK78</f>
        <v>0</v>
      </c>
      <c r="BL56" s="340">
        <f>Sales!BL78</f>
        <v>0</v>
      </c>
      <c r="BM56" s="340">
        <f>Sales!BM78</f>
        <v>0</v>
      </c>
      <c r="BN56" s="340">
        <f>Sales!BN78</f>
        <v>0</v>
      </c>
      <c r="BO56" s="251">
        <f>Sales!BO78</f>
        <v>0.1</v>
      </c>
      <c r="BP56" s="340">
        <f>Sales!BP78</f>
        <v>0</v>
      </c>
      <c r="BQ56" s="340">
        <f>Sales!BQ78</f>
        <v>0</v>
      </c>
      <c r="BR56" s="340">
        <f>Sales!BR78</f>
        <v>0</v>
      </c>
      <c r="BS56" s="340">
        <f>Sales!BS78</f>
        <v>0</v>
      </c>
      <c r="BT56" s="251">
        <f>Sales!BT78</f>
        <v>0.1</v>
      </c>
      <c r="BU56" s="340">
        <f>Sales!BU78</f>
        <v>0</v>
      </c>
      <c r="BV56" s="340">
        <f>Sales!BV78</f>
        <v>0</v>
      </c>
      <c r="BW56" s="340">
        <f>Sales!BW78</f>
        <v>0</v>
      </c>
      <c r="BX56" s="340">
        <f>Sales!BX78</f>
        <v>0</v>
      </c>
      <c r="BY56" s="251">
        <f>Sales!BY78</f>
        <v>0.1</v>
      </c>
      <c r="BZ56" s="340">
        <f>Sales!BZ78</f>
        <v>0</v>
      </c>
      <c r="CA56" s="340">
        <f>Sales!CA78</f>
        <v>0</v>
      </c>
      <c r="CB56" s="340">
        <f>Sales!CB78</f>
        <v>0</v>
      </c>
      <c r="CC56" s="340">
        <f>Sales!CC78</f>
        <v>0</v>
      </c>
      <c r="CD56" s="251">
        <f>Sales!CD78</f>
        <v>0.1</v>
      </c>
    </row>
    <row r="57" spans="1:82" s="285" customFormat="1" hidden="1" outlineLevel="2">
      <c r="B57" s="238" t="str">
        <f>Sales!B79</f>
        <v>Other Dental</v>
      </c>
      <c r="C57" s="236">
        <f>Sales!C79</f>
        <v>0</v>
      </c>
      <c r="D57" s="236">
        <f>Sales!D79</f>
        <v>0</v>
      </c>
      <c r="E57" s="236">
        <f>Sales!E79</f>
        <v>0</v>
      </c>
      <c r="F57" s="236">
        <f>Sales!F79</f>
        <v>0</v>
      </c>
      <c r="G57" s="235">
        <f>Sales!G79</f>
        <v>0</v>
      </c>
      <c r="H57" s="236">
        <f>Sales!H79</f>
        <v>0</v>
      </c>
      <c r="I57" s="236">
        <f>Sales!I79</f>
        <v>0</v>
      </c>
      <c r="J57" s="236">
        <f>Sales!J79</f>
        <v>0</v>
      </c>
      <c r="K57" s="236">
        <f>Sales!K79</f>
        <v>0</v>
      </c>
      <c r="L57" s="235">
        <f>Sales!L79</f>
        <v>0</v>
      </c>
      <c r="M57" s="236">
        <f>Sales!M79</f>
        <v>0</v>
      </c>
      <c r="N57" s="236">
        <f>Sales!N79</f>
        <v>0</v>
      </c>
      <c r="O57" s="236">
        <f>Sales!O79</f>
        <v>0</v>
      </c>
      <c r="P57" s="236">
        <f>Sales!P79</f>
        <v>0</v>
      </c>
      <c r="Q57" s="235">
        <f>Sales!Q79</f>
        <v>0</v>
      </c>
      <c r="R57" s="236">
        <f>Sales!R79</f>
        <v>0</v>
      </c>
      <c r="S57" s="236">
        <f>Sales!S79</f>
        <v>0</v>
      </c>
      <c r="T57" s="236">
        <f>Sales!T79</f>
        <v>0</v>
      </c>
      <c r="U57" s="236">
        <f>Sales!U79</f>
        <v>0</v>
      </c>
      <c r="V57" s="235">
        <f>Sales!V79</f>
        <v>0</v>
      </c>
      <c r="W57" s="236">
        <f>Sales!W79</f>
        <v>0</v>
      </c>
      <c r="X57" s="236">
        <f>Sales!X79</f>
        <v>0</v>
      </c>
      <c r="Y57" s="236">
        <f>Sales!Y79</f>
        <v>0</v>
      </c>
      <c r="Z57" s="236">
        <f>Sales!Z79</f>
        <v>0</v>
      </c>
      <c r="AA57" s="235">
        <f>Sales!AA79</f>
        <v>0</v>
      </c>
      <c r="AB57" s="310">
        <f>Sales!AB79</f>
        <v>0</v>
      </c>
      <c r="AC57" s="310">
        <f>Sales!AC79</f>
        <v>0</v>
      </c>
      <c r="AD57" s="310">
        <f>Sales!AD79</f>
        <v>0</v>
      </c>
      <c r="AE57" s="310">
        <f>Sales!AE79</f>
        <v>0</v>
      </c>
      <c r="AF57" s="235">
        <f>Sales!AF79</f>
        <v>0</v>
      </c>
      <c r="AG57" s="236">
        <f>Sales!AG79</f>
        <v>0</v>
      </c>
      <c r="AH57" s="236">
        <f>Sales!AH79</f>
        <v>0</v>
      </c>
      <c r="AI57" s="236">
        <f>Sales!AI79</f>
        <v>0</v>
      </c>
      <c r="AJ57" s="236">
        <f>Sales!AJ79</f>
        <v>0</v>
      </c>
      <c r="AK57" s="235">
        <f>Sales!AK79</f>
        <v>0</v>
      </c>
      <c r="AL57" s="288">
        <f>Sales!AL79</f>
        <v>0</v>
      </c>
      <c r="AM57" s="239">
        <f>Sales!AM79</f>
        <v>0</v>
      </c>
      <c r="AN57" s="288">
        <f>Sales!AN79</f>
        <v>0</v>
      </c>
      <c r="AO57" s="240">
        <f>Sales!AO79</f>
        <v>0</v>
      </c>
      <c r="AP57" s="235">
        <f>Sales!AP79</f>
        <v>0</v>
      </c>
      <c r="AQ57" s="289">
        <f>Sales!AQ79</f>
        <v>0</v>
      </c>
      <c r="AR57" s="236">
        <f>Sales!AR79</f>
        <v>0</v>
      </c>
      <c r="AS57" s="236">
        <f>Sales!AS79</f>
        <v>0</v>
      </c>
      <c r="AT57" s="236">
        <f>Sales!AT79</f>
        <v>0</v>
      </c>
      <c r="AU57" s="235">
        <f>Sales!AU79</f>
        <v>0</v>
      </c>
      <c r="AV57" s="236">
        <f>Sales!AV79</f>
        <v>3.1999999999999993</v>
      </c>
      <c r="AW57" s="236">
        <f>Sales!AW79</f>
        <v>1.6999999999999993</v>
      </c>
      <c r="AX57" s="236">
        <f>Sales!AX79</f>
        <v>2.3999999999999986</v>
      </c>
      <c r="AY57" s="236">
        <f>Sales!AY79</f>
        <v>3.1000000000000014</v>
      </c>
      <c r="AZ57" s="235">
        <f>Sales!AZ79</f>
        <v>10.400000000000006</v>
      </c>
      <c r="BA57" s="236">
        <f>Sales!BA79</f>
        <v>2.7999999999999972</v>
      </c>
      <c r="BB57" s="236">
        <f>Sales!BB79</f>
        <v>7</v>
      </c>
      <c r="BC57" s="240">
        <f>Sales!BC79</f>
        <v>8.7999999999999972</v>
      </c>
      <c r="BD57" s="240">
        <f>Sales!BD79</f>
        <v>12.700000000000003</v>
      </c>
      <c r="BE57" s="235">
        <f>Sales!BE79</f>
        <v>31.299999999999997</v>
      </c>
      <c r="BF57" s="241">
        <f>Sales!BF79</f>
        <v>10</v>
      </c>
      <c r="BG57" s="241">
        <f>Sales!BG79</f>
        <v>10</v>
      </c>
      <c r="BH57" s="241">
        <f>Sales!BH79</f>
        <v>10</v>
      </c>
      <c r="BI57" s="241">
        <f>Sales!BI79</f>
        <v>10</v>
      </c>
      <c r="BJ57" s="235">
        <f>Sales!BJ79</f>
        <v>40</v>
      </c>
      <c r="BK57" s="241">
        <f>Sales!BK79</f>
        <v>0</v>
      </c>
      <c r="BL57" s="241">
        <f>Sales!BL79</f>
        <v>0</v>
      </c>
      <c r="BM57" s="241">
        <f>Sales!BM79</f>
        <v>0</v>
      </c>
      <c r="BN57" s="241">
        <f>Sales!BN79</f>
        <v>0</v>
      </c>
      <c r="BO57" s="235">
        <f>Sales!BO79</f>
        <v>44</v>
      </c>
      <c r="BP57" s="241">
        <f>Sales!BP79</f>
        <v>0</v>
      </c>
      <c r="BQ57" s="241">
        <f>Sales!BQ79</f>
        <v>0</v>
      </c>
      <c r="BR57" s="241">
        <f>Sales!BR79</f>
        <v>0</v>
      </c>
      <c r="BS57" s="241">
        <f>Sales!BS79</f>
        <v>0</v>
      </c>
      <c r="BT57" s="235">
        <f>Sales!BT79</f>
        <v>48.400000000000006</v>
      </c>
      <c r="BU57" s="241">
        <f>Sales!BU79</f>
        <v>0</v>
      </c>
      <c r="BV57" s="241">
        <f>Sales!BV79</f>
        <v>0</v>
      </c>
      <c r="BW57" s="241">
        <f>Sales!BW79</f>
        <v>0</v>
      </c>
      <c r="BX57" s="241">
        <f>Sales!BX79</f>
        <v>0</v>
      </c>
      <c r="BY57" s="235">
        <f>Sales!BY79</f>
        <v>52.272000000000013</v>
      </c>
      <c r="BZ57" s="241">
        <f>Sales!BZ79</f>
        <v>0</v>
      </c>
      <c r="CA57" s="241">
        <f>Sales!CA79</f>
        <v>0</v>
      </c>
      <c r="CB57" s="241">
        <f>Sales!CB79</f>
        <v>0</v>
      </c>
      <c r="CC57" s="241">
        <f>Sales!CC79</f>
        <v>0</v>
      </c>
      <c r="CD57" s="235">
        <f>Sales!CD79</f>
        <v>55.408320000000018</v>
      </c>
    </row>
    <row r="58" spans="1:82" s="285" customFormat="1" ht="15" hidden="1" outlineLevel="2">
      <c r="B58" s="262" t="str">
        <f>Sales!B80</f>
        <v>growth</v>
      </c>
      <c r="C58" s="236">
        <f>Sales!C80</f>
        <v>0</v>
      </c>
      <c r="D58" s="236">
        <f>Sales!D80</f>
        <v>0</v>
      </c>
      <c r="E58" s="236">
        <f>Sales!E80</f>
        <v>0</v>
      </c>
      <c r="F58" s="236">
        <f>Sales!F80</f>
        <v>0</v>
      </c>
      <c r="G58" s="235">
        <f>Sales!G80</f>
        <v>0</v>
      </c>
      <c r="H58" s="236">
        <f>Sales!H80</f>
        <v>0</v>
      </c>
      <c r="I58" s="236">
        <f>Sales!I80</f>
        <v>0</v>
      </c>
      <c r="J58" s="236">
        <f>Sales!J80</f>
        <v>0</v>
      </c>
      <c r="K58" s="236">
        <f>Sales!K80</f>
        <v>0</v>
      </c>
      <c r="L58" s="235">
        <f>Sales!L80</f>
        <v>0</v>
      </c>
      <c r="M58" s="236">
        <f>Sales!M80</f>
        <v>0</v>
      </c>
      <c r="N58" s="236">
        <f>Sales!N80</f>
        <v>0</v>
      </c>
      <c r="O58" s="236">
        <f>Sales!O80</f>
        <v>0</v>
      </c>
      <c r="P58" s="236">
        <f>Sales!P80</f>
        <v>0</v>
      </c>
      <c r="Q58" s="235">
        <f>Sales!Q80</f>
        <v>0</v>
      </c>
      <c r="R58" s="236">
        <f>Sales!R80</f>
        <v>0</v>
      </c>
      <c r="S58" s="236">
        <f>Sales!S80</f>
        <v>0</v>
      </c>
      <c r="T58" s="236">
        <f>Sales!T80</f>
        <v>0</v>
      </c>
      <c r="U58" s="236">
        <f>Sales!U80</f>
        <v>0</v>
      </c>
      <c r="V58" s="235">
        <f>Sales!V80</f>
        <v>0</v>
      </c>
      <c r="W58" s="236">
        <f>Sales!W80</f>
        <v>0</v>
      </c>
      <c r="X58" s="236">
        <f>Sales!X80</f>
        <v>0</v>
      </c>
      <c r="Y58" s="236">
        <f>Sales!Y80</f>
        <v>0</v>
      </c>
      <c r="Z58" s="236">
        <f>Sales!Z80</f>
        <v>0</v>
      </c>
      <c r="AA58" s="235">
        <f>Sales!AA80</f>
        <v>0</v>
      </c>
      <c r="AB58" s="310">
        <f>Sales!AB80</f>
        <v>0</v>
      </c>
      <c r="AC58" s="310">
        <f>Sales!AC80</f>
        <v>0</v>
      </c>
      <c r="AD58" s="310">
        <f>Sales!AD80</f>
        <v>0</v>
      </c>
      <c r="AE58" s="310">
        <f>Sales!AE80</f>
        <v>0</v>
      </c>
      <c r="AF58" s="235">
        <f>Sales!AF80</f>
        <v>0</v>
      </c>
      <c r="AG58" s="236">
        <f>Sales!AG80</f>
        <v>0</v>
      </c>
      <c r="AH58" s="236">
        <f>Sales!AH80</f>
        <v>0</v>
      </c>
      <c r="AI58" s="236">
        <f>Sales!AI80</f>
        <v>0</v>
      </c>
      <c r="AJ58" s="236">
        <f>Sales!AJ80</f>
        <v>0</v>
      </c>
      <c r="AK58" s="235">
        <f>Sales!AK80</f>
        <v>0</v>
      </c>
      <c r="AL58" s="288">
        <f>Sales!AL80</f>
        <v>0</v>
      </c>
      <c r="AM58" s="239">
        <f>Sales!AM80</f>
        <v>0</v>
      </c>
      <c r="AN58" s="288">
        <f>Sales!AN80</f>
        <v>0</v>
      </c>
      <c r="AO58" s="240">
        <f>Sales!AO80</f>
        <v>0</v>
      </c>
      <c r="AP58" s="235">
        <f>Sales!AP80</f>
        <v>0</v>
      </c>
      <c r="AQ58" s="289">
        <f>Sales!AQ80</f>
        <v>0</v>
      </c>
      <c r="AR58" s="236">
        <f>Sales!AR80</f>
        <v>0</v>
      </c>
      <c r="AS58" s="236">
        <f>Sales!AS80</f>
        <v>0</v>
      </c>
      <c r="AT58" s="236">
        <f>Sales!AT80</f>
        <v>0</v>
      </c>
      <c r="AU58" s="235">
        <f>Sales!AU80</f>
        <v>0</v>
      </c>
      <c r="AV58" s="236">
        <f>Sales!AV80</f>
        <v>0</v>
      </c>
      <c r="AW58" s="236">
        <f>Sales!AW80</f>
        <v>0</v>
      </c>
      <c r="AX58" s="236">
        <f>Sales!AX80</f>
        <v>0</v>
      </c>
      <c r="AY58" s="236">
        <f>Sales!AY80</f>
        <v>0</v>
      </c>
      <c r="AZ58" s="235">
        <f>Sales!AZ80</f>
        <v>0</v>
      </c>
      <c r="BA58" s="247">
        <f>Sales!BA80</f>
        <v>-0.12500000000000067</v>
      </c>
      <c r="BB58" s="247">
        <f>Sales!BB80</f>
        <v>3.1176470588235308</v>
      </c>
      <c r="BC58" s="247">
        <f>Sales!BC80</f>
        <v>2.6666666666666679</v>
      </c>
      <c r="BD58" s="247">
        <f>Sales!BD80</f>
        <v>3.0967741935483861</v>
      </c>
      <c r="BE58" s="251">
        <f>Sales!BE80</f>
        <v>2.0096153846153828</v>
      </c>
      <c r="BF58" s="241">
        <f>Sales!BF80</f>
        <v>2.5714285714285752</v>
      </c>
      <c r="BG58" s="241">
        <f>Sales!BG80</f>
        <v>0.4285714285714286</v>
      </c>
      <c r="BH58" s="241">
        <f>Sales!BH80</f>
        <v>0.13636363636363669</v>
      </c>
      <c r="BI58" s="241">
        <f>Sales!BI80</f>
        <v>-0.21259842519685057</v>
      </c>
      <c r="BJ58" s="251">
        <f>Sales!BJ80</f>
        <v>0.27795527156549538</v>
      </c>
      <c r="BK58" s="340">
        <f>Sales!BK80</f>
        <v>0</v>
      </c>
      <c r="BL58" s="340">
        <f>Sales!BL80</f>
        <v>0</v>
      </c>
      <c r="BM58" s="340">
        <f>Sales!BM80</f>
        <v>0</v>
      </c>
      <c r="BN58" s="340">
        <f>Sales!BN80</f>
        <v>0</v>
      </c>
      <c r="BO58" s="251">
        <f>Sales!BO80</f>
        <v>0.1</v>
      </c>
      <c r="BP58" s="340">
        <f>Sales!BP80</f>
        <v>0</v>
      </c>
      <c r="BQ58" s="340">
        <f>Sales!BQ80</f>
        <v>0</v>
      </c>
      <c r="BR58" s="340">
        <f>Sales!BR80</f>
        <v>0</v>
      </c>
      <c r="BS58" s="340">
        <f>Sales!BS80</f>
        <v>0</v>
      </c>
      <c r="BT58" s="251">
        <f>Sales!BT80</f>
        <v>0.1</v>
      </c>
      <c r="BU58" s="340">
        <f>Sales!BU80</f>
        <v>0</v>
      </c>
      <c r="BV58" s="340">
        <f>Sales!BV80</f>
        <v>0</v>
      </c>
      <c r="BW58" s="340">
        <f>Sales!BW80</f>
        <v>0</v>
      </c>
      <c r="BX58" s="340">
        <f>Sales!BX80</f>
        <v>0</v>
      </c>
      <c r="BY58" s="251">
        <f>Sales!BY80</f>
        <v>0.08</v>
      </c>
      <c r="BZ58" s="340">
        <f>Sales!BZ80</f>
        <v>0</v>
      </c>
      <c r="CA58" s="340">
        <f>Sales!CA80</f>
        <v>0</v>
      </c>
      <c r="CB58" s="340">
        <f>Sales!CB80</f>
        <v>0</v>
      </c>
      <c r="CC58" s="340">
        <f>Sales!CC80</f>
        <v>0</v>
      </c>
      <c r="CD58" s="251">
        <f>Sales!CD80</f>
        <v>0.06</v>
      </c>
    </row>
    <row r="59" spans="1:82" s="355" customFormat="1" ht="13" collapsed="1">
      <c r="A59" s="349"/>
      <c r="B59" s="298" t="str">
        <f>Sales!B81</f>
        <v>Total Dental</v>
      </c>
      <c r="C59" s="350">
        <f>Sales!C81</f>
        <v>0</v>
      </c>
      <c r="D59" s="350">
        <f>Sales!D81</f>
        <v>0</v>
      </c>
      <c r="E59" s="350">
        <f>Sales!E81</f>
        <v>0</v>
      </c>
      <c r="F59" s="351">
        <f>Sales!F81</f>
        <v>0</v>
      </c>
      <c r="G59" s="352">
        <f>Sales!G81</f>
        <v>0</v>
      </c>
      <c r="H59" s="351">
        <f>Sales!H81</f>
        <v>0</v>
      </c>
      <c r="I59" s="351">
        <f>Sales!I81</f>
        <v>0</v>
      </c>
      <c r="J59" s="351">
        <f>Sales!J81</f>
        <v>0</v>
      </c>
      <c r="K59" s="351">
        <f>Sales!K81</f>
        <v>0</v>
      </c>
      <c r="L59" s="352">
        <f>Sales!L81</f>
        <v>0</v>
      </c>
      <c r="M59" s="351">
        <f>Sales!M81</f>
        <v>0</v>
      </c>
      <c r="N59" s="351">
        <f>Sales!N81</f>
        <v>0</v>
      </c>
      <c r="O59" s="351">
        <f>Sales!O81</f>
        <v>0</v>
      </c>
      <c r="P59" s="351">
        <f>Sales!P81</f>
        <v>0</v>
      </c>
      <c r="Q59" s="352">
        <f>Sales!Q81</f>
        <v>0</v>
      </c>
      <c r="R59" s="353">
        <f>Sales!R81</f>
        <v>0</v>
      </c>
      <c r="S59" s="353">
        <f>Sales!S81</f>
        <v>0</v>
      </c>
      <c r="T59" s="353">
        <f>Sales!T81</f>
        <v>0</v>
      </c>
      <c r="U59" s="353">
        <f>Sales!U81</f>
        <v>0</v>
      </c>
      <c r="V59" s="354">
        <f>Sales!V81</f>
        <v>0</v>
      </c>
      <c r="W59" s="353">
        <f>Sales!W81</f>
        <v>0</v>
      </c>
      <c r="X59" s="353">
        <f>Sales!X81</f>
        <v>0</v>
      </c>
      <c r="Y59" s="353">
        <f>Sales!Y81</f>
        <v>0</v>
      </c>
      <c r="Z59" s="353">
        <f>Sales!Z81</f>
        <v>0</v>
      </c>
      <c r="AA59" s="354">
        <f>Sales!AA81</f>
        <v>0</v>
      </c>
      <c r="AB59" s="302">
        <f>Sales!AB81</f>
        <v>0</v>
      </c>
      <c r="AC59" s="302">
        <f>Sales!AC81</f>
        <v>0</v>
      </c>
      <c r="AD59" s="302">
        <f>Sales!AD81</f>
        <v>0</v>
      </c>
      <c r="AE59" s="302">
        <f>Sales!AE81</f>
        <v>0</v>
      </c>
      <c r="AF59" s="360">
        <f>Sales!AF81</f>
        <v>0</v>
      </c>
      <c r="AG59" s="355">
        <f>Sales!AG81</f>
        <v>0</v>
      </c>
      <c r="AH59" s="355">
        <f>Sales!AH81</f>
        <v>0</v>
      </c>
      <c r="AI59" s="355">
        <f>Sales!AI81</f>
        <v>0</v>
      </c>
      <c r="AJ59" s="355">
        <f>Sales!AJ81</f>
        <v>0</v>
      </c>
      <c r="AK59" s="311">
        <f>Sales!AK81</f>
        <v>0</v>
      </c>
      <c r="AL59" s="355">
        <f>Sales!AL81</f>
        <v>0</v>
      </c>
      <c r="AM59" s="355">
        <f>Sales!AM81</f>
        <v>0</v>
      </c>
      <c r="AN59" s="355">
        <f>Sales!AN81</f>
        <v>0</v>
      </c>
      <c r="AO59" s="355">
        <f>Sales!AO81</f>
        <v>0</v>
      </c>
      <c r="AP59" s="360">
        <f>Sales!AP81</f>
        <v>0</v>
      </c>
      <c r="AQ59" s="356">
        <f>Sales!AQ81</f>
        <v>0</v>
      </c>
      <c r="AR59" s="355">
        <f>Sales!AR81</f>
        <v>0</v>
      </c>
      <c r="AS59" s="275">
        <f>Sales!AS81</f>
        <v>27</v>
      </c>
      <c r="AT59" s="275">
        <f>Sales!AT81</f>
        <v>29.8</v>
      </c>
      <c r="AU59" s="311">
        <f>Sales!AU81</f>
        <v>0</v>
      </c>
      <c r="AV59" s="275">
        <f>Sales!AV81</f>
        <v>18.2</v>
      </c>
      <c r="AW59" s="275">
        <f>Sales!AW81</f>
        <v>31.7</v>
      </c>
      <c r="AX59" s="275">
        <f>Sales!AX81</f>
        <v>32.4</v>
      </c>
      <c r="AY59" s="275">
        <f>Sales!AY81</f>
        <v>41.1</v>
      </c>
      <c r="AZ59" s="277">
        <f>Sales!AZ81</f>
        <v>123.4</v>
      </c>
      <c r="BA59" s="275">
        <f>Sales!BA81</f>
        <v>34.799999999999997</v>
      </c>
      <c r="BB59" s="275">
        <f>Sales!BB81</f>
        <v>59</v>
      </c>
      <c r="BC59" s="275">
        <f>Sales!BC81</f>
        <v>43.8</v>
      </c>
      <c r="BD59" s="275">
        <f>Sales!BD81</f>
        <v>44.7</v>
      </c>
      <c r="BE59" s="332">
        <f>Sales!BE81</f>
        <v>182.3</v>
      </c>
      <c r="BF59" s="285">
        <f>Sales!BF81</f>
        <v>42</v>
      </c>
      <c r="BG59" s="285">
        <f>Sales!BG81</f>
        <v>48</v>
      </c>
      <c r="BH59" s="285">
        <f>Sales!BH81</f>
        <v>50</v>
      </c>
      <c r="BI59" s="285">
        <f>Sales!BI81</f>
        <v>50</v>
      </c>
      <c r="BJ59" s="332">
        <f>Sales!BJ81</f>
        <v>190</v>
      </c>
      <c r="BK59" s="285">
        <f>Sales!BK81</f>
        <v>0</v>
      </c>
      <c r="BL59" s="285">
        <f>Sales!BL81</f>
        <v>0</v>
      </c>
      <c r="BM59" s="285">
        <f>Sales!BM81</f>
        <v>0</v>
      </c>
      <c r="BN59" s="285">
        <f>Sales!BN81</f>
        <v>0</v>
      </c>
      <c r="BO59" s="332">
        <f>Sales!BO81</f>
        <v>209</v>
      </c>
      <c r="BP59" s="285">
        <f>Sales!BP81</f>
        <v>0</v>
      </c>
      <c r="BQ59" s="285">
        <f>Sales!BQ81</f>
        <v>0</v>
      </c>
      <c r="BR59" s="285">
        <f>Sales!BR81</f>
        <v>0</v>
      </c>
      <c r="BS59" s="285">
        <f>Sales!BS81</f>
        <v>0</v>
      </c>
      <c r="BT59" s="332">
        <f>Sales!BT81</f>
        <v>229.90000000000003</v>
      </c>
      <c r="BU59" s="285">
        <f>Sales!BU81</f>
        <v>0</v>
      </c>
      <c r="BV59" s="285">
        <f>Sales!BV81</f>
        <v>0</v>
      </c>
      <c r="BW59" s="285">
        <f>Sales!BW81</f>
        <v>0</v>
      </c>
      <c r="BX59" s="285">
        <f>Sales!BX81</f>
        <v>0</v>
      </c>
      <c r="BY59" s="332">
        <f>Sales!BY81</f>
        <v>251.92200000000005</v>
      </c>
      <c r="BZ59" s="285">
        <f>Sales!BZ81</f>
        <v>0</v>
      </c>
      <c r="CA59" s="285">
        <f>Sales!CA81</f>
        <v>0</v>
      </c>
      <c r="CB59" s="285">
        <f>Sales!CB81</f>
        <v>0</v>
      </c>
      <c r="CC59" s="285">
        <f>Sales!CC81</f>
        <v>0</v>
      </c>
      <c r="CD59" s="332">
        <f>Sales!CD81</f>
        <v>275.02332000000007</v>
      </c>
    </row>
    <row r="60" spans="1:82" s="355" customFormat="1" ht="13" hidden="1">
      <c r="A60" s="28"/>
      <c r="B60" s="309" t="str">
        <f>Sales!B82</f>
        <v>growth</v>
      </c>
      <c r="C60" s="357">
        <f>Sales!C82</f>
        <v>0</v>
      </c>
      <c r="D60" s="357">
        <f>Sales!D82</f>
        <v>0</v>
      </c>
      <c r="E60" s="357">
        <f>Sales!E82</f>
        <v>0</v>
      </c>
      <c r="F60" s="357">
        <f>Sales!F82</f>
        <v>0</v>
      </c>
      <c r="G60" s="358">
        <f>Sales!G82</f>
        <v>0</v>
      </c>
      <c r="H60" s="357">
        <f>Sales!H82</f>
        <v>0</v>
      </c>
      <c r="I60" s="357">
        <f>Sales!I82</f>
        <v>0</v>
      </c>
      <c r="J60" s="357">
        <f>Sales!J82</f>
        <v>0</v>
      </c>
      <c r="K60" s="357">
        <f>Sales!K82</f>
        <v>0</v>
      </c>
      <c r="L60" s="358">
        <f>Sales!L82</f>
        <v>0</v>
      </c>
      <c r="M60" s="357">
        <f>Sales!M82</f>
        <v>0</v>
      </c>
      <c r="N60" s="357">
        <f>Sales!N82</f>
        <v>0</v>
      </c>
      <c r="O60" s="357">
        <f>Sales!O82</f>
        <v>0</v>
      </c>
      <c r="P60" s="357">
        <f>Sales!P82</f>
        <v>0</v>
      </c>
      <c r="Q60" s="358">
        <f>Sales!Q82</f>
        <v>0</v>
      </c>
      <c r="R60" s="357">
        <f>Sales!R82</f>
        <v>0</v>
      </c>
      <c r="S60" s="357">
        <f>Sales!S82</f>
        <v>0</v>
      </c>
      <c r="T60" s="357">
        <f>Sales!T82</f>
        <v>0</v>
      </c>
      <c r="U60" s="357">
        <f>Sales!U82</f>
        <v>0</v>
      </c>
      <c r="V60" s="358">
        <f>Sales!V82</f>
        <v>0</v>
      </c>
      <c r="W60" s="357">
        <f>Sales!W82</f>
        <v>0</v>
      </c>
      <c r="X60" s="357">
        <f>Sales!X82</f>
        <v>0</v>
      </c>
      <c r="Y60" s="357">
        <f>Sales!Y82</f>
        <v>0</v>
      </c>
      <c r="Z60" s="357">
        <f>Sales!Z82</f>
        <v>0</v>
      </c>
      <c r="AA60" s="358">
        <f>Sales!AA82</f>
        <v>0</v>
      </c>
      <c r="AB60" s="310">
        <f>Sales!AB82</f>
        <v>0</v>
      </c>
      <c r="AC60" s="310">
        <f>Sales!AC82</f>
        <v>0</v>
      </c>
      <c r="AD60" s="310">
        <f>Sales!AD82</f>
        <v>0</v>
      </c>
      <c r="AE60" s="310">
        <f>Sales!AE82</f>
        <v>0</v>
      </c>
      <c r="AF60" s="360">
        <f>Sales!AF82</f>
        <v>0</v>
      </c>
      <c r="AG60" s="355">
        <f>Sales!AG82</f>
        <v>0</v>
      </c>
      <c r="AH60" s="355">
        <f>Sales!AH82</f>
        <v>0</v>
      </c>
      <c r="AI60" s="355">
        <f>Sales!AI82</f>
        <v>0</v>
      </c>
      <c r="AJ60" s="355">
        <f>Sales!AJ82</f>
        <v>0</v>
      </c>
      <c r="AK60" s="311">
        <f>Sales!AK82</f>
        <v>0</v>
      </c>
      <c r="AL60" s="355">
        <f>Sales!AL82</f>
        <v>0</v>
      </c>
      <c r="AM60" s="355">
        <f>Sales!AM82</f>
        <v>0</v>
      </c>
      <c r="AN60" s="355">
        <f>Sales!AN82</f>
        <v>0</v>
      </c>
      <c r="AO60" s="355">
        <f>Sales!AO82</f>
        <v>0</v>
      </c>
      <c r="AP60" s="360">
        <f>Sales!AP82</f>
        <v>0</v>
      </c>
      <c r="AQ60" s="356">
        <f>Sales!AQ82</f>
        <v>0</v>
      </c>
      <c r="AR60" s="355">
        <f>Sales!AR82</f>
        <v>0</v>
      </c>
      <c r="AS60" s="355">
        <f>Sales!AS82</f>
        <v>0</v>
      </c>
      <c r="AT60" s="355">
        <f>Sales!AT82</f>
        <v>0</v>
      </c>
      <c r="AU60" s="311">
        <f>Sales!AU82</f>
        <v>0</v>
      </c>
      <c r="AV60" s="310">
        <f>Sales!AV82</f>
        <v>0</v>
      </c>
      <c r="AW60" s="355">
        <f>Sales!AW82</f>
        <v>0</v>
      </c>
      <c r="AX60" s="281">
        <f>Sales!AX82</f>
        <v>0.19999999999999996</v>
      </c>
      <c r="AY60" s="281">
        <f>Sales!AY82</f>
        <v>0.37919463087248317</v>
      </c>
      <c r="AZ60" s="311">
        <f>Sales!AZ82</f>
        <v>0</v>
      </c>
      <c r="BA60" s="281">
        <f>Sales!BA82</f>
        <v>0.91208791208791196</v>
      </c>
      <c r="BB60" s="281">
        <f>Sales!BB82</f>
        <v>0.86119873817034698</v>
      </c>
      <c r="BC60" s="281">
        <f>Sales!BC82</f>
        <v>0.35185185185185186</v>
      </c>
      <c r="BD60" s="281">
        <f>Sales!BD82</f>
        <v>8.7591240875912524E-2</v>
      </c>
      <c r="BE60" s="282">
        <f>Sales!BE82</f>
        <v>0.47730956239870337</v>
      </c>
      <c r="BF60" s="285">
        <f>Sales!BF82</f>
        <v>0.20689655172413812</v>
      </c>
      <c r="BG60" s="285">
        <f>Sales!BG82</f>
        <v>-0.18644067796610164</v>
      </c>
      <c r="BH60" s="285">
        <f>Sales!BH82</f>
        <v>0.14155251141552516</v>
      </c>
      <c r="BI60" s="285">
        <f>Sales!BI82</f>
        <v>0.11856823266219241</v>
      </c>
      <c r="BJ60" s="282">
        <f>Sales!BJ82</f>
        <v>4.2238069116840249E-2</v>
      </c>
      <c r="BK60" s="285">
        <f>Sales!BK82</f>
        <v>0</v>
      </c>
      <c r="BL60" s="285">
        <f>Sales!BL82</f>
        <v>0</v>
      </c>
      <c r="BM60" s="285">
        <f>Sales!BM82</f>
        <v>0</v>
      </c>
      <c r="BN60" s="285">
        <f>Sales!BN82</f>
        <v>0</v>
      </c>
      <c r="BO60" s="282">
        <f>Sales!BO82</f>
        <v>0.10000000000000009</v>
      </c>
      <c r="BP60" s="285">
        <f>Sales!BP82</f>
        <v>0</v>
      </c>
      <c r="BQ60" s="285">
        <f>Sales!BQ82</f>
        <v>0</v>
      </c>
      <c r="BR60" s="285">
        <f>Sales!BR82</f>
        <v>0</v>
      </c>
      <c r="BS60" s="285">
        <f>Sales!BS82</f>
        <v>0</v>
      </c>
      <c r="BT60" s="282">
        <f>Sales!BT82</f>
        <v>0.10000000000000009</v>
      </c>
      <c r="BU60" s="285">
        <f>Sales!BU82</f>
        <v>0</v>
      </c>
      <c r="BV60" s="285">
        <f>Sales!BV82</f>
        <v>0</v>
      </c>
      <c r="BW60" s="285">
        <f>Sales!BW82</f>
        <v>0</v>
      </c>
      <c r="BX60" s="285">
        <f>Sales!BX82</f>
        <v>0</v>
      </c>
      <c r="BY60" s="282">
        <f>Sales!BY82</f>
        <v>9.5789473684210646E-2</v>
      </c>
      <c r="BZ60" s="285">
        <f>Sales!BZ82</f>
        <v>0</v>
      </c>
      <c r="CA60" s="285">
        <f>Sales!CA82</f>
        <v>0</v>
      </c>
      <c r="CB60" s="285">
        <f>Sales!CB82</f>
        <v>0</v>
      </c>
      <c r="CC60" s="285">
        <f>Sales!CC82</f>
        <v>0</v>
      </c>
      <c r="CD60" s="282">
        <f>Sales!CD82</f>
        <v>9.1700288184437984E-2</v>
      </c>
    </row>
    <row r="61" spans="1:82" s="355" customFormat="1" ht="13" hidden="1">
      <c r="A61" s="28"/>
      <c r="B61" s="309"/>
      <c r="C61" s="357"/>
      <c r="D61" s="357"/>
      <c r="E61" s="357"/>
      <c r="F61" s="357"/>
      <c r="G61" s="358"/>
      <c r="H61" s="357"/>
      <c r="I61" s="357"/>
      <c r="J61" s="357"/>
      <c r="K61" s="357"/>
      <c r="L61" s="358"/>
      <c r="M61" s="357"/>
      <c r="N61" s="357"/>
      <c r="O61" s="357"/>
      <c r="P61" s="357"/>
      <c r="Q61" s="358"/>
      <c r="R61" s="357"/>
      <c r="S61" s="357"/>
      <c r="T61" s="357"/>
      <c r="U61" s="357"/>
      <c r="V61" s="358"/>
      <c r="W61" s="357"/>
      <c r="X61" s="357"/>
      <c r="Y61" s="357"/>
      <c r="Z61" s="357"/>
      <c r="AA61" s="358"/>
      <c r="AB61" s="310"/>
      <c r="AC61" s="310"/>
      <c r="AD61" s="310"/>
      <c r="AE61" s="310"/>
      <c r="AF61" s="360"/>
      <c r="AK61" s="311"/>
      <c r="AP61" s="360"/>
      <c r="AQ61" s="356"/>
      <c r="AU61" s="311"/>
      <c r="AV61" s="310"/>
      <c r="AZ61" s="311"/>
      <c r="BE61" s="311"/>
      <c r="BF61" s="285"/>
      <c r="BG61" s="285"/>
      <c r="BH61" s="285"/>
      <c r="BI61" s="285"/>
      <c r="BJ61" s="311"/>
      <c r="BK61" s="285"/>
      <c r="BL61" s="285"/>
      <c r="BM61" s="285"/>
      <c r="BN61" s="285"/>
      <c r="BO61" s="311"/>
      <c r="BP61" s="285"/>
      <c r="BQ61" s="285"/>
      <c r="BR61" s="285"/>
      <c r="BS61" s="285"/>
      <c r="BT61" s="311"/>
      <c r="BU61" s="285"/>
      <c r="BV61" s="285"/>
      <c r="BW61" s="285"/>
      <c r="BX61" s="285"/>
      <c r="BY61" s="311"/>
      <c r="BZ61" s="285"/>
      <c r="CA61" s="285"/>
      <c r="CB61" s="285"/>
      <c r="CC61" s="285"/>
      <c r="CD61" s="311"/>
    </row>
    <row r="62" spans="1:82" s="252" customFormat="1">
      <c r="B62" s="268" t="str">
        <f>Sales!B84</f>
        <v>Total Oncology/Urology (Provenge)</v>
      </c>
      <c r="C62" s="317">
        <f>Sales!C84</f>
        <v>0</v>
      </c>
      <c r="D62" s="318">
        <f>Sales!D84</f>
        <v>0</v>
      </c>
      <c r="E62" s="318">
        <f>Sales!E84</f>
        <v>0</v>
      </c>
      <c r="F62" s="318">
        <f>Sales!F84</f>
        <v>0</v>
      </c>
      <c r="G62" s="319">
        <f>Sales!G84</f>
        <v>0</v>
      </c>
      <c r="H62" s="318">
        <f>Sales!H84</f>
        <v>0</v>
      </c>
      <c r="I62" s="318">
        <f>Sales!I84</f>
        <v>0</v>
      </c>
      <c r="J62" s="318">
        <f>Sales!J84</f>
        <v>0</v>
      </c>
      <c r="K62" s="318">
        <f>Sales!K84</f>
        <v>0</v>
      </c>
      <c r="L62" s="319">
        <f>Sales!L84</f>
        <v>0</v>
      </c>
      <c r="M62" s="318">
        <f>Sales!M84</f>
        <v>0</v>
      </c>
      <c r="N62" s="318">
        <f>Sales!N84</f>
        <v>0</v>
      </c>
      <c r="O62" s="318">
        <f>Sales!O84</f>
        <v>0</v>
      </c>
      <c r="P62" s="318">
        <f>Sales!P84</f>
        <v>0</v>
      </c>
      <c r="Q62" s="319">
        <f>Sales!Q84</f>
        <v>0</v>
      </c>
      <c r="R62" s="318">
        <f>Sales!R84</f>
        <v>0</v>
      </c>
      <c r="S62" s="318">
        <f>Sales!S84</f>
        <v>0</v>
      </c>
      <c r="T62" s="318">
        <f>Sales!T84</f>
        <v>0</v>
      </c>
      <c r="U62" s="318">
        <f>Sales!U84</f>
        <v>0</v>
      </c>
      <c r="V62" s="319">
        <f>Sales!V84</f>
        <v>0</v>
      </c>
      <c r="W62" s="320">
        <f>Sales!W84</f>
        <v>0</v>
      </c>
      <c r="X62" s="321">
        <f>Sales!X84</f>
        <v>0</v>
      </c>
      <c r="Y62" s="321">
        <f>Sales!Y84</f>
        <v>0</v>
      </c>
      <c r="Z62" s="321">
        <f>Sales!Z84</f>
        <v>0</v>
      </c>
      <c r="AA62" s="322">
        <f>Sales!AA84</f>
        <v>0</v>
      </c>
      <c r="AB62" s="361">
        <f>Sales!AB84</f>
        <v>0</v>
      </c>
      <c r="AC62" s="361">
        <f>Sales!AC84</f>
        <v>0</v>
      </c>
      <c r="AD62" s="361">
        <f>Sales!AD84</f>
        <v>0</v>
      </c>
      <c r="AE62" s="361">
        <f>Sales!AE84</f>
        <v>0</v>
      </c>
      <c r="AF62" s="46">
        <f>Sales!AF84</f>
        <v>0</v>
      </c>
      <c r="AG62" s="362">
        <f>Sales!AG84</f>
        <v>0</v>
      </c>
      <c r="AH62" s="49">
        <f>Sales!AH84</f>
        <v>0</v>
      </c>
      <c r="AI62" s="363">
        <f>Sales!AI84</f>
        <v>0</v>
      </c>
      <c r="AJ62" s="363">
        <f>Sales!AJ84</f>
        <v>0</v>
      </c>
      <c r="AK62" s="46">
        <f>Sales!AK84</f>
        <v>0</v>
      </c>
      <c r="AL62" s="364">
        <f>Sales!AL84</f>
        <v>0</v>
      </c>
      <c r="AM62" s="280">
        <f>Sales!AM84</f>
        <v>0</v>
      </c>
      <c r="AN62" s="364">
        <f>Sales!AN84</f>
        <v>0</v>
      </c>
      <c r="AO62" s="280">
        <f>Sales!AO84</f>
        <v>0</v>
      </c>
      <c r="AP62" s="46">
        <f>Sales!AP84</f>
        <v>0</v>
      </c>
      <c r="AQ62" s="365">
        <f>Sales!AQ84</f>
        <v>0</v>
      </c>
      <c r="AR62" s="280">
        <f>Sales!AR84</f>
        <v>0</v>
      </c>
      <c r="AS62" s="275">
        <f>Sales!AS84</f>
        <v>0</v>
      </c>
      <c r="AT62" s="275">
        <f>Sales!AT84</f>
        <v>0</v>
      </c>
      <c r="AU62" s="46">
        <f>Sales!AU84</f>
        <v>0</v>
      </c>
      <c r="AV62" s="275">
        <f>Sales!AV84</f>
        <v>0</v>
      </c>
      <c r="AW62" s="275">
        <f>Sales!AW84</f>
        <v>0</v>
      </c>
      <c r="AX62" s="275">
        <f>Sales!AX84</f>
        <v>0</v>
      </c>
      <c r="AY62" s="275">
        <f>Sales!AY84</f>
        <v>0</v>
      </c>
      <c r="AZ62" s="366">
        <f>Sales!AZ84</f>
        <v>0</v>
      </c>
      <c r="BA62" s="275">
        <f>Sales!BA84</f>
        <v>30.1</v>
      </c>
      <c r="BB62" s="275">
        <f>Sales!BB84</f>
        <v>73.7</v>
      </c>
      <c r="BC62" s="371">
        <f>Sales!BC84</f>
        <v>69.3</v>
      </c>
      <c r="BD62" s="371">
        <f>Sales!BD84</f>
        <v>77</v>
      </c>
      <c r="BE62" s="276">
        <f>Sales!BE84</f>
        <v>250.10000000000002</v>
      </c>
      <c r="BF62" s="28">
        <f>Sales!BF84</f>
        <v>75</v>
      </c>
      <c r="BG62" s="28">
        <f>Sales!BG84</f>
        <v>75</v>
      </c>
      <c r="BH62" s="28">
        <f>Sales!BH84</f>
        <v>77</v>
      </c>
      <c r="BI62" s="28">
        <f>Sales!BI84</f>
        <v>78</v>
      </c>
      <c r="BJ62" s="647">
        <f>Sales!BJ84</f>
        <v>305</v>
      </c>
      <c r="BK62" s="28">
        <f>Sales!BK84</f>
        <v>0</v>
      </c>
      <c r="BL62" s="28">
        <f>Sales!BL84</f>
        <v>0</v>
      </c>
      <c r="BM62" s="28">
        <f>Sales!BM84</f>
        <v>0</v>
      </c>
      <c r="BN62" s="28">
        <f>Sales!BN84</f>
        <v>0</v>
      </c>
      <c r="BO62" s="46">
        <f>Sales!BO84</f>
        <v>314.15000000000003</v>
      </c>
      <c r="BP62" s="28">
        <f>Sales!BP84</f>
        <v>0</v>
      </c>
      <c r="BQ62" s="28">
        <f>Sales!BQ84</f>
        <v>0</v>
      </c>
      <c r="BR62" s="28">
        <f>Sales!BR84</f>
        <v>0</v>
      </c>
      <c r="BS62" s="28">
        <f>Sales!BS84</f>
        <v>0</v>
      </c>
      <c r="BT62" s="46">
        <f>Sales!BT84</f>
        <v>320.43300000000005</v>
      </c>
      <c r="BU62" s="28">
        <f>Sales!BU84</f>
        <v>0</v>
      </c>
      <c r="BV62" s="28">
        <f>Sales!BV84</f>
        <v>0</v>
      </c>
      <c r="BW62" s="28">
        <f>Sales!BW84</f>
        <v>0</v>
      </c>
      <c r="BX62" s="28">
        <f>Sales!BX84</f>
        <v>0</v>
      </c>
      <c r="BY62" s="46">
        <f>Sales!BY84</f>
        <v>326.84166000000005</v>
      </c>
      <c r="BZ62" s="28">
        <f>Sales!BZ84</f>
        <v>0</v>
      </c>
      <c r="CA62" s="28">
        <f>Sales!CA84</f>
        <v>0</v>
      </c>
      <c r="CB62" s="28">
        <f>Sales!CB84</f>
        <v>0</v>
      </c>
      <c r="CC62" s="28">
        <f>Sales!CC84</f>
        <v>0</v>
      </c>
      <c r="CD62" s="46">
        <f>Sales!CD84</f>
        <v>326.84166000000005</v>
      </c>
    </row>
    <row r="63" spans="1:82" s="252" customFormat="1" hidden="1">
      <c r="B63" s="309" t="str">
        <f>Sales!B85</f>
        <v>growth</v>
      </c>
      <c r="C63" s="317">
        <f>Sales!C85</f>
        <v>0</v>
      </c>
      <c r="D63" s="318">
        <f>Sales!D85</f>
        <v>0</v>
      </c>
      <c r="E63" s="318">
        <f>Sales!E85</f>
        <v>0</v>
      </c>
      <c r="F63" s="318">
        <f>Sales!F85</f>
        <v>0</v>
      </c>
      <c r="G63" s="319">
        <f>Sales!G85</f>
        <v>0</v>
      </c>
      <c r="H63" s="318">
        <f>Sales!H85</f>
        <v>0</v>
      </c>
      <c r="I63" s="318">
        <f>Sales!I85</f>
        <v>0</v>
      </c>
      <c r="J63" s="318">
        <f>Sales!J85</f>
        <v>0</v>
      </c>
      <c r="K63" s="318">
        <f>Sales!K85</f>
        <v>0</v>
      </c>
      <c r="L63" s="319">
        <f>Sales!L85</f>
        <v>0</v>
      </c>
      <c r="M63" s="318">
        <f>Sales!M85</f>
        <v>0</v>
      </c>
      <c r="N63" s="318">
        <f>Sales!N85</f>
        <v>0</v>
      </c>
      <c r="O63" s="318">
        <f>Sales!O85</f>
        <v>0</v>
      </c>
      <c r="P63" s="318">
        <f>Sales!P85</f>
        <v>0</v>
      </c>
      <c r="Q63" s="319">
        <f>Sales!Q85</f>
        <v>0</v>
      </c>
      <c r="R63" s="318">
        <f>Sales!R85</f>
        <v>0</v>
      </c>
      <c r="S63" s="318">
        <f>Sales!S85</f>
        <v>0</v>
      </c>
      <c r="T63" s="318">
        <f>Sales!T85</f>
        <v>0</v>
      </c>
      <c r="U63" s="318">
        <f>Sales!U85</f>
        <v>0</v>
      </c>
      <c r="V63" s="319">
        <f>Sales!V85</f>
        <v>0</v>
      </c>
      <c r="W63" s="320">
        <f>Sales!W85</f>
        <v>0</v>
      </c>
      <c r="X63" s="321">
        <f>Sales!X85</f>
        <v>0</v>
      </c>
      <c r="Y63" s="321">
        <f>Sales!Y85</f>
        <v>0</v>
      </c>
      <c r="Z63" s="321">
        <f>Sales!Z85</f>
        <v>0</v>
      </c>
      <c r="AA63" s="322">
        <f>Sales!AA85</f>
        <v>0</v>
      </c>
      <c r="AB63" s="361">
        <f>Sales!AB85</f>
        <v>0</v>
      </c>
      <c r="AC63" s="361">
        <f>Sales!AC85</f>
        <v>0</v>
      </c>
      <c r="AD63" s="361">
        <f>Sales!AD85</f>
        <v>0</v>
      </c>
      <c r="AE63" s="361">
        <f>Sales!AE85</f>
        <v>0</v>
      </c>
      <c r="AF63" s="372">
        <f>Sales!AF85</f>
        <v>0</v>
      </c>
      <c r="AG63" s="324">
        <f>Sales!AG85</f>
        <v>0</v>
      </c>
      <c r="AH63" s="324">
        <f>Sales!AH85</f>
        <v>0</v>
      </c>
      <c r="AI63" s="324">
        <f>Sales!AI85</f>
        <v>0</v>
      </c>
      <c r="AJ63" s="373">
        <f>Sales!AJ85</f>
        <v>0</v>
      </c>
      <c r="AK63" s="372">
        <f>Sales!AK85</f>
        <v>0</v>
      </c>
      <c r="AL63" s="373">
        <f>Sales!AL85</f>
        <v>0</v>
      </c>
      <c r="AM63" s="324">
        <f>Sales!AM85</f>
        <v>0</v>
      </c>
      <c r="AN63" s="373">
        <f>Sales!AN85</f>
        <v>0</v>
      </c>
      <c r="AO63" s="373">
        <f>Sales!AO85</f>
        <v>0</v>
      </c>
      <c r="AP63" s="372">
        <f>Sales!AP85</f>
        <v>0</v>
      </c>
      <c r="AQ63" s="374">
        <f>Sales!AQ85</f>
        <v>0</v>
      </c>
      <c r="AR63" s="324">
        <f>Sales!AR85</f>
        <v>0</v>
      </c>
      <c r="AS63" s="373">
        <f>Sales!AS85</f>
        <v>0</v>
      </c>
      <c r="AT63" s="373">
        <f>Sales!AT85</f>
        <v>0</v>
      </c>
      <c r="AU63" s="372">
        <f>Sales!AU85</f>
        <v>0</v>
      </c>
      <c r="AV63" s="324">
        <f>Sales!AV85</f>
        <v>0</v>
      </c>
      <c r="AW63" s="373">
        <f>Sales!AW85</f>
        <v>0</v>
      </c>
      <c r="AX63" s="373">
        <f>Sales!AX85</f>
        <v>0</v>
      </c>
      <c r="AY63" s="373">
        <f>Sales!AY85</f>
        <v>0</v>
      </c>
      <c r="AZ63" s="372">
        <f>Sales!AZ85</f>
        <v>0</v>
      </c>
      <c r="BA63" s="373">
        <f>Sales!BA85</f>
        <v>0</v>
      </c>
      <c r="BB63" s="373">
        <f>Sales!BB85</f>
        <v>0</v>
      </c>
      <c r="BC63" s="373">
        <f>Sales!BC85</f>
        <v>0</v>
      </c>
      <c r="BD63" s="373">
        <f>Sales!BD85</f>
        <v>0</v>
      </c>
      <c r="BE63" s="375">
        <f>Sales!BE85</f>
        <v>0</v>
      </c>
      <c r="BF63" s="376">
        <f>Sales!BF85</f>
        <v>0</v>
      </c>
      <c r="BG63" s="376">
        <f>Sales!BG85</f>
        <v>0</v>
      </c>
      <c r="BH63" s="376">
        <f>Sales!BH85</f>
        <v>0</v>
      </c>
      <c r="BI63" s="376">
        <f>Sales!BI85</f>
        <v>0</v>
      </c>
      <c r="BJ63" s="372">
        <f>Sales!BJ85</f>
        <v>0</v>
      </c>
      <c r="BK63" s="376">
        <f>Sales!BK85</f>
        <v>0</v>
      </c>
      <c r="BL63" s="376">
        <f>Sales!BL85</f>
        <v>0</v>
      </c>
      <c r="BM63" s="376">
        <f>Sales!BM85</f>
        <v>0</v>
      </c>
      <c r="BN63" s="376">
        <f>Sales!BN85</f>
        <v>0</v>
      </c>
      <c r="BO63" s="372">
        <f>Sales!BO85</f>
        <v>0.03</v>
      </c>
      <c r="BP63" s="376">
        <f>Sales!BP85</f>
        <v>0</v>
      </c>
      <c r="BQ63" s="376">
        <f>Sales!BQ85</f>
        <v>0</v>
      </c>
      <c r="BR63" s="376">
        <f>Sales!BR85</f>
        <v>0</v>
      </c>
      <c r="BS63" s="376">
        <f>Sales!BS85</f>
        <v>0</v>
      </c>
      <c r="BT63" s="372">
        <f>Sales!BT85</f>
        <v>0.02</v>
      </c>
      <c r="BU63" s="376">
        <f>Sales!BU85</f>
        <v>0</v>
      </c>
      <c r="BV63" s="376">
        <f>Sales!BV85</f>
        <v>0</v>
      </c>
      <c r="BW63" s="376">
        <f>Sales!BW85</f>
        <v>0</v>
      </c>
      <c r="BX63" s="376">
        <f>Sales!BX85</f>
        <v>0</v>
      </c>
      <c r="BY63" s="372">
        <f>Sales!BY85</f>
        <v>0.02</v>
      </c>
      <c r="BZ63" s="376">
        <f>Sales!BZ85</f>
        <v>0</v>
      </c>
      <c r="CA63" s="376">
        <f>Sales!CA85</f>
        <v>0</v>
      </c>
      <c r="CB63" s="376">
        <f>Sales!CB85</f>
        <v>0</v>
      </c>
      <c r="CC63" s="376">
        <f>Sales!CC85</f>
        <v>0</v>
      </c>
      <c r="CD63" s="372">
        <f>Sales!CD85</f>
        <v>0</v>
      </c>
    </row>
    <row r="64" spans="1:82" s="252" customFormat="1" hidden="1">
      <c r="B64" s="309"/>
      <c r="C64" s="317"/>
      <c r="D64" s="318"/>
      <c r="E64" s="318"/>
      <c r="F64" s="318"/>
      <c r="G64" s="319"/>
      <c r="H64" s="318"/>
      <c r="I64" s="318"/>
      <c r="J64" s="318"/>
      <c r="K64" s="318"/>
      <c r="L64" s="319"/>
      <c r="M64" s="318"/>
      <c r="N64" s="318"/>
      <c r="O64" s="318"/>
      <c r="P64" s="318"/>
      <c r="Q64" s="319"/>
      <c r="R64" s="318"/>
      <c r="S64" s="318"/>
      <c r="T64" s="318"/>
      <c r="U64" s="318"/>
      <c r="V64" s="319"/>
      <c r="W64" s="320"/>
      <c r="X64" s="321"/>
      <c r="Y64" s="321"/>
      <c r="Z64" s="321"/>
      <c r="AA64" s="322"/>
      <c r="AB64" s="361"/>
      <c r="AC64" s="361"/>
      <c r="AD64" s="361"/>
      <c r="AE64" s="361"/>
      <c r="AF64" s="372"/>
      <c r="AG64" s="324"/>
      <c r="AH64" s="324"/>
      <c r="AI64" s="324"/>
      <c r="AJ64" s="373"/>
      <c r="AK64" s="372"/>
      <c r="AL64" s="373"/>
      <c r="AM64" s="324"/>
      <c r="AN64" s="373"/>
      <c r="AO64" s="373"/>
      <c r="AP64" s="372"/>
      <c r="AQ64" s="374"/>
      <c r="AR64" s="324"/>
      <c r="AS64" s="373"/>
      <c r="AT64" s="373"/>
      <c r="AU64" s="372"/>
      <c r="AV64" s="324"/>
      <c r="AW64" s="373"/>
      <c r="AX64" s="373"/>
      <c r="AY64" s="373"/>
      <c r="AZ64" s="372"/>
      <c r="BA64" s="373"/>
      <c r="BB64" s="373"/>
      <c r="BC64" s="373"/>
      <c r="BD64" s="373"/>
      <c r="BE64" s="375"/>
      <c r="BF64" s="376"/>
      <c r="BG64" s="376"/>
      <c r="BH64" s="376"/>
      <c r="BI64" s="376"/>
      <c r="BJ64" s="372"/>
      <c r="BK64" s="376"/>
      <c r="BL64" s="376"/>
      <c r="BM64" s="376"/>
      <c r="BN64" s="376"/>
      <c r="BO64" s="372"/>
      <c r="BP64" s="376"/>
      <c r="BQ64" s="376"/>
      <c r="BR64" s="376"/>
      <c r="BS64" s="376"/>
      <c r="BT64" s="372"/>
      <c r="BU64" s="376"/>
      <c r="BV64" s="376"/>
      <c r="BW64" s="376"/>
      <c r="BX64" s="376"/>
      <c r="BY64" s="372"/>
      <c r="BZ64" s="376"/>
      <c r="CA64" s="376"/>
      <c r="CB64" s="376"/>
      <c r="CC64" s="376"/>
      <c r="CD64" s="372"/>
    </row>
    <row r="65" spans="1:83" s="252" customFormat="1">
      <c r="B65" s="268" t="str">
        <f>Sales!B87</f>
        <v>Total Women's Health (Addyi)</v>
      </c>
      <c r="C65" s="317">
        <f>Sales!C87</f>
        <v>0</v>
      </c>
      <c r="D65" s="318">
        <f>Sales!D87</f>
        <v>0</v>
      </c>
      <c r="E65" s="318">
        <f>Sales!E87</f>
        <v>0</v>
      </c>
      <c r="F65" s="318">
        <f>Sales!F87</f>
        <v>0</v>
      </c>
      <c r="G65" s="319">
        <f>Sales!G87</f>
        <v>0</v>
      </c>
      <c r="H65" s="318">
        <f>Sales!H87</f>
        <v>0</v>
      </c>
      <c r="I65" s="318">
        <f>Sales!I87</f>
        <v>0</v>
      </c>
      <c r="J65" s="318">
        <f>Sales!J87</f>
        <v>0</v>
      </c>
      <c r="K65" s="318">
        <f>Sales!K87</f>
        <v>0</v>
      </c>
      <c r="L65" s="319">
        <f>Sales!L87</f>
        <v>0</v>
      </c>
      <c r="M65" s="318">
        <f>Sales!M87</f>
        <v>0</v>
      </c>
      <c r="N65" s="318">
        <f>Sales!N87</f>
        <v>0</v>
      </c>
      <c r="O65" s="318">
        <f>Sales!O87</f>
        <v>0</v>
      </c>
      <c r="P65" s="318">
        <f>Sales!P87</f>
        <v>0</v>
      </c>
      <c r="Q65" s="319">
        <f>Sales!Q87</f>
        <v>0</v>
      </c>
      <c r="R65" s="318">
        <f>Sales!R87</f>
        <v>0</v>
      </c>
      <c r="S65" s="318">
        <f>Sales!S87</f>
        <v>0</v>
      </c>
      <c r="T65" s="318">
        <f>Sales!T87</f>
        <v>0</v>
      </c>
      <c r="U65" s="318">
        <f>Sales!U87</f>
        <v>0</v>
      </c>
      <c r="V65" s="319">
        <f>Sales!V87</f>
        <v>0</v>
      </c>
      <c r="W65" s="320">
        <f>Sales!W87</f>
        <v>0</v>
      </c>
      <c r="X65" s="321">
        <f>Sales!X87</f>
        <v>0</v>
      </c>
      <c r="Y65" s="321">
        <f>Sales!Y87</f>
        <v>0</v>
      </c>
      <c r="Z65" s="321">
        <f>Sales!Z87</f>
        <v>0</v>
      </c>
      <c r="AA65" s="322">
        <f>Sales!AA87</f>
        <v>0</v>
      </c>
      <c r="AB65" s="361">
        <f>Sales!AB87</f>
        <v>0</v>
      </c>
      <c r="AC65" s="361">
        <f>Sales!AC87</f>
        <v>0</v>
      </c>
      <c r="AD65" s="361">
        <f>Sales!AD87</f>
        <v>0</v>
      </c>
      <c r="AE65" s="361">
        <f>Sales!AE87</f>
        <v>0</v>
      </c>
      <c r="AF65" s="46">
        <f>Sales!AF87</f>
        <v>0</v>
      </c>
      <c r="AG65" s="362">
        <f>Sales!AG87</f>
        <v>0</v>
      </c>
      <c r="AH65" s="49">
        <f>Sales!AH87</f>
        <v>0</v>
      </c>
      <c r="AI65" s="363">
        <f>Sales!AI87</f>
        <v>0</v>
      </c>
      <c r="AJ65" s="363">
        <f>Sales!AJ87</f>
        <v>0</v>
      </c>
      <c r="AK65" s="46">
        <f>Sales!AK87</f>
        <v>0</v>
      </c>
      <c r="AL65" s="364">
        <f>Sales!AL87</f>
        <v>0</v>
      </c>
      <c r="AM65" s="280">
        <f>Sales!AM87</f>
        <v>0</v>
      </c>
      <c r="AN65" s="364">
        <f>Sales!AN87</f>
        <v>0</v>
      </c>
      <c r="AO65" s="280">
        <f>Sales!AO87</f>
        <v>0</v>
      </c>
      <c r="AP65" s="46">
        <f>Sales!AP87</f>
        <v>0</v>
      </c>
      <c r="AQ65" s="365">
        <f>Sales!AQ87</f>
        <v>0</v>
      </c>
      <c r="AR65" s="280">
        <f>Sales!AR87</f>
        <v>0</v>
      </c>
      <c r="AS65" s="275">
        <f>Sales!AS87</f>
        <v>0</v>
      </c>
      <c r="AT65" s="275">
        <f>Sales!AT87</f>
        <v>0</v>
      </c>
      <c r="AU65" s="46">
        <f>Sales!AU87</f>
        <v>0</v>
      </c>
      <c r="AV65" s="275">
        <f>Sales!AV87</f>
        <v>0</v>
      </c>
      <c r="AW65" s="275">
        <f>Sales!AW87</f>
        <v>0</v>
      </c>
      <c r="AX65" s="275">
        <f>Sales!AX87</f>
        <v>0</v>
      </c>
      <c r="AY65" s="275">
        <f>Sales!AY87</f>
        <v>0</v>
      </c>
      <c r="AZ65" s="311">
        <f>Sales!AZ87</f>
        <v>0</v>
      </c>
      <c r="BA65" s="367">
        <f>Sales!BA87</f>
        <v>0</v>
      </c>
      <c r="BB65" s="367">
        <f>Sales!BB87</f>
        <v>0</v>
      </c>
      <c r="BC65" s="310">
        <f>Sales!BC87</f>
        <v>0</v>
      </c>
      <c r="BD65" s="310">
        <f>Sales!BD87</f>
        <v>0</v>
      </c>
      <c r="BE65" s="311">
        <f>Sales!BE87</f>
        <v>0</v>
      </c>
      <c r="BF65" s="285">
        <f>Sales!BF87</f>
        <v>3</v>
      </c>
      <c r="BG65" s="285">
        <f>Sales!BG87</f>
        <v>5</v>
      </c>
      <c r="BH65" s="285">
        <f>Sales!BH87</f>
        <v>5</v>
      </c>
      <c r="BI65" s="285">
        <f>Sales!BI87</f>
        <v>10</v>
      </c>
      <c r="BJ65" s="369">
        <f>Sales!BJ87</f>
        <v>23</v>
      </c>
      <c r="BK65" s="285">
        <f>Sales!BK87</f>
        <v>0</v>
      </c>
      <c r="BL65" s="285">
        <f>Sales!BL87</f>
        <v>0</v>
      </c>
      <c r="BM65" s="285">
        <f>Sales!BM87</f>
        <v>0</v>
      </c>
      <c r="BN65" s="285">
        <f>Sales!BN87</f>
        <v>0</v>
      </c>
      <c r="BO65" s="55">
        <f>Sales!BO87</f>
        <v>34.5</v>
      </c>
      <c r="BP65" s="285">
        <f>Sales!BP87</f>
        <v>0</v>
      </c>
      <c r="BQ65" s="285">
        <f>Sales!BQ87</f>
        <v>0</v>
      </c>
      <c r="BR65" s="285">
        <f>Sales!BR87</f>
        <v>0</v>
      </c>
      <c r="BS65" s="285">
        <f>Sales!BS87</f>
        <v>0</v>
      </c>
      <c r="BT65" s="55">
        <f>Sales!BT87</f>
        <v>44.85</v>
      </c>
      <c r="BU65" s="285">
        <f>Sales!BU87</f>
        <v>0</v>
      </c>
      <c r="BV65" s="285">
        <f>Sales!BV87</f>
        <v>0</v>
      </c>
      <c r="BW65" s="285">
        <f>Sales!BW87</f>
        <v>0</v>
      </c>
      <c r="BX65" s="285">
        <f>Sales!BX87</f>
        <v>0</v>
      </c>
      <c r="BY65" s="55">
        <f>Sales!BY87</f>
        <v>56.0625</v>
      </c>
      <c r="BZ65" s="285">
        <f>Sales!BZ87</f>
        <v>0</v>
      </c>
      <c r="CA65" s="285">
        <f>Sales!CA87</f>
        <v>0</v>
      </c>
      <c r="CB65" s="285">
        <f>Sales!CB87</f>
        <v>0</v>
      </c>
      <c r="CC65" s="285">
        <f>Sales!CC87</f>
        <v>0</v>
      </c>
      <c r="CD65" s="55">
        <f>Sales!CD87</f>
        <v>67.274999999999991</v>
      </c>
    </row>
    <row r="66" spans="1:83" s="252" customFormat="1" hidden="1">
      <c r="B66" s="309" t="str">
        <f>Sales!B88</f>
        <v>growth</v>
      </c>
      <c r="C66" s="317">
        <f>Sales!C88</f>
        <v>0</v>
      </c>
      <c r="D66" s="318">
        <f>Sales!D88</f>
        <v>0</v>
      </c>
      <c r="E66" s="318">
        <f>Sales!E88</f>
        <v>0</v>
      </c>
      <c r="F66" s="318">
        <f>Sales!F88</f>
        <v>0</v>
      </c>
      <c r="G66" s="319">
        <f>Sales!G88</f>
        <v>0</v>
      </c>
      <c r="H66" s="318">
        <f>Sales!H88</f>
        <v>0</v>
      </c>
      <c r="I66" s="318">
        <f>Sales!I88</f>
        <v>0</v>
      </c>
      <c r="J66" s="318">
        <f>Sales!J88</f>
        <v>0</v>
      </c>
      <c r="K66" s="318">
        <f>Sales!K88</f>
        <v>0</v>
      </c>
      <c r="L66" s="319">
        <f>Sales!L88</f>
        <v>0</v>
      </c>
      <c r="M66" s="318">
        <f>Sales!M88</f>
        <v>0</v>
      </c>
      <c r="N66" s="318">
        <f>Sales!N88</f>
        <v>0</v>
      </c>
      <c r="O66" s="318">
        <f>Sales!O88</f>
        <v>0</v>
      </c>
      <c r="P66" s="318">
        <f>Sales!P88</f>
        <v>0</v>
      </c>
      <c r="Q66" s="319">
        <f>Sales!Q88</f>
        <v>0</v>
      </c>
      <c r="R66" s="318">
        <f>Sales!R88</f>
        <v>0</v>
      </c>
      <c r="S66" s="318">
        <f>Sales!S88</f>
        <v>0</v>
      </c>
      <c r="T66" s="318">
        <f>Sales!T88</f>
        <v>0</v>
      </c>
      <c r="U66" s="318">
        <f>Sales!U88</f>
        <v>0</v>
      </c>
      <c r="V66" s="319">
        <f>Sales!V88</f>
        <v>0</v>
      </c>
      <c r="W66" s="320">
        <f>Sales!W88</f>
        <v>0</v>
      </c>
      <c r="X66" s="321">
        <f>Sales!X88</f>
        <v>0</v>
      </c>
      <c r="Y66" s="321">
        <f>Sales!Y88</f>
        <v>0</v>
      </c>
      <c r="Z66" s="321">
        <f>Sales!Z88</f>
        <v>0</v>
      </c>
      <c r="AA66" s="322">
        <f>Sales!AA88</f>
        <v>0</v>
      </c>
      <c r="AB66" s="361">
        <f>Sales!AB88</f>
        <v>0</v>
      </c>
      <c r="AC66" s="361">
        <f>Sales!AC88</f>
        <v>0</v>
      </c>
      <c r="AD66" s="361">
        <f>Sales!AD88</f>
        <v>0</v>
      </c>
      <c r="AE66" s="361">
        <f>Sales!AE88</f>
        <v>0</v>
      </c>
      <c r="AF66" s="372">
        <f>Sales!AF88</f>
        <v>0</v>
      </c>
      <c r="AG66" s="324">
        <f>Sales!AG88</f>
        <v>0</v>
      </c>
      <c r="AH66" s="324">
        <f>Sales!AH88</f>
        <v>0</v>
      </c>
      <c r="AI66" s="324">
        <f>Sales!AI88</f>
        <v>0</v>
      </c>
      <c r="AJ66" s="373">
        <f>Sales!AJ88</f>
        <v>0</v>
      </c>
      <c r="AK66" s="372">
        <f>Sales!AK88</f>
        <v>0</v>
      </c>
      <c r="AL66" s="373">
        <f>Sales!AL88</f>
        <v>0</v>
      </c>
      <c r="AM66" s="324">
        <f>Sales!AM88</f>
        <v>0</v>
      </c>
      <c r="AN66" s="373">
        <f>Sales!AN88</f>
        <v>0</v>
      </c>
      <c r="AO66" s="373">
        <f>Sales!AO88</f>
        <v>0</v>
      </c>
      <c r="AP66" s="372">
        <f>Sales!AP88</f>
        <v>0</v>
      </c>
      <c r="AQ66" s="374">
        <f>Sales!AQ88</f>
        <v>0</v>
      </c>
      <c r="AR66" s="324">
        <f>Sales!AR88</f>
        <v>0</v>
      </c>
      <c r="AS66" s="373">
        <f>Sales!AS88</f>
        <v>0</v>
      </c>
      <c r="AT66" s="373">
        <f>Sales!AT88</f>
        <v>0</v>
      </c>
      <c r="AU66" s="372">
        <f>Sales!AU88</f>
        <v>0</v>
      </c>
      <c r="AV66" s="324">
        <f>Sales!AV88</f>
        <v>0</v>
      </c>
      <c r="AW66" s="373">
        <f>Sales!AW88</f>
        <v>0</v>
      </c>
      <c r="AX66" s="373">
        <f>Sales!AX88</f>
        <v>0</v>
      </c>
      <c r="AY66" s="373">
        <f>Sales!AY88</f>
        <v>0</v>
      </c>
      <c r="AZ66" s="648">
        <f>Sales!AZ88</f>
        <v>0</v>
      </c>
      <c r="BA66" s="302">
        <f>Sales!BA88</f>
        <v>0</v>
      </c>
      <c r="BB66" s="302">
        <f>Sales!BB88</f>
        <v>0</v>
      </c>
      <c r="BC66" s="302">
        <f>Sales!BC88</f>
        <v>0</v>
      </c>
      <c r="BD66" s="302">
        <f>Sales!BD88</f>
        <v>0</v>
      </c>
      <c r="BE66" s="649">
        <f>Sales!BE88</f>
        <v>0</v>
      </c>
      <c r="BF66" s="650">
        <f>Sales!BF88</f>
        <v>0</v>
      </c>
      <c r="BG66" s="650">
        <f>Sales!BG88</f>
        <v>0</v>
      </c>
      <c r="BH66" s="650">
        <f>Sales!BH88</f>
        <v>0</v>
      </c>
      <c r="BI66" s="650">
        <f>Sales!BI88</f>
        <v>0</v>
      </c>
      <c r="BJ66" s="648">
        <f>Sales!BJ88</f>
        <v>0</v>
      </c>
      <c r="BK66" s="650">
        <f>Sales!BK88</f>
        <v>0</v>
      </c>
      <c r="BL66" s="650">
        <f>Sales!BL88</f>
        <v>0</v>
      </c>
      <c r="BM66" s="650">
        <f>Sales!BM88</f>
        <v>0</v>
      </c>
      <c r="BN66" s="650">
        <f>Sales!BN88</f>
        <v>0</v>
      </c>
      <c r="BO66" s="648">
        <f>Sales!BO88</f>
        <v>0.5</v>
      </c>
      <c r="BP66" s="650">
        <f>Sales!BP88</f>
        <v>0</v>
      </c>
      <c r="BQ66" s="650">
        <f>Sales!BQ88</f>
        <v>0</v>
      </c>
      <c r="BR66" s="650">
        <f>Sales!BR88</f>
        <v>0</v>
      </c>
      <c r="BS66" s="650">
        <f>Sales!BS88</f>
        <v>0</v>
      </c>
      <c r="BT66" s="648">
        <f>Sales!BT88</f>
        <v>0.3</v>
      </c>
      <c r="BU66" s="650">
        <f>Sales!BU88</f>
        <v>0</v>
      </c>
      <c r="BV66" s="650">
        <f>Sales!BV88</f>
        <v>0</v>
      </c>
      <c r="BW66" s="650">
        <f>Sales!BW88</f>
        <v>0</v>
      </c>
      <c r="BX66" s="650">
        <f>Sales!BX88</f>
        <v>0</v>
      </c>
      <c r="BY66" s="648">
        <f>Sales!BY88</f>
        <v>0.25</v>
      </c>
      <c r="BZ66" s="650">
        <f>Sales!BZ88</f>
        <v>0</v>
      </c>
      <c r="CA66" s="650">
        <f>Sales!CA88</f>
        <v>0</v>
      </c>
      <c r="CB66" s="650">
        <f>Sales!CB88</f>
        <v>0</v>
      </c>
      <c r="CC66" s="650">
        <f>Sales!CC88</f>
        <v>0</v>
      </c>
      <c r="CD66" s="648">
        <f>Sales!CD88</f>
        <v>0.2</v>
      </c>
    </row>
    <row r="67" spans="1:83" s="355" customFormat="1" ht="13" hidden="1">
      <c r="A67" s="28"/>
      <c r="B67" s="309"/>
      <c r="C67" s="357"/>
      <c r="D67" s="357"/>
      <c r="E67" s="357"/>
      <c r="F67" s="357"/>
      <c r="G67" s="358"/>
      <c r="H67" s="357"/>
      <c r="I67" s="357"/>
      <c r="J67" s="357"/>
      <c r="K67" s="357"/>
      <c r="L67" s="358"/>
      <c r="M67" s="357"/>
      <c r="N67" s="357"/>
      <c r="O67" s="357"/>
      <c r="P67" s="357"/>
      <c r="Q67" s="358"/>
      <c r="R67" s="357"/>
      <c r="S67" s="357"/>
      <c r="T67" s="357"/>
      <c r="U67" s="357"/>
      <c r="V67" s="358"/>
      <c r="W67" s="357"/>
      <c r="X67" s="357"/>
      <c r="Y67" s="357"/>
      <c r="Z67" s="357"/>
      <c r="AA67" s="358"/>
      <c r="AB67" s="310"/>
      <c r="AC67" s="310"/>
      <c r="AD67" s="310"/>
      <c r="AE67" s="310"/>
      <c r="AF67" s="360"/>
      <c r="AK67" s="372"/>
      <c r="AP67" s="360"/>
      <c r="AQ67" s="356"/>
      <c r="AU67" s="311"/>
      <c r="AV67" s="310"/>
      <c r="AZ67" s="311"/>
      <c r="BE67" s="311"/>
      <c r="BF67" s="285"/>
      <c r="BG67" s="285"/>
      <c r="BH67" s="285"/>
      <c r="BI67" s="285"/>
      <c r="BJ67" s="311"/>
      <c r="BK67" s="285"/>
      <c r="BL67" s="285"/>
      <c r="BM67" s="285"/>
      <c r="BN67" s="285"/>
      <c r="BO67" s="311"/>
      <c r="BP67" s="285"/>
      <c r="BQ67" s="285"/>
      <c r="BR67" s="285"/>
      <c r="BS67" s="285"/>
      <c r="BT67" s="311"/>
      <c r="BU67" s="285"/>
      <c r="BV67" s="285"/>
      <c r="BW67" s="285"/>
      <c r="BX67" s="285"/>
      <c r="BY67" s="311"/>
      <c r="BZ67" s="285"/>
      <c r="CA67" s="285"/>
      <c r="CB67" s="285"/>
      <c r="CC67" s="285"/>
      <c r="CD67" s="311"/>
    </row>
    <row r="68" spans="1:83" s="285" customFormat="1" hidden="1" outlineLevel="1">
      <c r="B68" s="230" t="str">
        <f>Sales!B90</f>
        <v>Gastrointestinal (Salix)</v>
      </c>
      <c r="C68" s="236">
        <f>Sales!C90</f>
        <v>0</v>
      </c>
      <c r="D68" s="236">
        <f>Sales!D90</f>
        <v>0</v>
      </c>
      <c r="E68" s="236">
        <f>Sales!E90</f>
        <v>0</v>
      </c>
      <c r="F68" s="236">
        <f>Sales!F90</f>
        <v>0</v>
      </c>
      <c r="G68" s="235">
        <f>Sales!G90</f>
        <v>0</v>
      </c>
      <c r="H68" s="236">
        <f>Sales!H90</f>
        <v>0</v>
      </c>
      <c r="I68" s="236">
        <f>Sales!I90</f>
        <v>0</v>
      </c>
      <c r="J68" s="236">
        <f>Sales!J90</f>
        <v>0</v>
      </c>
      <c r="K68" s="236">
        <f>Sales!K90</f>
        <v>0</v>
      </c>
      <c r="L68" s="235">
        <f>Sales!L90</f>
        <v>0</v>
      </c>
      <c r="M68" s="236">
        <f>Sales!M90</f>
        <v>0</v>
      </c>
      <c r="N68" s="236">
        <f>Sales!N90</f>
        <v>0</v>
      </c>
      <c r="O68" s="236">
        <f>Sales!O90</f>
        <v>0</v>
      </c>
      <c r="P68" s="236">
        <f>Sales!P90</f>
        <v>0</v>
      </c>
      <c r="Q68" s="235">
        <f>Sales!Q90</f>
        <v>0</v>
      </c>
      <c r="R68" s="236">
        <f>Sales!R90</f>
        <v>0</v>
      </c>
      <c r="S68" s="236">
        <f>Sales!S90</f>
        <v>0</v>
      </c>
      <c r="T68" s="236">
        <f>Sales!T90</f>
        <v>0</v>
      </c>
      <c r="U68" s="236">
        <f>Sales!U90</f>
        <v>0</v>
      </c>
      <c r="V68" s="235">
        <f>Sales!V90</f>
        <v>0</v>
      </c>
      <c r="W68" s="236">
        <f>Sales!W90</f>
        <v>0</v>
      </c>
      <c r="X68" s="236">
        <f>Sales!X90</f>
        <v>0</v>
      </c>
      <c r="Y68" s="236">
        <f>Sales!Y90</f>
        <v>0</v>
      </c>
      <c r="Z68" s="236">
        <f>Sales!Z90</f>
        <v>0</v>
      </c>
      <c r="AA68" s="235">
        <f>Sales!AA90</f>
        <v>0</v>
      </c>
      <c r="AB68" s="310">
        <f>Sales!AB90</f>
        <v>0</v>
      </c>
      <c r="AC68" s="310">
        <f>Sales!AC90</f>
        <v>0</v>
      </c>
      <c r="AD68" s="310">
        <f>Sales!AD90</f>
        <v>0</v>
      </c>
      <c r="AE68" s="310">
        <f>Sales!AE90</f>
        <v>0</v>
      </c>
      <c r="AF68" s="235">
        <f>Sales!AF90</f>
        <v>0</v>
      </c>
      <c r="AG68" s="236">
        <f>Sales!AG90</f>
        <v>0</v>
      </c>
      <c r="AH68" s="236">
        <f>Sales!AH90</f>
        <v>0</v>
      </c>
      <c r="AI68" s="236">
        <f>Sales!AI90</f>
        <v>0</v>
      </c>
      <c r="AJ68" s="236">
        <f>Sales!AJ90</f>
        <v>0</v>
      </c>
      <c r="AK68" s="235">
        <f>Sales!AK90</f>
        <v>0</v>
      </c>
      <c r="AL68" s="288">
        <f>Sales!AL90</f>
        <v>0</v>
      </c>
      <c r="AM68" s="239">
        <f>Sales!AM90</f>
        <v>0</v>
      </c>
      <c r="AN68" s="288">
        <f>Sales!AN90</f>
        <v>0</v>
      </c>
      <c r="AO68" s="240">
        <f>Sales!AO90</f>
        <v>0</v>
      </c>
      <c r="AP68" s="235">
        <f>Sales!AP90</f>
        <v>0</v>
      </c>
      <c r="AQ68" s="289">
        <f>Sales!AQ90</f>
        <v>0</v>
      </c>
      <c r="AR68" s="236">
        <f>Sales!AR90</f>
        <v>0</v>
      </c>
      <c r="AS68" s="236">
        <f>Sales!AS90</f>
        <v>0</v>
      </c>
      <c r="AT68" s="236">
        <f>Sales!AT90</f>
        <v>0</v>
      </c>
      <c r="AU68" s="235">
        <f>Sales!AU90</f>
        <v>0</v>
      </c>
      <c r="AV68" s="236">
        <f>Sales!AV90</f>
        <v>0</v>
      </c>
      <c r="AW68" s="236">
        <f>Sales!AW90</f>
        <v>0</v>
      </c>
      <c r="AX68" s="236">
        <f>Sales!AX90</f>
        <v>0</v>
      </c>
      <c r="AY68" s="236">
        <f>Sales!AY90</f>
        <v>0</v>
      </c>
      <c r="AZ68" s="235">
        <f>Sales!AZ90</f>
        <v>0</v>
      </c>
      <c r="BA68" s="236">
        <f>Sales!BA90</f>
        <v>0</v>
      </c>
      <c r="BB68" s="236">
        <f>Sales!BB90</f>
        <v>0</v>
      </c>
      <c r="BC68" s="236">
        <f>Sales!BC90</f>
        <v>0</v>
      </c>
      <c r="BD68" s="236">
        <f>Sales!BD90</f>
        <v>0</v>
      </c>
      <c r="BE68" s="235">
        <f>Sales!BE90</f>
        <v>0</v>
      </c>
      <c r="BF68" s="241">
        <f>Sales!BF90</f>
        <v>0</v>
      </c>
      <c r="BG68" s="241">
        <f>Sales!BG90</f>
        <v>0</v>
      </c>
      <c r="BH68" s="241">
        <f>Sales!BH90</f>
        <v>0</v>
      </c>
      <c r="BI68" s="241">
        <f>Sales!BI90</f>
        <v>0</v>
      </c>
      <c r="BJ68" s="235">
        <f>Sales!BJ90</f>
        <v>0</v>
      </c>
      <c r="BK68" s="241">
        <f>Sales!BK90</f>
        <v>0</v>
      </c>
      <c r="BL68" s="241">
        <f>Sales!BL90</f>
        <v>0</v>
      </c>
      <c r="BM68" s="241">
        <f>Sales!BM90</f>
        <v>0</v>
      </c>
      <c r="BN68" s="241">
        <f>Sales!BN90</f>
        <v>0</v>
      </c>
      <c r="BO68" s="235">
        <f>Sales!BO90</f>
        <v>0</v>
      </c>
      <c r="BP68" s="241">
        <f>Sales!BP90</f>
        <v>0</v>
      </c>
      <c r="BQ68" s="241">
        <f>Sales!BQ90</f>
        <v>0</v>
      </c>
      <c r="BR68" s="241">
        <f>Sales!BR90</f>
        <v>0</v>
      </c>
      <c r="BS68" s="241">
        <f>Sales!BS90</f>
        <v>0</v>
      </c>
      <c r="BT68" s="235">
        <f>Sales!BT90</f>
        <v>0</v>
      </c>
      <c r="BU68" s="241">
        <f>Sales!BU90</f>
        <v>0</v>
      </c>
      <c r="BV68" s="241">
        <f>Sales!BV90</f>
        <v>0</v>
      </c>
      <c r="BW68" s="241">
        <f>Sales!BW90</f>
        <v>0</v>
      </c>
      <c r="BX68" s="241">
        <f>Sales!BX90</f>
        <v>0</v>
      </c>
      <c r="BY68" s="235">
        <f>Sales!BY90</f>
        <v>0</v>
      </c>
      <c r="BZ68" s="241">
        <f>Sales!BZ90</f>
        <v>0</v>
      </c>
      <c r="CA68" s="241">
        <f>Sales!CA90</f>
        <v>0</v>
      </c>
      <c r="CB68" s="241">
        <f>Sales!CB90</f>
        <v>0</v>
      </c>
      <c r="CC68" s="241">
        <f>Sales!CC90</f>
        <v>0</v>
      </c>
      <c r="CD68" s="235">
        <f>Sales!CD90</f>
        <v>0</v>
      </c>
    </row>
    <row r="69" spans="1:83" s="390" customFormat="1" outlineLevel="1">
      <c r="A69" s="8"/>
      <c r="B69" s="381" t="str">
        <f>Sales!B91</f>
        <v>Xifaxan (HE, TD)</v>
      </c>
      <c r="C69" s="236">
        <f>Sales!C91</f>
        <v>0</v>
      </c>
      <c r="D69" s="236">
        <f>Sales!D91</f>
        <v>0</v>
      </c>
      <c r="E69" s="236">
        <f>Sales!E91</f>
        <v>0</v>
      </c>
      <c r="F69" s="236">
        <f>Sales!F91</f>
        <v>0</v>
      </c>
      <c r="G69" s="235">
        <f>Sales!G91</f>
        <v>0</v>
      </c>
      <c r="H69" s="236">
        <f>Sales!H91</f>
        <v>0</v>
      </c>
      <c r="I69" s="236">
        <f>Sales!I91</f>
        <v>0</v>
      </c>
      <c r="J69" s="236">
        <f>Sales!J91</f>
        <v>0</v>
      </c>
      <c r="K69" s="236">
        <f>Sales!K91</f>
        <v>0</v>
      </c>
      <c r="L69" s="235">
        <f>Sales!L91</f>
        <v>0</v>
      </c>
      <c r="M69" s="236">
        <f>Sales!M91</f>
        <v>0</v>
      </c>
      <c r="N69" s="236">
        <f>Sales!N91</f>
        <v>0</v>
      </c>
      <c r="O69" s="236">
        <f>Sales!O91</f>
        <v>0</v>
      </c>
      <c r="P69" s="236">
        <f>Sales!P91</f>
        <v>0</v>
      </c>
      <c r="Q69" s="235">
        <f>Sales!Q91</f>
        <v>0</v>
      </c>
      <c r="R69" s="236">
        <f>Sales!R91</f>
        <v>0</v>
      </c>
      <c r="S69" s="236">
        <f>Sales!S91</f>
        <v>0</v>
      </c>
      <c r="T69" s="236">
        <f>Sales!T91</f>
        <v>0</v>
      </c>
      <c r="U69" s="236">
        <f>Sales!U91</f>
        <v>0</v>
      </c>
      <c r="V69" s="235">
        <f>Sales!V91</f>
        <v>0</v>
      </c>
      <c r="W69" s="236">
        <f>Sales!W91</f>
        <v>0</v>
      </c>
      <c r="X69" s="236">
        <f>Sales!X91</f>
        <v>0</v>
      </c>
      <c r="Y69" s="236">
        <f>Sales!Y91</f>
        <v>0</v>
      </c>
      <c r="Z69" s="236">
        <f>Sales!Z91</f>
        <v>0</v>
      </c>
      <c r="AA69" s="382">
        <f>Sales!AA91</f>
        <v>0</v>
      </c>
      <c r="AB69" s="310">
        <f>Sales!AB91</f>
        <v>0</v>
      </c>
      <c r="AC69" s="310">
        <f>Sales!AC91</f>
        <v>0</v>
      </c>
      <c r="AD69" s="383">
        <f>Sales!AD91</f>
        <v>0</v>
      </c>
      <c r="AE69" s="383">
        <f>Sales!AE91</f>
        <v>0</v>
      </c>
      <c r="AF69" s="384">
        <f>Sales!AF91</f>
        <v>0</v>
      </c>
      <c r="AG69" s="236">
        <f>Sales!AG91</f>
        <v>0</v>
      </c>
      <c r="AH69" s="385">
        <f>Sales!AH91</f>
        <v>0</v>
      </c>
      <c r="AI69" s="386">
        <f>Sales!AI91</f>
        <v>0</v>
      </c>
      <c r="AJ69" s="386">
        <f>Sales!AJ91</f>
        <v>0</v>
      </c>
      <c r="AK69" s="384">
        <f>Sales!AK91</f>
        <v>0</v>
      </c>
      <c r="AL69" s="344">
        <f>Sales!AL91</f>
        <v>0</v>
      </c>
      <c r="AM69" s="236">
        <f>Sales!AM91</f>
        <v>0</v>
      </c>
      <c r="AN69" s="344">
        <f>Sales!AN91</f>
        <v>0</v>
      </c>
      <c r="AO69" s="236">
        <f>Sales!AO91</f>
        <v>0</v>
      </c>
      <c r="AP69" s="384">
        <f>Sales!AP91</f>
        <v>0</v>
      </c>
      <c r="AQ69" s="289">
        <f>Sales!AQ91</f>
        <v>0</v>
      </c>
      <c r="AR69" s="236">
        <f>Sales!AR91</f>
        <v>0</v>
      </c>
      <c r="AS69" s="259">
        <f>Sales!AS91</f>
        <v>0</v>
      </c>
      <c r="AT69" s="259">
        <f>Sales!AT91</f>
        <v>0</v>
      </c>
      <c r="AU69" s="384">
        <f>Sales!AU91</f>
        <v>0</v>
      </c>
      <c r="AV69" s="236">
        <f>Sales!AV91</f>
        <v>0</v>
      </c>
      <c r="AW69" s="259">
        <f>Sales!AW91</f>
        <v>0</v>
      </c>
      <c r="AX69" s="259">
        <f>Sales!AX91</f>
        <v>0</v>
      </c>
      <c r="AY69" s="259">
        <f>Sales!AY91</f>
        <v>0</v>
      </c>
      <c r="AZ69" s="235">
        <f>Sales!AZ91</f>
        <v>0</v>
      </c>
      <c r="BA69" s="388">
        <f>Sales!BA91</f>
        <v>105</v>
      </c>
      <c r="BB69" s="259">
        <f>Sales!BB91</f>
        <v>120</v>
      </c>
      <c r="BC69" s="259">
        <f>Sales!BC91</f>
        <v>150</v>
      </c>
      <c r="BD69" s="259">
        <f>Sales!BD91</f>
        <v>140</v>
      </c>
      <c r="BE69" s="235">
        <f>Sales!BE91</f>
        <v>410</v>
      </c>
      <c r="BF69" s="241">
        <f>Sales!BF91</f>
        <v>150</v>
      </c>
      <c r="BG69" s="241">
        <f>Sales!BG91</f>
        <v>190</v>
      </c>
      <c r="BH69" s="241">
        <f>Sales!BH91</f>
        <v>205</v>
      </c>
      <c r="BI69" s="241">
        <f>Sales!BI91</f>
        <v>220</v>
      </c>
      <c r="BJ69" s="389">
        <f>Sales!BJ91</f>
        <v>765</v>
      </c>
      <c r="BK69" s="241">
        <f>Sales!BK91</f>
        <v>0</v>
      </c>
      <c r="BL69" s="241">
        <f>Sales!BL91</f>
        <v>0</v>
      </c>
      <c r="BM69" s="241">
        <f>Sales!BM91</f>
        <v>0</v>
      </c>
      <c r="BN69" s="241">
        <f>Sales!BN91</f>
        <v>0</v>
      </c>
      <c r="BO69" s="384">
        <f>Sales!BO91</f>
        <v>887.4</v>
      </c>
      <c r="BP69" s="241">
        <f>Sales!BP91</f>
        <v>0</v>
      </c>
      <c r="BQ69" s="241">
        <f>Sales!BQ91</f>
        <v>0</v>
      </c>
      <c r="BR69" s="241">
        <f>Sales!BR91</f>
        <v>0</v>
      </c>
      <c r="BS69" s="241">
        <f>Sales!BS91</f>
        <v>0</v>
      </c>
      <c r="BT69" s="384">
        <f>Sales!BT91</f>
        <v>993.88800000000003</v>
      </c>
      <c r="BU69" s="241">
        <f>Sales!BU91</f>
        <v>0</v>
      </c>
      <c r="BV69" s="241">
        <f>Sales!BV91</f>
        <v>0</v>
      </c>
      <c r="BW69" s="241">
        <f>Sales!BW91</f>
        <v>0</v>
      </c>
      <c r="BX69" s="241">
        <f>Sales!BX91</f>
        <v>0</v>
      </c>
      <c r="BY69" s="384">
        <f>Sales!BY91</f>
        <v>1093.2768000000001</v>
      </c>
      <c r="BZ69" s="241">
        <f>Sales!BZ91</f>
        <v>0</v>
      </c>
      <c r="CA69" s="241">
        <f>Sales!CA91</f>
        <v>0</v>
      </c>
      <c r="CB69" s="241">
        <f>Sales!CB91</f>
        <v>0</v>
      </c>
      <c r="CC69" s="241">
        <f>Sales!CC91</f>
        <v>0</v>
      </c>
      <c r="CD69" s="384">
        <f>Sales!CD91</f>
        <v>1202.6044800000002</v>
      </c>
      <c r="CE69" s="8"/>
    </row>
    <row r="70" spans="1:83" s="390" customFormat="1" outlineLevel="1">
      <c r="A70" s="8"/>
      <c r="B70" s="381" t="str">
        <f>Sales!B93</f>
        <v>Xifaxan (IBS-D)</v>
      </c>
      <c r="C70" s="236">
        <f>Sales!C93</f>
        <v>0</v>
      </c>
      <c r="D70" s="236">
        <f>Sales!D93</f>
        <v>0</v>
      </c>
      <c r="E70" s="236">
        <f>Sales!E93</f>
        <v>0</v>
      </c>
      <c r="F70" s="236">
        <f>Sales!F93</f>
        <v>0</v>
      </c>
      <c r="G70" s="235">
        <f>Sales!G93</f>
        <v>0</v>
      </c>
      <c r="H70" s="236">
        <f>Sales!H93</f>
        <v>0</v>
      </c>
      <c r="I70" s="236">
        <f>Sales!I93</f>
        <v>0</v>
      </c>
      <c r="J70" s="236">
        <f>Sales!J93</f>
        <v>0</v>
      </c>
      <c r="K70" s="236">
        <f>Sales!K93</f>
        <v>0</v>
      </c>
      <c r="L70" s="235">
        <f>Sales!L93</f>
        <v>0</v>
      </c>
      <c r="M70" s="236">
        <f>Sales!M93</f>
        <v>0</v>
      </c>
      <c r="N70" s="236">
        <f>Sales!N93</f>
        <v>0</v>
      </c>
      <c r="O70" s="236">
        <f>Sales!O93</f>
        <v>0</v>
      </c>
      <c r="P70" s="236">
        <f>Sales!P93</f>
        <v>0</v>
      </c>
      <c r="Q70" s="235">
        <f>Sales!Q93</f>
        <v>0</v>
      </c>
      <c r="R70" s="236">
        <f>Sales!R93</f>
        <v>0</v>
      </c>
      <c r="S70" s="236">
        <f>Sales!S93</f>
        <v>0</v>
      </c>
      <c r="T70" s="236">
        <f>Sales!T93</f>
        <v>0</v>
      </c>
      <c r="U70" s="236">
        <f>Sales!U93</f>
        <v>0</v>
      </c>
      <c r="V70" s="235">
        <f>Sales!V93</f>
        <v>0</v>
      </c>
      <c r="W70" s="236">
        <f>Sales!W93</f>
        <v>0</v>
      </c>
      <c r="X70" s="236">
        <f>Sales!X93</f>
        <v>0</v>
      </c>
      <c r="Y70" s="236">
        <f>Sales!Y93</f>
        <v>0</v>
      </c>
      <c r="Z70" s="236">
        <f>Sales!Z93</f>
        <v>0</v>
      </c>
      <c r="AA70" s="382">
        <f>Sales!AA93</f>
        <v>0</v>
      </c>
      <c r="AB70" s="310">
        <f>Sales!AB93</f>
        <v>0</v>
      </c>
      <c r="AC70" s="310">
        <f>Sales!AC93</f>
        <v>0</v>
      </c>
      <c r="AD70" s="383">
        <f>Sales!AD93</f>
        <v>0</v>
      </c>
      <c r="AE70" s="383">
        <f>Sales!AE93</f>
        <v>0</v>
      </c>
      <c r="AF70" s="384">
        <f>Sales!AF93</f>
        <v>0</v>
      </c>
      <c r="AG70" s="236">
        <f>Sales!AG93</f>
        <v>0</v>
      </c>
      <c r="AH70" s="385">
        <f>Sales!AH93</f>
        <v>0</v>
      </c>
      <c r="AI70" s="386">
        <f>Sales!AI93</f>
        <v>0</v>
      </c>
      <c r="AJ70" s="386">
        <f>Sales!AJ93</f>
        <v>0</v>
      </c>
      <c r="AK70" s="384">
        <f>Sales!AK93</f>
        <v>0</v>
      </c>
      <c r="AL70" s="344">
        <f>Sales!AL93</f>
        <v>0</v>
      </c>
      <c r="AM70" s="236">
        <f>Sales!AM93</f>
        <v>0</v>
      </c>
      <c r="AN70" s="344">
        <f>Sales!AN93</f>
        <v>0</v>
      </c>
      <c r="AO70" s="236">
        <f>Sales!AO93</f>
        <v>0</v>
      </c>
      <c r="AP70" s="384">
        <f>Sales!AP93</f>
        <v>0</v>
      </c>
      <c r="AQ70" s="289">
        <f>Sales!AQ93</f>
        <v>0</v>
      </c>
      <c r="AR70" s="236">
        <f>Sales!AR93</f>
        <v>0</v>
      </c>
      <c r="AS70" s="236">
        <f>Sales!AS93</f>
        <v>0</v>
      </c>
      <c r="AT70" s="236">
        <f>Sales!AT93</f>
        <v>0</v>
      </c>
      <c r="AU70" s="384">
        <f>Sales!AU93</f>
        <v>0</v>
      </c>
      <c r="AV70" s="397">
        <f>Sales!AV93</f>
        <v>0</v>
      </c>
      <c r="AW70" s="236">
        <f>Sales!AW93</f>
        <v>0</v>
      </c>
      <c r="AX70" s="236">
        <f>Sales!AX93</f>
        <v>0</v>
      </c>
      <c r="AY70" s="236">
        <f>Sales!AY93</f>
        <v>0</v>
      </c>
      <c r="AZ70" s="235">
        <f>Sales!AZ93</f>
        <v>0</v>
      </c>
      <c r="BA70" s="388">
        <f>Sales!BA93</f>
        <v>25</v>
      </c>
      <c r="BB70" s="236">
        <f>Sales!BB93</f>
        <v>28</v>
      </c>
      <c r="BC70" s="259">
        <f>Sales!BC93</f>
        <v>70</v>
      </c>
      <c r="BD70" s="259">
        <f>Sales!BD93</f>
        <v>70</v>
      </c>
      <c r="BE70" s="235">
        <f>Sales!BE93</f>
        <v>168</v>
      </c>
      <c r="BF70" s="241">
        <f>Sales!BF93</f>
        <v>75</v>
      </c>
      <c r="BG70" s="241">
        <f>Sales!BG93</f>
        <v>110</v>
      </c>
      <c r="BH70" s="241">
        <f>Sales!BH93</f>
        <v>125</v>
      </c>
      <c r="BI70" s="241">
        <f>Sales!BI93</f>
        <v>140</v>
      </c>
      <c r="BJ70" s="389">
        <f>Sales!BJ93</f>
        <v>450</v>
      </c>
      <c r="BK70" s="241">
        <f>Sales!BK93</f>
        <v>0</v>
      </c>
      <c r="BL70" s="241">
        <f>Sales!BL93</f>
        <v>0</v>
      </c>
      <c r="BM70" s="241">
        <f>Sales!BM93</f>
        <v>0</v>
      </c>
      <c r="BN70" s="241">
        <f>Sales!BN93</f>
        <v>0</v>
      </c>
      <c r="BO70" s="384">
        <f>Sales!BO93</f>
        <v>585</v>
      </c>
      <c r="BP70" s="241">
        <f>Sales!BP93</f>
        <v>0</v>
      </c>
      <c r="BQ70" s="241">
        <f>Sales!BQ93</f>
        <v>0</v>
      </c>
      <c r="BR70" s="241">
        <f>Sales!BR93</f>
        <v>0</v>
      </c>
      <c r="BS70" s="241">
        <f>Sales!BS93</f>
        <v>0</v>
      </c>
      <c r="BT70" s="384">
        <f>Sales!BT93</f>
        <v>690.3</v>
      </c>
      <c r="BU70" s="241">
        <f>Sales!BU93</f>
        <v>0</v>
      </c>
      <c r="BV70" s="241">
        <f>Sales!BV93</f>
        <v>0</v>
      </c>
      <c r="BW70" s="241">
        <f>Sales!BW93</f>
        <v>0</v>
      </c>
      <c r="BX70" s="241">
        <f>Sales!BX93</f>
        <v>0</v>
      </c>
      <c r="BY70" s="384">
        <f>Sales!BY93</f>
        <v>793.84499999999991</v>
      </c>
      <c r="BZ70" s="241">
        <f>Sales!BZ93</f>
        <v>0</v>
      </c>
      <c r="CA70" s="241">
        <f>Sales!CA93</f>
        <v>0</v>
      </c>
      <c r="CB70" s="241">
        <f>Sales!CB93</f>
        <v>0</v>
      </c>
      <c r="CC70" s="241">
        <f>Sales!CC93</f>
        <v>0</v>
      </c>
      <c r="CD70" s="384">
        <f>Sales!CD93</f>
        <v>897.04484999999977</v>
      </c>
      <c r="CE70" s="8"/>
    </row>
    <row r="71" spans="1:83" s="390" customFormat="1" outlineLevel="1">
      <c r="A71" s="8"/>
      <c r="B71" s="398" t="str">
        <f>Sales!B95</f>
        <v>Total Xifaxan</v>
      </c>
      <c r="C71" s="399">
        <f>Sales!C95</f>
        <v>0</v>
      </c>
      <c r="D71" s="399">
        <f>Sales!D95</f>
        <v>0</v>
      </c>
      <c r="E71" s="399">
        <f>Sales!E95</f>
        <v>0</v>
      </c>
      <c r="F71" s="399">
        <f>Sales!F95</f>
        <v>0</v>
      </c>
      <c r="G71" s="400">
        <f>Sales!G95</f>
        <v>0</v>
      </c>
      <c r="H71" s="399">
        <f>Sales!H95</f>
        <v>0</v>
      </c>
      <c r="I71" s="399">
        <f>Sales!I95</f>
        <v>0</v>
      </c>
      <c r="J71" s="399">
        <f>Sales!J95</f>
        <v>0</v>
      </c>
      <c r="K71" s="399">
        <f>Sales!K95</f>
        <v>0</v>
      </c>
      <c r="L71" s="400">
        <f>Sales!L95</f>
        <v>0</v>
      </c>
      <c r="M71" s="399">
        <f>Sales!M95</f>
        <v>0</v>
      </c>
      <c r="N71" s="399">
        <f>Sales!N95</f>
        <v>0</v>
      </c>
      <c r="O71" s="399">
        <f>Sales!O95</f>
        <v>0</v>
      </c>
      <c r="P71" s="399">
        <f>Sales!P95</f>
        <v>0</v>
      </c>
      <c r="Q71" s="400">
        <f>Sales!Q95</f>
        <v>0</v>
      </c>
      <c r="R71" s="399">
        <f>Sales!R95</f>
        <v>0</v>
      </c>
      <c r="S71" s="399">
        <f>Sales!S95</f>
        <v>0</v>
      </c>
      <c r="T71" s="399">
        <f>Sales!T95</f>
        <v>0</v>
      </c>
      <c r="U71" s="399">
        <f>Sales!U95</f>
        <v>0</v>
      </c>
      <c r="V71" s="400">
        <f>Sales!V95</f>
        <v>0</v>
      </c>
      <c r="W71" s="399">
        <f>Sales!W95</f>
        <v>0</v>
      </c>
      <c r="X71" s="399">
        <f>Sales!X95</f>
        <v>0</v>
      </c>
      <c r="Y71" s="399">
        <f>Sales!Y95</f>
        <v>0</v>
      </c>
      <c r="Z71" s="399">
        <f>Sales!Z95</f>
        <v>0</v>
      </c>
      <c r="AA71" s="401">
        <f>Sales!AA95</f>
        <v>0</v>
      </c>
      <c r="AB71" s="367">
        <f>Sales!AB95</f>
        <v>0</v>
      </c>
      <c r="AC71" s="367">
        <f>Sales!AC95</f>
        <v>0</v>
      </c>
      <c r="AD71" s="402">
        <f>Sales!AD95</f>
        <v>0</v>
      </c>
      <c r="AE71" s="402">
        <f>Sales!AE95</f>
        <v>0</v>
      </c>
      <c r="AF71" s="403">
        <f>Sales!AF95</f>
        <v>0</v>
      </c>
      <c r="AG71" s="399">
        <f>Sales!AG95</f>
        <v>0</v>
      </c>
      <c r="AH71" s="404">
        <f>Sales!AH95</f>
        <v>0</v>
      </c>
      <c r="AI71" s="405">
        <f>Sales!AI95</f>
        <v>0</v>
      </c>
      <c r="AJ71" s="405">
        <f>Sales!AJ95</f>
        <v>0</v>
      </c>
      <c r="AK71" s="403">
        <f>Sales!AK95</f>
        <v>0</v>
      </c>
      <c r="AL71" s="406">
        <f>Sales!AL95</f>
        <v>0</v>
      </c>
      <c r="AM71" s="399">
        <f>Sales!AM95</f>
        <v>0</v>
      </c>
      <c r="AN71" s="406">
        <f>Sales!AN95</f>
        <v>0</v>
      </c>
      <c r="AO71" s="399">
        <f>Sales!AO95</f>
        <v>0</v>
      </c>
      <c r="AP71" s="403">
        <f>Sales!AP95</f>
        <v>0</v>
      </c>
      <c r="AQ71" s="407">
        <f>Sales!AQ95</f>
        <v>0</v>
      </c>
      <c r="AR71" s="399">
        <f>Sales!AR95</f>
        <v>0</v>
      </c>
      <c r="AS71" s="399">
        <f>Sales!AS95</f>
        <v>0</v>
      </c>
      <c r="AT71" s="399">
        <f>Sales!AT95</f>
        <v>0</v>
      </c>
      <c r="AU71" s="403">
        <f>Sales!AU95</f>
        <v>0</v>
      </c>
      <c r="AV71" s="399">
        <f>Sales!AV95</f>
        <v>0</v>
      </c>
      <c r="AW71" s="399">
        <f>Sales!AW95</f>
        <v>0</v>
      </c>
      <c r="AX71" s="399">
        <f>Sales!AX95</f>
        <v>0</v>
      </c>
      <c r="AY71" s="399">
        <f>Sales!AY95</f>
        <v>0</v>
      </c>
      <c r="AZ71" s="400">
        <f>Sales!AZ95</f>
        <v>0</v>
      </c>
      <c r="BA71" s="425">
        <f>Sales!BA95</f>
        <v>130</v>
      </c>
      <c r="BB71" s="399">
        <f>Sales!BB95</f>
        <v>148</v>
      </c>
      <c r="BC71" s="399">
        <f>Sales!BC95</f>
        <v>220</v>
      </c>
      <c r="BD71" s="399">
        <f>Sales!BD95</f>
        <v>210</v>
      </c>
      <c r="BE71" s="400">
        <f>Sales!BE95</f>
        <v>578</v>
      </c>
      <c r="BF71" s="410">
        <f>Sales!BF95</f>
        <v>225</v>
      </c>
      <c r="BG71" s="410">
        <f>Sales!BG95</f>
        <v>300</v>
      </c>
      <c r="BH71" s="410">
        <f>Sales!BH95</f>
        <v>330</v>
      </c>
      <c r="BI71" s="410">
        <f>Sales!BI95</f>
        <v>360</v>
      </c>
      <c r="BJ71" s="403">
        <f>Sales!BJ95</f>
        <v>1215</v>
      </c>
      <c r="BK71" s="410">
        <f>Sales!BK95</f>
        <v>0</v>
      </c>
      <c r="BL71" s="410">
        <f>Sales!BL95</f>
        <v>0</v>
      </c>
      <c r="BM71" s="410">
        <f>Sales!BM95</f>
        <v>0</v>
      </c>
      <c r="BN71" s="410">
        <f>Sales!BN95</f>
        <v>0</v>
      </c>
      <c r="BO71" s="403">
        <f>Sales!BO95</f>
        <v>1472.4</v>
      </c>
      <c r="BP71" s="410">
        <f>Sales!BP95</f>
        <v>0</v>
      </c>
      <c r="BQ71" s="410">
        <f>Sales!BQ95</f>
        <v>0</v>
      </c>
      <c r="BR71" s="410">
        <f>Sales!BR95</f>
        <v>0</v>
      </c>
      <c r="BS71" s="410">
        <f>Sales!BS95</f>
        <v>0</v>
      </c>
      <c r="BT71" s="403">
        <f>Sales!BT95</f>
        <v>1684.1880000000001</v>
      </c>
      <c r="BU71" s="410">
        <f>Sales!BU95</f>
        <v>0</v>
      </c>
      <c r="BV71" s="410">
        <f>Sales!BV95</f>
        <v>0</v>
      </c>
      <c r="BW71" s="410">
        <f>Sales!BW95</f>
        <v>0</v>
      </c>
      <c r="BX71" s="410">
        <f>Sales!BX95</f>
        <v>0</v>
      </c>
      <c r="BY71" s="403">
        <f>Sales!BY95</f>
        <v>1887.1217999999999</v>
      </c>
      <c r="BZ71" s="410">
        <f>Sales!BZ95</f>
        <v>0</v>
      </c>
      <c r="CA71" s="410">
        <f>Sales!CA95</f>
        <v>0</v>
      </c>
      <c r="CB71" s="410">
        <f>Sales!CB95</f>
        <v>0</v>
      </c>
      <c r="CC71" s="410">
        <f>Sales!CC95</f>
        <v>0</v>
      </c>
      <c r="CD71" s="403">
        <f>Sales!CD95</f>
        <v>2099.6493300000002</v>
      </c>
      <c r="CE71" s="8"/>
    </row>
    <row r="72" spans="1:83" s="390" customFormat="1" hidden="1" outlineLevel="1">
      <c r="A72" s="8"/>
      <c r="B72" s="238" t="str">
        <f>Sales!B97</f>
        <v>Glumetza</v>
      </c>
      <c r="C72" s="413">
        <f>Sales!C97</f>
        <v>0</v>
      </c>
      <c r="D72" s="413">
        <f>Sales!D97</f>
        <v>0</v>
      </c>
      <c r="E72" s="413">
        <f>Sales!E97</f>
        <v>0</v>
      </c>
      <c r="F72" s="413">
        <f>Sales!F97</f>
        <v>0</v>
      </c>
      <c r="G72" s="414">
        <f>Sales!G97</f>
        <v>0</v>
      </c>
      <c r="H72" s="413">
        <f>Sales!H97</f>
        <v>0</v>
      </c>
      <c r="I72" s="413">
        <f>Sales!I97</f>
        <v>0</v>
      </c>
      <c r="J72" s="413">
        <f>Sales!J97</f>
        <v>0</v>
      </c>
      <c r="K72" s="413">
        <f>Sales!K97</f>
        <v>0</v>
      </c>
      <c r="L72" s="414">
        <f>Sales!L97</f>
        <v>0</v>
      </c>
      <c r="M72" s="413">
        <f>Sales!M97</f>
        <v>0</v>
      </c>
      <c r="N72" s="413">
        <f>Sales!N97</f>
        <v>0</v>
      </c>
      <c r="O72" s="413">
        <f>Sales!O97</f>
        <v>0</v>
      </c>
      <c r="P72" s="413">
        <f>Sales!P97</f>
        <v>0</v>
      </c>
      <c r="Q72" s="414">
        <f>Sales!Q97</f>
        <v>0</v>
      </c>
      <c r="R72" s="413">
        <f>Sales!R97</f>
        <v>0</v>
      </c>
      <c r="S72" s="413">
        <f>Sales!S97</f>
        <v>0</v>
      </c>
      <c r="T72" s="413">
        <f>Sales!T97</f>
        <v>0</v>
      </c>
      <c r="U72" s="413">
        <f>Sales!U97</f>
        <v>0</v>
      </c>
      <c r="V72" s="414">
        <f>Sales!V97</f>
        <v>0</v>
      </c>
      <c r="W72" s="415">
        <f>Sales!W97</f>
        <v>0</v>
      </c>
      <c r="X72" s="415">
        <f>Sales!X97</f>
        <v>0</v>
      </c>
      <c r="Y72" s="415">
        <f>Sales!Y97</f>
        <v>0</v>
      </c>
      <c r="Z72" s="415">
        <f>Sales!Z97</f>
        <v>0</v>
      </c>
      <c r="AA72" s="416">
        <f>Sales!AA97</f>
        <v>0</v>
      </c>
      <c r="AB72" s="417">
        <f>Sales!AB97</f>
        <v>0</v>
      </c>
      <c r="AC72" s="417">
        <f>Sales!AC97</f>
        <v>0</v>
      </c>
      <c r="AD72" s="417">
        <f>Sales!AD97</f>
        <v>0</v>
      </c>
      <c r="AE72" s="417">
        <f>Sales!AE97</f>
        <v>0</v>
      </c>
      <c r="AF72" s="416">
        <f>Sales!AF97</f>
        <v>0</v>
      </c>
      <c r="AG72" s="415">
        <f>Sales!AG97</f>
        <v>0</v>
      </c>
      <c r="AH72" s="415">
        <f>Sales!AH97</f>
        <v>0</v>
      </c>
      <c r="AI72" s="415">
        <f>Sales!AI97</f>
        <v>0</v>
      </c>
      <c r="AJ72" s="418">
        <f>Sales!AJ97</f>
        <v>0</v>
      </c>
      <c r="AK72" s="416">
        <f>Sales!AK97</f>
        <v>0</v>
      </c>
      <c r="AL72" s="406">
        <f>Sales!AL97</f>
        <v>0</v>
      </c>
      <c r="AM72" s="399">
        <f>Sales!AM97</f>
        <v>0</v>
      </c>
      <c r="AN72" s="406">
        <f>Sales!AN97</f>
        <v>0</v>
      </c>
      <c r="AO72" s="399">
        <f>Sales!AO97</f>
        <v>0</v>
      </c>
      <c r="AP72" s="403">
        <f>Sales!AP97</f>
        <v>0</v>
      </c>
      <c r="AQ72" s="419">
        <f>Sales!AQ97</f>
        <v>0</v>
      </c>
      <c r="AR72" s="399">
        <f>Sales!AR97</f>
        <v>0</v>
      </c>
      <c r="AS72" s="236">
        <f>Sales!AS97</f>
        <v>0</v>
      </c>
      <c r="AT72" s="236">
        <f>Sales!AT97</f>
        <v>0</v>
      </c>
      <c r="AU72" s="403">
        <f>Sales!AU97</f>
        <v>0</v>
      </c>
      <c r="AV72" s="406">
        <f>Sales!AV97</f>
        <v>0</v>
      </c>
      <c r="AW72" s="236">
        <f>Sales!AW97</f>
        <v>0</v>
      </c>
      <c r="AX72" s="236">
        <f>Sales!AX97</f>
        <v>0</v>
      </c>
      <c r="AY72" s="236">
        <f>Sales!AY97</f>
        <v>0</v>
      </c>
      <c r="AZ72" s="420">
        <f>Sales!AZ97</f>
        <v>0</v>
      </c>
      <c r="BA72" s="388">
        <f>Sales!BA97</f>
        <v>35</v>
      </c>
      <c r="BB72" s="236">
        <f>Sales!BB97</f>
        <v>26</v>
      </c>
      <c r="BC72" s="259">
        <f>Sales!BC97</f>
        <v>53</v>
      </c>
      <c r="BD72" s="259">
        <f>Sales!BD97</f>
        <v>86</v>
      </c>
      <c r="BE72" s="384">
        <f>Sales!BE97</f>
        <v>165</v>
      </c>
      <c r="BF72" s="410">
        <f>Sales!BF97</f>
        <v>20</v>
      </c>
      <c r="BG72" s="410">
        <f>Sales!BG97</f>
        <v>5</v>
      </c>
      <c r="BH72" s="410">
        <f>Sales!BH97</f>
        <v>5</v>
      </c>
      <c r="BI72" s="410">
        <f>Sales!BI97</f>
        <v>5</v>
      </c>
      <c r="BJ72" s="380">
        <f>Sales!BJ97</f>
        <v>35</v>
      </c>
      <c r="BK72" s="241">
        <f>Sales!BK97</f>
        <v>0</v>
      </c>
      <c r="BL72" s="241">
        <f>Sales!BL97</f>
        <v>0</v>
      </c>
      <c r="BM72" s="241">
        <f>Sales!BM97</f>
        <v>0</v>
      </c>
      <c r="BN72" s="241">
        <f>Sales!BN97</f>
        <v>0</v>
      </c>
      <c r="BO72" s="384">
        <f>Sales!BO97</f>
        <v>24.5</v>
      </c>
      <c r="BP72" s="241">
        <f>Sales!BP97</f>
        <v>0</v>
      </c>
      <c r="BQ72" s="241">
        <f>Sales!BQ97</f>
        <v>0</v>
      </c>
      <c r="BR72" s="241">
        <f>Sales!BR97</f>
        <v>0</v>
      </c>
      <c r="BS72" s="241">
        <f>Sales!BS97</f>
        <v>0</v>
      </c>
      <c r="BT72" s="384">
        <f>Sales!BT97</f>
        <v>18.375</v>
      </c>
      <c r="BU72" s="241">
        <f>Sales!BU97</f>
        <v>0</v>
      </c>
      <c r="BV72" s="241">
        <f>Sales!BV97</f>
        <v>0</v>
      </c>
      <c r="BW72" s="241">
        <f>Sales!BW97</f>
        <v>0</v>
      </c>
      <c r="BX72" s="241">
        <f>Sales!BX97</f>
        <v>0</v>
      </c>
      <c r="BY72" s="384">
        <f>Sales!BY97</f>
        <v>13.78125</v>
      </c>
      <c r="BZ72" s="241">
        <f>Sales!BZ97</f>
        <v>0</v>
      </c>
      <c r="CA72" s="241">
        <f>Sales!CA97</f>
        <v>0</v>
      </c>
      <c r="CB72" s="241">
        <f>Sales!CB97</f>
        <v>0</v>
      </c>
      <c r="CC72" s="241">
        <f>Sales!CC97</f>
        <v>0</v>
      </c>
      <c r="CD72" s="384">
        <f>Sales!CD97</f>
        <v>10.3359375</v>
      </c>
      <c r="CE72" s="8"/>
    </row>
    <row r="73" spans="1:83" s="390" customFormat="1" hidden="1" outlineLevel="1">
      <c r="A73" s="8"/>
      <c r="B73" s="238" t="str">
        <f>Sales!B99</f>
        <v>Apriso</v>
      </c>
      <c r="C73" s="413">
        <f>Sales!C99</f>
        <v>0</v>
      </c>
      <c r="D73" s="413">
        <f>Sales!D99</f>
        <v>0</v>
      </c>
      <c r="E73" s="413">
        <f>Sales!E99</f>
        <v>0</v>
      </c>
      <c r="F73" s="413">
        <f>Sales!F99</f>
        <v>0</v>
      </c>
      <c r="G73" s="414">
        <f>Sales!G99</f>
        <v>0</v>
      </c>
      <c r="H73" s="413">
        <f>Sales!H99</f>
        <v>0</v>
      </c>
      <c r="I73" s="413">
        <f>Sales!I99</f>
        <v>0</v>
      </c>
      <c r="J73" s="413">
        <f>Sales!J99</f>
        <v>0</v>
      </c>
      <c r="K73" s="413">
        <f>Sales!K99</f>
        <v>0</v>
      </c>
      <c r="L73" s="414">
        <f>Sales!L99</f>
        <v>0</v>
      </c>
      <c r="M73" s="413">
        <f>Sales!M99</f>
        <v>0</v>
      </c>
      <c r="N73" s="413">
        <f>Sales!N99</f>
        <v>0</v>
      </c>
      <c r="O73" s="413">
        <f>Sales!O99</f>
        <v>0</v>
      </c>
      <c r="P73" s="413">
        <f>Sales!P99</f>
        <v>0</v>
      </c>
      <c r="Q73" s="414">
        <f>Sales!Q99</f>
        <v>0</v>
      </c>
      <c r="R73" s="413">
        <f>Sales!R99</f>
        <v>0</v>
      </c>
      <c r="S73" s="413">
        <f>Sales!S99</f>
        <v>0</v>
      </c>
      <c r="T73" s="413">
        <f>Sales!T99</f>
        <v>0</v>
      </c>
      <c r="U73" s="413">
        <f>Sales!U99</f>
        <v>0</v>
      </c>
      <c r="V73" s="414">
        <f>Sales!V99</f>
        <v>0</v>
      </c>
      <c r="W73" s="415">
        <f>Sales!W99</f>
        <v>0</v>
      </c>
      <c r="X73" s="415">
        <f>Sales!X99</f>
        <v>0</v>
      </c>
      <c r="Y73" s="415">
        <f>Sales!Y99</f>
        <v>0</v>
      </c>
      <c r="Z73" s="415">
        <f>Sales!Z99</f>
        <v>0</v>
      </c>
      <c r="AA73" s="416">
        <f>Sales!AA99</f>
        <v>0</v>
      </c>
      <c r="AB73" s="417">
        <f>Sales!AB99</f>
        <v>0</v>
      </c>
      <c r="AC73" s="417">
        <f>Sales!AC99</f>
        <v>0</v>
      </c>
      <c r="AD73" s="417">
        <f>Sales!AD99</f>
        <v>0</v>
      </c>
      <c r="AE73" s="417">
        <f>Sales!AE99</f>
        <v>0</v>
      </c>
      <c r="AF73" s="416">
        <f>Sales!AF99</f>
        <v>0</v>
      </c>
      <c r="AG73" s="415">
        <f>Sales!AG99</f>
        <v>0</v>
      </c>
      <c r="AH73" s="415">
        <f>Sales!AH99</f>
        <v>0</v>
      </c>
      <c r="AI73" s="415">
        <f>Sales!AI99</f>
        <v>0</v>
      </c>
      <c r="AJ73" s="418">
        <f>Sales!AJ99</f>
        <v>0</v>
      </c>
      <c r="AK73" s="416">
        <f>Sales!AK99</f>
        <v>0</v>
      </c>
      <c r="AL73" s="406">
        <f>Sales!AL99</f>
        <v>0</v>
      </c>
      <c r="AM73" s="399">
        <f>Sales!AM99</f>
        <v>0</v>
      </c>
      <c r="AN73" s="406">
        <f>Sales!AN99</f>
        <v>0</v>
      </c>
      <c r="AO73" s="399">
        <f>Sales!AO99</f>
        <v>0</v>
      </c>
      <c r="AP73" s="403">
        <f>Sales!AP99</f>
        <v>0</v>
      </c>
      <c r="AQ73" s="419">
        <f>Sales!AQ99</f>
        <v>0</v>
      </c>
      <c r="AR73" s="399">
        <f>Sales!AR99</f>
        <v>0</v>
      </c>
      <c r="AS73" s="236">
        <f>Sales!AS99</f>
        <v>0</v>
      </c>
      <c r="AT73" s="236">
        <f>Sales!AT99</f>
        <v>0</v>
      </c>
      <c r="AU73" s="403">
        <f>Sales!AU99</f>
        <v>0</v>
      </c>
      <c r="AV73" s="406">
        <f>Sales!AV99</f>
        <v>0</v>
      </c>
      <c r="AW73" s="236">
        <f>Sales!AW99</f>
        <v>0</v>
      </c>
      <c r="AX73" s="236">
        <f>Sales!AX99</f>
        <v>0</v>
      </c>
      <c r="AY73" s="236">
        <f>Sales!AY99</f>
        <v>0</v>
      </c>
      <c r="AZ73" s="420">
        <f>Sales!AZ99</f>
        <v>0</v>
      </c>
      <c r="BA73" s="388">
        <f>Sales!BA99</f>
        <v>20</v>
      </c>
      <c r="BB73" s="236">
        <f>Sales!BB99</f>
        <v>31</v>
      </c>
      <c r="BC73" s="259">
        <f>Sales!BC99</f>
        <v>35</v>
      </c>
      <c r="BD73" s="259">
        <f>Sales!BD99</f>
        <v>31</v>
      </c>
      <c r="BE73" s="384">
        <f>Sales!BE99</f>
        <v>97</v>
      </c>
      <c r="BF73" s="410">
        <f>Sales!BF99</f>
        <v>30</v>
      </c>
      <c r="BG73" s="410">
        <f>Sales!BG99</f>
        <v>35</v>
      </c>
      <c r="BH73" s="410">
        <f>Sales!BH99</f>
        <v>37</v>
      </c>
      <c r="BI73" s="410">
        <f>Sales!BI99</f>
        <v>40</v>
      </c>
      <c r="BJ73" s="391">
        <f>Sales!BJ99</f>
        <v>142</v>
      </c>
      <c r="BK73" s="241">
        <f>Sales!BK99</f>
        <v>0</v>
      </c>
      <c r="BL73" s="241">
        <f>Sales!BL99</f>
        <v>0</v>
      </c>
      <c r="BM73" s="241">
        <f>Sales!BM99</f>
        <v>0</v>
      </c>
      <c r="BN73" s="241">
        <f>Sales!BN99</f>
        <v>0</v>
      </c>
      <c r="BO73" s="384">
        <f>Sales!BO99</f>
        <v>164.72</v>
      </c>
      <c r="BP73" s="241">
        <f>Sales!BP99</f>
        <v>0</v>
      </c>
      <c r="BQ73" s="241">
        <f>Sales!BQ99</f>
        <v>0</v>
      </c>
      <c r="BR73" s="241">
        <f>Sales!BR99</f>
        <v>0</v>
      </c>
      <c r="BS73" s="241">
        <f>Sales!BS99</f>
        <v>0</v>
      </c>
      <c r="BT73" s="384">
        <f>Sales!BT99</f>
        <v>181.19200000000001</v>
      </c>
      <c r="BU73" s="241">
        <f>Sales!BU99</f>
        <v>0</v>
      </c>
      <c r="BV73" s="241">
        <f>Sales!BV99</f>
        <v>0</v>
      </c>
      <c r="BW73" s="241">
        <f>Sales!BW99</f>
        <v>0</v>
      </c>
      <c r="BX73" s="241">
        <f>Sales!BX99</f>
        <v>0</v>
      </c>
      <c r="BY73" s="384">
        <f>Sales!BY99</f>
        <v>195.68736000000001</v>
      </c>
      <c r="BZ73" s="241">
        <f>Sales!BZ99</f>
        <v>0</v>
      </c>
      <c r="CA73" s="241">
        <f>Sales!CA99</f>
        <v>0</v>
      </c>
      <c r="CB73" s="241">
        <f>Sales!CB99</f>
        <v>0</v>
      </c>
      <c r="CC73" s="241">
        <f>Sales!CC99</f>
        <v>0</v>
      </c>
      <c r="CD73" s="384">
        <f>Sales!CD99</f>
        <v>211.34234880000002</v>
      </c>
      <c r="CE73" s="8"/>
    </row>
    <row r="74" spans="1:83" s="390" customFormat="1" hidden="1" outlineLevel="1">
      <c r="A74" s="8"/>
      <c r="B74" s="381" t="str">
        <f>Sales!B101</f>
        <v>Uceris Tablets</v>
      </c>
      <c r="C74" s="236">
        <f>Sales!C101</f>
        <v>0</v>
      </c>
      <c r="D74" s="236">
        <f>Sales!D101</f>
        <v>0</v>
      </c>
      <c r="E74" s="236">
        <f>Sales!E101</f>
        <v>0</v>
      </c>
      <c r="F74" s="236">
        <f>Sales!F101</f>
        <v>0</v>
      </c>
      <c r="G74" s="235">
        <f>Sales!G101</f>
        <v>0</v>
      </c>
      <c r="H74" s="236">
        <f>Sales!H101</f>
        <v>0</v>
      </c>
      <c r="I74" s="236">
        <f>Sales!I101</f>
        <v>0</v>
      </c>
      <c r="J74" s="236">
        <f>Sales!J101</f>
        <v>0</v>
      </c>
      <c r="K74" s="236">
        <f>Sales!K101</f>
        <v>0</v>
      </c>
      <c r="L74" s="235">
        <f>Sales!L101</f>
        <v>0</v>
      </c>
      <c r="M74" s="236">
        <f>Sales!M101</f>
        <v>0</v>
      </c>
      <c r="N74" s="236">
        <f>Sales!N101</f>
        <v>0</v>
      </c>
      <c r="O74" s="236">
        <f>Sales!O101</f>
        <v>0</v>
      </c>
      <c r="P74" s="236">
        <f>Sales!P101</f>
        <v>0</v>
      </c>
      <c r="Q74" s="235">
        <f>Sales!Q101</f>
        <v>0</v>
      </c>
      <c r="R74" s="236">
        <f>Sales!R101</f>
        <v>0</v>
      </c>
      <c r="S74" s="236">
        <f>Sales!S101</f>
        <v>0</v>
      </c>
      <c r="T74" s="236">
        <f>Sales!T101</f>
        <v>0</v>
      </c>
      <c r="U74" s="236">
        <f>Sales!U101</f>
        <v>0</v>
      </c>
      <c r="V74" s="235">
        <f>Sales!V101</f>
        <v>0</v>
      </c>
      <c r="W74" s="236">
        <f>Sales!W101</f>
        <v>0</v>
      </c>
      <c r="X74" s="236">
        <f>Sales!X101</f>
        <v>0</v>
      </c>
      <c r="Y74" s="236">
        <f>Sales!Y101</f>
        <v>0</v>
      </c>
      <c r="Z74" s="236">
        <f>Sales!Z101</f>
        <v>0</v>
      </c>
      <c r="AA74" s="235">
        <f>Sales!AA101</f>
        <v>0</v>
      </c>
      <c r="AB74" s="310">
        <f>Sales!AB101</f>
        <v>0</v>
      </c>
      <c r="AC74" s="310">
        <f>Sales!AC101</f>
        <v>0</v>
      </c>
      <c r="AD74" s="383">
        <f>Sales!AD101</f>
        <v>0</v>
      </c>
      <c r="AE74" s="383">
        <f>Sales!AE101</f>
        <v>0</v>
      </c>
      <c r="AF74" s="384">
        <f>Sales!AF101</f>
        <v>0</v>
      </c>
      <c r="AG74" s="236">
        <f>Sales!AG101</f>
        <v>0</v>
      </c>
      <c r="AH74" s="385">
        <f>Sales!AH101</f>
        <v>0</v>
      </c>
      <c r="AI74" s="386">
        <f>Sales!AI101</f>
        <v>0</v>
      </c>
      <c r="AJ74" s="386">
        <f>Sales!AJ101</f>
        <v>0</v>
      </c>
      <c r="AK74" s="384">
        <f>Sales!AK101</f>
        <v>0</v>
      </c>
      <c r="AL74" s="344">
        <f>Sales!AL101</f>
        <v>0</v>
      </c>
      <c r="AM74" s="236">
        <f>Sales!AM101</f>
        <v>0</v>
      </c>
      <c r="AN74" s="344">
        <f>Sales!AN101</f>
        <v>0</v>
      </c>
      <c r="AO74" s="236">
        <f>Sales!AO101</f>
        <v>0</v>
      </c>
      <c r="AP74" s="384">
        <f>Sales!AP101</f>
        <v>0</v>
      </c>
      <c r="AQ74" s="289">
        <f>Sales!AQ101</f>
        <v>0</v>
      </c>
      <c r="AR74" s="259">
        <f>Sales!AR101</f>
        <v>0</v>
      </c>
      <c r="AS74" s="259">
        <f>Sales!AS101</f>
        <v>0</v>
      </c>
      <c r="AT74" s="259">
        <f>Sales!AT101</f>
        <v>0</v>
      </c>
      <c r="AU74" s="384">
        <f>Sales!AU101</f>
        <v>0</v>
      </c>
      <c r="AV74" s="259">
        <f>Sales!AV101</f>
        <v>0</v>
      </c>
      <c r="AW74" s="259">
        <f>Sales!AW101</f>
        <v>0</v>
      </c>
      <c r="AX74" s="259">
        <f>Sales!AX101</f>
        <v>0</v>
      </c>
      <c r="AY74" s="259">
        <f>Sales!AY101</f>
        <v>0</v>
      </c>
      <c r="AZ74" s="420">
        <f>Sales!AZ101</f>
        <v>0</v>
      </c>
      <c r="BA74" s="388">
        <f>Sales!BA101</f>
        <v>25</v>
      </c>
      <c r="BB74" s="259">
        <f>Sales!BB101</f>
        <v>24</v>
      </c>
      <c r="BC74" s="259">
        <f>Sales!BC101</f>
        <v>46</v>
      </c>
      <c r="BD74" s="259">
        <f>Sales!BD101</f>
        <v>39</v>
      </c>
      <c r="BE74" s="235">
        <f>Sales!BE101</f>
        <v>109</v>
      </c>
      <c r="BF74" s="241">
        <f>Sales!BF101</f>
        <v>40</v>
      </c>
      <c r="BG74" s="241">
        <f>Sales!BG101</f>
        <v>45</v>
      </c>
      <c r="BH74" s="241">
        <f>Sales!BH101</f>
        <v>50</v>
      </c>
      <c r="BI74" s="241">
        <f>Sales!BI101</f>
        <v>50</v>
      </c>
      <c r="BJ74" s="391">
        <f>Sales!BJ101</f>
        <v>185</v>
      </c>
      <c r="BK74" s="241">
        <f>Sales!BK101</f>
        <v>0</v>
      </c>
      <c r="BL74" s="241">
        <f>Sales!BL101</f>
        <v>0</v>
      </c>
      <c r="BM74" s="241">
        <f>Sales!BM101</f>
        <v>0</v>
      </c>
      <c r="BN74" s="241">
        <f>Sales!BN101</f>
        <v>0</v>
      </c>
      <c r="BO74" s="384">
        <f>Sales!BO101</f>
        <v>212.74999999999997</v>
      </c>
      <c r="BP74" s="241">
        <f>Sales!BP101</f>
        <v>0</v>
      </c>
      <c r="BQ74" s="241">
        <f>Sales!BQ101</f>
        <v>0</v>
      </c>
      <c r="BR74" s="241">
        <f>Sales!BR101</f>
        <v>0</v>
      </c>
      <c r="BS74" s="241">
        <f>Sales!BS101</f>
        <v>0</v>
      </c>
      <c r="BT74" s="384">
        <f>Sales!BT101</f>
        <v>244.66249999999994</v>
      </c>
      <c r="BU74" s="241">
        <f>Sales!BU101</f>
        <v>0</v>
      </c>
      <c r="BV74" s="241">
        <f>Sales!BV101</f>
        <v>0</v>
      </c>
      <c r="BW74" s="241">
        <f>Sales!BW101</f>
        <v>0</v>
      </c>
      <c r="BX74" s="241">
        <f>Sales!BX101</f>
        <v>0</v>
      </c>
      <c r="BY74" s="384">
        <f>Sales!BY101</f>
        <v>269.12874999999997</v>
      </c>
      <c r="BZ74" s="241">
        <f>Sales!BZ101</f>
        <v>0</v>
      </c>
      <c r="CA74" s="241">
        <f>Sales!CA101</f>
        <v>0</v>
      </c>
      <c r="CB74" s="241">
        <f>Sales!CB101</f>
        <v>0</v>
      </c>
      <c r="CC74" s="241">
        <f>Sales!CC101</f>
        <v>0</v>
      </c>
      <c r="CD74" s="384">
        <f>Sales!CD101</f>
        <v>134.56437499999998</v>
      </c>
      <c r="CE74" s="8"/>
    </row>
    <row r="75" spans="1:83" s="390" customFormat="1" hidden="1" outlineLevel="1">
      <c r="A75" s="8"/>
      <c r="B75" s="381" t="str">
        <f>Sales!B103</f>
        <v>Uceris Foam</v>
      </c>
      <c r="C75" s="236">
        <f>Sales!C103</f>
        <v>0</v>
      </c>
      <c r="D75" s="236">
        <f>Sales!D103</f>
        <v>0</v>
      </c>
      <c r="E75" s="236">
        <f>Sales!E103</f>
        <v>0</v>
      </c>
      <c r="F75" s="236">
        <f>Sales!F103</f>
        <v>0</v>
      </c>
      <c r="G75" s="235">
        <f>Sales!G103</f>
        <v>0</v>
      </c>
      <c r="H75" s="236">
        <f>Sales!H103</f>
        <v>0</v>
      </c>
      <c r="I75" s="236">
        <f>Sales!I103</f>
        <v>0</v>
      </c>
      <c r="J75" s="236">
        <f>Sales!J103</f>
        <v>0</v>
      </c>
      <c r="K75" s="236">
        <f>Sales!K103</f>
        <v>0</v>
      </c>
      <c r="L75" s="235">
        <f>Sales!L103</f>
        <v>0</v>
      </c>
      <c r="M75" s="236">
        <f>Sales!M103</f>
        <v>0</v>
      </c>
      <c r="N75" s="236">
        <f>Sales!N103</f>
        <v>0</v>
      </c>
      <c r="O75" s="236">
        <f>Sales!O103</f>
        <v>0</v>
      </c>
      <c r="P75" s="236">
        <f>Sales!P103</f>
        <v>0</v>
      </c>
      <c r="Q75" s="235">
        <f>Sales!Q103</f>
        <v>0</v>
      </c>
      <c r="R75" s="236">
        <f>Sales!R103</f>
        <v>0</v>
      </c>
      <c r="S75" s="236">
        <f>Sales!S103</f>
        <v>0</v>
      </c>
      <c r="T75" s="236">
        <f>Sales!T103</f>
        <v>0</v>
      </c>
      <c r="U75" s="236">
        <f>Sales!U103</f>
        <v>0</v>
      </c>
      <c r="V75" s="235">
        <f>Sales!V103</f>
        <v>0</v>
      </c>
      <c r="W75" s="236">
        <f>Sales!W103</f>
        <v>0</v>
      </c>
      <c r="X75" s="236">
        <f>Sales!X103</f>
        <v>0</v>
      </c>
      <c r="Y75" s="236">
        <f>Sales!Y103</f>
        <v>0</v>
      </c>
      <c r="Z75" s="236">
        <f>Sales!Z103</f>
        <v>0</v>
      </c>
      <c r="AA75" s="235">
        <f>Sales!AA103</f>
        <v>0</v>
      </c>
      <c r="AB75" s="310">
        <f>Sales!AB103</f>
        <v>0</v>
      </c>
      <c r="AC75" s="310">
        <f>Sales!AC103</f>
        <v>0</v>
      </c>
      <c r="AD75" s="383">
        <f>Sales!AD103</f>
        <v>0</v>
      </c>
      <c r="AE75" s="383">
        <f>Sales!AE103</f>
        <v>0</v>
      </c>
      <c r="AF75" s="384">
        <f>Sales!AF103</f>
        <v>0</v>
      </c>
      <c r="AG75" s="236">
        <f>Sales!AG103</f>
        <v>0</v>
      </c>
      <c r="AH75" s="385">
        <f>Sales!AH103</f>
        <v>0</v>
      </c>
      <c r="AI75" s="386">
        <f>Sales!AI103</f>
        <v>0</v>
      </c>
      <c r="AJ75" s="386">
        <f>Sales!AJ103</f>
        <v>0</v>
      </c>
      <c r="AK75" s="384">
        <f>Sales!AK103</f>
        <v>0</v>
      </c>
      <c r="AL75" s="344">
        <f>Sales!AL103</f>
        <v>0</v>
      </c>
      <c r="AM75" s="236">
        <f>Sales!AM103</f>
        <v>0</v>
      </c>
      <c r="AN75" s="344">
        <f>Sales!AN103</f>
        <v>0</v>
      </c>
      <c r="AO75" s="236">
        <f>Sales!AO103</f>
        <v>0</v>
      </c>
      <c r="AP75" s="384">
        <f>Sales!AP103</f>
        <v>0</v>
      </c>
      <c r="AQ75" s="289">
        <f>Sales!AQ103</f>
        <v>0</v>
      </c>
      <c r="AR75" s="259">
        <f>Sales!AR103</f>
        <v>0</v>
      </c>
      <c r="AS75" s="259">
        <f>Sales!AS103</f>
        <v>0</v>
      </c>
      <c r="AT75" s="259">
        <f>Sales!AT103</f>
        <v>0</v>
      </c>
      <c r="AU75" s="384">
        <f>Sales!AU103</f>
        <v>0</v>
      </c>
      <c r="AV75" s="259">
        <f>Sales!AV103</f>
        <v>0</v>
      </c>
      <c r="AW75" s="259">
        <f>Sales!AW103</f>
        <v>0</v>
      </c>
      <c r="AX75" s="259">
        <f>Sales!AX103</f>
        <v>0</v>
      </c>
      <c r="AY75" s="259">
        <f>Sales!AY103</f>
        <v>0</v>
      </c>
      <c r="AZ75" s="420">
        <f>Sales!AZ103</f>
        <v>0</v>
      </c>
      <c r="BA75" s="388">
        <f>Sales!BA103</f>
        <v>0</v>
      </c>
      <c r="BB75" s="259">
        <f>Sales!BB103</f>
        <v>0</v>
      </c>
      <c r="BC75" s="259">
        <f>Sales!BC103</f>
        <v>0</v>
      </c>
      <c r="BD75" s="259">
        <f>Sales!BD103</f>
        <v>10</v>
      </c>
      <c r="BE75" s="235">
        <f>Sales!BE103</f>
        <v>10</v>
      </c>
      <c r="BF75" s="241">
        <f>Sales!BF103</f>
        <v>5</v>
      </c>
      <c r="BG75" s="241">
        <f>Sales!BG103</f>
        <v>5</v>
      </c>
      <c r="BH75" s="241">
        <f>Sales!BH103</f>
        <v>8</v>
      </c>
      <c r="BI75" s="241">
        <f>Sales!BI103</f>
        <v>10</v>
      </c>
      <c r="BJ75" s="391">
        <f>Sales!BJ103</f>
        <v>28</v>
      </c>
      <c r="BK75" s="241">
        <f>Sales!BK103</f>
        <v>0</v>
      </c>
      <c r="BL75" s="241">
        <f>Sales!BL103</f>
        <v>0</v>
      </c>
      <c r="BM75" s="241">
        <f>Sales!BM103</f>
        <v>0</v>
      </c>
      <c r="BN75" s="241">
        <f>Sales!BN103</f>
        <v>0</v>
      </c>
      <c r="BO75" s="384">
        <f>Sales!BO103</f>
        <v>36.4</v>
      </c>
      <c r="BP75" s="241">
        <f>Sales!BP103</f>
        <v>0</v>
      </c>
      <c r="BQ75" s="241">
        <f>Sales!BQ103</f>
        <v>0</v>
      </c>
      <c r="BR75" s="241">
        <f>Sales!BR103</f>
        <v>0</v>
      </c>
      <c r="BS75" s="241">
        <f>Sales!BS103</f>
        <v>0</v>
      </c>
      <c r="BT75" s="384">
        <f>Sales!BT103</f>
        <v>45.5</v>
      </c>
      <c r="BU75" s="241">
        <f>Sales!BU103</f>
        <v>0</v>
      </c>
      <c r="BV75" s="241">
        <f>Sales!BV103</f>
        <v>0</v>
      </c>
      <c r="BW75" s="241">
        <f>Sales!BW103</f>
        <v>0</v>
      </c>
      <c r="BX75" s="241">
        <f>Sales!BX103</f>
        <v>0</v>
      </c>
      <c r="BY75" s="384">
        <f>Sales!BY103</f>
        <v>54.6</v>
      </c>
      <c r="BZ75" s="241">
        <f>Sales!BZ103</f>
        <v>0</v>
      </c>
      <c r="CA75" s="241">
        <f>Sales!CA103</f>
        <v>0</v>
      </c>
      <c r="CB75" s="241">
        <f>Sales!CB103</f>
        <v>0</v>
      </c>
      <c r="CC75" s="241">
        <f>Sales!CC103</f>
        <v>0</v>
      </c>
      <c r="CD75" s="384">
        <f>Sales!CD103</f>
        <v>65.52</v>
      </c>
      <c r="CE75" s="8"/>
    </row>
    <row r="76" spans="1:83" s="390" customFormat="1" hidden="1" outlineLevel="1">
      <c r="A76" s="8"/>
      <c r="B76" s="398" t="str">
        <f>Sales!B105</f>
        <v>Total Uceris</v>
      </c>
      <c r="C76" s="399">
        <f>Sales!C105</f>
        <v>0</v>
      </c>
      <c r="D76" s="399">
        <f>Sales!D105</f>
        <v>0</v>
      </c>
      <c r="E76" s="399">
        <f>Sales!E105</f>
        <v>0</v>
      </c>
      <c r="F76" s="399">
        <f>Sales!F105</f>
        <v>0</v>
      </c>
      <c r="G76" s="400">
        <f>Sales!G105</f>
        <v>0</v>
      </c>
      <c r="H76" s="399">
        <f>Sales!H105</f>
        <v>0</v>
      </c>
      <c r="I76" s="399">
        <f>Sales!I105</f>
        <v>0</v>
      </c>
      <c r="J76" s="399">
        <f>Sales!J105</f>
        <v>0</v>
      </c>
      <c r="K76" s="399">
        <f>Sales!K105</f>
        <v>0</v>
      </c>
      <c r="L76" s="400">
        <f>Sales!L105</f>
        <v>0</v>
      </c>
      <c r="M76" s="399">
        <f>Sales!M105</f>
        <v>0</v>
      </c>
      <c r="N76" s="399">
        <f>Sales!N105</f>
        <v>0</v>
      </c>
      <c r="O76" s="399">
        <f>Sales!O105</f>
        <v>0</v>
      </c>
      <c r="P76" s="399">
        <f>Sales!P105</f>
        <v>0</v>
      </c>
      <c r="Q76" s="400">
        <f>Sales!Q105</f>
        <v>0</v>
      </c>
      <c r="R76" s="399">
        <f>Sales!R105</f>
        <v>0</v>
      </c>
      <c r="S76" s="399">
        <f>Sales!S105</f>
        <v>0</v>
      </c>
      <c r="T76" s="399">
        <f>Sales!T105</f>
        <v>0</v>
      </c>
      <c r="U76" s="399">
        <f>Sales!U105</f>
        <v>0</v>
      </c>
      <c r="V76" s="400">
        <f>Sales!V105</f>
        <v>0</v>
      </c>
      <c r="W76" s="399">
        <f>Sales!W105</f>
        <v>0</v>
      </c>
      <c r="X76" s="399">
        <f>Sales!X105</f>
        <v>0</v>
      </c>
      <c r="Y76" s="399">
        <f>Sales!Y105</f>
        <v>0</v>
      </c>
      <c r="Z76" s="399">
        <f>Sales!Z105</f>
        <v>0</v>
      </c>
      <c r="AA76" s="401">
        <f>Sales!AA105</f>
        <v>0</v>
      </c>
      <c r="AB76" s="367">
        <f>Sales!AB105</f>
        <v>0</v>
      </c>
      <c r="AC76" s="367">
        <f>Sales!AC105</f>
        <v>0</v>
      </c>
      <c r="AD76" s="402">
        <f>Sales!AD105</f>
        <v>0</v>
      </c>
      <c r="AE76" s="402">
        <f>Sales!AE105</f>
        <v>0</v>
      </c>
      <c r="AF76" s="403">
        <f>Sales!AF105</f>
        <v>0</v>
      </c>
      <c r="AG76" s="399">
        <f>Sales!AG105</f>
        <v>0</v>
      </c>
      <c r="AH76" s="404">
        <f>Sales!AH105</f>
        <v>0</v>
      </c>
      <c r="AI76" s="405">
        <f>Sales!AI105</f>
        <v>0</v>
      </c>
      <c r="AJ76" s="405">
        <f>Sales!AJ105</f>
        <v>0</v>
      </c>
      <c r="AK76" s="403">
        <f>Sales!AK105</f>
        <v>0</v>
      </c>
      <c r="AL76" s="406">
        <f>Sales!AL105</f>
        <v>0</v>
      </c>
      <c r="AM76" s="399">
        <f>Sales!AM105</f>
        <v>0</v>
      </c>
      <c r="AN76" s="406">
        <f>Sales!AN105</f>
        <v>0</v>
      </c>
      <c r="AO76" s="399">
        <f>Sales!AO105</f>
        <v>0</v>
      </c>
      <c r="AP76" s="403">
        <f>Sales!AP105</f>
        <v>0</v>
      </c>
      <c r="AQ76" s="407">
        <f>Sales!AQ105</f>
        <v>0</v>
      </c>
      <c r="AR76" s="399">
        <f>Sales!AR105</f>
        <v>0</v>
      </c>
      <c r="AS76" s="399">
        <f>Sales!AS105</f>
        <v>0</v>
      </c>
      <c r="AT76" s="399">
        <f>Sales!AT105</f>
        <v>0</v>
      </c>
      <c r="AU76" s="403">
        <f>Sales!AU105</f>
        <v>0</v>
      </c>
      <c r="AV76" s="399">
        <f>Sales!AV105</f>
        <v>0</v>
      </c>
      <c r="AW76" s="399">
        <f>Sales!AW105</f>
        <v>0</v>
      </c>
      <c r="AX76" s="399">
        <f>Sales!AX105</f>
        <v>0</v>
      </c>
      <c r="AY76" s="399">
        <f>Sales!AY105</f>
        <v>0</v>
      </c>
      <c r="AZ76" s="408">
        <f>Sales!AZ105</f>
        <v>0</v>
      </c>
      <c r="BA76" s="425">
        <f>Sales!BA105</f>
        <v>25</v>
      </c>
      <c r="BB76" s="399">
        <f>Sales!BB105</f>
        <v>24</v>
      </c>
      <c r="BC76" s="399">
        <f>Sales!BC105</f>
        <v>46</v>
      </c>
      <c r="BD76" s="399">
        <f>Sales!BD105</f>
        <v>49</v>
      </c>
      <c r="BE76" s="400">
        <f>Sales!BE105</f>
        <v>119</v>
      </c>
      <c r="BF76" s="410">
        <f>Sales!BF105</f>
        <v>45</v>
      </c>
      <c r="BG76" s="410">
        <f>Sales!BG105</f>
        <v>50</v>
      </c>
      <c r="BH76" s="410">
        <f>Sales!BH105</f>
        <v>58</v>
      </c>
      <c r="BI76" s="410">
        <f>Sales!BI105</f>
        <v>60</v>
      </c>
      <c r="BJ76" s="403">
        <f>Sales!BJ105</f>
        <v>213</v>
      </c>
      <c r="BK76" s="410">
        <f>Sales!BK105</f>
        <v>0</v>
      </c>
      <c r="BL76" s="410">
        <f>Sales!BL105</f>
        <v>0</v>
      </c>
      <c r="BM76" s="410">
        <f>Sales!BM105</f>
        <v>0</v>
      </c>
      <c r="BN76" s="410">
        <f>Sales!BN105</f>
        <v>0</v>
      </c>
      <c r="BO76" s="403">
        <f>Sales!BO105</f>
        <v>249.14999999999998</v>
      </c>
      <c r="BP76" s="410">
        <f>Sales!BP105</f>
        <v>0</v>
      </c>
      <c r="BQ76" s="410">
        <f>Sales!BQ105</f>
        <v>0</v>
      </c>
      <c r="BR76" s="410">
        <f>Sales!BR105</f>
        <v>0</v>
      </c>
      <c r="BS76" s="410">
        <f>Sales!BS105</f>
        <v>0</v>
      </c>
      <c r="BT76" s="403">
        <f>Sales!BT105</f>
        <v>290.16249999999991</v>
      </c>
      <c r="BU76" s="410">
        <f>Sales!BU105</f>
        <v>0</v>
      </c>
      <c r="BV76" s="410">
        <f>Sales!BV105</f>
        <v>0</v>
      </c>
      <c r="BW76" s="410">
        <f>Sales!BW105</f>
        <v>0</v>
      </c>
      <c r="BX76" s="410">
        <f>Sales!BX105</f>
        <v>0</v>
      </c>
      <c r="BY76" s="403">
        <f>Sales!BY105</f>
        <v>323.72874999999999</v>
      </c>
      <c r="BZ76" s="410">
        <f>Sales!BZ105</f>
        <v>0</v>
      </c>
      <c r="CA76" s="410">
        <f>Sales!CA105</f>
        <v>0</v>
      </c>
      <c r="CB76" s="410">
        <f>Sales!CB105</f>
        <v>0</v>
      </c>
      <c r="CC76" s="410">
        <f>Sales!CC105</f>
        <v>0</v>
      </c>
      <c r="CD76" s="403">
        <f>Sales!CD105</f>
        <v>200.08437499999997</v>
      </c>
      <c r="CE76" s="8"/>
    </row>
    <row r="77" spans="1:83" s="390" customFormat="1" hidden="1" outlineLevel="1">
      <c r="A77" s="8"/>
      <c r="B77" s="238" t="str">
        <f>Sales!B107</f>
        <v>Relistor (injection)</v>
      </c>
      <c r="C77" s="236">
        <f>Sales!C107</f>
        <v>0</v>
      </c>
      <c r="D77" s="236">
        <f>Sales!D107</f>
        <v>0</v>
      </c>
      <c r="E77" s="236">
        <f>Sales!E107</f>
        <v>0</v>
      </c>
      <c r="F77" s="236">
        <f>Sales!F107</f>
        <v>0</v>
      </c>
      <c r="G77" s="235">
        <f>Sales!G107</f>
        <v>0</v>
      </c>
      <c r="H77" s="236">
        <f>Sales!H107</f>
        <v>0</v>
      </c>
      <c r="I77" s="236">
        <f>Sales!I107</f>
        <v>0</v>
      </c>
      <c r="J77" s="236">
        <f>Sales!J107</f>
        <v>0</v>
      </c>
      <c r="K77" s="236">
        <f>Sales!K107</f>
        <v>0</v>
      </c>
      <c r="L77" s="235">
        <f>Sales!L107</f>
        <v>0</v>
      </c>
      <c r="M77" s="236">
        <f>Sales!M107</f>
        <v>0</v>
      </c>
      <c r="N77" s="236">
        <f>Sales!N107</f>
        <v>0</v>
      </c>
      <c r="O77" s="236">
        <f>Sales!O107</f>
        <v>0</v>
      </c>
      <c r="P77" s="236">
        <f>Sales!P107</f>
        <v>0</v>
      </c>
      <c r="Q77" s="235">
        <f>Sales!Q107</f>
        <v>0</v>
      </c>
      <c r="R77" s="236">
        <f>Sales!R107</f>
        <v>0</v>
      </c>
      <c r="S77" s="236">
        <f>Sales!S107</f>
        <v>0</v>
      </c>
      <c r="T77" s="236">
        <f>Sales!T107</f>
        <v>0</v>
      </c>
      <c r="U77" s="236">
        <f>Sales!U107</f>
        <v>0</v>
      </c>
      <c r="V77" s="235">
        <f>Sales!V107</f>
        <v>0</v>
      </c>
      <c r="W77" s="236">
        <f>Sales!W107</f>
        <v>0</v>
      </c>
      <c r="X77" s="236">
        <f>Sales!X107</f>
        <v>0</v>
      </c>
      <c r="Y77" s="236">
        <f>Sales!Y107</f>
        <v>0</v>
      </c>
      <c r="Z77" s="236">
        <f>Sales!Z107</f>
        <v>0</v>
      </c>
      <c r="AA77" s="235">
        <f>Sales!AA107</f>
        <v>0</v>
      </c>
      <c r="AB77" s="310">
        <f>Sales!AB107</f>
        <v>0</v>
      </c>
      <c r="AC77" s="310">
        <f>Sales!AC107</f>
        <v>0</v>
      </c>
      <c r="AD77" s="383">
        <f>Sales!AD107</f>
        <v>0</v>
      </c>
      <c r="AE77" s="383">
        <f>Sales!AE107</f>
        <v>0</v>
      </c>
      <c r="AF77" s="384">
        <f>Sales!AF107</f>
        <v>0</v>
      </c>
      <c r="AG77" s="236">
        <f>Sales!AG107</f>
        <v>0</v>
      </c>
      <c r="AH77" s="385">
        <f>Sales!AH107</f>
        <v>0</v>
      </c>
      <c r="AI77" s="386">
        <f>Sales!AI107</f>
        <v>0</v>
      </c>
      <c r="AJ77" s="386">
        <f>Sales!AJ107</f>
        <v>0</v>
      </c>
      <c r="AK77" s="384">
        <f>Sales!AK107</f>
        <v>0</v>
      </c>
      <c r="AL77" s="426">
        <f>Sales!AL107</f>
        <v>0</v>
      </c>
      <c r="AM77" s="386">
        <f>Sales!AM107</f>
        <v>0</v>
      </c>
      <c r="AN77" s="386">
        <f>Sales!AN107</f>
        <v>0</v>
      </c>
      <c r="AO77" s="386">
        <f>Sales!AO107</f>
        <v>0</v>
      </c>
      <c r="AP77" s="384">
        <f>Sales!AP107</f>
        <v>0</v>
      </c>
      <c r="AQ77" s="289">
        <f>Sales!AQ107</f>
        <v>0</v>
      </c>
      <c r="AR77" s="236">
        <f>Sales!AR107</f>
        <v>0</v>
      </c>
      <c r="AS77" s="259">
        <f>Sales!AS107</f>
        <v>0</v>
      </c>
      <c r="AT77" s="259">
        <f>Sales!AT107</f>
        <v>0</v>
      </c>
      <c r="AU77" s="384">
        <f>Sales!AU107</f>
        <v>0</v>
      </c>
      <c r="AV77" s="259">
        <f>Sales!AV107</f>
        <v>0</v>
      </c>
      <c r="AW77" s="259">
        <f>Sales!AW107</f>
        <v>0</v>
      </c>
      <c r="AX77" s="259">
        <f>Sales!AX107</f>
        <v>0</v>
      </c>
      <c r="AY77" s="259">
        <f>Sales!AY107</f>
        <v>0</v>
      </c>
      <c r="AZ77" s="420">
        <f>Sales!AZ107</f>
        <v>0</v>
      </c>
      <c r="BA77" s="388">
        <f>Sales!BA107</f>
        <v>15</v>
      </c>
      <c r="BB77" s="259">
        <f>Sales!BB107</f>
        <v>15</v>
      </c>
      <c r="BC77" s="259">
        <f>Sales!BC107</f>
        <v>15</v>
      </c>
      <c r="BD77" s="259">
        <f>Sales!BD107</f>
        <v>22</v>
      </c>
      <c r="BE77" s="235">
        <f>Sales!BE107</f>
        <v>52</v>
      </c>
      <c r="BF77" s="241">
        <f>Sales!BF107</f>
        <v>22</v>
      </c>
      <c r="BG77" s="241">
        <f>Sales!BG107</f>
        <v>27</v>
      </c>
      <c r="BH77" s="241">
        <f>Sales!BH107</f>
        <v>25</v>
      </c>
      <c r="BI77" s="241">
        <f>Sales!BI107</f>
        <v>25</v>
      </c>
      <c r="BJ77" s="391">
        <f>Sales!BJ107</f>
        <v>99</v>
      </c>
      <c r="BK77" s="241">
        <f>Sales!BK107</f>
        <v>0</v>
      </c>
      <c r="BL77" s="241">
        <f>Sales!BL107</f>
        <v>0</v>
      </c>
      <c r="BM77" s="241">
        <f>Sales!BM107</f>
        <v>0</v>
      </c>
      <c r="BN77" s="241">
        <f>Sales!BN107</f>
        <v>0</v>
      </c>
      <c r="BO77" s="384">
        <f>Sales!BO107</f>
        <v>99</v>
      </c>
      <c r="BP77" s="241">
        <f>Sales!BP107</f>
        <v>0</v>
      </c>
      <c r="BQ77" s="241">
        <f>Sales!BQ107</f>
        <v>0</v>
      </c>
      <c r="BR77" s="241">
        <f>Sales!BR107</f>
        <v>0</v>
      </c>
      <c r="BS77" s="241">
        <f>Sales!BS107</f>
        <v>0</v>
      </c>
      <c r="BT77" s="384">
        <f>Sales!BT107</f>
        <v>99</v>
      </c>
      <c r="BU77" s="241">
        <f>Sales!BU107</f>
        <v>0</v>
      </c>
      <c r="BV77" s="241">
        <f>Sales!BV107</f>
        <v>0</v>
      </c>
      <c r="BW77" s="241">
        <f>Sales!BW107</f>
        <v>0</v>
      </c>
      <c r="BX77" s="241">
        <f>Sales!BX107</f>
        <v>0</v>
      </c>
      <c r="BY77" s="384">
        <f>Sales!BY107</f>
        <v>99</v>
      </c>
      <c r="BZ77" s="241">
        <f>Sales!BZ107</f>
        <v>0</v>
      </c>
      <c r="CA77" s="241">
        <f>Sales!CA107</f>
        <v>0</v>
      </c>
      <c r="CB77" s="241">
        <f>Sales!CB107</f>
        <v>0</v>
      </c>
      <c r="CC77" s="241">
        <f>Sales!CC107</f>
        <v>0</v>
      </c>
      <c r="CD77" s="384">
        <f>Sales!CD107</f>
        <v>99</v>
      </c>
      <c r="CE77" s="8"/>
    </row>
    <row r="78" spans="1:83" s="390" customFormat="1" hidden="1" outlineLevel="1">
      <c r="A78" s="8"/>
      <c r="B78" s="238" t="str">
        <f>Sales!B109</f>
        <v>Relistor (oral)</v>
      </c>
      <c r="C78" s="293">
        <f>Sales!C109</f>
        <v>0</v>
      </c>
      <c r="D78" s="293">
        <f>Sales!D109</f>
        <v>0</v>
      </c>
      <c r="E78" s="293">
        <f>Sales!E109</f>
        <v>0</v>
      </c>
      <c r="F78" s="293">
        <f>Sales!F109</f>
        <v>0</v>
      </c>
      <c r="G78" s="294">
        <f>Sales!G109</f>
        <v>0</v>
      </c>
      <c r="H78" s="293">
        <f>Sales!H109</f>
        <v>0</v>
      </c>
      <c r="I78" s="293">
        <f>Sales!I109</f>
        <v>0</v>
      </c>
      <c r="J78" s="293">
        <f>Sales!J109</f>
        <v>0</v>
      </c>
      <c r="K78" s="293">
        <f>Sales!K109</f>
        <v>0</v>
      </c>
      <c r="L78" s="294">
        <f>Sales!L109</f>
        <v>0</v>
      </c>
      <c r="M78" s="293">
        <f>Sales!M109</f>
        <v>0</v>
      </c>
      <c r="N78" s="293">
        <f>Sales!N109</f>
        <v>0</v>
      </c>
      <c r="O78" s="293">
        <f>Sales!O109</f>
        <v>0</v>
      </c>
      <c r="P78" s="293">
        <f>Sales!P109</f>
        <v>0</v>
      </c>
      <c r="Q78" s="294">
        <f>Sales!Q109</f>
        <v>0</v>
      </c>
      <c r="R78" s="293">
        <f>Sales!R109</f>
        <v>0</v>
      </c>
      <c r="S78" s="293">
        <f>Sales!S109</f>
        <v>0</v>
      </c>
      <c r="T78" s="293">
        <f>Sales!T109</f>
        <v>0</v>
      </c>
      <c r="U78" s="293">
        <f>Sales!U109</f>
        <v>0</v>
      </c>
      <c r="V78" s="294">
        <f>Sales!V109</f>
        <v>0</v>
      </c>
      <c r="W78" s="247">
        <f>Sales!W109</f>
        <v>0</v>
      </c>
      <c r="X78" s="247">
        <f>Sales!X109</f>
        <v>0</v>
      </c>
      <c r="Y78" s="247">
        <f>Sales!Y109</f>
        <v>0</v>
      </c>
      <c r="Z78" s="247">
        <f>Sales!Z109</f>
        <v>0</v>
      </c>
      <c r="AA78" s="251">
        <f>Sales!AA109</f>
        <v>0</v>
      </c>
      <c r="AB78" s="302">
        <f>Sales!AB109</f>
        <v>0</v>
      </c>
      <c r="AC78" s="302">
        <f>Sales!AC109</f>
        <v>0</v>
      </c>
      <c r="AD78" s="302">
        <f>Sales!AD109</f>
        <v>0</v>
      </c>
      <c r="AE78" s="302">
        <f>Sales!AE109</f>
        <v>0</v>
      </c>
      <c r="AF78" s="251">
        <f>Sales!AF109</f>
        <v>0</v>
      </c>
      <c r="AG78" s="247">
        <f>Sales!AG109</f>
        <v>0</v>
      </c>
      <c r="AH78" s="247">
        <f>Sales!AH109</f>
        <v>0</v>
      </c>
      <c r="AI78" s="247">
        <f>Sales!AI109</f>
        <v>0</v>
      </c>
      <c r="AJ78" s="247">
        <f>Sales!AJ109</f>
        <v>0</v>
      </c>
      <c r="AK78" s="251">
        <f>Sales!AK109</f>
        <v>0</v>
      </c>
      <c r="AL78" s="247">
        <f>Sales!AL109</f>
        <v>0</v>
      </c>
      <c r="AM78" s="247">
        <f>Sales!AM109</f>
        <v>0</v>
      </c>
      <c r="AN78" s="247">
        <f>Sales!AN109</f>
        <v>0</v>
      </c>
      <c r="AO78" s="247">
        <f>Sales!AO109</f>
        <v>0</v>
      </c>
      <c r="AP78" s="251">
        <f>Sales!AP109</f>
        <v>0</v>
      </c>
      <c r="AQ78" s="347">
        <f>Sales!AQ109</f>
        <v>0</v>
      </c>
      <c r="AR78" s="247">
        <f>Sales!AR109</f>
        <v>0</v>
      </c>
      <c r="AS78" s="293">
        <f>Sales!AS109</f>
        <v>0</v>
      </c>
      <c r="AT78" s="293">
        <f>Sales!AT109</f>
        <v>0</v>
      </c>
      <c r="AU78" s="251">
        <f>Sales!AU109</f>
        <v>0</v>
      </c>
      <c r="AV78" s="293">
        <f>Sales!AV109</f>
        <v>0</v>
      </c>
      <c r="AW78" s="293">
        <f>Sales!AW109</f>
        <v>0</v>
      </c>
      <c r="AX78" s="293">
        <f>Sales!AX109</f>
        <v>0</v>
      </c>
      <c r="AY78" s="293">
        <f>Sales!AY109</f>
        <v>0</v>
      </c>
      <c r="AZ78" s="394">
        <f>Sales!AZ109</f>
        <v>0</v>
      </c>
      <c r="BA78" s="421">
        <f>Sales!BA109</f>
        <v>0</v>
      </c>
      <c r="BB78" s="293">
        <f>Sales!BB109</f>
        <v>0</v>
      </c>
      <c r="BC78" s="247">
        <f>Sales!BC109</f>
        <v>0</v>
      </c>
      <c r="BD78" s="247">
        <f>Sales!BD109</f>
        <v>0</v>
      </c>
      <c r="BE78" s="251">
        <f>Sales!BE109</f>
        <v>0</v>
      </c>
      <c r="BF78" s="340">
        <f>Sales!BF109</f>
        <v>0</v>
      </c>
      <c r="BG78" s="340">
        <f>Sales!BG109</f>
        <v>0</v>
      </c>
      <c r="BH78" s="340">
        <f>Sales!BH109</f>
        <v>15</v>
      </c>
      <c r="BI78" s="340">
        <f>Sales!BI109</f>
        <v>15</v>
      </c>
      <c r="BJ78" s="428">
        <f>Sales!BJ109</f>
        <v>30</v>
      </c>
      <c r="BK78" s="427">
        <f>Sales!BK109</f>
        <v>0</v>
      </c>
      <c r="BL78" s="427">
        <f>Sales!BL109</f>
        <v>0</v>
      </c>
      <c r="BM78" s="427">
        <f>Sales!BM109</f>
        <v>0</v>
      </c>
      <c r="BN78" s="427">
        <f>Sales!BN109</f>
        <v>0</v>
      </c>
      <c r="BO78" s="428">
        <f>Sales!BO109</f>
        <v>75</v>
      </c>
      <c r="BP78" s="241">
        <f>Sales!BP109</f>
        <v>0</v>
      </c>
      <c r="BQ78" s="241">
        <f>Sales!BQ109</f>
        <v>0</v>
      </c>
      <c r="BR78" s="241">
        <f>Sales!BR109</f>
        <v>0</v>
      </c>
      <c r="BS78" s="241">
        <f>Sales!BS109</f>
        <v>0</v>
      </c>
      <c r="BT78" s="384">
        <f>Sales!BT109</f>
        <v>105</v>
      </c>
      <c r="BU78" s="427">
        <f>Sales!BU109</f>
        <v>0</v>
      </c>
      <c r="BV78" s="427">
        <f>Sales!BV109</f>
        <v>0</v>
      </c>
      <c r="BW78" s="427">
        <f>Sales!BW109</f>
        <v>0</v>
      </c>
      <c r="BX78" s="427">
        <f>Sales!BX109</f>
        <v>0</v>
      </c>
      <c r="BY78" s="384">
        <f>Sales!BY109</f>
        <v>136.5</v>
      </c>
      <c r="BZ78" s="241">
        <f>Sales!BZ109</f>
        <v>0</v>
      </c>
      <c r="CA78" s="241">
        <f>Sales!CA109</f>
        <v>0</v>
      </c>
      <c r="CB78" s="241">
        <f>Sales!CB109</f>
        <v>0</v>
      </c>
      <c r="CC78" s="241">
        <f>Sales!CC109</f>
        <v>0</v>
      </c>
      <c r="CD78" s="384">
        <f>Sales!CD109</f>
        <v>163.79999999999998</v>
      </c>
      <c r="CE78" s="8"/>
    </row>
    <row r="79" spans="1:83" s="429" customFormat="1" ht="15" hidden="1" outlineLevel="1">
      <c r="B79" s="625" t="str">
        <f>Sales!B111</f>
        <v>Other GI</v>
      </c>
      <c r="C79" s="626">
        <f>Sales!C111</f>
        <v>0</v>
      </c>
      <c r="D79" s="626">
        <f>Sales!D111</f>
        <v>0</v>
      </c>
      <c r="E79" s="626">
        <f>Sales!E111</f>
        <v>0</v>
      </c>
      <c r="F79" s="626">
        <f>Sales!F111</f>
        <v>0</v>
      </c>
      <c r="G79" s="627">
        <f>Sales!G111</f>
        <v>0</v>
      </c>
      <c r="H79" s="626">
        <f>Sales!H111</f>
        <v>0</v>
      </c>
      <c r="I79" s="626">
        <f>Sales!I111</f>
        <v>0</v>
      </c>
      <c r="J79" s="626">
        <f>Sales!J111</f>
        <v>0</v>
      </c>
      <c r="K79" s="626">
        <f>Sales!K111</f>
        <v>0</v>
      </c>
      <c r="L79" s="627">
        <f>Sales!L111</f>
        <v>0</v>
      </c>
      <c r="M79" s="626">
        <f>Sales!M111</f>
        <v>0</v>
      </c>
      <c r="N79" s="626">
        <f>Sales!N111</f>
        <v>0</v>
      </c>
      <c r="O79" s="626">
        <f>Sales!O111</f>
        <v>0</v>
      </c>
      <c r="P79" s="626">
        <f>Sales!P111</f>
        <v>0</v>
      </c>
      <c r="Q79" s="627">
        <f>Sales!Q111</f>
        <v>0</v>
      </c>
      <c r="R79" s="626">
        <f>Sales!R111</f>
        <v>0</v>
      </c>
      <c r="S79" s="626">
        <f>Sales!S111</f>
        <v>0</v>
      </c>
      <c r="T79" s="626">
        <f>Sales!T111</f>
        <v>0</v>
      </c>
      <c r="U79" s="626">
        <f>Sales!U111</f>
        <v>0</v>
      </c>
      <c r="V79" s="627">
        <f>Sales!V111</f>
        <v>0</v>
      </c>
      <c r="W79" s="626">
        <f>Sales!W111</f>
        <v>0</v>
      </c>
      <c r="X79" s="626">
        <f>Sales!X111</f>
        <v>0</v>
      </c>
      <c r="Y79" s="626">
        <f>Sales!Y111</f>
        <v>0</v>
      </c>
      <c r="Z79" s="626">
        <f>Sales!Z111</f>
        <v>0</v>
      </c>
      <c r="AA79" s="627">
        <f>Sales!AA111</f>
        <v>0</v>
      </c>
      <c r="AB79" s="651">
        <f>Sales!AB111</f>
        <v>0</v>
      </c>
      <c r="AC79" s="651">
        <f>Sales!AC111</f>
        <v>0</v>
      </c>
      <c r="AD79" s="652">
        <f>Sales!AD111</f>
        <v>0</v>
      </c>
      <c r="AE79" s="652">
        <f>Sales!AE111</f>
        <v>0</v>
      </c>
      <c r="AF79" s="653">
        <f>Sales!AF111</f>
        <v>0</v>
      </c>
      <c r="AG79" s="626">
        <f>Sales!AG111</f>
        <v>0</v>
      </c>
      <c r="AH79" s="654">
        <f>Sales!AH111</f>
        <v>0</v>
      </c>
      <c r="AI79" s="655">
        <f>Sales!AI111</f>
        <v>0</v>
      </c>
      <c r="AJ79" s="655">
        <f>Sales!AJ111</f>
        <v>0</v>
      </c>
      <c r="AK79" s="653">
        <f>Sales!AK111</f>
        <v>0</v>
      </c>
      <c r="AL79" s="626">
        <f>Sales!AL111</f>
        <v>0</v>
      </c>
      <c r="AM79" s="626">
        <f>Sales!AM111</f>
        <v>0</v>
      </c>
      <c r="AN79" s="656">
        <f>Sales!AN111</f>
        <v>0</v>
      </c>
      <c r="AO79" s="626">
        <f>Sales!AO111</f>
        <v>0</v>
      </c>
      <c r="AP79" s="653">
        <f>Sales!AP111</f>
        <v>0</v>
      </c>
      <c r="AQ79" s="657">
        <f>Sales!AQ111</f>
        <v>0</v>
      </c>
      <c r="AR79" s="658">
        <f>Sales!AR111</f>
        <v>0</v>
      </c>
      <c r="AS79" s="626">
        <f>Sales!AS111</f>
        <v>0</v>
      </c>
      <c r="AT79" s="626">
        <f>Sales!AT111</f>
        <v>0</v>
      </c>
      <c r="AU79" s="653">
        <f>Sales!AU111</f>
        <v>0</v>
      </c>
      <c r="AV79" s="626">
        <f>Sales!AV111</f>
        <v>0</v>
      </c>
      <c r="AW79" s="626">
        <f>Sales!AW111</f>
        <v>0</v>
      </c>
      <c r="AX79" s="626">
        <f>Sales!AX111</f>
        <v>0</v>
      </c>
      <c r="AY79" s="626">
        <f>Sales!AY111</f>
        <v>0</v>
      </c>
      <c r="AZ79" s="659">
        <f>Sales!AZ111</f>
        <v>0</v>
      </c>
      <c r="BA79" s="660">
        <f>Sales!BA111</f>
        <v>60</v>
      </c>
      <c r="BB79" s="626">
        <f>Sales!BB111</f>
        <v>69.300000000000011</v>
      </c>
      <c r="BC79" s="658">
        <f>Sales!BC111</f>
        <v>93.800000000000011</v>
      </c>
      <c r="BD79" s="658">
        <f>Sales!BD111</f>
        <v>111</v>
      </c>
      <c r="BE79" s="653">
        <f>Sales!BE111</f>
        <v>274.10000000000002</v>
      </c>
      <c r="BF79" s="629">
        <f>Sales!BF111</f>
        <v>105</v>
      </c>
      <c r="BG79" s="629">
        <f>Sales!BG111</f>
        <v>105</v>
      </c>
      <c r="BH79" s="629">
        <f>Sales!BH111</f>
        <v>105</v>
      </c>
      <c r="BI79" s="629">
        <f>Sales!BI111</f>
        <v>105</v>
      </c>
      <c r="BJ79" s="661">
        <f>Sales!BJ111</f>
        <v>420</v>
      </c>
      <c r="BK79" s="629">
        <f>Sales!BK111</f>
        <v>0</v>
      </c>
      <c r="BL79" s="629">
        <f>Sales!BL111</f>
        <v>0</v>
      </c>
      <c r="BM79" s="629">
        <f>Sales!BM111</f>
        <v>0</v>
      </c>
      <c r="BN79" s="629">
        <f>Sales!BN111</f>
        <v>0</v>
      </c>
      <c r="BO79" s="653">
        <f>Sales!BO111</f>
        <v>420</v>
      </c>
      <c r="BP79" s="629">
        <f>Sales!BP111</f>
        <v>0</v>
      </c>
      <c r="BQ79" s="629">
        <f>Sales!BQ111</f>
        <v>0</v>
      </c>
      <c r="BR79" s="629">
        <f>Sales!BR111</f>
        <v>0</v>
      </c>
      <c r="BS79" s="629">
        <f>Sales!BS111</f>
        <v>0</v>
      </c>
      <c r="BT79" s="653">
        <f>Sales!BT111</f>
        <v>420</v>
      </c>
      <c r="BU79" s="629">
        <f>Sales!BU111</f>
        <v>0</v>
      </c>
      <c r="BV79" s="629">
        <f>Sales!BV111</f>
        <v>0</v>
      </c>
      <c r="BW79" s="629">
        <f>Sales!BW111</f>
        <v>0</v>
      </c>
      <c r="BX79" s="629">
        <f>Sales!BX111</f>
        <v>0</v>
      </c>
      <c r="BY79" s="653">
        <f>Sales!BY111</f>
        <v>420</v>
      </c>
      <c r="BZ79" s="629">
        <f>Sales!BZ111</f>
        <v>0</v>
      </c>
      <c r="CA79" s="629">
        <f>Sales!CA111</f>
        <v>0</v>
      </c>
      <c r="CB79" s="629">
        <f>Sales!CB111</f>
        <v>0</v>
      </c>
      <c r="CC79" s="629">
        <f>Sales!CC111</f>
        <v>0</v>
      </c>
      <c r="CD79" s="653">
        <f>Sales!CD111</f>
        <v>420</v>
      </c>
    </row>
    <row r="80" spans="1:83" s="355" customFormat="1" ht="13" collapsed="1">
      <c r="A80" s="349"/>
      <c r="B80" s="298" t="str">
        <f>Sales!B113</f>
        <v>Total Gastrointestinal (Salix)</v>
      </c>
      <c r="C80" s="350">
        <f>Sales!C113</f>
        <v>0</v>
      </c>
      <c r="D80" s="350">
        <f>Sales!D113</f>
        <v>0</v>
      </c>
      <c r="E80" s="350">
        <f>Sales!E113</f>
        <v>0</v>
      </c>
      <c r="F80" s="351">
        <f>Sales!F113</f>
        <v>0</v>
      </c>
      <c r="G80" s="352">
        <f>Sales!G113</f>
        <v>0</v>
      </c>
      <c r="H80" s="351">
        <f>Sales!H113</f>
        <v>0</v>
      </c>
      <c r="I80" s="351">
        <f>Sales!I113</f>
        <v>0</v>
      </c>
      <c r="J80" s="351">
        <f>Sales!J113</f>
        <v>0</v>
      </c>
      <c r="K80" s="351">
        <f>Sales!K113</f>
        <v>0</v>
      </c>
      <c r="L80" s="352">
        <f>Sales!L113</f>
        <v>0</v>
      </c>
      <c r="M80" s="351">
        <f>Sales!M113</f>
        <v>0</v>
      </c>
      <c r="N80" s="351">
        <f>Sales!N113</f>
        <v>0</v>
      </c>
      <c r="O80" s="351">
        <f>Sales!O113</f>
        <v>0</v>
      </c>
      <c r="P80" s="351">
        <f>Sales!P113</f>
        <v>0</v>
      </c>
      <c r="Q80" s="352">
        <f>Sales!Q113</f>
        <v>0</v>
      </c>
      <c r="R80" s="353">
        <f>Sales!R113</f>
        <v>0</v>
      </c>
      <c r="S80" s="353">
        <f>Sales!S113</f>
        <v>0</v>
      </c>
      <c r="T80" s="353">
        <f>Sales!T113</f>
        <v>0</v>
      </c>
      <c r="U80" s="353">
        <f>Sales!U113</f>
        <v>0</v>
      </c>
      <c r="V80" s="354">
        <f>Sales!V113</f>
        <v>0</v>
      </c>
      <c r="W80" s="353">
        <f>Sales!W113</f>
        <v>0</v>
      </c>
      <c r="X80" s="353">
        <f>Sales!X113</f>
        <v>0</v>
      </c>
      <c r="Y80" s="353">
        <f>Sales!Y113</f>
        <v>0</v>
      </c>
      <c r="Z80" s="353">
        <f>Sales!Z113</f>
        <v>0</v>
      </c>
      <c r="AA80" s="354">
        <f>Sales!AA113</f>
        <v>0</v>
      </c>
      <c r="AB80" s="302">
        <f>Sales!AB113</f>
        <v>0</v>
      </c>
      <c r="AC80" s="302">
        <f>Sales!AC113</f>
        <v>0</v>
      </c>
      <c r="AD80" s="302">
        <f>Sales!AD113</f>
        <v>0</v>
      </c>
      <c r="AE80" s="302">
        <f>Sales!AE113</f>
        <v>0</v>
      </c>
      <c r="AF80" s="360">
        <f>Sales!AF113</f>
        <v>0</v>
      </c>
      <c r="AG80" s="355">
        <f>Sales!AG113</f>
        <v>0</v>
      </c>
      <c r="AH80" s="355">
        <f>Sales!AH113</f>
        <v>0</v>
      </c>
      <c r="AI80" s="355">
        <f>Sales!AI113</f>
        <v>0</v>
      </c>
      <c r="AJ80" s="355">
        <f>Sales!AJ113</f>
        <v>0</v>
      </c>
      <c r="AK80" s="311">
        <f>Sales!AK113</f>
        <v>0</v>
      </c>
      <c r="AL80" s="355">
        <f>Sales!AL113</f>
        <v>0</v>
      </c>
      <c r="AM80" s="355">
        <f>Sales!AM113</f>
        <v>0</v>
      </c>
      <c r="AN80" s="355">
        <f>Sales!AN113</f>
        <v>0</v>
      </c>
      <c r="AO80" s="355">
        <f>Sales!AO113</f>
        <v>0</v>
      </c>
      <c r="AP80" s="360">
        <f>Sales!AP113</f>
        <v>0</v>
      </c>
      <c r="AQ80" s="356">
        <f>Sales!AQ113</f>
        <v>0</v>
      </c>
      <c r="AR80" s="355">
        <f>Sales!AR113</f>
        <v>0</v>
      </c>
      <c r="AS80" s="275">
        <f>Sales!AS113</f>
        <v>0</v>
      </c>
      <c r="AT80" s="275">
        <f>Sales!AT113</f>
        <v>0</v>
      </c>
      <c r="AU80" s="311">
        <f>Sales!AU113</f>
        <v>0</v>
      </c>
      <c r="AV80" s="275">
        <f>Sales!AV113</f>
        <v>0</v>
      </c>
      <c r="AW80" s="275">
        <f>Sales!AW113</f>
        <v>0</v>
      </c>
      <c r="AX80" s="275">
        <f>Sales!AX113</f>
        <v>0</v>
      </c>
      <c r="AY80" s="275">
        <f>Sales!AY113</f>
        <v>0</v>
      </c>
      <c r="AZ80" s="311">
        <f>Sales!AZ113</f>
        <v>0</v>
      </c>
      <c r="BA80" s="275">
        <f>Sales!BA113</f>
        <v>0</v>
      </c>
      <c r="BB80" s="275">
        <f>Sales!BB113</f>
        <v>313.3</v>
      </c>
      <c r="BC80" s="275">
        <f>Sales!BC113</f>
        <v>462.8</v>
      </c>
      <c r="BD80" s="275">
        <f>Sales!BD113</f>
        <v>509</v>
      </c>
      <c r="BE80" s="332">
        <f>Sales!BE113</f>
        <v>1285.0999999999999</v>
      </c>
      <c r="BF80" s="285">
        <f>Sales!BF113</f>
        <v>447</v>
      </c>
      <c r="BG80" s="285">
        <f>Sales!BG113</f>
        <v>522</v>
      </c>
      <c r="BH80" s="285">
        <f>Sales!BH113</f>
        <v>575</v>
      </c>
      <c r="BI80" s="285">
        <f>Sales!BI113</f>
        <v>610</v>
      </c>
      <c r="BJ80" s="277">
        <f>Sales!BJ113</f>
        <v>2154</v>
      </c>
      <c r="BK80" s="285">
        <f>Sales!BK113</f>
        <v>0</v>
      </c>
      <c r="BL80" s="285">
        <f>Sales!BL113</f>
        <v>0</v>
      </c>
      <c r="BM80" s="285">
        <f>Sales!BM113</f>
        <v>0</v>
      </c>
      <c r="BN80" s="285">
        <f>Sales!BN113</f>
        <v>0</v>
      </c>
      <c r="BO80" s="277">
        <f>Sales!BO113</f>
        <v>2504.77</v>
      </c>
      <c r="BP80" s="285">
        <f>Sales!BP113</f>
        <v>0</v>
      </c>
      <c r="BQ80" s="285">
        <f>Sales!BQ113</f>
        <v>0</v>
      </c>
      <c r="BR80" s="285">
        <f>Sales!BR113</f>
        <v>0</v>
      </c>
      <c r="BS80" s="285">
        <f>Sales!BS113</f>
        <v>0</v>
      </c>
      <c r="BT80" s="277">
        <f>Sales!BT113</f>
        <v>2797.9175</v>
      </c>
      <c r="BU80" s="285">
        <f>Sales!BU113</f>
        <v>0</v>
      </c>
      <c r="BV80" s="285">
        <f>Sales!BV113</f>
        <v>0</v>
      </c>
      <c r="BW80" s="285">
        <f>Sales!BW113</f>
        <v>0</v>
      </c>
      <c r="BX80" s="285">
        <f>Sales!BX113</f>
        <v>0</v>
      </c>
      <c r="BY80" s="277">
        <f>Sales!BY113</f>
        <v>3075.81916</v>
      </c>
      <c r="BZ80" s="285">
        <f>Sales!BZ113</f>
        <v>0</v>
      </c>
      <c r="CA80" s="285">
        <f>Sales!CA113</f>
        <v>0</v>
      </c>
      <c r="CB80" s="285">
        <f>Sales!CB113</f>
        <v>0</v>
      </c>
      <c r="CC80" s="285">
        <f>Sales!CC113</f>
        <v>0</v>
      </c>
      <c r="CD80" s="277">
        <f>Sales!CD113</f>
        <v>3204.2119913000001</v>
      </c>
    </row>
    <row r="81" spans="1:83" s="355" customFormat="1" ht="13">
      <c r="A81" s="28"/>
      <c r="B81" s="309" t="str">
        <f>Sales!B114</f>
        <v>growth</v>
      </c>
      <c r="C81" s="317">
        <f>Sales!C114</f>
        <v>0</v>
      </c>
      <c r="D81" s="318">
        <f>Sales!D114</f>
        <v>0</v>
      </c>
      <c r="E81" s="318">
        <f>Sales!E114</f>
        <v>0</v>
      </c>
      <c r="F81" s="318">
        <f>Sales!F114</f>
        <v>0</v>
      </c>
      <c r="G81" s="319">
        <f>Sales!G114</f>
        <v>0</v>
      </c>
      <c r="H81" s="318">
        <f>Sales!H114</f>
        <v>0</v>
      </c>
      <c r="I81" s="318">
        <f>Sales!I114</f>
        <v>0</v>
      </c>
      <c r="J81" s="318">
        <f>Sales!J114</f>
        <v>0</v>
      </c>
      <c r="K81" s="318">
        <f>Sales!K114</f>
        <v>0</v>
      </c>
      <c r="L81" s="319">
        <f>Sales!L114</f>
        <v>0</v>
      </c>
      <c r="M81" s="318">
        <f>Sales!M114</f>
        <v>0</v>
      </c>
      <c r="N81" s="318">
        <f>Sales!N114</f>
        <v>0</v>
      </c>
      <c r="O81" s="318">
        <f>Sales!O114</f>
        <v>0</v>
      </c>
      <c r="P81" s="318">
        <f>Sales!P114</f>
        <v>0</v>
      </c>
      <c r="Q81" s="319">
        <f>Sales!Q114</f>
        <v>0</v>
      </c>
      <c r="R81" s="318">
        <f>Sales!R114</f>
        <v>0</v>
      </c>
      <c r="S81" s="318">
        <f>Sales!S114</f>
        <v>0</v>
      </c>
      <c r="T81" s="318">
        <f>Sales!T114</f>
        <v>0</v>
      </c>
      <c r="U81" s="318">
        <f>Sales!U114</f>
        <v>0</v>
      </c>
      <c r="V81" s="319">
        <f>Sales!V114</f>
        <v>0</v>
      </c>
      <c r="W81" s="320">
        <f>Sales!W114</f>
        <v>0</v>
      </c>
      <c r="X81" s="321">
        <f>Sales!X114</f>
        <v>0</v>
      </c>
      <c r="Y81" s="321">
        <f>Sales!Y114</f>
        <v>0</v>
      </c>
      <c r="Z81" s="321">
        <f>Sales!Z114</f>
        <v>0</v>
      </c>
      <c r="AA81" s="322">
        <f>Sales!AA114</f>
        <v>0</v>
      </c>
      <c r="AB81" s="320">
        <f>Sales!AB114</f>
        <v>0</v>
      </c>
      <c r="AC81" s="320">
        <f>Sales!AC114</f>
        <v>0</v>
      </c>
      <c r="AD81" s="320">
        <f>Sales!AD114</f>
        <v>0</v>
      </c>
      <c r="AE81" s="320">
        <f>Sales!AE114</f>
        <v>0</v>
      </c>
      <c r="AF81" s="372">
        <f>Sales!AF114</f>
        <v>0</v>
      </c>
      <c r="AG81" s="324">
        <f>Sales!AG114</f>
        <v>0</v>
      </c>
      <c r="AH81" s="324">
        <f>Sales!AH114</f>
        <v>0</v>
      </c>
      <c r="AI81" s="324">
        <f>Sales!AI114</f>
        <v>0</v>
      </c>
      <c r="AJ81" s="373">
        <f>Sales!AJ114</f>
        <v>0</v>
      </c>
      <c r="AK81" s="372">
        <f>Sales!AK114</f>
        <v>0</v>
      </c>
      <c r="AL81" s="373">
        <f>Sales!AL114</f>
        <v>0</v>
      </c>
      <c r="AM81" s="324">
        <f>Sales!AM114</f>
        <v>0</v>
      </c>
      <c r="AN81" s="373">
        <f>Sales!AN114</f>
        <v>0</v>
      </c>
      <c r="AO81" s="373">
        <f>Sales!AO114</f>
        <v>0</v>
      </c>
      <c r="AP81" s="372">
        <f>Sales!AP114</f>
        <v>0</v>
      </c>
      <c r="AQ81" s="374">
        <f>Sales!AQ114</f>
        <v>0</v>
      </c>
      <c r="AR81" s="324">
        <f>Sales!AR114</f>
        <v>0</v>
      </c>
      <c r="AS81" s="373">
        <f>Sales!AS114</f>
        <v>0</v>
      </c>
      <c r="AT81" s="373">
        <f>Sales!AT114</f>
        <v>0</v>
      </c>
      <c r="AU81" s="372">
        <f>Sales!AU114</f>
        <v>0</v>
      </c>
      <c r="AV81" s="324">
        <f>Sales!AV114</f>
        <v>0</v>
      </c>
      <c r="AW81" s="373">
        <f>Sales!AW114</f>
        <v>0</v>
      </c>
      <c r="AX81" s="373">
        <f>Sales!AX114</f>
        <v>0</v>
      </c>
      <c r="AY81" s="373">
        <f>Sales!AY114</f>
        <v>0</v>
      </c>
      <c r="AZ81" s="372">
        <f>Sales!AZ114</f>
        <v>0</v>
      </c>
      <c r="BA81" s="373">
        <f>Sales!BA114</f>
        <v>0</v>
      </c>
      <c r="BB81" s="373">
        <f>Sales!BB114</f>
        <v>0</v>
      </c>
      <c r="BC81" s="373">
        <f>Sales!BC114</f>
        <v>0</v>
      </c>
      <c r="BD81" s="373">
        <f>Sales!BD114</f>
        <v>0</v>
      </c>
      <c r="BE81" s="375">
        <f>Sales!BE114</f>
        <v>0</v>
      </c>
      <c r="BF81" s="376">
        <f>Sales!BF114</f>
        <v>0</v>
      </c>
      <c r="BG81" s="376">
        <f>Sales!BG114</f>
        <v>0</v>
      </c>
      <c r="BH81" s="376">
        <f>Sales!BH114</f>
        <v>0</v>
      </c>
      <c r="BI81" s="376">
        <f>Sales!BI114</f>
        <v>0</v>
      </c>
      <c r="BJ81" s="372">
        <f>Sales!BJ114</f>
        <v>0</v>
      </c>
      <c r="BK81" s="376">
        <f>Sales!BK114</f>
        <v>0</v>
      </c>
      <c r="BL81" s="376">
        <f>Sales!BL114</f>
        <v>0</v>
      </c>
      <c r="BM81" s="376">
        <f>Sales!BM114</f>
        <v>0</v>
      </c>
      <c r="BN81" s="376">
        <f>Sales!BN114</f>
        <v>0</v>
      </c>
      <c r="BO81" s="372">
        <f>Sales!BO114</f>
        <v>0.16284586815227486</v>
      </c>
      <c r="BP81" s="376">
        <f>Sales!BP114</f>
        <v>0</v>
      </c>
      <c r="BQ81" s="376">
        <f>Sales!BQ114</f>
        <v>0</v>
      </c>
      <c r="BR81" s="376">
        <f>Sales!BR114</f>
        <v>0</v>
      </c>
      <c r="BS81" s="376">
        <f>Sales!BS114</f>
        <v>0</v>
      </c>
      <c r="BT81" s="372">
        <f>Sales!BT114</f>
        <v>0.11703569589223761</v>
      </c>
      <c r="BU81" s="376">
        <f>Sales!BU114</f>
        <v>0</v>
      </c>
      <c r="BV81" s="376">
        <f>Sales!BV114</f>
        <v>0</v>
      </c>
      <c r="BW81" s="376">
        <f>Sales!BW114</f>
        <v>0</v>
      </c>
      <c r="BX81" s="376">
        <f>Sales!BX114</f>
        <v>0</v>
      </c>
      <c r="BY81" s="372">
        <f>Sales!BY114</f>
        <v>9.9324465428305198E-2</v>
      </c>
      <c r="BZ81" s="376">
        <f>Sales!BZ114</f>
        <v>0</v>
      </c>
      <c r="CA81" s="376">
        <f>Sales!CA114</f>
        <v>0</v>
      </c>
      <c r="CB81" s="376">
        <f>Sales!CB114</f>
        <v>0</v>
      </c>
      <c r="CC81" s="376">
        <f>Sales!CC114</f>
        <v>0</v>
      </c>
      <c r="CD81" s="372">
        <f>Sales!CD114</f>
        <v>4.1742646306943465E-2</v>
      </c>
    </row>
    <row r="82" spans="1:83" s="285" customFormat="1">
      <c r="A82" s="28"/>
      <c r="B82" s="433" t="str">
        <f>Sales!B115</f>
        <v>Total United States</v>
      </c>
      <c r="C82" s="434">
        <f>Sales!C115</f>
        <v>0</v>
      </c>
      <c r="D82" s="434">
        <f>Sales!D115</f>
        <v>0</v>
      </c>
      <c r="E82" s="434">
        <f>Sales!E115</f>
        <v>0</v>
      </c>
      <c r="F82" s="434">
        <f>Sales!F115</f>
        <v>0</v>
      </c>
      <c r="G82" s="435">
        <f>Sales!G115</f>
        <v>0</v>
      </c>
      <c r="H82" s="434">
        <f>Sales!H115</f>
        <v>0</v>
      </c>
      <c r="I82" s="434">
        <f>Sales!I115</f>
        <v>0</v>
      </c>
      <c r="J82" s="434">
        <f>Sales!J115</f>
        <v>0</v>
      </c>
      <c r="K82" s="434">
        <f>Sales!K115</f>
        <v>0</v>
      </c>
      <c r="L82" s="435">
        <f>Sales!L115</f>
        <v>0</v>
      </c>
      <c r="M82" s="434">
        <f>Sales!M115</f>
        <v>0</v>
      </c>
      <c r="N82" s="434">
        <f>Sales!N115</f>
        <v>0</v>
      </c>
      <c r="O82" s="434">
        <f>Sales!O115</f>
        <v>0</v>
      </c>
      <c r="P82" s="434">
        <f>Sales!P115</f>
        <v>0</v>
      </c>
      <c r="Q82" s="435">
        <f>Sales!Q115</f>
        <v>0</v>
      </c>
      <c r="R82" s="434">
        <f>Sales!R115</f>
        <v>0</v>
      </c>
      <c r="S82" s="434">
        <f>Sales!S115</f>
        <v>0</v>
      </c>
      <c r="T82" s="434">
        <f>Sales!T115</f>
        <v>0</v>
      </c>
      <c r="U82" s="434">
        <f>Sales!U115</f>
        <v>0</v>
      </c>
      <c r="V82" s="435">
        <f>Sales!V115</f>
        <v>0</v>
      </c>
      <c r="W82" s="434">
        <f>Sales!W115</f>
        <v>0</v>
      </c>
      <c r="X82" s="434">
        <f>Sales!X115</f>
        <v>0</v>
      </c>
      <c r="Y82" s="434">
        <f>Sales!Y115</f>
        <v>0</v>
      </c>
      <c r="Z82" s="434">
        <f>Sales!Z115</f>
        <v>0</v>
      </c>
      <c r="AA82" s="435">
        <f>Sales!AA115</f>
        <v>0</v>
      </c>
      <c r="AB82" s="434">
        <f>Sales!AB115</f>
        <v>0</v>
      </c>
      <c r="AC82" s="434">
        <f>Sales!AC115</f>
        <v>0</v>
      </c>
      <c r="AD82" s="434">
        <f>Sales!AD115</f>
        <v>0</v>
      </c>
      <c r="AE82" s="434">
        <f>Sales!AE115</f>
        <v>0</v>
      </c>
      <c r="AF82" s="435">
        <f>Sales!AF115</f>
        <v>0</v>
      </c>
      <c r="AG82" s="434">
        <f>Sales!AG115</f>
        <v>0</v>
      </c>
      <c r="AH82" s="434">
        <f>Sales!AH115</f>
        <v>0</v>
      </c>
      <c r="AI82" s="434">
        <f>Sales!AI115</f>
        <v>0</v>
      </c>
      <c r="AJ82" s="434">
        <f>Sales!AJ115</f>
        <v>0</v>
      </c>
      <c r="AK82" s="435">
        <f>Sales!AK115</f>
        <v>0</v>
      </c>
      <c r="AL82" s="436">
        <f>Sales!AL115</f>
        <v>0</v>
      </c>
      <c r="AM82" s="434">
        <f>Sales!AM115</f>
        <v>0</v>
      </c>
      <c r="AN82" s="436">
        <f>Sales!AN115</f>
        <v>0</v>
      </c>
      <c r="AO82" s="434">
        <f>Sales!AO115</f>
        <v>0</v>
      </c>
      <c r="AP82" s="435">
        <f>Sales!AP115</f>
        <v>0</v>
      </c>
      <c r="AQ82" s="437">
        <f>Sales!AQ115</f>
        <v>642.6</v>
      </c>
      <c r="AR82" s="437">
        <f>Sales!AR115</f>
        <v>650.5</v>
      </c>
      <c r="AS82" s="437">
        <f>Sales!AS115</f>
        <v>815.80000000000007</v>
      </c>
      <c r="AT82" s="437">
        <f>Sales!AT115</f>
        <v>1085.5999999999999</v>
      </c>
      <c r="AU82" s="438">
        <f>Sales!AU115</f>
        <v>3194.5</v>
      </c>
      <c r="AV82" s="437">
        <f>Sales!AV115</f>
        <v>1006.4</v>
      </c>
      <c r="AW82" s="437">
        <f>Sales!AW115</f>
        <v>1038.1000000000001</v>
      </c>
      <c r="AX82" s="437">
        <f>Sales!AX115</f>
        <v>1087.2</v>
      </c>
      <c r="AY82" s="437">
        <f>Sales!AY115</f>
        <v>1334.7</v>
      </c>
      <c r="AZ82" s="438">
        <f>Sales!AZ115</f>
        <v>4466.3999999999996</v>
      </c>
      <c r="BA82" s="437">
        <f>Sales!BA115</f>
        <v>1403.7</v>
      </c>
      <c r="BB82" s="437">
        <f>Sales!BB115</f>
        <v>1840.3000000000002</v>
      </c>
      <c r="BC82" s="437">
        <f>Sales!BC115</f>
        <v>1968.1999999999998</v>
      </c>
      <c r="BD82" s="437">
        <f>Sales!BD115</f>
        <v>1894.6000000000001</v>
      </c>
      <c r="BE82" s="438">
        <f>Sales!BE115</f>
        <v>7106.8000000000011</v>
      </c>
      <c r="BF82" s="439">
        <f>Sales!BF115</f>
        <v>1591.17</v>
      </c>
      <c r="BG82" s="439">
        <f>Sales!BG115</f>
        <v>1822.41</v>
      </c>
      <c r="BH82" s="439">
        <f>Sales!BH115</f>
        <v>1953.175</v>
      </c>
      <c r="BI82" s="439">
        <f>Sales!BI115</f>
        <v>2065.585</v>
      </c>
      <c r="BJ82" s="438">
        <f>Sales!BJ115</f>
        <v>7432.34</v>
      </c>
      <c r="BK82" s="439">
        <f>Sales!BK115</f>
        <v>0</v>
      </c>
      <c r="BL82" s="439">
        <f>Sales!BL115</f>
        <v>0</v>
      </c>
      <c r="BM82" s="439">
        <f>Sales!BM115</f>
        <v>0</v>
      </c>
      <c r="BN82" s="439">
        <f>Sales!BN115</f>
        <v>0</v>
      </c>
      <c r="BO82" s="438">
        <f>Sales!BO115</f>
        <v>8054.9653500000004</v>
      </c>
      <c r="BP82" s="439">
        <f>Sales!BP115</f>
        <v>0</v>
      </c>
      <c r="BQ82" s="439">
        <f>Sales!BQ115</f>
        <v>0</v>
      </c>
      <c r="BR82" s="439">
        <f>Sales!BR115</f>
        <v>0</v>
      </c>
      <c r="BS82" s="439">
        <f>Sales!BS115</f>
        <v>0</v>
      </c>
      <c r="BT82" s="438">
        <f>Sales!BT115</f>
        <v>8602.3704519999992</v>
      </c>
      <c r="BU82" s="439">
        <f>Sales!BU115</f>
        <v>0</v>
      </c>
      <c r="BV82" s="439">
        <f>Sales!BV115</f>
        <v>0</v>
      </c>
      <c r="BW82" s="439">
        <f>Sales!BW115</f>
        <v>0</v>
      </c>
      <c r="BX82" s="439">
        <f>Sales!BX115</f>
        <v>0</v>
      </c>
      <c r="BY82" s="438">
        <f>Sales!BY115</f>
        <v>9178.9723760400011</v>
      </c>
      <c r="BZ82" s="439">
        <f>Sales!BZ115</f>
        <v>0</v>
      </c>
      <c r="CA82" s="439">
        <f>Sales!CA115</f>
        <v>0</v>
      </c>
      <c r="CB82" s="439">
        <f>Sales!CB115</f>
        <v>0</v>
      </c>
      <c r="CC82" s="439">
        <f>Sales!CC115</f>
        <v>0</v>
      </c>
      <c r="CD82" s="438">
        <f>Sales!CD115</f>
        <v>9587.0600168807996</v>
      </c>
    </row>
    <row r="83" spans="1:83" s="285" customFormat="1">
      <c r="A83" s="28"/>
      <c r="B83" s="440" t="str">
        <f>Sales!B116</f>
        <v>growth</v>
      </c>
      <c r="C83" s="441">
        <f>Sales!C116</f>
        <v>0</v>
      </c>
      <c r="D83" s="441">
        <f>Sales!D116</f>
        <v>0</v>
      </c>
      <c r="E83" s="441">
        <f>Sales!E116</f>
        <v>0</v>
      </c>
      <c r="F83" s="441">
        <f>Sales!F116</f>
        <v>0</v>
      </c>
      <c r="G83" s="442">
        <f>Sales!G116</f>
        <v>0</v>
      </c>
      <c r="H83" s="441">
        <f>Sales!H116</f>
        <v>0</v>
      </c>
      <c r="I83" s="441">
        <f>Sales!I116</f>
        <v>0</v>
      </c>
      <c r="J83" s="441">
        <f>Sales!J116</f>
        <v>0</v>
      </c>
      <c r="K83" s="441">
        <f>Sales!K116</f>
        <v>0</v>
      </c>
      <c r="L83" s="442">
        <f>Sales!L116</f>
        <v>0</v>
      </c>
      <c r="M83" s="441">
        <f>Sales!M116</f>
        <v>0</v>
      </c>
      <c r="N83" s="441">
        <f>Sales!N116</f>
        <v>0</v>
      </c>
      <c r="O83" s="441">
        <f>Sales!O116</f>
        <v>0</v>
      </c>
      <c r="P83" s="441">
        <f>Sales!P116</f>
        <v>0</v>
      </c>
      <c r="Q83" s="442">
        <f>Sales!Q116</f>
        <v>0</v>
      </c>
      <c r="R83" s="441">
        <f>Sales!R116</f>
        <v>0</v>
      </c>
      <c r="S83" s="441">
        <f>Sales!S116</f>
        <v>0</v>
      </c>
      <c r="T83" s="441">
        <f>Sales!T116</f>
        <v>0</v>
      </c>
      <c r="U83" s="441">
        <f>Sales!U116</f>
        <v>0</v>
      </c>
      <c r="V83" s="442">
        <f>Sales!V116</f>
        <v>0</v>
      </c>
      <c r="W83" s="441">
        <f>Sales!W116</f>
        <v>0</v>
      </c>
      <c r="X83" s="441">
        <f>Sales!X116</f>
        <v>0</v>
      </c>
      <c r="Y83" s="441">
        <f>Sales!Y116</f>
        <v>0</v>
      </c>
      <c r="Z83" s="441">
        <f>Sales!Z116</f>
        <v>0</v>
      </c>
      <c r="AA83" s="442">
        <f>Sales!AA116</f>
        <v>0</v>
      </c>
      <c r="AB83" s="441">
        <f>Sales!AB116</f>
        <v>0</v>
      </c>
      <c r="AC83" s="441">
        <f>Sales!AC116</f>
        <v>0</v>
      </c>
      <c r="AD83" s="441">
        <f>Sales!AD116</f>
        <v>0</v>
      </c>
      <c r="AE83" s="441">
        <f>Sales!AE116</f>
        <v>0</v>
      </c>
      <c r="AF83" s="442">
        <f>Sales!AF116</f>
        <v>0</v>
      </c>
      <c r="AG83" s="441">
        <f>Sales!AG116</f>
        <v>0</v>
      </c>
      <c r="AH83" s="441">
        <f>Sales!AH116</f>
        <v>0</v>
      </c>
      <c r="AI83" s="441">
        <f>Sales!AI116</f>
        <v>0</v>
      </c>
      <c r="AJ83" s="441">
        <f>Sales!AJ116</f>
        <v>0</v>
      </c>
      <c r="AK83" s="442">
        <f>Sales!AK116</f>
        <v>0</v>
      </c>
      <c r="AL83" s="443">
        <f>Sales!AL116</f>
        <v>0</v>
      </c>
      <c r="AM83" s="441">
        <f>Sales!AM116</f>
        <v>0</v>
      </c>
      <c r="AN83" s="443">
        <f>Sales!AN116</f>
        <v>0</v>
      </c>
      <c r="AO83" s="441">
        <f>Sales!AO116</f>
        <v>0</v>
      </c>
      <c r="AP83" s="442">
        <f>Sales!AP116</f>
        <v>0</v>
      </c>
      <c r="AQ83" s="441">
        <f>Sales!AQ116</f>
        <v>0</v>
      </c>
      <c r="AR83" s="441">
        <f>Sales!AR116</f>
        <v>0</v>
      </c>
      <c r="AS83" s="441">
        <f>Sales!AS116</f>
        <v>0</v>
      </c>
      <c r="AT83" s="441">
        <f>Sales!AT116</f>
        <v>0</v>
      </c>
      <c r="AU83" s="442">
        <f>Sales!AU116</f>
        <v>0</v>
      </c>
      <c r="AV83" s="444">
        <f>Sales!AV116</f>
        <v>0.56613756613756605</v>
      </c>
      <c r="AW83" s="444">
        <f>Sales!AW116</f>
        <v>0.59584934665641831</v>
      </c>
      <c r="AX83" s="444">
        <f>Sales!AX116</f>
        <v>0.33267957832802142</v>
      </c>
      <c r="AY83" s="444">
        <f>Sales!AY116</f>
        <v>0.22945836403831987</v>
      </c>
      <c r="AZ83" s="445">
        <f>Sales!AZ116</f>
        <v>0.39815307559868507</v>
      </c>
      <c r="BA83" s="444">
        <f>Sales!BA116</f>
        <v>0.39477344992050889</v>
      </c>
      <c r="BB83" s="281">
        <f>Sales!BB116</f>
        <v>0.77275792312879288</v>
      </c>
      <c r="BC83" s="281">
        <f>Sales!BC116</f>
        <v>0.81033848417954357</v>
      </c>
      <c r="BD83" s="281">
        <f>Sales!BD116</f>
        <v>0.41949501760695296</v>
      </c>
      <c r="BE83" s="445">
        <f>Sales!BE116</f>
        <v>0.59116962206698953</v>
      </c>
      <c r="BF83" s="446">
        <f>Sales!BF116</f>
        <v>0.13355417824321436</v>
      </c>
      <c r="BG83" s="446">
        <f>Sales!BG116</f>
        <v>-9.721241101994238E-3</v>
      </c>
      <c r="BH83" s="446">
        <f>Sales!BH116</f>
        <v>-7.6338786708667339E-3</v>
      </c>
      <c r="BI83" s="446">
        <f>Sales!BI116</f>
        <v>9.0248601287870711E-2</v>
      </c>
      <c r="BJ83" s="445">
        <f>Sales!BJ116</f>
        <v>4.5806832892440807E-2</v>
      </c>
      <c r="BK83" s="446">
        <f>Sales!BK116</f>
        <v>0</v>
      </c>
      <c r="BL83" s="446">
        <f>Sales!BL116</f>
        <v>0</v>
      </c>
      <c r="BM83" s="446">
        <f>Sales!BM116</f>
        <v>0</v>
      </c>
      <c r="BN83" s="446">
        <f>Sales!BN116</f>
        <v>0</v>
      </c>
      <c r="BO83" s="445">
        <f>Sales!BO116</f>
        <v>8.3772452551955423E-2</v>
      </c>
      <c r="BP83" s="446">
        <f>Sales!BP116</f>
        <v>0</v>
      </c>
      <c r="BQ83" s="446">
        <f>Sales!BQ116</f>
        <v>0</v>
      </c>
      <c r="BR83" s="446">
        <f>Sales!BR116</f>
        <v>0</v>
      </c>
      <c r="BS83" s="446">
        <f>Sales!BS116</f>
        <v>0</v>
      </c>
      <c r="BT83" s="445">
        <f>Sales!BT116</f>
        <v>6.7958715924209212E-2</v>
      </c>
      <c r="BU83" s="446">
        <f>Sales!BU116</f>
        <v>0</v>
      </c>
      <c r="BV83" s="446">
        <f>Sales!BV116</f>
        <v>0</v>
      </c>
      <c r="BW83" s="446">
        <f>Sales!BW116</f>
        <v>0</v>
      </c>
      <c r="BX83" s="446">
        <f>Sales!BX116</f>
        <v>0</v>
      </c>
      <c r="BY83" s="445">
        <f>Sales!BY116</f>
        <v>6.7028260089164737E-2</v>
      </c>
      <c r="BZ83" s="446">
        <f>Sales!BZ116</f>
        <v>0</v>
      </c>
      <c r="CA83" s="446">
        <f>Sales!CA116</f>
        <v>0</v>
      </c>
      <c r="CB83" s="446">
        <f>Sales!CB116</f>
        <v>0</v>
      </c>
      <c r="CC83" s="446">
        <f>Sales!CC116</f>
        <v>0</v>
      </c>
      <c r="CD83" s="445">
        <f>Sales!CD116</f>
        <v>4.4458968185375092E-2</v>
      </c>
    </row>
    <row r="84" spans="1:83" s="454" customFormat="1" hidden="1">
      <c r="A84" s="157"/>
      <c r="B84" s="447" t="str">
        <f>Sales!B117</f>
        <v>Total Developed ROW (Canada/Austraila/Japan/WEU)</v>
      </c>
      <c r="C84" s="448" t="e">
        <f>Sales!C117</f>
        <v>#REF!</v>
      </c>
      <c r="D84" s="448" t="e">
        <f>Sales!D117</f>
        <v>#REF!</v>
      </c>
      <c r="E84" s="448" t="e">
        <f>Sales!E117</f>
        <v>#REF!</v>
      </c>
      <c r="F84" s="448" t="e">
        <f>Sales!F117</f>
        <v>#REF!</v>
      </c>
      <c r="G84" s="449" t="e">
        <f>Sales!G117</f>
        <v>#REF!</v>
      </c>
      <c r="H84" s="448" t="e">
        <f>Sales!H117</f>
        <v>#REF!</v>
      </c>
      <c r="I84" s="448" t="e">
        <f>Sales!I117</f>
        <v>#REF!</v>
      </c>
      <c r="J84" s="448" t="e">
        <f>Sales!J117</f>
        <v>#REF!</v>
      </c>
      <c r="K84" s="448" t="e">
        <f>Sales!K117</f>
        <v>#REF!</v>
      </c>
      <c r="L84" s="449" t="e">
        <f>Sales!L117</f>
        <v>#REF!</v>
      </c>
      <c r="M84" s="448" t="e">
        <f>Sales!M117</f>
        <v>#REF!</v>
      </c>
      <c r="N84" s="448" t="e">
        <f>Sales!N117</f>
        <v>#REF!</v>
      </c>
      <c r="O84" s="448" t="e">
        <f>Sales!O117</f>
        <v>#REF!</v>
      </c>
      <c r="P84" s="448" t="e">
        <f>Sales!P117</f>
        <v>#REF!</v>
      </c>
      <c r="Q84" s="449" t="e">
        <f>Sales!Q117</f>
        <v>#REF!</v>
      </c>
      <c r="R84" s="448" t="e">
        <f>Sales!R117</f>
        <v>#REF!</v>
      </c>
      <c r="S84" s="448" t="e">
        <f>Sales!S117</f>
        <v>#REF!</v>
      </c>
      <c r="T84" s="448" t="e">
        <f>Sales!T117</f>
        <v>#REF!</v>
      </c>
      <c r="U84" s="448" t="e">
        <f>Sales!U117</f>
        <v>#REF!</v>
      </c>
      <c r="V84" s="449" t="e">
        <f>Sales!V117</f>
        <v>#REF!</v>
      </c>
      <c r="W84" s="450" t="e">
        <f>Sales!W117</f>
        <v>#REF!</v>
      </c>
      <c r="X84" s="450" t="e">
        <f>Sales!X117</f>
        <v>#REF!</v>
      </c>
      <c r="Y84" s="450" t="e">
        <f>Sales!Y117</f>
        <v>#REF!</v>
      </c>
      <c r="Z84" s="450" t="e">
        <f>Sales!Z117</f>
        <v>#REF!</v>
      </c>
      <c r="AA84" s="451" t="e">
        <f>Sales!AA117</f>
        <v>#REF!</v>
      </c>
      <c r="AB84" s="450">
        <f>Sales!AB117</f>
        <v>0</v>
      </c>
      <c r="AC84" s="450">
        <f>Sales!AC117</f>
        <v>0</v>
      </c>
      <c r="AD84" s="450">
        <f>Sales!AD117</f>
        <v>0</v>
      </c>
      <c r="AE84" s="450">
        <f>Sales!AE117</f>
        <v>0</v>
      </c>
      <c r="AF84" s="451">
        <f>Sales!AF117</f>
        <v>0</v>
      </c>
      <c r="AG84" s="452">
        <f>Sales!AG117</f>
        <v>0</v>
      </c>
      <c r="AH84" s="450">
        <f>Sales!AH117</f>
        <v>0</v>
      </c>
      <c r="AI84" s="450">
        <f>Sales!AI117</f>
        <v>0</v>
      </c>
      <c r="AJ84" s="452">
        <f>Sales!AJ117</f>
        <v>0</v>
      </c>
      <c r="AK84" s="451">
        <f>Sales!AK117</f>
        <v>0</v>
      </c>
      <c r="AL84" s="450">
        <f>Sales!AL117</f>
        <v>0</v>
      </c>
      <c r="AM84" s="452">
        <f>Sales!AM117</f>
        <v>0</v>
      </c>
      <c r="AN84" s="452">
        <f>Sales!AN117</f>
        <v>0</v>
      </c>
      <c r="AO84" s="450">
        <f>Sales!AO117</f>
        <v>0</v>
      </c>
      <c r="AP84" s="451">
        <f>Sales!AP117</f>
        <v>0</v>
      </c>
      <c r="AQ84" s="452">
        <f>Sales!AQ117</f>
        <v>128.5</v>
      </c>
      <c r="AR84" s="450">
        <f>Sales!AR117</f>
        <v>141.30000000000001</v>
      </c>
      <c r="AS84" s="450">
        <f>Sales!AS117</f>
        <v>326.88900000000001</v>
      </c>
      <c r="AT84" s="450">
        <f>Sales!AT117</f>
        <v>484.77199999999999</v>
      </c>
      <c r="AU84" s="451">
        <f>Sales!AU117</f>
        <v>1081.461</v>
      </c>
      <c r="AV84" s="450">
        <f>Sales!AV117</f>
        <v>415.4</v>
      </c>
      <c r="AW84" s="450">
        <f>Sales!AW117</f>
        <v>441.6</v>
      </c>
      <c r="AX84" s="450">
        <f>Sales!AX117</f>
        <v>420.7</v>
      </c>
      <c r="AY84" s="450">
        <f>Sales!AY117</f>
        <v>423</v>
      </c>
      <c r="AZ84" s="451">
        <f>Sales!AZ117</f>
        <v>1700.7</v>
      </c>
      <c r="BA84" s="450">
        <f>Sales!BA117</f>
        <v>360.7</v>
      </c>
      <c r="BB84" s="450">
        <f>Sales!BB117</f>
        <v>397.3</v>
      </c>
      <c r="BC84" s="450">
        <f>Sales!BC117</f>
        <v>352.5</v>
      </c>
      <c r="BD84" s="450">
        <f>Sales!BD117</f>
        <v>363.4</v>
      </c>
      <c r="BE84" s="451">
        <f>Sales!BE117</f>
        <v>1473.9</v>
      </c>
      <c r="BF84" s="451">
        <f>Sales!BF117</f>
        <v>339.05799999999999</v>
      </c>
      <c r="BG84" s="451">
        <f>Sales!BG117</f>
        <v>385.38100000000003</v>
      </c>
      <c r="BH84" s="451">
        <f>Sales!BH117</f>
        <v>348.97500000000002</v>
      </c>
      <c r="BI84" s="451">
        <f>Sales!BI117</f>
        <v>370.66800000000001</v>
      </c>
      <c r="BJ84" s="451">
        <f>Sales!BJ117</f>
        <v>1444.0820000000003</v>
      </c>
      <c r="BK84" s="28">
        <f>Sales!BK117</f>
        <v>0</v>
      </c>
      <c r="BL84" s="28">
        <f>Sales!BL117</f>
        <v>0</v>
      </c>
      <c r="BM84" s="28">
        <f>Sales!BM117</f>
        <v>0</v>
      </c>
      <c r="BN84" s="28">
        <f>Sales!BN117</f>
        <v>0</v>
      </c>
      <c r="BO84" s="451">
        <f>Sales!BO117</f>
        <v>1472.9636400000004</v>
      </c>
      <c r="BP84" s="451">
        <f>Sales!BP117</f>
        <v>0</v>
      </c>
      <c r="BQ84" s="451">
        <f>Sales!BQ117</f>
        <v>0</v>
      </c>
      <c r="BR84" s="451">
        <f>Sales!BR117</f>
        <v>0</v>
      </c>
      <c r="BS84" s="451">
        <f>Sales!BS117</f>
        <v>0</v>
      </c>
      <c r="BT84" s="451">
        <f>Sales!BT117</f>
        <v>1502.4229128000004</v>
      </c>
      <c r="BU84" s="28">
        <f>Sales!BU117</f>
        <v>0</v>
      </c>
      <c r="BV84" s="28">
        <f>Sales!BV117</f>
        <v>0</v>
      </c>
      <c r="BW84" s="28">
        <f>Sales!BW117</f>
        <v>0</v>
      </c>
      <c r="BX84" s="28">
        <f>Sales!BX117</f>
        <v>0</v>
      </c>
      <c r="BY84" s="451">
        <f>Sales!BY117</f>
        <v>1532.4713710560004</v>
      </c>
      <c r="BZ84" s="451">
        <f>Sales!BZ117</f>
        <v>0</v>
      </c>
      <c r="CA84" s="451">
        <f>Sales!CA117</f>
        <v>0</v>
      </c>
      <c r="CB84" s="451">
        <f>Sales!CB117</f>
        <v>0</v>
      </c>
      <c r="CC84" s="451">
        <f>Sales!CC117</f>
        <v>0</v>
      </c>
      <c r="CD84" s="451">
        <f>Sales!CD117</f>
        <v>1563.1207984771204</v>
      </c>
      <c r="CE84" s="157"/>
    </row>
    <row r="85" spans="1:83" s="454" customFormat="1" hidden="1">
      <c r="A85" s="157"/>
      <c r="B85" s="455" t="str">
        <f>Sales!B118</f>
        <v>operational growth</v>
      </c>
      <c r="C85" s="456">
        <f>Sales!C118</f>
        <v>0</v>
      </c>
      <c r="D85" s="456">
        <f>Sales!D118</f>
        <v>0</v>
      </c>
      <c r="E85" s="456">
        <f>Sales!E118</f>
        <v>0</v>
      </c>
      <c r="F85" s="456">
        <f>Sales!F118</f>
        <v>0</v>
      </c>
      <c r="G85" s="457">
        <f>Sales!G118</f>
        <v>0</v>
      </c>
      <c r="H85" s="456">
        <f>Sales!H118</f>
        <v>0</v>
      </c>
      <c r="I85" s="456">
        <f>Sales!I118</f>
        <v>0</v>
      </c>
      <c r="J85" s="456">
        <f>Sales!J118</f>
        <v>0</v>
      </c>
      <c r="K85" s="456">
        <f>Sales!K118</f>
        <v>0</v>
      </c>
      <c r="L85" s="457">
        <f>Sales!L118</f>
        <v>0</v>
      </c>
      <c r="M85" s="456">
        <f>Sales!M118</f>
        <v>0</v>
      </c>
      <c r="N85" s="456">
        <f>Sales!N118</f>
        <v>0</v>
      </c>
      <c r="O85" s="456">
        <f>Sales!O118</f>
        <v>0</v>
      </c>
      <c r="P85" s="456">
        <f>Sales!P118</f>
        <v>0</v>
      </c>
      <c r="Q85" s="457">
        <f>Sales!Q118</f>
        <v>0</v>
      </c>
      <c r="R85" s="456">
        <f>Sales!R118</f>
        <v>0</v>
      </c>
      <c r="S85" s="456">
        <f>Sales!S118</f>
        <v>0</v>
      </c>
      <c r="T85" s="456">
        <f>Sales!T118</f>
        <v>0</v>
      </c>
      <c r="U85" s="456">
        <f>Sales!U118</f>
        <v>0</v>
      </c>
      <c r="V85" s="457">
        <f>Sales!V118</f>
        <v>0</v>
      </c>
      <c r="W85" s="458">
        <f>Sales!W118</f>
        <v>0</v>
      </c>
      <c r="X85" s="458">
        <f>Sales!X118</f>
        <v>0</v>
      </c>
      <c r="Y85" s="458">
        <f>Sales!Y118</f>
        <v>0</v>
      </c>
      <c r="Z85" s="458">
        <f>Sales!Z118</f>
        <v>0</v>
      </c>
      <c r="AA85" s="459">
        <f>Sales!AA118</f>
        <v>0</v>
      </c>
      <c r="AB85" s="458">
        <f>Sales!AB118</f>
        <v>0</v>
      </c>
      <c r="AC85" s="458">
        <f>Sales!AC118</f>
        <v>0</v>
      </c>
      <c r="AD85" s="458">
        <f>Sales!AD118</f>
        <v>0</v>
      </c>
      <c r="AE85" s="458">
        <f>Sales!AE118</f>
        <v>0</v>
      </c>
      <c r="AF85" s="459">
        <f>Sales!AF118</f>
        <v>0</v>
      </c>
      <c r="AG85" s="460">
        <f>Sales!AG118</f>
        <v>0</v>
      </c>
      <c r="AH85" s="458">
        <f>Sales!AH118</f>
        <v>0</v>
      </c>
      <c r="AI85" s="458">
        <f>Sales!AI118</f>
        <v>0</v>
      </c>
      <c r="AJ85" s="460">
        <f>Sales!AJ118</f>
        <v>0</v>
      </c>
      <c r="AK85" s="459">
        <f>Sales!AK118</f>
        <v>0</v>
      </c>
      <c r="AL85" s="458">
        <f>Sales!AL118</f>
        <v>0</v>
      </c>
      <c r="AM85" s="460">
        <f>Sales!AM118</f>
        <v>0</v>
      </c>
      <c r="AN85" s="460">
        <f>Sales!AN118</f>
        <v>0</v>
      </c>
      <c r="AO85" s="458">
        <f>Sales!AO118</f>
        <v>0</v>
      </c>
      <c r="AP85" s="459">
        <f>Sales!AP118</f>
        <v>0</v>
      </c>
      <c r="AQ85" s="460">
        <f>Sales!AQ118</f>
        <v>0</v>
      </c>
      <c r="AR85" s="458">
        <f>Sales!AR118</f>
        <v>0</v>
      </c>
      <c r="AS85" s="458">
        <f>Sales!AS118</f>
        <v>0</v>
      </c>
      <c r="AT85" s="458">
        <f>Sales!AT118</f>
        <v>0</v>
      </c>
      <c r="AU85" s="459">
        <f>Sales!AU118</f>
        <v>0</v>
      </c>
      <c r="AV85" s="458">
        <f>Sales!AV118</f>
        <v>0</v>
      </c>
      <c r="AW85" s="458">
        <f>Sales!AW118</f>
        <v>0</v>
      </c>
      <c r="AX85" s="461">
        <f>Sales!AX118</f>
        <v>0.31</v>
      </c>
      <c r="AY85" s="458">
        <f>Sales!AY118</f>
        <v>0</v>
      </c>
      <c r="AZ85" s="459">
        <f>Sales!AZ118</f>
        <v>0</v>
      </c>
      <c r="BA85" s="461">
        <f>Sales!BA118</f>
        <v>1.7573423206547867E-2</v>
      </c>
      <c r="BB85" s="461">
        <f>Sales!BB118</f>
        <v>7.0000000000000007E-2</v>
      </c>
      <c r="BC85" s="662">
        <f>Sales!BC118</f>
        <v>0</v>
      </c>
      <c r="BD85" s="662">
        <f>Sales!BD118</f>
        <v>-2.4586288416075575E-2</v>
      </c>
      <c r="BE85" s="459">
        <f>Sales!BE118</f>
        <v>1.6141543148091853E-2</v>
      </c>
      <c r="BF85" s="459">
        <f>Sales!BF118</f>
        <v>0</v>
      </c>
      <c r="BG85" s="459">
        <f>Sales!BG118</f>
        <v>0.02</v>
      </c>
      <c r="BH85" s="459">
        <f>Sales!BH118</f>
        <v>0.02</v>
      </c>
      <c r="BI85" s="459">
        <f>Sales!BI118</f>
        <v>0.02</v>
      </c>
      <c r="BJ85" s="459">
        <f>Sales!BJ118</f>
        <v>1.4769319492503014E-2</v>
      </c>
      <c r="BK85" s="28">
        <f>Sales!BK118</f>
        <v>0</v>
      </c>
      <c r="BL85" s="28">
        <f>Sales!BL118</f>
        <v>0</v>
      </c>
      <c r="BM85" s="28">
        <f>Sales!BM118</f>
        <v>0</v>
      </c>
      <c r="BN85" s="28">
        <f>Sales!BN118</f>
        <v>0</v>
      </c>
      <c r="BO85" s="459">
        <f>Sales!BO118</f>
        <v>0</v>
      </c>
      <c r="BP85" s="459">
        <f>Sales!BP118</f>
        <v>0</v>
      </c>
      <c r="BQ85" s="459">
        <f>Sales!BQ118</f>
        <v>0</v>
      </c>
      <c r="BR85" s="459">
        <f>Sales!BR118</f>
        <v>0</v>
      </c>
      <c r="BS85" s="459">
        <f>Sales!BS118</f>
        <v>0</v>
      </c>
      <c r="BT85" s="459">
        <f>Sales!BT118</f>
        <v>0</v>
      </c>
      <c r="BU85" s="28">
        <f>Sales!BU118</f>
        <v>0</v>
      </c>
      <c r="BV85" s="28">
        <f>Sales!BV118</f>
        <v>0</v>
      </c>
      <c r="BW85" s="28">
        <f>Sales!BW118</f>
        <v>0</v>
      </c>
      <c r="BX85" s="28">
        <f>Sales!BX118</f>
        <v>0</v>
      </c>
      <c r="BY85" s="459">
        <f>Sales!BY118</f>
        <v>0</v>
      </c>
      <c r="BZ85" s="459">
        <f>Sales!BZ118</f>
        <v>0</v>
      </c>
      <c r="CA85" s="459">
        <f>Sales!CA118</f>
        <v>0</v>
      </c>
      <c r="CB85" s="459">
        <f>Sales!CB118</f>
        <v>0</v>
      </c>
      <c r="CC85" s="459">
        <f>Sales!CC118</f>
        <v>0</v>
      </c>
      <c r="CD85" s="459">
        <f>Sales!CD118</f>
        <v>0</v>
      </c>
      <c r="CE85" s="157"/>
    </row>
    <row r="86" spans="1:83" s="454" customFormat="1" hidden="1">
      <c r="A86" s="157"/>
      <c r="B86" s="455" t="str">
        <f>Sales!B119</f>
        <v>FX impact</v>
      </c>
      <c r="C86" s="456">
        <f>Sales!C119</f>
        <v>0</v>
      </c>
      <c r="D86" s="456">
        <f>Sales!D119</f>
        <v>0</v>
      </c>
      <c r="E86" s="456">
        <f>Sales!E119</f>
        <v>0</v>
      </c>
      <c r="F86" s="456">
        <f>Sales!F119</f>
        <v>0</v>
      </c>
      <c r="G86" s="457">
        <f>Sales!G119</f>
        <v>0</v>
      </c>
      <c r="H86" s="456">
        <f>Sales!H119</f>
        <v>0</v>
      </c>
      <c r="I86" s="456">
        <f>Sales!I119</f>
        <v>0</v>
      </c>
      <c r="J86" s="456">
        <f>Sales!J119</f>
        <v>0</v>
      </c>
      <c r="K86" s="456">
        <f>Sales!K119</f>
        <v>0</v>
      </c>
      <c r="L86" s="457">
        <f>Sales!L119</f>
        <v>0</v>
      </c>
      <c r="M86" s="456">
        <f>Sales!M119</f>
        <v>0</v>
      </c>
      <c r="N86" s="456">
        <f>Sales!N119</f>
        <v>0</v>
      </c>
      <c r="O86" s="456">
        <f>Sales!O119</f>
        <v>0</v>
      </c>
      <c r="P86" s="456">
        <f>Sales!P119</f>
        <v>0</v>
      </c>
      <c r="Q86" s="457">
        <f>Sales!Q119</f>
        <v>0</v>
      </c>
      <c r="R86" s="456">
        <f>Sales!R119</f>
        <v>0</v>
      </c>
      <c r="S86" s="456">
        <f>Sales!S119</f>
        <v>0</v>
      </c>
      <c r="T86" s="456">
        <f>Sales!T119</f>
        <v>0</v>
      </c>
      <c r="U86" s="456">
        <f>Sales!U119</f>
        <v>0</v>
      </c>
      <c r="V86" s="457">
        <f>Sales!V119</f>
        <v>0</v>
      </c>
      <c r="W86" s="458">
        <f>Sales!W119</f>
        <v>0</v>
      </c>
      <c r="X86" s="458">
        <f>Sales!X119</f>
        <v>0</v>
      </c>
      <c r="Y86" s="458">
        <f>Sales!Y119</f>
        <v>0</v>
      </c>
      <c r="Z86" s="458">
        <f>Sales!Z119</f>
        <v>0</v>
      </c>
      <c r="AA86" s="459">
        <f>Sales!AA119</f>
        <v>0</v>
      </c>
      <c r="AB86" s="458">
        <f>Sales!AB119</f>
        <v>0</v>
      </c>
      <c r="AC86" s="458">
        <f>Sales!AC119</f>
        <v>0</v>
      </c>
      <c r="AD86" s="458">
        <f>Sales!AD119</f>
        <v>0</v>
      </c>
      <c r="AE86" s="458">
        <f>Sales!AE119</f>
        <v>0</v>
      </c>
      <c r="AF86" s="459">
        <f>Sales!AF119</f>
        <v>0</v>
      </c>
      <c r="AG86" s="460">
        <f>Sales!AG119</f>
        <v>0</v>
      </c>
      <c r="AH86" s="458">
        <f>Sales!AH119</f>
        <v>0</v>
      </c>
      <c r="AI86" s="458">
        <f>Sales!AI119</f>
        <v>0</v>
      </c>
      <c r="AJ86" s="460">
        <f>Sales!AJ119</f>
        <v>0</v>
      </c>
      <c r="AK86" s="459">
        <f>Sales!AK119</f>
        <v>0</v>
      </c>
      <c r="AL86" s="458">
        <f>Sales!AL119</f>
        <v>0</v>
      </c>
      <c r="AM86" s="460">
        <f>Sales!AM119</f>
        <v>0</v>
      </c>
      <c r="AN86" s="460">
        <f>Sales!AN119</f>
        <v>0</v>
      </c>
      <c r="AO86" s="458">
        <f>Sales!AO119</f>
        <v>0</v>
      </c>
      <c r="AP86" s="459">
        <f>Sales!AP119</f>
        <v>0</v>
      </c>
      <c r="AQ86" s="460">
        <f>Sales!AQ119</f>
        <v>0</v>
      </c>
      <c r="AR86" s="458">
        <f>Sales!AR119</f>
        <v>0</v>
      </c>
      <c r="AS86" s="458">
        <f>Sales!AS119</f>
        <v>0</v>
      </c>
      <c r="AT86" s="458">
        <f>Sales!AT119</f>
        <v>0</v>
      </c>
      <c r="AU86" s="459">
        <f>Sales!AU119</f>
        <v>0</v>
      </c>
      <c r="AV86" s="458">
        <f>Sales!AV119</f>
        <v>0</v>
      </c>
      <c r="AW86" s="458">
        <f>Sales!AW119</f>
        <v>0</v>
      </c>
      <c r="AX86" s="461">
        <f>Sales!AX119</f>
        <v>-2.3018792311763459E-2</v>
      </c>
      <c r="AY86" s="458">
        <f>Sales!AY119</f>
        <v>0</v>
      </c>
      <c r="AZ86" s="459">
        <f>Sales!AZ119</f>
        <v>0</v>
      </c>
      <c r="BA86" s="461">
        <f>Sales!BA119</f>
        <v>-0.14925373134328357</v>
      </c>
      <c r="BB86" s="461">
        <f>Sales!BB119</f>
        <v>-0.17031702898550732</v>
      </c>
      <c r="BC86" s="662">
        <f>Sales!BC119</f>
        <v>-0.1621107677680057</v>
      </c>
      <c r="BD86" s="662">
        <f>Sales!BD119</f>
        <v>-0.11631205673758882</v>
      </c>
      <c r="BE86" s="459">
        <f>Sales!BE119</f>
        <v>-0.14949839620859634</v>
      </c>
      <c r="BF86" s="459">
        <f>Sales!BF119</f>
        <v>-0.06</v>
      </c>
      <c r="BG86" s="459">
        <f>Sales!BG119</f>
        <v>-0.05</v>
      </c>
      <c r="BH86" s="459">
        <f>Sales!BH119</f>
        <v>-0.03</v>
      </c>
      <c r="BI86" s="459">
        <f>Sales!BI119</f>
        <v>0</v>
      </c>
      <c r="BJ86" s="459">
        <f>Sales!BJ119</f>
        <v>-3.5000000000000003E-2</v>
      </c>
      <c r="BK86" s="28">
        <f>Sales!BK119</f>
        <v>0</v>
      </c>
      <c r="BL86" s="28">
        <f>Sales!BL119</f>
        <v>0</v>
      </c>
      <c r="BM86" s="28">
        <f>Sales!BM119</f>
        <v>0</v>
      </c>
      <c r="BN86" s="28">
        <f>Sales!BN119</f>
        <v>0</v>
      </c>
      <c r="BO86" s="459">
        <f>Sales!BO119</f>
        <v>0</v>
      </c>
      <c r="BP86" s="459">
        <f>Sales!BP119</f>
        <v>0</v>
      </c>
      <c r="BQ86" s="459">
        <f>Sales!BQ119</f>
        <v>0</v>
      </c>
      <c r="BR86" s="459">
        <f>Sales!BR119</f>
        <v>0</v>
      </c>
      <c r="BS86" s="459">
        <f>Sales!BS119</f>
        <v>0</v>
      </c>
      <c r="BT86" s="459">
        <f>Sales!BT119</f>
        <v>0</v>
      </c>
      <c r="BU86" s="28">
        <f>Sales!BU119</f>
        <v>0</v>
      </c>
      <c r="BV86" s="28">
        <f>Sales!BV119</f>
        <v>0</v>
      </c>
      <c r="BW86" s="28">
        <f>Sales!BW119</f>
        <v>0</v>
      </c>
      <c r="BX86" s="28">
        <f>Sales!BX119</f>
        <v>0</v>
      </c>
      <c r="BY86" s="459">
        <f>Sales!BY119</f>
        <v>0</v>
      </c>
      <c r="BZ86" s="459">
        <f>Sales!BZ119</f>
        <v>0</v>
      </c>
      <c r="CA86" s="459">
        <f>Sales!CA119</f>
        <v>0</v>
      </c>
      <c r="CB86" s="459">
        <f>Sales!CB119</f>
        <v>0</v>
      </c>
      <c r="CC86" s="459">
        <f>Sales!CC119</f>
        <v>0</v>
      </c>
      <c r="CD86" s="459">
        <f>Sales!CD119</f>
        <v>0</v>
      </c>
      <c r="CE86" s="157"/>
    </row>
    <row r="87" spans="1:83" s="467" customFormat="1" hidden="1">
      <c r="B87" s="468" t="str">
        <f>Sales!B120</f>
        <v>growth</v>
      </c>
      <c r="C87" s="469">
        <f>Sales!C120</f>
        <v>0</v>
      </c>
      <c r="D87" s="469">
        <f>Sales!D120</f>
        <v>0</v>
      </c>
      <c r="E87" s="469">
        <f>Sales!E120</f>
        <v>0</v>
      </c>
      <c r="F87" s="469">
        <f>Sales!F120</f>
        <v>0</v>
      </c>
      <c r="G87" s="470">
        <f>Sales!G120</f>
        <v>0</v>
      </c>
      <c r="H87" s="471">
        <f>Sales!H120</f>
        <v>0</v>
      </c>
      <c r="I87" s="471">
        <f>Sales!I120</f>
        <v>0</v>
      </c>
      <c r="J87" s="471">
        <f>Sales!J120</f>
        <v>0</v>
      </c>
      <c r="K87" s="471">
        <f>Sales!K120</f>
        <v>0</v>
      </c>
      <c r="L87" s="319">
        <f>Sales!L120</f>
        <v>0</v>
      </c>
      <c r="M87" s="471">
        <f>Sales!M120</f>
        <v>0</v>
      </c>
      <c r="N87" s="471">
        <f>Sales!N120</f>
        <v>0</v>
      </c>
      <c r="O87" s="471">
        <f>Sales!O120</f>
        <v>0</v>
      </c>
      <c r="P87" s="471">
        <f>Sales!P120</f>
        <v>0</v>
      </c>
      <c r="Q87" s="319">
        <f>Sales!Q120</f>
        <v>0</v>
      </c>
      <c r="R87" s="471">
        <f>Sales!R120</f>
        <v>0</v>
      </c>
      <c r="S87" s="471">
        <f>Sales!S120</f>
        <v>0</v>
      </c>
      <c r="T87" s="471">
        <f>Sales!T120</f>
        <v>0</v>
      </c>
      <c r="U87" s="471">
        <f>Sales!U120</f>
        <v>0</v>
      </c>
      <c r="V87" s="319">
        <f>Sales!V120</f>
        <v>0</v>
      </c>
      <c r="W87" s="461">
        <f>Sales!W120</f>
        <v>0</v>
      </c>
      <c r="X87" s="461">
        <f>Sales!X120</f>
        <v>0</v>
      </c>
      <c r="Y87" s="461">
        <f>Sales!Y120</f>
        <v>0</v>
      </c>
      <c r="Z87" s="461">
        <f>Sales!Z120</f>
        <v>0</v>
      </c>
      <c r="AA87" s="372">
        <f>Sales!AA120</f>
        <v>0</v>
      </c>
      <c r="AB87" s="461">
        <f>Sales!AB120</f>
        <v>0</v>
      </c>
      <c r="AC87" s="461">
        <f>Sales!AC120</f>
        <v>0</v>
      </c>
      <c r="AD87" s="461">
        <f>Sales!AD120</f>
        <v>0</v>
      </c>
      <c r="AE87" s="461">
        <f>Sales!AE120</f>
        <v>0</v>
      </c>
      <c r="AF87" s="372">
        <f>Sales!AF120</f>
        <v>0</v>
      </c>
      <c r="AG87" s="461">
        <f>Sales!AG120</f>
        <v>0</v>
      </c>
      <c r="AH87" s="461">
        <f>Sales!AH120</f>
        <v>0</v>
      </c>
      <c r="AI87" s="461">
        <f>Sales!AI120</f>
        <v>0</v>
      </c>
      <c r="AJ87" s="461">
        <f>Sales!AJ120</f>
        <v>0</v>
      </c>
      <c r="AK87" s="372">
        <f>Sales!AK120</f>
        <v>0</v>
      </c>
      <c r="AL87" s="461">
        <f>Sales!AL120</f>
        <v>0</v>
      </c>
      <c r="AM87" s="461">
        <f>Sales!AM120</f>
        <v>0</v>
      </c>
      <c r="AN87" s="461">
        <f>Sales!AN120</f>
        <v>0</v>
      </c>
      <c r="AO87" s="461">
        <f>Sales!AO120</f>
        <v>0</v>
      </c>
      <c r="AP87" s="372">
        <f>Sales!AP120</f>
        <v>0</v>
      </c>
      <c r="AQ87" s="461">
        <f>Sales!AQ120</f>
        <v>0</v>
      </c>
      <c r="AR87" s="461">
        <f>Sales!AR120</f>
        <v>0</v>
      </c>
      <c r="AS87" s="461">
        <f>Sales!AS120</f>
        <v>0</v>
      </c>
      <c r="AT87" s="461">
        <f>Sales!AT120</f>
        <v>0</v>
      </c>
      <c r="AU87" s="372">
        <f>Sales!AU120</f>
        <v>0</v>
      </c>
      <c r="AV87" s="461">
        <f>Sales!AV120</f>
        <v>2.2326848249027234</v>
      </c>
      <c r="AW87" s="461">
        <f>Sales!AW120</f>
        <v>2.1252653927813161</v>
      </c>
      <c r="AX87" s="461">
        <f>Sales!AX120</f>
        <v>0.28698120768823654</v>
      </c>
      <c r="AY87" s="461">
        <f>Sales!AY120</f>
        <v>-0.12742485127028791</v>
      </c>
      <c r="AZ87" s="372">
        <f>Sales!AZ120</f>
        <v>0.57259485085453843</v>
      </c>
      <c r="BA87" s="461">
        <f>Sales!BA120</f>
        <v>-0.1316803081367357</v>
      </c>
      <c r="BB87" s="461">
        <f>Sales!BB120</f>
        <v>-0.10031702898550732</v>
      </c>
      <c r="BC87" s="663">
        <f>Sales!BC120</f>
        <v>-0.1621107677680057</v>
      </c>
      <c r="BD87" s="479">
        <f>Sales!BD120</f>
        <v>-0.14089834515366439</v>
      </c>
      <c r="BE87" s="475">
        <f>Sales!BE120</f>
        <v>-0.13335685306050449</v>
      </c>
      <c r="BF87" s="372">
        <f>Sales!BF120</f>
        <v>-0.06</v>
      </c>
      <c r="BG87" s="372">
        <f>Sales!BG120</f>
        <v>-3.0000000000000002E-2</v>
      </c>
      <c r="BH87" s="372">
        <f>Sales!BH120</f>
        <v>-9.9999999999999985E-3</v>
      </c>
      <c r="BI87" s="372">
        <f>Sales!BI120</f>
        <v>0.02</v>
      </c>
      <c r="BJ87" s="372">
        <f>Sales!BJ120</f>
        <v>-2.023068050749699E-2</v>
      </c>
      <c r="BK87" s="376">
        <f>Sales!BK120</f>
        <v>0</v>
      </c>
      <c r="BL87" s="376">
        <f>Sales!BL120</f>
        <v>0</v>
      </c>
      <c r="BM87" s="376">
        <f>Sales!BM120</f>
        <v>0</v>
      </c>
      <c r="BN87" s="376">
        <f>Sales!BN120</f>
        <v>0</v>
      </c>
      <c r="BO87" s="372">
        <f>Sales!BO120</f>
        <v>0.02</v>
      </c>
      <c r="BP87" s="372">
        <f>Sales!BP120</f>
        <v>0</v>
      </c>
      <c r="BQ87" s="372">
        <f>Sales!BQ120</f>
        <v>0</v>
      </c>
      <c r="BR87" s="372">
        <f>Sales!BR120</f>
        <v>0</v>
      </c>
      <c r="BS87" s="372">
        <f>Sales!BS120</f>
        <v>0</v>
      </c>
      <c r="BT87" s="372">
        <f>Sales!BT120</f>
        <v>0.02</v>
      </c>
      <c r="BU87" s="376">
        <f>Sales!BU120</f>
        <v>0</v>
      </c>
      <c r="BV87" s="376">
        <f>Sales!BV120</f>
        <v>0</v>
      </c>
      <c r="BW87" s="376">
        <f>Sales!BW120</f>
        <v>0</v>
      </c>
      <c r="BX87" s="376">
        <f>Sales!BX120</f>
        <v>0</v>
      </c>
      <c r="BY87" s="372">
        <f>Sales!BY120</f>
        <v>0.02</v>
      </c>
      <c r="BZ87" s="372">
        <f>Sales!BZ120</f>
        <v>0</v>
      </c>
      <c r="CA87" s="372">
        <f>Sales!CA120</f>
        <v>0</v>
      </c>
      <c r="CB87" s="372">
        <f>Sales!CB120</f>
        <v>0</v>
      </c>
      <c r="CC87" s="372">
        <f>Sales!CC120</f>
        <v>0</v>
      </c>
      <c r="CD87" s="372">
        <f>Sales!CD120</f>
        <v>0.02</v>
      </c>
    </row>
    <row r="88" spans="1:83" s="483" customFormat="1">
      <c r="A88" s="480"/>
      <c r="B88" s="481" t="str">
        <f>Sales!B121</f>
        <v>Total Developed</v>
      </c>
      <c r="C88" s="452">
        <f>Sales!C121</f>
        <v>0</v>
      </c>
      <c r="D88" s="452">
        <f>Sales!D121</f>
        <v>0</v>
      </c>
      <c r="E88" s="452">
        <f>Sales!E121</f>
        <v>0</v>
      </c>
      <c r="F88" s="452">
        <f>Sales!F121</f>
        <v>0</v>
      </c>
      <c r="G88" s="482">
        <f>Sales!G121</f>
        <v>0</v>
      </c>
      <c r="H88" s="452">
        <f>Sales!H121</f>
        <v>0</v>
      </c>
      <c r="I88" s="452">
        <f>Sales!I121</f>
        <v>0</v>
      </c>
      <c r="J88" s="452">
        <f>Sales!J121</f>
        <v>0</v>
      </c>
      <c r="K88" s="452">
        <f>Sales!K121</f>
        <v>0</v>
      </c>
      <c r="L88" s="482">
        <f>Sales!L121</f>
        <v>0</v>
      </c>
      <c r="M88" s="452">
        <f>Sales!M121</f>
        <v>0</v>
      </c>
      <c r="N88" s="452">
        <f>Sales!N121</f>
        <v>0</v>
      </c>
      <c r="O88" s="452">
        <f>Sales!O121</f>
        <v>0</v>
      </c>
      <c r="P88" s="452">
        <f>Sales!P121</f>
        <v>0</v>
      </c>
      <c r="Q88" s="482">
        <f>Sales!Q121</f>
        <v>0</v>
      </c>
      <c r="R88" s="452" t="e">
        <f>Sales!R121</f>
        <v>#REF!</v>
      </c>
      <c r="S88" s="452" t="e">
        <f>Sales!S121</f>
        <v>#REF!</v>
      </c>
      <c r="T88" s="452" t="e">
        <f>Sales!T121</f>
        <v>#REF!</v>
      </c>
      <c r="U88" s="452" t="e">
        <f>Sales!U121</f>
        <v>#REF!</v>
      </c>
      <c r="V88" s="482" t="e">
        <f>Sales!V121</f>
        <v>#REF!</v>
      </c>
      <c r="W88" s="452" t="e">
        <f>Sales!W121</f>
        <v>#REF!</v>
      </c>
      <c r="X88" s="452" t="e">
        <f>Sales!X121</f>
        <v>#REF!</v>
      </c>
      <c r="Y88" s="452" t="e">
        <f>Sales!Y121</f>
        <v>#REF!</v>
      </c>
      <c r="Z88" s="452" t="e">
        <f>Sales!Z121</f>
        <v>#REF!</v>
      </c>
      <c r="AA88" s="482" t="e">
        <f>Sales!AA121</f>
        <v>#REF!</v>
      </c>
      <c r="AB88" s="452">
        <f>Sales!AB121</f>
        <v>0</v>
      </c>
      <c r="AC88" s="452">
        <f>Sales!AC121</f>
        <v>0</v>
      </c>
      <c r="AD88" s="452">
        <f>Sales!AD121</f>
        <v>0</v>
      </c>
      <c r="AE88" s="452">
        <f>Sales!AE121</f>
        <v>0</v>
      </c>
      <c r="AF88" s="482">
        <f>Sales!AF121</f>
        <v>0</v>
      </c>
      <c r="AG88" s="452">
        <f>Sales!AG121</f>
        <v>0</v>
      </c>
      <c r="AH88" s="452">
        <f>Sales!AH121</f>
        <v>0</v>
      </c>
      <c r="AI88" s="452">
        <f>Sales!AI121</f>
        <v>0</v>
      </c>
      <c r="AJ88" s="452">
        <f>Sales!AJ121</f>
        <v>0</v>
      </c>
      <c r="AK88" s="482">
        <f>Sales!AK121</f>
        <v>0</v>
      </c>
      <c r="AL88" s="452">
        <f>Sales!AL121</f>
        <v>0</v>
      </c>
      <c r="AM88" s="452">
        <f>Sales!AM121</f>
        <v>0</v>
      </c>
      <c r="AN88" s="452">
        <f>Sales!AN121</f>
        <v>0</v>
      </c>
      <c r="AO88" s="452">
        <f>Sales!AO121</f>
        <v>0</v>
      </c>
      <c r="AP88" s="482">
        <f>Sales!AP121</f>
        <v>0</v>
      </c>
      <c r="AQ88" s="452">
        <f>Sales!AQ121</f>
        <v>771.1</v>
      </c>
      <c r="AR88" s="452">
        <f>Sales!AR121</f>
        <v>791.8</v>
      </c>
      <c r="AS88" s="452">
        <f>Sales!AS121</f>
        <v>1142.6890000000001</v>
      </c>
      <c r="AT88" s="452">
        <f>Sales!AT121</f>
        <v>1570.3719999999998</v>
      </c>
      <c r="AU88" s="482">
        <f>Sales!AU121</f>
        <v>4275.9610000000002</v>
      </c>
      <c r="AV88" s="452">
        <f>Sales!AV121</f>
        <v>1421.8</v>
      </c>
      <c r="AW88" s="452">
        <f>Sales!AW121</f>
        <v>1479.7000000000003</v>
      </c>
      <c r="AX88" s="452">
        <f>Sales!AX121</f>
        <v>1507.9</v>
      </c>
      <c r="AY88" s="452">
        <f>Sales!AY121</f>
        <v>1757.7</v>
      </c>
      <c r="AZ88" s="482">
        <f>Sales!AZ121</f>
        <v>6167.0999999999995</v>
      </c>
      <c r="BA88" s="452">
        <f>Sales!BA121</f>
        <v>1764.4</v>
      </c>
      <c r="BB88" s="452">
        <f>Sales!BB121</f>
        <v>2237.6000000000004</v>
      </c>
      <c r="BC88" s="452">
        <f>Sales!BC121</f>
        <v>2320.6999999999998</v>
      </c>
      <c r="BD88" s="452">
        <f>Sales!BD121</f>
        <v>2258</v>
      </c>
      <c r="BE88" s="482">
        <f>Sales!BE121</f>
        <v>8580.7000000000007</v>
      </c>
      <c r="BF88" s="28">
        <f>Sales!BF121</f>
        <v>1930.2280000000001</v>
      </c>
      <c r="BG88" s="28">
        <f>Sales!BG121</f>
        <v>2207.7910000000002</v>
      </c>
      <c r="BH88" s="28">
        <f>Sales!BH121</f>
        <v>2302.15</v>
      </c>
      <c r="BI88" s="28">
        <f>Sales!BI121</f>
        <v>2436.2530000000002</v>
      </c>
      <c r="BJ88" s="482">
        <f>Sales!BJ121</f>
        <v>8876.4220000000005</v>
      </c>
      <c r="BK88" s="28">
        <f>Sales!BK121</f>
        <v>0</v>
      </c>
      <c r="BL88" s="28">
        <f>Sales!BL121</f>
        <v>0</v>
      </c>
      <c r="BM88" s="28">
        <f>Sales!BM121</f>
        <v>0</v>
      </c>
      <c r="BN88" s="28">
        <f>Sales!BN121</f>
        <v>0</v>
      </c>
      <c r="BO88" s="482">
        <f>Sales!BO121</f>
        <v>9527.9289900000003</v>
      </c>
      <c r="BP88" s="28">
        <f>Sales!BP121</f>
        <v>0</v>
      </c>
      <c r="BQ88" s="28">
        <f>Sales!BQ121</f>
        <v>0</v>
      </c>
      <c r="BR88" s="28">
        <f>Sales!BR121</f>
        <v>0</v>
      </c>
      <c r="BS88" s="28">
        <f>Sales!BS121</f>
        <v>0</v>
      </c>
      <c r="BT88" s="482">
        <f>Sales!BT121</f>
        <v>10104.7933648</v>
      </c>
      <c r="BU88" s="28">
        <f>Sales!BU121</f>
        <v>0</v>
      </c>
      <c r="BV88" s="28">
        <f>Sales!BV121</f>
        <v>0</v>
      </c>
      <c r="BW88" s="28">
        <f>Sales!BW121</f>
        <v>0</v>
      </c>
      <c r="BX88" s="28">
        <f>Sales!BX121</f>
        <v>0</v>
      </c>
      <c r="BY88" s="482">
        <f>Sales!BY121</f>
        <v>10711.443747096002</v>
      </c>
      <c r="BZ88" s="28">
        <f>Sales!BZ121</f>
        <v>0</v>
      </c>
      <c r="CA88" s="28">
        <f>Sales!CA121</f>
        <v>0</v>
      </c>
      <c r="CB88" s="28">
        <f>Sales!CB121</f>
        <v>0</v>
      </c>
      <c r="CC88" s="28">
        <f>Sales!CC121</f>
        <v>0</v>
      </c>
      <c r="CD88" s="482">
        <f>Sales!CD121</f>
        <v>11150.18081535792</v>
      </c>
      <c r="CE88" s="480"/>
    </row>
    <row r="89" spans="1:83" s="490" customFormat="1">
      <c r="A89" s="467"/>
      <c r="B89" s="484" t="str">
        <f>Sales!B122</f>
        <v>growth</v>
      </c>
      <c r="C89" s="485">
        <f>Sales!C122</f>
        <v>0</v>
      </c>
      <c r="D89" s="485">
        <f>Sales!D122</f>
        <v>0</v>
      </c>
      <c r="E89" s="485">
        <f>Sales!E122</f>
        <v>0</v>
      </c>
      <c r="F89" s="485">
        <f>Sales!F122</f>
        <v>0</v>
      </c>
      <c r="G89" s="486">
        <f>Sales!G122</f>
        <v>0</v>
      </c>
      <c r="H89" s="485">
        <f>Sales!H122</f>
        <v>0</v>
      </c>
      <c r="I89" s="485">
        <f>Sales!I122</f>
        <v>0</v>
      </c>
      <c r="J89" s="485">
        <f>Sales!J122</f>
        <v>0</v>
      </c>
      <c r="K89" s="485">
        <f>Sales!K122</f>
        <v>0</v>
      </c>
      <c r="L89" s="486">
        <f>Sales!L122</f>
        <v>0</v>
      </c>
      <c r="M89" s="485">
        <f>Sales!M122</f>
        <v>0</v>
      </c>
      <c r="N89" s="485">
        <f>Sales!N122</f>
        <v>0</v>
      </c>
      <c r="O89" s="485">
        <f>Sales!O122</f>
        <v>0</v>
      </c>
      <c r="P89" s="485">
        <f>Sales!P122</f>
        <v>0</v>
      </c>
      <c r="Q89" s="486">
        <f>Sales!Q122</f>
        <v>0</v>
      </c>
      <c r="R89" s="487">
        <f>Sales!R122</f>
        <v>0</v>
      </c>
      <c r="S89" s="485">
        <f>Sales!S122</f>
        <v>0</v>
      </c>
      <c r="T89" s="485">
        <f>Sales!T122</f>
        <v>0</v>
      </c>
      <c r="U89" s="485">
        <f>Sales!U122</f>
        <v>0</v>
      </c>
      <c r="V89" s="486">
        <f>Sales!V122</f>
        <v>0</v>
      </c>
      <c r="W89" s="487">
        <f>Sales!W122</f>
        <v>0</v>
      </c>
      <c r="X89" s="485">
        <f>Sales!X122</f>
        <v>0</v>
      </c>
      <c r="Y89" s="485">
        <f>Sales!Y122</f>
        <v>0</v>
      </c>
      <c r="Z89" s="485">
        <f>Sales!Z122</f>
        <v>0</v>
      </c>
      <c r="AA89" s="486">
        <f>Sales!AA122</f>
        <v>0</v>
      </c>
      <c r="AB89" s="487">
        <f>Sales!AB122</f>
        <v>0</v>
      </c>
      <c r="AC89" s="487">
        <f>Sales!AC122</f>
        <v>0</v>
      </c>
      <c r="AD89" s="487">
        <f>Sales!AD122</f>
        <v>0</v>
      </c>
      <c r="AE89" s="487">
        <f>Sales!AE122</f>
        <v>0</v>
      </c>
      <c r="AF89" s="472">
        <f>Sales!AF122</f>
        <v>0</v>
      </c>
      <c r="AG89" s="487">
        <f>Sales!AG122</f>
        <v>0</v>
      </c>
      <c r="AH89" s="487">
        <f>Sales!AH122</f>
        <v>0</v>
      </c>
      <c r="AI89" s="487">
        <f>Sales!AI122</f>
        <v>0</v>
      </c>
      <c r="AJ89" s="487">
        <f>Sales!AJ122</f>
        <v>0</v>
      </c>
      <c r="AK89" s="472">
        <f>Sales!AK122</f>
        <v>0</v>
      </c>
      <c r="AL89" s="487">
        <f>Sales!AL122</f>
        <v>0</v>
      </c>
      <c r="AM89" s="487">
        <f>Sales!AM122</f>
        <v>0</v>
      </c>
      <c r="AN89" s="487">
        <f>Sales!AN122</f>
        <v>0</v>
      </c>
      <c r="AO89" s="487">
        <f>Sales!AO122</f>
        <v>0</v>
      </c>
      <c r="AP89" s="472">
        <f>Sales!AP122</f>
        <v>0</v>
      </c>
      <c r="AQ89" s="488">
        <f>Sales!AQ122</f>
        <v>0</v>
      </c>
      <c r="AR89" s="487">
        <f>Sales!AR122</f>
        <v>0</v>
      </c>
      <c r="AS89" s="487">
        <f>Sales!AS122</f>
        <v>0</v>
      </c>
      <c r="AT89" s="487">
        <f>Sales!AT122</f>
        <v>0</v>
      </c>
      <c r="AU89" s="472">
        <f>Sales!AU122</f>
        <v>0</v>
      </c>
      <c r="AV89" s="487">
        <f>Sales!AV122</f>
        <v>0.84385942160549843</v>
      </c>
      <c r="AW89" s="487">
        <f>Sales!AW122</f>
        <v>0.86877999494821978</v>
      </c>
      <c r="AX89" s="487">
        <f>Sales!AX122</f>
        <v>0.31960664712795861</v>
      </c>
      <c r="AY89" s="487">
        <f>Sales!AY122</f>
        <v>0.11928893281337172</v>
      </c>
      <c r="AZ89" s="472">
        <f>Sales!AZ122</f>
        <v>0.44227227516808476</v>
      </c>
      <c r="BA89" s="487">
        <f>Sales!BA122</f>
        <v>0.24096216064144049</v>
      </c>
      <c r="BB89" s="487">
        <f>Sales!BB122</f>
        <v>0.51219841859836457</v>
      </c>
      <c r="BC89" s="487">
        <f>Sales!BC122</f>
        <v>0.53902778698852694</v>
      </c>
      <c r="BD89" s="487">
        <f>Sales!BD122</f>
        <v>0.28463332764408023</v>
      </c>
      <c r="BE89" s="472">
        <f>Sales!BE122</f>
        <v>0.39136709312318607</v>
      </c>
      <c r="BF89" s="376">
        <f>Sales!BF122</f>
        <v>9.3985490818408568E-2</v>
      </c>
      <c r="BG89" s="376">
        <f>Sales!BG122</f>
        <v>-1.3321862710046539E-2</v>
      </c>
      <c r="BH89" s="376">
        <f>Sales!BH122</f>
        <v>-7.9932778902915835E-3</v>
      </c>
      <c r="BI89" s="376">
        <f>Sales!BI122</f>
        <v>7.8942869796279957E-2</v>
      </c>
      <c r="BJ89" s="472">
        <f>Sales!BJ122</f>
        <v>3.4463621849033288E-2</v>
      </c>
      <c r="BK89" s="376">
        <f>Sales!BK122</f>
        <v>0</v>
      </c>
      <c r="BL89" s="376">
        <f>Sales!BL122</f>
        <v>0</v>
      </c>
      <c r="BM89" s="376">
        <f>Sales!BM122</f>
        <v>0</v>
      </c>
      <c r="BN89" s="376">
        <f>Sales!BN122</f>
        <v>0</v>
      </c>
      <c r="BO89" s="472">
        <f>Sales!BO122</f>
        <v>7.3397478173074626E-2</v>
      </c>
      <c r="BP89" s="376">
        <f>Sales!BP122</f>
        <v>0</v>
      </c>
      <c r="BQ89" s="376">
        <f>Sales!BQ122</f>
        <v>0</v>
      </c>
      <c r="BR89" s="376">
        <f>Sales!BR122</f>
        <v>0</v>
      </c>
      <c r="BS89" s="376">
        <f>Sales!BS122</f>
        <v>0</v>
      </c>
      <c r="BT89" s="472">
        <f>Sales!BT122</f>
        <v>6.054457116603662E-2</v>
      </c>
      <c r="BU89" s="376">
        <f>Sales!BU122</f>
        <v>0</v>
      </c>
      <c r="BV89" s="376">
        <f>Sales!BV122</f>
        <v>0</v>
      </c>
      <c r="BW89" s="376">
        <f>Sales!BW122</f>
        <v>0</v>
      </c>
      <c r="BX89" s="376">
        <f>Sales!BX122</f>
        <v>0</v>
      </c>
      <c r="BY89" s="472">
        <f>Sales!BY122</f>
        <v>6.0035901813615178E-2</v>
      </c>
      <c r="BZ89" s="376">
        <f>Sales!BZ122</f>
        <v>0</v>
      </c>
      <c r="CA89" s="376">
        <f>Sales!CA122</f>
        <v>0</v>
      </c>
      <c r="CB89" s="376">
        <f>Sales!CB122</f>
        <v>0</v>
      </c>
      <c r="CC89" s="376">
        <f>Sales!CC122</f>
        <v>0</v>
      </c>
      <c r="CD89" s="472">
        <f>Sales!CD122</f>
        <v>4.0959657598058641E-2</v>
      </c>
      <c r="CE89" s="467"/>
    </row>
    <row r="90" spans="1:83" s="390" customFormat="1">
      <c r="A90" s="8"/>
      <c r="B90" s="491"/>
      <c r="C90" s="492"/>
      <c r="D90" s="492"/>
      <c r="E90" s="492"/>
      <c r="F90" s="492"/>
      <c r="G90" s="492"/>
      <c r="H90" s="492"/>
      <c r="I90" s="492"/>
      <c r="J90" s="492"/>
      <c r="K90" s="492"/>
      <c r="L90" s="492"/>
      <c r="M90" s="492"/>
      <c r="N90" s="492"/>
      <c r="O90" s="492"/>
      <c r="P90" s="492"/>
      <c r="Q90" s="492"/>
      <c r="R90" s="492"/>
      <c r="S90" s="492"/>
      <c r="T90" s="492"/>
      <c r="U90" s="492"/>
      <c r="V90" s="492"/>
      <c r="W90" s="493"/>
      <c r="X90" s="492"/>
      <c r="Y90" s="492"/>
      <c r="Z90" s="492"/>
      <c r="AA90" s="492"/>
      <c r="AB90" s="493"/>
      <c r="AC90" s="493"/>
      <c r="AD90" s="492"/>
      <c r="AE90" s="492"/>
      <c r="AF90" s="492"/>
      <c r="AG90" s="492"/>
      <c r="AH90" s="492"/>
      <c r="AI90" s="492"/>
      <c r="AJ90" s="492"/>
      <c r="AK90" s="492"/>
      <c r="AL90" s="492"/>
      <c r="AM90" s="492"/>
      <c r="AN90" s="492"/>
      <c r="AO90" s="492"/>
      <c r="AP90" s="492"/>
      <c r="AQ90" s="492"/>
      <c r="AR90" s="492"/>
      <c r="AS90" s="492"/>
      <c r="AT90" s="492"/>
      <c r="AU90" s="492"/>
      <c r="AV90" s="492"/>
      <c r="AW90" s="492"/>
      <c r="AX90" s="492"/>
      <c r="AY90" s="492"/>
      <c r="AZ90" s="494"/>
      <c r="BA90" s="28"/>
      <c r="BB90" s="28"/>
      <c r="BC90" s="28"/>
      <c r="BD90" s="28"/>
      <c r="BE90" s="8"/>
      <c r="BF90" s="28"/>
      <c r="BG90" s="28"/>
      <c r="BH90" s="28"/>
      <c r="BI90" s="28"/>
      <c r="BJ90" s="8"/>
      <c r="BK90" s="28"/>
      <c r="BL90" s="28"/>
      <c r="BM90" s="28"/>
      <c r="BN90" s="28"/>
      <c r="BO90" s="8"/>
      <c r="BP90" s="28"/>
      <c r="BQ90" s="28"/>
      <c r="BR90" s="28"/>
      <c r="BS90" s="28"/>
      <c r="BT90" s="8"/>
      <c r="BU90" s="28"/>
      <c r="BV90" s="28"/>
      <c r="BW90" s="28"/>
      <c r="BX90" s="28"/>
      <c r="BY90" s="8"/>
      <c r="BZ90" s="28"/>
      <c r="CA90" s="28"/>
      <c r="CB90" s="28"/>
      <c r="CC90" s="28"/>
      <c r="CD90" s="8"/>
      <c r="CE90" s="8"/>
    </row>
    <row r="91" spans="1:83">
      <c r="B91" s="225" t="str">
        <f>Sales!B124</f>
        <v>Emerging Markets Segment</v>
      </c>
      <c r="C91" s="226">
        <f>Sales!C124</f>
        <v>0</v>
      </c>
      <c r="D91" s="226">
        <f>Sales!D124</f>
        <v>0</v>
      </c>
      <c r="E91" s="226">
        <f>Sales!E124</f>
        <v>0</v>
      </c>
      <c r="F91" s="226">
        <f>Sales!F124</f>
        <v>0</v>
      </c>
      <c r="G91" s="227">
        <f>Sales!G124</f>
        <v>0</v>
      </c>
      <c r="H91" s="226">
        <f>Sales!H124</f>
        <v>0</v>
      </c>
      <c r="I91" s="226">
        <f>Sales!I124</f>
        <v>0</v>
      </c>
      <c r="J91" s="226">
        <f>Sales!J124</f>
        <v>0</v>
      </c>
      <c r="K91" s="226">
        <f>Sales!K124</f>
        <v>0</v>
      </c>
      <c r="L91" s="227">
        <f>Sales!L124</f>
        <v>0</v>
      </c>
      <c r="M91" s="226">
        <f>Sales!M124</f>
        <v>0</v>
      </c>
      <c r="N91" s="226">
        <f>Sales!N124</f>
        <v>0</v>
      </c>
      <c r="O91" s="226">
        <f>Sales!O124</f>
        <v>0</v>
      </c>
      <c r="P91" s="226">
        <f>Sales!P124</f>
        <v>0</v>
      </c>
      <c r="Q91" s="227">
        <f>Sales!Q124</f>
        <v>0</v>
      </c>
      <c r="R91" s="226">
        <f>Sales!R124</f>
        <v>0</v>
      </c>
      <c r="S91" s="226">
        <f>Sales!S124</f>
        <v>0</v>
      </c>
      <c r="T91" s="226">
        <f>Sales!T124</f>
        <v>0</v>
      </c>
      <c r="U91" s="226">
        <f>Sales!U124</f>
        <v>0</v>
      </c>
      <c r="V91" s="227">
        <f>Sales!V124</f>
        <v>0</v>
      </c>
      <c r="W91" s="226">
        <f>Sales!W124</f>
        <v>0</v>
      </c>
      <c r="X91" s="226">
        <f>Sales!X124</f>
        <v>0</v>
      </c>
      <c r="Y91" s="226">
        <f>Sales!Y124</f>
        <v>0</v>
      </c>
      <c r="Z91" s="226">
        <f>Sales!Z124</f>
        <v>0</v>
      </c>
      <c r="AA91" s="227">
        <f>Sales!AA124</f>
        <v>0</v>
      </c>
      <c r="AB91" s="226">
        <f>Sales!AB124</f>
        <v>0</v>
      </c>
      <c r="AC91" s="226">
        <f>Sales!AC124</f>
        <v>0</v>
      </c>
      <c r="AD91" s="226">
        <f>Sales!AD124</f>
        <v>0</v>
      </c>
      <c r="AE91" s="226">
        <f>Sales!AE124</f>
        <v>0</v>
      </c>
      <c r="AF91" s="227">
        <f>Sales!AF124</f>
        <v>0</v>
      </c>
      <c r="AG91" s="226" t="str">
        <f>Sales!AG124</f>
        <v xml:space="preserve"> </v>
      </c>
      <c r="AH91" s="226">
        <f>Sales!AH124</f>
        <v>0</v>
      </c>
      <c r="AI91" s="226">
        <f>Sales!AI124</f>
        <v>0</v>
      </c>
      <c r="AJ91" s="226">
        <f>Sales!AJ124</f>
        <v>0</v>
      </c>
      <c r="AK91" s="227">
        <f>Sales!AK124</f>
        <v>0</v>
      </c>
      <c r="AL91" s="226">
        <f>Sales!AL124</f>
        <v>0</v>
      </c>
      <c r="AM91" s="226">
        <f>Sales!AM124</f>
        <v>0</v>
      </c>
      <c r="AN91" s="226">
        <f>Sales!AN124</f>
        <v>0</v>
      </c>
      <c r="AO91" s="226">
        <f>Sales!AO124</f>
        <v>0</v>
      </c>
      <c r="AP91" s="227">
        <f>Sales!AP124</f>
        <v>0</v>
      </c>
      <c r="AQ91" s="226">
        <f>Sales!AQ124</f>
        <v>0</v>
      </c>
      <c r="AR91" s="226">
        <f>Sales!AR124</f>
        <v>0</v>
      </c>
      <c r="AS91" s="226">
        <f>Sales!AS124</f>
        <v>0</v>
      </c>
      <c r="AT91" s="226">
        <f>Sales!AT124</f>
        <v>0</v>
      </c>
      <c r="AU91" s="227">
        <f>Sales!AU124</f>
        <v>0</v>
      </c>
      <c r="AV91" s="226">
        <f>Sales!AV124</f>
        <v>0</v>
      </c>
      <c r="AW91" s="226">
        <f>Sales!AW124</f>
        <v>0</v>
      </c>
      <c r="AX91" s="226">
        <f>Sales!AX124</f>
        <v>0</v>
      </c>
      <c r="AY91" s="226">
        <f>Sales!AY124</f>
        <v>0</v>
      </c>
      <c r="AZ91" s="227"/>
      <c r="BA91" s="226"/>
      <c r="BB91" s="226"/>
      <c r="BC91" s="226"/>
      <c r="BD91" s="226"/>
      <c r="BE91" s="227"/>
      <c r="BF91" s="228"/>
      <c r="BG91" s="228"/>
      <c r="BH91" s="228"/>
      <c r="BI91" s="228"/>
      <c r="BJ91" s="227"/>
      <c r="BK91" s="228"/>
      <c r="BL91" s="228"/>
      <c r="BM91" s="228"/>
      <c r="BN91" s="228"/>
      <c r="BO91" s="227"/>
      <c r="BP91" s="228"/>
      <c r="BQ91" s="228"/>
      <c r="BR91" s="228"/>
      <c r="BS91" s="228"/>
      <c r="BT91" s="227"/>
      <c r="BU91" s="228"/>
      <c r="BV91" s="228"/>
      <c r="BW91" s="228"/>
      <c r="BX91" s="228"/>
      <c r="BY91" s="227"/>
      <c r="BZ91" s="228"/>
      <c r="CA91" s="228"/>
      <c r="CB91" s="228"/>
      <c r="CC91" s="228"/>
      <c r="CD91" s="227"/>
    </row>
    <row r="92" spans="1:83" s="454" customFormat="1">
      <c r="A92" s="502"/>
      <c r="B92" s="503" t="str">
        <f>Sales!B125</f>
        <v>Emerging Mkts - EMEA</v>
      </c>
      <c r="C92" s="504">
        <f>Sales!C125</f>
        <v>0</v>
      </c>
      <c r="D92" s="504">
        <f>Sales!D125</f>
        <v>0</v>
      </c>
      <c r="E92" s="504">
        <f>Sales!E125</f>
        <v>0</v>
      </c>
      <c r="F92" s="504">
        <f>Sales!F125</f>
        <v>0</v>
      </c>
      <c r="G92" s="459">
        <f>Sales!G125</f>
        <v>0</v>
      </c>
      <c r="H92" s="504">
        <f>Sales!H125</f>
        <v>0</v>
      </c>
      <c r="I92" s="504">
        <f>Sales!I125</f>
        <v>0</v>
      </c>
      <c r="J92" s="504">
        <f>Sales!J125</f>
        <v>0</v>
      </c>
      <c r="K92" s="504">
        <f>Sales!K125</f>
        <v>0</v>
      </c>
      <c r="L92" s="459">
        <f>Sales!L125</f>
        <v>0</v>
      </c>
      <c r="M92" s="504">
        <f>Sales!M125</f>
        <v>0</v>
      </c>
      <c r="N92" s="504">
        <f>Sales!N125</f>
        <v>0</v>
      </c>
      <c r="O92" s="504">
        <f>Sales!O125</f>
        <v>0</v>
      </c>
      <c r="P92" s="504">
        <f>Sales!P125</f>
        <v>0</v>
      </c>
      <c r="Q92" s="459">
        <f>Sales!Q125</f>
        <v>0</v>
      </c>
      <c r="R92" s="275">
        <f>Sales!R125</f>
        <v>37.953000000000003</v>
      </c>
      <c r="S92" s="275">
        <f>Sales!S125</f>
        <v>38.5</v>
      </c>
      <c r="T92" s="275">
        <f>Sales!T125</f>
        <v>40.43</v>
      </c>
      <c r="U92" s="275">
        <f>Sales!U125</f>
        <v>35.920999999999999</v>
      </c>
      <c r="V92" s="277">
        <f>Sales!V125</f>
        <v>152.804</v>
      </c>
      <c r="W92" s="504">
        <f>Sales!W125</f>
        <v>35.338000000000001</v>
      </c>
      <c r="X92" s="504">
        <f>Sales!X125</f>
        <v>34.031999999999996</v>
      </c>
      <c r="Y92" s="504">
        <f>Sales!Y125</f>
        <v>40.234000000000002</v>
      </c>
      <c r="Z92" s="504">
        <f>Sales!Z125</f>
        <v>42.045999999999999</v>
      </c>
      <c r="AA92" s="277">
        <f>Sales!AA125</f>
        <v>151.65</v>
      </c>
      <c r="AB92" s="275">
        <f>Sales!AB125</f>
        <v>41.707999999999998</v>
      </c>
      <c r="AC92" s="275">
        <f>Sales!AC125</f>
        <v>40.784999999999997</v>
      </c>
      <c r="AD92" s="505">
        <f>Sales!AD125</f>
        <v>42.2</v>
      </c>
      <c r="AE92" s="505">
        <f>Sales!AE125</f>
        <v>48.31</v>
      </c>
      <c r="AF92" s="41">
        <f>Sales!AF125</f>
        <v>173.00299999999999</v>
      </c>
      <c r="AG92" s="460">
        <f>Sales!AG125</f>
        <v>76.093000000000004</v>
      </c>
      <c r="AH92" s="460">
        <f>Sales!AH125</f>
        <v>116.3</v>
      </c>
      <c r="AI92" s="505">
        <f>Sales!AI125</f>
        <v>134.05500000000001</v>
      </c>
      <c r="AJ92" s="505">
        <f>Sales!AJ125</f>
        <v>144.33500000000001</v>
      </c>
      <c r="AK92" s="41">
        <f>Sales!AK125</f>
        <v>470.78300000000002</v>
      </c>
      <c r="AL92" s="506">
        <f>Sales!AL125</f>
        <v>156.90900000000002</v>
      </c>
      <c r="AM92" s="506">
        <f>Sales!AM125</f>
        <v>156.71700000000001</v>
      </c>
      <c r="AN92" s="506">
        <f>Sales!AN125</f>
        <v>149.40900000000002</v>
      </c>
      <c r="AO92" s="506">
        <f>Sales!AO125</f>
        <v>193.66</v>
      </c>
      <c r="AP92" s="41">
        <f>Sales!AP125</f>
        <v>656.69500000000005</v>
      </c>
      <c r="AQ92" s="507">
        <f>Sales!AQ125</f>
        <v>190.166</v>
      </c>
      <c r="AR92" s="507">
        <f>Sales!AR125</f>
        <v>190.37700000000001</v>
      </c>
      <c r="AS92" s="507">
        <f>Sales!AS125</f>
        <v>215.14699999999999</v>
      </c>
      <c r="AT92" s="507">
        <f>Sales!AT125</f>
        <v>254.73500000000001</v>
      </c>
      <c r="AU92" s="41">
        <f>Sales!AU125</f>
        <v>850.42500000000007</v>
      </c>
      <c r="AV92" s="507">
        <f>Sales!AV125</f>
        <v>249.1</v>
      </c>
      <c r="AW92" s="275">
        <f>Sales!AW125</f>
        <v>315.5</v>
      </c>
      <c r="AX92" s="507">
        <f>Sales!AX125</f>
        <v>291.39999999999998</v>
      </c>
      <c r="AY92" s="507">
        <f>Sales!AY125</f>
        <v>278.7</v>
      </c>
      <c r="AZ92" s="41">
        <f>Sales!AZ125</f>
        <v>1134.7</v>
      </c>
      <c r="BA92" s="275">
        <f>Sales!BA125</f>
        <v>212.1</v>
      </c>
      <c r="BB92" s="275">
        <f>Sales!BB125</f>
        <v>254.9</v>
      </c>
      <c r="BC92" s="275">
        <f>Sales!BC125</f>
        <v>224.7</v>
      </c>
      <c r="BD92" s="275">
        <f>Sales!BD125</f>
        <v>284.7</v>
      </c>
      <c r="BE92" s="41">
        <f>Sales!BE125</f>
        <v>976.40000000000009</v>
      </c>
      <c r="BF92" s="157">
        <f>Sales!BF125</f>
        <v>246.03599999999997</v>
      </c>
      <c r="BG92" s="157">
        <f>Sales!BG125</f>
        <v>295.68400000000003</v>
      </c>
      <c r="BH92" s="157">
        <f>Sales!BH125</f>
        <v>271.887</v>
      </c>
      <c r="BI92" s="157">
        <f>Sales!BI125</f>
        <v>318.86400000000003</v>
      </c>
      <c r="BJ92" s="41">
        <f>Sales!BJ125</f>
        <v>1132.471</v>
      </c>
      <c r="BK92" s="157">
        <f>Sales!BK125</f>
        <v>0</v>
      </c>
      <c r="BL92" s="157">
        <f>Sales!BL125</f>
        <v>0</v>
      </c>
      <c r="BM92" s="157">
        <f>Sales!BM125</f>
        <v>0</v>
      </c>
      <c r="BN92" s="157">
        <f>Sales!BN125</f>
        <v>0</v>
      </c>
      <c r="BO92" s="41">
        <f>Sales!BO125</f>
        <v>1189.09455</v>
      </c>
      <c r="BP92" s="157">
        <f>Sales!BP125</f>
        <v>0</v>
      </c>
      <c r="BQ92" s="157">
        <f>Sales!BQ125</f>
        <v>0</v>
      </c>
      <c r="BR92" s="157">
        <f>Sales!BR125</f>
        <v>0</v>
      </c>
      <c r="BS92" s="157">
        <f>Sales!BS125</f>
        <v>0</v>
      </c>
      <c r="BT92" s="41">
        <f>Sales!BT125</f>
        <v>1248.5492775</v>
      </c>
      <c r="BU92" s="157">
        <f>Sales!BU125</f>
        <v>0</v>
      </c>
      <c r="BV92" s="157">
        <f>Sales!BV125</f>
        <v>0</v>
      </c>
      <c r="BW92" s="157">
        <f>Sales!BW125</f>
        <v>0</v>
      </c>
      <c r="BX92" s="157">
        <f>Sales!BX125</f>
        <v>0</v>
      </c>
      <c r="BY92" s="41">
        <f>Sales!BY125</f>
        <v>1310.9767413750001</v>
      </c>
      <c r="BZ92" s="157">
        <f>Sales!BZ125</f>
        <v>0</v>
      </c>
      <c r="CA92" s="157">
        <f>Sales!CA125</f>
        <v>0</v>
      </c>
      <c r="CB92" s="157">
        <f>Sales!CB125</f>
        <v>0</v>
      </c>
      <c r="CC92" s="157">
        <f>Sales!CC125</f>
        <v>0</v>
      </c>
      <c r="CD92" s="41">
        <f>Sales!CD125</f>
        <v>1376.5255784437502</v>
      </c>
      <c r="CE92" s="157"/>
    </row>
    <row r="93" spans="1:83" s="454" customFormat="1" hidden="1">
      <c r="A93" s="157"/>
      <c r="B93" s="511" t="str">
        <f>Sales!B126</f>
        <v>operational growth</v>
      </c>
      <c r="C93" s="456">
        <f>Sales!C126</f>
        <v>0</v>
      </c>
      <c r="D93" s="456">
        <f>Sales!D126</f>
        <v>0</v>
      </c>
      <c r="E93" s="456">
        <f>Sales!E126</f>
        <v>0</v>
      </c>
      <c r="F93" s="456">
        <f>Sales!F126</f>
        <v>0</v>
      </c>
      <c r="G93" s="457">
        <f>Sales!G126</f>
        <v>0</v>
      </c>
      <c r="H93" s="456">
        <f>Sales!H126</f>
        <v>0</v>
      </c>
      <c r="I93" s="456">
        <f>Sales!I126</f>
        <v>0</v>
      </c>
      <c r="J93" s="456">
        <f>Sales!J126</f>
        <v>0</v>
      </c>
      <c r="K93" s="456">
        <f>Sales!K126</f>
        <v>0</v>
      </c>
      <c r="L93" s="457">
        <f>Sales!L126</f>
        <v>0</v>
      </c>
      <c r="M93" s="456">
        <f>Sales!M126</f>
        <v>0</v>
      </c>
      <c r="N93" s="456">
        <f>Sales!N126</f>
        <v>0</v>
      </c>
      <c r="O93" s="456">
        <f>Sales!O126</f>
        <v>0</v>
      </c>
      <c r="P93" s="456">
        <f>Sales!P126</f>
        <v>0</v>
      </c>
      <c r="Q93" s="457">
        <f>Sales!Q126</f>
        <v>0</v>
      </c>
      <c r="R93" s="456">
        <f>Sales!R126</f>
        <v>0</v>
      </c>
      <c r="S93" s="456">
        <f>Sales!S126</f>
        <v>0</v>
      </c>
      <c r="T93" s="456">
        <f>Sales!T126</f>
        <v>0</v>
      </c>
      <c r="U93" s="456">
        <f>Sales!U126</f>
        <v>0</v>
      </c>
      <c r="V93" s="457">
        <f>Sales!V126</f>
        <v>0</v>
      </c>
      <c r="W93" s="458">
        <f>Sales!W126</f>
        <v>0</v>
      </c>
      <c r="X93" s="458">
        <f>Sales!X126</f>
        <v>0</v>
      </c>
      <c r="Y93" s="458">
        <f>Sales!Y126</f>
        <v>0</v>
      </c>
      <c r="Z93" s="458">
        <f>Sales!Z126</f>
        <v>0</v>
      </c>
      <c r="AA93" s="459">
        <f>Sales!AA126</f>
        <v>0</v>
      </c>
      <c r="AB93" s="458">
        <f>Sales!AB126</f>
        <v>0</v>
      </c>
      <c r="AC93" s="458">
        <f>Sales!AC126</f>
        <v>0</v>
      </c>
      <c r="AD93" s="458">
        <f>Sales!AD126</f>
        <v>0</v>
      </c>
      <c r="AE93" s="458">
        <f>Sales!AE126</f>
        <v>0</v>
      </c>
      <c r="AF93" s="459">
        <f>Sales!AF126</f>
        <v>0</v>
      </c>
      <c r="AG93" s="460">
        <f>Sales!AG126</f>
        <v>0</v>
      </c>
      <c r="AH93" s="458">
        <f>Sales!AH126</f>
        <v>0</v>
      </c>
      <c r="AI93" s="458">
        <f>Sales!AI126</f>
        <v>0</v>
      </c>
      <c r="AJ93" s="460">
        <f>Sales!AJ126</f>
        <v>0</v>
      </c>
      <c r="AK93" s="459">
        <f>Sales!AK126</f>
        <v>0</v>
      </c>
      <c r="AL93" s="458">
        <f>Sales!AL126</f>
        <v>0</v>
      </c>
      <c r="AM93" s="460">
        <f>Sales!AM126</f>
        <v>0</v>
      </c>
      <c r="AN93" s="460">
        <f>Sales!AN126</f>
        <v>0</v>
      </c>
      <c r="AO93" s="458">
        <f>Sales!AO126</f>
        <v>0</v>
      </c>
      <c r="AP93" s="459">
        <f>Sales!AP126</f>
        <v>0</v>
      </c>
      <c r="AQ93" s="460">
        <f>Sales!AQ126</f>
        <v>0</v>
      </c>
      <c r="AR93" s="458">
        <f>Sales!AR126</f>
        <v>0</v>
      </c>
      <c r="AS93" s="458">
        <f>Sales!AS126</f>
        <v>0</v>
      </c>
      <c r="AT93" s="458">
        <f>Sales!AT126</f>
        <v>0</v>
      </c>
      <c r="AU93" s="459">
        <f>Sales!AU126</f>
        <v>0</v>
      </c>
      <c r="AV93" s="458">
        <f>Sales!AV126</f>
        <v>0</v>
      </c>
      <c r="AW93" s="458">
        <f>Sales!AW126</f>
        <v>0</v>
      </c>
      <c r="AX93" s="458">
        <f>Sales!AX126</f>
        <v>0</v>
      </c>
      <c r="AY93" s="458">
        <f>Sales!AY126</f>
        <v>0</v>
      </c>
      <c r="AZ93" s="459">
        <f>Sales!AZ126</f>
        <v>0</v>
      </c>
      <c r="BA93" s="461">
        <f>Sales!BA126</f>
        <v>9.273384183059008E-2</v>
      </c>
      <c r="BB93" s="461">
        <f>Sales!BB126</f>
        <v>0.04</v>
      </c>
      <c r="BC93" s="516">
        <f>Sales!BC126</f>
        <v>-0.01</v>
      </c>
      <c r="BD93" s="516">
        <f>Sales!BD126</f>
        <v>0.19160387513455346</v>
      </c>
      <c r="BE93" s="463">
        <f>Sales!BE126</f>
        <v>7.6070503965202624E-2</v>
      </c>
      <c r="BF93" s="459">
        <f>Sales!BF126</f>
        <v>0.23</v>
      </c>
      <c r="BG93" s="459">
        <f>Sales!BG126</f>
        <v>0.28000000000000003</v>
      </c>
      <c r="BH93" s="459">
        <f>Sales!BH126</f>
        <v>0.28000000000000003</v>
      </c>
      <c r="BI93" s="459">
        <f>Sales!BI126</f>
        <v>0.12</v>
      </c>
      <c r="BJ93" s="459">
        <f>Sales!BJ126</f>
        <v>0.22484330192544039</v>
      </c>
      <c r="BK93" s="28">
        <f>Sales!BK126</f>
        <v>0</v>
      </c>
      <c r="BL93" s="28">
        <f>Sales!BL126</f>
        <v>0</v>
      </c>
      <c r="BM93" s="28">
        <f>Sales!BM126</f>
        <v>0</v>
      </c>
      <c r="BN93" s="28">
        <f>Sales!BN126</f>
        <v>0</v>
      </c>
      <c r="BO93" s="459">
        <f>Sales!BO126</f>
        <v>0</v>
      </c>
      <c r="BP93" s="459">
        <f>Sales!BP126</f>
        <v>0</v>
      </c>
      <c r="BQ93" s="459">
        <f>Sales!BQ126</f>
        <v>0</v>
      </c>
      <c r="BR93" s="459">
        <f>Sales!BR126</f>
        <v>0</v>
      </c>
      <c r="BS93" s="459">
        <f>Sales!BS126</f>
        <v>0</v>
      </c>
      <c r="BT93" s="459">
        <f>Sales!BT126</f>
        <v>0</v>
      </c>
      <c r="BU93" s="28">
        <f>Sales!BU126</f>
        <v>0</v>
      </c>
      <c r="BV93" s="28">
        <f>Sales!BV126</f>
        <v>0</v>
      </c>
      <c r="BW93" s="28">
        <f>Sales!BW126</f>
        <v>0</v>
      </c>
      <c r="BX93" s="28">
        <f>Sales!BX126</f>
        <v>0</v>
      </c>
      <c r="BY93" s="459">
        <f>Sales!BY126</f>
        <v>0</v>
      </c>
      <c r="BZ93" s="459">
        <f>Sales!BZ126</f>
        <v>0</v>
      </c>
      <c r="CA93" s="459">
        <f>Sales!CA126</f>
        <v>0</v>
      </c>
      <c r="CB93" s="459">
        <f>Sales!CB126</f>
        <v>0</v>
      </c>
      <c r="CC93" s="459">
        <f>Sales!CC126</f>
        <v>0</v>
      </c>
      <c r="CD93" s="459">
        <f>Sales!CD126</f>
        <v>0</v>
      </c>
      <c r="CE93" s="157"/>
    </row>
    <row r="94" spans="1:83" s="454" customFormat="1" hidden="1">
      <c r="A94" s="157"/>
      <c r="B94" s="511" t="str">
        <f>Sales!B127</f>
        <v>FX impact</v>
      </c>
      <c r="C94" s="456">
        <f>Sales!C127</f>
        <v>0</v>
      </c>
      <c r="D94" s="456">
        <f>Sales!D127</f>
        <v>0</v>
      </c>
      <c r="E94" s="456">
        <f>Sales!E127</f>
        <v>0</v>
      </c>
      <c r="F94" s="456">
        <f>Sales!F127</f>
        <v>0</v>
      </c>
      <c r="G94" s="457">
        <f>Sales!G127</f>
        <v>0</v>
      </c>
      <c r="H94" s="456">
        <f>Sales!H127</f>
        <v>0</v>
      </c>
      <c r="I94" s="456">
        <f>Sales!I127</f>
        <v>0</v>
      </c>
      <c r="J94" s="456">
        <f>Sales!J127</f>
        <v>0</v>
      </c>
      <c r="K94" s="456">
        <f>Sales!K127</f>
        <v>0</v>
      </c>
      <c r="L94" s="457">
        <f>Sales!L127</f>
        <v>0</v>
      </c>
      <c r="M94" s="456">
        <f>Sales!M127</f>
        <v>0</v>
      </c>
      <c r="N94" s="456">
        <f>Sales!N127</f>
        <v>0</v>
      </c>
      <c r="O94" s="456">
        <f>Sales!O127</f>
        <v>0</v>
      </c>
      <c r="P94" s="456">
        <f>Sales!P127</f>
        <v>0</v>
      </c>
      <c r="Q94" s="457">
        <f>Sales!Q127</f>
        <v>0</v>
      </c>
      <c r="R94" s="456">
        <f>Sales!R127</f>
        <v>0</v>
      </c>
      <c r="S94" s="456">
        <f>Sales!S127</f>
        <v>0</v>
      </c>
      <c r="T94" s="456">
        <f>Sales!T127</f>
        <v>0</v>
      </c>
      <c r="U94" s="456">
        <f>Sales!U127</f>
        <v>0</v>
      </c>
      <c r="V94" s="457">
        <f>Sales!V127</f>
        <v>0</v>
      </c>
      <c r="W94" s="458">
        <f>Sales!W127</f>
        <v>0</v>
      </c>
      <c r="X94" s="458">
        <f>Sales!X127</f>
        <v>0</v>
      </c>
      <c r="Y94" s="458">
        <f>Sales!Y127</f>
        <v>0</v>
      </c>
      <c r="Z94" s="458">
        <f>Sales!Z127</f>
        <v>0</v>
      </c>
      <c r="AA94" s="459">
        <f>Sales!AA127</f>
        <v>0</v>
      </c>
      <c r="AB94" s="458">
        <f>Sales!AB127</f>
        <v>0</v>
      </c>
      <c r="AC94" s="458">
        <f>Sales!AC127</f>
        <v>0</v>
      </c>
      <c r="AD94" s="458">
        <f>Sales!AD127</f>
        <v>0</v>
      </c>
      <c r="AE94" s="458">
        <f>Sales!AE127</f>
        <v>0</v>
      </c>
      <c r="AF94" s="459">
        <f>Sales!AF127</f>
        <v>0</v>
      </c>
      <c r="AG94" s="460">
        <f>Sales!AG127</f>
        <v>0</v>
      </c>
      <c r="AH94" s="458">
        <f>Sales!AH127</f>
        <v>0</v>
      </c>
      <c r="AI94" s="458">
        <f>Sales!AI127</f>
        <v>0</v>
      </c>
      <c r="AJ94" s="460">
        <f>Sales!AJ127</f>
        <v>0</v>
      </c>
      <c r="AK94" s="459">
        <f>Sales!AK127</f>
        <v>0</v>
      </c>
      <c r="AL94" s="458">
        <f>Sales!AL127</f>
        <v>0</v>
      </c>
      <c r="AM94" s="460">
        <f>Sales!AM127</f>
        <v>0</v>
      </c>
      <c r="AN94" s="460">
        <f>Sales!AN127</f>
        <v>0</v>
      </c>
      <c r="AO94" s="458">
        <f>Sales!AO127</f>
        <v>0</v>
      </c>
      <c r="AP94" s="459">
        <f>Sales!AP127</f>
        <v>0</v>
      </c>
      <c r="AQ94" s="460">
        <f>Sales!AQ127</f>
        <v>0</v>
      </c>
      <c r="AR94" s="458">
        <f>Sales!AR127</f>
        <v>0</v>
      </c>
      <c r="AS94" s="458">
        <f>Sales!AS127</f>
        <v>0</v>
      </c>
      <c r="AT94" s="458">
        <f>Sales!AT127</f>
        <v>0</v>
      </c>
      <c r="AU94" s="459">
        <f>Sales!AU127</f>
        <v>0</v>
      </c>
      <c r="AV94" s="458">
        <f>Sales!AV127</f>
        <v>0</v>
      </c>
      <c r="AW94" s="458">
        <f>Sales!AW127</f>
        <v>0</v>
      </c>
      <c r="AX94" s="458">
        <f>Sales!AX127</f>
        <v>0</v>
      </c>
      <c r="AY94" s="458">
        <f>Sales!AY127</f>
        <v>0</v>
      </c>
      <c r="AZ94" s="459">
        <f>Sales!AZ127</f>
        <v>0</v>
      </c>
      <c r="BA94" s="461">
        <f>Sales!BA127</f>
        <v>-0.24126856684062625</v>
      </c>
      <c r="BB94" s="461">
        <f>Sales!BB127</f>
        <v>-0.23207606973058634</v>
      </c>
      <c r="BC94" s="516">
        <f>Sales!BC127</f>
        <v>-0.21889498970487298</v>
      </c>
      <c r="BD94" s="516">
        <f>Sales!BD127</f>
        <v>-0.17007534983853634</v>
      </c>
      <c r="BE94" s="463">
        <f>Sales!BE127</f>
        <v>-0.21557874402865548</v>
      </c>
      <c r="BF94" s="459">
        <f>Sales!BF127</f>
        <v>-7.0000000000000007E-2</v>
      </c>
      <c r="BG94" s="459">
        <f>Sales!BG127</f>
        <v>-0.12</v>
      </c>
      <c r="BH94" s="459">
        <f>Sales!BH127</f>
        <v>-7.0000000000000007E-2</v>
      </c>
      <c r="BI94" s="459">
        <f>Sales!BI127</f>
        <v>0</v>
      </c>
      <c r="BJ94" s="459">
        <f>Sales!BJ127</f>
        <v>-6.5000000000000002E-2</v>
      </c>
      <c r="BK94" s="28">
        <f>Sales!BK127</f>
        <v>0</v>
      </c>
      <c r="BL94" s="28">
        <f>Sales!BL127</f>
        <v>0</v>
      </c>
      <c r="BM94" s="28">
        <f>Sales!BM127</f>
        <v>0</v>
      </c>
      <c r="BN94" s="28">
        <f>Sales!BN127</f>
        <v>0</v>
      </c>
      <c r="BO94" s="459">
        <f>Sales!BO127</f>
        <v>0</v>
      </c>
      <c r="BP94" s="459">
        <f>Sales!BP127</f>
        <v>0</v>
      </c>
      <c r="BQ94" s="459">
        <f>Sales!BQ127</f>
        <v>0</v>
      </c>
      <c r="BR94" s="459">
        <f>Sales!BR127</f>
        <v>0</v>
      </c>
      <c r="BS94" s="459">
        <f>Sales!BS127</f>
        <v>0</v>
      </c>
      <c r="BT94" s="459">
        <f>Sales!BT127</f>
        <v>0</v>
      </c>
      <c r="BU94" s="28">
        <f>Sales!BU127</f>
        <v>0</v>
      </c>
      <c r="BV94" s="28">
        <f>Sales!BV127</f>
        <v>0</v>
      </c>
      <c r="BW94" s="28">
        <f>Sales!BW127</f>
        <v>0</v>
      </c>
      <c r="BX94" s="28">
        <f>Sales!BX127</f>
        <v>0</v>
      </c>
      <c r="BY94" s="459">
        <f>Sales!BY127</f>
        <v>0</v>
      </c>
      <c r="BZ94" s="459">
        <f>Sales!BZ127</f>
        <v>0</v>
      </c>
      <c r="CA94" s="459">
        <f>Sales!CA127</f>
        <v>0</v>
      </c>
      <c r="CB94" s="459">
        <f>Sales!CB127</f>
        <v>0</v>
      </c>
      <c r="CC94" s="459">
        <f>Sales!CC127</f>
        <v>0</v>
      </c>
      <c r="CD94" s="459">
        <f>Sales!CD127</f>
        <v>0</v>
      </c>
      <c r="CE94" s="157"/>
    </row>
    <row r="95" spans="1:83" s="529" customFormat="1" hidden="1">
      <c r="A95" s="520"/>
      <c r="B95" s="521" t="str">
        <f>Sales!B128</f>
        <v>growth</v>
      </c>
      <c r="C95" s="522">
        <f>Sales!C128</f>
        <v>0</v>
      </c>
      <c r="D95" s="522">
        <f>Sales!D128</f>
        <v>0</v>
      </c>
      <c r="E95" s="522">
        <f>Sales!E128</f>
        <v>0</v>
      </c>
      <c r="F95" s="522">
        <f>Sales!F128</f>
        <v>0</v>
      </c>
      <c r="G95" s="523">
        <f>Sales!G128</f>
        <v>0</v>
      </c>
      <c r="H95" s="522">
        <f>Sales!H128</f>
        <v>0</v>
      </c>
      <c r="I95" s="522">
        <f>Sales!I128</f>
        <v>0</v>
      </c>
      <c r="J95" s="522">
        <f>Sales!J128</f>
        <v>0</v>
      </c>
      <c r="K95" s="522">
        <f>Sales!K128</f>
        <v>0</v>
      </c>
      <c r="L95" s="523">
        <f>Sales!L128</f>
        <v>0</v>
      </c>
      <c r="M95" s="522">
        <f>Sales!M128</f>
        <v>0</v>
      </c>
      <c r="N95" s="522">
        <f>Sales!N128</f>
        <v>0</v>
      </c>
      <c r="O95" s="522">
        <f>Sales!O128</f>
        <v>0</v>
      </c>
      <c r="P95" s="522">
        <f>Sales!P128</f>
        <v>0</v>
      </c>
      <c r="Q95" s="523">
        <f>Sales!Q128</f>
        <v>0</v>
      </c>
      <c r="R95" s="522">
        <f>Sales!R128</f>
        <v>0</v>
      </c>
      <c r="S95" s="522">
        <f>Sales!S128</f>
        <v>0</v>
      </c>
      <c r="T95" s="522">
        <f>Sales!T128</f>
        <v>0</v>
      </c>
      <c r="U95" s="522">
        <f>Sales!U128</f>
        <v>0</v>
      </c>
      <c r="V95" s="523">
        <f>Sales!V128</f>
        <v>0</v>
      </c>
      <c r="W95" s="487">
        <f>Sales!W128</f>
        <v>-6.8901009142887326E-2</v>
      </c>
      <c r="X95" s="487">
        <f>Sales!X128</f>
        <v>-0.11605194805194818</v>
      </c>
      <c r="Y95" s="487">
        <f>Sales!Y128</f>
        <v>-4.847885233737248E-3</v>
      </c>
      <c r="Z95" s="487">
        <f>Sales!Z128</f>
        <v>0.17051307034882113</v>
      </c>
      <c r="AA95" s="472">
        <f>Sales!AA128</f>
        <v>-7.5521583204627429E-3</v>
      </c>
      <c r="AB95" s="487">
        <f>Sales!AB128</f>
        <v>0.18025921104759735</v>
      </c>
      <c r="AC95" s="487">
        <f>Sales!AC128</f>
        <v>0.19843088857545843</v>
      </c>
      <c r="AD95" s="487">
        <f>Sales!AD128</f>
        <v>4.8864144753193894E-2</v>
      </c>
      <c r="AE95" s="487">
        <f>Sales!AE128</f>
        <v>0.14897968891214397</v>
      </c>
      <c r="AF95" s="472">
        <f>Sales!AF128</f>
        <v>0.14080448400923173</v>
      </c>
      <c r="AG95" s="487">
        <f>Sales!AG128</f>
        <v>0.82442217320418165</v>
      </c>
      <c r="AH95" s="487">
        <f>Sales!AH128</f>
        <v>1.8515385558416084</v>
      </c>
      <c r="AI95" s="487">
        <f>Sales!AI128</f>
        <v>2.176658767772512</v>
      </c>
      <c r="AJ95" s="487">
        <f>Sales!AJ128</f>
        <v>1.9876837093769408</v>
      </c>
      <c r="AK95" s="472">
        <f>Sales!AK128</f>
        <v>1.7212418281763902</v>
      </c>
      <c r="AL95" s="487">
        <f>Sales!AL128</f>
        <v>1.0620687842508509</v>
      </c>
      <c r="AM95" s="487">
        <f>Sales!AM128</f>
        <v>0.34752364574376626</v>
      </c>
      <c r="AN95" s="487">
        <f>Sales!AN128</f>
        <v>0.11453507888553216</v>
      </c>
      <c r="AO95" s="487">
        <f>Sales!AO128</f>
        <v>0.3417397027747946</v>
      </c>
      <c r="AP95" s="472">
        <f>Sales!AP128</f>
        <v>0.3948995609442143</v>
      </c>
      <c r="AQ95" s="487">
        <f>Sales!AQ128</f>
        <v>0.2119508759854436</v>
      </c>
      <c r="AR95" s="487">
        <f>Sales!AR128</f>
        <v>0.21478205938092221</v>
      </c>
      <c r="AS95" s="487">
        <f>Sales!AS128</f>
        <v>0.43998688164702227</v>
      </c>
      <c r="AT95" s="487">
        <f>Sales!AT128</f>
        <v>0.31537230197252919</v>
      </c>
      <c r="AU95" s="472">
        <f>Sales!AU128</f>
        <v>0.29500757581525661</v>
      </c>
      <c r="AV95" s="487">
        <f>Sales!AV128</f>
        <v>0.30990818548005428</v>
      </c>
      <c r="AW95" s="487">
        <f>Sales!AW128</f>
        <v>0.65723800669198473</v>
      </c>
      <c r="AX95" s="487">
        <f>Sales!AX128</f>
        <v>0.35442278999939569</v>
      </c>
      <c r="AY95" s="487">
        <f>Sales!AY128</f>
        <v>9.4078159656113103E-2</v>
      </c>
      <c r="AZ95" s="524">
        <f>Sales!AZ128</f>
        <v>0.33427403945086276</v>
      </c>
      <c r="BA95" s="487">
        <f>Sales!BA128</f>
        <v>-0.14853472501003617</v>
      </c>
      <c r="BB95" s="487">
        <f>Sales!BB128</f>
        <v>-0.19207606973058633</v>
      </c>
      <c r="BC95" s="487">
        <f>Sales!BC128</f>
        <v>-0.22889498970487299</v>
      </c>
      <c r="BD95" s="487">
        <f>Sales!BD128</f>
        <v>2.152852529601712E-2</v>
      </c>
      <c r="BE95" s="524">
        <f>Sales!BE128</f>
        <v>-0.13950824006345286</v>
      </c>
      <c r="BF95" s="530">
        <f>Sales!BF128</f>
        <v>0.16</v>
      </c>
      <c r="BG95" s="530">
        <f>Sales!BG128</f>
        <v>0.16000000000000003</v>
      </c>
      <c r="BH95" s="530">
        <f>Sales!BH128</f>
        <v>0.21000000000000002</v>
      </c>
      <c r="BI95" s="530">
        <f>Sales!BI128</f>
        <v>0.12</v>
      </c>
      <c r="BJ95" s="531">
        <f>Sales!BJ128</f>
        <v>0.15984330192544038</v>
      </c>
      <c r="BK95" s="532">
        <f>Sales!BK128</f>
        <v>0</v>
      </c>
      <c r="BL95" s="532">
        <f>Sales!BL128</f>
        <v>0</v>
      </c>
      <c r="BM95" s="532">
        <f>Sales!BM128</f>
        <v>0</v>
      </c>
      <c r="BN95" s="532">
        <f>Sales!BN128</f>
        <v>0</v>
      </c>
      <c r="BO95" s="531">
        <f>Sales!BO128</f>
        <v>0.05</v>
      </c>
      <c r="BP95" s="532">
        <f>Sales!BP128</f>
        <v>0</v>
      </c>
      <c r="BQ95" s="532">
        <f>Sales!BQ128</f>
        <v>0</v>
      </c>
      <c r="BR95" s="532">
        <f>Sales!BR128</f>
        <v>0</v>
      </c>
      <c r="BS95" s="532">
        <f>Sales!BS128</f>
        <v>0</v>
      </c>
      <c r="BT95" s="531">
        <f>Sales!BT128</f>
        <v>0.05</v>
      </c>
      <c r="BU95" s="532">
        <f>Sales!BU128</f>
        <v>0</v>
      </c>
      <c r="BV95" s="532">
        <f>Sales!BV128</f>
        <v>0</v>
      </c>
      <c r="BW95" s="532">
        <f>Sales!BW128</f>
        <v>0</v>
      </c>
      <c r="BX95" s="532">
        <f>Sales!BX128</f>
        <v>0</v>
      </c>
      <c r="BY95" s="531">
        <f>Sales!BY128</f>
        <v>0.05</v>
      </c>
      <c r="BZ95" s="532">
        <f>Sales!BZ128</f>
        <v>0</v>
      </c>
      <c r="CA95" s="532">
        <f>Sales!CA128</f>
        <v>0</v>
      </c>
      <c r="CB95" s="532">
        <f>Sales!CB128</f>
        <v>0</v>
      </c>
      <c r="CC95" s="532">
        <f>Sales!CC128</f>
        <v>0</v>
      </c>
      <c r="CD95" s="531">
        <f>Sales!CD128</f>
        <v>0.05</v>
      </c>
      <c r="CE95" s="520"/>
    </row>
    <row r="96" spans="1:83" s="534" customFormat="1">
      <c r="A96" s="533"/>
      <c r="B96" s="503" t="str">
        <f>Sales!B129</f>
        <v>Emerging Mkts - Latin America</v>
      </c>
      <c r="C96" s="534">
        <f>Sales!C129</f>
        <v>0</v>
      </c>
      <c r="D96" s="534">
        <f>Sales!D129</f>
        <v>0</v>
      </c>
      <c r="E96" s="534">
        <f>Sales!E129</f>
        <v>0</v>
      </c>
      <c r="F96" s="534">
        <f>Sales!F129</f>
        <v>0</v>
      </c>
      <c r="G96" s="535">
        <f>Sales!G129</f>
        <v>0</v>
      </c>
      <c r="H96" s="534">
        <f>Sales!H129</f>
        <v>0</v>
      </c>
      <c r="I96" s="534">
        <f>Sales!I129</f>
        <v>0</v>
      </c>
      <c r="J96" s="534">
        <f>Sales!J129</f>
        <v>0</v>
      </c>
      <c r="K96" s="534">
        <f>Sales!K129</f>
        <v>0</v>
      </c>
      <c r="L96" s="535">
        <f>Sales!L129</f>
        <v>0</v>
      </c>
      <c r="M96" s="534">
        <f>Sales!M129</f>
        <v>0</v>
      </c>
      <c r="N96" s="534">
        <f>Sales!N129</f>
        <v>0</v>
      </c>
      <c r="O96" s="534">
        <f>Sales!O129</f>
        <v>0</v>
      </c>
      <c r="P96" s="534">
        <f>Sales!P129</f>
        <v>0</v>
      </c>
      <c r="Q96" s="535">
        <f>Sales!Q129</f>
        <v>0</v>
      </c>
      <c r="R96" s="533">
        <f>Sales!R129</f>
        <v>0</v>
      </c>
      <c r="S96" s="533">
        <f>Sales!S129</f>
        <v>0</v>
      </c>
      <c r="T96" s="533">
        <f>Sales!T129</f>
        <v>0</v>
      </c>
      <c r="U96" s="533">
        <f>Sales!U129</f>
        <v>0</v>
      </c>
      <c r="V96" s="536">
        <f>Sales!V129</f>
        <v>0</v>
      </c>
      <c r="W96" s="537">
        <f>Sales!W129</f>
        <v>0</v>
      </c>
      <c r="X96" s="537">
        <f>Sales!X129</f>
        <v>0</v>
      </c>
      <c r="Y96" s="537">
        <f>Sales!Y129</f>
        <v>0</v>
      </c>
      <c r="Z96" s="537">
        <f>Sales!Z129</f>
        <v>0</v>
      </c>
      <c r="AA96" s="538">
        <f>Sales!AA129</f>
        <v>0</v>
      </c>
      <c r="AB96" s="275">
        <f>Sales!AB129</f>
        <v>42.057000000000002</v>
      </c>
      <c r="AC96" s="275">
        <f>Sales!AC129</f>
        <v>51.771999999999998</v>
      </c>
      <c r="AD96" s="505">
        <f>Sales!AD129</f>
        <v>51.7</v>
      </c>
      <c r="AE96" s="505">
        <f>Sales!AE129</f>
        <v>69.037999999999997</v>
      </c>
      <c r="AF96" s="41">
        <f>Sales!AF129</f>
        <v>214.56700000000001</v>
      </c>
      <c r="AG96" s="504">
        <f>Sales!AG129</f>
        <v>56.383000000000003</v>
      </c>
      <c r="AH96" s="539">
        <f>Sales!AH129</f>
        <v>64.730999999999995</v>
      </c>
      <c r="AI96" s="505">
        <f>Sales!AI129</f>
        <v>67.954999999999998</v>
      </c>
      <c r="AJ96" s="505">
        <f>Sales!AJ129</f>
        <v>65.771000000000001</v>
      </c>
      <c r="AK96" s="41">
        <f>Sales!AK129</f>
        <v>254.84000000000003</v>
      </c>
      <c r="AL96" s="275">
        <f>Sales!AL129</f>
        <v>72</v>
      </c>
      <c r="AM96" s="275">
        <f>Sales!AM129</f>
        <v>73.400000000000006</v>
      </c>
      <c r="AN96" s="275">
        <f>Sales!AN129</f>
        <v>80.599999999999994</v>
      </c>
      <c r="AO96" s="275">
        <f>Sales!AO129</f>
        <v>95.1</v>
      </c>
      <c r="AP96" s="41">
        <f>Sales!AP129</f>
        <v>321.10000000000002</v>
      </c>
      <c r="AQ96" s="540">
        <f>Sales!AQ129</f>
        <v>81.709000000000003</v>
      </c>
      <c r="AR96" s="275">
        <f>Sales!AR129</f>
        <v>89.141999999999996</v>
      </c>
      <c r="AS96" s="540">
        <f>Sales!AS129</f>
        <v>100.495</v>
      </c>
      <c r="AT96" s="275">
        <f>Sales!AT129</f>
        <v>121.42100000000001</v>
      </c>
      <c r="AU96" s="41">
        <f>Sales!AU129</f>
        <v>392.767</v>
      </c>
      <c r="AV96" s="540">
        <f>Sales!AV129</f>
        <v>99.3</v>
      </c>
      <c r="AW96" s="275">
        <f>Sales!AW129</f>
        <v>109.8</v>
      </c>
      <c r="AX96" s="275">
        <f>Sales!AX129</f>
        <v>113.6</v>
      </c>
      <c r="AY96" s="275">
        <f>Sales!AY129</f>
        <v>112.7</v>
      </c>
      <c r="AZ96" s="41">
        <f>Sales!AZ129</f>
        <v>435.4</v>
      </c>
      <c r="BA96" s="540">
        <f>Sales!BA129</f>
        <v>89</v>
      </c>
      <c r="BB96" s="275">
        <f>Sales!BB129</f>
        <v>94.3</v>
      </c>
      <c r="BC96" s="540">
        <f>Sales!BC129</f>
        <v>92.6</v>
      </c>
      <c r="BD96" s="540">
        <f>Sales!BD129</f>
        <v>100.4</v>
      </c>
      <c r="BE96" s="41">
        <f>Sales!BE129</f>
        <v>376.29999999999995</v>
      </c>
      <c r="BF96" s="157">
        <f>Sales!BF129</f>
        <v>73.86999999999999</v>
      </c>
      <c r="BG96" s="157">
        <f>Sales!BG129</f>
        <v>86.756</v>
      </c>
      <c r="BH96" s="157">
        <f>Sales!BH129</f>
        <v>93.525999999999996</v>
      </c>
      <c r="BI96" s="157">
        <f>Sales!BI129</f>
        <v>105.42000000000002</v>
      </c>
      <c r="BJ96" s="41">
        <f>Sales!BJ129</f>
        <v>359.572</v>
      </c>
      <c r="BK96" s="157">
        <f>Sales!BK129</f>
        <v>0</v>
      </c>
      <c r="BL96" s="157">
        <f>Sales!BL129</f>
        <v>0</v>
      </c>
      <c r="BM96" s="157">
        <f>Sales!BM129</f>
        <v>0</v>
      </c>
      <c r="BN96" s="157">
        <f>Sales!BN129</f>
        <v>0</v>
      </c>
      <c r="BO96" s="41">
        <f>Sales!BO129</f>
        <v>377.55060000000003</v>
      </c>
      <c r="BP96" s="157">
        <f>Sales!BP129</f>
        <v>0</v>
      </c>
      <c r="BQ96" s="157">
        <f>Sales!BQ129</f>
        <v>0</v>
      </c>
      <c r="BR96" s="157">
        <f>Sales!BR129</f>
        <v>0</v>
      </c>
      <c r="BS96" s="157">
        <f>Sales!BS129</f>
        <v>0</v>
      </c>
      <c r="BT96" s="41">
        <f>Sales!BT129</f>
        <v>396.42813000000007</v>
      </c>
      <c r="BU96" s="157">
        <f>Sales!BU129</f>
        <v>0</v>
      </c>
      <c r="BV96" s="157">
        <f>Sales!BV129</f>
        <v>0</v>
      </c>
      <c r="BW96" s="157">
        <f>Sales!BW129</f>
        <v>0</v>
      </c>
      <c r="BX96" s="157">
        <f>Sales!BX129</f>
        <v>0</v>
      </c>
      <c r="BY96" s="41">
        <f>Sales!BY129</f>
        <v>416.24953650000009</v>
      </c>
      <c r="BZ96" s="157">
        <f>Sales!BZ129</f>
        <v>0</v>
      </c>
      <c r="CA96" s="157">
        <f>Sales!CA129</f>
        <v>0</v>
      </c>
      <c r="CB96" s="157">
        <f>Sales!CB129</f>
        <v>0</v>
      </c>
      <c r="CC96" s="157">
        <f>Sales!CC129</f>
        <v>0</v>
      </c>
      <c r="CD96" s="41">
        <f>Sales!CD129</f>
        <v>437.06201332500012</v>
      </c>
      <c r="CE96" s="533"/>
    </row>
    <row r="97" spans="1:83" s="454" customFormat="1" hidden="1">
      <c r="A97" s="157"/>
      <c r="B97" s="511" t="str">
        <f>Sales!B130</f>
        <v>operational growth</v>
      </c>
      <c r="C97" s="456">
        <f>Sales!C130</f>
        <v>0</v>
      </c>
      <c r="D97" s="456">
        <f>Sales!D130</f>
        <v>0</v>
      </c>
      <c r="E97" s="456">
        <f>Sales!E130</f>
        <v>0</v>
      </c>
      <c r="F97" s="456">
        <f>Sales!F130</f>
        <v>0</v>
      </c>
      <c r="G97" s="457">
        <f>Sales!G130</f>
        <v>0</v>
      </c>
      <c r="H97" s="456">
        <f>Sales!H130</f>
        <v>0</v>
      </c>
      <c r="I97" s="456">
        <f>Sales!I130</f>
        <v>0</v>
      </c>
      <c r="J97" s="456">
        <f>Sales!J130</f>
        <v>0</v>
      </c>
      <c r="K97" s="456">
        <f>Sales!K130</f>
        <v>0</v>
      </c>
      <c r="L97" s="457">
        <f>Sales!L130</f>
        <v>0</v>
      </c>
      <c r="M97" s="456">
        <f>Sales!M130</f>
        <v>0</v>
      </c>
      <c r="N97" s="456">
        <f>Sales!N130</f>
        <v>0</v>
      </c>
      <c r="O97" s="456">
        <f>Sales!O130</f>
        <v>0</v>
      </c>
      <c r="P97" s="456">
        <f>Sales!P130</f>
        <v>0</v>
      </c>
      <c r="Q97" s="457">
        <f>Sales!Q130</f>
        <v>0</v>
      </c>
      <c r="R97" s="456">
        <f>Sales!R130</f>
        <v>0</v>
      </c>
      <c r="S97" s="456">
        <f>Sales!S130</f>
        <v>0</v>
      </c>
      <c r="T97" s="456">
        <f>Sales!T130</f>
        <v>0</v>
      </c>
      <c r="U97" s="456">
        <f>Sales!U130</f>
        <v>0</v>
      </c>
      <c r="V97" s="457">
        <f>Sales!V130</f>
        <v>0</v>
      </c>
      <c r="W97" s="458">
        <f>Sales!W130</f>
        <v>0</v>
      </c>
      <c r="X97" s="458">
        <f>Sales!X130</f>
        <v>0</v>
      </c>
      <c r="Y97" s="458">
        <f>Sales!Y130</f>
        <v>0</v>
      </c>
      <c r="Z97" s="458">
        <f>Sales!Z130</f>
        <v>0</v>
      </c>
      <c r="AA97" s="459">
        <f>Sales!AA130</f>
        <v>0</v>
      </c>
      <c r="AB97" s="324">
        <f>Sales!AB130</f>
        <v>0</v>
      </c>
      <c r="AC97" s="324">
        <f>Sales!AC130</f>
        <v>0</v>
      </c>
      <c r="AD97" s="324">
        <f>Sales!AD130</f>
        <v>0</v>
      </c>
      <c r="AE97" s="324">
        <f>Sales!AE130</f>
        <v>0</v>
      </c>
      <c r="AF97" s="372">
        <f>Sales!AF130</f>
        <v>0</v>
      </c>
      <c r="AG97" s="454">
        <f>Sales!AG130</f>
        <v>0</v>
      </c>
      <c r="AH97" s="454">
        <f>Sales!AH130</f>
        <v>0</v>
      </c>
      <c r="AI97" s="454">
        <f>Sales!AI130</f>
        <v>0</v>
      </c>
      <c r="AJ97" s="454">
        <f>Sales!AJ130</f>
        <v>0</v>
      </c>
      <c r="AK97" s="459">
        <f>Sales!AK130</f>
        <v>0</v>
      </c>
      <c r="AL97" s="454">
        <f>Sales!AL130</f>
        <v>0</v>
      </c>
      <c r="AM97" s="454">
        <f>Sales!AM130</f>
        <v>0</v>
      </c>
      <c r="AN97" s="454">
        <f>Sales!AN130</f>
        <v>0</v>
      </c>
      <c r="AO97" s="454">
        <f>Sales!AO130</f>
        <v>0</v>
      </c>
      <c r="AP97" s="459">
        <f>Sales!AP130</f>
        <v>0</v>
      </c>
      <c r="AQ97" s="324">
        <f>Sales!AQ130</f>
        <v>0</v>
      </c>
      <c r="AR97" s="324">
        <f>Sales!AR130</f>
        <v>0</v>
      </c>
      <c r="AS97" s="461">
        <f>Sales!AS130</f>
        <v>0</v>
      </c>
      <c r="AT97" s="512">
        <f>Sales!AT130</f>
        <v>0</v>
      </c>
      <c r="AU97" s="372">
        <f>Sales!AU130</f>
        <v>0</v>
      </c>
      <c r="AV97" s="324">
        <f>Sales!AV130</f>
        <v>0</v>
      </c>
      <c r="AW97" s="324">
        <f>Sales!AW130</f>
        <v>0</v>
      </c>
      <c r="AX97" s="324">
        <f>Sales!AX130</f>
        <v>0</v>
      </c>
      <c r="AY97" s="324">
        <f>Sales!AY130</f>
        <v>0.03</v>
      </c>
      <c r="AZ97" s="459">
        <f>Sales!AZ130</f>
        <v>0</v>
      </c>
      <c r="BA97" s="461">
        <f>Sales!BA130</f>
        <v>3.7260825780463191E-2</v>
      </c>
      <c r="BB97" s="461">
        <f>Sales!BB130</f>
        <v>0.05</v>
      </c>
      <c r="BC97" s="516">
        <f>Sales!BC130</f>
        <v>0.08</v>
      </c>
      <c r="BD97" s="516">
        <f>Sales!BD130</f>
        <v>0.14729370008873133</v>
      </c>
      <c r="BE97" s="463">
        <f>Sales!BE130</f>
        <v>7.7623953697838838E-2</v>
      </c>
      <c r="BF97" s="459">
        <f>Sales!BF130</f>
        <v>0.03</v>
      </c>
      <c r="BG97" s="459">
        <f>Sales!BG130</f>
        <v>0.08</v>
      </c>
      <c r="BH97" s="459">
        <f>Sales!BH130</f>
        <v>0.08</v>
      </c>
      <c r="BI97" s="459">
        <f>Sales!BI130</f>
        <v>0.05</v>
      </c>
      <c r="BJ97" s="459">
        <f>Sales!BJ130</f>
        <v>6.3046106829657347E-2</v>
      </c>
      <c r="BK97" s="28">
        <f>Sales!BK130</f>
        <v>0</v>
      </c>
      <c r="BL97" s="28">
        <f>Sales!BL130</f>
        <v>0</v>
      </c>
      <c r="BM97" s="28">
        <f>Sales!BM130</f>
        <v>0</v>
      </c>
      <c r="BN97" s="28">
        <f>Sales!BN130</f>
        <v>0</v>
      </c>
      <c r="BO97" s="459">
        <f>Sales!BO130</f>
        <v>0</v>
      </c>
      <c r="BP97" s="459">
        <f>Sales!BP130</f>
        <v>0</v>
      </c>
      <c r="BQ97" s="459">
        <f>Sales!BQ130</f>
        <v>0</v>
      </c>
      <c r="BR97" s="459">
        <f>Sales!BR130</f>
        <v>0</v>
      </c>
      <c r="BS97" s="459">
        <f>Sales!BS130</f>
        <v>0</v>
      </c>
      <c r="BT97" s="459">
        <f>Sales!BT130</f>
        <v>0</v>
      </c>
      <c r="BU97" s="28">
        <f>Sales!BU130</f>
        <v>0</v>
      </c>
      <c r="BV97" s="28">
        <f>Sales!BV130</f>
        <v>0</v>
      </c>
      <c r="BW97" s="28">
        <f>Sales!BW130</f>
        <v>0</v>
      </c>
      <c r="BX97" s="28">
        <f>Sales!BX130</f>
        <v>0</v>
      </c>
      <c r="BY97" s="459">
        <f>Sales!BY130</f>
        <v>0</v>
      </c>
      <c r="BZ97" s="459">
        <f>Sales!BZ130</f>
        <v>0</v>
      </c>
      <c r="CA97" s="459">
        <f>Sales!CA130</f>
        <v>0</v>
      </c>
      <c r="CB97" s="459">
        <f>Sales!CB130</f>
        <v>0</v>
      </c>
      <c r="CC97" s="459">
        <f>Sales!CC130</f>
        <v>0</v>
      </c>
      <c r="CD97" s="459">
        <f>Sales!CD130</f>
        <v>0</v>
      </c>
      <c r="CE97" s="157"/>
    </row>
    <row r="98" spans="1:83" s="454" customFormat="1" hidden="1">
      <c r="A98" s="157"/>
      <c r="B98" s="511" t="str">
        <f>Sales!B131</f>
        <v>FX impact</v>
      </c>
      <c r="C98" s="456">
        <f>Sales!C131</f>
        <v>0</v>
      </c>
      <c r="D98" s="456">
        <f>Sales!D131</f>
        <v>0</v>
      </c>
      <c r="E98" s="456">
        <f>Sales!E131</f>
        <v>0</v>
      </c>
      <c r="F98" s="456">
        <f>Sales!F131</f>
        <v>0</v>
      </c>
      <c r="G98" s="457">
        <f>Sales!G131</f>
        <v>0</v>
      </c>
      <c r="H98" s="456">
        <f>Sales!H131</f>
        <v>0</v>
      </c>
      <c r="I98" s="456">
        <f>Sales!I131</f>
        <v>0</v>
      </c>
      <c r="J98" s="456">
        <f>Sales!J131</f>
        <v>0</v>
      </c>
      <c r="K98" s="456">
        <f>Sales!K131</f>
        <v>0</v>
      </c>
      <c r="L98" s="457">
        <f>Sales!L131</f>
        <v>0</v>
      </c>
      <c r="M98" s="456">
        <f>Sales!M131</f>
        <v>0</v>
      </c>
      <c r="N98" s="456">
        <f>Sales!N131</f>
        <v>0</v>
      </c>
      <c r="O98" s="456">
        <f>Sales!O131</f>
        <v>0</v>
      </c>
      <c r="P98" s="456">
        <f>Sales!P131</f>
        <v>0</v>
      </c>
      <c r="Q98" s="457">
        <f>Sales!Q131</f>
        <v>0</v>
      </c>
      <c r="R98" s="456">
        <f>Sales!R131</f>
        <v>0</v>
      </c>
      <c r="S98" s="456">
        <f>Sales!S131</f>
        <v>0</v>
      </c>
      <c r="T98" s="456">
        <f>Sales!T131</f>
        <v>0</v>
      </c>
      <c r="U98" s="456">
        <f>Sales!U131</f>
        <v>0</v>
      </c>
      <c r="V98" s="457">
        <f>Sales!V131</f>
        <v>0</v>
      </c>
      <c r="W98" s="458">
        <f>Sales!W131</f>
        <v>0</v>
      </c>
      <c r="X98" s="458">
        <f>Sales!X131</f>
        <v>0</v>
      </c>
      <c r="Y98" s="458">
        <f>Sales!Y131</f>
        <v>0</v>
      </c>
      <c r="Z98" s="458">
        <f>Sales!Z131</f>
        <v>0</v>
      </c>
      <c r="AA98" s="459">
        <f>Sales!AA131</f>
        <v>0</v>
      </c>
      <c r="AB98" s="458">
        <f>Sales!AB131</f>
        <v>0</v>
      </c>
      <c r="AC98" s="458">
        <f>Sales!AC131</f>
        <v>0</v>
      </c>
      <c r="AD98" s="458">
        <f>Sales!AD131</f>
        <v>0</v>
      </c>
      <c r="AE98" s="458">
        <f>Sales!AE131</f>
        <v>0</v>
      </c>
      <c r="AF98" s="459">
        <f>Sales!AF131</f>
        <v>0</v>
      </c>
      <c r="AG98" s="460">
        <f>Sales!AG131</f>
        <v>0</v>
      </c>
      <c r="AH98" s="458">
        <f>Sales!AH131</f>
        <v>0</v>
      </c>
      <c r="AI98" s="458">
        <f>Sales!AI131</f>
        <v>0</v>
      </c>
      <c r="AJ98" s="460">
        <f>Sales!AJ131</f>
        <v>0</v>
      </c>
      <c r="AK98" s="459">
        <f>Sales!AK131</f>
        <v>0</v>
      </c>
      <c r="AL98" s="458">
        <f>Sales!AL131</f>
        <v>0</v>
      </c>
      <c r="AM98" s="460">
        <f>Sales!AM131</f>
        <v>0</v>
      </c>
      <c r="AN98" s="460">
        <f>Sales!AN131</f>
        <v>0</v>
      </c>
      <c r="AO98" s="458">
        <f>Sales!AO131</f>
        <v>0</v>
      </c>
      <c r="AP98" s="459">
        <f>Sales!AP131</f>
        <v>0</v>
      </c>
      <c r="AQ98" s="460">
        <f>Sales!AQ131</f>
        <v>0</v>
      </c>
      <c r="AR98" s="458">
        <f>Sales!AR131</f>
        <v>0</v>
      </c>
      <c r="AS98" s="458">
        <f>Sales!AS131</f>
        <v>0</v>
      </c>
      <c r="AT98" s="458">
        <f>Sales!AT131</f>
        <v>0</v>
      </c>
      <c r="AU98" s="459">
        <f>Sales!AU131</f>
        <v>0</v>
      </c>
      <c r="AV98" s="458">
        <f>Sales!AV131</f>
        <v>0</v>
      </c>
      <c r="AW98" s="458">
        <f>Sales!AW131</f>
        <v>0</v>
      </c>
      <c r="AX98" s="458">
        <f>Sales!AX131</f>
        <v>0</v>
      </c>
      <c r="AY98" s="324">
        <f>Sales!AY131</f>
        <v>-0.10182447846748097</v>
      </c>
      <c r="AZ98" s="459">
        <f>Sales!AZ131</f>
        <v>0</v>
      </c>
      <c r="BA98" s="461">
        <f>Sales!BA131</f>
        <v>-0.14098690835850947</v>
      </c>
      <c r="BB98" s="461">
        <f>Sales!BB131</f>
        <v>-0.19116575591985424</v>
      </c>
      <c r="BC98" s="516">
        <f>Sales!BC131</f>
        <v>-0.26485915492957751</v>
      </c>
      <c r="BD98" s="516">
        <f>Sales!BD131</f>
        <v>-0.25643300798580315</v>
      </c>
      <c r="BE98" s="463">
        <f>Sales!BE131</f>
        <v>-0.21336120679843609</v>
      </c>
      <c r="BF98" s="459">
        <f>Sales!BF131</f>
        <v>-0.2</v>
      </c>
      <c r="BG98" s="459">
        <f>Sales!BG131</f>
        <v>-0.16</v>
      </c>
      <c r="BH98" s="459">
        <f>Sales!BH131</f>
        <v>-7.0000000000000007E-2</v>
      </c>
      <c r="BI98" s="459">
        <f>Sales!BI131</f>
        <v>0</v>
      </c>
      <c r="BJ98" s="459">
        <f>Sales!BJ131</f>
        <v>-0.1075</v>
      </c>
      <c r="BK98" s="28">
        <f>Sales!BK131</f>
        <v>0</v>
      </c>
      <c r="BL98" s="28">
        <f>Sales!BL131</f>
        <v>0</v>
      </c>
      <c r="BM98" s="28">
        <f>Sales!BM131</f>
        <v>0</v>
      </c>
      <c r="BN98" s="28">
        <f>Sales!BN131</f>
        <v>0</v>
      </c>
      <c r="BO98" s="459">
        <f>Sales!BO131</f>
        <v>0</v>
      </c>
      <c r="BP98" s="459">
        <f>Sales!BP131</f>
        <v>0</v>
      </c>
      <c r="BQ98" s="459">
        <f>Sales!BQ131</f>
        <v>0</v>
      </c>
      <c r="BR98" s="459">
        <f>Sales!BR131</f>
        <v>0</v>
      </c>
      <c r="BS98" s="459">
        <f>Sales!BS131</f>
        <v>0</v>
      </c>
      <c r="BT98" s="459">
        <f>Sales!BT131</f>
        <v>0</v>
      </c>
      <c r="BU98" s="28">
        <f>Sales!BU131</f>
        <v>0</v>
      </c>
      <c r="BV98" s="28">
        <f>Sales!BV131</f>
        <v>0</v>
      </c>
      <c r="BW98" s="28">
        <f>Sales!BW131</f>
        <v>0</v>
      </c>
      <c r="BX98" s="28">
        <f>Sales!BX131</f>
        <v>0</v>
      </c>
      <c r="BY98" s="459">
        <f>Sales!BY131</f>
        <v>0</v>
      </c>
      <c r="BZ98" s="459">
        <f>Sales!BZ131</f>
        <v>0</v>
      </c>
      <c r="CA98" s="459">
        <f>Sales!CA131</f>
        <v>0</v>
      </c>
      <c r="CB98" s="459">
        <f>Sales!CB131</f>
        <v>0</v>
      </c>
      <c r="CC98" s="459">
        <f>Sales!CC131</f>
        <v>0</v>
      </c>
      <c r="CD98" s="459">
        <f>Sales!CD131</f>
        <v>0</v>
      </c>
      <c r="CE98" s="157"/>
    </row>
    <row r="99" spans="1:83" s="529" customFormat="1" hidden="1">
      <c r="A99" s="520"/>
      <c r="B99" s="521" t="str">
        <f>Sales!B132</f>
        <v>growth</v>
      </c>
      <c r="C99" s="522">
        <f>Sales!C132</f>
        <v>0</v>
      </c>
      <c r="D99" s="522">
        <f>Sales!D132</f>
        <v>0</v>
      </c>
      <c r="E99" s="522">
        <f>Sales!E132</f>
        <v>0</v>
      </c>
      <c r="F99" s="522">
        <f>Sales!F132</f>
        <v>0</v>
      </c>
      <c r="G99" s="523">
        <f>Sales!G132</f>
        <v>0</v>
      </c>
      <c r="H99" s="522">
        <f>Sales!H132</f>
        <v>0</v>
      </c>
      <c r="I99" s="522">
        <f>Sales!I132</f>
        <v>0</v>
      </c>
      <c r="J99" s="522">
        <f>Sales!J132</f>
        <v>0</v>
      </c>
      <c r="K99" s="522">
        <f>Sales!K132</f>
        <v>0</v>
      </c>
      <c r="L99" s="523">
        <f>Sales!L132</f>
        <v>0</v>
      </c>
      <c r="M99" s="522">
        <f>Sales!M132</f>
        <v>0</v>
      </c>
      <c r="N99" s="522">
        <f>Sales!N132</f>
        <v>0</v>
      </c>
      <c r="O99" s="522">
        <f>Sales!O132</f>
        <v>0</v>
      </c>
      <c r="P99" s="522">
        <f>Sales!P132</f>
        <v>0</v>
      </c>
      <c r="Q99" s="523">
        <f>Sales!Q132</f>
        <v>0</v>
      </c>
      <c r="R99" s="485">
        <f>Sales!R132</f>
        <v>0</v>
      </c>
      <c r="S99" s="485">
        <f>Sales!S132</f>
        <v>0</v>
      </c>
      <c r="T99" s="485">
        <f>Sales!T132</f>
        <v>0</v>
      </c>
      <c r="U99" s="485">
        <f>Sales!U132</f>
        <v>0</v>
      </c>
      <c r="V99" s="486">
        <f>Sales!V132</f>
        <v>0</v>
      </c>
      <c r="W99" s="487">
        <f>Sales!W132</f>
        <v>0</v>
      </c>
      <c r="X99" s="487">
        <f>Sales!X132</f>
        <v>0</v>
      </c>
      <c r="Y99" s="487">
        <f>Sales!Y132</f>
        <v>0</v>
      </c>
      <c r="Z99" s="487">
        <f>Sales!Z132</f>
        <v>0</v>
      </c>
      <c r="AA99" s="472">
        <f>Sales!AA132</f>
        <v>0</v>
      </c>
      <c r="AB99" s="487">
        <f>Sales!AB132</f>
        <v>0</v>
      </c>
      <c r="AC99" s="487">
        <f>Sales!AC132</f>
        <v>0</v>
      </c>
      <c r="AD99" s="487">
        <f>Sales!AD132</f>
        <v>0</v>
      </c>
      <c r="AE99" s="487">
        <f>Sales!AE132</f>
        <v>0</v>
      </c>
      <c r="AF99" s="472">
        <f>Sales!AF132</f>
        <v>0</v>
      </c>
      <c r="AG99" s="487">
        <f>Sales!AG132</f>
        <v>0.34063295051953291</v>
      </c>
      <c r="AH99" s="487">
        <f>Sales!AH132</f>
        <v>0.25030904736150816</v>
      </c>
      <c r="AI99" s="487">
        <f>Sales!AI132</f>
        <v>0.31441005802707922</v>
      </c>
      <c r="AJ99" s="487">
        <f>Sales!AJ132</f>
        <v>-4.73217648251687E-2</v>
      </c>
      <c r="AK99" s="472">
        <f>Sales!AK132</f>
        <v>0.18769428663307974</v>
      </c>
      <c r="AL99" s="487">
        <f>Sales!AL132</f>
        <v>0.27698065019598106</v>
      </c>
      <c r="AM99" s="487">
        <f>Sales!AM132</f>
        <v>0.13392346789019194</v>
      </c>
      <c r="AN99" s="487">
        <f>Sales!AN132</f>
        <v>0.18607902288278999</v>
      </c>
      <c r="AO99" s="487">
        <f>Sales!AO132</f>
        <v>0.4459260160252998</v>
      </c>
      <c r="AP99" s="472">
        <f>Sales!AP132</f>
        <v>0.26000627844922297</v>
      </c>
      <c r="AQ99" s="487">
        <f>Sales!AQ132</f>
        <v>0.13484722222222234</v>
      </c>
      <c r="AR99" s="487">
        <f>Sales!AR132</f>
        <v>0.21446866485013616</v>
      </c>
      <c r="AS99" s="487">
        <f>Sales!AS132</f>
        <v>0.24683622828784135</v>
      </c>
      <c r="AT99" s="487">
        <f>Sales!AT132</f>
        <v>0.27677181913774995</v>
      </c>
      <c r="AU99" s="472">
        <f>Sales!AU132</f>
        <v>0.22319215197757702</v>
      </c>
      <c r="AV99" s="485">
        <f>Sales!AV132</f>
        <v>0.21528840152247608</v>
      </c>
      <c r="AW99" s="485">
        <f>Sales!AW132</f>
        <v>0.23174261290973952</v>
      </c>
      <c r="AX99" s="487">
        <f>Sales!AX132</f>
        <v>0.13040449773620577</v>
      </c>
      <c r="AY99" s="487">
        <f>Sales!AY132</f>
        <v>-7.1824478467480968E-2</v>
      </c>
      <c r="AZ99" s="472">
        <f>Sales!AZ132</f>
        <v>0.10854526984191648</v>
      </c>
      <c r="BA99" s="485">
        <f>Sales!BA132</f>
        <v>-0.10372608257804627</v>
      </c>
      <c r="BB99" s="485">
        <f>Sales!BB132</f>
        <v>-0.14116575591985425</v>
      </c>
      <c r="BC99" s="487">
        <f>Sales!BC132</f>
        <v>-0.1848591549295775</v>
      </c>
      <c r="BD99" s="487">
        <f>Sales!BD132</f>
        <v>-0.10913930789707182</v>
      </c>
      <c r="BE99" s="472">
        <f>Sales!BE132</f>
        <v>-0.13573725310059725</v>
      </c>
      <c r="BF99" s="530">
        <f>Sales!BF132</f>
        <v>-0.17</v>
      </c>
      <c r="BG99" s="530">
        <f>Sales!BG132</f>
        <v>-0.08</v>
      </c>
      <c r="BH99" s="530">
        <f>Sales!BH132</f>
        <v>9.999999999999995E-3</v>
      </c>
      <c r="BI99" s="530">
        <f>Sales!BI132</f>
        <v>0.05</v>
      </c>
      <c r="BJ99" s="531">
        <f>Sales!BJ132</f>
        <v>-4.4453893170342651E-2</v>
      </c>
      <c r="BK99" s="532">
        <f>Sales!BK132</f>
        <v>0</v>
      </c>
      <c r="BL99" s="532">
        <f>Sales!BL132</f>
        <v>0</v>
      </c>
      <c r="BM99" s="532">
        <f>Sales!BM132</f>
        <v>0</v>
      </c>
      <c r="BN99" s="532">
        <f>Sales!BN132</f>
        <v>0</v>
      </c>
      <c r="BO99" s="531">
        <f>Sales!BO132</f>
        <v>0.05</v>
      </c>
      <c r="BP99" s="532">
        <f>Sales!BP132</f>
        <v>0</v>
      </c>
      <c r="BQ99" s="532">
        <f>Sales!BQ132</f>
        <v>0</v>
      </c>
      <c r="BR99" s="532">
        <f>Sales!BR132</f>
        <v>0</v>
      </c>
      <c r="BS99" s="532">
        <f>Sales!BS132</f>
        <v>0</v>
      </c>
      <c r="BT99" s="531">
        <f>Sales!BT132</f>
        <v>0.05</v>
      </c>
      <c r="BU99" s="532">
        <f>Sales!BU132</f>
        <v>0</v>
      </c>
      <c r="BV99" s="532">
        <f>Sales!BV132</f>
        <v>0</v>
      </c>
      <c r="BW99" s="532">
        <f>Sales!BW132</f>
        <v>0</v>
      </c>
      <c r="BX99" s="532">
        <f>Sales!BX132</f>
        <v>0</v>
      </c>
      <c r="BY99" s="531">
        <f>Sales!BY132</f>
        <v>0.05</v>
      </c>
      <c r="BZ99" s="532">
        <f>Sales!BZ132</f>
        <v>0</v>
      </c>
      <c r="CA99" s="532">
        <f>Sales!CA132</f>
        <v>0</v>
      </c>
      <c r="CB99" s="532">
        <f>Sales!CB132</f>
        <v>0</v>
      </c>
      <c r="CC99" s="532">
        <f>Sales!CC132</f>
        <v>0</v>
      </c>
      <c r="CD99" s="531">
        <f>Sales!CD132</f>
        <v>0.05</v>
      </c>
      <c r="CE99" s="520"/>
    </row>
    <row r="100" spans="1:83" s="534" customFormat="1">
      <c r="A100" s="533"/>
      <c r="B100" s="503" t="str">
        <f>Sales!B133</f>
        <v>Emerging Mkts - Asia</v>
      </c>
      <c r="C100" s="534">
        <f>Sales!C133</f>
        <v>0</v>
      </c>
      <c r="D100" s="534">
        <f>Sales!D133</f>
        <v>0</v>
      </c>
      <c r="E100" s="534">
        <f>Sales!E133</f>
        <v>0</v>
      </c>
      <c r="F100" s="534">
        <f>Sales!F133</f>
        <v>0</v>
      </c>
      <c r="G100" s="535">
        <f>Sales!G133</f>
        <v>0</v>
      </c>
      <c r="H100" s="534">
        <f>Sales!H133</f>
        <v>0</v>
      </c>
      <c r="I100" s="534">
        <f>Sales!I133</f>
        <v>0</v>
      </c>
      <c r="J100" s="534">
        <f>Sales!J133</f>
        <v>0</v>
      </c>
      <c r="K100" s="534">
        <f>Sales!K133</f>
        <v>0</v>
      </c>
      <c r="L100" s="535">
        <f>Sales!L133</f>
        <v>0</v>
      </c>
      <c r="M100" s="534">
        <f>Sales!M133</f>
        <v>0</v>
      </c>
      <c r="N100" s="534">
        <f>Sales!N133</f>
        <v>0</v>
      </c>
      <c r="O100" s="534">
        <f>Sales!O133</f>
        <v>0</v>
      </c>
      <c r="P100" s="534">
        <f>Sales!P133</f>
        <v>0</v>
      </c>
      <c r="Q100" s="535">
        <f>Sales!Q133</f>
        <v>0</v>
      </c>
      <c r="R100" s="533">
        <f>Sales!R133</f>
        <v>0</v>
      </c>
      <c r="S100" s="533">
        <f>Sales!S133</f>
        <v>0</v>
      </c>
      <c r="T100" s="533">
        <f>Sales!T133</f>
        <v>0</v>
      </c>
      <c r="U100" s="533">
        <f>Sales!U133</f>
        <v>0</v>
      </c>
      <c r="V100" s="536">
        <f>Sales!V133</f>
        <v>0</v>
      </c>
      <c r="W100" s="537">
        <f>Sales!W133</f>
        <v>0</v>
      </c>
      <c r="X100" s="537">
        <f>Sales!X133</f>
        <v>0</v>
      </c>
      <c r="Y100" s="537">
        <f>Sales!Y133</f>
        <v>0</v>
      </c>
      <c r="Z100" s="537">
        <f>Sales!Z133</f>
        <v>0</v>
      </c>
      <c r="AA100" s="538">
        <f>Sales!AA133</f>
        <v>0</v>
      </c>
      <c r="AB100" s="537">
        <f>Sales!AB133</f>
        <v>0</v>
      </c>
      <c r="AC100" s="537">
        <f>Sales!AC133</f>
        <v>0</v>
      </c>
      <c r="AD100" s="537">
        <f>Sales!AD133</f>
        <v>0</v>
      </c>
      <c r="AE100" s="537">
        <f>Sales!AE133</f>
        <v>0</v>
      </c>
      <c r="AF100" s="538">
        <f>Sales!AF133</f>
        <v>0</v>
      </c>
      <c r="AG100" s="537">
        <f>Sales!AG133</f>
        <v>0</v>
      </c>
      <c r="AH100" s="537">
        <f>Sales!AH133</f>
        <v>0</v>
      </c>
      <c r="AI100" s="537">
        <f>Sales!AI133</f>
        <v>0</v>
      </c>
      <c r="AJ100" s="548">
        <f>Sales!AJ133</f>
        <v>0</v>
      </c>
      <c r="AK100" s="538">
        <f>Sales!AK133</f>
        <v>0</v>
      </c>
      <c r="AL100" s="507">
        <f>Sales!AL133</f>
        <v>14.7</v>
      </c>
      <c r="AM100" s="507">
        <f>Sales!AM133</f>
        <v>20.6</v>
      </c>
      <c r="AN100" s="507">
        <f>Sales!AN133</f>
        <v>19.7</v>
      </c>
      <c r="AO100" s="507">
        <f>Sales!AO133</f>
        <v>17.600000000000001</v>
      </c>
      <c r="AP100" s="41">
        <f>Sales!AP133</f>
        <v>72.599999999999994</v>
      </c>
      <c r="AQ100" s="507">
        <f>Sales!AQ133</f>
        <v>25.335999999999999</v>
      </c>
      <c r="AR100" s="507">
        <f>Sales!AR133</f>
        <v>24.417999999999999</v>
      </c>
      <c r="AS100" s="507">
        <f>Sales!AS133</f>
        <v>83.376999999999995</v>
      </c>
      <c r="AT100" s="507">
        <f>Sales!AT133</f>
        <v>117.21899999999999</v>
      </c>
      <c r="AU100" s="41">
        <f>Sales!AU133</f>
        <v>250.35</v>
      </c>
      <c r="AV100" s="507">
        <f>Sales!AV133</f>
        <v>116</v>
      </c>
      <c r="AW100" s="275">
        <f>Sales!AW133</f>
        <v>136.1</v>
      </c>
      <c r="AX100" s="507">
        <f>Sales!AX133</f>
        <v>143.30000000000001</v>
      </c>
      <c r="AY100" s="507">
        <f>Sales!AY133</f>
        <v>130.9</v>
      </c>
      <c r="AZ100" s="41">
        <f>Sales!AZ133</f>
        <v>526.29999999999995</v>
      </c>
      <c r="BA100" s="540">
        <f>Sales!BA133</f>
        <v>125.4</v>
      </c>
      <c r="BB100" s="275">
        <f>Sales!BB133</f>
        <v>145.6</v>
      </c>
      <c r="BC100" s="275">
        <f>Sales!BC133</f>
        <v>148.80000000000001</v>
      </c>
      <c r="BD100" s="275">
        <f>Sales!BD133</f>
        <v>141.4</v>
      </c>
      <c r="BE100" s="41">
        <f>Sales!BE133</f>
        <v>561.20000000000005</v>
      </c>
      <c r="BF100" s="157">
        <f>Sales!BF133</f>
        <v>129.16200000000001</v>
      </c>
      <c r="BG100" s="157">
        <f>Sales!BG133</f>
        <v>152.88</v>
      </c>
      <c r="BH100" s="157">
        <f>Sales!BH133</f>
        <v>160.70400000000004</v>
      </c>
      <c r="BI100" s="157">
        <f>Sales!BI133</f>
        <v>155.54000000000002</v>
      </c>
      <c r="BJ100" s="41">
        <f>Sales!BJ133</f>
        <v>598.28600000000006</v>
      </c>
      <c r="BK100" s="157">
        <f>Sales!BK133</f>
        <v>0</v>
      </c>
      <c r="BL100" s="157">
        <f>Sales!BL133</f>
        <v>0</v>
      </c>
      <c r="BM100" s="157">
        <f>Sales!BM133</f>
        <v>0</v>
      </c>
      <c r="BN100" s="157">
        <f>Sales!BN133</f>
        <v>0</v>
      </c>
      <c r="BO100" s="41">
        <f>Sales!BO133</f>
        <v>646.14888000000008</v>
      </c>
      <c r="BP100" s="157">
        <f>Sales!BP133</f>
        <v>0</v>
      </c>
      <c r="BQ100" s="157">
        <f>Sales!BQ133</f>
        <v>0</v>
      </c>
      <c r="BR100" s="157">
        <f>Sales!BR133</f>
        <v>0</v>
      </c>
      <c r="BS100" s="157">
        <f>Sales!BS133</f>
        <v>0</v>
      </c>
      <c r="BT100" s="41">
        <f>Sales!BT133</f>
        <v>697.84079040000017</v>
      </c>
      <c r="BU100" s="157">
        <f>Sales!BU133</f>
        <v>0</v>
      </c>
      <c r="BV100" s="157">
        <f>Sales!BV133</f>
        <v>0</v>
      </c>
      <c r="BW100" s="157">
        <f>Sales!BW133</f>
        <v>0</v>
      </c>
      <c r="BX100" s="157">
        <f>Sales!BX133</f>
        <v>0</v>
      </c>
      <c r="BY100" s="41">
        <f>Sales!BY133</f>
        <v>746.68964572800019</v>
      </c>
      <c r="BZ100" s="157">
        <f>Sales!BZ133</f>
        <v>0</v>
      </c>
      <c r="CA100" s="157">
        <f>Sales!CA133</f>
        <v>0</v>
      </c>
      <c r="CB100" s="157">
        <f>Sales!CB133</f>
        <v>0</v>
      </c>
      <c r="CC100" s="157">
        <f>Sales!CC133</f>
        <v>0</v>
      </c>
      <c r="CD100" s="41">
        <f>Sales!CD133</f>
        <v>798.95792092896022</v>
      </c>
      <c r="CE100" s="533"/>
    </row>
    <row r="101" spans="1:83" s="454" customFormat="1" hidden="1">
      <c r="A101" s="157"/>
      <c r="B101" s="511" t="str">
        <f>Sales!B134</f>
        <v>operational growth</v>
      </c>
      <c r="C101" s="456">
        <f>Sales!C134</f>
        <v>0</v>
      </c>
      <c r="D101" s="456">
        <f>Sales!D134</f>
        <v>0</v>
      </c>
      <c r="E101" s="456">
        <f>Sales!E134</f>
        <v>0</v>
      </c>
      <c r="F101" s="456">
        <f>Sales!F134</f>
        <v>0</v>
      </c>
      <c r="G101" s="457">
        <f>Sales!G134</f>
        <v>0</v>
      </c>
      <c r="H101" s="456">
        <f>Sales!H134</f>
        <v>0</v>
      </c>
      <c r="I101" s="456">
        <f>Sales!I134</f>
        <v>0</v>
      </c>
      <c r="J101" s="456">
        <f>Sales!J134</f>
        <v>0</v>
      </c>
      <c r="K101" s="456">
        <f>Sales!K134</f>
        <v>0</v>
      </c>
      <c r="L101" s="457">
        <f>Sales!L134</f>
        <v>0</v>
      </c>
      <c r="M101" s="456">
        <f>Sales!M134</f>
        <v>0</v>
      </c>
      <c r="N101" s="456">
        <f>Sales!N134</f>
        <v>0</v>
      </c>
      <c r="O101" s="456">
        <f>Sales!O134</f>
        <v>0</v>
      </c>
      <c r="P101" s="456">
        <f>Sales!P134</f>
        <v>0</v>
      </c>
      <c r="Q101" s="457">
        <f>Sales!Q134</f>
        <v>0</v>
      </c>
      <c r="R101" s="456">
        <f>Sales!R134</f>
        <v>0</v>
      </c>
      <c r="S101" s="456">
        <f>Sales!S134</f>
        <v>0</v>
      </c>
      <c r="T101" s="456">
        <f>Sales!T134</f>
        <v>0</v>
      </c>
      <c r="U101" s="456">
        <f>Sales!U134</f>
        <v>0</v>
      </c>
      <c r="V101" s="457">
        <f>Sales!V134</f>
        <v>0</v>
      </c>
      <c r="W101" s="458">
        <f>Sales!W134</f>
        <v>0</v>
      </c>
      <c r="X101" s="458">
        <f>Sales!X134</f>
        <v>0</v>
      </c>
      <c r="Y101" s="458">
        <f>Sales!Y134</f>
        <v>0</v>
      </c>
      <c r="Z101" s="458">
        <f>Sales!Z134</f>
        <v>0</v>
      </c>
      <c r="AA101" s="459">
        <f>Sales!AA134</f>
        <v>0</v>
      </c>
      <c r="AB101" s="458">
        <f>Sales!AB134</f>
        <v>0</v>
      </c>
      <c r="AC101" s="458">
        <f>Sales!AC134</f>
        <v>0</v>
      </c>
      <c r="AD101" s="458">
        <f>Sales!AD134</f>
        <v>0</v>
      </c>
      <c r="AE101" s="458">
        <f>Sales!AE134</f>
        <v>0</v>
      </c>
      <c r="AF101" s="459">
        <f>Sales!AF134</f>
        <v>0</v>
      </c>
      <c r="AG101" s="460">
        <f>Sales!AG134</f>
        <v>0</v>
      </c>
      <c r="AH101" s="458">
        <f>Sales!AH134</f>
        <v>0</v>
      </c>
      <c r="AI101" s="458">
        <f>Sales!AI134</f>
        <v>0</v>
      </c>
      <c r="AJ101" s="460">
        <f>Sales!AJ134</f>
        <v>0</v>
      </c>
      <c r="AK101" s="459">
        <f>Sales!AK134</f>
        <v>0</v>
      </c>
      <c r="AL101" s="458">
        <f>Sales!AL134</f>
        <v>0</v>
      </c>
      <c r="AM101" s="460">
        <f>Sales!AM134</f>
        <v>0</v>
      </c>
      <c r="AN101" s="460">
        <f>Sales!AN134</f>
        <v>0</v>
      </c>
      <c r="AO101" s="458">
        <f>Sales!AO134</f>
        <v>0</v>
      </c>
      <c r="AP101" s="459">
        <f>Sales!AP134</f>
        <v>0</v>
      </c>
      <c r="AQ101" s="460">
        <f>Sales!AQ134</f>
        <v>0</v>
      </c>
      <c r="AR101" s="458">
        <f>Sales!AR134</f>
        <v>0</v>
      </c>
      <c r="AS101" s="458">
        <f>Sales!AS134</f>
        <v>0</v>
      </c>
      <c r="AT101" s="458">
        <f>Sales!AT134</f>
        <v>0</v>
      </c>
      <c r="AU101" s="459">
        <f>Sales!AU134</f>
        <v>0</v>
      </c>
      <c r="AV101" s="458">
        <f>Sales!AV134</f>
        <v>0</v>
      </c>
      <c r="AW101" s="458">
        <f>Sales!AW134</f>
        <v>0</v>
      </c>
      <c r="AX101" s="458">
        <f>Sales!AX134</f>
        <v>0</v>
      </c>
      <c r="AY101" s="461">
        <f>Sales!AY134</f>
        <v>0.15</v>
      </c>
      <c r="AZ101" s="459">
        <f>Sales!AZ134</f>
        <v>0</v>
      </c>
      <c r="BA101" s="461">
        <f>Sales!BA134</f>
        <v>0.11120689655172411</v>
      </c>
      <c r="BB101" s="461">
        <f>Sales!BB134</f>
        <v>0.1</v>
      </c>
      <c r="BC101" s="516">
        <f>Sales!BC134</f>
        <v>0.12</v>
      </c>
      <c r="BD101" s="516">
        <f>Sales!BD134</f>
        <v>0.1390374331550801</v>
      </c>
      <c r="BE101" s="463">
        <f>Sales!BE134</f>
        <v>0.11651531633587864</v>
      </c>
      <c r="BF101" s="459">
        <f>Sales!BF134</f>
        <v>0.08</v>
      </c>
      <c r="BG101" s="459">
        <f>Sales!BG134</f>
        <v>0.1</v>
      </c>
      <c r="BH101" s="459">
        <f>Sales!BH134</f>
        <v>0.1</v>
      </c>
      <c r="BI101" s="459">
        <f>Sales!BI134</f>
        <v>0.1</v>
      </c>
      <c r="BJ101" s="459">
        <f>Sales!BJ134</f>
        <v>9.608339272986452E-2</v>
      </c>
      <c r="BK101" s="28">
        <f>Sales!BK134</f>
        <v>0</v>
      </c>
      <c r="BL101" s="28">
        <f>Sales!BL134</f>
        <v>0</v>
      </c>
      <c r="BM101" s="28">
        <f>Sales!BM134</f>
        <v>0</v>
      </c>
      <c r="BN101" s="28">
        <f>Sales!BN134</f>
        <v>0</v>
      </c>
      <c r="BO101" s="459">
        <f>Sales!BO134</f>
        <v>0</v>
      </c>
      <c r="BP101" s="459">
        <f>Sales!BP134</f>
        <v>0</v>
      </c>
      <c r="BQ101" s="459">
        <f>Sales!BQ134</f>
        <v>0</v>
      </c>
      <c r="BR101" s="459">
        <f>Sales!BR134</f>
        <v>0</v>
      </c>
      <c r="BS101" s="459">
        <f>Sales!BS134</f>
        <v>0</v>
      </c>
      <c r="BT101" s="459">
        <f>Sales!BT134</f>
        <v>0</v>
      </c>
      <c r="BU101" s="28">
        <f>Sales!BU134</f>
        <v>0</v>
      </c>
      <c r="BV101" s="28">
        <f>Sales!BV134</f>
        <v>0</v>
      </c>
      <c r="BW101" s="28">
        <f>Sales!BW134</f>
        <v>0</v>
      </c>
      <c r="BX101" s="28">
        <f>Sales!BX134</f>
        <v>0</v>
      </c>
      <c r="BY101" s="459">
        <f>Sales!BY134</f>
        <v>0</v>
      </c>
      <c r="BZ101" s="459">
        <f>Sales!BZ134</f>
        <v>0</v>
      </c>
      <c r="CA101" s="459">
        <f>Sales!CA134</f>
        <v>0</v>
      </c>
      <c r="CB101" s="459">
        <f>Sales!CB134</f>
        <v>0</v>
      </c>
      <c r="CC101" s="459">
        <f>Sales!CC134</f>
        <v>0</v>
      </c>
      <c r="CD101" s="459">
        <f>Sales!CD134</f>
        <v>0</v>
      </c>
      <c r="CE101" s="157"/>
    </row>
    <row r="102" spans="1:83" s="454" customFormat="1" hidden="1">
      <c r="A102" s="157"/>
      <c r="B102" s="511" t="str">
        <f>Sales!B135</f>
        <v>FX impact</v>
      </c>
      <c r="C102" s="456">
        <f>Sales!C135</f>
        <v>0</v>
      </c>
      <c r="D102" s="456">
        <f>Sales!D135</f>
        <v>0</v>
      </c>
      <c r="E102" s="456">
        <f>Sales!E135</f>
        <v>0</v>
      </c>
      <c r="F102" s="456">
        <f>Sales!F135</f>
        <v>0</v>
      </c>
      <c r="G102" s="457">
        <f>Sales!G135</f>
        <v>0</v>
      </c>
      <c r="H102" s="456">
        <f>Sales!H135</f>
        <v>0</v>
      </c>
      <c r="I102" s="456">
        <f>Sales!I135</f>
        <v>0</v>
      </c>
      <c r="J102" s="456">
        <f>Sales!J135</f>
        <v>0</v>
      </c>
      <c r="K102" s="456">
        <f>Sales!K135</f>
        <v>0</v>
      </c>
      <c r="L102" s="457">
        <f>Sales!L135</f>
        <v>0</v>
      </c>
      <c r="M102" s="456">
        <f>Sales!M135</f>
        <v>0</v>
      </c>
      <c r="N102" s="456">
        <f>Sales!N135</f>
        <v>0</v>
      </c>
      <c r="O102" s="456">
        <f>Sales!O135</f>
        <v>0</v>
      </c>
      <c r="P102" s="456">
        <f>Sales!P135</f>
        <v>0</v>
      </c>
      <c r="Q102" s="457">
        <f>Sales!Q135</f>
        <v>0</v>
      </c>
      <c r="R102" s="456">
        <f>Sales!R135</f>
        <v>0</v>
      </c>
      <c r="S102" s="456">
        <f>Sales!S135</f>
        <v>0</v>
      </c>
      <c r="T102" s="456">
        <f>Sales!T135</f>
        <v>0</v>
      </c>
      <c r="U102" s="456">
        <f>Sales!U135</f>
        <v>0</v>
      </c>
      <c r="V102" s="457">
        <f>Sales!V135</f>
        <v>0</v>
      </c>
      <c r="W102" s="458">
        <f>Sales!W135</f>
        <v>0</v>
      </c>
      <c r="X102" s="458">
        <f>Sales!X135</f>
        <v>0</v>
      </c>
      <c r="Y102" s="458">
        <f>Sales!Y135</f>
        <v>0</v>
      </c>
      <c r="Z102" s="458">
        <f>Sales!Z135</f>
        <v>0</v>
      </c>
      <c r="AA102" s="459">
        <f>Sales!AA135</f>
        <v>0</v>
      </c>
      <c r="AB102" s="458">
        <f>Sales!AB135</f>
        <v>0</v>
      </c>
      <c r="AC102" s="458">
        <f>Sales!AC135</f>
        <v>0</v>
      </c>
      <c r="AD102" s="458">
        <f>Sales!AD135</f>
        <v>0</v>
      </c>
      <c r="AE102" s="458">
        <f>Sales!AE135</f>
        <v>0</v>
      </c>
      <c r="AF102" s="459">
        <f>Sales!AF135</f>
        <v>0</v>
      </c>
      <c r="AG102" s="460">
        <f>Sales!AG135</f>
        <v>0</v>
      </c>
      <c r="AH102" s="458">
        <f>Sales!AH135</f>
        <v>0</v>
      </c>
      <c r="AI102" s="458">
        <f>Sales!AI135</f>
        <v>0</v>
      </c>
      <c r="AJ102" s="460">
        <f>Sales!AJ135</f>
        <v>0</v>
      </c>
      <c r="AK102" s="459">
        <f>Sales!AK135</f>
        <v>0</v>
      </c>
      <c r="AL102" s="458">
        <f>Sales!AL135</f>
        <v>0</v>
      </c>
      <c r="AM102" s="460">
        <f>Sales!AM135</f>
        <v>0</v>
      </c>
      <c r="AN102" s="460">
        <f>Sales!AN135</f>
        <v>0</v>
      </c>
      <c r="AO102" s="458">
        <f>Sales!AO135</f>
        <v>0</v>
      </c>
      <c r="AP102" s="459">
        <f>Sales!AP135</f>
        <v>0</v>
      </c>
      <c r="AQ102" s="460">
        <f>Sales!AQ135</f>
        <v>0</v>
      </c>
      <c r="AR102" s="458">
        <f>Sales!AR135</f>
        <v>0</v>
      </c>
      <c r="AS102" s="458">
        <f>Sales!AS135</f>
        <v>0</v>
      </c>
      <c r="AT102" s="458">
        <f>Sales!AT135</f>
        <v>0</v>
      </c>
      <c r="AU102" s="459">
        <f>Sales!AU135</f>
        <v>0</v>
      </c>
      <c r="AV102" s="458">
        <f>Sales!AV135</f>
        <v>0</v>
      </c>
      <c r="AW102" s="458">
        <f>Sales!AW135</f>
        <v>0</v>
      </c>
      <c r="AX102" s="458">
        <f>Sales!AX135</f>
        <v>0</v>
      </c>
      <c r="AY102" s="461">
        <f>Sales!AY135</f>
        <v>-3.328683916429917E-2</v>
      </c>
      <c r="AZ102" s="459">
        <f>Sales!AZ135</f>
        <v>0</v>
      </c>
      <c r="BA102" s="461">
        <f>Sales!BA135</f>
        <v>-3.0172413793103425E-2</v>
      </c>
      <c r="BB102" s="461">
        <f>Sales!BB135</f>
        <v>-3.0198383541513524E-2</v>
      </c>
      <c r="BC102" s="516">
        <f>Sales!BC135</f>
        <v>-8.1618981158408821E-2</v>
      </c>
      <c r="BD102" s="516">
        <f>Sales!BD135</f>
        <v>-5.8823529411764497E-2</v>
      </c>
      <c r="BE102" s="463">
        <f>Sales!BE135</f>
        <v>-5.0203326976197567E-2</v>
      </c>
      <c r="BF102" s="459">
        <f>Sales!BF135</f>
        <v>-0.05</v>
      </c>
      <c r="BG102" s="459">
        <f>Sales!BG135</f>
        <v>-0.05</v>
      </c>
      <c r="BH102" s="459">
        <f>Sales!BH135</f>
        <v>-0.02</v>
      </c>
      <c r="BI102" s="459">
        <f>Sales!BI135</f>
        <v>0</v>
      </c>
      <c r="BJ102" s="459">
        <f>Sales!BJ135</f>
        <v>-3.0000000000000002E-2</v>
      </c>
      <c r="BK102" s="28">
        <f>Sales!BK135</f>
        <v>0</v>
      </c>
      <c r="BL102" s="28">
        <f>Sales!BL135</f>
        <v>0</v>
      </c>
      <c r="BM102" s="28">
        <f>Sales!BM135</f>
        <v>0</v>
      </c>
      <c r="BN102" s="28">
        <f>Sales!BN135</f>
        <v>0</v>
      </c>
      <c r="BO102" s="459">
        <f>Sales!BO135</f>
        <v>0</v>
      </c>
      <c r="BP102" s="459">
        <f>Sales!BP135</f>
        <v>0</v>
      </c>
      <c r="BQ102" s="459">
        <f>Sales!BQ135</f>
        <v>0</v>
      </c>
      <c r="BR102" s="459">
        <f>Sales!BR135</f>
        <v>0</v>
      </c>
      <c r="BS102" s="459">
        <f>Sales!BS135</f>
        <v>0</v>
      </c>
      <c r="BT102" s="459">
        <f>Sales!BT135</f>
        <v>0</v>
      </c>
      <c r="BU102" s="28">
        <f>Sales!BU135</f>
        <v>0</v>
      </c>
      <c r="BV102" s="28">
        <f>Sales!BV135</f>
        <v>0</v>
      </c>
      <c r="BW102" s="28">
        <f>Sales!BW135</f>
        <v>0</v>
      </c>
      <c r="BX102" s="28">
        <f>Sales!BX135</f>
        <v>0</v>
      </c>
      <c r="BY102" s="459">
        <f>Sales!BY135</f>
        <v>0</v>
      </c>
      <c r="BZ102" s="459">
        <f>Sales!BZ135</f>
        <v>0</v>
      </c>
      <c r="CA102" s="459">
        <f>Sales!CA135</f>
        <v>0</v>
      </c>
      <c r="CB102" s="459">
        <f>Sales!CB135</f>
        <v>0</v>
      </c>
      <c r="CC102" s="459">
        <f>Sales!CC135</f>
        <v>0</v>
      </c>
      <c r="CD102" s="459">
        <f>Sales!CD135</f>
        <v>0</v>
      </c>
      <c r="CE102" s="157"/>
    </row>
    <row r="103" spans="1:83" s="529" customFormat="1" hidden="1">
      <c r="A103" s="520"/>
      <c r="B103" s="455" t="str">
        <f>Sales!B136</f>
        <v>growth</v>
      </c>
      <c r="C103" s="529">
        <f>Sales!C136</f>
        <v>0</v>
      </c>
      <c r="D103" s="529">
        <f>Sales!D136</f>
        <v>0</v>
      </c>
      <c r="E103" s="529">
        <f>Sales!E136</f>
        <v>0</v>
      </c>
      <c r="F103" s="529">
        <f>Sales!F136</f>
        <v>0</v>
      </c>
      <c r="G103" s="549">
        <f>Sales!G136</f>
        <v>0</v>
      </c>
      <c r="H103" s="529">
        <f>Sales!H136</f>
        <v>0</v>
      </c>
      <c r="I103" s="529">
        <f>Sales!I136</f>
        <v>0</v>
      </c>
      <c r="J103" s="529">
        <f>Sales!J136</f>
        <v>0</v>
      </c>
      <c r="K103" s="529">
        <f>Sales!K136</f>
        <v>0</v>
      </c>
      <c r="L103" s="549">
        <f>Sales!L136</f>
        <v>0</v>
      </c>
      <c r="M103" s="529">
        <f>Sales!M136</f>
        <v>0</v>
      </c>
      <c r="N103" s="529">
        <f>Sales!N136</f>
        <v>0</v>
      </c>
      <c r="O103" s="529">
        <f>Sales!O136</f>
        <v>0</v>
      </c>
      <c r="P103" s="529">
        <f>Sales!P136</f>
        <v>0</v>
      </c>
      <c r="Q103" s="549">
        <f>Sales!Q136</f>
        <v>0</v>
      </c>
      <c r="R103" s="520">
        <f>Sales!R136</f>
        <v>0</v>
      </c>
      <c r="S103" s="520">
        <f>Sales!S136</f>
        <v>0</v>
      </c>
      <c r="T103" s="520">
        <f>Sales!T136</f>
        <v>0</v>
      </c>
      <c r="U103" s="520">
        <f>Sales!U136</f>
        <v>0</v>
      </c>
      <c r="V103" s="550">
        <f>Sales!V136</f>
        <v>0</v>
      </c>
      <c r="W103" s="324">
        <f>Sales!W136</f>
        <v>0</v>
      </c>
      <c r="X103" s="324">
        <f>Sales!X136</f>
        <v>0</v>
      </c>
      <c r="Y103" s="324">
        <f>Sales!Y136</f>
        <v>0</v>
      </c>
      <c r="Z103" s="324">
        <f>Sales!Z136</f>
        <v>0</v>
      </c>
      <c r="AA103" s="372">
        <f>Sales!AA136</f>
        <v>0</v>
      </c>
      <c r="AB103" s="324">
        <f>Sales!AB136</f>
        <v>0</v>
      </c>
      <c r="AC103" s="324">
        <f>Sales!AC136</f>
        <v>0</v>
      </c>
      <c r="AD103" s="324">
        <f>Sales!AD136</f>
        <v>0</v>
      </c>
      <c r="AE103" s="324">
        <f>Sales!AE136</f>
        <v>0</v>
      </c>
      <c r="AF103" s="372">
        <f>Sales!AF136</f>
        <v>0</v>
      </c>
      <c r="AG103" s="324">
        <f>Sales!AG136</f>
        <v>0</v>
      </c>
      <c r="AH103" s="324">
        <f>Sales!AH136</f>
        <v>0</v>
      </c>
      <c r="AI103" s="324">
        <f>Sales!AI136</f>
        <v>0</v>
      </c>
      <c r="AJ103" s="373">
        <f>Sales!AJ136</f>
        <v>0</v>
      </c>
      <c r="AK103" s="372">
        <f>Sales!AK136</f>
        <v>0</v>
      </c>
      <c r="AL103" s="529">
        <f>Sales!AL136</f>
        <v>0</v>
      </c>
      <c r="AM103" s="324">
        <f>Sales!AM136</f>
        <v>0</v>
      </c>
      <c r="AN103" s="373">
        <f>Sales!AN136</f>
        <v>0</v>
      </c>
      <c r="AO103" s="373">
        <f>Sales!AO136</f>
        <v>0</v>
      </c>
      <c r="AP103" s="372">
        <f>Sales!AP136</f>
        <v>0</v>
      </c>
      <c r="AQ103" s="324">
        <f>Sales!AQ136</f>
        <v>0.72353741496598634</v>
      </c>
      <c r="AR103" s="324">
        <f>Sales!AR136</f>
        <v>0.18533980582524268</v>
      </c>
      <c r="AS103" s="324">
        <f>Sales!AS136</f>
        <v>3.2323350253807108</v>
      </c>
      <c r="AT103" s="324">
        <f>Sales!AT136</f>
        <v>5.6601704545454536</v>
      </c>
      <c r="AU103" s="372">
        <f>Sales!AU136</f>
        <v>2.4483471074380168</v>
      </c>
      <c r="AV103" s="520">
        <f>Sales!AV136</f>
        <v>3.5784654246921379</v>
      </c>
      <c r="AW103" s="520">
        <f>Sales!AW136</f>
        <v>4.5737570644606436</v>
      </c>
      <c r="AX103" s="324">
        <f>Sales!AX136</f>
        <v>0.71869940151360701</v>
      </c>
      <c r="AY103" s="324">
        <f>Sales!AY136</f>
        <v>0.11671316083570082</v>
      </c>
      <c r="AZ103" s="372">
        <f>Sales!AZ136</f>
        <v>1.102256840423407</v>
      </c>
      <c r="BA103" s="520">
        <f>Sales!BA136</f>
        <v>8.1034482758620685E-2</v>
      </c>
      <c r="BB103" s="520">
        <f>Sales!BB136</f>
        <v>6.9801616458486482E-2</v>
      </c>
      <c r="BC103" s="324">
        <f>Sales!BC136</f>
        <v>3.8381018841591175E-2</v>
      </c>
      <c r="BD103" s="324">
        <f>Sales!BD136</f>
        <v>8.0213903743315607E-2</v>
      </c>
      <c r="BE103" s="372">
        <f>Sales!BE136</f>
        <v>6.6311989359681078E-2</v>
      </c>
      <c r="BF103" s="376">
        <f>Sales!BF136</f>
        <v>0.03</v>
      </c>
      <c r="BG103" s="376">
        <f>Sales!BG136</f>
        <v>0.05</v>
      </c>
      <c r="BH103" s="376">
        <f>Sales!BH136</f>
        <v>0.08</v>
      </c>
      <c r="BI103" s="376">
        <f>Sales!BI136</f>
        <v>0.1</v>
      </c>
      <c r="BJ103" s="477">
        <f>Sales!BJ136</f>
        <v>6.6083392729864521E-2</v>
      </c>
      <c r="BK103" s="476">
        <f>Sales!BK136</f>
        <v>0</v>
      </c>
      <c r="BL103" s="476">
        <f>Sales!BL136</f>
        <v>0</v>
      </c>
      <c r="BM103" s="476">
        <f>Sales!BM136</f>
        <v>0</v>
      </c>
      <c r="BN103" s="476">
        <f>Sales!BN136</f>
        <v>0</v>
      </c>
      <c r="BO103" s="477">
        <f>Sales!BO136</f>
        <v>0.08</v>
      </c>
      <c r="BP103" s="476">
        <f>Sales!BP136</f>
        <v>0</v>
      </c>
      <c r="BQ103" s="476">
        <f>Sales!BQ136</f>
        <v>0</v>
      </c>
      <c r="BR103" s="476">
        <f>Sales!BR136</f>
        <v>0</v>
      </c>
      <c r="BS103" s="476">
        <f>Sales!BS136</f>
        <v>0</v>
      </c>
      <c r="BT103" s="477">
        <f>Sales!BT136</f>
        <v>0.08</v>
      </c>
      <c r="BU103" s="476">
        <f>Sales!BU136</f>
        <v>0</v>
      </c>
      <c r="BV103" s="476">
        <f>Sales!BV136</f>
        <v>0</v>
      </c>
      <c r="BW103" s="476">
        <f>Sales!BW136</f>
        <v>0</v>
      </c>
      <c r="BX103" s="476">
        <f>Sales!BX136</f>
        <v>0</v>
      </c>
      <c r="BY103" s="477">
        <f>Sales!BY136</f>
        <v>7.0000000000000007E-2</v>
      </c>
      <c r="BZ103" s="476">
        <f>Sales!BZ136</f>
        <v>0</v>
      </c>
      <c r="CA103" s="476">
        <f>Sales!CA136</f>
        <v>0</v>
      </c>
      <c r="CB103" s="476">
        <f>Sales!CB136</f>
        <v>0</v>
      </c>
      <c r="CC103" s="476">
        <f>Sales!CC136</f>
        <v>0</v>
      </c>
      <c r="CD103" s="477">
        <f>Sales!CD136</f>
        <v>7.0000000000000007E-2</v>
      </c>
      <c r="CE103" s="520"/>
    </row>
    <row r="104" spans="1:83" s="454" customFormat="1">
      <c r="A104" s="157"/>
      <c r="B104" s="553" t="str">
        <f>Sales!B137</f>
        <v>Total Emerging Markets</v>
      </c>
      <c r="C104" s="452" t="e">
        <f>Sales!C137</f>
        <v>#REF!</v>
      </c>
      <c r="D104" s="452" t="e">
        <f>Sales!D137</f>
        <v>#REF!</v>
      </c>
      <c r="E104" s="452" t="e">
        <f>Sales!E137</f>
        <v>#REF!</v>
      </c>
      <c r="F104" s="452" t="e">
        <f>Sales!F137</f>
        <v>#REF!</v>
      </c>
      <c r="G104" s="482" t="e">
        <f>Sales!G137</f>
        <v>#REF!</v>
      </c>
      <c r="H104" s="452" t="e">
        <f>Sales!H137</f>
        <v>#REF!</v>
      </c>
      <c r="I104" s="452" t="e">
        <f>Sales!I137</f>
        <v>#REF!</v>
      </c>
      <c r="J104" s="452" t="e">
        <f>Sales!J137</f>
        <v>#REF!</v>
      </c>
      <c r="K104" s="452" t="e">
        <f>Sales!K137</f>
        <v>#REF!</v>
      </c>
      <c r="L104" s="482" t="e">
        <f>Sales!L137</f>
        <v>#REF!</v>
      </c>
      <c r="M104" s="452" t="e">
        <f>Sales!M137</f>
        <v>#REF!</v>
      </c>
      <c r="N104" s="452" t="e">
        <f>Sales!N137</f>
        <v>#REF!</v>
      </c>
      <c r="O104" s="452" t="e">
        <f>Sales!O137</f>
        <v>#REF!</v>
      </c>
      <c r="P104" s="452" t="e">
        <f>Sales!P137</f>
        <v>#REF!</v>
      </c>
      <c r="Q104" s="482" t="e">
        <f>Sales!Q137</f>
        <v>#REF!</v>
      </c>
      <c r="R104" s="452" t="e">
        <f>Sales!R137</f>
        <v>#REF!</v>
      </c>
      <c r="S104" s="452" t="e">
        <f>Sales!S137</f>
        <v>#REF!</v>
      </c>
      <c r="T104" s="452" t="e">
        <f>Sales!T137</f>
        <v>#REF!</v>
      </c>
      <c r="U104" s="452" t="e">
        <f>Sales!U137</f>
        <v>#REF!</v>
      </c>
      <c r="V104" s="482" t="e">
        <f>Sales!V137</f>
        <v>#REF!</v>
      </c>
      <c r="W104" s="452" t="e">
        <f>Sales!W137</f>
        <v>#REF!</v>
      </c>
      <c r="X104" s="452" t="e">
        <f>Sales!X137</f>
        <v>#REF!</v>
      </c>
      <c r="Y104" s="452" t="e">
        <f>Sales!Y137</f>
        <v>#REF!</v>
      </c>
      <c r="Z104" s="452" t="e">
        <f>Sales!Z137</f>
        <v>#REF!</v>
      </c>
      <c r="AA104" s="482" t="e">
        <f>Sales!AA137</f>
        <v>#REF!</v>
      </c>
      <c r="AB104" s="452">
        <f>Sales!AB137</f>
        <v>83.765000000000001</v>
      </c>
      <c r="AC104" s="452">
        <f>Sales!AC137</f>
        <v>92.556999999999988</v>
      </c>
      <c r="AD104" s="452">
        <f>Sales!AD137</f>
        <v>93.9</v>
      </c>
      <c r="AE104" s="452">
        <f>Sales!AE137</f>
        <v>117.348</v>
      </c>
      <c r="AF104" s="482">
        <f>Sales!AF137</f>
        <v>387.57</v>
      </c>
      <c r="AG104" s="452">
        <f>Sales!AG137</f>
        <v>132.476</v>
      </c>
      <c r="AH104" s="452">
        <f>Sales!AH137</f>
        <v>181.03100000000001</v>
      </c>
      <c r="AI104" s="452">
        <f>Sales!AI137</f>
        <v>202.01</v>
      </c>
      <c r="AJ104" s="452">
        <f>Sales!AJ137</f>
        <v>210.10599999999999</v>
      </c>
      <c r="AK104" s="482">
        <f>Sales!AK137</f>
        <v>725.62300000000005</v>
      </c>
      <c r="AL104" s="452">
        <f>Sales!AL137</f>
        <v>243.60900000000001</v>
      </c>
      <c r="AM104" s="452">
        <f>Sales!AM137</f>
        <v>250.71700000000001</v>
      </c>
      <c r="AN104" s="452">
        <f>Sales!AN137</f>
        <v>249.709</v>
      </c>
      <c r="AO104" s="452">
        <f>Sales!AO137</f>
        <v>306.36</v>
      </c>
      <c r="AP104" s="482">
        <f>Sales!AP137</f>
        <v>1050.395</v>
      </c>
      <c r="AQ104" s="452">
        <f>Sales!AQ137</f>
        <v>297.21100000000001</v>
      </c>
      <c r="AR104" s="452">
        <f>Sales!AR137</f>
        <v>303.93700000000001</v>
      </c>
      <c r="AS104" s="452">
        <f>Sales!AS137</f>
        <v>399.01900000000001</v>
      </c>
      <c r="AT104" s="452">
        <f>Sales!AT137</f>
        <v>493.375</v>
      </c>
      <c r="AU104" s="482">
        <f>Sales!AU137</f>
        <v>1493.5419999999999</v>
      </c>
      <c r="AV104" s="452">
        <f>Sales!AV137</f>
        <v>464.4</v>
      </c>
      <c r="AW104" s="452">
        <f>Sales!AW137</f>
        <v>561.4</v>
      </c>
      <c r="AX104" s="452">
        <f>Sales!AX137</f>
        <v>548.29999999999995</v>
      </c>
      <c r="AY104" s="452">
        <f>Sales!AY137</f>
        <v>522.29999999999995</v>
      </c>
      <c r="AZ104" s="482">
        <f>Sales!AZ137</f>
        <v>2096.4</v>
      </c>
      <c r="BA104" s="452">
        <f>Sales!BA137</f>
        <v>426.5</v>
      </c>
      <c r="BB104" s="452">
        <f>Sales!BB137</f>
        <v>494.79999999999995</v>
      </c>
      <c r="BC104" s="452">
        <f>Sales!BC137</f>
        <v>466.1</v>
      </c>
      <c r="BD104" s="452">
        <f>Sales!BD137</f>
        <v>526.5</v>
      </c>
      <c r="BE104" s="482">
        <f>Sales!BE137</f>
        <v>1913.9</v>
      </c>
      <c r="BF104" s="28">
        <f>Sales!BF137</f>
        <v>449.06799999999998</v>
      </c>
      <c r="BG104" s="28">
        <f>Sales!BG137</f>
        <v>535.32000000000005</v>
      </c>
      <c r="BH104" s="28">
        <f>Sales!BH137</f>
        <v>526.11699999999996</v>
      </c>
      <c r="BI104" s="28">
        <f>Sales!BI137</f>
        <v>579.82400000000007</v>
      </c>
      <c r="BJ104" s="482">
        <f>Sales!BJ137</f>
        <v>2090.3290000000002</v>
      </c>
      <c r="BK104" s="28">
        <f>Sales!BK137</f>
        <v>0</v>
      </c>
      <c r="BL104" s="28">
        <f>Sales!BL137</f>
        <v>0</v>
      </c>
      <c r="BM104" s="28">
        <f>Sales!BM137</f>
        <v>0</v>
      </c>
      <c r="BN104" s="28">
        <f>Sales!BN137</f>
        <v>0</v>
      </c>
      <c r="BO104" s="482">
        <f>Sales!BO137</f>
        <v>2212.79403</v>
      </c>
      <c r="BP104" s="28">
        <f>Sales!BP137</f>
        <v>0</v>
      </c>
      <c r="BQ104" s="28">
        <f>Sales!BQ137</f>
        <v>0</v>
      </c>
      <c r="BR104" s="28">
        <f>Sales!BR137</f>
        <v>0</v>
      </c>
      <c r="BS104" s="28">
        <f>Sales!BS137</f>
        <v>0</v>
      </c>
      <c r="BT104" s="482">
        <f>Sales!BT137</f>
        <v>2342.8181979000001</v>
      </c>
      <c r="BU104" s="28">
        <f>Sales!BU137</f>
        <v>0</v>
      </c>
      <c r="BV104" s="28">
        <f>Sales!BV137</f>
        <v>0</v>
      </c>
      <c r="BW104" s="28">
        <f>Sales!BW137</f>
        <v>0</v>
      </c>
      <c r="BX104" s="28">
        <f>Sales!BX137</f>
        <v>0</v>
      </c>
      <c r="BY104" s="482">
        <f>Sales!BY137</f>
        <v>2473.9159236030005</v>
      </c>
      <c r="BZ104" s="28">
        <f>Sales!BZ137</f>
        <v>0</v>
      </c>
      <c r="CA104" s="28">
        <f>Sales!CA137</f>
        <v>0</v>
      </c>
      <c r="CB104" s="28">
        <f>Sales!CB137</f>
        <v>0</v>
      </c>
      <c r="CC104" s="28">
        <f>Sales!CC137</f>
        <v>0</v>
      </c>
      <c r="CD104" s="482">
        <f>Sales!CD137</f>
        <v>2612.5455126977104</v>
      </c>
      <c r="CE104" s="157"/>
    </row>
    <row r="105" spans="1:83" s="529" customFormat="1" ht="13">
      <c r="A105" s="520"/>
      <c r="B105" s="484" t="str">
        <f>Sales!B138</f>
        <v>growth</v>
      </c>
      <c r="C105" s="485">
        <f>Sales!C138</f>
        <v>0</v>
      </c>
      <c r="D105" s="485">
        <f>Sales!D138</f>
        <v>0</v>
      </c>
      <c r="E105" s="485">
        <f>Sales!E138</f>
        <v>0</v>
      </c>
      <c r="F105" s="485">
        <f>Sales!F138</f>
        <v>0</v>
      </c>
      <c r="G105" s="486">
        <f>Sales!G138</f>
        <v>0</v>
      </c>
      <c r="H105" s="485">
        <f>Sales!H138</f>
        <v>0</v>
      </c>
      <c r="I105" s="485">
        <f>Sales!I138</f>
        <v>0</v>
      </c>
      <c r="J105" s="485">
        <f>Sales!J138</f>
        <v>0</v>
      </c>
      <c r="K105" s="485">
        <f>Sales!K138</f>
        <v>0</v>
      </c>
      <c r="L105" s="486">
        <f>Sales!L138</f>
        <v>0</v>
      </c>
      <c r="M105" s="485">
        <f>Sales!M138</f>
        <v>0</v>
      </c>
      <c r="N105" s="485">
        <f>Sales!N138</f>
        <v>0</v>
      </c>
      <c r="O105" s="485">
        <f>Sales!O138</f>
        <v>0</v>
      </c>
      <c r="P105" s="485">
        <f>Sales!P138</f>
        <v>0</v>
      </c>
      <c r="Q105" s="486">
        <f>Sales!Q138</f>
        <v>0</v>
      </c>
      <c r="R105" s="485">
        <f>Sales!R138</f>
        <v>0</v>
      </c>
      <c r="S105" s="485">
        <f>Sales!S138</f>
        <v>0</v>
      </c>
      <c r="T105" s="485">
        <f>Sales!T138</f>
        <v>0</v>
      </c>
      <c r="U105" s="485">
        <f>Sales!U138</f>
        <v>0</v>
      </c>
      <c r="V105" s="486">
        <f>Sales!V138</f>
        <v>0</v>
      </c>
      <c r="W105" s="487" t="e">
        <f>Sales!W138</f>
        <v>#REF!</v>
      </c>
      <c r="X105" s="485" t="e">
        <f>Sales!X138</f>
        <v>#REF!</v>
      </c>
      <c r="Y105" s="485" t="e">
        <f>Sales!Y138</f>
        <v>#REF!</v>
      </c>
      <c r="Z105" s="485" t="e">
        <f>Sales!Z138</f>
        <v>#REF!</v>
      </c>
      <c r="AA105" s="486" t="e">
        <f>Sales!AA138</f>
        <v>#REF!</v>
      </c>
      <c r="AB105" s="554">
        <f>Sales!AB138</f>
        <v>0</v>
      </c>
      <c r="AC105" s="1">
        <f>Sales!AC138</f>
        <v>0</v>
      </c>
      <c r="AD105" s="1">
        <f>Sales!AD138</f>
        <v>0</v>
      </c>
      <c r="AE105" s="1">
        <f>Sales!AE138</f>
        <v>0</v>
      </c>
      <c r="AF105" s="555">
        <f>Sales!AF138</f>
        <v>0</v>
      </c>
      <c r="AG105" s="487">
        <f>Sales!AG138</f>
        <v>0.58151972780994443</v>
      </c>
      <c r="AH105" s="487">
        <f>Sales!AH138</f>
        <v>0.9558866428255024</v>
      </c>
      <c r="AI105" s="487">
        <f>Sales!AI138</f>
        <v>1.1513312034078806</v>
      </c>
      <c r="AJ105" s="487">
        <f>Sales!AJ138</f>
        <v>0.79045232982240843</v>
      </c>
      <c r="AK105" s="472">
        <f>Sales!AK138</f>
        <v>0.87223727326676492</v>
      </c>
      <c r="AL105" s="487">
        <f>Sales!AL138</f>
        <v>0.83889157281318893</v>
      </c>
      <c r="AM105" s="487">
        <f>Sales!AM138</f>
        <v>0.38493959598079885</v>
      </c>
      <c r="AN105" s="487">
        <f>Sales!AN138</f>
        <v>0.23612197415969516</v>
      </c>
      <c r="AO105" s="487">
        <f>Sales!AO138</f>
        <v>0.45812113885372163</v>
      </c>
      <c r="AP105" s="472">
        <f>Sales!AP138</f>
        <v>0.44757677196009493</v>
      </c>
      <c r="AQ105" s="487">
        <f>Sales!AQ138</f>
        <v>0.2200329216079866</v>
      </c>
      <c r="AR105" s="487">
        <f>Sales!AR138</f>
        <v>0.21227120618067374</v>
      </c>
      <c r="AS105" s="487">
        <f>Sales!AS138</f>
        <v>0.59793599750109117</v>
      </c>
      <c r="AT105" s="487">
        <f>Sales!AT138</f>
        <v>0.6104419637028331</v>
      </c>
      <c r="AU105" s="472">
        <f>Sales!AU138</f>
        <v>0.42188605238981514</v>
      </c>
      <c r="AV105" s="487">
        <f>Sales!AV138</f>
        <v>0.56252628603921107</v>
      </c>
      <c r="AW105" s="487">
        <f>Sales!AW138</f>
        <v>0.84709331210086281</v>
      </c>
      <c r="AX105" s="487">
        <f>Sales!AX138</f>
        <v>0.37412002937203481</v>
      </c>
      <c r="AY105" s="487">
        <f>Sales!AY138</f>
        <v>5.8626805168482399E-2</v>
      </c>
      <c r="AZ105" s="472">
        <f>Sales!AZ138</f>
        <v>0.40364315164889919</v>
      </c>
      <c r="BA105" s="487">
        <f>Sales!BA138</f>
        <v>-8.1610680447889661E-2</v>
      </c>
      <c r="BB105" s="487">
        <f>Sales!BB138</f>
        <v>-0.11863199144994663</v>
      </c>
      <c r="BC105" s="487">
        <f>Sales!BC138</f>
        <v>-0.14991792814152827</v>
      </c>
      <c r="BD105" s="487">
        <f>Sales!BD138</f>
        <v>8.0413555427916172E-3</v>
      </c>
      <c r="BE105" s="472">
        <f>Sales!BE138</f>
        <v>-8.7053997328754074E-2</v>
      </c>
      <c r="BF105" s="376">
        <f>Sales!BF138</f>
        <v>5.2914419695193393E-2</v>
      </c>
      <c r="BG105" s="376">
        <f>Sales!BG138</f>
        <v>8.1891673403395426E-2</v>
      </c>
      <c r="BH105" s="376">
        <f>Sales!BH138</f>
        <v>0.12876421368804958</v>
      </c>
      <c r="BI105" s="376">
        <f>Sales!BI138</f>
        <v>0.10128015194681872</v>
      </c>
      <c r="BJ105" s="472">
        <f>Sales!BJ138</f>
        <v>9.2182977167041269E-2</v>
      </c>
      <c r="BK105" s="376">
        <f>Sales!BK138</f>
        <v>0</v>
      </c>
      <c r="BL105" s="376">
        <f>Sales!BL138</f>
        <v>0</v>
      </c>
      <c r="BM105" s="376">
        <f>Sales!BM138</f>
        <v>0</v>
      </c>
      <c r="BN105" s="376">
        <f>Sales!BN138</f>
        <v>0</v>
      </c>
      <c r="BO105" s="472">
        <f>Sales!BO138</f>
        <v>5.8586485668045585E-2</v>
      </c>
      <c r="BP105" s="376">
        <f>Sales!BP138</f>
        <v>0</v>
      </c>
      <c r="BQ105" s="376">
        <f>Sales!BQ138</f>
        <v>0</v>
      </c>
      <c r="BR105" s="376">
        <f>Sales!BR138</f>
        <v>0</v>
      </c>
      <c r="BS105" s="376">
        <f>Sales!BS138</f>
        <v>0</v>
      </c>
      <c r="BT105" s="472">
        <f>Sales!BT138</f>
        <v>5.8760176562840716E-2</v>
      </c>
      <c r="BU105" s="376">
        <f>Sales!BU138</f>
        <v>0</v>
      </c>
      <c r="BV105" s="376">
        <f>Sales!BV138</f>
        <v>0</v>
      </c>
      <c r="BW105" s="376">
        <f>Sales!BW138</f>
        <v>0</v>
      </c>
      <c r="BX105" s="376">
        <f>Sales!BX138</f>
        <v>0</v>
      </c>
      <c r="BY105" s="472">
        <f>Sales!BY138</f>
        <v>5.5957276505923748E-2</v>
      </c>
      <c r="BZ105" s="376">
        <f>Sales!BZ138</f>
        <v>0</v>
      </c>
      <c r="CA105" s="376">
        <f>Sales!CA138</f>
        <v>0</v>
      </c>
      <c r="CB105" s="376">
        <f>Sales!CB138</f>
        <v>0</v>
      </c>
      <c r="CC105" s="376">
        <f>Sales!CC138</f>
        <v>0</v>
      </c>
      <c r="CD105" s="472">
        <f>Sales!CD138</f>
        <v>5.6036499774337667E-2</v>
      </c>
      <c r="CE105" s="520"/>
    </row>
    <row r="106" spans="1:83" s="529" customFormat="1">
      <c r="A106" s="520"/>
      <c r="B106" s="461"/>
      <c r="C106" s="557"/>
      <c r="D106" s="557"/>
      <c r="E106" s="557"/>
      <c r="F106" s="557"/>
      <c r="G106" s="557"/>
      <c r="H106" s="557"/>
      <c r="I106" s="557"/>
      <c r="J106" s="557"/>
      <c r="K106" s="557"/>
      <c r="L106" s="557"/>
      <c r="M106" s="557"/>
      <c r="N106" s="557"/>
      <c r="O106" s="557"/>
      <c r="P106" s="557"/>
      <c r="Q106" s="557"/>
      <c r="R106" s="557"/>
      <c r="S106" s="557"/>
      <c r="T106" s="557"/>
      <c r="U106" s="557"/>
      <c r="V106" s="557"/>
      <c r="W106" s="461"/>
      <c r="X106" s="557"/>
      <c r="Y106" s="557"/>
      <c r="Z106" s="557"/>
      <c r="AA106" s="557"/>
      <c r="AB106" s="461"/>
      <c r="AC106" s="461"/>
      <c r="AD106" s="461"/>
      <c r="AE106" s="461"/>
      <c r="AF106" s="461"/>
      <c r="AG106" s="461"/>
      <c r="AH106" s="461"/>
      <c r="AI106" s="461"/>
      <c r="AJ106" s="461"/>
      <c r="AK106" s="461"/>
      <c r="AL106" s="461"/>
      <c r="AM106" s="461"/>
      <c r="AN106" s="461"/>
      <c r="AO106" s="461"/>
      <c r="AP106" s="559"/>
      <c r="AQ106" s="559"/>
      <c r="AR106" s="559"/>
      <c r="AS106" s="559"/>
      <c r="AT106" s="559"/>
      <c r="AU106" s="559"/>
      <c r="AV106" s="559"/>
      <c r="AW106" s="559"/>
      <c r="AX106" s="559"/>
      <c r="AY106" s="559"/>
      <c r="AZ106" s="559"/>
      <c r="BA106" s="559"/>
      <c r="BB106" s="559"/>
      <c r="BC106" s="559"/>
      <c r="BD106" s="559"/>
      <c r="BE106" s="461"/>
      <c r="BF106" s="376"/>
      <c r="BG106" s="376"/>
      <c r="BH106" s="376"/>
      <c r="BI106" s="376"/>
      <c r="BJ106" s="461"/>
      <c r="BK106" s="376"/>
      <c r="BL106" s="376"/>
      <c r="BM106" s="376"/>
      <c r="BN106" s="376"/>
      <c r="BO106" s="461"/>
      <c r="BP106" s="376"/>
      <c r="BQ106" s="376"/>
      <c r="BR106" s="376"/>
      <c r="BS106" s="376"/>
      <c r="BT106" s="461"/>
      <c r="BU106" s="376"/>
      <c r="BV106" s="376"/>
      <c r="BW106" s="376"/>
      <c r="BX106" s="376"/>
      <c r="BY106" s="461"/>
      <c r="BZ106" s="376"/>
      <c r="CA106" s="376"/>
      <c r="CB106" s="376"/>
      <c r="CC106" s="376"/>
      <c r="CD106" s="461"/>
      <c r="CE106" s="520"/>
    </row>
    <row r="107" spans="1:83" s="529" customFormat="1">
      <c r="A107" s="520"/>
      <c r="B107" s="225" t="str">
        <f>Sales!B141</f>
        <v>Total Valeant Revenues</v>
      </c>
      <c r="C107" s="226">
        <f>Sales!C141</f>
        <v>0</v>
      </c>
      <c r="D107" s="226">
        <f>Sales!D141</f>
        <v>0</v>
      </c>
      <c r="E107" s="226">
        <f>Sales!E141</f>
        <v>0</v>
      </c>
      <c r="F107" s="226">
        <f>Sales!F141</f>
        <v>0</v>
      </c>
      <c r="G107" s="227">
        <f>Sales!G141</f>
        <v>0</v>
      </c>
      <c r="H107" s="226">
        <f>Sales!H141</f>
        <v>0</v>
      </c>
      <c r="I107" s="226">
        <f>Sales!I141</f>
        <v>0</v>
      </c>
      <c r="J107" s="226">
        <f>Sales!J141</f>
        <v>0</v>
      </c>
      <c r="K107" s="226">
        <f>Sales!K141</f>
        <v>0</v>
      </c>
      <c r="L107" s="227">
        <f>Sales!L141</f>
        <v>0</v>
      </c>
      <c r="M107" s="226">
        <f>Sales!M141</f>
        <v>0</v>
      </c>
      <c r="N107" s="226">
        <f>Sales!N141</f>
        <v>0</v>
      </c>
      <c r="O107" s="226">
        <f>Sales!O141</f>
        <v>0</v>
      </c>
      <c r="P107" s="226">
        <f>Sales!P141</f>
        <v>0</v>
      </c>
      <c r="Q107" s="227">
        <f>Sales!Q141</f>
        <v>0</v>
      </c>
      <c r="R107" s="226">
        <f>Sales!R141</f>
        <v>0</v>
      </c>
      <c r="S107" s="226">
        <f>Sales!S141</f>
        <v>0</v>
      </c>
      <c r="T107" s="226">
        <f>Sales!T141</f>
        <v>0</v>
      </c>
      <c r="U107" s="226">
        <f>Sales!U141</f>
        <v>0</v>
      </c>
      <c r="V107" s="227">
        <f>Sales!V141</f>
        <v>0</v>
      </c>
      <c r="W107" s="226">
        <f>Sales!W141</f>
        <v>0</v>
      </c>
      <c r="X107" s="226">
        <f>Sales!X141</f>
        <v>0</v>
      </c>
      <c r="Y107" s="226">
        <f>Sales!Y141</f>
        <v>0</v>
      </c>
      <c r="Z107" s="226">
        <f>Sales!Z141</f>
        <v>0</v>
      </c>
      <c r="AA107" s="227">
        <f>Sales!AA141</f>
        <v>0</v>
      </c>
      <c r="AB107" s="226">
        <f>Sales!AB141</f>
        <v>0</v>
      </c>
      <c r="AC107" s="226">
        <f>Sales!AC141</f>
        <v>0</v>
      </c>
      <c r="AD107" s="226">
        <f>Sales!AD141</f>
        <v>0</v>
      </c>
      <c r="AE107" s="226">
        <f>Sales!AE141</f>
        <v>0</v>
      </c>
      <c r="AF107" s="227">
        <f>Sales!AF141</f>
        <v>0</v>
      </c>
      <c r="AG107" s="226" t="str">
        <f>Sales!AG141</f>
        <v xml:space="preserve"> </v>
      </c>
      <c r="AH107" s="226">
        <f>Sales!AH141</f>
        <v>0</v>
      </c>
      <c r="AI107" s="226">
        <f>Sales!AI141</f>
        <v>0</v>
      </c>
      <c r="AJ107" s="226">
        <f>Sales!AJ141</f>
        <v>0</v>
      </c>
      <c r="AK107" s="227">
        <f>Sales!AK141</f>
        <v>0</v>
      </c>
      <c r="AL107" s="226">
        <f>Sales!AL141</f>
        <v>0</v>
      </c>
      <c r="AM107" s="226">
        <f>Sales!AM141</f>
        <v>0</v>
      </c>
      <c r="AN107" s="226">
        <f>Sales!AN141</f>
        <v>0</v>
      </c>
      <c r="AO107" s="226">
        <f>Sales!AO141</f>
        <v>0</v>
      </c>
      <c r="AP107" s="227">
        <f>Sales!AP141</f>
        <v>0</v>
      </c>
      <c r="AQ107" s="226">
        <f>Sales!AQ141</f>
        <v>0</v>
      </c>
      <c r="AR107" s="226">
        <f>Sales!AR141</f>
        <v>0</v>
      </c>
      <c r="AS107" s="226">
        <f>Sales!AS141</f>
        <v>0</v>
      </c>
      <c r="AT107" s="226">
        <f>Sales!AT141</f>
        <v>0</v>
      </c>
      <c r="AU107" s="227">
        <f>Sales!AU141</f>
        <v>0</v>
      </c>
      <c r="AV107" s="226">
        <f>Sales!AV141</f>
        <v>0</v>
      </c>
      <c r="AW107" s="226">
        <f>Sales!AW141</f>
        <v>0</v>
      </c>
      <c r="AX107" s="226">
        <f>Sales!AX141</f>
        <v>0</v>
      </c>
      <c r="AY107" s="226">
        <f>Sales!AY141</f>
        <v>0</v>
      </c>
      <c r="AZ107" s="227"/>
      <c r="BA107" s="226"/>
      <c r="BB107" s="226"/>
      <c r="BC107" s="226"/>
      <c r="BD107" s="226"/>
      <c r="BE107" s="227"/>
      <c r="BF107" s="228"/>
      <c r="BG107" s="228"/>
      <c r="BH107" s="228"/>
      <c r="BI107" s="228"/>
      <c r="BJ107" s="227"/>
      <c r="BK107" s="228"/>
      <c r="BL107" s="228"/>
      <c r="BM107" s="228"/>
      <c r="BN107" s="228"/>
      <c r="BO107" s="227"/>
      <c r="BP107" s="228"/>
      <c r="BQ107" s="228"/>
      <c r="BR107" s="228"/>
      <c r="BS107" s="228"/>
      <c r="BT107" s="227"/>
      <c r="BU107" s="228"/>
      <c r="BV107" s="228"/>
      <c r="BW107" s="228"/>
      <c r="BX107" s="228"/>
      <c r="BY107" s="227"/>
      <c r="BZ107" s="228"/>
      <c r="CA107" s="228"/>
      <c r="CB107" s="228"/>
      <c r="CC107" s="228"/>
      <c r="CD107" s="227"/>
      <c r="CE107" s="520"/>
    </row>
    <row r="108" spans="1:83" s="390" customFormat="1">
      <c r="A108" s="8"/>
      <c r="B108" s="553" t="str">
        <f>Sales!B142</f>
        <v>Total Valeant Revenues</v>
      </c>
      <c r="C108" s="452" t="e">
        <f>Sales!C142</f>
        <v>#REF!</v>
      </c>
      <c r="D108" s="452" t="e">
        <f>Sales!D142</f>
        <v>#REF!</v>
      </c>
      <c r="E108" s="452" t="e">
        <f>Sales!E142</f>
        <v>#REF!</v>
      </c>
      <c r="F108" s="452" t="e">
        <f>Sales!F142</f>
        <v>#REF!</v>
      </c>
      <c r="G108" s="482" t="e">
        <f>Sales!G142</f>
        <v>#REF!</v>
      </c>
      <c r="H108" s="452" t="e">
        <f>Sales!H142</f>
        <v>#REF!</v>
      </c>
      <c r="I108" s="452" t="e">
        <f>Sales!I142</f>
        <v>#REF!</v>
      </c>
      <c r="J108" s="452" t="e">
        <f>Sales!J142</f>
        <v>#REF!</v>
      </c>
      <c r="K108" s="452" t="e">
        <f>Sales!K142</f>
        <v>#REF!</v>
      </c>
      <c r="L108" s="482" t="e">
        <f>Sales!L142</f>
        <v>#REF!</v>
      </c>
      <c r="M108" s="452" t="e">
        <f>Sales!M142</f>
        <v>#REF!</v>
      </c>
      <c r="N108" s="452" t="e">
        <f>Sales!N142</f>
        <v>#REF!</v>
      </c>
      <c r="O108" s="452" t="e">
        <f>Sales!O142</f>
        <v>#REF!</v>
      </c>
      <c r="P108" s="452" t="e">
        <f>Sales!P142</f>
        <v>#REF!</v>
      </c>
      <c r="Q108" s="482" t="e">
        <f>Sales!Q142</f>
        <v>#REF!</v>
      </c>
      <c r="R108" s="452" t="e">
        <f>Sales!R142</f>
        <v>#REF!</v>
      </c>
      <c r="S108" s="452" t="e">
        <f>Sales!S142</f>
        <v>#REF!</v>
      </c>
      <c r="T108" s="452" t="e">
        <f>Sales!T142</f>
        <v>#REF!</v>
      </c>
      <c r="U108" s="452" t="e">
        <f>Sales!U142</f>
        <v>#REF!</v>
      </c>
      <c r="V108" s="482" t="e">
        <f>Sales!V142</f>
        <v>#REF!</v>
      </c>
      <c r="W108" s="452" t="e">
        <f>Sales!W142</f>
        <v>#REF!</v>
      </c>
      <c r="X108" s="452" t="e">
        <f>Sales!X142</f>
        <v>#REF!</v>
      </c>
      <c r="Y108" s="452" t="e">
        <f>Sales!Y142</f>
        <v>#REF!</v>
      </c>
      <c r="Z108" s="452" t="e">
        <f>Sales!Z142</f>
        <v>#REF!</v>
      </c>
      <c r="AA108" s="482" t="e">
        <f>Sales!AA142</f>
        <v>#REF!</v>
      </c>
      <c r="AB108" s="452">
        <f>Sales!AB142</f>
        <v>0</v>
      </c>
      <c r="AC108" s="452">
        <f>Sales!AC142</f>
        <v>0</v>
      </c>
      <c r="AD108" s="452">
        <f>Sales!AD142</f>
        <v>0</v>
      </c>
      <c r="AE108" s="452">
        <f>Sales!AE142</f>
        <v>0</v>
      </c>
      <c r="AF108" s="482">
        <f>Sales!AF142</f>
        <v>0</v>
      </c>
      <c r="AG108" s="452">
        <f>Sales!AG142</f>
        <v>0</v>
      </c>
      <c r="AH108" s="452">
        <f>Sales!AH142</f>
        <v>0</v>
      </c>
      <c r="AI108" s="452">
        <f>Sales!AI142</f>
        <v>0</v>
      </c>
      <c r="AJ108" s="452">
        <f>Sales!AJ142</f>
        <v>0</v>
      </c>
      <c r="AK108" s="482">
        <f>Sales!AK142</f>
        <v>0</v>
      </c>
      <c r="AL108" s="452">
        <f>Sales!AL142</f>
        <v>0</v>
      </c>
      <c r="AM108" s="452">
        <f>Sales!AM142</f>
        <v>0</v>
      </c>
      <c r="AN108" s="452">
        <f>Sales!AN142</f>
        <v>0</v>
      </c>
      <c r="AO108" s="452">
        <f>Sales!AO142</f>
        <v>0</v>
      </c>
      <c r="AP108" s="482">
        <f>Sales!AP142</f>
        <v>0</v>
      </c>
      <c r="AQ108" s="452">
        <f>Sales!AQ142</f>
        <v>1068.3110000000001</v>
      </c>
      <c r="AR108" s="452">
        <f>Sales!AR142</f>
        <v>1095.7370000000001</v>
      </c>
      <c r="AS108" s="452">
        <f>Sales!AS142</f>
        <v>1541.7080000000001</v>
      </c>
      <c r="AT108" s="452">
        <f>Sales!AT142</f>
        <v>2063.7469999999998</v>
      </c>
      <c r="AU108" s="482">
        <f>Sales!AU142</f>
        <v>5769.5030000000006</v>
      </c>
      <c r="AV108" s="452">
        <f>Sales!AV142</f>
        <v>1886.1999999999998</v>
      </c>
      <c r="AW108" s="452">
        <f>Sales!AW142</f>
        <v>2041.1000000000004</v>
      </c>
      <c r="AX108" s="452">
        <f>Sales!AX142</f>
        <v>2056.1999999999998</v>
      </c>
      <c r="AY108" s="452">
        <f>Sales!AY142</f>
        <v>2280</v>
      </c>
      <c r="AZ108" s="482">
        <f>Sales!AZ142</f>
        <v>8263.5</v>
      </c>
      <c r="BA108" s="452">
        <f>Sales!BA142</f>
        <v>2190.9</v>
      </c>
      <c r="BB108" s="452">
        <f>Sales!BB142</f>
        <v>2732.4000000000005</v>
      </c>
      <c r="BC108" s="452">
        <f>Sales!BC142</f>
        <v>2786.7999999999997</v>
      </c>
      <c r="BD108" s="452">
        <f>Sales!BD142</f>
        <v>2784.5</v>
      </c>
      <c r="BE108" s="482">
        <f>Sales!BE142</f>
        <v>10494.6</v>
      </c>
      <c r="BF108" s="28">
        <f>Sales!BF142</f>
        <v>2379.2960000000003</v>
      </c>
      <c r="BG108" s="28">
        <f>Sales!BG142</f>
        <v>2743.1110000000003</v>
      </c>
      <c r="BH108" s="28">
        <f>Sales!BH142</f>
        <v>2828.2669999999998</v>
      </c>
      <c r="BI108" s="28">
        <f>Sales!BI142</f>
        <v>3016.0770000000002</v>
      </c>
      <c r="BJ108" s="482">
        <f>Sales!BJ142</f>
        <v>10966.751</v>
      </c>
      <c r="BK108" s="28">
        <f>Sales!BK142</f>
        <v>0</v>
      </c>
      <c r="BL108" s="28">
        <f>Sales!BL142</f>
        <v>0</v>
      </c>
      <c r="BM108" s="28">
        <f>Sales!BM142</f>
        <v>0</v>
      </c>
      <c r="BN108" s="28">
        <f>Sales!BN142</f>
        <v>0</v>
      </c>
      <c r="BO108" s="482">
        <f>Sales!BO142</f>
        <v>11740.723020000001</v>
      </c>
      <c r="BP108" s="28">
        <f>Sales!BP142</f>
        <v>0</v>
      </c>
      <c r="BQ108" s="28">
        <f>Sales!BQ142</f>
        <v>0</v>
      </c>
      <c r="BR108" s="28">
        <f>Sales!BR142</f>
        <v>0</v>
      </c>
      <c r="BS108" s="28">
        <f>Sales!BS142</f>
        <v>0</v>
      </c>
      <c r="BT108" s="482">
        <f>Sales!BT142</f>
        <v>12447.6115627</v>
      </c>
      <c r="BU108" s="28">
        <f>Sales!BU142</f>
        <v>0</v>
      </c>
      <c r="BV108" s="28">
        <f>Sales!BV142</f>
        <v>0</v>
      </c>
      <c r="BW108" s="28">
        <f>Sales!BW142</f>
        <v>0</v>
      </c>
      <c r="BX108" s="28">
        <f>Sales!BX142</f>
        <v>0</v>
      </c>
      <c r="BY108" s="482">
        <f>Sales!BY142</f>
        <v>13185.359670699003</v>
      </c>
      <c r="BZ108" s="28">
        <f>Sales!BZ142</f>
        <v>0</v>
      </c>
      <c r="CA108" s="28">
        <f>Sales!CA142</f>
        <v>0</v>
      </c>
      <c r="CB108" s="28">
        <f>Sales!CB142</f>
        <v>0</v>
      </c>
      <c r="CC108" s="28">
        <f>Sales!CC142</f>
        <v>0</v>
      </c>
      <c r="CD108" s="482">
        <f>Sales!CD142</f>
        <v>13762.726328055631</v>
      </c>
      <c r="CE108" s="8"/>
    </row>
    <row r="109" spans="1:83" ht="13">
      <c r="B109" s="484" t="str">
        <f>Sales!B143</f>
        <v>growth</v>
      </c>
      <c r="C109" s="485">
        <f>Sales!C143</f>
        <v>0</v>
      </c>
      <c r="D109" s="485">
        <f>Sales!D143</f>
        <v>0</v>
      </c>
      <c r="E109" s="485">
        <f>Sales!E143</f>
        <v>0</v>
      </c>
      <c r="F109" s="485">
        <f>Sales!F143</f>
        <v>0</v>
      </c>
      <c r="G109" s="486">
        <f>Sales!G143</f>
        <v>0</v>
      </c>
      <c r="H109" s="485">
        <f>Sales!H143</f>
        <v>0</v>
      </c>
      <c r="I109" s="485">
        <f>Sales!I143</f>
        <v>0</v>
      </c>
      <c r="J109" s="485">
        <f>Sales!J143</f>
        <v>0</v>
      </c>
      <c r="K109" s="485">
        <f>Sales!K143</f>
        <v>0</v>
      </c>
      <c r="L109" s="486">
        <f>Sales!L143</f>
        <v>0</v>
      </c>
      <c r="M109" s="485">
        <f>Sales!M143</f>
        <v>0</v>
      </c>
      <c r="N109" s="485">
        <f>Sales!N143</f>
        <v>0</v>
      </c>
      <c r="O109" s="485">
        <f>Sales!O143</f>
        <v>0</v>
      </c>
      <c r="P109" s="485">
        <f>Sales!P143</f>
        <v>0</v>
      </c>
      <c r="Q109" s="486">
        <f>Sales!Q143</f>
        <v>0</v>
      </c>
      <c r="R109" s="485">
        <f>Sales!R143</f>
        <v>0</v>
      </c>
      <c r="S109" s="485">
        <f>Sales!S143</f>
        <v>0</v>
      </c>
      <c r="T109" s="485">
        <f>Sales!T143</f>
        <v>0</v>
      </c>
      <c r="U109" s="485">
        <f>Sales!U143</f>
        <v>0</v>
      </c>
      <c r="V109" s="486">
        <f>Sales!V143</f>
        <v>0</v>
      </c>
      <c r="W109" s="487" t="e">
        <f>Sales!W143</f>
        <v>#REF!</v>
      </c>
      <c r="X109" s="485" t="e">
        <f>Sales!X143</f>
        <v>#REF!</v>
      </c>
      <c r="Y109" s="485" t="e">
        <f>Sales!Y143</f>
        <v>#REF!</v>
      </c>
      <c r="Z109" s="485" t="e">
        <f>Sales!Z143</f>
        <v>#REF!</v>
      </c>
      <c r="AA109" s="486" t="e">
        <f>Sales!AA143</f>
        <v>#REF!</v>
      </c>
      <c r="AB109" s="554">
        <f>Sales!AB143</f>
        <v>0</v>
      </c>
      <c r="AC109" s="1">
        <f>Sales!AC143</f>
        <v>0</v>
      </c>
      <c r="AD109" s="1">
        <f>Sales!AD143</f>
        <v>0</v>
      </c>
      <c r="AE109" s="1">
        <f>Sales!AE143</f>
        <v>0</v>
      </c>
      <c r="AF109" s="555">
        <f>Sales!AF143</f>
        <v>0</v>
      </c>
      <c r="AG109" s="487">
        <f>Sales!AG143</f>
        <v>0</v>
      </c>
      <c r="AH109" s="487">
        <f>Sales!AH143</f>
        <v>0</v>
      </c>
      <c r="AI109" s="487">
        <f>Sales!AI143</f>
        <v>0</v>
      </c>
      <c r="AJ109" s="487">
        <f>Sales!AJ143</f>
        <v>0</v>
      </c>
      <c r="AK109" s="472">
        <f>Sales!AK143</f>
        <v>0</v>
      </c>
      <c r="AL109" s="487">
        <f>Sales!AL143</f>
        <v>0</v>
      </c>
      <c r="AM109" s="487">
        <f>Sales!AM143</f>
        <v>0</v>
      </c>
      <c r="AN109" s="487">
        <f>Sales!AN143</f>
        <v>0</v>
      </c>
      <c r="AO109" s="487">
        <f>Sales!AO143</f>
        <v>0</v>
      </c>
      <c r="AP109" s="472">
        <f>Sales!AP143</f>
        <v>0</v>
      </c>
      <c r="AQ109" s="488">
        <f>Sales!AQ143</f>
        <v>0</v>
      </c>
      <c r="AR109" s="487">
        <f>Sales!AR143</f>
        <v>0</v>
      </c>
      <c r="AS109" s="487">
        <f>Sales!AS143</f>
        <v>0</v>
      </c>
      <c r="AT109" s="487">
        <f>Sales!AT143</f>
        <v>0</v>
      </c>
      <c r="AU109" s="472">
        <f>Sales!AU143</f>
        <v>0</v>
      </c>
      <c r="AV109" s="487">
        <f>Sales!AV143</f>
        <v>0.76559073153791313</v>
      </c>
      <c r="AW109" s="487">
        <f>Sales!AW143</f>
        <v>0.86276451374736851</v>
      </c>
      <c r="AX109" s="487">
        <f>Sales!AX143</f>
        <v>0.33371559335490231</v>
      </c>
      <c r="AY109" s="487">
        <f>Sales!AY143</f>
        <v>0.10478658478970537</v>
      </c>
      <c r="AZ109" s="472">
        <f>Sales!AZ143</f>
        <v>0.43227241583893772</v>
      </c>
      <c r="BA109" s="487">
        <f>Sales!BA143</f>
        <v>0.16154172410136791</v>
      </c>
      <c r="BB109" s="487">
        <f>Sales!BB143</f>
        <v>0.33868992210082793</v>
      </c>
      <c r="BC109" s="487">
        <f>Sales!BC143</f>
        <v>0.35531563077521633</v>
      </c>
      <c r="BD109" s="487">
        <f>Sales!BD143</f>
        <v>0.22127192982456134</v>
      </c>
      <c r="BE109" s="472">
        <f>Sales!BE143</f>
        <v>0.26999455436558373</v>
      </c>
      <c r="BF109" s="376">
        <f>Sales!BF143</f>
        <v>8.5990232324615556E-2</v>
      </c>
      <c r="BG109" s="376">
        <f>Sales!BG143</f>
        <v>3.9199970721708333E-3</v>
      </c>
      <c r="BH109" s="376">
        <f>Sales!BH143</f>
        <v>1.4879790440648799E-2</v>
      </c>
      <c r="BI109" s="376">
        <f>Sales!BI143</f>
        <v>8.3166457173639907E-2</v>
      </c>
      <c r="BJ109" s="472">
        <f>Sales!BJ143</f>
        <v>4.4989899567396519E-2</v>
      </c>
      <c r="BK109" s="376">
        <f>Sales!BK143</f>
        <v>0</v>
      </c>
      <c r="BL109" s="376">
        <f>Sales!BL143</f>
        <v>0</v>
      </c>
      <c r="BM109" s="376">
        <f>Sales!BM143</f>
        <v>0</v>
      </c>
      <c r="BN109" s="376">
        <f>Sales!BN143</f>
        <v>0</v>
      </c>
      <c r="BO109" s="472">
        <f>Sales!BO143</f>
        <v>7.0574413515908319E-2</v>
      </c>
      <c r="BP109" s="376">
        <f>Sales!BP143</f>
        <v>0</v>
      </c>
      <c r="BQ109" s="376">
        <f>Sales!BQ143</f>
        <v>0</v>
      </c>
      <c r="BR109" s="376">
        <f>Sales!BR143</f>
        <v>0</v>
      </c>
      <c r="BS109" s="376">
        <f>Sales!BS143</f>
        <v>0</v>
      </c>
      <c r="BT109" s="472">
        <f>Sales!BT143</f>
        <v>6.0208263281216423E-2</v>
      </c>
      <c r="BU109" s="376">
        <f>Sales!BU143</f>
        <v>0</v>
      </c>
      <c r="BV109" s="376">
        <f>Sales!BV143</f>
        <v>0</v>
      </c>
      <c r="BW109" s="376">
        <f>Sales!BW143</f>
        <v>0</v>
      </c>
      <c r="BX109" s="376">
        <f>Sales!BX143</f>
        <v>0</v>
      </c>
      <c r="BY109" s="472">
        <f>Sales!BY143</f>
        <v>5.9268246304351901E-2</v>
      </c>
      <c r="BZ109" s="376">
        <f>Sales!BZ143</f>
        <v>0</v>
      </c>
      <c r="CA109" s="376">
        <f>Sales!CA143</f>
        <v>0</v>
      </c>
      <c r="CB109" s="376">
        <f>Sales!CB143</f>
        <v>0</v>
      </c>
      <c r="CC109" s="376">
        <f>Sales!CC143</f>
        <v>0</v>
      </c>
      <c r="CD109" s="472">
        <f>Sales!CD143</f>
        <v>4.3788464765179835E-2</v>
      </c>
    </row>
  </sheetData>
  <conditionalFormatting sqref="AY1:CD1 A1:AX10 A101:CE102 A61:AE61 AG54:AJ54 A51:AF54 A55:AJ55 AL54:AO55 AK51:AK55 AQ54:AR55 AP51:AP55 AU51:AU56 AV54:AV56 BA54:BD54 A67:AE67 A56:AR58 BE67:CD67 AU67:AV67 AK59:AK61 C83:BA83 AY7:AZ7 BE7:CD7 AY8:CD10 A13:AE13 AG13:AJ13 AL13:AO13 AZ67 AU19:AX19 AU20:AW20 AU30:AW30 AU38:AX39 AU37:AW37 AU41:AX42 AU40:AW40 AU44:AX45 AU43:AW43 A82:BB82 BC46:BD46 AU12 AZ56 BA28:BB28 AU50:AV50 AZ57:BB57 AU57:AV61 AZ58:AZ61 A18:BI18 AZ19:BI19 AZ20:BB20 BE20:BI20 BK19:BN20 BP19:BS20 BU19:BX20 BZ19:CC20 AZ33:BB33 BE51:CD54 BA55:BB55 BE57:BI57 BF56:BI56 BF58:BI58 BE55:BI55 BE59:CD61 A96:AA97 AB97:AF97 AQ97:CE97 A98:CE98 AP99:BJ99 A83:A91 A105:AA105 AG105:AY105 A104:AY104 BA105:BD105 AZ104:AZ105 A99:AK100 A103:AK103 AL100:BJ100 BK99:CE100 A107:A109 AZ35:BB35 AY4:CD6 BA104:CE104 AF12:AF13 AK12:AK13 AP12:AP13 AU21:AY26 AZ23:BB26 BC25:BD26 AU28:AX28 AU29:AY29 AU31:AY34 A19:AT34 AU35:AX35 AS35:AT45 AU36:AY36 AS48:AY49 BF48:BI50 AZ48:BB50 A35:AR50 AZ51:AZ54 CE1:GI10 A11:GI11 AQ13:GI13 BF46:GI46 AZ21:GI22 BF28:GI28 BE33:GI33 BE35:GI35 CE54:GI58 B84:CE91 A92:CE95 AB96:CE96 AM103:CE103 CE107:CE109 A110:CE65213 AZ34:GI34 AU27:GI27 BE82:CE83 AZ29:GI32 AZ36:GI45 CE18:GI20 BE23:GI26 A14:GI17 CE47:GI50 CE63:CE64 CE66 CF62:GI66 A106:BD106 BE105:CE106 CF82:GI65213 A69:CE79 CF68:GI79">
    <cfRule type="expression" dxfId="462" priority="162" stopIfTrue="1">
      <formula>ISERROR(A1)</formula>
    </cfRule>
  </conditionalFormatting>
  <conditionalFormatting sqref="A59:AE60">
    <cfRule type="expression" dxfId="461" priority="161" stopIfTrue="1">
      <formula>ISERROR(A59)</formula>
    </cfRule>
  </conditionalFormatting>
  <conditionalFormatting sqref="A62:AE64 CE62">
    <cfRule type="expression" dxfId="460" priority="160" stopIfTrue="1">
      <formula>ISERROR(A62)</formula>
    </cfRule>
  </conditionalFormatting>
  <conditionalFormatting sqref="AK67 BC62:CD62 AF62:AR64 AZ63:CD64 AZ62 AU62 AU63:AV64">
    <cfRule type="expression" dxfId="459" priority="159" stopIfTrue="1">
      <formula>ISERROR(AF62)</formula>
    </cfRule>
  </conditionalFormatting>
  <conditionalFormatting sqref="A68:AR68 AK80 AU80 AZ68:CE68 AZ80 AU68:AV68 BE80:BI80 BK80:BN80 BP80:BS80 BU80:BX80 BZ80:CC80">
    <cfRule type="expression" dxfId="458" priority="158" stopIfTrue="1">
      <formula>ISERROR(A68)</formula>
    </cfRule>
  </conditionalFormatting>
  <conditionalFormatting sqref="A80:AE80 A81">
    <cfRule type="expression" dxfId="457" priority="157" stopIfTrue="1">
      <formula>ISERROR(A80)</formula>
    </cfRule>
  </conditionalFormatting>
  <conditionalFormatting sqref="B83">
    <cfRule type="expression" dxfId="456" priority="156" stopIfTrue="1">
      <formula>ISERROR(B83)</formula>
    </cfRule>
  </conditionalFormatting>
  <conditionalFormatting sqref="BA7:BD7">
    <cfRule type="expression" dxfId="455" priority="155" stopIfTrue="1">
      <formula>ISERROR(BA7)</formula>
    </cfRule>
  </conditionalFormatting>
  <conditionalFormatting sqref="BB51">
    <cfRule type="expression" dxfId="454" priority="154" stopIfTrue="1">
      <formula>ISERROR(BB51)</formula>
    </cfRule>
  </conditionalFormatting>
  <conditionalFormatting sqref="BB83">
    <cfRule type="expression" dxfId="453" priority="141" stopIfTrue="1">
      <formula>ISERROR(BB83)</formula>
    </cfRule>
  </conditionalFormatting>
  <conditionalFormatting sqref="BB59">
    <cfRule type="expression" dxfId="452" priority="153" stopIfTrue="1">
      <formula>ISERROR(BB59)</formula>
    </cfRule>
  </conditionalFormatting>
  <conditionalFormatting sqref="BB62">
    <cfRule type="expression" dxfId="451" priority="152" stopIfTrue="1">
      <formula>ISERROR(BB62)</formula>
    </cfRule>
  </conditionalFormatting>
  <conditionalFormatting sqref="BB80">
    <cfRule type="expression" dxfId="450" priority="151" stopIfTrue="1">
      <formula>ISERROR(BB80)</formula>
    </cfRule>
  </conditionalFormatting>
  <conditionalFormatting sqref="AW54:AX56 AW58:AX58">
    <cfRule type="expression" dxfId="449" priority="150" stopIfTrue="1">
      <formula>ISERROR(AW54)</formula>
    </cfRule>
  </conditionalFormatting>
  <conditionalFormatting sqref="AW63:AX64">
    <cfRule type="expression" dxfId="448" priority="149" stopIfTrue="1">
      <formula>ISERROR(AW63)</formula>
    </cfRule>
  </conditionalFormatting>
  <conditionalFormatting sqref="AW68:AX68">
    <cfRule type="expression" dxfId="447" priority="148" stopIfTrue="1">
      <formula>ISERROR(AW68)</formula>
    </cfRule>
  </conditionalFormatting>
  <conditionalFormatting sqref="AW51:AX51">
    <cfRule type="expression" dxfId="446" priority="147" stopIfTrue="1">
      <formula>ISERROR(AW51)</formula>
    </cfRule>
  </conditionalFormatting>
  <conditionalFormatting sqref="AW59:AX59">
    <cfRule type="expression" dxfId="445" priority="146" stopIfTrue="1">
      <formula>ISERROR(AW59)</formula>
    </cfRule>
  </conditionalFormatting>
  <conditionalFormatting sqref="AW62:AX62">
    <cfRule type="expression" dxfId="444" priority="145" stopIfTrue="1">
      <formula>ISERROR(AW62)</formula>
    </cfRule>
  </conditionalFormatting>
  <conditionalFormatting sqref="AW80:AX80">
    <cfRule type="expression" dxfId="443" priority="144" stopIfTrue="1">
      <formula>ISERROR(AW80)</formula>
    </cfRule>
  </conditionalFormatting>
  <conditionalFormatting sqref="BB52">
    <cfRule type="expression" dxfId="442" priority="143" stopIfTrue="1">
      <formula>ISERROR(BB52)</formula>
    </cfRule>
  </conditionalFormatting>
  <conditionalFormatting sqref="BB60">
    <cfRule type="expression" dxfId="441" priority="142" stopIfTrue="1">
      <formula>ISERROR(BB60)</formula>
    </cfRule>
  </conditionalFormatting>
  <conditionalFormatting sqref="B12">
    <cfRule type="expression" dxfId="440" priority="140" stopIfTrue="1">
      <formula>ISERROR(B12)</formula>
    </cfRule>
  </conditionalFormatting>
  <conditionalFormatting sqref="AV12:AY12 BA12:BB12">
    <cfRule type="expression" dxfId="439" priority="139" stopIfTrue="1">
      <formula>ISERROR(AV12)</formula>
    </cfRule>
  </conditionalFormatting>
  <conditionalFormatting sqref="BA51">
    <cfRule type="expression" dxfId="438" priority="138" stopIfTrue="1">
      <formula>ISERROR(BA51)</formula>
    </cfRule>
  </conditionalFormatting>
  <conditionalFormatting sqref="BA59">
    <cfRule type="expression" dxfId="437" priority="137" stopIfTrue="1">
      <formula>ISERROR(BA59)</formula>
    </cfRule>
  </conditionalFormatting>
  <conditionalFormatting sqref="BA62">
    <cfRule type="expression" dxfId="436" priority="136" stopIfTrue="1">
      <formula>ISERROR(BA62)</formula>
    </cfRule>
  </conditionalFormatting>
  <conditionalFormatting sqref="BA80">
    <cfRule type="expression" dxfId="435" priority="135" stopIfTrue="1">
      <formula>ISERROR(BA80)</formula>
    </cfRule>
  </conditionalFormatting>
  <conditionalFormatting sqref="AV51">
    <cfRule type="expression" dxfId="434" priority="134" stopIfTrue="1">
      <formula>ISERROR(AV51)</formula>
    </cfRule>
  </conditionalFormatting>
  <conditionalFormatting sqref="AV62">
    <cfRule type="expression" dxfId="433" priority="133" stopIfTrue="1">
      <formula>ISERROR(AV62)</formula>
    </cfRule>
  </conditionalFormatting>
  <conditionalFormatting sqref="AV80">
    <cfRule type="expression" dxfId="432" priority="132" stopIfTrue="1">
      <formula>ISERROR(AV80)</formula>
    </cfRule>
  </conditionalFormatting>
  <conditionalFormatting sqref="AY19 AY38:AY39 AY41:AY42 AY44:AY45">
    <cfRule type="expression" dxfId="431" priority="131" stopIfTrue="1">
      <formula>ISERROR(AY19)</formula>
    </cfRule>
  </conditionalFormatting>
  <conditionalFormatting sqref="AY54:AY56 AY58">
    <cfRule type="expression" dxfId="430" priority="130" stopIfTrue="1">
      <formula>ISERROR(AY54)</formula>
    </cfRule>
  </conditionalFormatting>
  <conditionalFormatting sqref="AY63:AY64">
    <cfRule type="expression" dxfId="429" priority="129" stopIfTrue="1">
      <formula>ISERROR(AY63)</formula>
    </cfRule>
  </conditionalFormatting>
  <conditionalFormatting sqref="AY68">
    <cfRule type="expression" dxfId="428" priority="128" stopIfTrue="1">
      <formula>ISERROR(AY68)</formula>
    </cfRule>
  </conditionalFormatting>
  <conditionalFormatting sqref="AY51">
    <cfRule type="expression" dxfId="427" priority="127" stopIfTrue="1">
      <formula>ISERROR(AY51)</formula>
    </cfRule>
  </conditionalFormatting>
  <conditionalFormatting sqref="AY59">
    <cfRule type="expression" dxfId="426" priority="126" stopIfTrue="1">
      <formula>ISERROR(AY59)</formula>
    </cfRule>
  </conditionalFormatting>
  <conditionalFormatting sqref="AY62">
    <cfRule type="expression" dxfId="425" priority="125" stopIfTrue="1">
      <formula>ISERROR(AY62)</formula>
    </cfRule>
  </conditionalFormatting>
  <conditionalFormatting sqref="AY80">
    <cfRule type="expression" dxfId="424" priority="124" stopIfTrue="1">
      <formula>ISERROR(AY80)</formula>
    </cfRule>
  </conditionalFormatting>
  <conditionalFormatting sqref="BA52">
    <cfRule type="expression" dxfId="423" priority="123" stopIfTrue="1">
      <formula>ISERROR(BA52)</formula>
    </cfRule>
  </conditionalFormatting>
  <conditionalFormatting sqref="BA60">
    <cfRule type="expression" dxfId="422" priority="122" stopIfTrue="1">
      <formula>ISERROR(BA60)</formula>
    </cfRule>
  </conditionalFormatting>
  <conditionalFormatting sqref="B81:AE81">
    <cfRule type="expression" dxfId="421" priority="121" stopIfTrue="1">
      <formula>ISERROR(B81)</formula>
    </cfRule>
  </conditionalFormatting>
  <conditionalFormatting sqref="AF81:AR81 AU81:AV81 AZ81:CD81">
    <cfRule type="expression" dxfId="420" priority="120" stopIfTrue="1">
      <formula>ISERROR(AF81)</formula>
    </cfRule>
  </conditionalFormatting>
  <conditionalFormatting sqref="AW81:AX81">
    <cfRule type="expression" dxfId="419" priority="119" stopIfTrue="1">
      <formula>ISERROR(AW81)</formula>
    </cfRule>
  </conditionalFormatting>
  <conditionalFormatting sqref="AY81">
    <cfRule type="expression" dxfId="418" priority="118" stopIfTrue="1">
      <formula>ISERROR(AY81)</formula>
    </cfRule>
  </conditionalFormatting>
  <conditionalFormatting sqref="AT54:AT58">
    <cfRule type="expression" dxfId="417" priority="117" stopIfTrue="1">
      <formula>ISERROR(AT54)</formula>
    </cfRule>
  </conditionalFormatting>
  <conditionalFormatting sqref="AT63:AT64">
    <cfRule type="expression" dxfId="416" priority="116" stopIfTrue="1">
      <formula>ISERROR(AT63)</formula>
    </cfRule>
  </conditionalFormatting>
  <conditionalFormatting sqref="AT51">
    <cfRule type="expression" dxfId="415" priority="114" stopIfTrue="1">
      <formula>ISERROR(AT51)</formula>
    </cfRule>
  </conditionalFormatting>
  <conditionalFormatting sqref="AT68">
    <cfRule type="expression" dxfId="414" priority="115" stopIfTrue="1">
      <formula>ISERROR(AT68)</formula>
    </cfRule>
  </conditionalFormatting>
  <conditionalFormatting sqref="AT59">
    <cfRule type="expression" dxfId="413" priority="113" stopIfTrue="1">
      <formula>ISERROR(AT59)</formula>
    </cfRule>
  </conditionalFormatting>
  <conditionalFormatting sqref="AT62">
    <cfRule type="expression" dxfId="412" priority="112" stopIfTrue="1">
      <formula>ISERROR(AT62)</formula>
    </cfRule>
  </conditionalFormatting>
  <conditionalFormatting sqref="AT80">
    <cfRule type="expression" dxfId="411" priority="111" stopIfTrue="1">
      <formula>ISERROR(AT80)</formula>
    </cfRule>
  </conditionalFormatting>
  <conditionalFormatting sqref="AT81">
    <cfRule type="expression" dxfId="410" priority="110" stopIfTrue="1">
      <formula>ISERROR(AT81)</formula>
    </cfRule>
  </conditionalFormatting>
  <conditionalFormatting sqref="AS68">
    <cfRule type="expression" dxfId="409" priority="107" stopIfTrue="1">
      <formula>ISERROR(AS68)</formula>
    </cfRule>
  </conditionalFormatting>
  <conditionalFormatting sqref="AS54:AS58">
    <cfRule type="expression" dxfId="408" priority="109" stopIfTrue="1">
      <formula>ISERROR(AS54)</formula>
    </cfRule>
  </conditionalFormatting>
  <conditionalFormatting sqref="AS63:AS64">
    <cfRule type="expression" dxfId="407" priority="108" stopIfTrue="1">
      <formula>ISERROR(AS63)</formula>
    </cfRule>
  </conditionalFormatting>
  <conditionalFormatting sqref="AS51">
    <cfRule type="expression" dxfId="406" priority="106" stopIfTrue="1">
      <formula>ISERROR(AS51)</formula>
    </cfRule>
  </conditionalFormatting>
  <conditionalFormatting sqref="AS59">
    <cfRule type="expression" dxfId="405" priority="105" stopIfTrue="1">
      <formula>ISERROR(AS59)</formula>
    </cfRule>
  </conditionalFormatting>
  <conditionalFormatting sqref="AS62">
    <cfRule type="expression" dxfId="404" priority="104" stopIfTrue="1">
      <formula>ISERROR(AS62)</formula>
    </cfRule>
  </conditionalFormatting>
  <conditionalFormatting sqref="AS80">
    <cfRule type="expression" dxfId="403" priority="103" stopIfTrue="1">
      <formula>ISERROR(AS80)</formula>
    </cfRule>
  </conditionalFormatting>
  <conditionalFormatting sqref="AS81">
    <cfRule type="expression" dxfId="402" priority="102" stopIfTrue="1">
      <formula>ISERROR(AS81)</formula>
    </cfRule>
  </conditionalFormatting>
  <conditionalFormatting sqref="AX43:AY43">
    <cfRule type="expression" dxfId="401" priority="97" stopIfTrue="1">
      <formula>ISERROR(AX43)</formula>
    </cfRule>
  </conditionalFormatting>
  <conditionalFormatting sqref="AX20:AY20">
    <cfRule type="expression" dxfId="400" priority="101" stopIfTrue="1">
      <formula>ISERROR(AX20)</formula>
    </cfRule>
  </conditionalFormatting>
  <conditionalFormatting sqref="AX30:AY30">
    <cfRule type="expression" dxfId="399" priority="100" stopIfTrue="1">
      <formula>ISERROR(AX30)</formula>
    </cfRule>
  </conditionalFormatting>
  <conditionalFormatting sqref="AX37:AY37">
    <cfRule type="expression" dxfId="398" priority="99" stopIfTrue="1">
      <formula>ISERROR(AX37)</formula>
    </cfRule>
  </conditionalFormatting>
  <conditionalFormatting sqref="AX40:AY40">
    <cfRule type="expression" dxfId="397" priority="98" stopIfTrue="1">
      <formula>ISERROR(AX40)</formula>
    </cfRule>
  </conditionalFormatting>
  <conditionalFormatting sqref="AX52:AY52">
    <cfRule type="expression" dxfId="396" priority="96" stopIfTrue="1">
      <formula>ISERROR(AX52)</formula>
    </cfRule>
  </conditionalFormatting>
  <conditionalFormatting sqref="AX60:AY60">
    <cfRule type="expression" dxfId="395" priority="95" stopIfTrue="1">
      <formula>ISERROR(AX60)</formula>
    </cfRule>
  </conditionalFormatting>
  <conditionalFormatting sqref="BE46">
    <cfRule type="expression" dxfId="394" priority="91" stopIfTrue="1">
      <formula>ISERROR(BE46)</formula>
    </cfRule>
  </conditionalFormatting>
  <conditionalFormatting sqref="BE47">
    <cfRule type="expression" dxfId="393" priority="90" stopIfTrue="1">
      <formula>ISERROR(BE47)</formula>
    </cfRule>
  </conditionalFormatting>
  <conditionalFormatting sqref="AS46:BB46">
    <cfRule type="expression" dxfId="392" priority="94" stopIfTrue="1">
      <formula>ISERROR(AS46)</formula>
    </cfRule>
  </conditionalFormatting>
  <conditionalFormatting sqref="AS47:AY47 BA47:BD47 BF47:CD47">
    <cfRule type="expression" dxfId="391" priority="93" stopIfTrue="1">
      <formula>ISERROR(AS47)</formula>
    </cfRule>
  </conditionalFormatting>
  <conditionalFormatting sqref="AZ47">
    <cfRule type="expression" dxfId="390" priority="92" stopIfTrue="1">
      <formula>ISERROR(AZ47)</formula>
    </cfRule>
  </conditionalFormatting>
  <conditionalFormatting sqref="AZ55">
    <cfRule type="expression" dxfId="389" priority="89" stopIfTrue="1">
      <formula>ISERROR(AZ55)</formula>
    </cfRule>
  </conditionalFormatting>
  <conditionalFormatting sqref="BA56:BB56">
    <cfRule type="expression" dxfId="388" priority="88" stopIfTrue="1">
      <formula>ISERROR(BA56)</formula>
    </cfRule>
  </conditionalFormatting>
  <conditionalFormatting sqref="AZ12">
    <cfRule type="expression" dxfId="387" priority="87" stopIfTrue="1">
      <formula>ISERROR(AZ12)</formula>
    </cfRule>
  </conditionalFormatting>
  <conditionalFormatting sqref="AY28">
    <cfRule type="expression" dxfId="386" priority="86" stopIfTrue="1">
      <formula>ISERROR(AY28)</formula>
    </cfRule>
  </conditionalFormatting>
  <conditionalFormatting sqref="CD80">
    <cfRule type="expression" dxfId="385" priority="26" stopIfTrue="1">
      <formula>ISERROR(CD80)</formula>
    </cfRule>
  </conditionalFormatting>
  <conditionalFormatting sqref="AZ28">
    <cfRule type="expression" dxfId="384" priority="85" stopIfTrue="1">
      <formula>ISERROR(AZ28)</formula>
    </cfRule>
  </conditionalFormatting>
  <conditionalFormatting sqref="AY35">
    <cfRule type="expression" dxfId="383" priority="84" stopIfTrue="1">
      <formula>ISERROR(AY35)</formula>
    </cfRule>
  </conditionalFormatting>
  <conditionalFormatting sqref="AY50">
    <cfRule type="expression" dxfId="382" priority="83" stopIfTrue="1">
      <formula>ISERROR(AY50)</formula>
    </cfRule>
  </conditionalFormatting>
  <conditionalFormatting sqref="AX50">
    <cfRule type="expression" dxfId="381" priority="82" stopIfTrue="1">
      <formula>ISERROR(AX50)</formula>
    </cfRule>
  </conditionalFormatting>
  <conditionalFormatting sqref="AW50">
    <cfRule type="expression" dxfId="380" priority="81" stopIfTrue="1">
      <formula>ISERROR(AW50)</formula>
    </cfRule>
  </conditionalFormatting>
  <conditionalFormatting sqref="AT50">
    <cfRule type="expression" dxfId="379" priority="80" stopIfTrue="1">
      <formula>ISERROR(AT50)</formula>
    </cfRule>
  </conditionalFormatting>
  <conditionalFormatting sqref="AS50">
    <cfRule type="expression" dxfId="378" priority="79" stopIfTrue="1">
      <formula>ISERROR(AS50)</formula>
    </cfRule>
  </conditionalFormatting>
  <conditionalFormatting sqref="AY57">
    <cfRule type="expression" dxfId="377" priority="78" stopIfTrue="1">
      <formula>ISERROR(AY57)</formula>
    </cfRule>
  </conditionalFormatting>
  <conditionalFormatting sqref="AX57">
    <cfRule type="expression" dxfId="376" priority="77" stopIfTrue="1">
      <formula>ISERROR(AX57)</formula>
    </cfRule>
  </conditionalFormatting>
  <conditionalFormatting sqref="AW57">
    <cfRule type="expression" dxfId="375" priority="76" stopIfTrue="1">
      <formula>ISERROR(AW57)</formula>
    </cfRule>
  </conditionalFormatting>
  <conditionalFormatting sqref="BA58:BB58">
    <cfRule type="expression" dxfId="374" priority="75" stopIfTrue="1">
      <formula>ISERROR(BA58)</formula>
    </cfRule>
  </conditionalFormatting>
  <conditionalFormatting sqref="BC12:BD12">
    <cfRule type="expression" dxfId="373" priority="74" stopIfTrue="1">
      <formula>ISERROR(BC12)</formula>
    </cfRule>
  </conditionalFormatting>
  <conditionalFormatting sqref="BE12">
    <cfRule type="expression" dxfId="372" priority="73" stopIfTrue="1">
      <formula>ISERROR(BE12)</formula>
    </cfRule>
  </conditionalFormatting>
  <conditionalFormatting sqref="BJ12:CD12">
    <cfRule type="expression" dxfId="371" priority="72" stopIfTrue="1">
      <formula>ISERROR(BJ12)</formula>
    </cfRule>
  </conditionalFormatting>
  <conditionalFormatting sqref="BJ18:CD18">
    <cfRule type="expression" dxfId="370" priority="71" stopIfTrue="1">
      <formula>ISERROR(BJ18)</formula>
    </cfRule>
  </conditionalFormatting>
  <conditionalFormatting sqref="BC20:BD20">
    <cfRule type="expression" dxfId="369" priority="70" stopIfTrue="1">
      <formula>ISERROR(BC20)</formula>
    </cfRule>
  </conditionalFormatting>
  <conditionalFormatting sqref="BJ19:BJ20">
    <cfRule type="expression" dxfId="368" priority="69" stopIfTrue="1">
      <formula>ISERROR(BJ19)</formula>
    </cfRule>
  </conditionalFormatting>
  <conditionalFormatting sqref="BO20">
    <cfRule type="expression" dxfId="367" priority="68" stopIfTrue="1">
      <formula>ISERROR(BO20)</formula>
    </cfRule>
  </conditionalFormatting>
  <conditionalFormatting sqref="BT20">
    <cfRule type="expression" dxfId="366" priority="67" stopIfTrue="1">
      <formula>ISERROR(BT20)</formula>
    </cfRule>
  </conditionalFormatting>
  <conditionalFormatting sqref="BY20">
    <cfRule type="expression" dxfId="365" priority="66" stopIfTrue="1">
      <formula>ISERROR(BY20)</formula>
    </cfRule>
  </conditionalFormatting>
  <conditionalFormatting sqref="CD20">
    <cfRule type="expression" dxfId="364" priority="65" stopIfTrue="1">
      <formula>ISERROR(CD20)</formula>
    </cfRule>
  </conditionalFormatting>
  <conditionalFormatting sqref="BC23:BD23 BC28:BD28">
    <cfRule type="expression" dxfId="363" priority="64" stopIfTrue="1">
      <formula>ISERROR(BC23)</formula>
    </cfRule>
  </conditionalFormatting>
  <conditionalFormatting sqref="BC24:BD24">
    <cfRule type="expression" dxfId="362" priority="63" stopIfTrue="1">
      <formula>ISERROR(BC24)</formula>
    </cfRule>
  </conditionalFormatting>
  <conditionalFormatting sqref="BE28">
    <cfRule type="expression" dxfId="361" priority="62" stopIfTrue="1">
      <formula>ISERROR(BE28)</formula>
    </cfRule>
  </conditionalFormatting>
  <conditionalFormatting sqref="BC33:BD33">
    <cfRule type="expression" dxfId="360" priority="61" stopIfTrue="1">
      <formula>ISERROR(BC33)</formula>
    </cfRule>
  </conditionalFormatting>
  <conditionalFormatting sqref="BC35:BD35">
    <cfRule type="expression" dxfId="359" priority="60" stopIfTrue="1">
      <formula>ISERROR(BC35)</formula>
    </cfRule>
  </conditionalFormatting>
  <conditionalFormatting sqref="BC48:BD48">
    <cfRule type="expression" dxfId="358" priority="59" stopIfTrue="1">
      <formula>ISERROR(BC48)</formula>
    </cfRule>
  </conditionalFormatting>
  <conditionalFormatting sqref="BC49:BD49">
    <cfRule type="expression" dxfId="357" priority="58" stopIfTrue="1">
      <formula>ISERROR(BC49)</formula>
    </cfRule>
  </conditionalFormatting>
  <conditionalFormatting sqref="BO80">
    <cfRule type="expression" dxfId="356" priority="29" stopIfTrue="1">
      <formula>ISERROR(BO80)</formula>
    </cfRule>
  </conditionalFormatting>
  <conditionalFormatting sqref="BE48">
    <cfRule type="expression" dxfId="355" priority="57" stopIfTrue="1">
      <formula>ISERROR(BE48)</formula>
    </cfRule>
  </conditionalFormatting>
  <conditionalFormatting sqref="BE49">
    <cfRule type="expression" dxfId="354" priority="56" stopIfTrue="1">
      <formula>ISERROR(BE49)</formula>
    </cfRule>
  </conditionalFormatting>
  <conditionalFormatting sqref="BE50">
    <cfRule type="expression" dxfId="353" priority="55" stopIfTrue="1">
      <formula>ISERROR(BE50)</formula>
    </cfRule>
  </conditionalFormatting>
  <conditionalFormatting sqref="BC50:BD50">
    <cfRule type="expression" dxfId="352" priority="54" stopIfTrue="1">
      <formula>ISERROR(BC50)</formula>
    </cfRule>
  </conditionalFormatting>
  <conditionalFormatting sqref="BC51">
    <cfRule type="expression" dxfId="351" priority="53" stopIfTrue="1">
      <formula>ISERROR(BC51)</formula>
    </cfRule>
  </conditionalFormatting>
  <conditionalFormatting sqref="BD51">
    <cfRule type="expression" dxfId="350" priority="52" stopIfTrue="1">
      <formula>ISERROR(BD51)</formula>
    </cfRule>
  </conditionalFormatting>
  <conditionalFormatting sqref="BC52">
    <cfRule type="expression" dxfId="349" priority="51" stopIfTrue="1">
      <formula>ISERROR(BC52)</formula>
    </cfRule>
  </conditionalFormatting>
  <conditionalFormatting sqref="BD52">
    <cfRule type="expression" dxfId="348" priority="50" stopIfTrue="1">
      <formula>ISERROR(BD52)</formula>
    </cfRule>
  </conditionalFormatting>
  <conditionalFormatting sqref="BJ48:CD48">
    <cfRule type="expression" dxfId="347" priority="49" stopIfTrue="1">
      <formula>ISERROR(BJ48)</formula>
    </cfRule>
  </conditionalFormatting>
  <conditionalFormatting sqref="BJ49:CD49">
    <cfRule type="expression" dxfId="346" priority="48" stopIfTrue="1">
      <formula>ISERROR(BJ49)</formula>
    </cfRule>
  </conditionalFormatting>
  <conditionalFormatting sqref="BJ50:CD50">
    <cfRule type="expression" dxfId="345" priority="47" stopIfTrue="1">
      <formula>ISERROR(BJ50)</formula>
    </cfRule>
  </conditionalFormatting>
  <conditionalFormatting sqref="BC55:BD56">
    <cfRule type="expression" dxfId="344" priority="46" stopIfTrue="1">
      <formula>ISERROR(BC55)</formula>
    </cfRule>
  </conditionalFormatting>
  <conditionalFormatting sqref="BC57:BD58">
    <cfRule type="expression" dxfId="343" priority="45" stopIfTrue="1">
      <formula>ISERROR(BC57)</formula>
    </cfRule>
  </conditionalFormatting>
  <conditionalFormatting sqref="BC59">
    <cfRule type="expression" dxfId="342" priority="44" stopIfTrue="1">
      <formula>ISERROR(BC59)</formula>
    </cfRule>
  </conditionalFormatting>
  <conditionalFormatting sqref="BC60">
    <cfRule type="expression" dxfId="341" priority="43" stopIfTrue="1">
      <formula>ISERROR(BC60)</formula>
    </cfRule>
  </conditionalFormatting>
  <conditionalFormatting sqref="BD59">
    <cfRule type="expression" dxfId="340" priority="42" stopIfTrue="1">
      <formula>ISERROR(BD59)</formula>
    </cfRule>
  </conditionalFormatting>
  <conditionalFormatting sqref="BD60">
    <cfRule type="expression" dxfId="339" priority="41" stopIfTrue="1">
      <formula>ISERROR(BD60)</formula>
    </cfRule>
  </conditionalFormatting>
  <conditionalFormatting sqref="BE56">
    <cfRule type="expression" dxfId="338" priority="40" stopIfTrue="1">
      <formula>ISERROR(BE56)</formula>
    </cfRule>
  </conditionalFormatting>
  <conditionalFormatting sqref="BE58">
    <cfRule type="expression" dxfId="337" priority="39" stopIfTrue="1">
      <formula>ISERROR(BE58)</formula>
    </cfRule>
  </conditionalFormatting>
  <conditionalFormatting sqref="BJ55:CD56">
    <cfRule type="expression" dxfId="336" priority="38" stopIfTrue="1">
      <formula>ISERROR(BJ55)</formula>
    </cfRule>
  </conditionalFormatting>
  <conditionalFormatting sqref="BJ57:CD58">
    <cfRule type="expression" dxfId="335" priority="37" stopIfTrue="1">
      <formula>ISERROR(BJ57)</formula>
    </cfRule>
  </conditionalFormatting>
  <conditionalFormatting sqref="BC80">
    <cfRule type="expression" dxfId="334" priority="36" stopIfTrue="1">
      <formula>ISERROR(BC80)</formula>
    </cfRule>
  </conditionalFormatting>
  <conditionalFormatting sqref="BD80">
    <cfRule type="expression" dxfId="333" priority="35" stopIfTrue="1">
      <formula>ISERROR(BD80)</formula>
    </cfRule>
  </conditionalFormatting>
  <conditionalFormatting sqref="BC82">
    <cfRule type="expression" dxfId="332" priority="34" stopIfTrue="1">
      <formula>ISERROR(BC82)</formula>
    </cfRule>
  </conditionalFormatting>
  <conditionalFormatting sqref="BC83">
    <cfRule type="expression" dxfId="331" priority="33" stopIfTrue="1">
      <formula>ISERROR(BC83)</formula>
    </cfRule>
  </conditionalFormatting>
  <conditionalFormatting sqref="BD82">
    <cfRule type="expression" dxfId="330" priority="32" stopIfTrue="1">
      <formula>ISERROR(BD82)</formula>
    </cfRule>
  </conditionalFormatting>
  <conditionalFormatting sqref="BD83">
    <cfRule type="expression" dxfId="329" priority="31" stopIfTrue="1">
      <formula>ISERROR(BD83)</formula>
    </cfRule>
  </conditionalFormatting>
  <conditionalFormatting sqref="BJ80">
    <cfRule type="expression" dxfId="328" priority="30" stopIfTrue="1">
      <formula>ISERROR(BJ80)</formula>
    </cfRule>
  </conditionalFormatting>
  <conditionalFormatting sqref="BT80">
    <cfRule type="expression" dxfId="327" priority="28" stopIfTrue="1">
      <formula>ISERROR(BT80)</formula>
    </cfRule>
  </conditionalFormatting>
  <conditionalFormatting sqref="BY80">
    <cfRule type="expression" dxfId="326" priority="27" stopIfTrue="1">
      <formula>ISERROR(BY80)</formula>
    </cfRule>
  </conditionalFormatting>
  <conditionalFormatting sqref="AL99:AO99">
    <cfRule type="expression" dxfId="325" priority="25" stopIfTrue="1">
      <formula>ISERROR(AL99)</formula>
    </cfRule>
  </conditionalFormatting>
  <conditionalFormatting sqref="AK97">
    <cfRule type="expression" dxfId="324" priority="24" stopIfTrue="1">
      <formula>ISERROR(AK97)</formula>
    </cfRule>
  </conditionalFormatting>
  <conditionalFormatting sqref="AP97">
    <cfRule type="expression" dxfId="323" priority="23" stopIfTrue="1">
      <formula>ISERROR(AP97)</formula>
    </cfRule>
  </conditionalFormatting>
  <conditionalFormatting sqref="B109:AA109 AG109:AP109 AZ108:CD109 B108:AY108 AV109:AY109">
    <cfRule type="expression" dxfId="322" priority="22" stopIfTrue="1">
      <formula>ISERROR(B108)</formula>
    </cfRule>
  </conditionalFormatting>
  <conditionalFormatting sqref="C107:CD107">
    <cfRule type="expression" dxfId="321" priority="21" stopIfTrue="1">
      <formula>ISERROR(C107)</formula>
    </cfRule>
  </conditionalFormatting>
  <conditionalFormatting sqref="AQ109:AU109">
    <cfRule type="expression" dxfId="320" priority="20" stopIfTrue="1">
      <formula>ISERROR(AQ109)</formula>
    </cfRule>
  </conditionalFormatting>
  <conditionalFormatting sqref="B107">
    <cfRule type="expression" dxfId="319" priority="19" stopIfTrue="1">
      <formula>ISERROR(B107)</formula>
    </cfRule>
  </conditionalFormatting>
  <conditionalFormatting sqref="BO19">
    <cfRule type="expression" dxfId="318" priority="18" stopIfTrue="1">
      <formula>ISERROR(BO19)</formula>
    </cfRule>
  </conditionalFormatting>
  <conditionalFormatting sqref="BT19">
    <cfRule type="expression" dxfId="317" priority="17" stopIfTrue="1">
      <formula>ISERROR(BT19)</formula>
    </cfRule>
  </conditionalFormatting>
  <conditionalFormatting sqref="BY19">
    <cfRule type="expression" dxfId="316" priority="16" stopIfTrue="1">
      <formula>ISERROR(BY19)</formula>
    </cfRule>
  </conditionalFormatting>
  <conditionalFormatting sqref="CD19">
    <cfRule type="expression" dxfId="315" priority="15" stopIfTrue="1">
      <formula>ISERROR(CD19)</formula>
    </cfRule>
  </conditionalFormatting>
  <conditionalFormatting sqref="A65:AE66 CE65">
    <cfRule type="expression" dxfId="314" priority="14" stopIfTrue="1">
      <formula>ISERROR(A65)</formula>
    </cfRule>
  </conditionalFormatting>
  <conditionalFormatting sqref="BC65 AF65:AR66 AZ66:CD66 AZ65 AU65 AU66:AV66 BE65:CD65">
    <cfRule type="expression" dxfId="313" priority="13" stopIfTrue="1">
      <formula>ISERROR(AF65)</formula>
    </cfRule>
  </conditionalFormatting>
  <conditionalFormatting sqref="BB65">
    <cfRule type="expression" dxfId="312" priority="12" stopIfTrue="1">
      <formula>ISERROR(BB65)</formula>
    </cfRule>
  </conditionalFormatting>
  <conditionalFormatting sqref="AW66:AX66">
    <cfRule type="expression" dxfId="311" priority="11" stopIfTrue="1">
      <formula>ISERROR(AW66)</formula>
    </cfRule>
  </conditionalFormatting>
  <conditionalFormatting sqref="AW65:AX65">
    <cfRule type="expression" dxfId="310" priority="10" stopIfTrue="1">
      <formula>ISERROR(AW65)</formula>
    </cfRule>
  </conditionalFormatting>
  <conditionalFormatting sqref="BA65">
    <cfRule type="expression" dxfId="309" priority="9" stopIfTrue="1">
      <formula>ISERROR(BA65)</formula>
    </cfRule>
  </conditionalFormatting>
  <conditionalFormatting sqref="AV65">
    <cfRule type="expression" dxfId="308" priority="8" stopIfTrue="1">
      <formula>ISERROR(AV65)</formula>
    </cfRule>
  </conditionalFormatting>
  <conditionalFormatting sqref="AY66">
    <cfRule type="expression" dxfId="307" priority="7" stopIfTrue="1">
      <formula>ISERROR(AY66)</formula>
    </cfRule>
  </conditionalFormatting>
  <conditionalFormatting sqref="AY65">
    <cfRule type="expression" dxfId="306" priority="6" stopIfTrue="1">
      <formula>ISERROR(AY65)</formula>
    </cfRule>
  </conditionalFormatting>
  <conditionalFormatting sqref="AT66">
    <cfRule type="expression" dxfId="305" priority="5" stopIfTrue="1">
      <formula>ISERROR(AT66)</formula>
    </cfRule>
  </conditionalFormatting>
  <conditionalFormatting sqref="AT65">
    <cfRule type="expression" dxfId="304" priority="4" stopIfTrue="1">
      <formula>ISERROR(AT65)</formula>
    </cfRule>
  </conditionalFormatting>
  <conditionalFormatting sqref="AS66">
    <cfRule type="expression" dxfId="303" priority="3" stopIfTrue="1">
      <formula>ISERROR(AS66)</formula>
    </cfRule>
  </conditionalFormatting>
  <conditionalFormatting sqref="AS65">
    <cfRule type="expression" dxfId="302" priority="2" stopIfTrue="1">
      <formula>ISERROR(AS65)</formula>
    </cfRule>
  </conditionalFormatting>
  <conditionalFormatting sqref="BD65">
    <cfRule type="expression" dxfId="301" priority="1" stopIfTrue="1">
      <formula>ISERROR(BD65)</formula>
    </cfRule>
  </conditionalFormatting>
  <dataValidations count="1">
    <dataValidation type="custom" allowBlank="1" showInputMessage="1" showErrorMessage="1" sqref="R6:U8 AG7:AJ8 AB7:AE8 AL7:AO8 AQ7:AT8 AV7:AY8 W7:Z8 BF8:BI8 BP8:BS8 BU8:BX8 BZ8:CC8 BK8:BN8 BA7:BD8" xr:uid="{00000000-0002-0000-0500-000000000000}">
      <formula1>-1</formula1>
    </dataValidation>
  </dataValidations>
  <pageMargins left="0.75" right="0.75" top="1" bottom="1" header="0.5" footer="0.5"/>
  <pageSetup scale="35" orientation="landscape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BR533"/>
  <sheetViews>
    <sheetView showGridLines="0" workbookViewId="0">
      <pane xSplit="2" ySplit="8" topLeftCell="C18" activePane="bottomRight" state="frozen"/>
      <selection activeCell="L4" sqref="L4"/>
      <selection pane="topRight" activeCell="L4" sqref="L4"/>
      <selection pane="bottomLeft" activeCell="L4" sqref="L4"/>
      <selection pane="bottomRight" activeCell="AV42" sqref="AV42"/>
    </sheetView>
  </sheetViews>
  <sheetFormatPr baseColWidth="10" defaultColWidth="9.1640625" defaultRowHeight="12" outlineLevelCol="1"/>
  <cols>
    <col min="1" max="1" width="2.1640625" style="197" customWidth="1"/>
    <col min="2" max="2" width="40.6640625" style="198" customWidth="1"/>
    <col min="3" max="3" width="9.1640625" style="197"/>
    <col min="4" max="7" width="9.1640625" style="197" hidden="1" customWidth="1" outlineLevel="1"/>
    <col min="8" max="8" width="9.1640625" style="197" collapsed="1"/>
    <col min="9" max="9" width="9.6640625" style="197" hidden="1" customWidth="1" outlineLevel="1"/>
    <col min="10" max="12" width="9.1640625" style="197" hidden="1" customWidth="1" outlineLevel="1"/>
    <col min="13" max="13" width="9.1640625" style="197" collapsed="1"/>
    <col min="14" max="14" width="9.6640625" style="197" hidden="1" customWidth="1" outlineLevel="1"/>
    <col min="15" max="15" width="9.1640625" style="197" hidden="1" customWidth="1" outlineLevel="1"/>
    <col min="16" max="16" width="10" style="197" hidden="1" customWidth="1" outlineLevel="1"/>
    <col min="17" max="17" width="9.1640625" style="197" hidden="1" customWidth="1" outlineLevel="1"/>
    <col min="18" max="18" width="9.1640625" style="197" collapsed="1"/>
    <col min="19" max="19" width="9.1640625" style="197" hidden="1" customWidth="1" outlineLevel="1"/>
    <col min="20" max="20" width="8.5" style="197" hidden="1" customWidth="1" outlineLevel="1"/>
    <col min="21" max="22" width="9.1640625" style="197" hidden="1" customWidth="1" outlineLevel="1"/>
    <col min="23" max="23" width="9.1640625" style="197" collapsed="1"/>
    <col min="24" max="24" width="9.1640625" style="197" hidden="1" customWidth="1" outlineLevel="1"/>
    <col min="25" max="25" width="9.33203125" style="197" hidden="1" customWidth="1" outlineLevel="1"/>
    <col min="26" max="27" width="9.1640625" style="197" hidden="1" customWidth="1" outlineLevel="1"/>
    <col min="28" max="28" width="9.1640625" style="197" collapsed="1"/>
    <col min="29" max="30" width="9.1640625" style="197" hidden="1" customWidth="1" outlineLevel="1"/>
    <col min="31" max="31" width="8.5" style="197" hidden="1" customWidth="1" outlineLevel="1"/>
    <col min="32" max="32" width="9.1640625" style="197" hidden="1" customWidth="1" outlineLevel="1"/>
    <col min="33" max="33" width="12.5" style="197" customWidth="1" collapsed="1"/>
    <col min="34" max="34" width="11" style="197" hidden="1" customWidth="1" outlineLevel="1"/>
    <col min="35" max="36" width="9.1640625" style="197" hidden="1" customWidth="1" outlineLevel="1"/>
    <col min="37" max="37" width="2.1640625" style="197" customWidth="1" outlineLevel="1"/>
    <col min="38" max="38" width="10.5" style="197" bestFit="1" customWidth="1"/>
    <col min="39" max="42" width="9.1640625" style="197" hidden="1" customWidth="1" outlineLevel="1"/>
    <col min="43" max="43" width="10.5" style="197" bestFit="1" customWidth="1" collapsed="1"/>
    <col min="44" max="47" width="9.1640625" style="197" hidden="1" customWidth="1" outlineLevel="1"/>
    <col min="48" max="48" width="9.6640625" style="197" bestFit="1" customWidth="1" collapsed="1"/>
    <col min="49" max="52" width="9.1640625" style="197" hidden="1" customWidth="1" outlineLevel="1"/>
    <col min="53" max="53" width="10.5" style="197" bestFit="1" customWidth="1" collapsed="1"/>
    <col min="54" max="57" width="9.1640625" style="197" hidden="1" customWidth="1" outlineLevel="1"/>
    <col min="58" max="58" width="9.6640625" style="197" bestFit="1" customWidth="1" collapsed="1"/>
    <col min="59" max="62" width="9.1640625" style="197" hidden="1" customWidth="1" outlineLevel="1"/>
    <col min="63" max="63" width="10.5" style="197" bestFit="1" customWidth="1" collapsed="1"/>
    <col min="64" max="67" width="9.1640625" style="197" hidden="1" customWidth="1" outlineLevel="1"/>
    <col min="68" max="68" width="9.6640625" style="197" bestFit="1" customWidth="1" collapsed="1"/>
    <col min="69" max="69" width="0.83203125" style="197" customWidth="1"/>
    <col min="70" max="70" width="51.6640625" style="197" customWidth="1"/>
    <col min="71" max="16384" width="9.1640625" style="197"/>
  </cols>
  <sheetData>
    <row r="1" spans="1:70" s="2" customFormat="1" ht="12" customHeight="1">
      <c r="B1" s="12"/>
    </row>
    <row r="2" spans="1:70" s="2" customFormat="1">
      <c r="B2" s="4" t="s">
        <v>1</v>
      </c>
      <c r="AK2" s="376"/>
    </row>
    <row r="3" spans="1:70" s="2" customFormat="1">
      <c r="B3" s="6" t="s">
        <v>262</v>
      </c>
      <c r="AK3" s="376"/>
    </row>
    <row r="4" spans="1:70" s="2" customFormat="1">
      <c r="A4" s="8"/>
      <c r="B4" s="9"/>
      <c r="N4" s="10"/>
      <c r="O4" s="10"/>
      <c r="P4" s="10"/>
      <c r="Q4" s="10"/>
      <c r="R4" s="10"/>
      <c r="S4" s="751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  <c r="AF4" s="10"/>
      <c r="AG4" s="10"/>
    </row>
    <row r="5" spans="1:70" s="2" customFormat="1">
      <c r="A5" s="8"/>
      <c r="B5" s="12"/>
      <c r="K5" s="13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70" s="2" customFormat="1" ht="12" customHeight="1">
      <c r="B6" s="12"/>
      <c r="N6" s="18"/>
      <c r="O6" s="18"/>
      <c r="P6" s="19" t="s">
        <v>3</v>
      </c>
      <c r="Q6" s="20" t="s">
        <v>4</v>
      </c>
      <c r="AE6" s="752"/>
    </row>
    <row r="7" spans="1:70" s="2" customFormat="1">
      <c r="B7" s="22" t="s">
        <v>5</v>
      </c>
      <c r="C7" s="25"/>
      <c r="D7" s="23">
        <v>39508</v>
      </c>
      <c r="E7" s="23">
        <v>39600</v>
      </c>
      <c r="F7" s="23">
        <v>39692</v>
      </c>
      <c r="G7" s="23">
        <v>39783</v>
      </c>
      <c r="H7" s="24"/>
      <c r="I7" s="23">
        <v>39873</v>
      </c>
      <c r="J7" s="23">
        <v>39965</v>
      </c>
      <c r="K7" s="23">
        <v>40057</v>
      </c>
      <c r="L7" s="23">
        <v>40148</v>
      </c>
      <c r="M7" s="24"/>
      <c r="N7" s="23">
        <v>40238</v>
      </c>
      <c r="O7" s="23">
        <v>40330</v>
      </c>
      <c r="P7" s="23">
        <v>40422</v>
      </c>
      <c r="Q7" s="23">
        <v>40513</v>
      </c>
      <c r="R7" s="25"/>
      <c r="S7" s="23">
        <v>40603</v>
      </c>
      <c r="T7" s="23">
        <v>40695</v>
      </c>
      <c r="U7" s="23">
        <v>40787</v>
      </c>
      <c r="V7" s="23">
        <v>40878</v>
      </c>
      <c r="W7" s="25"/>
      <c r="X7" s="23">
        <v>40969</v>
      </c>
      <c r="Y7" s="23">
        <v>41061</v>
      </c>
      <c r="Z7" s="23">
        <v>41153</v>
      </c>
      <c r="AA7" s="23">
        <v>41244</v>
      </c>
      <c r="AB7" s="25"/>
      <c r="AC7" s="23">
        <v>41334</v>
      </c>
      <c r="AD7" s="23">
        <v>41426</v>
      </c>
      <c r="AE7" s="23">
        <v>41518</v>
      </c>
      <c r="AF7" s="23">
        <v>41609</v>
      </c>
      <c r="AG7" s="25"/>
      <c r="AH7" s="23">
        <v>41699</v>
      </c>
      <c r="AI7" s="23">
        <v>41791</v>
      </c>
      <c r="AJ7" s="23">
        <v>41883</v>
      </c>
      <c r="AK7" s="23">
        <v>41974</v>
      </c>
      <c r="AL7" s="25"/>
      <c r="AM7" s="23">
        <v>42064</v>
      </c>
      <c r="AN7" s="23">
        <v>42156</v>
      </c>
      <c r="AO7" s="23">
        <v>42248</v>
      </c>
      <c r="AP7" s="23">
        <v>42339</v>
      </c>
      <c r="AQ7" s="25"/>
      <c r="AR7" s="23">
        <v>42430</v>
      </c>
      <c r="AS7" s="23">
        <v>42522</v>
      </c>
      <c r="AT7" s="23">
        <v>42614</v>
      </c>
      <c r="AU7" s="23">
        <v>42705</v>
      </c>
      <c r="AV7" s="24"/>
      <c r="AW7" s="23">
        <v>42795</v>
      </c>
      <c r="AX7" s="23">
        <v>42887</v>
      </c>
      <c r="AY7" s="23">
        <v>42979</v>
      </c>
      <c r="AZ7" s="23">
        <v>43070</v>
      </c>
      <c r="BA7" s="24"/>
      <c r="BB7" s="23">
        <v>43160</v>
      </c>
      <c r="BC7" s="23">
        <v>43252</v>
      </c>
      <c r="BD7" s="23">
        <v>43344</v>
      </c>
      <c r="BE7" s="23">
        <v>43435</v>
      </c>
      <c r="BF7" s="24"/>
      <c r="BG7" s="23">
        <v>43525</v>
      </c>
      <c r="BH7" s="23">
        <v>43617</v>
      </c>
      <c r="BI7" s="23">
        <v>43709</v>
      </c>
      <c r="BJ7" s="23">
        <v>43800</v>
      </c>
      <c r="BK7" s="24"/>
      <c r="BL7" s="23">
        <v>43891</v>
      </c>
      <c r="BM7" s="23">
        <v>43983</v>
      </c>
      <c r="BN7" s="23">
        <v>44075</v>
      </c>
      <c r="BO7" s="23">
        <v>44166</v>
      </c>
      <c r="BP7" s="24"/>
      <c r="BR7" s="27"/>
    </row>
    <row r="8" spans="1:70" s="28" customFormat="1">
      <c r="B8" s="220" t="s">
        <v>6</v>
      </c>
      <c r="C8" s="32" t="s">
        <v>13</v>
      </c>
      <c r="D8" s="30" t="s">
        <v>7</v>
      </c>
      <c r="E8" s="30" t="s">
        <v>8</v>
      </c>
      <c r="F8" s="30" t="s">
        <v>9</v>
      </c>
      <c r="G8" s="30" t="s">
        <v>10</v>
      </c>
      <c r="H8" s="31" t="s">
        <v>14</v>
      </c>
      <c r="I8" s="30" t="s">
        <v>7</v>
      </c>
      <c r="J8" s="30" t="s">
        <v>8</v>
      </c>
      <c r="K8" s="30" t="s">
        <v>9</v>
      </c>
      <c r="L8" s="30" t="s">
        <v>10</v>
      </c>
      <c r="M8" s="31" t="s">
        <v>15</v>
      </c>
      <c r="N8" s="30" t="s">
        <v>7</v>
      </c>
      <c r="O8" s="30" t="s">
        <v>8</v>
      </c>
      <c r="P8" s="30" t="s">
        <v>9</v>
      </c>
      <c r="Q8" s="30" t="s">
        <v>10</v>
      </c>
      <c r="R8" s="32" t="s">
        <v>16</v>
      </c>
      <c r="S8" s="30" t="s">
        <v>7</v>
      </c>
      <c r="T8" s="30" t="s">
        <v>8</v>
      </c>
      <c r="U8" s="30" t="s">
        <v>9</v>
      </c>
      <c r="V8" s="30" t="s">
        <v>10</v>
      </c>
      <c r="W8" s="32" t="s">
        <v>17</v>
      </c>
      <c r="X8" s="30" t="s">
        <v>7</v>
      </c>
      <c r="Y8" s="30" t="s">
        <v>8</v>
      </c>
      <c r="Z8" s="30" t="s">
        <v>9</v>
      </c>
      <c r="AA8" s="30" t="s">
        <v>10</v>
      </c>
      <c r="AB8" s="32" t="s">
        <v>18</v>
      </c>
      <c r="AC8" s="30" t="s">
        <v>7</v>
      </c>
      <c r="AD8" s="30" t="s">
        <v>8</v>
      </c>
      <c r="AE8" s="30" t="s">
        <v>9</v>
      </c>
      <c r="AF8" s="30" t="s">
        <v>10</v>
      </c>
      <c r="AG8" s="32" t="s">
        <v>19</v>
      </c>
      <c r="AH8" s="30" t="s">
        <v>7</v>
      </c>
      <c r="AI8" s="30" t="s">
        <v>8</v>
      </c>
      <c r="AJ8" s="30" t="s">
        <v>9</v>
      </c>
      <c r="AK8" s="30" t="s">
        <v>10</v>
      </c>
      <c r="AL8" s="32" t="s">
        <v>263</v>
      </c>
      <c r="AM8" s="30" t="s">
        <v>7</v>
      </c>
      <c r="AN8" s="30" t="s">
        <v>8</v>
      </c>
      <c r="AO8" s="30" t="s">
        <v>9</v>
      </c>
      <c r="AP8" s="30" t="s">
        <v>10</v>
      </c>
      <c r="AQ8" s="32" t="s">
        <v>21</v>
      </c>
      <c r="AR8" s="30" t="s">
        <v>22</v>
      </c>
      <c r="AS8" s="30" t="s">
        <v>23</v>
      </c>
      <c r="AT8" s="30" t="s">
        <v>24</v>
      </c>
      <c r="AU8" s="30" t="s">
        <v>25</v>
      </c>
      <c r="AV8" s="31" t="s">
        <v>26</v>
      </c>
      <c r="AW8" s="30" t="s">
        <v>22</v>
      </c>
      <c r="AX8" s="30" t="s">
        <v>23</v>
      </c>
      <c r="AY8" s="30" t="s">
        <v>24</v>
      </c>
      <c r="AZ8" s="30" t="s">
        <v>25</v>
      </c>
      <c r="BA8" s="31" t="s">
        <v>27</v>
      </c>
      <c r="BB8" s="30" t="s">
        <v>22</v>
      </c>
      <c r="BC8" s="30" t="s">
        <v>23</v>
      </c>
      <c r="BD8" s="30" t="s">
        <v>24</v>
      </c>
      <c r="BE8" s="30" t="s">
        <v>25</v>
      </c>
      <c r="BF8" s="31" t="s">
        <v>28</v>
      </c>
      <c r="BG8" s="30" t="s">
        <v>22</v>
      </c>
      <c r="BH8" s="30" t="s">
        <v>23</v>
      </c>
      <c r="BI8" s="30" t="s">
        <v>24</v>
      </c>
      <c r="BJ8" s="30" t="s">
        <v>25</v>
      </c>
      <c r="BK8" s="31" t="s">
        <v>29</v>
      </c>
      <c r="BL8" s="30" t="s">
        <v>22</v>
      </c>
      <c r="BM8" s="30" t="s">
        <v>23</v>
      </c>
      <c r="BN8" s="30" t="s">
        <v>24</v>
      </c>
      <c r="BO8" s="30" t="s">
        <v>25</v>
      </c>
      <c r="BP8" s="31" t="s">
        <v>30</v>
      </c>
      <c r="BR8" s="27" t="s">
        <v>31</v>
      </c>
    </row>
    <row r="9" spans="1:70" s="96" customFormat="1">
      <c r="B9" s="753" t="s">
        <v>264</v>
      </c>
      <c r="C9" s="754"/>
      <c r="D9" s="755"/>
      <c r="E9" s="755"/>
      <c r="F9" s="755"/>
      <c r="G9" s="755"/>
      <c r="H9" s="755"/>
      <c r="I9" s="755"/>
      <c r="J9" s="755"/>
      <c r="K9" s="755"/>
      <c r="L9" s="755"/>
      <c r="M9" s="755"/>
      <c r="N9" s="755"/>
      <c r="O9" s="755"/>
      <c r="P9" s="755"/>
      <c r="Q9" s="755"/>
      <c r="R9" s="755"/>
      <c r="S9" s="755"/>
      <c r="T9" s="755"/>
      <c r="U9" s="755"/>
      <c r="V9" s="755"/>
      <c r="W9" s="755"/>
      <c r="X9" s="755"/>
      <c r="Y9" s="755"/>
      <c r="Z9" s="755"/>
      <c r="AA9" s="755"/>
      <c r="AB9" s="755"/>
      <c r="AC9" s="755"/>
      <c r="AD9" s="755"/>
      <c r="AE9" s="755"/>
      <c r="AF9" s="755"/>
      <c r="AG9" s="755"/>
      <c r="AH9" s="755"/>
      <c r="AI9" s="755"/>
      <c r="AJ9" s="755"/>
      <c r="AK9" s="755"/>
      <c r="AL9" s="755"/>
      <c r="AM9" s="755"/>
      <c r="AN9" s="755"/>
      <c r="AO9" s="755"/>
      <c r="AP9" s="755"/>
      <c r="AQ9" s="755"/>
      <c r="AR9" s="755"/>
      <c r="AS9" s="755"/>
      <c r="AT9" s="755"/>
      <c r="AU9" s="755"/>
      <c r="AV9" s="755"/>
      <c r="AW9" s="755"/>
      <c r="AX9" s="755"/>
      <c r="AY9" s="755"/>
      <c r="AZ9" s="755"/>
      <c r="BA9" s="755"/>
      <c r="BB9" s="755"/>
      <c r="BC9" s="755"/>
      <c r="BD9" s="755"/>
      <c r="BE9" s="755"/>
      <c r="BF9" s="755"/>
      <c r="BG9" s="755"/>
      <c r="BH9" s="755"/>
      <c r="BI9" s="755"/>
      <c r="BJ9" s="755"/>
      <c r="BK9" s="755"/>
      <c r="BL9" s="755"/>
      <c r="BM9" s="755"/>
      <c r="BN9" s="755"/>
      <c r="BO9" s="755"/>
      <c r="BP9" s="755"/>
      <c r="BR9" s="755"/>
    </row>
    <row r="10" spans="1:70" s="145" customFormat="1">
      <c r="B10" s="756" t="s">
        <v>265</v>
      </c>
      <c r="C10" s="756"/>
      <c r="D10" s="757"/>
      <c r="E10" s="757"/>
      <c r="F10" s="757"/>
      <c r="G10" s="757"/>
      <c r="H10" s="756"/>
      <c r="I10" s="757"/>
      <c r="J10" s="757"/>
      <c r="K10" s="757"/>
      <c r="L10" s="757"/>
      <c r="M10" s="756"/>
      <c r="N10" s="757"/>
      <c r="O10" s="757"/>
      <c r="P10" s="757"/>
      <c r="Q10" s="757"/>
      <c r="R10" s="756"/>
      <c r="S10" s="757"/>
      <c r="T10" s="757"/>
      <c r="U10" s="757"/>
      <c r="V10" s="757"/>
      <c r="W10" s="756"/>
      <c r="X10" s="757"/>
      <c r="Y10" s="757"/>
      <c r="Z10" s="757"/>
      <c r="AA10" s="757"/>
      <c r="AB10" s="756"/>
      <c r="AC10" s="757"/>
      <c r="AD10" s="757"/>
      <c r="AE10" s="757"/>
      <c r="AF10" s="757"/>
      <c r="AG10" s="756"/>
      <c r="AH10" s="757"/>
      <c r="AI10" s="757"/>
      <c r="AJ10" s="757"/>
      <c r="AK10" s="757"/>
      <c r="AL10" s="756"/>
      <c r="AM10" s="757"/>
      <c r="AN10" s="757"/>
      <c r="AO10" s="757"/>
      <c r="AP10" s="757"/>
      <c r="AQ10" s="756"/>
      <c r="AR10" s="757"/>
      <c r="AS10" s="757"/>
      <c r="AT10" s="757"/>
      <c r="AU10" s="757"/>
      <c r="AV10" s="756"/>
      <c r="AW10" s="757"/>
      <c r="AX10" s="757"/>
      <c r="AY10" s="757"/>
      <c r="AZ10" s="757"/>
      <c r="BA10" s="756"/>
      <c r="BB10" s="757"/>
      <c r="BC10" s="757"/>
      <c r="BD10" s="757"/>
      <c r="BE10" s="757"/>
      <c r="BF10" s="756"/>
      <c r="BG10" s="757"/>
      <c r="BH10" s="757"/>
      <c r="BI10" s="757"/>
      <c r="BJ10" s="757"/>
      <c r="BK10" s="756"/>
      <c r="BL10" s="757"/>
      <c r="BM10" s="757"/>
      <c r="BN10" s="757"/>
      <c r="BO10" s="757"/>
      <c r="BP10" s="756"/>
      <c r="BR10" s="758"/>
    </row>
    <row r="11" spans="1:70" s="96" customFormat="1">
      <c r="B11" s="759" t="s">
        <v>266</v>
      </c>
      <c r="C11" s="759">
        <v>433.64100000000002</v>
      </c>
      <c r="D11" s="96">
        <v>431.53699999999998</v>
      </c>
      <c r="E11" s="96">
        <v>354.05599999999998</v>
      </c>
      <c r="F11" s="96">
        <v>219.005</v>
      </c>
      <c r="G11" s="96">
        <v>317.54700000000003</v>
      </c>
      <c r="H11" s="759">
        <f>G11</f>
        <v>317.54700000000003</v>
      </c>
      <c r="I11" s="96">
        <v>297.69400000000002</v>
      </c>
      <c r="J11" s="96">
        <v>52.917999999999999</v>
      </c>
      <c r="K11" s="96">
        <v>49.405999999999999</v>
      </c>
      <c r="L11" s="96">
        <v>114.46299999999999</v>
      </c>
      <c r="M11" s="759">
        <f>L11</f>
        <v>114.46299999999999</v>
      </c>
      <c r="N11" s="96">
        <v>102.892</v>
      </c>
      <c r="O11" s="96">
        <v>176.566</v>
      </c>
      <c r="P11" s="96">
        <v>592.654</v>
      </c>
      <c r="Q11" s="96">
        <v>394.26900000000001</v>
      </c>
      <c r="R11" s="759">
        <f>Q11</f>
        <v>394.26900000000001</v>
      </c>
      <c r="S11" s="96">
        <v>401.75200000000001</v>
      </c>
      <c r="T11" s="96">
        <v>238.94499999999999</v>
      </c>
      <c r="U11" s="96">
        <v>254.559</v>
      </c>
      <c r="V11" s="96">
        <v>164.11099999999999</v>
      </c>
      <c r="W11" s="759">
        <f t="shared" ref="W11:W17" si="0">V11</f>
        <v>164.11099999999999</v>
      </c>
      <c r="X11" s="96">
        <v>330.47899999999998</v>
      </c>
      <c r="Y11" s="96">
        <v>395.26600000000002</v>
      </c>
      <c r="Z11" s="96">
        <v>257.73</v>
      </c>
      <c r="AA11" s="96">
        <v>916.09100000000001</v>
      </c>
      <c r="AB11" s="759">
        <f t="shared" ref="AB11:AB17" si="1">AA11</f>
        <v>916.09100000000001</v>
      </c>
      <c r="AC11" s="96">
        <v>413.73599999999999</v>
      </c>
      <c r="AD11" s="96">
        <v>2539.39</v>
      </c>
      <c r="AE11" s="96">
        <v>596.34699999999998</v>
      </c>
      <c r="AF11" s="96">
        <v>600.34</v>
      </c>
      <c r="AG11" s="759">
        <v>600.29999999999995</v>
      </c>
      <c r="AH11" s="96">
        <v>576.29999999999995</v>
      </c>
      <c r="AI11" s="96">
        <f>531.2</f>
        <v>531.20000000000005</v>
      </c>
      <c r="AJ11" s="96">
        <f>808.8</f>
        <v>808.8</v>
      </c>
      <c r="AK11" s="96">
        <v>322.60000000000002</v>
      </c>
      <c r="AL11" s="759">
        <f t="shared" ref="AL11:AL17" si="2">AK11</f>
        <v>322.60000000000002</v>
      </c>
      <c r="AM11" s="96">
        <f>1864.4+10354.9</f>
        <v>12219.3</v>
      </c>
      <c r="AN11" s="96">
        <v>958</v>
      </c>
      <c r="AO11" s="96">
        <v>1420</v>
      </c>
      <c r="AP11" s="96">
        <f>AP79</f>
        <v>1241.2811111111146</v>
      </c>
      <c r="AQ11" s="759">
        <f t="shared" ref="AQ11:AU17" si="3">AP11</f>
        <v>1241.2811111111146</v>
      </c>
      <c r="AR11" s="96">
        <f t="shared" ref="AR11:AU11" si="4">AR79</f>
        <v>686.50168411110906</v>
      </c>
      <c r="AS11" s="96">
        <f t="shared" si="4"/>
        <v>944.46490956110927</v>
      </c>
      <c r="AT11" s="96">
        <f t="shared" si="4"/>
        <v>1217.264438833332</v>
      </c>
      <c r="AU11" s="96">
        <f t="shared" si="4"/>
        <v>1271.2895898444428</v>
      </c>
      <c r="AV11" s="759">
        <f t="shared" ref="AV11:AV17" si="5">AU11</f>
        <v>1271.2895898444428</v>
      </c>
      <c r="BA11" s="759">
        <f>BA79</f>
        <v>2205.2843244647238</v>
      </c>
      <c r="BF11" s="759">
        <f>BF79</f>
        <v>2866.2760125698974</v>
      </c>
      <c r="BK11" s="759">
        <f>BK79</f>
        <v>3688.6373196537365</v>
      </c>
      <c r="BP11" s="759">
        <f>BP79</f>
        <v>4627.6904603160547</v>
      </c>
      <c r="BR11" s="758"/>
    </row>
    <row r="12" spans="1:70" s="96" customFormat="1">
      <c r="B12" s="759" t="s">
        <v>267</v>
      </c>
      <c r="C12" s="759">
        <v>3.895</v>
      </c>
      <c r="D12" s="96">
        <v>1.502</v>
      </c>
      <c r="E12" s="96">
        <v>0</v>
      </c>
      <c r="F12" s="96">
        <v>0</v>
      </c>
      <c r="G12" s="96">
        <v>0.71899999999999997</v>
      </c>
      <c r="H12" s="759">
        <f t="shared" ref="H12:H24" si="6">G12</f>
        <v>0.71899999999999997</v>
      </c>
      <c r="I12" s="96">
        <v>3.286</v>
      </c>
      <c r="J12" s="96">
        <v>5.69</v>
      </c>
      <c r="K12" s="96">
        <v>6.7690000000000001</v>
      </c>
      <c r="L12" s="96">
        <v>9.5660000000000007</v>
      </c>
      <c r="M12" s="759">
        <f t="shared" ref="M12:M24" si="7">L12</f>
        <v>9.5660000000000007</v>
      </c>
      <c r="N12" s="96">
        <v>8.2309999999999999</v>
      </c>
      <c r="O12" s="96">
        <v>6.2380000000000004</v>
      </c>
      <c r="P12" s="96">
        <v>5.5910000000000002</v>
      </c>
      <c r="Q12" s="96">
        <v>6.0830000000000002</v>
      </c>
      <c r="R12" s="759">
        <f t="shared" ref="R12:R24" si="8">Q12</f>
        <v>6.0830000000000002</v>
      </c>
      <c r="S12" s="96">
        <v>4.3010000000000002</v>
      </c>
      <c r="T12" s="96">
        <v>2.9540000000000002</v>
      </c>
      <c r="U12" s="96">
        <v>2.9670000000000001</v>
      </c>
      <c r="V12" s="96">
        <v>6.3380000000000001</v>
      </c>
      <c r="W12" s="759">
        <f t="shared" si="0"/>
        <v>6.3380000000000001</v>
      </c>
      <c r="X12" s="96">
        <v>1.0489999999999999</v>
      </c>
      <c r="Y12" s="96">
        <v>0</v>
      </c>
      <c r="Z12" s="96">
        <v>0</v>
      </c>
      <c r="AA12" s="96">
        <v>4.41</v>
      </c>
      <c r="AB12" s="759">
        <f t="shared" si="1"/>
        <v>4.41</v>
      </c>
      <c r="AC12" s="96">
        <v>0</v>
      </c>
      <c r="AD12" s="96">
        <v>0</v>
      </c>
      <c r="AE12" s="96">
        <v>0</v>
      </c>
      <c r="AF12" s="96">
        <v>0</v>
      </c>
      <c r="AG12" s="759">
        <f t="shared" ref="AG12:AG17" si="9">AF12</f>
        <v>0</v>
      </c>
      <c r="AH12" s="96">
        <v>0</v>
      </c>
      <c r="AI12" s="96">
        <f>0</f>
        <v>0</v>
      </c>
      <c r="AJ12" s="96">
        <f>0</f>
        <v>0</v>
      </c>
      <c r="AK12" s="96">
        <v>0</v>
      </c>
      <c r="AL12" s="759">
        <f t="shared" si="2"/>
        <v>0</v>
      </c>
      <c r="AM12" s="96">
        <f>AK12</f>
        <v>0</v>
      </c>
      <c r="AN12" s="96">
        <f>AM12</f>
        <v>0</v>
      </c>
      <c r="AO12" s="96">
        <v>0</v>
      </c>
      <c r="AP12" s="96">
        <f>AO12</f>
        <v>0</v>
      </c>
      <c r="AQ12" s="759">
        <f t="shared" si="3"/>
        <v>0</v>
      </c>
      <c r="AR12" s="96">
        <f t="shared" si="3"/>
        <v>0</v>
      </c>
      <c r="AS12" s="96">
        <f t="shared" si="3"/>
        <v>0</v>
      </c>
      <c r="AT12" s="96">
        <f t="shared" si="3"/>
        <v>0</v>
      </c>
      <c r="AU12" s="96">
        <f t="shared" si="3"/>
        <v>0</v>
      </c>
      <c r="AV12" s="759">
        <f t="shared" si="5"/>
        <v>0</v>
      </c>
      <c r="BA12" s="759">
        <f>AV12</f>
        <v>0</v>
      </c>
      <c r="BF12" s="759">
        <f>BA12</f>
        <v>0</v>
      </c>
      <c r="BK12" s="759">
        <f>BF12</f>
        <v>0</v>
      </c>
      <c r="BP12" s="759">
        <f>BK12</f>
        <v>0</v>
      </c>
      <c r="BR12" s="758"/>
    </row>
    <row r="13" spans="1:70" s="96" customFormat="1">
      <c r="B13" s="759" t="s">
        <v>268</v>
      </c>
      <c r="C13" s="759">
        <v>111.114</v>
      </c>
      <c r="D13" s="96">
        <v>82.385999999999996</v>
      </c>
      <c r="E13" s="96">
        <v>93.100999999999999</v>
      </c>
      <c r="F13" s="96">
        <v>99.796000000000006</v>
      </c>
      <c r="G13" s="96">
        <v>90.051000000000002</v>
      </c>
      <c r="H13" s="759">
        <f t="shared" si="6"/>
        <v>90.051000000000002</v>
      </c>
      <c r="I13" s="96">
        <v>82.787999999999997</v>
      </c>
      <c r="J13" s="96">
        <v>97.302000000000007</v>
      </c>
      <c r="K13" s="96">
        <v>99.283000000000001</v>
      </c>
      <c r="L13" s="96">
        <v>119.919</v>
      </c>
      <c r="M13" s="759">
        <f t="shared" si="7"/>
        <v>119.919</v>
      </c>
      <c r="N13" s="96">
        <v>105.02500000000001</v>
      </c>
      <c r="O13" s="96">
        <v>114.40900000000001</v>
      </c>
      <c r="P13" s="96">
        <v>291.11799999999999</v>
      </c>
      <c r="Q13" s="96">
        <v>274.81900000000002</v>
      </c>
      <c r="R13" s="759">
        <f t="shared" si="8"/>
        <v>274.81900000000002</v>
      </c>
      <c r="S13" s="96">
        <v>471.101</v>
      </c>
      <c r="T13" s="96">
        <v>411.54700000000003</v>
      </c>
      <c r="U13" s="96">
        <v>450.37900000000002</v>
      </c>
      <c r="V13" s="96">
        <v>569.26800000000003</v>
      </c>
      <c r="W13" s="759">
        <f t="shared" si="0"/>
        <v>569.26800000000003</v>
      </c>
      <c r="X13" s="96">
        <v>613.56399999999996</v>
      </c>
      <c r="Y13" s="96">
        <v>611.20399999999995</v>
      </c>
      <c r="Z13" s="96">
        <v>805.01</v>
      </c>
      <c r="AA13" s="96">
        <v>913.83500000000004</v>
      </c>
      <c r="AB13" s="759">
        <f t="shared" si="1"/>
        <v>913.83500000000004</v>
      </c>
      <c r="AC13" s="96">
        <v>1054.1610000000001</v>
      </c>
      <c r="AD13" s="96">
        <v>1127.0060000000001</v>
      </c>
      <c r="AE13" s="96">
        <v>1643.1479999999999</v>
      </c>
      <c r="AF13" s="96">
        <v>1814.769</v>
      </c>
      <c r="AG13" s="759">
        <f t="shared" si="9"/>
        <v>1814.769</v>
      </c>
      <c r="AH13" s="96">
        <v>1706.2</v>
      </c>
      <c r="AI13" s="96">
        <f>1770.7</f>
        <v>1770.7</v>
      </c>
      <c r="AJ13" s="96">
        <f>1880.2</f>
        <v>1880.2</v>
      </c>
      <c r="AK13" s="96">
        <v>2075.8000000000002</v>
      </c>
      <c r="AL13" s="759">
        <f t="shared" si="2"/>
        <v>2075.8000000000002</v>
      </c>
      <c r="AM13" s="96">
        <v>2108.8000000000002</v>
      </c>
      <c r="AN13" s="96">
        <v>2371</v>
      </c>
      <c r="AO13" s="96">
        <v>2696.3</v>
      </c>
      <c r="AP13" s="96">
        <f t="shared" ref="AP13:AU14" si="10">AP95*AP101/90</f>
        <v>2845.9688888888886</v>
      </c>
      <c r="AQ13" s="759">
        <f t="shared" si="3"/>
        <v>2845.9688888888886</v>
      </c>
      <c r="AR13" s="96">
        <f t="shared" si="10"/>
        <v>2960.9016888888891</v>
      </c>
      <c r="AS13" s="96">
        <f t="shared" si="10"/>
        <v>2956.4640777777781</v>
      </c>
      <c r="AT13" s="96">
        <f t="shared" si="10"/>
        <v>3048.2433222222221</v>
      </c>
      <c r="AU13" s="96">
        <f t="shared" si="10"/>
        <v>2915.5411000000004</v>
      </c>
      <c r="AV13" s="759">
        <f t="shared" si="5"/>
        <v>2915.5411000000004</v>
      </c>
      <c r="BA13" s="759">
        <f>BA95*BA101/360</f>
        <v>3130.8594720000001</v>
      </c>
      <c r="BF13" s="759">
        <f>BF95*BF101/360</f>
        <v>3319.3630833866669</v>
      </c>
      <c r="BK13" s="759">
        <f>BK95*BK101/360</f>
        <v>3516.0959121864003</v>
      </c>
      <c r="BP13" s="759">
        <f>BP95*BP101/360</f>
        <v>3670.0603541481682</v>
      </c>
      <c r="BR13" s="758"/>
    </row>
    <row r="14" spans="1:70" s="96" customFormat="1">
      <c r="B14" s="759" t="s">
        <v>269</v>
      </c>
      <c r="C14" s="759">
        <v>80.745000000000005</v>
      </c>
      <c r="D14" s="96">
        <v>67.427000000000007</v>
      </c>
      <c r="E14" s="96">
        <v>69.837000000000003</v>
      </c>
      <c r="F14" s="96">
        <v>70.150999999999996</v>
      </c>
      <c r="G14" s="96">
        <v>59.561</v>
      </c>
      <c r="H14" s="759">
        <f t="shared" si="6"/>
        <v>59.561</v>
      </c>
      <c r="I14" s="96">
        <v>60.174999999999997</v>
      </c>
      <c r="J14" s="96">
        <v>70.084999999999994</v>
      </c>
      <c r="K14" s="96">
        <v>73.772999999999996</v>
      </c>
      <c r="L14" s="96">
        <v>82.772999999999996</v>
      </c>
      <c r="M14" s="759">
        <f t="shared" si="7"/>
        <v>82.772999999999996</v>
      </c>
      <c r="N14" s="96">
        <v>97.522999999999996</v>
      </c>
      <c r="O14" s="96">
        <v>88.134</v>
      </c>
      <c r="P14" s="96">
        <v>295.279</v>
      </c>
      <c r="Q14" s="96">
        <v>229.58199999999999</v>
      </c>
      <c r="R14" s="759">
        <f t="shared" si="8"/>
        <v>229.58199999999999</v>
      </c>
      <c r="S14" s="96">
        <v>266.13299999999998</v>
      </c>
      <c r="T14" s="96">
        <v>259.78300000000002</v>
      </c>
      <c r="U14" s="96">
        <v>259.64800000000002</v>
      </c>
      <c r="V14" s="96">
        <v>355.21199999999999</v>
      </c>
      <c r="W14" s="759">
        <f t="shared" si="0"/>
        <v>355.21199999999999</v>
      </c>
      <c r="X14" s="96">
        <v>373.529</v>
      </c>
      <c r="Y14" s="96">
        <v>388.72899999999998</v>
      </c>
      <c r="Z14" s="96">
        <v>418.25200000000001</v>
      </c>
      <c r="AA14" s="96">
        <v>531.25599999999997</v>
      </c>
      <c r="AB14" s="759">
        <f t="shared" si="1"/>
        <v>531.25599999999997</v>
      </c>
      <c r="AC14" s="96">
        <v>509.67599999999999</v>
      </c>
      <c r="AD14" s="96">
        <v>497.05900000000003</v>
      </c>
      <c r="AE14" s="96">
        <v>1076.088</v>
      </c>
      <c r="AF14" s="96">
        <v>882.96600000000001</v>
      </c>
      <c r="AG14" s="759">
        <f t="shared" si="9"/>
        <v>882.96600000000001</v>
      </c>
      <c r="AH14" s="96">
        <v>953.4</v>
      </c>
      <c r="AI14" s="96">
        <f>942.5</f>
        <v>942.5</v>
      </c>
      <c r="AJ14" s="96">
        <f>932.7</f>
        <v>932.7</v>
      </c>
      <c r="AK14" s="96">
        <v>950.6</v>
      </c>
      <c r="AL14" s="759">
        <f t="shared" si="2"/>
        <v>950.6</v>
      </c>
      <c r="AM14" s="96">
        <v>998.9</v>
      </c>
      <c r="AN14" s="96">
        <v>1229.5</v>
      </c>
      <c r="AO14" s="96">
        <v>1199.2</v>
      </c>
      <c r="AP14" s="96">
        <f t="shared" si="10"/>
        <v>1323.5833333333335</v>
      </c>
      <c r="AQ14" s="759">
        <f t="shared" si="3"/>
        <v>1323.5833333333335</v>
      </c>
      <c r="AR14" s="96">
        <f t="shared" si="10"/>
        <v>1165.6278666666665</v>
      </c>
      <c r="AS14" s="96">
        <f t="shared" si="10"/>
        <v>1265.7629703333332</v>
      </c>
      <c r="AT14" s="96">
        <f t="shared" si="10"/>
        <v>1283.4351223333333</v>
      </c>
      <c r="AU14" s="96">
        <f t="shared" si="10"/>
        <v>1422.40139</v>
      </c>
      <c r="AV14" s="759">
        <f t="shared" si="5"/>
        <v>1422.40139</v>
      </c>
      <c r="BA14" s="759">
        <f>BA96*BA102/360</f>
        <v>1533.8532359722219</v>
      </c>
      <c r="BF14" s="759">
        <f>BF96*BF102/360</f>
        <v>1596.4499091627774</v>
      </c>
      <c r="BK14" s="759">
        <f>BK96*BK102/360</f>
        <v>1652.2637354443978</v>
      </c>
      <c r="BP14" s="759">
        <f>BP96*BP102/360</f>
        <v>1688.7776897719757</v>
      </c>
      <c r="BR14" s="758"/>
    </row>
    <row r="15" spans="1:70" s="96" customFormat="1">
      <c r="B15" s="759" t="s">
        <v>270</v>
      </c>
      <c r="C15" s="759">
        <f>14.68+62.942</f>
        <v>77.622</v>
      </c>
      <c r="D15" s="96">
        <f>10.741+79.725+61.898</f>
        <v>152.364</v>
      </c>
      <c r="E15" s="96">
        <f>7.157+83.048+56.857</f>
        <v>147.06200000000001</v>
      </c>
      <c r="F15" s="96">
        <f>10.678+7.578+1.86</f>
        <v>20.116</v>
      </c>
      <c r="G15" s="96">
        <f>14.582+0.812+0.278</f>
        <v>15.672000000000001</v>
      </c>
      <c r="H15" s="759">
        <f t="shared" si="6"/>
        <v>15.672000000000001</v>
      </c>
      <c r="I15" s="96">
        <f>11.371+5.25+0.379+0.042</f>
        <v>17.042000000000005</v>
      </c>
      <c r="J15" s="96">
        <f>8.601+0.042+5.25</f>
        <v>13.893000000000001</v>
      </c>
      <c r="K15" s="96">
        <f>14.686+0.042+5.25</f>
        <v>19.978000000000002</v>
      </c>
      <c r="L15" s="96">
        <v>15.377000000000001</v>
      </c>
      <c r="M15" s="759">
        <f t="shared" si="7"/>
        <v>15.377000000000001</v>
      </c>
      <c r="N15" s="96">
        <v>13.103</v>
      </c>
      <c r="O15" s="96">
        <v>9.5760000000000005</v>
      </c>
      <c r="P15" s="96">
        <v>41.167000000000002</v>
      </c>
      <c r="Q15" s="96">
        <f>26.088+8.243</f>
        <v>34.331000000000003</v>
      </c>
      <c r="R15" s="759">
        <f t="shared" si="8"/>
        <v>34.331000000000003</v>
      </c>
      <c r="S15" s="96">
        <f>33.834+11.756</f>
        <v>45.59</v>
      </c>
      <c r="T15" s="96">
        <f>24.964+23.738</f>
        <v>48.701999999999998</v>
      </c>
      <c r="U15" s="96">
        <f>32.855+17.528</f>
        <v>50.382999999999996</v>
      </c>
      <c r="V15" s="96">
        <v>33.651000000000003</v>
      </c>
      <c r="W15" s="759">
        <f t="shared" si="0"/>
        <v>33.651000000000003</v>
      </c>
      <c r="X15" s="96">
        <v>52.488999999999997</v>
      </c>
      <c r="Y15" s="96">
        <v>56.47</v>
      </c>
      <c r="Z15" s="96">
        <v>72.213999999999999</v>
      </c>
      <c r="AA15" s="96">
        <v>125.869</v>
      </c>
      <c r="AB15" s="759">
        <f t="shared" si="1"/>
        <v>125.869</v>
      </c>
      <c r="AC15" s="96">
        <v>136.74700000000001</v>
      </c>
      <c r="AD15" s="96">
        <v>115.497</v>
      </c>
      <c r="AE15" s="96">
        <v>257.38900000000001</v>
      </c>
      <c r="AF15" s="96">
        <v>204.958</v>
      </c>
      <c r="AG15" s="759">
        <f t="shared" si="9"/>
        <v>204.958</v>
      </c>
      <c r="AH15" s="96">
        <v>369.9</v>
      </c>
      <c r="AI15" s="96">
        <f>452.6</f>
        <v>452.6</v>
      </c>
      <c r="AJ15" s="96">
        <f>465.6</f>
        <v>465.6</v>
      </c>
      <c r="AK15" s="96">
        <v>641.9</v>
      </c>
      <c r="AL15" s="759">
        <f t="shared" si="2"/>
        <v>641.9</v>
      </c>
      <c r="AM15" s="96">
        <f>660.9</f>
        <v>660.9</v>
      </c>
      <c r="AN15" s="96">
        <v>1075.3</v>
      </c>
      <c r="AO15" s="96">
        <v>953</v>
      </c>
      <c r="AP15" s="96">
        <f t="shared" ref="AP15:AP17" si="11">AO15</f>
        <v>953</v>
      </c>
      <c r="AQ15" s="759">
        <f t="shared" si="3"/>
        <v>953</v>
      </c>
      <c r="AR15" s="96">
        <f t="shared" si="3"/>
        <v>953</v>
      </c>
      <c r="AS15" s="96">
        <f t="shared" si="3"/>
        <v>953</v>
      </c>
      <c r="AT15" s="96">
        <f t="shared" si="3"/>
        <v>953</v>
      </c>
      <c r="AU15" s="96">
        <f t="shared" si="3"/>
        <v>953</v>
      </c>
      <c r="AV15" s="759">
        <f t="shared" si="5"/>
        <v>953</v>
      </c>
      <c r="BA15" s="759">
        <f>AV15</f>
        <v>953</v>
      </c>
      <c r="BF15" s="759">
        <f>BA15</f>
        <v>953</v>
      </c>
      <c r="BK15" s="759">
        <f>BF15</f>
        <v>953</v>
      </c>
      <c r="BP15" s="759">
        <f>BK15</f>
        <v>953</v>
      </c>
      <c r="BR15" s="758"/>
    </row>
    <row r="16" spans="1:70" s="96" customFormat="1">
      <c r="B16" s="759" t="s">
        <v>271</v>
      </c>
      <c r="C16" s="759">
        <v>0</v>
      </c>
      <c r="D16" s="96">
        <v>0</v>
      </c>
      <c r="E16" s="96">
        <v>0</v>
      </c>
      <c r="F16" s="96">
        <v>0</v>
      </c>
      <c r="G16" s="96">
        <v>0</v>
      </c>
      <c r="H16" s="759">
        <f t="shared" si="6"/>
        <v>0</v>
      </c>
      <c r="I16" s="96">
        <v>0</v>
      </c>
      <c r="J16" s="96">
        <v>0</v>
      </c>
      <c r="K16" s="96">
        <v>0</v>
      </c>
      <c r="L16" s="96">
        <v>0</v>
      </c>
      <c r="M16" s="759">
        <f t="shared" si="7"/>
        <v>0</v>
      </c>
      <c r="N16" s="96">
        <v>12.4</v>
      </c>
      <c r="O16" s="96">
        <v>12.4</v>
      </c>
      <c r="P16" s="96">
        <v>70.596999999999994</v>
      </c>
      <c r="Q16" s="96">
        <v>77.067999999999998</v>
      </c>
      <c r="R16" s="759">
        <f t="shared" si="8"/>
        <v>77.067999999999998</v>
      </c>
      <c r="S16" s="96">
        <v>81.600999999999999</v>
      </c>
      <c r="T16" s="96">
        <v>79.42</v>
      </c>
      <c r="U16" s="96">
        <v>77.528999999999996</v>
      </c>
      <c r="V16" s="96">
        <v>148.45400000000001</v>
      </c>
      <c r="W16" s="759">
        <f t="shared" si="0"/>
        <v>148.45400000000001</v>
      </c>
      <c r="X16" s="96">
        <v>157.38800000000001</v>
      </c>
      <c r="Y16" s="96">
        <v>150.36199999999999</v>
      </c>
      <c r="Z16" s="96">
        <v>150.53899999999999</v>
      </c>
      <c r="AA16" s="96">
        <v>195.00700000000001</v>
      </c>
      <c r="AB16" s="759">
        <f t="shared" si="1"/>
        <v>195.00700000000001</v>
      </c>
      <c r="AC16" s="96">
        <v>198.87899999999999</v>
      </c>
      <c r="AD16" s="96">
        <v>198.67400000000001</v>
      </c>
      <c r="AE16" s="96">
        <v>221.934</v>
      </c>
      <c r="AF16" s="96">
        <v>366.91399999999999</v>
      </c>
      <c r="AG16" s="759">
        <f t="shared" si="9"/>
        <v>366.91399999999999</v>
      </c>
      <c r="AH16" s="96">
        <v>315.3</v>
      </c>
      <c r="AI16" s="96">
        <f>309.8</f>
        <v>309.8</v>
      </c>
      <c r="AJ16" s="96">
        <f>316.4+10</f>
        <v>326.39999999999998</v>
      </c>
      <c r="AK16" s="96">
        <v>193.3</v>
      </c>
      <c r="AL16" s="759">
        <f t="shared" si="2"/>
        <v>193.3</v>
      </c>
      <c r="AM16" s="96">
        <v>196.5</v>
      </c>
      <c r="AN16" s="96">
        <v>711.4</v>
      </c>
      <c r="AO16" s="96">
        <v>727.2</v>
      </c>
      <c r="AP16" s="96">
        <f t="shared" si="11"/>
        <v>727.2</v>
      </c>
      <c r="AQ16" s="759">
        <f t="shared" si="3"/>
        <v>727.2</v>
      </c>
      <c r="AR16" s="96">
        <f t="shared" si="3"/>
        <v>727.2</v>
      </c>
      <c r="AS16" s="96">
        <f t="shared" si="3"/>
        <v>727.2</v>
      </c>
      <c r="AT16" s="96">
        <f t="shared" si="3"/>
        <v>727.2</v>
      </c>
      <c r="AU16" s="96">
        <f t="shared" si="3"/>
        <v>727.2</v>
      </c>
      <c r="AV16" s="759">
        <f t="shared" si="5"/>
        <v>727.2</v>
      </c>
      <c r="BA16" s="759">
        <f>AV16</f>
        <v>727.2</v>
      </c>
      <c r="BF16" s="759">
        <f>BA16</f>
        <v>727.2</v>
      </c>
      <c r="BK16" s="759">
        <f>BF16</f>
        <v>727.2</v>
      </c>
      <c r="BP16" s="759">
        <f>BK16</f>
        <v>727.2</v>
      </c>
      <c r="BR16" s="758"/>
    </row>
    <row r="17" spans="2:70" s="761" customFormat="1" ht="15">
      <c r="B17" s="760" t="s">
        <v>272</v>
      </c>
      <c r="C17" s="760">
        <v>0</v>
      </c>
      <c r="D17" s="761">
        <v>0</v>
      </c>
      <c r="E17" s="761">
        <v>0</v>
      </c>
      <c r="F17" s="761">
        <v>7.0030000000000001</v>
      </c>
      <c r="G17" s="761">
        <v>6.8140000000000001</v>
      </c>
      <c r="H17" s="760">
        <f t="shared" si="6"/>
        <v>6.8140000000000001</v>
      </c>
      <c r="I17" s="761">
        <v>6.7809999999999997</v>
      </c>
      <c r="J17" s="761">
        <v>6.1509999999999998</v>
      </c>
      <c r="K17" s="761">
        <v>1.0449999999999999</v>
      </c>
      <c r="L17" s="761">
        <v>8.5419999999999998</v>
      </c>
      <c r="M17" s="760">
        <f t="shared" si="7"/>
        <v>8.5419999999999998</v>
      </c>
      <c r="N17" s="761">
        <v>0</v>
      </c>
      <c r="O17" s="761">
        <v>7.117</v>
      </c>
      <c r="P17" s="761">
        <v>4.0419999999999998</v>
      </c>
      <c r="Q17" s="761">
        <v>4.0140000000000002</v>
      </c>
      <c r="R17" s="760">
        <f t="shared" si="8"/>
        <v>4.0140000000000002</v>
      </c>
      <c r="S17" s="761">
        <v>4.1829999999999998</v>
      </c>
      <c r="T17" s="761">
        <v>4.3360000000000003</v>
      </c>
      <c r="U17" s="761">
        <v>3.6440000000000001</v>
      </c>
      <c r="V17" s="761">
        <f>8.233+72.239</f>
        <v>80.472000000000008</v>
      </c>
      <c r="W17" s="760">
        <f t="shared" si="0"/>
        <v>80.472000000000008</v>
      </c>
      <c r="X17" s="761">
        <v>3.4329999999999998</v>
      </c>
      <c r="Y17" s="761">
        <v>28.202999999999999</v>
      </c>
      <c r="Z17" s="761">
        <v>9.9250000000000007</v>
      </c>
      <c r="AA17" s="761">
        <v>90.983000000000004</v>
      </c>
      <c r="AB17" s="760">
        <f t="shared" si="1"/>
        <v>90.983000000000004</v>
      </c>
      <c r="AC17" s="761">
        <v>56.93</v>
      </c>
      <c r="AD17" s="761">
        <v>54.4</v>
      </c>
      <c r="AE17" s="761">
        <v>53.457000000000001</v>
      </c>
      <c r="AF17" s="761">
        <v>15.942</v>
      </c>
      <c r="AG17" s="760">
        <f t="shared" si="9"/>
        <v>15.942</v>
      </c>
      <c r="AH17" s="761">
        <v>29</v>
      </c>
      <c r="AI17" s="761">
        <f>1156.9</f>
        <v>1156.9000000000001</v>
      </c>
      <c r="AJ17" s="761">
        <v>0</v>
      </c>
      <c r="AK17" s="761">
        <v>8.9</v>
      </c>
      <c r="AL17" s="760">
        <f t="shared" si="2"/>
        <v>8.9</v>
      </c>
      <c r="AM17" s="761">
        <v>7.8</v>
      </c>
      <c r="AN17" s="761">
        <v>0</v>
      </c>
      <c r="AO17" s="761">
        <v>0</v>
      </c>
      <c r="AP17" s="761">
        <f t="shared" si="11"/>
        <v>0</v>
      </c>
      <c r="AQ17" s="760">
        <f t="shared" si="3"/>
        <v>0</v>
      </c>
      <c r="AR17" s="761">
        <f t="shared" si="3"/>
        <v>0</v>
      </c>
      <c r="AS17" s="761">
        <f t="shared" si="3"/>
        <v>0</v>
      </c>
      <c r="AT17" s="761">
        <f t="shared" si="3"/>
        <v>0</v>
      </c>
      <c r="AU17" s="761">
        <f t="shared" si="3"/>
        <v>0</v>
      </c>
      <c r="AV17" s="760">
        <f t="shared" si="5"/>
        <v>0</v>
      </c>
      <c r="BA17" s="760">
        <f>AV17</f>
        <v>0</v>
      </c>
      <c r="BF17" s="760">
        <f>BA17</f>
        <v>0</v>
      </c>
      <c r="BK17" s="760">
        <f>BF17</f>
        <v>0</v>
      </c>
      <c r="BP17" s="760">
        <f>BK17</f>
        <v>0</v>
      </c>
      <c r="BR17" s="758"/>
    </row>
    <row r="18" spans="2:70" s="96" customFormat="1">
      <c r="B18" s="762" t="s">
        <v>273</v>
      </c>
      <c r="C18" s="762">
        <f t="shared" ref="C18:R18" si="12">SUM(C11:C17)</f>
        <v>707.01699999999994</v>
      </c>
      <c r="D18" s="763">
        <f t="shared" si="12"/>
        <v>735.21600000000001</v>
      </c>
      <c r="E18" s="763">
        <f t="shared" si="12"/>
        <v>664.05600000000004</v>
      </c>
      <c r="F18" s="763">
        <f t="shared" si="12"/>
        <v>416.07099999999997</v>
      </c>
      <c r="G18" s="763">
        <f t="shared" si="12"/>
        <v>490.36400000000003</v>
      </c>
      <c r="H18" s="762">
        <f t="shared" si="12"/>
        <v>490.36400000000003</v>
      </c>
      <c r="I18" s="763">
        <f t="shared" si="12"/>
        <v>467.76600000000008</v>
      </c>
      <c r="J18" s="763">
        <f t="shared" si="12"/>
        <v>246.03900000000002</v>
      </c>
      <c r="K18" s="763">
        <f t="shared" si="12"/>
        <v>250.25399999999999</v>
      </c>
      <c r="L18" s="763">
        <f t="shared" si="12"/>
        <v>350.64</v>
      </c>
      <c r="M18" s="762">
        <f t="shared" si="12"/>
        <v>350.64</v>
      </c>
      <c r="N18" s="763">
        <f t="shared" si="12"/>
        <v>339.17399999999998</v>
      </c>
      <c r="O18" s="763">
        <f t="shared" si="12"/>
        <v>414.44000000000005</v>
      </c>
      <c r="P18" s="763">
        <f t="shared" si="12"/>
        <v>1300.4479999999999</v>
      </c>
      <c r="Q18" s="763">
        <f>SUM(Q11:Q17)</f>
        <v>1020.1660000000001</v>
      </c>
      <c r="R18" s="762">
        <f t="shared" si="12"/>
        <v>1020.1660000000001</v>
      </c>
      <c r="S18" s="763">
        <f>SUM(S11:S17)</f>
        <v>1274.6610000000001</v>
      </c>
      <c r="T18" s="763">
        <f>SUM(T11:T17)</f>
        <v>1045.6870000000001</v>
      </c>
      <c r="U18" s="763">
        <f>SUM(U11:U17)</f>
        <v>1099.1090000000002</v>
      </c>
      <c r="V18" s="763">
        <f>SUM(V11:V17)</f>
        <v>1357.5060000000001</v>
      </c>
      <c r="W18" s="762">
        <f>SUM(W11:W17)</f>
        <v>1357.5060000000001</v>
      </c>
      <c r="X18" s="763">
        <f t="shared" ref="X18:AV18" si="13">SUM(X11:X17)</f>
        <v>1531.9309999999998</v>
      </c>
      <c r="Y18" s="763">
        <f t="shared" si="13"/>
        <v>1630.2340000000002</v>
      </c>
      <c r="Z18" s="763">
        <f t="shared" si="13"/>
        <v>1713.6699999999998</v>
      </c>
      <c r="AA18" s="763">
        <f t="shared" si="13"/>
        <v>2777.4510000000005</v>
      </c>
      <c r="AB18" s="762">
        <f>SUM(AB11:AB17)</f>
        <v>2777.4510000000005</v>
      </c>
      <c r="AC18" s="763">
        <f t="shared" si="13"/>
        <v>2370.1289999999995</v>
      </c>
      <c r="AD18" s="763">
        <f t="shared" si="13"/>
        <v>4532.0259999999998</v>
      </c>
      <c r="AE18" s="763">
        <f t="shared" si="13"/>
        <v>3848.3629999999998</v>
      </c>
      <c r="AF18" s="763">
        <f t="shared" si="13"/>
        <v>3885.8890000000001</v>
      </c>
      <c r="AG18" s="762">
        <f t="shared" si="13"/>
        <v>3885.8490000000002</v>
      </c>
      <c r="AH18" s="763">
        <f t="shared" si="13"/>
        <v>3950.1000000000004</v>
      </c>
      <c r="AI18" s="763">
        <f t="shared" si="13"/>
        <v>5163.7000000000007</v>
      </c>
      <c r="AJ18" s="763">
        <f t="shared" si="13"/>
        <v>4413.7</v>
      </c>
      <c r="AK18" s="763">
        <f t="shared" si="13"/>
        <v>4193.0999999999995</v>
      </c>
      <c r="AL18" s="762">
        <f t="shared" si="13"/>
        <v>4193.0999999999995</v>
      </c>
      <c r="AM18" s="763">
        <f t="shared" si="13"/>
        <v>16192.199999999997</v>
      </c>
      <c r="AN18" s="763">
        <f t="shared" si="13"/>
        <v>6345.2</v>
      </c>
      <c r="AO18" s="763">
        <f t="shared" si="13"/>
        <v>6995.7</v>
      </c>
      <c r="AP18" s="763">
        <f t="shared" si="13"/>
        <v>7091.0333333333365</v>
      </c>
      <c r="AQ18" s="762">
        <f t="shared" si="13"/>
        <v>7091.0333333333365</v>
      </c>
      <c r="AR18" s="763">
        <f t="shared" si="13"/>
        <v>6493.2312396666648</v>
      </c>
      <c r="AS18" s="763">
        <f t="shared" si="13"/>
        <v>6846.891957672221</v>
      </c>
      <c r="AT18" s="763">
        <f t="shared" si="13"/>
        <v>7229.1428833888876</v>
      </c>
      <c r="AU18" s="763">
        <f t="shared" si="13"/>
        <v>7289.4320798444433</v>
      </c>
      <c r="AV18" s="762">
        <f t="shared" si="13"/>
        <v>7289.4320798444433</v>
      </c>
      <c r="BA18" s="762">
        <f>SUM(BA11:BA17)</f>
        <v>8550.1970324369468</v>
      </c>
      <c r="BF18" s="762">
        <f>SUM(BF11:BF17)</f>
        <v>9462.2890051193426</v>
      </c>
      <c r="BK18" s="762">
        <f>SUM(BK11:BK17)</f>
        <v>10537.196967284535</v>
      </c>
      <c r="BP18" s="762">
        <f>SUM(BP11:BP17)</f>
        <v>11666.7285042362</v>
      </c>
      <c r="BR18" s="758"/>
    </row>
    <row r="19" spans="2:70" s="96" customFormat="1">
      <c r="B19" s="759" t="s">
        <v>274</v>
      </c>
      <c r="C19" s="759">
        <v>24.417000000000002</v>
      </c>
      <c r="D19" s="96">
        <v>23.757999999999999</v>
      </c>
      <c r="E19" s="96">
        <v>23.065000000000001</v>
      </c>
      <c r="F19" s="96">
        <v>23.140999999999998</v>
      </c>
      <c r="G19" s="96">
        <v>21.916</v>
      </c>
      <c r="H19" s="759">
        <f t="shared" si="6"/>
        <v>21.916</v>
      </c>
      <c r="I19" s="96">
        <v>17.43</v>
      </c>
      <c r="J19" s="96">
        <v>14.938000000000001</v>
      </c>
      <c r="K19" s="96">
        <v>14.855</v>
      </c>
      <c r="L19" s="96">
        <v>11.516</v>
      </c>
      <c r="M19" s="759">
        <f t="shared" si="7"/>
        <v>11.516</v>
      </c>
      <c r="N19" s="96">
        <v>11.542999999999999</v>
      </c>
      <c r="O19" s="96">
        <v>9.66</v>
      </c>
      <c r="P19" s="96">
        <v>3.645</v>
      </c>
      <c r="Q19" s="96">
        <v>2.0830000000000002</v>
      </c>
      <c r="R19" s="759">
        <f t="shared" si="8"/>
        <v>2.0830000000000002</v>
      </c>
      <c r="S19" s="96">
        <v>79.950999999999993</v>
      </c>
      <c r="T19" s="96">
        <v>9.17</v>
      </c>
      <c r="U19" s="96">
        <v>0</v>
      </c>
      <c r="V19" s="96">
        <v>0</v>
      </c>
      <c r="W19" s="759">
        <f t="shared" ref="W19:W24" si="14">V19</f>
        <v>0</v>
      </c>
      <c r="X19" s="96">
        <v>0</v>
      </c>
      <c r="Y19" s="96">
        <v>0</v>
      </c>
      <c r="Z19" s="96">
        <v>8.2309999999999999</v>
      </c>
      <c r="AA19" s="96">
        <v>7.1669999999999998</v>
      </c>
      <c r="AB19" s="759">
        <f t="shared" ref="AB19:AB24" si="15">AA19</f>
        <v>7.1669999999999998</v>
      </c>
      <c r="AC19" s="96">
        <v>0</v>
      </c>
      <c r="AD19" s="96">
        <v>0</v>
      </c>
      <c r="AE19" s="96">
        <v>0</v>
      </c>
      <c r="AF19" s="96">
        <v>0</v>
      </c>
      <c r="AG19" s="759">
        <f t="shared" ref="AG19:AG24" si="16">AF19</f>
        <v>0</v>
      </c>
      <c r="AH19" s="96">
        <v>0</v>
      </c>
      <c r="AI19" s="96">
        <v>0</v>
      </c>
      <c r="AJ19" s="96">
        <v>0</v>
      </c>
      <c r="AK19" s="96">
        <f>AJ19</f>
        <v>0</v>
      </c>
      <c r="AL19" s="759">
        <f t="shared" ref="AL19:AL24" si="17">AK19</f>
        <v>0</v>
      </c>
      <c r="AM19" s="96">
        <f>AK19</f>
        <v>0</v>
      </c>
      <c r="AN19" s="96">
        <f>AM19</f>
        <v>0</v>
      </c>
      <c r="AO19" s="96">
        <f>AN19</f>
        <v>0</v>
      </c>
      <c r="AP19" s="96">
        <f>AO19</f>
        <v>0</v>
      </c>
      <c r="AQ19" s="759">
        <f>AP19</f>
        <v>0</v>
      </c>
      <c r="AR19" s="96">
        <f t="shared" ref="AR19:AV24" si="18">AQ19</f>
        <v>0</v>
      </c>
      <c r="AS19" s="96">
        <f t="shared" si="18"/>
        <v>0</v>
      </c>
      <c r="AT19" s="96">
        <f t="shared" si="18"/>
        <v>0</v>
      </c>
      <c r="AU19" s="96">
        <f t="shared" si="18"/>
        <v>0</v>
      </c>
      <c r="AV19" s="759">
        <f t="shared" si="18"/>
        <v>0</v>
      </c>
      <c r="BA19" s="759">
        <f>AV19</f>
        <v>0</v>
      </c>
      <c r="BF19" s="759">
        <f>BA19</f>
        <v>0</v>
      </c>
      <c r="BK19" s="759">
        <f>BF19</f>
        <v>0</v>
      </c>
      <c r="BP19" s="759">
        <f>BK19</f>
        <v>0</v>
      </c>
      <c r="BR19" s="758"/>
    </row>
    <row r="20" spans="2:70" s="96" customFormat="1">
      <c r="B20" s="759" t="s">
        <v>275</v>
      </c>
      <c r="C20" s="759">
        <v>238.45699999999999</v>
      </c>
      <c r="D20" s="96">
        <v>233.79900000000001</v>
      </c>
      <c r="E20" s="96">
        <v>182.298</v>
      </c>
      <c r="F20" s="96">
        <v>167.50700000000001</v>
      </c>
      <c r="G20" s="96">
        <v>148.26900000000001</v>
      </c>
      <c r="H20" s="759">
        <f t="shared" si="6"/>
        <v>148.26900000000001</v>
      </c>
      <c r="I20" s="96">
        <v>140.75700000000001</v>
      </c>
      <c r="J20" s="96">
        <v>133.411</v>
      </c>
      <c r="K20" s="96">
        <v>138.11199999999999</v>
      </c>
      <c r="L20" s="96">
        <v>103.848</v>
      </c>
      <c r="M20" s="759">
        <f t="shared" si="7"/>
        <v>103.848</v>
      </c>
      <c r="N20" s="96">
        <v>106.896</v>
      </c>
      <c r="O20" s="96">
        <v>96.48</v>
      </c>
      <c r="P20" s="96">
        <v>280.161</v>
      </c>
      <c r="Q20" s="96">
        <v>281.75200000000001</v>
      </c>
      <c r="R20" s="759">
        <f t="shared" si="8"/>
        <v>281.75200000000001</v>
      </c>
      <c r="S20" s="96">
        <v>307.69600000000003</v>
      </c>
      <c r="T20" s="96">
        <v>318.851</v>
      </c>
      <c r="U20" s="96">
        <v>355.66300000000001</v>
      </c>
      <c r="V20" s="96">
        <v>414.24200000000002</v>
      </c>
      <c r="W20" s="759">
        <f t="shared" si="14"/>
        <v>414.24200000000002</v>
      </c>
      <c r="X20" s="96">
        <v>426.51</v>
      </c>
      <c r="Y20" s="96">
        <v>409.399</v>
      </c>
      <c r="Z20" s="96">
        <v>450.327</v>
      </c>
      <c r="AA20" s="96">
        <v>462.72399999999999</v>
      </c>
      <c r="AB20" s="759">
        <f t="shared" si="15"/>
        <v>462.72399999999999</v>
      </c>
      <c r="AC20" s="96">
        <v>452.96899999999999</v>
      </c>
      <c r="AD20" s="96">
        <v>440.99799999999999</v>
      </c>
      <c r="AE20" s="96">
        <v>1221.606</v>
      </c>
      <c r="AF20" s="96">
        <v>1234.2360000000001</v>
      </c>
      <c r="AG20" s="759">
        <f t="shared" si="16"/>
        <v>1234.2360000000001</v>
      </c>
      <c r="AH20" s="96">
        <v>1215</v>
      </c>
      <c r="AI20" s="96">
        <f>1319.6</f>
        <v>1319.6</v>
      </c>
      <c r="AJ20" s="96">
        <f>1300.4</f>
        <v>1300.4000000000001</v>
      </c>
      <c r="AK20" s="96">
        <v>1310.5</v>
      </c>
      <c r="AL20" s="759">
        <f t="shared" si="17"/>
        <v>1310.5</v>
      </c>
      <c r="AM20" s="96">
        <v>1334.8</v>
      </c>
      <c r="AN20" s="96">
        <v>1359.9</v>
      </c>
      <c r="AO20" s="96">
        <v>1351.4</v>
      </c>
      <c r="AP20" s="96">
        <f>AO20-AP105-AP67</f>
        <v>1376.4</v>
      </c>
      <c r="AQ20" s="759">
        <f>AP20</f>
        <v>1376.4</v>
      </c>
      <c r="AR20" s="96">
        <f t="shared" ref="AR20:AU20" si="19">AQ20-AR105-AR67</f>
        <v>1413.9</v>
      </c>
      <c r="AS20" s="96">
        <f t="shared" si="19"/>
        <v>1451.4</v>
      </c>
      <c r="AT20" s="96">
        <f t="shared" si="19"/>
        <v>1488.9</v>
      </c>
      <c r="AU20" s="96">
        <f t="shared" si="19"/>
        <v>1526.4</v>
      </c>
      <c r="AV20" s="759">
        <f t="shared" si="18"/>
        <v>1526.4</v>
      </c>
      <c r="BA20" s="759">
        <f>AV20-BA105-BA67</f>
        <v>1676.4</v>
      </c>
      <c r="BF20" s="759">
        <f>BA20-BF105-BF67</f>
        <v>1826.4</v>
      </c>
      <c r="BK20" s="759">
        <f>BF20-BK105-BK67</f>
        <v>1976.4</v>
      </c>
      <c r="BP20" s="759">
        <f>BK20-BP105-BP67</f>
        <v>2126.4</v>
      </c>
      <c r="BR20" s="758"/>
    </row>
    <row r="21" spans="2:70" s="96" customFormat="1">
      <c r="B21" s="759" t="s">
        <v>276</v>
      </c>
      <c r="C21" s="759">
        <v>630.51400000000001</v>
      </c>
      <c r="D21" s="96">
        <v>616.52599999999995</v>
      </c>
      <c r="E21" s="96">
        <v>602.54200000000003</v>
      </c>
      <c r="F21" s="96">
        <v>745.822</v>
      </c>
      <c r="G21" s="96">
        <v>720.37199999999996</v>
      </c>
      <c r="H21" s="759">
        <f t="shared" si="6"/>
        <v>720.37199999999996</v>
      </c>
      <c r="I21" s="96">
        <v>702.44200000000001</v>
      </c>
      <c r="J21" s="96">
        <v>1414.8530000000001</v>
      </c>
      <c r="K21" s="96">
        <v>1379.768</v>
      </c>
      <c r="L21" s="96">
        <v>1335.222</v>
      </c>
      <c r="M21" s="759">
        <f t="shared" si="7"/>
        <v>1335.222</v>
      </c>
      <c r="N21" s="96">
        <v>1299.768</v>
      </c>
      <c r="O21" s="96">
        <v>1263.9929999999999</v>
      </c>
      <c r="P21" s="96">
        <v>6470.5959999999995</v>
      </c>
      <c r="Q21" s="96">
        <v>6372.78</v>
      </c>
      <c r="R21" s="759">
        <f t="shared" si="8"/>
        <v>6372.78</v>
      </c>
      <c r="S21" s="96">
        <v>6563.3159999999998</v>
      </c>
      <c r="T21" s="96">
        <v>6959.9070000000002</v>
      </c>
      <c r="U21" s="96">
        <v>6832.6980000000003</v>
      </c>
      <c r="V21" s="96">
        <v>7657.7979999999998</v>
      </c>
      <c r="W21" s="759">
        <f t="shared" si="14"/>
        <v>7657.7979999999998</v>
      </c>
      <c r="X21" s="96">
        <v>7808.8140000000003</v>
      </c>
      <c r="Y21" s="96">
        <v>8121.5559999999996</v>
      </c>
      <c r="Z21" s="96">
        <v>8035.7169999999996</v>
      </c>
      <c r="AA21" s="96">
        <v>9308.6689999999999</v>
      </c>
      <c r="AB21" s="759">
        <f t="shared" si="15"/>
        <v>9308.6689999999999</v>
      </c>
      <c r="AC21" s="96">
        <v>9227.3209999999999</v>
      </c>
      <c r="AD21" s="96">
        <v>9289.6689999999999</v>
      </c>
      <c r="AE21" s="96">
        <v>13090.339</v>
      </c>
      <c r="AF21" s="96">
        <v>12848.16</v>
      </c>
      <c r="AG21" s="759">
        <f t="shared" si="16"/>
        <v>12848.16</v>
      </c>
      <c r="AH21" s="96">
        <v>12701.7</v>
      </c>
      <c r="AI21" s="96">
        <f>11751.4</f>
        <v>11751.4</v>
      </c>
      <c r="AJ21" s="96">
        <f>11620.4</f>
        <v>11620.4</v>
      </c>
      <c r="AK21" s="96">
        <v>11255.9</v>
      </c>
      <c r="AL21" s="759">
        <f t="shared" si="17"/>
        <v>11255.9</v>
      </c>
      <c r="AM21" s="96">
        <v>11554.6</v>
      </c>
      <c r="AN21" s="96">
        <v>23149.7</v>
      </c>
      <c r="AO21" s="96">
        <v>22382.1</v>
      </c>
      <c r="AP21" s="96">
        <f>AO21-AP104+-AP68</f>
        <v>23365.5</v>
      </c>
      <c r="AQ21" s="759">
        <f>AP21</f>
        <v>23365.5</v>
      </c>
      <c r="AR21" s="96">
        <f t="shared" ref="AR21:AU21" si="20">AQ21-AR104+-AR68</f>
        <v>23228.95</v>
      </c>
      <c r="AS21" s="96">
        <f t="shared" si="20"/>
        <v>22592.400000000001</v>
      </c>
      <c r="AT21" s="96">
        <f t="shared" si="20"/>
        <v>21955.850000000002</v>
      </c>
      <c r="AU21" s="96">
        <f t="shared" si="20"/>
        <v>21794.300000000003</v>
      </c>
      <c r="AV21" s="759">
        <f t="shared" si="18"/>
        <v>21794.300000000003</v>
      </c>
      <c r="BA21" s="759">
        <f>AV21-BA104+-BA68</f>
        <v>19315.300000000003</v>
      </c>
      <c r="BB21" s="764"/>
      <c r="BC21" s="764"/>
      <c r="BD21" s="764"/>
      <c r="BE21" s="764"/>
      <c r="BF21" s="759">
        <f>BA21-BF104+-BF68</f>
        <v>16967.000000000004</v>
      </c>
      <c r="BK21" s="759">
        <f>BF21-BK104+-BK68</f>
        <v>14754.400000000003</v>
      </c>
      <c r="BL21" s="764"/>
      <c r="BM21" s="764"/>
      <c r="BN21" s="764"/>
      <c r="BO21" s="764"/>
      <c r="BP21" s="759">
        <f>BK21-BP104+-BP68</f>
        <v>12541.800000000003</v>
      </c>
      <c r="BR21" s="758"/>
    </row>
    <row r="22" spans="2:70" s="96" customFormat="1">
      <c r="B22" s="759" t="s">
        <v>277</v>
      </c>
      <c r="C22" s="759">
        <v>100.294</v>
      </c>
      <c r="D22" s="96">
        <v>100.294</v>
      </c>
      <c r="E22" s="96">
        <v>100.294</v>
      </c>
      <c r="F22" s="96">
        <v>100.294</v>
      </c>
      <c r="G22" s="96">
        <v>100.294</v>
      </c>
      <c r="H22" s="759">
        <f t="shared" si="6"/>
        <v>100.294</v>
      </c>
      <c r="I22" s="96">
        <v>100.294</v>
      </c>
      <c r="J22" s="96">
        <v>100.294</v>
      </c>
      <c r="K22" s="96">
        <v>100.294</v>
      </c>
      <c r="L22" s="96">
        <v>100.294</v>
      </c>
      <c r="M22" s="759">
        <f t="shared" si="7"/>
        <v>100.294</v>
      </c>
      <c r="N22" s="96">
        <v>100.294</v>
      </c>
      <c r="O22" s="96">
        <v>100.294</v>
      </c>
      <c r="P22" s="96">
        <v>2963.9470000000001</v>
      </c>
      <c r="Q22" s="96">
        <v>3001.3760000000002</v>
      </c>
      <c r="R22" s="759">
        <f t="shared" si="8"/>
        <v>3001.3760000000002</v>
      </c>
      <c r="S22" s="96">
        <v>3322.0940000000001</v>
      </c>
      <c r="T22" s="96">
        <v>3358.9169999999999</v>
      </c>
      <c r="U22" s="96">
        <v>3379.1370000000002</v>
      </c>
      <c r="V22" s="96">
        <v>3598.7860000000001</v>
      </c>
      <c r="W22" s="759">
        <f t="shared" si="14"/>
        <v>3598.7860000000001</v>
      </c>
      <c r="X22" s="96">
        <v>3730.279</v>
      </c>
      <c r="Y22" s="96">
        <v>3724.3409999999999</v>
      </c>
      <c r="Z22" s="96">
        <v>3799.6129999999998</v>
      </c>
      <c r="AA22" s="96">
        <v>5141.366</v>
      </c>
      <c r="AB22" s="759">
        <f t="shared" si="15"/>
        <v>5141.366</v>
      </c>
      <c r="AC22" s="96">
        <v>5165.2470000000003</v>
      </c>
      <c r="AD22" s="96">
        <v>5277.7979999999998</v>
      </c>
      <c r="AE22" s="96">
        <v>9742.0030000000006</v>
      </c>
      <c r="AF22" s="96">
        <v>9752.1</v>
      </c>
      <c r="AG22" s="759">
        <f t="shared" si="16"/>
        <v>9752.1</v>
      </c>
      <c r="AH22" s="96">
        <v>9915.9</v>
      </c>
      <c r="AI22" s="96">
        <f>9436.3</f>
        <v>9436.2999999999993</v>
      </c>
      <c r="AJ22" s="96">
        <f>9467.8</f>
        <v>9467.7999999999993</v>
      </c>
      <c r="AK22" s="96">
        <v>9346.4</v>
      </c>
      <c r="AL22" s="759">
        <f t="shared" si="17"/>
        <v>9346.4</v>
      </c>
      <c r="AM22" s="96">
        <v>9161.4</v>
      </c>
      <c r="AN22" s="96">
        <v>17233.099999999999</v>
      </c>
      <c r="AO22" s="96">
        <v>17374.7</v>
      </c>
      <c r="AP22" s="96">
        <f t="shared" ref="AP22:AP23" si="21">AO22</f>
        <v>17374.7</v>
      </c>
      <c r="AQ22" s="759">
        <f>AP22</f>
        <v>17374.7</v>
      </c>
      <c r="AR22" s="96">
        <f t="shared" ref="AR22:AU24" si="22">AQ22</f>
        <v>17374.7</v>
      </c>
      <c r="AS22" s="96">
        <f t="shared" si="22"/>
        <v>17374.7</v>
      </c>
      <c r="AT22" s="96">
        <f t="shared" si="22"/>
        <v>17374.7</v>
      </c>
      <c r="AU22" s="96">
        <f t="shared" si="22"/>
        <v>17374.7</v>
      </c>
      <c r="AV22" s="759">
        <f t="shared" si="18"/>
        <v>17374.7</v>
      </c>
      <c r="BA22" s="759">
        <f>AV22</f>
        <v>17374.7</v>
      </c>
      <c r="BF22" s="759">
        <f>BA22</f>
        <v>17374.7</v>
      </c>
      <c r="BK22" s="759">
        <f>BF22</f>
        <v>17374.7</v>
      </c>
      <c r="BP22" s="759">
        <f>BK22</f>
        <v>17374.7</v>
      </c>
      <c r="BR22" s="758"/>
    </row>
    <row r="23" spans="2:70" s="96" customFormat="1">
      <c r="B23" s="759" t="s">
        <v>271</v>
      </c>
      <c r="C23" s="759">
        <v>20.7</v>
      </c>
      <c r="D23" s="96">
        <v>18</v>
      </c>
      <c r="E23" s="96">
        <v>18.2</v>
      </c>
      <c r="F23" s="96">
        <v>18.2</v>
      </c>
      <c r="G23" s="96">
        <v>116.8</v>
      </c>
      <c r="H23" s="759">
        <f t="shared" si="6"/>
        <v>116.8</v>
      </c>
      <c r="I23" s="96">
        <v>109</v>
      </c>
      <c r="J23" s="96">
        <v>108.6</v>
      </c>
      <c r="K23" s="96">
        <v>104.8</v>
      </c>
      <c r="L23" s="96">
        <v>132.80000000000001</v>
      </c>
      <c r="M23" s="759">
        <f t="shared" si="7"/>
        <v>132.80000000000001</v>
      </c>
      <c r="N23" s="96">
        <v>116.1</v>
      </c>
      <c r="O23" s="96">
        <v>115.4</v>
      </c>
      <c r="P23" s="96">
        <v>88.646000000000001</v>
      </c>
      <c r="Q23" s="96">
        <v>80.084999999999994</v>
      </c>
      <c r="R23" s="759">
        <f t="shared" si="8"/>
        <v>80.084999999999994</v>
      </c>
      <c r="S23" s="96">
        <v>83.894000000000005</v>
      </c>
      <c r="T23" s="96">
        <v>81.721999999999994</v>
      </c>
      <c r="U23" s="96">
        <v>93.637</v>
      </c>
      <c r="V23" s="96">
        <v>54.680999999999997</v>
      </c>
      <c r="W23" s="759">
        <f t="shared" si="14"/>
        <v>54.680999999999997</v>
      </c>
      <c r="X23" s="96">
        <v>34.796999999999997</v>
      </c>
      <c r="Y23" s="96">
        <v>36.180999999999997</v>
      </c>
      <c r="Z23" s="96">
        <v>41.180999999999997</v>
      </c>
      <c r="AA23" s="96">
        <v>76.421999999999997</v>
      </c>
      <c r="AB23" s="759">
        <f t="shared" si="15"/>
        <v>76.421999999999997</v>
      </c>
      <c r="AC23" s="96">
        <v>90.391000000000005</v>
      </c>
      <c r="AD23" s="96">
        <v>42.331000000000003</v>
      </c>
      <c r="AE23" s="96">
        <v>60.121000000000002</v>
      </c>
      <c r="AF23" s="96">
        <v>54.942</v>
      </c>
      <c r="AG23" s="759">
        <f t="shared" si="16"/>
        <v>54.942</v>
      </c>
      <c r="AH23" s="96">
        <v>20.399999999999999</v>
      </c>
      <c r="AI23" s="96">
        <f>18.3</f>
        <v>18.3</v>
      </c>
      <c r="AJ23" s="96">
        <f>23.9</f>
        <v>23.9</v>
      </c>
      <c r="AK23" s="96">
        <v>54</v>
      </c>
      <c r="AL23" s="759">
        <f t="shared" si="17"/>
        <v>54</v>
      </c>
      <c r="AM23" s="96">
        <v>151.69999999999999</v>
      </c>
      <c r="AN23" s="96">
        <v>88.3</v>
      </c>
      <c r="AO23" s="96">
        <v>114.6</v>
      </c>
      <c r="AP23" s="96">
        <f t="shared" si="21"/>
        <v>114.6</v>
      </c>
      <c r="AQ23" s="759">
        <f>AP23</f>
        <v>114.6</v>
      </c>
      <c r="AR23" s="96">
        <f t="shared" si="22"/>
        <v>114.6</v>
      </c>
      <c r="AS23" s="96">
        <f t="shared" si="22"/>
        <v>114.6</v>
      </c>
      <c r="AT23" s="96">
        <f t="shared" si="22"/>
        <v>114.6</v>
      </c>
      <c r="AU23" s="96">
        <f t="shared" si="22"/>
        <v>114.6</v>
      </c>
      <c r="AV23" s="759">
        <f t="shared" si="18"/>
        <v>114.6</v>
      </c>
      <c r="BA23" s="759">
        <f>AV23</f>
        <v>114.6</v>
      </c>
      <c r="BF23" s="759">
        <f>BA23</f>
        <v>114.6</v>
      </c>
      <c r="BK23" s="759">
        <f>BF23</f>
        <v>114.6</v>
      </c>
      <c r="BP23" s="759">
        <f>BK23</f>
        <v>114.6</v>
      </c>
      <c r="BR23" s="758"/>
    </row>
    <row r="24" spans="2:70" s="761" customFormat="1" ht="15">
      <c r="B24" s="760" t="s">
        <v>278</v>
      </c>
      <c r="C24" s="760">
        <f>24.834+35.882</f>
        <v>60.715999999999994</v>
      </c>
      <c r="D24" s="761">
        <f>38.506+23.637</f>
        <v>62.143000000000001</v>
      </c>
      <c r="E24" s="761">
        <f>34.541+14.609</f>
        <v>49.15</v>
      </c>
      <c r="F24" s="761">
        <f>29.734+0.192</f>
        <v>29.926000000000002</v>
      </c>
      <c r="G24" s="761">
        <f>25.448+0.102</f>
        <v>25.55</v>
      </c>
      <c r="H24" s="760">
        <f t="shared" si="6"/>
        <v>25.55</v>
      </c>
      <c r="I24" s="761">
        <f>19.021+0.171</f>
        <v>19.192</v>
      </c>
      <c r="J24" s="761">
        <f>39.51+0.725</f>
        <v>40.234999999999999</v>
      </c>
      <c r="K24" s="761">
        <v>34.216000000000001</v>
      </c>
      <c r="L24" s="761">
        <v>32.723999999999997</v>
      </c>
      <c r="M24" s="760">
        <f t="shared" si="7"/>
        <v>32.723999999999997</v>
      </c>
      <c r="N24" s="761">
        <v>31.260999999999999</v>
      </c>
      <c r="O24" s="761">
        <v>29.456</v>
      </c>
      <c r="P24" s="761">
        <v>28.46</v>
      </c>
      <c r="Q24" s="761">
        <v>36.875</v>
      </c>
      <c r="R24" s="760">
        <f t="shared" si="8"/>
        <v>36.875</v>
      </c>
      <c r="S24" s="761">
        <v>56.396999999999998</v>
      </c>
      <c r="T24" s="761">
        <v>53.619</v>
      </c>
      <c r="U24" s="761">
        <v>58.116999999999997</v>
      </c>
      <c r="V24" s="761">
        <v>58.7</v>
      </c>
      <c r="W24" s="760">
        <f t="shared" si="14"/>
        <v>58.7</v>
      </c>
      <c r="X24" s="761">
        <v>87.403000000000006</v>
      </c>
      <c r="Y24" s="761">
        <f>8.598+89.511</f>
        <v>98.108999999999995</v>
      </c>
      <c r="Z24" s="761">
        <v>97.468999999999994</v>
      </c>
      <c r="AA24" s="761">
        <v>176.58</v>
      </c>
      <c r="AB24" s="760">
        <f t="shared" si="15"/>
        <v>176.58</v>
      </c>
      <c r="AC24" s="761">
        <v>180.41</v>
      </c>
      <c r="AD24" s="761">
        <v>199.43600000000001</v>
      </c>
      <c r="AE24" s="761">
        <v>241.952</v>
      </c>
      <c r="AF24" s="761">
        <v>195.47</v>
      </c>
      <c r="AG24" s="760">
        <f t="shared" si="16"/>
        <v>195.47</v>
      </c>
      <c r="AH24" s="761">
        <v>185.9</v>
      </c>
      <c r="AI24" s="761">
        <f>206.3</f>
        <v>206.3</v>
      </c>
      <c r="AJ24" s="761">
        <f>233.4</f>
        <v>233.4</v>
      </c>
      <c r="AK24" s="761">
        <v>193.1</v>
      </c>
      <c r="AL24" s="760">
        <f t="shared" si="17"/>
        <v>193.1</v>
      </c>
      <c r="AM24" s="761">
        <v>171.2</v>
      </c>
      <c r="AN24" s="761">
        <v>167</v>
      </c>
      <c r="AO24" s="761">
        <v>236.1</v>
      </c>
      <c r="AP24" s="761">
        <f>AO24</f>
        <v>236.1</v>
      </c>
      <c r="AQ24" s="760">
        <f>AP24</f>
        <v>236.1</v>
      </c>
      <c r="AR24" s="761">
        <f t="shared" si="22"/>
        <v>236.1</v>
      </c>
      <c r="AS24" s="761">
        <f t="shared" si="22"/>
        <v>236.1</v>
      </c>
      <c r="AT24" s="761">
        <f t="shared" si="22"/>
        <v>236.1</v>
      </c>
      <c r="AU24" s="761">
        <f t="shared" si="22"/>
        <v>236.1</v>
      </c>
      <c r="AV24" s="760">
        <f t="shared" si="18"/>
        <v>236.1</v>
      </c>
      <c r="BA24" s="760">
        <f>AV24</f>
        <v>236.1</v>
      </c>
      <c r="BF24" s="760">
        <f>BA24</f>
        <v>236.1</v>
      </c>
      <c r="BK24" s="760">
        <f>BF24</f>
        <v>236.1</v>
      </c>
      <c r="BP24" s="760">
        <f>BK24</f>
        <v>236.1</v>
      </c>
      <c r="BR24" s="758"/>
    </row>
    <row r="25" spans="2:70" s="96" customFormat="1">
      <c r="B25" s="762" t="s">
        <v>279</v>
      </c>
      <c r="C25" s="762">
        <f t="shared" ref="C25:R25" si="23">SUM(C19:C24)</f>
        <v>1075.098</v>
      </c>
      <c r="D25" s="763">
        <f t="shared" si="23"/>
        <v>1054.52</v>
      </c>
      <c r="E25" s="763">
        <f t="shared" si="23"/>
        <v>975.54899999999998</v>
      </c>
      <c r="F25" s="763">
        <f t="shared" si="23"/>
        <v>1084.8900000000001</v>
      </c>
      <c r="G25" s="763">
        <f t="shared" si="23"/>
        <v>1133.201</v>
      </c>
      <c r="H25" s="762">
        <f t="shared" si="23"/>
        <v>1133.201</v>
      </c>
      <c r="I25" s="763">
        <f t="shared" si="23"/>
        <v>1089.115</v>
      </c>
      <c r="J25" s="763">
        <f t="shared" si="23"/>
        <v>1812.3309999999999</v>
      </c>
      <c r="K25" s="763">
        <f t="shared" si="23"/>
        <v>1772.0450000000001</v>
      </c>
      <c r="L25" s="763">
        <f t="shared" si="23"/>
        <v>1716.404</v>
      </c>
      <c r="M25" s="762">
        <f t="shared" si="23"/>
        <v>1716.404</v>
      </c>
      <c r="N25" s="763">
        <f t="shared" si="23"/>
        <v>1665.8620000000001</v>
      </c>
      <c r="O25" s="763">
        <f t="shared" si="23"/>
        <v>1615.2830000000001</v>
      </c>
      <c r="P25" s="763">
        <f t="shared" si="23"/>
        <v>9835.4549999999981</v>
      </c>
      <c r="Q25" s="763">
        <f t="shared" si="23"/>
        <v>9774.9509999999991</v>
      </c>
      <c r="R25" s="762">
        <f t="shared" si="23"/>
        <v>9774.9509999999991</v>
      </c>
      <c r="S25" s="763">
        <f t="shared" ref="S25:AU25" si="24">SUM(S19:S24)</f>
        <v>10413.348000000002</v>
      </c>
      <c r="T25" s="763">
        <f t="shared" si="24"/>
        <v>10782.186</v>
      </c>
      <c r="U25" s="763">
        <f t="shared" si="24"/>
        <v>10719.252000000002</v>
      </c>
      <c r="V25" s="763">
        <f t="shared" si="24"/>
        <v>11784.207000000002</v>
      </c>
      <c r="W25" s="762">
        <f t="shared" si="24"/>
        <v>11784.207000000002</v>
      </c>
      <c r="X25" s="763">
        <f t="shared" si="24"/>
        <v>12087.803000000002</v>
      </c>
      <c r="Y25" s="763">
        <f t="shared" si="24"/>
        <v>12389.586000000001</v>
      </c>
      <c r="Z25" s="763">
        <f t="shared" si="24"/>
        <v>12432.537999999999</v>
      </c>
      <c r="AA25" s="763">
        <f t="shared" si="24"/>
        <v>15172.928</v>
      </c>
      <c r="AB25" s="762">
        <f t="shared" si="24"/>
        <v>15172.928</v>
      </c>
      <c r="AC25" s="763">
        <f t="shared" si="24"/>
        <v>15116.338</v>
      </c>
      <c r="AD25" s="763">
        <f t="shared" si="24"/>
        <v>15250.232</v>
      </c>
      <c r="AE25" s="763">
        <f t="shared" si="24"/>
        <v>24356.021000000001</v>
      </c>
      <c r="AF25" s="763">
        <f t="shared" si="24"/>
        <v>24084.907999999999</v>
      </c>
      <c r="AG25" s="762">
        <f t="shared" si="24"/>
        <v>24084.907999999999</v>
      </c>
      <c r="AH25" s="763">
        <f t="shared" si="24"/>
        <v>24038.9</v>
      </c>
      <c r="AI25" s="763">
        <f>SUM(AI19:AI24)</f>
        <v>22731.899999999998</v>
      </c>
      <c r="AJ25" s="763">
        <f t="shared" si="24"/>
        <v>22645.9</v>
      </c>
      <c r="AK25" s="763">
        <f t="shared" si="24"/>
        <v>22159.899999999998</v>
      </c>
      <c r="AL25" s="762">
        <f t="shared" si="24"/>
        <v>22159.899999999998</v>
      </c>
      <c r="AM25" s="763">
        <f t="shared" si="24"/>
        <v>22373.7</v>
      </c>
      <c r="AN25" s="763">
        <f t="shared" si="24"/>
        <v>41998</v>
      </c>
      <c r="AO25" s="763">
        <f t="shared" si="24"/>
        <v>41458.899999999994</v>
      </c>
      <c r="AP25" s="763">
        <f t="shared" si="24"/>
        <v>42467.3</v>
      </c>
      <c r="AQ25" s="762">
        <f t="shared" si="24"/>
        <v>42467.3</v>
      </c>
      <c r="AR25" s="763">
        <f t="shared" si="24"/>
        <v>42368.25</v>
      </c>
      <c r="AS25" s="763">
        <f t="shared" si="24"/>
        <v>41769.199999999997</v>
      </c>
      <c r="AT25" s="763">
        <f t="shared" si="24"/>
        <v>41170.15</v>
      </c>
      <c r="AU25" s="763">
        <f t="shared" si="24"/>
        <v>41046.100000000006</v>
      </c>
      <c r="AV25" s="762">
        <f>SUM(AV19:AV24)</f>
        <v>41046.100000000006</v>
      </c>
      <c r="BA25" s="762">
        <f>SUM(BA19:BA24)</f>
        <v>38717.100000000006</v>
      </c>
      <c r="BF25" s="762">
        <f>SUM(BF19:BF24)</f>
        <v>36518.800000000003</v>
      </c>
      <c r="BK25" s="762">
        <f>SUM(BK19:BK24)</f>
        <v>34456.199999999997</v>
      </c>
      <c r="BP25" s="762">
        <f>SUM(BP19:BP24)</f>
        <v>32393.599999999999</v>
      </c>
      <c r="BR25" s="758"/>
    </row>
    <row r="26" spans="2:70" s="96" customFormat="1">
      <c r="B26" s="765" t="s">
        <v>280</v>
      </c>
      <c r="C26" s="765">
        <f t="shared" ref="C26:AU26" si="25">C25+C18</f>
        <v>1782.1149999999998</v>
      </c>
      <c r="D26" s="766">
        <f t="shared" si="25"/>
        <v>1789.7359999999999</v>
      </c>
      <c r="E26" s="766">
        <f t="shared" si="25"/>
        <v>1639.605</v>
      </c>
      <c r="F26" s="766">
        <f t="shared" si="25"/>
        <v>1500.961</v>
      </c>
      <c r="G26" s="766">
        <f t="shared" si="25"/>
        <v>1623.5650000000001</v>
      </c>
      <c r="H26" s="765">
        <f t="shared" si="25"/>
        <v>1623.5650000000001</v>
      </c>
      <c r="I26" s="766">
        <f t="shared" si="25"/>
        <v>1556.8810000000001</v>
      </c>
      <c r="J26" s="766">
        <f t="shared" si="25"/>
        <v>2058.37</v>
      </c>
      <c r="K26" s="766">
        <f t="shared" si="25"/>
        <v>2022.299</v>
      </c>
      <c r="L26" s="766">
        <f t="shared" si="25"/>
        <v>2067.0439999999999</v>
      </c>
      <c r="M26" s="765">
        <f t="shared" si="25"/>
        <v>2067.0439999999999</v>
      </c>
      <c r="N26" s="766">
        <f t="shared" si="25"/>
        <v>2005.0360000000001</v>
      </c>
      <c r="O26" s="766">
        <f t="shared" si="25"/>
        <v>2029.7230000000002</v>
      </c>
      <c r="P26" s="766">
        <f t="shared" si="25"/>
        <v>11135.902999999998</v>
      </c>
      <c r="Q26" s="766">
        <f t="shared" si="25"/>
        <v>10795.116999999998</v>
      </c>
      <c r="R26" s="765">
        <f t="shared" si="25"/>
        <v>10795.116999999998</v>
      </c>
      <c r="S26" s="766">
        <f t="shared" si="25"/>
        <v>11688.009000000002</v>
      </c>
      <c r="T26" s="766">
        <f t="shared" si="25"/>
        <v>11827.873</v>
      </c>
      <c r="U26" s="766">
        <f t="shared" si="25"/>
        <v>11818.361000000003</v>
      </c>
      <c r="V26" s="766">
        <f t="shared" si="25"/>
        <v>13141.713000000002</v>
      </c>
      <c r="W26" s="765">
        <f t="shared" si="25"/>
        <v>13141.713000000002</v>
      </c>
      <c r="X26" s="766">
        <f t="shared" si="25"/>
        <v>13619.734000000002</v>
      </c>
      <c r="Y26" s="766">
        <f t="shared" si="25"/>
        <v>14019.820000000002</v>
      </c>
      <c r="Z26" s="766">
        <f t="shared" si="25"/>
        <v>14146.207999999999</v>
      </c>
      <c r="AA26" s="766">
        <f t="shared" si="25"/>
        <v>17950.379000000001</v>
      </c>
      <c r="AB26" s="765">
        <f t="shared" si="25"/>
        <v>17950.379000000001</v>
      </c>
      <c r="AC26" s="766">
        <f t="shared" si="25"/>
        <v>17486.467000000001</v>
      </c>
      <c r="AD26" s="766">
        <f t="shared" si="25"/>
        <v>19782.258000000002</v>
      </c>
      <c r="AE26" s="766">
        <f t="shared" si="25"/>
        <v>28204.384000000002</v>
      </c>
      <c r="AF26" s="766">
        <f t="shared" si="25"/>
        <v>27970.796999999999</v>
      </c>
      <c r="AG26" s="765">
        <f t="shared" si="25"/>
        <v>27970.756999999998</v>
      </c>
      <c r="AH26" s="767">
        <f t="shared" si="25"/>
        <v>27989</v>
      </c>
      <c r="AI26" s="766">
        <f>AI25+AI18</f>
        <v>27895.599999999999</v>
      </c>
      <c r="AJ26" s="766">
        <f t="shared" si="25"/>
        <v>27059.600000000002</v>
      </c>
      <c r="AK26" s="766">
        <f t="shared" si="25"/>
        <v>26352.999999999996</v>
      </c>
      <c r="AL26" s="765">
        <f t="shared" si="25"/>
        <v>26352.999999999996</v>
      </c>
      <c r="AM26" s="766">
        <f t="shared" si="25"/>
        <v>38565.899999999994</v>
      </c>
      <c r="AN26" s="766">
        <f t="shared" si="25"/>
        <v>48343.199999999997</v>
      </c>
      <c r="AO26" s="766">
        <f t="shared" si="25"/>
        <v>48454.599999999991</v>
      </c>
      <c r="AP26" s="766">
        <f t="shared" si="25"/>
        <v>49558.333333333343</v>
      </c>
      <c r="AQ26" s="765">
        <f t="shared" si="25"/>
        <v>49558.333333333343</v>
      </c>
      <c r="AR26" s="766">
        <f t="shared" si="25"/>
        <v>48861.481239666668</v>
      </c>
      <c r="AS26" s="766">
        <f t="shared" si="25"/>
        <v>48616.091957672215</v>
      </c>
      <c r="AT26" s="766">
        <f t="shared" si="25"/>
        <v>48399.292883388887</v>
      </c>
      <c r="AU26" s="766">
        <f t="shared" si="25"/>
        <v>48335.532079844452</v>
      </c>
      <c r="AV26" s="765">
        <f>AV25+AV18</f>
        <v>48335.532079844452</v>
      </c>
      <c r="BA26" s="765">
        <f>BA25+BA18</f>
        <v>47267.297032436953</v>
      </c>
      <c r="BF26" s="765">
        <f>BF25+BF18</f>
        <v>45981.089005119342</v>
      </c>
      <c r="BK26" s="765">
        <f>BK25+BK18</f>
        <v>44993.396967284534</v>
      </c>
      <c r="BP26" s="765">
        <f>BP25+BP18</f>
        <v>44060.328504236197</v>
      </c>
      <c r="BR26" s="758"/>
    </row>
    <row r="27" spans="2:70" s="145" customFormat="1">
      <c r="B27" s="756" t="s">
        <v>281</v>
      </c>
      <c r="C27" s="756"/>
      <c r="D27" s="757"/>
      <c r="E27" s="757"/>
      <c r="F27" s="757"/>
      <c r="G27" s="757"/>
      <c r="H27" s="756"/>
      <c r="I27" s="757"/>
      <c r="J27" s="757"/>
      <c r="K27" s="757"/>
      <c r="L27" s="757"/>
      <c r="M27" s="756"/>
      <c r="N27" s="757"/>
      <c r="O27" s="757"/>
      <c r="P27" s="757" t="s">
        <v>39</v>
      </c>
      <c r="Q27" s="757"/>
      <c r="R27" s="756"/>
      <c r="S27" s="757"/>
      <c r="T27" s="757"/>
      <c r="U27" s="757"/>
      <c r="V27" s="757"/>
      <c r="W27" s="756"/>
      <c r="X27" s="757"/>
      <c r="Y27" s="757"/>
      <c r="Z27" s="757"/>
      <c r="AA27" s="757"/>
      <c r="AB27" s="756"/>
      <c r="AC27" s="757"/>
      <c r="AD27" s="757"/>
      <c r="AE27" s="757"/>
      <c r="AF27" s="757"/>
      <c r="AG27" s="756"/>
      <c r="AH27" s="757"/>
      <c r="AI27" s="757"/>
      <c r="AJ27" s="757"/>
      <c r="AK27" s="757"/>
      <c r="AL27" s="756"/>
      <c r="AM27" s="757"/>
      <c r="AN27" s="757"/>
      <c r="AO27" s="757"/>
      <c r="AP27" s="757"/>
      <c r="AQ27" s="756"/>
      <c r="AR27" s="757"/>
      <c r="AS27" s="757"/>
      <c r="AT27" s="757"/>
      <c r="AU27" s="757"/>
      <c r="AV27" s="756"/>
      <c r="AW27" s="757"/>
      <c r="AX27" s="757"/>
      <c r="AY27" s="757"/>
      <c r="AZ27" s="757"/>
      <c r="BA27" s="756"/>
      <c r="BB27" s="757"/>
      <c r="BC27" s="757"/>
      <c r="BD27" s="757"/>
      <c r="BE27" s="757"/>
      <c r="BF27" s="756"/>
      <c r="BG27" s="757"/>
      <c r="BH27" s="757"/>
      <c r="BI27" s="757"/>
      <c r="BJ27" s="757"/>
      <c r="BK27" s="756"/>
      <c r="BL27" s="757"/>
      <c r="BM27" s="757"/>
      <c r="BN27" s="757"/>
      <c r="BO27" s="757"/>
      <c r="BP27" s="756"/>
      <c r="BR27" s="758"/>
    </row>
    <row r="28" spans="2:70" s="96" customFormat="1">
      <c r="B28" s="759" t="s">
        <v>282</v>
      </c>
      <c r="C28" s="759">
        <v>50.414999999999999</v>
      </c>
      <c r="D28" s="96">
        <v>39.332000000000001</v>
      </c>
      <c r="E28" s="96">
        <v>34.457000000000001</v>
      </c>
      <c r="F28" s="96">
        <v>30.975999999999999</v>
      </c>
      <c r="G28" s="96">
        <v>41.07</v>
      </c>
      <c r="H28" s="759">
        <f t="shared" ref="H28:H44" si="26">G28</f>
        <v>41.07</v>
      </c>
      <c r="I28" s="96">
        <v>25.626000000000001</v>
      </c>
      <c r="J28" s="96">
        <v>31.105</v>
      </c>
      <c r="K28" s="96">
        <v>37.744999999999997</v>
      </c>
      <c r="L28" s="96">
        <v>72.022000000000006</v>
      </c>
      <c r="M28" s="759">
        <f t="shared" ref="M28:M44" si="27">L28</f>
        <v>72.022000000000006</v>
      </c>
      <c r="N28" s="96">
        <v>42.48</v>
      </c>
      <c r="O28" s="96">
        <v>41.88</v>
      </c>
      <c r="P28" s="96">
        <v>175.99299999999999</v>
      </c>
      <c r="Q28" s="96">
        <v>101.324</v>
      </c>
      <c r="R28" s="759">
        <f t="shared" ref="R28:R38" si="28">Q28</f>
        <v>101.324</v>
      </c>
      <c r="S28" s="96">
        <v>116.122</v>
      </c>
      <c r="T28" s="96">
        <v>126.709</v>
      </c>
      <c r="U28" s="96">
        <v>148.77699999999999</v>
      </c>
      <c r="V28" s="96">
        <v>157.62</v>
      </c>
      <c r="W28" s="759">
        <f t="shared" ref="W28:W40" si="29">V28</f>
        <v>157.62</v>
      </c>
      <c r="X28" s="96">
        <v>156.27699999999999</v>
      </c>
      <c r="Y28" s="96">
        <v>156.178</v>
      </c>
      <c r="Z28" s="96">
        <v>166.68799999999999</v>
      </c>
      <c r="AA28" s="96">
        <v>227.38399999999999</v>
      </c>
      <c r="AB28" s="759">
        <f t="shared" ref="AB28:AB38" si="30">AA28</f>
        <v>227.38399999999999</v>
      </c>
      <c r="AC28" s="96">
        <v>183.02099999999999</v>
      </c>
      <c r="AD28" s="96">
        <v>284.54399999999998</v>
      </c>
      <c r="AE28" s="96">
        <v>412.94299999999998</v>
      </c>
      <c r="AF28" s="96">
        <v>326.97000000000003</v>
      </c>
      <c r="AG28" s="759">
        <f t="shared" ref="AG28:AG38" si="31">AF28</f>
        <v>326.97000000000003</v>
      </c>
      <c r="AH28" s="96">
        <v>392.3</v>
      </c>
      <c r="AI28" s="96">
        <f>327.7</f>
        <v>327.7</v>
      </c>
      <c r="AJ28" s="96">
        <f>323.3</f>
        <v>323.3</v>
      </c>
      <c r="AK28" s="96">
        <v>398</v>
      </c>
      <c r="AL28" s="759">
        <f t="shared" ref="AL28:AL38" si="32">AK28</f>
        <v>398</v>
      </c>
      <c r="AM28" s="96">
        <v>352.5</v>
      </c>
      <c r="AN28" s="96">
        <v>415.8</v>
      </c>
      <c r="AO28" s="96">
        <v>476.8</v>
      </c>
      <c r="AP28" s="96">
        <f>AP103*AP96/90</f>
        <v>529.43333333333328</v>
      </c>
      <c r="AQ28" s="759">
        <f t="shared" ref="AQ28:AU38" si="33">AP28</f>
        <v>529.43333333333328</v>
      </c>
      <c r="AR28" s="96">
        <f t="shared" ref="AR28:AU28" si="34">AR103*AR96/90</f>
        <v>426.28676266666662</v>
      </c>
      <c r="AS28" s="96">
        <f t="shared" si="34"/>
        <v>457.67700622222213</v>
      </c>
      <c r="AT28" s="96">
        <f t="shared" si="34"/>
        <v>464.06693688888885</v>
      </c>
      <c r="AU28" s="96">
        <f t="shared" si="34"/>
        <v>505.74271644444445</v>
      </c>
      <c r="AV28" s="759">
        <f t="shared" ref="AV28:AV38" si="35">AU28</f>
        <v>505.74271644444445</v>
      </c>
      <c r="BA28" s="759">
        <f>BA103*BA96/360</f>
        <v>582.86422966944428</v>
      </c>
      <c r="BF28" s="759">
        <f>BF103*BF96/360</f>
        <v>606.65096548185545</v>
      </c>
      <c r="BK28" s="759">
        <f>BK103*BK96/360</f>
        <v>627.86021946887126</v>
      </c>
      <c r="BP28" s="759">
        <f>BP103*BP96/360</f>
        <v>641.73552211335073</v>
      </c>
      <c r="BR28" s="758"/>
    </row>
    <row r="29" spans="2:70" s="96" customFormat="1">
      <c r="B29" s="759" t="s">
        <v>283</v>
      </c>
      <c r="C29" s="759">
        <v>0</v>
      </c>
      <c r="D29" s="96">
        <v>60.384</v>
      </c>
      <c r="E29" s="96">
        <v>0</v>
      </c>
      <c r="F29" s="96">
        <v>0</v>
      </c>
      <c r="G29" s="96">
        <v>59.331000000000003</v>
      </c>
      <c r="H29" s="759">
        <f t="shared" si="26"/>
        <v>59.331000000000003</v>
      </c>
      <c r="I29" s="96">
        <v>59.331000000000003</v>
      </c>
      <c r="J29" s="96">
        <v>14.24</v>
      </c>
      <c r="K29" s="96">
        <v>14.241</v>
      </c>
      <c r="L29" s="96">
        <v>14.246</v>
      </c>
      <c r="M29" s="759">
        <f t="shared" si="27"/>
        <v>14.246</v>
      </c>
      <c r="N29" s="96">
        <v>14.255000000000001</v>
      </c>
      <c r="O29" s="96">
        <v>15.064</v>
      </c>
      <c r="P29" s="145">
        <v>15.077999999999999</v>
      </c>
      <c r="Q29" s="96">
        <v>0</v>
      </c>
      <c r="R29" s="759">
        <f t="shared" si="28"/>
        <v>0</v>
      </c>
      <c r="S29" s="96">
        <v>0</v>
      </c>
      <c r="T29" s="96">
        <v>0</v>
      </c>
      <c r="U29" s="96">
        <v>0</v>
      </c>
      <c r="V29" s="96">
        <v>0</v>
      </c>
      <c r="W29" s="759">
        <f t="shared" si="29"/>
        <v>0</v>
      </c>
      <c r="X29" s="96">
        <v>0</v>
      </c>
      <c r="Y29" s="96">
        <v>0</v>
      </c>
      <c r="Z29" s="96">
        <v>0</v>
      </c>
      <c r="AA29" s="96">
        <v>0</v>
      </c>
      <c r="AB29" s="759">
        <f t="shared" si="30"/>
        <v>0</v>
      </c>
      <c r="AC29" s="96">
        <v>0</v>
      </c>
      <c r="AD29" s="96">
        <v>0</v>
      </c>
      <c r="AE29" s="96">
        <v>0</v>
      </c>
      <c r="AF29" s="96">
        <v>0</v>
      </c>
      <c r="AG29" s="759">
        <f t="shared" si="31"/>
        <v>0</v>
      </c>
      <c r="AH29" s="96">
        <v>0</v>
      </c>
      <c r="AI29" s="96">
        <v>0</v>
      </c>
      <c r="AJ29" s="96">
        <f>0</f>
        <v>0</v>
      </c>
      <c r="AK29" s="96">
        <v>0</v>
      </c>
      <c r="AL29" s="759">
        <f t="shared" si="32"/>
        <v>0</v>
      </c>
      <c r="AM29" s="96">
        <f t="shared" ref="AM29:AM38" si="36">AK29</f>
        <v>0</v>
      </c>
      <c r="AN29" s="96">
        <f t="shared" ref="AN29:AP38" si="37">AM29</f>
        <v>0</v>
      </c>
      <c r="AO29" s="96">
        <v>0</v>
      </c>
      <c r="AP29" s="96">
        <f t="shared" si="37"/>
        <v>0</v>
      </c>
      <c r="AQ29" s="759">
        <f t="shared" si="33"/>
        <v>0</v>
      </c>
      <c r="AR29" s="96">
        <f t="shared" si="33"/>
        <v>0</v>
      </c>
      <c r="AS29" s="96">
        <f t="shared" si="33"/>
        <v>0</v>
      </c>
      <c r="AT29" s="96">
        <f t="shared" si="33"/>
        <v>0</v>
      </c>
      <c r="AU29" s="96">
        <f t="shared" si="33"/>
        <v>0</v>
      </c>
      <c r="AV29" s="759">
        <f t="shared" si="35"/>
        <v>0</v>
      </c>
      <c r="BA29" s="759">
        <v>0</v>
      </c>
      <c r="BF29" s="759">
        <v>0</v>
      </c>
      <c r="BK29" s="759">
        <v>0</v>
      </c>
      <c r="BP29" s="759">
        <v>0</v>
      </c>
      <c r="BR29" s="758"/>
    </row>
    <row r="30" spans="2:70" s="96" customFormat="1">
      <c r="B30" s="759" t="s">
        <v>284</v>
      </c>
      <c r="C30" s="759">
        <v>74.363</v>
      </c>
      <c r="D30" s="96">
        <v>71.694999999999993</v>
      </c>
      <c r="E30" s="96">
        <v>70.852000000000004</v>
      </c>
      <c r="F30" s="96">
        <v>83.16</v>
      </c>
      <c r="G30" s="96">
        <v>85.168999999999997</v>
      </c>
      <c r="H30" s="759">
        <f t="shared" si="26"/>
        <v>85.168999999999997</v>
      </c>
      <c r="I30" s="96">
        <v>76.869</v>
      </c>
      <c r="J30" s="96">
        <v>97.084000000000003</v>
      </c>
      <c r="K30" s="96">
        <v>115.807</v>
      </c>
      <c r="L30" s="96">
        <v>121.898</v>
      </c>
      <c r="M30" s="759">
        <f t="shared" si="27"/>
        <v>121.898</v>
      </c>
      <c r="N30" s="96">
        <v>107.94</v>
      </c>
      <c r="O30" s="96">
        <v>125.471</v>
      </c>
      <c r="P30" s="96">
        <v>448.48899999999998</v>
      </c>
      <c r="Q30" s="96">
        <v>442.11399999999998</v>
      </c>
      <c r="R30" s="759">
        <f t="shared" si="28"/>
        <v>442.11399999999998</v>
      </c>
      <c r="S30" s="96">
        <v>493.96199999999999</v>
      </c>
      <c r="T30" s="96">
        <v>415.65100000000001</v>
      </c>
      <c r="U30" s="96">
        <v>468.24099999999999</v>
      </c>
      <c r="V30" s="96">
        <v>526.93700000000001</v>
      </c>
      <c r="W30" s="759">
        <f t="shared" si="29"/>
        <v>526.93700000000001</v>
      </c>
      <c r="X30" s="96">
        <v>543.30999999999995</v>
      </c>
      <c r="Y30" s="96">
        <v>600.65700000000004</v>
      </c>
      <c r="Z30" s="96">
        <v>634.72199999999998</v>
      </c>
      <c r="AA30" s="96">
        <v>981.28200000000004</v>
      </c>
      <c r="AB30" s="759">
        <f t="shared" si="30"/>
        <v>981.28200000000004</v>
      </c>
      <c r="AC30" s="96">
        <v>1071.623</v>
      </c>
      <c r="AD30" s="96">
        <v>1035.0070000000001</v>
      </c>
      <c r="AE30" s="96">
        <v>1889.46</v>
      </c>
      <c r="AF30" s="96">
        <v>1800.193</v>
      </c>
      <c r="AG30" s="759">
        <f t="shared" si="31"/>
        <v>1800.193</v>
      </c>
      <c r="AH30" s="96">
        <v>1801.5</v>
      </c>
      <c r="AI30" s="96">
        <f>1774.9</f>
        <v>1774.9</v>
      </c>
      <c r="AJ30" s="96">
        <f>1993.9</f>
        <v>1993.9</v>
      </c>
      <c r="AK30" s="96">
        <v>2179.4</v>
      </c>
      <c r="AL30" s="759">
        <f t="shared" si="32"/>
        <v>2179.4</v>
      </c>
      <c r="AM30" s="96">
        <v>2424.4</v>
      </c>
      <c r="AN30" s="96">
        <v>3054.7</v>
      </c>
      <c r="AO30" s="96">
        <v>3293.5</v>
      </c>
      <c r="AP30" s="96">
        <f t="shared" si="37"/>
        <v>3293.5</v>
      </c>
      <c r="AQ30" s="759">
        <f t="shared" si="33"/>
        <v>3293.5</v>
      </c>
      <c r="AR30" s="96">
        <f t="shared" si="33"/>
        <v>3293.5</v>
      </c>
      <c r="AS30" s="96">
        <f t="shared" si="33"/>
        <v>3293.5</v>
      </c>
      <c r="AT30" s="96">
        <f t="shared" si="33"/>
        <v>3293.5</v>
      </c>
      <c r="AU30" s="96">
        <f t="shared" si="33"/>
        <v>3293.5</v>
      </c>
      <c r="AV30" s="759">
        <f t="shared" si="35"/>
        <v>3293.5</v>
      </c>
      <c r="BA30" s="759">
        <f t="shared" ref="BA30:BA36" si="38">AV30</f>
        <v>3293.5</v>
      </c>
      <c r="BF30" s="759">
        <f t="shared" ref="BF30:BF36" si="39">BA30</f>
        <v>3293.5</v>
      </c>
      <c r="BK30" s="759">
        <f t="shared" ref="BK30:BK36" si="40">BF30</f>
        <v>3293.5</v>
      </c>
      <c r="BP30" s="759">
        <f t="shared" ref="BP30:BP36" si="41">BK30</f>
        <v>3293.5</v>
      </c>
      <c r="BR30" s="758"/>
    </row>
    <row r="31" spans="2:70" s="96" customFormat="1">
      <c r="B31" s="759" t="s">
        <v>285</v>
      </c>
      <c r="C31" s="759">
        <f>148+45.065</f>
        <v>193.065</v>
      </c>
      <c r="D31" s="96">
        <f>138+45.065</f>
        <v>183.065</v>
      </c>
      <c r="E31" s="96">
        <f>162.648+45.065</f>
        <v>207.71299999999999</v>
      </c>
      <c r="F31" s="96">
        <v>26.648</v>
      </c>
      <c r="G31" s="96">
        <v>32.564999999999998</v>
      </c>
      <c r="H31" s="759">
        <f t="shared" si="26"/>
        <v>32.564999999999998</v>
      </c>
      <c r="I31" s="96">
        <v>26.648</v>
      </c>
      <c r="J31" s="96">
        <v>26.648</v>
      </c>
      <c r="K31" s="96">
        <v>2</v>
      </c>
      <c r="L31" s="96">
        <v>7.95</v>
      </c>
      <c r="M31" s="759">
        <f t="shared" si="27"/>
        <v>7.95</v>
      </c>
      <c r="N31" s="96">
        <v>2</v>
      </c>
      <c r="O31" s="96">
        <v>2</v>
      </c>
      <c r="P31" s="96">
        <v>40.5</v>
      </c>
      <c r="Q31" s="96">
        <v>0</v>
      </c>
      <c r="R31" s="759">
        <f t="shared" si="28"/>
        <v>0</v>
      </c>
      <c r="S31" s="96">
        <v>0</v>
      </c>
      <c r="T31" s="96">
        <v>0</v>
      </c>
      <c r="U31" s="96">
        <v>0</v>
      </c>
      <c r="V31" s="96">
        <v>0</v>
      </c>
      <c r="W31" s="759">
        <f t="shared" si="29"/>
        <v>0</v>
      </c>
      <c r="X31" s="96">
        <v>0</v>
      </c>
      <c r="Y31" s="96">
        <v>0</v>
      </c>
      <c r="Z31" s="96">
        <v>0</v>
      </c>
      <c r="AA31" s="96">
        <v>0</v>
      </c>
      <c r="AB31" s="759">
        <f t="shared" si="30"/>
        <v>0</v>
      </c>
      <c r="AC31" s="96">
        <v>0</v>
      </c>
      <c r="AD31" s="96">
        <v>0</v>
      </c>
      <c r="AE31" s="96">
        <v>0</v>
      </c>
      <c r="AF31" s="96">
        <v>0</v>
      </c>
      <c r="AG31" s="759">
        <f t="shared" si="31"/>
        <v>0</v>
      </c>
      <c r="AH31" s="96">
        <v>0</v>
      </c>
      <c r="AI31" s="96">
        <v>0</v>
      </c>
      <c r="AJ31" s="96">
        <v>0</v>
      </c>
      <c r="AK31" s="96">
        <f t="shared" ref="AK31:AK38" si="42">AJ31</f>
        <v>0</v>
      </c>
      <c r="AL31" s="759">
        <f t="shared" si="32"/>
        <v>0</v>
      </c>
      <c r="AM31" s="96">
        <f t="shared" si="36"/>
        <v>0</v>
      </c>
      <c r="AN31" s="96">
        <f t="shared" si="37"/>
        <v>0</v>
      </c>
      <c r="AO31" s="96">
        <v>0</v>
      </c>
      <c r="AP31" s="96">
        <f t="shared" si="37"/>
        <v>0</v>
      </c>
      <c r="AQ31" s="759">
        <f t="shared" si="33"/>
        <v>0</v>
      </c>
      <c r="AR31" s="96">
        <f t="shared" si="33"/>
        <v>0</v>
      </c>
      <c r="AS31" s="96">
        <f t="shared" si="33"/>
        <v>0</v>
      </c>
      <c r="AT31" s="96">
        <f t="shared" si="33"/>
        <v>0</v>
      </c>
      <c r="AU31" s="96">
        <f t="shared" si="33"/>
        <v>0</v>
      </c>
      <c r="AV31" s="759">
        <f t="shared" si="35"/>
        <v>0</v>
      </c>
      <c r="BA31" s="759">
        <f t="shared" si="38"/>
        <v>0</v>
      </c>
      <c r="BF31" s="759">
        <f t="shared" si="39"/>
        <v>0</v>
      </c>
      <c r="BK31" s="759">
        <f t="shared" si="40"/>
        <v>0</v>
      </c>
      <c r="BP31" s="759">
        <f t="shared" si="41"/>
        <v>0</v>
      </c>
      <c r="BR31" s="758"/>
    </row>
    <row r="32" spans="2:70" s="96" customFormat="1">
      <c r="B32" s="759" t="s">
        <v>286</v>
      </c>
      <c r="C32" s="759">
        <v>0.64700000000000002</v>
      </c>
      <c r="D32" s="96">
        <v>3.766</v>
      </c>
      <c r="E32" s="96">
        <v>7.5739999999999998</v>
      </c>
      <c r="F32" s="96">
        <v>10.923999999999999</v>
      </c>
      <c r="G32" s="96">
        <v>8.5960000000000001</v>
      </c>
      <c r="H32" s="759">
        <f t="shared" si="26"/>
        <v>8.5960000000000001</v>
      </c>
      <c r="I32" s="96">
        <v>9.6679999999999993</v>
      </c>
      <c r="J32" s="96">
        <v>9.31</v>
      </c>
      <c r="K32" s="96">
        <v>10.199999999999999</v>
      </c>
      <c r="L32" s="96">
        <v>6.8460000000000001</v>
      </c>
      <c r="M32" s="759">
        <f t="shared" si="27"/>
        <v>6.8460000000000001</v>
      </c>
      <c r="N32" s="96">
        <v>8.2319999999999993</v>
      </c>
      <c r="O32" s="96">
        <v>11.323</v>
      </c>
      <c r="P32" s="96">
        <v>15.26</v>
      </c>
      <c r="Q32" s="96">
        <v>9.1530000000000005</v>
      </c>
      <c r="R32" s="759">
        <f t="shared" si="28"/>
        <v>9.1530000000000005</v>
      </c>
      <c r="S32" s="96">
        <v>8.7789999999999999</v>
      </c>
      <c r="T32" s="96">
        <v>67.552000000000007</v>
      </c>
      <c r="U32" s="96">
        <v>41.639000000000003</v>
      </c>
      <c r="V32" s="96">
        <v>10.335000000000001</v>
      </c>
      <c r="W32" s="759">
        <f t="shared" si="29"/>
        <v>10.335000000000001</v>
      </c>
      <c r="X32" s="96">
        <v>8.2449999999999992</v>
      </c>
      <c r="Y32" s="96">
        <v>15.537000000000001</v>
      </c>
      <c r="Z32" s="96">
        <v>10.208</v>
      </c>
      <c r="AA32" s="96">
        <v>19.91</v>
      </c>
      <c r="AB32" s="759">
        <f t="shared" si="30"/>
        <v>19.91</v>
      </c>
      <c r="AC32" s="96">
        <v>0</v>
      </c>
      <c r="AD32" s="96">
        <v>0</v>
      </c>
      <c r="AE32" s="96">
        <v>0</v>
      </c>
      <c r="AF32" s="96">
        <v>0</v>
      </c>
      <c r="AG32" s="759">
        <f t="shared" si="31"/>
        <v>0</v>
      </c>
      <c r="AH32" s="96">
        <v>0</v>
      </c>
      <c r="AI32" s="96">
        <v>0</v>
      </c>
      <c r="AJ32" s="96">
        <v>0</v>
      </c>
      <c r="AK32" s="96">
        <f t="shared" si="42"/>
        <v>0</v>
      </c>
      <c r="AL32" s="759">
        <f t="shared" si="32"/>
        <v>0</v>
      </c>
      <c r="AM32" s="96">
        <f t="shared" si="36"/>
        <v>0</v>
      </c>
      <c r="AN32" s="96">
        <f t="shared" si="37"/>
        <v>0</v>
      </c>
      <c r="AO32" s="96">
        <v>0</v>
      </c>
      <c r="AP32" s="96">
        <f t="shared" si="37"/>
        <v>0</v>
      </c>
      <c r="AQ32" s="759">
        <f t="shared" si="33"/>
        <v>0</v>
      </c>
      <c r="AR32" s="96">
        <f t="shared" si="33"/>
        <v>0</v>
      </c>
      <c r="AS32" s="96">
        <f t="shared" si="33"/>
        <v>0</v>
      </c>
      <c r="AT32" s="96">
        <f t="shared" si="33"/>
        <v>0</v>
      </c>
      <c r="AU32" s="96">
        <f t="shared" si="33"/>
        <v>0</v>
      </c>
      <c r="AV32" s="759">
        <f t="shared" si="35"/>
        <v>0</v>
      </c>
      <c r="BA32" s="759">
        <f t="shared" si="38"/>
        <v>0</v>
      </c>
      <c r="BF32" s="759">
        <f t="shared" si="39"/>
        <v>0</v>
      </c>
      <c r="BK32" s="759">
        <f t="shared" si="40"/>
        <v>0</v>
      </c>
      <c r="BP32" s="759">
        <f t="shared" si="41"/>
        <v>0</v>
      </c>
      <c r="BR32" s="758"/>
    </row>
    <row r="33" spans="2:70" s="96" customFormat="1">
      <c r="B33" s="759" t="s">
        <v>287</v>
      </c>
      <c r="C33" s="759">
        <v>49.088000000000001</v>
      </c>
      <c r="D33" s="96">
        <v>31.983000000000001</v>
      </c>
      <c r="E33" s="96">
        <v>30.379000000000001</v>
      </c>
      <c r="F33" s="96">
        <v>36.582000000000001</v>
      </c>
      <c r="G33" s="96">
        <v>40.435000000000002</v>
      </c>
      <c r="H33" s="759">
        <f t="shared" si="26"/>
        <v>40.435000000000002</v>
      </c>
      <c r="I33" s="96">
        <v>32.082999999999998</v>
      </c>
      <c r="J33" s="96">
        <v>26.914000000000001</v>
      </c>
      <c r="K33" s="96">
        <v>27.486999999999998</v>
      </c>
      <c r="L33" s="96">
        <v>21.834</v>
      </c>
      <c r="M33" s="759">
        <f t="shared" si="27"/>
        <v>21.834</v>
      </c>
      <c r="N33" s="96">
        <v>20.489000000000001</v>
      </c>
      <c r="O33" s="96">
        <v>21.131</v>
      </c>
      <c r="P33" s="96">
        <v>23.326000000000001</v>
      </c>
      <c r="Q33" s="96">
        <v>21.52</v>
      </c>
      <c r="R33" s="759">
        <f t="shared" si="28"/>
        <v>21.52</v>
      </c>
      <c r="S33" s="96">
        <v>22.844999999999999</v>
      </c>
      <c r="T33" s="96">
        <v>19.062000000000001</v>
      </c>
      <c r="U33" s="96">
        <v>14.747</v>
      </c>
      <c r="V33" s="96">
        <v>12.782999999999999</v>
      </c>
      <c r="W33" s="759">
        <f t="shared" si="29"/>
        <v>12.782999999999999</v>
      </c>
      <c r="X33" s="96">
        <v>8.7309999999999999</v>
      </c>
      <c r="Y33" s="96">
        <v>7.0309999999999997</v>
      </c>
      <c r="Z33" s="96">
        <v>18.141999999999999</v>
      </c>
      <c r="AA33" s="96">
        <v>7.032</v>
      </c>
      <c r="AB33" s="759">
        <f t="shared" si="30"/>
        <v>7.032</v>
      </c>
      <c r="AC33" s="96">
        <v>0</v>
      </c>
      <c r="AD33" s="96">
        <v>0</v>
      </c>
      <c r="AE33" s="96">
        <v>0</v>
      </c>
      <c r="AF33" s="96">
        <v>0</v>
      </c>
      <c r="AG33" s="759">
        <f t="shared" si="31"/>
        <v>0</v>
      </c>
      <c r="AH33" s="96">
        <v>0</v>
      </c>
      <c r="AI33" s="96">
        <v>0</v>
      </c>
      <c r="AJ33" s="96">
        <v>0</v>
      </c>
      <c r="AK33" s="96">
        <f t="shared" si="42"/>
        <v>0</v>
      </c>
      <c r="AL33" s="759">
        <f t="shared" si="32"/>
        <v>0</v>
      </c>
      <c r="AM33" s="96">
        <f t="shared" si="36"/>
        <v>0</v>
      </c>
      <c r="AN33" s="96">
        <f t="shared" si="37"/>
        <v>0</v>
      </c>
      <c r="AO33" s="96">
        <v>0</v>
      </c>
      <c r="AP33" s="96">
        <f t="shared" si="37"/>
        <v>0</v>
      </c>
      <c r="AQ33" s="759">
        <f t="shared" si="33"/>
        <v>0</v>
      </c>
      <c r="AR33" s="96">
        <f t="shared" si="33"/>
        <v>0</v>
      </c>
      <c r="AS33" s="96">
        <f t="shared" si="33"/>
        <v>0</v>
      </c>
      <c r="AT33" s="96">
        <f t="shared" si="33"/>
        <v>0</v>
      </c>
      <c r="AU33" s="96">
        <f t="shared" si="33"/>
        <v>0</v>
      </c>
      <c r="AV33" s="759">
        <f t="shared" si="35"/>
        <v>0</v>
      </c>
      <c r="BA33" s="759">
        <f t="shared" si="38"/>
        <v>0</v>
      </c>
      <c r="BF33" s="759">
        <f t="shared" si="39"/>
        <v>0</v>
      </c>
      <c r="BK33" s="759">
        <f t="shared" si="40"/>
        <v>0</v>
      </c>
      <c r="BP33" s="759">
        <f t="shared" si="41"/>
        <v>0</v>
      </c>
      <c r="BR33" s="758"/>
    </row>
    <row r="34" spans="2:70" s="96" customFormat="1">
      <c r="B34" s="759" t="s">
        <v>288</v>
      </c>
      <c r="C34" s="759"/>
      <c r="H34" s="759"/>
      <c r="M34" s="759"/>
      <c r="P34" s="96">
        <v>5.6859999999999999</v>
      </c>
      <c r="Q34" s="96">
        <f>0.799+0.646</f>
        <v>1.4450000000000001</v>
      </c>
      <c r="R34" s="759">
        <f t="shared" si="28"/>
        <v>1.4450000000000001</v>
      </c>
      <c r="S34" s="96">
        <f>1.888+0.646</f>
        <v>2.5339999999999998</v>
      </c>
      <c r="T34" s="96">
        <v>3.7669999999999999</v>
      </c>
      <c r="U34" s="96">
        <v>4.0629999999999997</v>
      </c>
      <c r="V34" s="96">
        <v>4.4379999999999997</v>
      </c>
      <c r="W34" s="759">
        <f t="shared" si="29"/>
        <v>4.4379999999999997</v>
      </c>
      <c r="X34" s="96">
        <v>3.9569999999999999</v>
      </c>
      <c r="Y34" s="96">
        <v>7.5250000000000004</v>
      </c>
      <c r="Z34" s="96">
        <v>8.7859999999999996</v>
      </c>
      <c r="AA34" s="96">
        <v>4.4029999999999996</v>
      </c>
      <c r="AB34" s="759">
        <f t="shared" si="30"/>
        <v>4.4029999999999996</v>
      </c>
      <c r="AC34" s="96">
        <v>4.2910000000000004</v>
      </c>
      <c r="AD34" s="96">
        <v>4.3630000000000004</v>
      </c>
      <c r="AE34" s="96">
        <v>64.191000000000003</v>
      </c>
      <c r="AF34" s="96">
        <v>66.016999999999996</v>
      </c>
      <c r="AG34" s="759">
        <f t="shared" si="31"/>
        <v>66.016999999999996</v>
      </c>
      <c r="AH34" s="96">
        <v>10.8</v>
      </c>
      <c r="AI34" s="96">
        <f>11</f>
        <v>11</v>
      </c>
      <c r="AJ34" s="96">
        <f>19</f>
        <v>19</v>
      </c>
      <c r="AK34" s="96">
        <v>10.7</v>
      </c>
      <c r="AL34" s="759">
        <f t="shared" si="32"/>
        <v>10.7</v>
      </c>
      <c r="AM34" s="96">
        <v>11.1</v>
      </c>
      <c r="AN34" s="96">
        <v>38.200000000000003</v>
      </c>
      <c r="AO34" s="96">
        <v>11.6</v>
      </c>
      <c r="AP34" s="96">
        <f t="shared" si="37"/>
        <v>11.6</v>
      </c>
      <c r="AQ34" s="759">
        <f t="shared" si="33"/>
        <v>11.6</v>
      </c>
      <c r="AR34" s="96">
        <f t="shared" si="33"/>
        <v>11.6</v>
      </c>
      <c r="AS34" s="96">
        <f t="shared" si="33"/>
        <v>11.6</v>
      </c>
      <c r="AT34" s="96">
        <f t="shared" si="33"/>
        <v>11.6</v>
      </c>
      <c r="AU34" s="96">
        <f t="shared" si="33"/>
        <v>11.6</v>
      </c>
      <c r="AV34" s="759">
        <f t="shared" si="35"/>
        <v>11.6</v>
      </c>
      <c r="BA34" s="759">
        <f t="shared" si="38"/>
        <v>11.6</v>
      </c>
      <c r="BF34" s="759">
        <f t="shared" si="39"/>
        <v>11.6</v>
      </c>
      <c r="BK34" s="759">
        <f t="shared" si="40"/>
        <v>11.6</v>
      </c>
      <c r="BP34" s="759">
        <f t="shared" si="41"/>
        <v>11.6</v>
      </c>
      <c r="BR34" s="758"/>
    </row>
    <row r="35" spans="2:70" s="96" customFormat="1">
      <c r="B35" s="759" t="s">
        <v>289</v>
      </c>
      <c r="C35" s="759">
        <v>0</v>
      </c>
      <c r="D35" s="96">
        <v>0</v>
      </c>
      <c r="E35" s="96">
        <v>0</v>
      </c>
      <c r="F35" s="96">
        <v>0</v>
      </c>
      <c r="G35" s="96">
        <v>0</v>
      </c>
      <c r="H35" s="759">
        <f t="shared" si="26"/>
        <v>0</v>
      </c>
      <c r="I35" s="96">
        <v>0</v>
      </c>
      <c r="J35" s="96">
        <v>11.708</v>
      </c>
      <c r="K35" s="96">
        <v>11.907</v>
      </c>
      <c r="L35" s="96">
        <v>12.11</v>
      </c>
      <c r="M35" s="759">
        <f t="shared" si="27"/>
        <v>12.11</v>
      </c>
      <c r="N35" s="96">
        <v>12.316000000000001</v>
      </c>
      <c r="O35" s="96">
        <v>16.283999999999999</v>
      </c>
      <c r="P35" s="96">
        <v>121.59</v>
      </c>
      <c r="Q35" s="96">
        <v>116.9</v>
      </c>
      <c r="R35" s="759">
        <f t="shared" si="28"/>
        <v>116.9</v>
      </c>
      <c r="S35" s="96">
        <v>17.224</v>
      </c>
      <c r="T35" s="96">
        <v>17.5</v>
      </c>
      <c r="U35" s="96">
        <v>38.942999999999998</v>
      </c>
      <c r="V35" s="96">
        <v>111.25</v>
      </c>
      <c r="W35" s="759">
        <f t="shared" si="29"/>
        <v>111.25</v>
      </c>
      <c r="X35" s="96">
        <v>145.06200000000001</v>
      </c>
      <c r="Y35" s="96">
        <v>195.154</v>
      </c>
      <c r="Z35" s="96">
        <v>207.68799999999999</v>
      </c>
      <c r="AA35" s="96">
        <v>480.18200000000002</v>
      </c>
      <c r="AB35" s="759">
        <f t="shared" si="30"/>
        <v>480.18200000000002</v>
      </c>
      <c r="AC35" s="96">
        <v>289.67599999999999</v>
      </c>
      <c r="AD35" s="96">
        <v>346.875</v>
      </c>
      <c r="AE35" s="96">
        <v>360.964</v>
      </c>
      <c r="AF35" s="96">
        <v>204.756</v>
      </c>
      <c r="AG35" s="759">
        <f t="shared" si="31"/>
        <v>204.756</v>
      </c>
      <c r="AH35" s="96">
        <v>238.9</v>
      </c>
      <c r="AI35" s="96">
        <f>266.7</f>
        <v>266.7</v>
      </c>
      <c r="AJ35" s="96">
        <f>690.6</f>
        <v>690.6</v>
      </c>
      <c r="AK35" s="96">
        <v>0.9</v>
      </c>
      <c r="AL35" s="759">
        <f t="shared" si="32"/>
        <v>0.9</v>
      </c>
      <c r="AM35" s="96">
        <v>122.8</v>
      </c>
      <c r="AN35" s="96">
        <v>590.9</v>
      </c>
      <c r="AO35" s="96">
        <v>707</v>
      </c>
      <c r="AP35" s="96">
        <f t="shared" si="37"/>
        <v>707</v>
      </c>
      <c r="AQ35" s="759">
        <f t="shared" si="33"/>
        <v>707</v>
      </c>
      <c r="AR35" s="96">
        <f t="shared" si="33"/>
        <v>707</v>
      </c>
      <c r="AS35" s="96">
        <f t="shared" si="33"/>
        <v>707</v>
      </c>
      <c r="AT35" s="96">
        <f t="shared" si="33"/>
        <v>707</v>
      </c>
      <c r="AU35" s="96">
        <f t="shared" si="33"/>
        <v>707</v>
      </c>
      <c r="AV35" s="759">
        <f t="shared" si="35"/>
        <v>707</v>
      </c>
      <c r="BA35" s="759">
        <f t="shared" si="38"/>
        <v>707</v>
      </c>
      <c r="BF35" s="759">
        <f t="shared" si="39"/>
        <v>707</v>
      </c>
      <c r="BK35" s="759">
        <f t="shared" si="40"/>
        <v>707</v>
      </c>
      <c r="BP35" s="759">
        <f t="shared" si="41"/>
        <v>707</v>
      </c>
      <c r="BR35" s="758"/>
    </row>
    <row r="36" spans="2:70" s="96" customFormat="1">
      <c r="B36" s="759" t="s">
        <v>290</v>
      </c>
      <c r="C36" s="759"/>
      <c r="H36" s="759"/>
      <c r="M36" s="759"/>
      <c r="R36" s="759"/>
      <c r="T36" s="96">
        <v>111.00700000000001</v>
      </c>
      <c r="U36" s="96">
        <v>145.61099999999999</v>
      </c>
      <c r="V36" s="96">
        <v>100.26300000000001</v>
      </c>
      <c r="W36" s="759">
        <f t="shared" si="29"/>
        <v>100.26300000000001</v>
      </c>
      <c r="X36" s="96">
        <v>92.35</v>
      </c>
      <c r="Y36" s="96">
        <v>67.114999999999995</v>
      </c>
      <c r="Z36" s="96">
        <v>112.274</v>
      </c>
      <c r="AA36" s="96">
        <v>102.559</v>
      </c>
      <c r="AB36" s="759">
        <f t="shared" si="30"/>
        <v>102.559</v>
      </c>
      <c r="AC36" s="96">
        <v>97.516999999999996</v>
      </c>
      <c r="AD36" s="96">
        <v>91.028999999999996</v>
      </c>
      <c r="AE36" s="96">
        <v>125.524</v>
      </c>
      <c r="AF36" s="96">
        <v>114.46</v>
      </c>
      <c r="AG36" s="759">
        <f t="shared" si="31"/>
        <v>114.46</v>
      </c>
      <c r="AH36" s="96">
        <v>119.5</v>
      </c>
      <c r="AI36" s="96">
        <f>88.9</f>
        <v>88.9</v>
      </c>
      <c r="AJ36" s="96">
        <f>116.5</f>
        <v>116.5</v>
      </c>
      <c r="AK36" s="96">
        <v>141.80000000000001</v>
      </c>
      <c r="AL36" s="759">
        <f t="shared" si="32"/>
        <v>141.80000000000001</v>
      </c>
      <c r="AM36" s="96">
        <v>186.3</v>
      </c>
      <c r="AN36" s="96">
        <v>191.4</v>
      </c>
      <c r="AO36" s="96">
        <v>161.6</v>
      </c>
      <c r="AP36" s="96">
        <f t="shared" si="37"/>
        <v>161.6</v>
      </c>
      <c r="AQ36" s="759">
        <f t="shared" si="33"/>
        <v>161.6</v>
      </c>
      <c r="AR36" s="96">
        <f t="shared" si="33"/>
        <v>161.6</v>
      </c>
      <c r="AS36" s="96">
        <f t="shared" si="33"/>
        <v>161.6</v>
      </c>
      <c r="AT36" s="96">
        <f t="shared" si="33"/>
        <v>161.6</v>
      </c>
      <c r="AU36" s="96">
        <f t="shared" si="33"/>
        <v>161.6</v>
      </c>
      <c r="AV36" s="759">
        <f t="shared" si="35"/>
        <v>161.6</v>
      </c>
      <c r="BA36" s="759">
        <f t="shared" si="38"/>
        <v>161.6</v>
      </c>
      <c r="BF36" s="759">
        <f t="shared" si="39"/>
        <v>161.6</v>
      </c>
      <c r="BK36" s="759">
        <f t="shared" si="40"/>
        <v>161.6</v>
      </c>
      <c r="BP36" s="759">
        <f t="shared" si="41"/>
        <v>161.6</v>
      </c>
      <c r="BR36" s="758"/>
    </row>
    <row r="37" spans="2:70" s="96" customFormat="1">
      <c r="B37" s="759" t="s">
        <v>291</v>
      </c>
      <c r="C37" s="759"/>
      <c r="H37" s="759"/>
      <c r="M37" s="759"/>
      <c r="R37" s="759"/>
      <c r="T37" s="96">
        <v>0.64600000000000002</v>
      </c>
      <c r="U37" s="96">
        <v>0.64600000000000002</v>
      </c>
      <c r="V37" s="96">
        <v>0.64600000000000002</v>
      </c>
      <c r="W37" s="759">
        <f t="shared" si="29"/>
        <v>0.64600000000000002</v>
      </c>
      <c r="X37" s="96">
        <v>0</v>
      </c>
      <c r="Y37" s="96">
        <v>0</v>
      </c>
      <c r="Z37" s="96">
        <v>0</v>
      </c>
      <c r="AA37" s="96">
        <v>0</v>
      </c>
      <c r="AB37" s="759">
        <f t="shared" si="30"/>
        <v>0</v>
      </c>
      <c r="AC37" s="96">
        <v>0</v>
      </c>
      <c r="AD37" s="96">
        <v>0</v>
      </c>
      <c r="AE37" s="96">
        <v>0</v>
      </c>
      <c r="AF37" s="96">
        <v>0</v>
      </c>
      <c r="AG37" s="759">
        <f t="shared" si="31"/>
        <v>0</v>
      </c>
      <c r="AH37" s="96">
        <v>0</v>
      </c>
      <c r="AI37" s="96">
        <v>0</v>
      </c>
      <c r="AJ37" s="96">
        <v>0</v>
      </c>
      <c r="AK37" s="96">
        <f t="shared" si="42"/>
        <v>0</v>
      </c>
      <c r="AL37" s="759">
        <f t="shared" si="32"/>
        <v>0</v>
      </c>
      <c r="AM37" s="96">
        <f t="shared" si="36"/>
        <v>0</v>
      </c>
      <c r="AN37" s="96">
        <f t="shared" si="37"/>
        <v>0</v>
      </c>
      <c r="AO37" s="96">
        <v>0</v>
      </c>
      <c r="AP37" s="96">
        <f t="shared" si="37"/>
        <v>0</v>
      </c>
      <c r="AQ37" s="759">
        <f t="shared" si="33"/>
        <v>0</v>
      </c>
      <c r="AR37" s="96">
        <f t="shared" si="33"/>
        <v>0</v>
      </c>
      <c r="AS37" s="96">
        <f t="shared" si="33"/>
        <v>0</v>
      </c>
      <c r="AT37" s="96">
        <f t="shared" si="33"/>
        <v>0</v>
      </c>
      <c r="AU37" s="96">
        <f t="shared" si="33"/>
        <v>0</v>
      </c>
      <c r="AV37" s="759">
        <f t="shared" si="35"/>
        <v>0</v>
      </c>
      <c r="BA37" s="759">
        <f>AV37</f>
        <v>0</v>
      </c>
      <c r="BF37" s="759">
        <f>BA37</f>
        <v>0</v>
      </c>
      <c r="BK37" s="759">
        <f>BF37</f>
        <v>0</v>
      </c>
      <c r="BP37" s="759">
        <f>BK37</f>
        <v>0</v>
      </c>
      <c r="BR37" s="758"/>
    </row>
    <row r="38" spans="2:70" s="761" customFormat="1" ht="15">
      <c r="B38" s="760" t="s">
        <v>292</v>
      </c>
      <c r="C38" s="760">
        <v>0</v>
      </c>
      <c r="D38" s="761">
        <v>0</v>
      </c>
      <c r="E38" s="761">
        <v>0</v>
      </c>
      <c r="F38" s="761">
        <v>0</v>
      </c>
      <c r="G38" s="761">
        <v>0</v>
      </c>
      <c r="H38" s="760">
        <f t="shared" si="26"/>
        <v>0</v>
      </c>
      <c r="I38" s="761">
        <v>0</v>
      </c>
      <c r="J38" s="761">
        <v>0</v>
      </c>
      <c r="K38" s="761">
        <v>0</v>
      </c>
      <c r="L38" s="761">
        <v>0</v>
      </c>
      <c r="M38" s="760">
        <f t="shared" si="27"/>
        <v>0</v>
      </c>
      <c r="N38" s="761">
        <v>0</v>
      </c>
      <c r="O38" s="761">
        <v>1.083</v>
      </c>
      <c r="P38" s="761">
        <v>0</v>
      </c>
      <c r="Q38" s="761">
        <v>0</v>
      </c>
      <c r="R38" s="760">
        <f t="shared" si="28"/>
        <v>0</v>
      </c>
      <c r="S38" s="761">
        <v>0</v>
      </c>
      <c r="T38" s="761">
        <f>S38</f>
        <v>0</v>
      </c>
      <c r="U38" s="761">
        <v>0</v>
      </c>
      <c r="V38" s="761">
        <v>0</v>
      </c>
      <c r="W38" s="760">
        <f t="shared" si="29"/>
        <v>0</v>
      </c>
      <c r="X38" s="761">
        <v>0</v>
      </c>
      <c r="Y38" s="761">
        <v>0</v>
      </c>
      <c r="Z38" s="761">
        <v>0</v>
      </c>
      <c r="AA38" s="761">
        <v>0</v>
      </c>
      <c r="AB38" s="760">
        <f t="shared" si="30"/>
        <v>0</v>
      </c>
      <c r="AC38" s="761">
        <v>0</v>
      </c>
      <c r="AD38" s="761">
        <v>0</v>
      </c>
      <c r="AE38" s="761">
        <v>0</v>
      </c>
      <c r="AF38" s="761">
        <v>0</v>
      </c>
      <c r="AG38" s="760">
        <f t="shared" si="31"/>
        <v>0</v>
      </c>
      <c r="AH38" s="761">
        <v>0</v>
      </c>
      <c r="AI38" s="761">
        <f>27.1</f>
        <v>27.1</v>
      </c>
      <c r="AJ38" s="761">
        <v>0</v>
      </c>
      <c r="AK38" s="761">
        <f t="shared" si="42"/>
        <v>0</v>
      </c>
      <c r="AL38" s="760">
        <f t="shared" si="32"/>
        <v>0</v>
      </c>
      <c r="AM38" s="761">
        <f t="shared" si="36"/>
        <v>0</v>
      </c>
      <c r="AN38" s="761">
        <f t="shared" si="37"/>
        <v>0</v>
      </c>
      <c r="AO38" s="761">
        <v>0</v>
      </c>
      <c r="AP38" s="761">
        <f t="shared" si="37"/>
        <v>0</v>
      </c>
      <c r="AQ38" s="760">
        <f t="shared" si="33"/>
        <v>0</v>
      </c>
      <c r="AR38" s="761">
        <f t="shared" si="33"/>
        <v>0</v>
      </c>
      <c r="AS38" s="761">
        <f t="shared" si="33"/>
        <v>0</v>
      </c>
      <c r="AT38" s="761">
        <f t="shared" si="33"/>
        <v>0</v>
      </c>
      <c r="AU38" s="761">
        <f t="shared" si="33"/>
        <v>0</v>
      </c>
      <c r="AV38" s="760">
        <f t="shared" si="35"/>
        <v>0</v>
      </c>
      <c r="BA38" s="760">
        <f>AV38</f>
        <v>0</v>
      </c>
      <c r="BF38" s="760">
        <f>BA38</f>
        <v>0</v>
      </c>
      <c r="BK38" s="760">
        <f>BF38</f>
        <v>0</v>
      </c>
      <c r="BP38" s="760">
        <f>BK38</f>
        <v>0</v>
      </c>
      <c r="BR38" s="758"/>
    </row>
    <row r="39" spans="2:70" s="96" customFormat="1">
      <c r="B39" s="762" t="s">
        <v>293</v>
      </c>
      <c r="C39" s="762">
        <f t="shared" ref="C39:R39" si="43">SUM(C28:C38)</f>
        <v>367.57799999999997</v>
      </c>
      <c r="D39" s="763">
        <f t="shared" si="43"/>
        <v>390.22500000000002</v>
      </c>
      <c r="E39" s="763">
        <f t="shared" si="43"/>
        <v>350.97500000000002</v>
      </c>
      <c r="F39" s="763">
        <f t="shared" si="43"/>
        <v>188.29</v>
      </c>
      <c r="G39" s="763">
        <f t="shared" si="43"/>
        <v>267.166</v>
      </c>
      <c r="H39" s="762">
        <f t="shared" si="43"/>
        <v>267.166</v>
      </c>
      <c r="I39" s="763">
        <f t="shared" si="43"/>
        <v>230.22500000000002</v>
      </c>
      <c r="J39" s="763">
        <f t="shared" si="43"/>
        <v>217.00899999999999</v>
      </c>
      <c r="K39" s="763">
        <f t="shared" si="43"/>
        <v>219.387</v>
      </c>
      <c r="L39" s="763">
        <f t="shared" si="43"/>
        <v>256.90600000000001</v>
      </c>
      <c r="M39" s="762">
        <f t="shared" si="43"/>
        <v>256.90600000000001</v>
      </c>
      <c r="N39" s="763">
        <f t="shared" si="43"/>
        <v>207.71200000000002</v>
      </c>
      <c r="O39" s="763">
        <f t="shared" si="43"/>
        <v>234.23600000000002</v>
      </c>
      <c r="P39" s="763">
        <f t="shared" si="43"/>
        <v>845.92200000000003</v>
      </c>
      <c r="Q39" s="763">
        <f t="shared" si="43"/>
        <v>692.45600000000002</v>
      </c>
      <c r="R39" s="762">
        <f t="shared" si="43"/>
        <v>692.45600000000002</v>
      </c>
      <c r="S39" s="763">
        <f t="shared" ref="S39:AU39" si="44">SUM(S28:S38)</f>
        <v>661.46600000000001</v>
      </c>
      <c r="T39" s="763">
        <f t="shared" si="44"/>
        <v>761.89400000000001</v>
      </c>
      <c r="U39" s="763">
        <f t="shared" si="44"/>
        <v>862.66699999999992</v>
      </c>
      <c r="V39" s="763">
        <f t="shared" si="44"/>
        <v>924.27200000000005</v>
      </c>
      <c r="W39" s="762">
        <f t="shared" si="44"/>
        <v>924.27200000000005</v>
      </c>
      <c r="X39" s="763">
        <f t="shared" si="44"/>
        <v>957.93200000000002</v>
      </c>
      <c r="Y39" s="763">
        <f t="shared" si="44"/>
        <v>1049.1969999999999</v>
      </c>
      <c r="Z39" s="763">
        <f t="shared" si="44"/>
        <v>1158.5079999999998</v>
      </c>
      <c r="AA39" s="763">
        <f t="shared" si="44"/>
        <v>1822.752</v>
      </c>
      <c r="AB39" s="762">
        <f t="shared" si="44"/>
        <v>1822.752</v>
      </c>
      <c r="AC39" s="763">
        <f t="shared" si="44"/>
        <v>1646.1279999999999</v>
      </c>
      <c r="AD39" s="763">
        <f t="shared" si="44"/>
        <v>1761.818</v>
      </c>
      <c r="AE39" s="763">
        <f t="shared" si="44"/>
        <v>2853.0819999999999</v>
      </c>
      <c r="AF39" s="763">
        <f t="shared" si="44"/>
        <v>2512.3959999999997</v>
      </c>
      <c r="AG39" s="762">
        <f t="shared" si="44"/>
        <v>2512.3959999999997</v>
      </c>
      <c r="AH39" s="763">
        <f t="shared" si="44"/>
        <v>2563.0000000000005</v>
      </c>
      <c r="AI39" s="763">
        <f>SUM(AI28:AI38)</f>
        <v>2496.2999999999997</v>
      </c>
      <c r="AJ39" s="763">
        <f t="shared" si="44"/>
        <v>3143.3</v>
      </c>
      <c r="AK39" s="763">
        <f t="shared" si="44"/>
        <v>2730.8</v>
      </c>
      <c r="AL39" s="762">
        <f t="shared" si="44"/>
        <v>2730.8</v>
      </c>
      <c r="AM39" s="763">
        <f t="shared" si="44"/>
        <v>3097.1000000000004</v>
      </c>
      <c r="AN39" s="763">
        <f t="shared" si="44"/>
        <v>4290.9999999999991</v>
      </c>
      <c r="AO39" s="763">
        <f t="shared" si="44"/>
        <v>4650.5</v>
      </c>
      <c r="AP39" s="763">
        <f t="shared" si="44"/>
        <v>4703.1333333333332</v>
      </c>
      <c r="AQ39" s="762">
        <f t="shared" si="44"/>
        <v>4703.1333333333332</v>
      </c>
      <c r="AR39" s="763">
        <f t="shared" si="44"/>
        <v>4599.9867626666673</v>
      </c>
      <c r="AS39" s="763">
        <f t="shared" si="44"/>
        <v>4631.3770062222229</v>
      </c>
      <c r="AT39" s="763">
        <f t="shared" si="44"/>
        <v>4637.7669368888892</v>
      </c>
      <c r="AU39" s="763">
        <f t="shared" si="44"/>
        <v>4679.4427164444442</v>
      </c>
      <c r="AV39" s="762">
        <f>SUM(AV28:AV38)</f>
        <v>4679.4427164444442</v>
      </c>
      <c r="BA39" s="762">
        <f>SUM(BA28:BA38)</f>
        <v>4756.5642296694441</v>
      </c>
      <c r="BF39" s="762">
        <f>SUM(BF28:BF38)</f>
        <v>4780.3509654818554</v>
      </c>
      <c r="BK39" s="762">
        <f>SUM(BK28:BK38)</f>
        <v>4801.5602194688709</v>
      </c>
      <c r="BP39" s="762">
        <f>SUM(BP28:BP38)</f>
        <v>4815.435522113351</v>
      </c>
      <c r="BR39" s="758"/>
    </row>
    <row r="40" spans="2:70" s="96" customFormat="1">
      <c r="B40" s="759" t="s">
        <v>287</v>
      </c>
      <c r="C40" s="759">
        <v>55.652999999999999</v>
      </c>
      <c r="D40" s="96">
        <v>51.185000000000002</v>
      </c>
      <c r="E40" s="96">
        <v>46.718000000000004</v>
      </c>
      <c r="F40" s="96">
        <v>89.251000000000005</v>
      </c>
      <c r="G40" s="96">
        <v>84.953000000000003</v>
      </c>
      <c r="H40" s="759">
        <f t="shared" si="26"/>
        <v>84.953000000000003</v>
      </c>
      <c r="I40" s="96">
        <v>80.177000000000007</v>
      </c>
      <c r="J40" s="96">
        <v>78.027000000000001</v>
      </c>
      <c r="K40" s="96">
        <v>74.927000000000007</v>
      </c>
      <c r="L40" s="96">
        <v>69.247</v>
      </c>
      <c r="M40" s="759">
        <f t="shared" si="27"/>
        <v>69.247</v>
      </c>
      <c r="N40" s="96">
        <v>64.346000000000004</v>
      </c>
      <c r="O40" s="96">
        <v>59.445999999999998</v>
      </c>
      <c r="P40" s="96">
        <v>55.031999999999996</v>
      </c>
      <c r="Q40" s="96">
        <v>50.021000000000001</v>
      </c>
      <c r="R40" s="759">
        <f>Q40</f>
        <v>50.021000000000001</v>
      </c>
      <c r="S40" s="96">
        <v>45.021000000000001</v>
      </c>
      <c r="T40" s="96">
        <v>42.506</v>
      </c>
      <c r="U40" s="96">
        <v>41.408999999999999</v>
      </c>
      <c r="V40" s="96">
        <v>38.152999999999999</v>
      </c>
      <c r="W40" s="759">
        <f t="shared" si="29"/>
        <v>38.152999999999999</v>
      </c>
      <c r="X40" s="96">
        <v>33.973999999999997</v>
      </c>
      <c r="Y40" s="96">
        <v>37.901000000000003</v>
      </c>
      <c r="Z40" s="96">
        <v>36.726999999999997</v>
      </c>
      <c r="AA40" s="96">
        <v>36.127000000000002</v>
      </c>
      <c r="AB40" s="759">
        <f>AA40</f>
        <v>36.127000000000002</v>
      </c>
      <c r="AC40" s="96">
        <v>0</v>
      </c>
      <c r="AD40" s="96">
        <v>0</v>
      </c>
      <c r="AE40" s="96">
        <v>0</v>
      </c>
      <c r="AF40" s="96">
        <v>0</v>
      </c>
      <c r="AG40" s="759">
        <f>AF40</f>
        <v>0</v>
      </c>
      <c r="AH40" s="96">
        <v>0</v>
      </c>
      <c r="AI40" s="96">
        <v>0</v>
      </c>
      <c r="AJ40" s="96">
        <v>0</v>
      </c>
      <c r="AK40" s="96">
        <f>AJ40</f>
        <v>0</v>
      </c>
      <c r="AL40" s="759">
        <f>AK40</f>
        <v>0</v>
      </c>
      <c r="AM40" s="96">
        <f>AK40</f>
        <v>0</v>
      </c>
      <c r="AN40" s="96">
        <f t="shared" ref="AN40:AV41" si="45">AM40</f>
        <v>0</v>
      </c>
      <c r="AO40" s="96">
        <v>0</v>
      </c>
      <c r="AP40" s="96">
        <f t="shared" si="45"/>
        <v>0</v>
      </c>
      <c r="AQ40" s="759">
        <f t="shared" si="45"/>
        <v>0</v>
      </c>
      <c r="AR40" s="96">
        <f t="shared" si="45"/>
        <v>0</v>
      </c>
      <c r="AS40" s="96">
        <f t="shared" si="45"/>
        <v>0</v>
      </c>
      <c r="AT40" s="96">
        <f t="shared" si="45"/>
        <v>0</v>
      </c>
      <c r="AU40" s="96">
        <f t="shared" si="45"/>
        <v>0</v>
      </c>
      <c r="AV40" s="759">
        <f t="shared" si="45"/>
        <v>0</v>
      </c>
      <c r="BA40" s="759">
        <f>AV40</f>
        <v>0</v>
      </c>
      <c r="BF40" s="759">
        <f>BA40</f>
        <v>0</v>
      </c>
      <c r="BK40" s="759">
        <f>BF40</f>
        <v>0</v>
      </c>
      <c r="BP40" s="759">
        <f>BK40</f>
        <v>0</v>
      </c>
      <c r="BR40" s="758"/>
    </row>
    <row r="41" spans="2:70" s="96" customFormat="1">
      <c r="B41" s="759" t="s">
        <v>286</v>
      </c>
      <c r="C41" s="759">
        <v>54.1</v>
      </c>
      <c r="D41" s="96">
        <v>50.8</v>
      </c>
      <c r="E41" s="96">
        <v>52</v>
      </c>
      <c r="F41" s="96">
        <v>53</v>
      </c>
      <c r="G41" s="96">
        <v>63.7</v>
      </c>
      <c r="H41" s="759">
        <f t="shared" si="26"/>
        <v>63.7</v>
      </c>
      <c r="I41" s="96">
        <v>63.7</v>
      </c>
      <c r="J41" s="96">
        <v>63.7</v>
      </c>
      <c r="K41" s="96">
        <v>63.7</v>
      </c>
      <c r="L41" s="96">
        <v>66.2</v>
      </c>
      <c r="M41" s="759">
        <f t="shared" si="27"/>
        <v>66.2</v>
      </c>
      <c r="N41" s="96">
        <v>66.2</v>
      </c>
      <c r="O41" s="96">
        <v>66.900000000000006</v>
      </c>
      <c r="P41" s="96">
        <v>93.655000000000001</v>
      </c>
      <c r="Q41" s="96">
        <v>96.102000000000004</v>
      </c>
      <c r="R41" s="759">
        <f>Q41</f>
        <v>96.102000000000004</v>
      </c>
      <c r="S41" s="96">
        <v>0</v>
      </c>
      <c r="T41" s="96">
        <v>0</v>
      </c>
      <c r="U41" s="96">
        <v>0</v>
      </c>
      <c r="V41" s="96">
        <v>0</v>
      </c>
      <c r="W41" s="759">
        <f>V41</f>
        <v>0</v>
      </c>
      <c r="X41" s="96">
        <v>0</v>
      </c>
      <c r="Y41" s="96">
        <v>0</v>
      </c>
      <c r="Z41" s="96">
        <v>0</v>
      </c>
      <c r="AA41" s="96">
        <v>0</v>
      </c>
      <c r="AB41" s="759">
        <f>AA41</f>
        <v>0</v>
      </c>
      <c r="AC41" s="96">
        <v>0</v>
      </c>
      <c r="AD41" s="96">
        <v>0</v>
      </c>
      <c r="AE41" s="96">
        <v>0</v>
      </c>
      <c r="AF41" s="96">
        <v>0</v>
      </c>
      <c r="AG41" s="759">
        <f>AF41</f>
        <v>0</v>
      </c>
      <c r="AH41" s="96">
        <v>0</v>
      </c>
      <c r="AI41" s="96">
        <v>0</v>
      </c>
      <c r="AJ41" s="96">
        <v>0</v>
      </c>
      <c r="AK41" s="96">
        <f>AJ41</f>
        <v>0</v>
      </c>
      <c r="AL41" s="759">
        <f>AK41</f>
        <v>0</v>
      </c>
      <c r="AM41" s="96">
        <f>AK41</f>
        <v>0</v>
      </c>
      <c r="AN41" s="96">
        <f t="shared" si="45"/>
        <v>0</v>
      </c>
      <c r="AO41" s="96">
        <v>0</v>
      </c>
      <c r="AP41" s="96">
        <f t="shared" si="45"/>
        <v>0</v>
      </c>
      <c r="AQ41" s="759">
        <f t="shared" si="45"/>
        <v>0</v>
      </c>
      <c r="AR41" s="96">
        <f t="shared" si="45"/>
        <v>0</v>
      </c>
      <c r="AS41" s="96">
        <f t="shared" si="45"/>
        <v>0</v>
      </c>
      <c r="AT41" s="96">
        <f t="shared" si="45"/>
        <v>0</v>
      </c>
      <c r="AU41" s="96">
        <f t="shared" si="45"/>
        <v>0</v>
      </c>
      <c r="AV41" s="759">
        <f t="shared" si="45"/>
        <v>0</v>
      </c>
      <c r="BA41" s="759">
        <f>AV41</f>
        <v>0</v>
      </c>
      <c r="BF41" s="759">
        <f>BA41</f>
        <v>0</v>
      </c>
      <c r="BK41" s="759">
        <f>BF41</f>
        <v>0</v>
      </c>
      <c r="BP41" s="759">
        <f>BK41</f>
        <v>0</v>
      </c>
      <c r="BR41" s="758"/>
    </row>
    <row r="42" spans="2:70" s="96" customFormat="1">
      <c r="B42" s="759" t="s">
        <v>294</v>
      </c>
      <c r="C42" s="759">
        <v>0</v>
      </c>
      <c r="D42" s="96">
        <v>0</v>
      </c>
      <c r="E42" s="96">
        <v>0</v>
      </c>
      <c r="F42" s="96">
        <v>0</v>
      </c>
      <c r="G42" s="96">
        <v>0</v>
      </c>
      <c r="H42" s="759">
        <f t="shared" si="26"/>
        <v>0</v>
      </c>
      <c r="I42" s="96">
        <v>0</v>
      </c>
      <c r="J42" s="96">
        <v>438.95499999999998</v>
      </c>
      <c r="K42" s="96">
        <v>366.43799999999999</v>
      </c>
      <c r="L42" s="96">
        <v>313.97500000000002</v>
      </c>
      <c r="M42" s="759">
        <f t="shared" si="27"/>
        <v>313.97500000000002</v>
      </c>
      <c r="N42" s="96">
        <v>316.57</v>
      </c>
      <c r="O42" s="96">
        <v>302.93900000000002</v>
      </c>
      <c r="P42" s="96">
        <v>3113.96</v>
      </c>
      <c r="Q42" s="145">
        <v>3478.377</v>
      </c>
      <c r="R42" s="144">
        <f>Q42</f>
        <v>3478.377</v>
      </c>
      <c r="S42" s="96">
        <v>4699.1469999999999</v>
      </c>
      <c r="T42" s="96">
        <v>4529.2889999999998</v>
      </c>
      <c r="U42" s="145">
        <v>5187.9679999999998</v>
      </c>
      <c r="V42" s="145">
        <v>6539.7610000000004</v>
      </c>
      <c r="W42" s="144">
        <f>V42</f>
        <v>6539.7610000000004</v>
      </c>
      <c r="X42" s="145">
        <v>6851.0129999999999</v>
      </c>
      <c r="Y42" s="145">
        <v>7356.0209999999997</v>
      </c>
      <c r="Z42" s="145">
        <v>7422.558</v>
      </c>
      <c r="AA42" s="145">
        <v>10535.442999999999</v>
      </c>
      <c r="AB42" s="144">
        <f>AA42</f>
        <v>10535.442999999999</v>
      </c>
      <c r="AC42" s="145">
        <v>10327.444</v>
      </c>
      <c r="AD42" s="145">
        <v>10447.23</v>
      </c>
      <c r="AE42" s="145">
        <v>17043.75</v>
      </c>
      <c r="AF42" s="145">
        <v>17162.946</v>
      </c>
      <c r="AG42" s="144">
        <f>AF42</f>
        <v>17162.946</v>
      </c>
      <c r="AH42" s="145">
        <v>17148</v>
      </c>
      <c r="AI42" s="145">
        <f>17058.8</f>
        <v>17058.8</v>
      </c>
      <c r="AJ42" s="145">
        <f>15584.3</f>
        <v>15584.3</v>
      </c>
      <c r="AK42" s="145">
        <v>15253.7</v>
      </c>
      <c r="AL42" s="144">
        <f>AK42</f>
        <v>15253.7</v>
      </c>
      <c r="AM42" s="145">
        <v>25897.9</v>
      </c>
      <c r="AN42" s="145">
        <v>30290.2</v>
      </c>
      <c r="AO42" s="145">
        <v>30176.3</v>
      </c>
      <c r="AP42" s="145">
        <f>AO42+AP71</f>
        <v>31076.3</v>
      </c>
      <c r="AQ42" s="144">
        <f>AP42</f>
        <v>31076.3</v>
      </c>
      <c r="AR42" s="145">
        <f t="shared" ref="AR42:AU42" si="46">AQ42+AR71</f>
        <v>30671.3</v>
      </c>
      <c r="AS42" s="145">
        <f t="shared" si="46"/>
        <v>30271.3</v>
      </c>
      <c r="AT42" s="145">
        <f t="shared" si="46"/>
        <v>29821.3</v>
      </c>
      <c r="AU42" s="145">
        <f t="shared" si="46"/>
        <v>29371.3</v>
      </c>
      <c r="AV42" s="144">
        <f>AU42</f>
        <v>29371.3</v>
      </c>
      <c r="AW42" s="145"/>
      <c r="AX42" s="145"/>
      <c r="AY42" s="145"/>
      <c r="AZ42" s="145"/>
      <c r="BA42" s="144">
        <f>AV42+BA71</f>
        <v>26871.3</v>
      </c>
      <c r="BB42" s="145"/>
      <c r="BC42" s="145"/>
      <c r="BD42" s="145"/>
      <c r="BE42" s="145"/>
      <c r="BF42" s="144">
        <f>BA42+BF71</f>
        <v>24371.3</v>
      </c>
      <c r="BG42" s="145"/>
      <c r="BH42" s="145"/>
      <c r="BI42" s="145"/>
      <c r="BJ42" s="145"/>
      <c r="BK42" s="144">
        <f>BF42+BK71</f>
        <v>21621.3</v>
      </c>
      <c r="BL42" s="145"/>
      <c r="BM42" s="145"/>
      <c r="BN42" s="145"/>
      <c r="BO42" s="145"/>
      <c r="BP42" s="144">
        <f>BK42+BP71</f>
        <v>18621.3</v>
      </c>
      <c r="BR42" s="758"/>
    </row>
    <row r="43" spans="2:70" s="96" customFormat="1">
      <c r="B43" s="759" t="s">
        <v>288</v>
      </c>
      <c r="C43" s="759"/>
      <c r="H43" s="759"/>
      <c r="M43" s="759"/>
      <c r="P43" s="96">
        <v>1549.578</v>
      </c>
      <c r="Q43" s="145">
        <v>1436.7429999999999</v>
      </c>
      <c r="R43" s="144">
        <f>Q43</f>
        <v>1436.7429999999999</v>
      </c>
      <c r="S43" s="96">
        <v>1275.7170000000001</v>
      </c>
      <c r="T43" s="145">
        <v>1251.086</v>
      </c>
      <c r="U43" s="145">
        <v>1177.905</v>
      </c>
      <c r="V43" s="145">
        <v>1144.914</v>
      </c>
      <c r="W43" s="144">
        <f>V43</f>
        <v>1144.914</v>
      </c>
      <c r="X43" s="145">
        <v>1134.3109999999999</v>
      </c>
      <c r="Y43" s="145">
        <v>1229.03</v>
      </c>
      <c r="Z43" s="145">
        <v>1127.2260000000001</v>
      </c>
      <c r="AA43" s="145">
        <v>1248.3119999999999</v>
      </c>
      <c r="AB43" s="144">
        <f>AA43</f>
        <v>1248.3119999999999</v>
      </c>
      <c r="AC43" s="145">
        <v>1259.9000000000001</v>
      </c>
      <c r="AD43" s="145">
        <v>1261.125</v>
      </c>
      <c r="AE43" s="145">
        <v>2436.2190000000001</v>
      </c>
      <c r="AF43" s="145">
        <v>2319.2020000000002</v>
      </c>
      <c r="AG43" s="144">
        <f>AF43</f>
        <v>2319.2020000000002</v>
      </c>
      <c r="AH43" s="145">
        <v>2319.9</v>
      </c>
      <c r="AI43" s="145">
        <f>2238.8</f>
        <v>2238.8000000000002</v>
      </c>
      <c r="AJ43" s="145">
        <f>2407</f>
        <v>2407</v>
      </c>
      <c r="AK43" s="145">
        <v>2227.5</v>
      </c>
      <c r="AL43" s="144">
        <f>AK43</f>
        <v>2227.5</v>
      </c>
      <c r="AM43" s="145">
        <v>2261.5</v>
      </c>
      <c r="AN43" s="145">
        <v>6152.8</v>
      </c>
      <c r="AO43" s="145">
        <v>6022.6</v>
      </c>
      <c r="AP43" s="145">
        <f>AO43+AP61</f>
        <v>6022.6</v>
      </c>
      <c r="AQ43" s="144">
        <f>AP43</f>
        <v>6022.6</v>
      </c>
      <c r="AR43" s="145">
        <f t="shared" ref="AR43:AU43" si="47">AQ43+AR61</f>
        <v>6022.6</v>
      </c>
      <c r="AS43" s="145">
        <f t="shared" si="47"/>
        <v>6022.6</v>
      </c>
      <c r="AT43" s="145">
        <f t="shared" si="47"/>
        <v>6022.6</v>
      </c>
      <c r="AU43" s="145">
        <f t="shared" si="47"/>
        <v>6022.6</v>
      </c>
      <c r="AV43" s="144">
        <f>AU43</f>
        <v>6022.6</v>
      </c>
      <c r="AW43" s="145"/>
      <c r="AX43" s="145"/>
      <c r="AY43" s="145"/>
      <c r="AZ43" s="145"/>
      <c r="BA43" s="144">
        <f>AV43+BA61</f>
        <v>6022.6</v>
      </c>
      <c r="BB43" s="145"/>
      <c r="BC43" s="145"/>
      <c r="BD43" s="145"/>
      <c r="BE43" s="145"/>
      <c r="BF43" s="144">
        <f>BA43+BF61</f>
        <v>6022.6</v>
      </c>
      <c r="BG43" s="145"/>
      <c r="BH43" s="145"/>
      <c r="BI43" s="145"/>
      <c r="BJ43" s="145"/>
      <c r="BK43" s="144">
        <f>BF43+BK61</f>
        <v>6022.6</v>
      </c>
      <c r="BL43" s="145"/>
      <c r="BM43" s="145"/>
      <c r="BN43" s="145"/>
      <c r="BO43" s="145"/>
      <c r="BP43" s="144">
        <f>BK43+BP61</f>
        <v>6022.6</v>
      </c>
      <c r="BR43" s="758"/>
    </row>
    <row r="44" spans="2:70" s="761" customFormat="1" ht="15">
      <c r="B44" s="760" t="s">
        <v>295</v>
      </c>
      <c r="C44" s="760">
        <v>6.9649999999999999</v>
      </c>
      <c r="D44" s="761">
        <v>6.9020000000000001</v>
      </c>
      <c r="E44" s="761">
        <v>6.7569999999999997</v>
      </c>
      <c r="F44" s="761">
        <v>6.5339999999999998</v>
      </c>
      <c r="G44" s="761">
        <v>6.1470000000000002</v>
      </c>
      <c r="H44" s="760">
        <f t="shared" si="26"/>
        <v>6.1470000000000002</v>
      </c>
      <c r="I44" s="761">
        <v>5.9909999999999997</v>
      </c>
      <c r="J44" s="761">
        <v>6.5469999999999997</v>
      </c>
      <c r="K44" s="761">
        <v>6.5990000000000002</v>
      </c>
      <c r="L44" s="761">
        <v>6.3440000000000003</v>
      </c>
      <c r="M44" s="760">
        <f t="shared" si="27"/>
        <v>6.3440000000000003</v>
      </c>
      <c r="N44" s="761">
        <v>5.9050000000000002</v>
      </c>
      <c r="O44" s="761">
        <v>5.5190000000000001</v>
      </c>
      <c r="P44" s="761">
        <v>128.09200000000001</v>
      </c>
      <c r="Q44" s="761">
        <v>130.322</v>
      </c>
      <c r="R44" s="760">
        <f>Q44</f>
        <v>130.322</v>
      </c>
      <c r="S44" s="761">
        <f>198.027+99.956</f>
        <v>297.983</v>
      </c>
      <c r="T44" s="761">
        <f>309.691+101.795+166.194</f>
        <v>577.67999999999995</v>
      </c>
      <c r="U44" s="761">
        <f>152.399+278.706+103.208</f>
        <v>534.31299999999999</v>
      </c>
      <c r="V44" s="761">
        <f>319.821+76.678+91.098</f>
        <v>487.59700000000004</v>
      </c>
      <c r="W44" s="760">
        <f>V44</f>
        <v>487.59700000000004</v>
      </c>
      <c r="X44" s="761">
        <f>135.051+102.035+328.983</f>
        <v>566.06899999999996</v>
      </c>
      <c r="Y44" s="761">
        <f>433.271+95.945+123.024</f>
        <v>652.24</v>
      </c>
      <c r="Z44" s="761">
        <f>123.502+392.961+99.544</f>
        <v>616.00699999999995</v>
      </c>
      <c r="AA44" s="761">
        <f>134.166+352.523+103.658</f>
        <v>590.34699999999998</v>
      </c>
      <c r="AB44" s="760">
        <f>AA44</f>
        <v>590.34699999999998</v>
      </c>
      <c r="AC44" s="761">
        <f>167.079+107.02+391.908</f>
        <v>666.00700000000006</v>
      </c>
      <c r="AD44" s="761">
        <f>161.711+342.079+105.766</f>
        <v>609.55600000000004</v>
      </c>
      <c r="AE44" s="761">
        <f>163.979+255.513+230.978+159.673</f>
        <v>810.14300000000003</v>
      </c>
      <c r="AF44" s="761">
        <f>160.493+172.016+169.117+241.305</f>
        <v>742.93100000000004</v>
      </c>
      <c r="AG44" s="760">
        <f>AF44</f>
        <v>742.93100000000004</v>
      </c>
      <c r="AH44" s="761">
        <f>257+169+98.6+230</f>
        <v>754.6</v>
      </c>
      <c r="AI44" s="761">
        <f>238.1+165.5+115.8+215</f>
        <v>734.4</v>
      </c>
      <c r="AJ44" s="761">
        <f>211.3+157.7+113.8+208.6</f>
        <v>691.4</v>
      </c>
      <c r="AK44" s="761">
        <f>167+239.8+102.6+197.1</f>
        <v>706.5</v>
      </c>
      <c r="AL44" s="760">
        <f>AK44</f>
        <v>706.5</v>
      </c>
      <c r="AM44" s="761">
        <f>198.9+227.7+98.7+208.7</f>
        <v>734</v>
      </c>
      <c r="AN44" s="761">
        <f>514.4+226.4+101.2+208.8</f>
        <v>1050.8</v>
      </c>
      <c r="AO44" s="761">
        <v>1140.5999999999999</v>
      </c>
      <c r="AP44" s="761">
        <f>AO44</f>
        <v>1140.5999999999999</v>
      </c>
      <c r="AQ44" s="760">
        <f>AP44</f>
        <v>1140.5999999999999</v>
      </c>
      <c r="AR44" s="761">
        <f t="shared" ref="AR44:AU44" si="48">AQ44</f>
        <v>1140.5999999999999</v>
      </c>
      <c r="AS44" s="761">
        <f t="shared" si="48"/>
        <v>1140.5999999999999</v>
      </c>
      <c r="AT44" s="761">
        <f t="shared" si="48"/>
        <v>1140.5999999999999</v>
      </c>
      <c r="AU44" s="761">
        <f t="shared" si="48"/>
        <v>1140.5999999999999</v>
      </c>
      <c r="AV44" s="760">
        <f>AU44</f>
        <v>1140.5999999999999</v>
      </c>
      <c r="BA44" s="760">
        <f>AV44</f>
        <v>1140.5999999999999</v>
      </c>
      <c r="BF44" s="760">
        <f>BA44</f>
        <v>1140.5999999999999</v>
      </c>
      <c r="BK44" s="760">
        <f>BF44</f>
        <v>1140.5999999999999</v>
      </c>
      <c r="BP44" s="760">
        <f>BK44</f>
        <v>1140.5999999999999</v>
      </c>
      <c r="BR44" s="758"/>
    </row>
    <row r="45" spans="2:70" s="96" customFormat="1">
      <c r="B45" s="762" t="s">
        <v>296</v>
      </c>
      <c r="C45" s="762">
        <f t="shared" ref="C45:R45" si="49">SUM(C40:C44)</f>
        <v>116.718</v>
      </c>
      <c r="D45" s="763">
        <f t="shared" si="49"/>
        <v>108.887</v>
      </c>
      <c r="E45" s="763">
        <f t="shared" si="49"/>
        <v>105.47500000000001</v>
      </c>
      <c r="F45" s="763">
        <f t="shared" si="49"/>
        <v>148.785</v>
      </c>
      <c r="G45" s="763">
        <f t="shared" si="49"/>
        <v>154.80000000000001</v>
      </c>
      <c r="H45" s="762">
        <f t="shared" si="49"/>
        <v>154.80000000000001</v>
      </c>
      <c r="I45" s="763">
        <f t="shared" si="49"/>
        <v>149.86799999999999</v>
      </c>
      <c r="J45" s="763">
        <f t="shared" si="49"/>
        <v>587.22900000000004</v>
      </c>
      <c r="K45" s="763">
        <f t="shared" si="49"/>
        <v>511.66399999999999</v>
      </c>
      <c r="L45" s="763">
        <f t="shared" si="49"/>
        <v>455.76600000000002</v>
      </c>
      <c r="M45" s="762">
        <f t="shared" si="49"/>
        <v>455.76600000000002</v>
      </c>
      <c r="N45" s="763">
        <f t="shared" si="49"/>
        <v>453.02099999999996</v>
      </c>
      <c r="O45" s="763">
        <f t="shared" si="49"/>
        <v>434.80400000000003</v>
      </c>
      <c r="P45" s="763">
        <f t="shared" si="49"/>
        <v>4940.317</v>
      </c>
      <c r="Q45" s="763">
        <f t="shared" si="49"/>
        <v>5191.5650000000005</v>
      </c>
      <c r="R45" s="762">
        <f t="shared" si="49"/>
        <v>5191.5650000000005</v>
      </c>
      <c r="S45" s="763">
        <f t="shared" ref="S45:AU45" si="50">SUM(S40:S44)</f>
        <v>6317.8680000000004</v>
      </c>
      <c r="T45" s="763">
        <f t="shared" si="50"/>
        <v>6400.5610000000006</v>
      </c>
      <c r="U45" s="763">
        <f t="shared" si="50"/>
        <v>6941.5949999999993</v>
      </c>
      <c r="V45" s="763">
        <f t="shared" si="50"/>
        <v>8210.4250000000011</v>
      </c>
      <c r="W45" s="762">
        <f t="shared" si="50"/>
        <v>8210.4250000000011</v>
      </c>
      <c r="X45" s="763">
        <f t="shared" si="50"/>
        <v>8585.3670000000002</v>
      </c>
      <c r="Y45" s="763">
        <f t="shared" si="50"/>
        <v>9275.1919999999991</v>
      </c>
      <c r="Z45" s="763">
        <f t="shared" si="50"/>
        <v>9202.518</v>
      </c>
      <c r="AA45" s="763">
        <f t="shared" si="50"/>
        <v>12410.228999999999</v>
      </c>
      <c r="AB45" s="762">
        <f t="shared" si="50"/>
        <v>12410.228999999999</v>
      </c>
      <c r="AC45" s="763">
        <f t="shared" si="50"/>
        <v>12253.350999999999</v>
      </c>
      <c r="AD45" s="763">
        <f t="shared" si="50"/>
        <v>12317.911</v>
      </c>
      <c r="AE45" s="763">
        <f t="shared" si="50"/>
        <v>20290.112000000001</v>
      </c>
      <c r="AF45" s="763">
        <f t="shared" si="50"/>
        <v>20225.079000000002</v>
      </c>
      <c r="AG45" s="762">
        <f t="shared" si="50"/>
        <v>20225.079000000002</v>
      </c>
      <c r="AH45" s="763">
        <f t="shared" si="50"/>
        <v>20222.5</v>
      </c>
      <c r="AI45" s="763">
        <f>SUM(AI40:AI44)</f>
        <v>20032</v>
      </c>
      <c r="AJ45" s="763">
        <f t="shared" si="50"/>
        <v>18682.7</v>
      </c>
      <c r="AK45" s="763">
        <f t="shared" si="50"/>
        <v>18187.7</v>
      </c>
      <c r="AL45" s="762">
        <f t="shared" si="50"/>
        <v>18187.7</v>
      </c>
      <c r="AM45" s="763">
        <f t="shared" si="50"/>
        <v>28893.4</v>
      </c>
      <c r="AN45" s="763">
        <f t="shared" si="50"/>
        <v>37493.800000000003</v>
      </c>
      <c r="AO45" s="763">
        <f t="shared" si="50"/>
        <v>37339.5</v>
      </c>
      <c r="AP45" s="763">
        <f t="shared" si="50"/>
        <v>38239.5</v>
      </c>
      <c r="AQ45" s="762">
        <f t="shared" si="50"/>
        <v>38239.5</v>
      </c>
      <c r="AR45" s="763">
        <f t="shared" si="50"/>
        <v>37834.5</v>
      </c>
      <c r="AS45" s="763">
        <f t="shared" si="50"/>
        <v>37434.5</v>
      </c>
      <c r="AT45" s="763">
        <f t="shared" si="50"/>
        <v>36984.5</v>
      </c>
      <c r="AU45" s="763">
        <f t="shared" si="50"/>
        <v>36534.5</v>
      </c>
      <c r="AV45" s="762">
        <f>SUM(AV40:AV44)</f>
        <v>36534.5</v>
      </c>
      <c r="BA45" s="762">
        <f>SUM(BA40:BA44)</f>
        <v>34034.5</v>
      </c>
      <c r="BF45" s="762">
        <f>SUM(BF40:BF44)</f>
        <v>31534.5</v>
      </c>
      <c r="BK45" s="762">
        <f>SUM(BK40:BK44)</f>
        <v>28784.5</v>
      </c>
      <c r="BP45" s="762">
        <f>SUM(BP40:BP44)</f>
        <v>25784.5</v>
      </c>
      <c r="BR45" s="758"/>
    </row>
    <row r="46" spans="2:70" s="96" customFormat="1">
      <c r="B46" s="765" t="s">
        <v>297</v>
      </c>
      <c r="C46" s="765">
        <f t="shared" ref="C46:AU46" si="51">C45+C39</f>
        <v>484.29599999999999</v>
      </c>
      <c r="D46" s="766">
        <f t="shared" si="51"/>
        <v>499.11200000000002</v>
      </c>
      <c r="E46" s="766">
        <f t="shared" si="51"/>
        <v>456.45000000000005</v>
      </c>
      <c r="F46" s="766">
        <f t="shared" si="51"/>
        <v>337.07499999999999</v>
      </c>
      <c r="G46" s="766">
        <f t="shared" si="51"/>
        <v>421.96600000000001</v>
      </c>
      <c r="H46" s="765">
        <f t="shared" si="51"/>
        <v>421.96600000000001</v>
      </c>
      <c r="I46" s="766">
        <f t="shared" si="51"/>
        <v>380.09300000000002</v>
      </c>
      <c r="J46" s="766">
        <f t="shared" si="51"/>
        <v>804.23800000000006</v>
      </c>
      <c r="K46" s="766">
        <f t="shared" si="51"/>
        <v>731.05099999999993</v>
      </c>
      <c r="L46" s="766">
        <f t="shared" si="51"/>
        <v>712.67200000000003</v>
      </c>
      <c r="M46" s="765">
        <f t="shared" si="51"/>
        <v>712.67200000000003</v>
      </c>
      <c r="N46" s="766">
        <f t="shared" si="51"/>
        <v>660.73299999999995</v>
      </c>
      <c r="O46" s="766">
        <f t="shared" si="51"/>
        <v>669.04000000000008</v>
      </c>
      <c r="P46" s="766">
        <f t="shared" si="51"/>
        <v>5786.2389999999996</v>
      </c>
      <c r="Q46" s="766">
        <f t="shared" si="51"/>
        <v>5884.0210000000006</v>
      </c>
      <c r="R46" s="765">
        <f t="shared" si="51"/>
        <v>5884.0210000000006</v>
      </c>
      <c r="S46" s="766">
        <f t="shared" si="51"/>
        <v>6979.3340000000007</v>
      </c>
      <c r="T46" s="766">
        <f t="shared" si="51"/>
        <v>7162.4550000000008</v>
      </c>
      <c r="U46" s="766">
        <f t="shared" si="51"/>
        <v>7804.2619999999988</v>
      </c>
      <c r="V46" s="766">
        <f t="shared" si="51"/>
        <v>9134.6970000000019</v>
      </c>
      <c r="W46" s="765">
        <f t="shared" si="51"/>
        <v>9134.6970000000019</v>
      </c>
      <c r="X46" s="766">
        <f t="shared" si="51"/>
        <v>9543.2990000000009</v>
      </c>
      <c r="Y46" s="766">
        <f t="shared" si="51"/>
        <v>10324.388999999999</v>
      </c>
      <c r="Z46" s="766">
        <f t="shared" si="51"/>
        <v>10361.026</v>
      </c>
      <c r="AA46" s="766">
        <f t="shared" si="51"/>
        <v>14232.981</v>
      </c>
      <c r="AB46" s="765">
        <f t="shared" si="51"/>
        <v>14232.981</v>
      </c>
      <c r="AC46" s="766">
        <f t="shared" si="51"/>
        <v>13899.478999999999</v>
      </c>
      <c r="AD46" s="766">
        <f t="shared" si="51"/>
        <v>14079.728999999999</v>
      </c>
      <c r="AE46" s="766">
        <f t="shared" si="51"/>
        <v>23143.194</v>
      </c>
      <c r="AF46" s="766">
        <f t="shared" si="51"/>
        <v>22737.475000000002</v>
      </c>
      <c r="AG46" s="765">
        <f t="shared" si="51"/>
        <v>22737.475000000002</v>
      </c>
      <c r="AH46" s="766">
        <f t="shared" si="51"/>
        <v>22785.5</v>
      </c>
      <c r="AI46" s="766">
        <f>AI45+AI39</f>
        <v>22528.3</v>
      </c>
      <c r="AJ46" s="766">
        <f t="shared" si="51"/>
        <v>21826</v>
      </c>
      <c r="AK46" s="766">
        <f t="shared" si="51"/>
        <v>20918.5</v>
      </c>
      <c r="AL46" s="765">
        <f t="shared" si="51"/>
        <v>20918.5</v>
      </c>
      <c r="AM46" s="766">
        <f t="shared" si="51"/>
        <v>31990.5</v>
      </c>
      <c r="AN46" s="766">
        <f t="shared" si="51"/>
        <v>41784.800000000003</v>
      </c>
      <c r="AO46" s="766">
        <f>AO45+AO39</f>
        <v>41990</v>
      </c>
      <c r="AP46" s="766">
        <f>AP45+AP39</f>
        <v>42942.633333333331</v>
      </c>
      <c r="AQ46" s="765">
        <f t="shared" si="51"/>
        <v>42942.633333333331</v>
      </c>
      <c r="AR46" s="766">
        <f t="shared" si="51"/>
        <v>42434.486762666667</v>
      </c>
      <c r="AS46" s="766">
        <f t="shared" si="51"/>
        <v>42065.877006222225</v>
      </c>
      <c r="AT46" s="766">
        <f t="shared" si="51"/>
        <v>41622.266936888889</v>
      </c>
      <c r="AU46" s="766">
        <f t="shared" si="51"/>
        <v>41213.942716444442</v>
      </c>
      <c r="AV46" s="765">
        <f>AV45+AV39</f>
        <v>41213.942716444442</v>
      </c>
      <c r="BA46" s="765">
        <f>BA45+BA39</f>
        <v>38791.064229669442</v>
      </c>
      <c r="BF46" s="765">
        <f>BF45+BF39</f>
        <v>36314.850965481855</v>
      </c>
      <c r="BK46" s="765">
        <f>BK45+BK39</f>
        <v>33586.060219468869</v>
      </c>
      <c r="BP46" s="765">
        <f>BP45+BP39</f>
        <v>30599.935522113352</v>
      </c>
      <c r="BR46" s="758"/>
    </row>
    <row r="47" spans="2:70" s="145" customFormat="1">
      <c r="B47" s="756" t="s">
        <v>298</v>
      </c>
      <c r="C47" s="756"/>
      <c r="D47" s="757"/>
      <c r="E47" s="757"/>
      <c r="F47" s="757"/>
      <c r="G47" s="757"/>
      <c r="H47" s="756"/>
      <c r="I47" s="757"/>
      <c r="J47" s="757"/>
      <c r="K47" s="757"/>
      <c r="L47" s="757"/>
      <c r="M47" s="756"/>
      <c r="N47" s="757"/>
      <c r="O47" s="757"/>
      <c r="P47" s="757"/>
      <c r="Q47" s="757"/>
      <c r="R47" s="756"/>
      <c r="S47" s="757"/>
      <c r="T47" s="757"/>
      <c r="U47" s="757"/>
      <c r="V47" s="757"/>
      <c r="W47" s="756"/>
      <c r="X47" s="757"/>
      <c r="Y47" s="757"/>
      <c r="Z47" s="757"/>
      <c r="AA47" s="757"/>
      <c r="AB47" s="756"/>
      <c r="AC47" s="757"/>
      <c r="AD47" s="757"/>
      <c r="AE47" s="757"/>
      <c r="AF47" s="757"/>
      <c r="AG47" s="756"/>
      <c r="AH47" s="757"/>
      <c r="AI47" s="757"/>
      <c r="AJ47" s="757"/>
      <c r="AK47" s="757"/>
      <c r="AL47" s="756"/>
      <c r="AM47" s="757"/>
      <c r="AN47" s="757"/>
      <c r="AO47" s="757"/>
      <c r="AP47" s="757"/>
      <c r="AQ47" s="756"/>
      <c r="AR47" s="757"/>
      <c r="AS47" s="757"/>
      <c r="AT47" s="757"/>
      <c r="AU47" s="757"/>
      <c r="AV47" s="756"/>
      <c r="AW47" s="757"/>
      <c r="AX47" s="757"/>
      <c r="AY47" s="757"/>
      <c r="AZ47" s="757"/>
      <c r="BA47" s="756"/>
      <c r="BB47" s="757"/>
      <c r="BC47" s="757"/>
      <c r="BD47" s="757"/>
      <c r="BE47" s="757"/>
      <c r="BF47" s="756"/>
      <c r="BG47" s="757"/>
      <c r="BH47" s="757"/>
      <c r="BI47" s="757"/>
      <c r="BJ47" s="757"/>
      <c r="BK47" s="756"/>
      <c r="BL47" s="757"/>
      <c r="BM47" s="757"/>
      <c r="BN47" s="757"/>
      <c r="BO47" s="757"/>
      <c r="BP47" s="756"/>
      <c r="BR47" s="758"/>
    </row>
    <row r="48" spans="2:70" s="96" customFormat="1">
      <c r="B48" s="759" t="s">
        <v>299</v>
      </c>
      <c r="C48" s="759">
        <v>1513.732</v>
      </c>
      <c r="D48" s="96">
        <v>1515.289</v>
      </c>
      <c r="E48" s="96">
        <v>1497.8220000000001</v>
      </c>
      <c r="F48" s="96">
        <v>1499.3</v>
      </c>
      <c r="G48" s="96">
        <v>1495.8389999999999</v>
      </c>
      <c r="H48" s="759">
        <f>G48</f>
        <v>1495.8389999999999</v>
      </c>
      <c r="I48" s="96">
        <v>1497.7149999999999</v>
      </c>
      <c r="J48" s="96">
        <v>1553.0630000000001</v>
      </c>
      <c r="K48" s="96">
        <v>1554.454</v>
      </c>
      <c r="L48" s="96">
        <v>1556.7719999999999</v>
      </c>
      <c r="M48" s="759">
        <f>L48</f>
        <v>1556.7719999999999</v>
      </c>
      <c r="N48" s="96">
        <v>1560.059</v>
      </c>
      <c r="O48" s="96">
        <v>1563.3150000000001</v>
      </c>
      <c r="P48" s="96">
        <f>5189.589+580.872</f>
        <v>5770.4610000000002</v>
      </c>
      <c r="Q48" s="96">
        <f>5251.73+495.041</f>
        <v>5746.7709999999997</v>
      </c>
      <c r="R48" s="759">
        <f>Q48</f>
        <v>5746.7709999999997</v>
      </c>
      <c r="S48" s="96">
        <f>5199.277+498.474</f>
        <v>5697.7510000000002</v>
      </c>
      <c r="T48" s="96">
        <f>5872.994+396.838</f>
        <v>6269.8319999999994</v>
      </c>
      <c r="U48" s="96">
        <f>5981.493+275.277</f>
        <v>6256.77</v>
      </c>
      <c r="V48" s="96">
        <f>5963.621+276.117</f>
        <v>6239.7380000000003</v>
      </c>
      <c r="W48" s="759">
        <f>V48</f>
        <v>6239.7380000000003</v>
      </c>
      <c r="X48" s="96">
        <f>5936.775+284.776</f>
        <v>6221.5509999999995</v>
      </c>
      <c r="Y48" s="96">
        <f>5885.225+283.061</f>
        <v>6168.2860000000001</v>
      </c>
      <c r="Z48" s="96">
        <f>5916.671+270.183</f>
        <v>6186.8540000000003</v>
      </c>
      <c r="AA48" s="96">
        <f>5940.652+267.118</f>
        <v>6207.77</v>
      </c>
      <c r="AB48" s="759">
        <f>AA48</f>
        <v>6207.77</v>
      </c>
      <c r="AC48" s="96">
        <f>5942.536+264.982</f>
        <v>6207.518</v>
      </c>
      <c r="AD48" s="96">
        <f>8250.192+225.289</f>
        <v>8475.4809999999998</v>
      </c>
      <c r="AE48" s="96">
        <f>8260.01+251.654</f>
        <v>8511.6640000000007</v>
      </c>
      <c r="AF48" s="96">
        <f>8301.179+228.853</f>
        <v>8530.0319999999992</v>
      </c>
      <c r="AG48" s="759">
        <f>AF48</f>
        <v>8530.0319999999992</v>
      </c>
      <c r="AH48" s="96">
        <f>8316.2+214.5</f>
        <v>8530.7000000000007</v>
      </c>
      <c r="AI48" s="96">
        <f>8325.9+212.2</f>
        <v>8538.1</v>
      </c>
      <c r="AJ48" s="96">
        <f>8334.4+240.2</f>
        <v>8574.6</v>
      </c>
      <c r="AK48" s="96">
        <f>8349.2+243.9</f>
        <v>8593.1</v>
      </c>
      <c r="AL48" s="759">
        <f>AK48</f>
        <v>8593.1</v>
      </c>
      <c r="AM48" s="96">
        <f>9810.3+260.9</f>
        <v>10071.199999999999</v>
      </c>
      <c r="AN48" s="96">
        <f>9880.8+234</f>
        <v>10114.799999999999</v>
      </c>
      <c r="AO48" s="96">
        <f>9899.6+244.6</f>
        <v>10144.200000000001</v>
      </c>
      <c r="AP48" s="96">
        <f>AO48+AP60+AP106+AP72+AP63</f>
        <v>10077.200000000001</v>
      </c>
      <c r="AQ48" s="759">
        <f>AP48</f>
        <v>10077.200000000001</v>
      </c>
      <c r="AR48" s="96">
        <f t="shared" ref="AR48:AU48" si="52">AQ48+AR60+AR106+AR72+AR63</f>
        <v>10127.200000000001</v>
      </c>
      <c r="AS48" s="96">
        <f t="shared" si="52"/>
        <v>10177.200000000001</v>
      </c>
      <c r="AT48" s="96">
        <f t="shared" si="52"/>
        <v>10227.200000000001</v>
      </c>
      <c r="AU48" s="96">
        <f t="shared" si="52"/>
        <v>10277.200000000001</v>
      </c>
      <c r="AV48" s="759">
        <f>AU48</f>
        <v>10277.200000000001</v>
      </c>
      <c r="BA48" s="759">
        <f>AV48+BA60+BA106+BA72</f>
        <v>10477.200000000001</v>
      </c>
      <c r="BF48" s="759">
        <f>BA48+BF60+BF106+BF72</f>
        <v>9818.7013163449301</v>
      </c>
      <c r="BK48" s="759">
        <f>BF48+BK60+BK106+BK72</f>
        <v>9013.8287234048694</v>
      </c>
      <c r="BP48" s="759">
        <f>BK48+BP60+BP106+BP72</f>
        <v>8069.5202483988942</v>
      </c>
      <c r="BR48" s="758"/>
    </row>
    <row r="49" spans="2:70" s="96" customFormat="1">
      <c r="B49" s="759" t="s">
        <v>300</v>
      </c>
      <c r="C49" s="759">
        <v>-278.495</v>
      </c>
      <c r="D49" s="96">
        <v>-280.28800000000001</v>
      </c>
      <c r="E49" s="96">
        <v>-370.28800000000001</v>
      </c>
      <c r="F49" s="96">
        <v>-381.28</v>
      </c>
      <c r="G49" s="96">
        <v>-319.90899999999999</v>
      </c>
      <c r="H49" s="759">
        <f>G49</f>
        <v>-319.90899999999999</v>
      </c>
      <c r="I49" s="96">
        <v>-340.35599999999999</v>
      </c>
      <c r="J49" s="96">
        <v>-330.50900000000001</v>
      </c>
      <c r="K49" s="96">
        <v>-304.62599999999998</v>
      </c>
      <c r="L49" s="96">
        <v>-245.97399999999999</v>
      </c>
      <c r="M49" s="759">
        <f>L49</f>
        <v>-245.97399999999999</v>
      </c>
      <c r="N49" s="96">
        <v>-263.464</v>
      </c>
      <c r="O49" s="96">
        <v>-244.66900000000001</v>
      </c>
      <c r="P49" s="96">
        <v>-467.74400000000003</v>
      </c>
      <c r="Q49" s="96">
        <v>-934.51099999999997</v>
      </c>
      <c r="R49" s="759">
        <f>Q49</f>
        <v>-934.51099999999997</v>
      </c>
      <c r="S49" s="96">
        <v>-1206.692</v>
      </c>
      <c r="T49" s="96">
        <v>-1887.3430000000001</v>
      </c>
      <c r="U49" s="96">
        <v>-2056.402</v>
      </c>
      <c r="V49" s="96">
        <v>-2030.2919999999999</v>
      </c>
      <c r="W49" s="759">
        <f>V49</f>
        <v>-2030.2919999999999</v>
      </c>
      <c r="X49" s="96">
        <v>-2115.5920000000001</v>
      </c>
      <c r="Y49" s="96">
        <v>-2245.886</v>
      </c>
      <c r="Z49" s="96">
        <v>-2281.8339999999998</v>
      </c>
      <c r="AA49" s="96">
        <v>-2370.9760000000001</v>
      </c>
      <c r="AB49" s="759">
        <f>AA49</f>
        <v>-2370.9760000000001</v>
      </c>
      <c r="AC49" s="96">
        <v>-2423.7310000000002</v>
      </c>
      <c r="AD49" s="96">
        <v>-2429.0509999999999</v>
      </c>
      <c r="AE49" s="96">
        <v>-3402.2939999999999</v>
      </c>
      <c r="AF49" s="96">
        <v>-3278.529</v>
      </c>
      <c r="AG49" s="759">
        <f>AF49</f>
        <v>-3278.529</v>
      </c>
      <c r="AH49" s="96">
        <v>-3301.1</v>
      </c>
      <c r="AI49" s="96">
        <f>-3175.3</f>
        <v>-3175.3</v>
      </c>
      <c r="AJ49" s="96">
        <f>-2899.9</f>
        <v>-2899.9</v>
      </c>
      <c r="AK49" s="96">
        <v>-2365</v>
      </c>
      <c r="AL49" s="759">
        <f>AK49</f>
        <v>-2365</v>
      </c>
      <c r="AM49" s="96">
        <v>-2291.3000000000002</v>
      </c>
      <c r="AN49" s="96">
        <v>-2387.9</v>
      </c>
      <c r="AO49" s="96">
        <v>-2338.5</v>
      </c>
      <c r="AP49" s="96">
        <f>AO49+AP58+AP62</f>
        <v>-2120.4000000000005</v>
      </c>
      <c r="AQ49" s="759">
        <f>AP49</f>
        <v>-2120.4000000000005</v>
      </c>
      <c r="AR49" s="96">
        <f t="shared" ref="AR49:AU49" si="53">AQ49+AR58+AR62</f>
        <v>-2359.1055230000002</v>
      </c>
      <c r="AS49" s="96">
        <f t="shared" si="53"/>
        <v>-2285.8850485499997</v>
      </c>
      <c r="AT49" s="96">
        <f t="shared" si="53"/>
        <v>-2109.0740534999995</v>
      </c>
      <c r="AU49" s="96">
        <f t="shared" si="53"/>
        <v>-1814.5106365999991</v>
      </c>
      <c r="AV49" s="759">
        <f>AU49</f>
        <v>-1814.5106365999991</v>
      </c>
      <c r="BA49" s="759">
        <f>AV49+BA58+BA62+BA63</f>
        <v>-659.86719723249644</v>
      </c>
      <c r="BB49" s="96">
        <f t="shared" ref="BB49:BO49" si="54">AW49+BB58+BB62</f>
        <v>0</v>
      </c>
      <c r="BC49" s="96">
        <f t="shared" si="54"/>
        <v>0</v>
      </c>
      <c r="BD49" s="96">
        <f t="shared" si="54"/>
        <v>0</v>
      </c>
      <c r="BE49" s="96">
        <f t="shared" si="54"/>
        <v>0</v>
      </c>
      <c r="BF49" s="759">
        <f>BA49+BF58+BF62+BF63</f>
        <v>1188.6367232925586</v>
      </c>
      <c r="BG49" s="96">
        <f t="shared" si="54"/>
        <v>0</v>
      </c>
      <c r="BH49" s="96">
        <f t="shared" si="54"/>
        <v>0</v>
      </c>
      <c r="BI49" s="96">
        <f t="shared" si="54"/>
        <v>0</v>
      </c>
      <c r="BJ49" s="96">
        <f t="shared" si="54"/>
        <v>0</v>
      </c>
      <c r="BK49" s="759">
        <f>BF49+BK58+BK62+BK63</f>
        <v>3734.6080244107966</v>
      </c>
      <c r="BL49" s="96">
        <f t="shared" si="54"/>
        <v>0</v>
      </c>
      <c r="BM49" s="96">
        <f t="shared" si="54"/>
        <v>0</v>
      </c>
      <c r="BN49" s="96">
        <f t="shared" si="54"/>
        <v>0</v>
      </c>
      <c r="BO49" s="96">
        <f t="shared" si="54"/>
        <v>0</v>
      </c>
      <c r="BP49" s="759">
        <f>BK49+BP58+BP62+BP63</f>
        <v>6731.9727337239565</v>
      </c>
      <c r="BR49" s="758"/>
    </row>
    <row r="50" spans="2:70" s="761" customFormat="1" ht="15">
      <c r="B50" s="760" t="s">
        <v>301</v>
      </c>
      <c r="C50" s="760">
        <v>62.582000000000001</v>
      </c>
      <c r="D50" s="761">
        <v>55.622999999999998</v>
      </c>
      <c r="E50" s="761">
        <v>55.621000000000002</v>
      </c>
      <c r="F50" s="761">
        <v>45.866</v>
      </c>
      <c r="G50" s="761">
        <v>25.669</v>
      </c>
      <c r="H50" s="760">
        <f>G50</f>
        <v>25.669</v>
      </c>
      <c r="I50" s="761">
        <v>19.428999999999998</v>
      </c>
      <c r="J50" s="761">
        <v>31.577999999999999</v>
      </c>
      <c r="K50" s="761">
        <v>41.42</v>
      </c>
      <c r="L50" s="761">
        <v>43.573999999999998</v>
      </c>
      <c r="M50" s="760">
        <f>L50</f>
        <v>43.573999999999998</v>
      </c>
      <c r="N50" s="761">
        <v>47.707999999999998</v>
      </c>
      <c r="O50" s="761">
        <v>42.036999999999999</v>
      </c>
      <c r="P50" s="761">
        <v>46.947000000000003</v>
      </c>
      <c r="Q50" s="761">
        <v>98.835999999999999</v>
      </c>
      <c r="R50" s="760">
        <f>Q50</f>
        <v>98.835999999999999</v>
      </c>
      <c r="S50" s="761">
        <v>217.61600000000001</v>
      </c>
      <c r="T50" s="761">
        <v>282.92899999999997</v>
      </c>
      <c r="U50" s="761">
        <v>-186.26900000000001</v>
      </c>
      <c r="V50" s="761">
        <v>-202.43</v>
      </c>
      <c r="W50" s="760">
        <f>V50</f>
        <v>-202.43</v>
      </c>
      <c r="X50" s="761">
        <v>-29.524000000000001</v>
      </c>
      <c r="Y50" s="761">
        <v>-226.96899999999999</v>
      </c>
      <c r="Z50" s="761">
        <v>-119.83799999999999</v>
      </c>
      <c r="AA50" s="761">
        <v>-119.396</v>
      </c>
      <c r="AB50" s="760">
        <f>AA50</f>
        <v>-119.396</v>
      </c>
      <c r="AC50" s="761">
        <v>-196.79900000000001</v>
      </c>
      <c r="AD50" s="761">
        <v>-343.90100000000001</v>
      </c>
      <c r="AE50" s="761">
        <v>-160.25700000000001</v>
      </c>
      <c r="AF50" s="761">
        <v>-132.78</v>
      </c>
      <c r="AG50" s="760">
        <f>AF50</f>
        <v>-132.78</v>
      </c>
      <c r="AH50" s="761">
        <v>-140</v>
      </c>
      <c r="AI50" s="761">
        <f>-104.7</f>
        <v>-104.7</v>
      </c>
      <c r="AJ50" s="761">
        <f>-552</f>
        <v>-552</v>
      </c>
      <c r="AK50" s="761">
        <v>-915.9</v>
      </c>
      <c r="AL50" s="760">
        <f>AK50</f>
        <v>-915.9</v>
      </c>
      <c r="AM50" s="761">
        <v>-1327.6</v>
      </c>
      <c r="AN50" s="761">
        <v>-1291.5</v>
      </c>
      <c r="AO50" s="761">
        <v>-1463.4</v>
      </c>
      <c r="AP50" s="761">
        <f>AO50</f>
        <v>-1463.4</v>
      </c>
      <c r="AQ50" s="760">
        <f>AP50</f>
        <v>-1463.4</v>
      </c>
      <c r="AR50" s="761">
        <f t="shared" ref="AR50:AU50" si="55">AQ50</f>
        <v>-1463.4</v>
      </c>
      <c r="AS50" s="761">
        <f t="shared" si="55"/>
        <v>-1463.4</v>
      </c>
      <c r="AT50" s="761">
        <f t="shared" si="55"/>
        <v>-1463.4</v>
      </c>
      <c r="AU50" s="761">
        <f t="shared" si="55"/>
        <v>-1463.4</v>
      </c>
      <c r="AV50" s="760">
        <f>AU50</f>
        <v>-1463.4</v>
      </c>
      <c r="BA50" s="760">
        <f>AV50</f>
        <v>-1463.4</v>
      </c>
      <c r="BF50" s="760">
        <f>BA50</f>
        <v>-1463.4</v>
      </c>
      <c r="BK50" s="760">
        <f>BF50</f>
        <v>-1463.4</v>
      </c>
      <c r="BP50" s="760">
        <f>BK50</f>
        <v>-1463.4</v>
      </c>
      <c r="BR50" s="758"/>
    </row>
    <row r="51" spans="2:70" s="96" customFormat="1">
      <c r="B51" s="762" t="s">
        <v>302</v>
      </c>
      <c r="C51" s="762">
        <f t="shared" ref="C51:AA51" si="56">SUM(C48:C50)</f>
        <v>1297.8190000000002</v>
      </c>
      <c r="D51" s="763">
        <f t="shared" si="56"/>
        <v>1290.624</v>
      </c>
      <c r="E51" s="763">
        <f t="shared" si="56"/>
        <v>1183.1550000000002</v>
      </c>
      <c r="F51" s="763">
        <f t="shared" si="56"/>
        <v>1163.886</v>
      </c>
      <c r="G51" s="763">
        <f t="shared" si="56"/>
        <v>1201.5989999999999</v>
      </c>
      <c r="H51" s="762">
        <f t="shared" si="56"/>
        <v>1201.5989999999999</v>
      </c>
      <c r="I51" s="763">
        <f t="shared" si="56"/>
        <v>1176.788</v>
      </c>
      <c r="J51" s="763">
        <f t="shared" si="56"/>
        <v>1254.1320000000001</v>
      </c>
      <c r="K51" s="763">
        <f t="shared" si="56"/>
        <v>1291.248</v>
      </c>
      <c r="L51" s="763">
        <f t="shared" si="56"/>
        <v>1354.3720000000001</v>
      </c>
      <c r="M51" s="762">
        <f t="shared" si="56"/>
        <v>1354.3720000000001</v>
      </c>
      <c r="N51" s="763">
        <f t="shared" si="56"/>
        <v>1344.3030000000001</v>
      </c>
      <c r="O51" s="763">
        <f t="shared" si="56"/>
        <v>1360.683</v>
      </c>
      <c r="P51" s="763">
        <f t="shared" si="56"/>
        <v>5349.6640000000007</v>
      </c>
      <c r="Q51" s="763">
        <f t="shared" si="56"/>
        <v>4911.0960000000005</v>
      </c>
      <c r="R51" s="762">
        <f>Q51</f>
        <v>4911.0960000000005</v>
      </c>
      <c r="S51" s="763">
        <f t="shared" si="56"/>
        <v>4708.6750000000002</v>
      </c>
      <c r="T51" s="763">
        <f t="shared" si="56"/>
        <v>4665.4179999999997</v>
      </c>
      <c r="U51" s="763">
        <f t="shared" si="56"/>
        <v>4014.0990000000002</v>
      </c>
      <c r="V51" s="763">
        <f t="shared" si="56"/>
        <v>4007.0160000000001</v>
      </c>
      <c r="W51" s="762">
        <f>SUM(W48:W50)</f>
        <v>4007.0160000000001</v>
      </c>
      <c r="X51" s="763">
        <f t="shared" si="56"/>
        <v>4076.434999999999</v>
      </c>
      <c r="Y51" s="763">
        <f t="shared" si="56"/>
        <v>3695.431</v>
      </c>
      <c r="Z51" s="763">
        <f t="shared" si="56"/>
        <v>3785.1820000000002</v>
      </c>
      <c r="AA51" s="763">
        <f t="shared" si="56"/>
        <v>3717.3980000000001</v>
      </c>
      <c r="AB51" s="762">
        <f t="shared" ref="AB51:AU51" si="57">SUM(AB48:AB50)</f>
        <v>3717.3980000000001</v>
      </c>
      <c r="AC51" s="763">
        <f t="shared" si="57"/>
        <v>3586.9879999999998</v>
      </c>
      <c r="AD51" s="763">
        <f t="shared" si="57"/>
        <v>5702.5290000000005</v>
      </c>
      <c r="AE51" s="763">
        <f t="shared" si="57"/>
        <v>4949.1130000000012</v>
      </c>
      <c r="AF51" s="763">
        <f t="shared" si="57"/>
        <v>5118.722999999999</v>
      </c>
      <c r="AG51" s="762">
        <f t="shared" si="57"/>
        <v>5118.722999999999</v>
      </c>
      <c r="AH51" s="763">
        <f t="shared" si="57"/>
        <v>5089.6000000000004</v>
      </c>
      <c r="AI51" s="763">
        <f>SUM(AI48:AI50)</f>
        <v>5258.1</v>
      </c>
      <c r="AJ51" s="763">
        <f t="shared" si="57"/>
        <v>5122.7000000000007</v>
      </c>
      <c r="AK51" s="763">
        <f t="shared" si="57"/>
        <v>5312.2000000000007</v>
      </c>
      <c r="AL51" s="762">
        <f t="shared" si="57"/>
        <v>5312.2000000000007</v>
      </c>
      <c r="AM51" s="763">
        <f t="shared" si="57"/>
        <v>6452.2999999999993</v>
      </c>
      <c r="AN51" s="763">
        <f t="shared" si="57"/>
        <v>6435.4</v>
      </c>
      <c r="AO51" s="763">
        <f t="shared" si="57"/>
        <v>6342.3000000000011</v>
      </c>
      <c r="AP51" s="763">
        <f t="shared" si="57"/>
        <v>6493.4</v>
      </c>
      <c r="AQ51" s="762">
        <f t="shared" si="57"/>
        <v>6493.4</v>
      </c>
      <c r="AR51" s="763">
        <f t="shared" si="57"/>
        <v>6304.6944770000009</v>
      </c>
      <c r="AS51" s="763">
        <f t="shared" si="57"/>
        <v>6427.9149514500004</v>
      </c>
      <c r="AT51" s="763">
        <f t="shared" si="57"/>
        <v>6654.7259465000006</v>
      </c>
      <c r="AU51" s="763">
        <f t="shared" si="57"/>
        <v>6999.2893634000011</v>
      </c>
      <c r="AV51" s="762">
        <f>SUM(AV48:AV50)</f>
        <v>6999.2893634000011</v>
      </c>
      <c r="BA51" s="762">
        <f>SUM(BA48:BA50)</f>
        <v>8353.9328027675056</v>
      </c>
      <c r="BF51" s="762">
        <f>SUM(BF48:BF50)</f>
        <v>9543.9380396374891</v>
      </c>
      <c r="BK51" s="762">
        <f>SUM(BK48:BK50)</f>
        <v>11285.036747815666</v>
      </c>
      <c r="BP51" s="762">
        <f>SUM(BP48:BP50)</f>
        <v>13338.092982122851</v>
      </c>
      <c r="BR51" s="758"/>
    </row>
    <row r="52" spans="2:70" s="96" customFormat="1">
      <c r="B52" s="759" t="s">
        <v>303</v>
      </c>
      <c r="C52" s="759"/>
      <c r="H52" s="759"/>
      <c r="M52" s="759"/>
      <c r="P52" s="96">
        <v>0</v>
      </c>
      <c r="Q52" s="96">
        <v>0</v>
      </c>
      <c r="R52" s="759">
        <f>Q52</f>
        <v>0</v>
      </c>
      <c r="S52" s="96">
        <v>0</v>
      </c>
      <c r="T52" s="96">
        <v>0</v>
      </c>
      <c r="U52" s="96">
        <v>0</v>
      </c>
      <c r="V52" s="96">
        <v>0</v>
      </c>
      <c r="W52" s="759">
        <f>V52</f>
        <v>0</v>
      </c>
      <c r="X52" s="96">
        <v>0</v>
      </c>
      <c r="Y52" s="96">
        <v>0</v>
      </c>
      <c r="Z52" s="96">
        <f>Y52</f>
        <v>0</v>
      </c>
      <c r="AA52" s="96">
        <f>Z52</f>
        <v>0</v>
      </c>
      <c r="AB52" s="759">
        <f>AA52</f>
        <v>0</v>
      </c>
      <c r="AC52" s="96">
        <f>AB52</f>
        <v>0</v>
      </c>
      <c r="AD52" s="96">
        <f>AC52</f>
        <v>0</v>
      </c>
      <c r="AE52" s="96">
        <v>112.077</v>
      </c>
      <c r="AF52" s="96">
        <v>114.599</v>
      </c>
      <c r="AG52" s="759">
        <f>AF52</f>
        <v>114.599</v>
      </c>
      <c r="AH52" s="96">
        <v>113.9</v>
      </c>
      <c r="AI52" s="96">
        <f>109.2</f>
        <v>109.2</v>
      </c>
      <c r="AJ52" s="96">
        <f>110.9</f>
        <v>110.9</v>
      </c>
      <c r="AK52" s="96">
        <v>122.3</v>
      </c>
      <c r="AL52" s="759">
        <f>AK52</f>
        <v>122.3</v>
      </c>
      <c r="AM52" s="96">
        <v>122.9</v>
      </c>
      <c r="AN52" s="96">
        <v>123</v>
      </c>
      <c r="AO52" s="96">
        <v>122.4</v>
      </c>
      <c r="AP52" s="96">
        <f>AO52</f>
        <v>122.4</v>
      </c>
      <c r="AQ52" s="759">
        <f>AP52</f>
        <v>122.4</v>
      </c>
      <c r="AR52" s="96">
        <f t="shared" ref="AR52:AU52" si="58">AQ52</f>
        <v>122.4</v>
      </c>
      <c r="AS52" s="96">
        <f t="shared" si="58"/>
        <v>122.4</v>
      </c>
      <c r="AT52" s="96">
        <f t="shared" si="58"/>
        <v>122.4</v>
      </c>
      <c r="AU52" s="96">
        <f t="shared" si="58"/>
        <v>122.4</v>
      </c>
      <c r="AV52" s="759">
        <f>AU52</f>
        <v>122.4</v>
      </c>
      <c r="BA52" s="759">
        <f>AV52</f>
        <v>122.4</v>
      </c>
      <c r="BF52" s="759">
        <f>BA52</f>
        <v>122.4</v>
      </c>
      <c r="BK52" s="759">
        <f>BF52</f>
        <v>122.4</v>
      </c>
      <c r="BP52" s="759">
        <f>BK52</f>
        <v>122.4</v>
      </c>
      <c r="BR52" s="758"/>
    </row>
    <row r="53" spans="2:70" s="96" customFormat="1">
      <c r="B53" s="765" t="s">
        <v>304</v>
      </c>
      <c r="C53" s="765">
        <f t="shared" ref="C53:O53" si="59">C51+C46</f>
        <v>1782.1150000000002</v>
      </c>
      <c r="D53" s="766">
        <f t="shared" si="59"/>
        <v>1789.7360000000001</v>
      </c>
      <c r="E53" s="766">
        <f t="shared" si="59"/>
        <v>1639.6050000000002</v>
      </c>
      <c r="F53" s="766">
        <f t="shared" si="59"/>
        <v>1500.961</v>
      </c>
      <c r="G53" s="766">
        <f t="shared" si="59"/>
        <v>1623.5650000000001</v>
      </c>
      <c r="H53" s="765">
        <f t="shared" si="59"/>
        <v>1623.5650000000001</v>
      </c>
      <c r="I53" s="766">
        <f t="shared" si="59"/>
        <v>1556.8810000000001</v>
      </c>
      <c r="J53" s="766">
        <f t="shared" si="59"/>
        <v>2058.37</v>
      </c>
      <c r="K53" s="766">
        <f t="shared" si="59"/>
        <v>2022.299</v>
      </c>
      <c r="L53" s="766">
        <f t="shared" si="59"/>
        <v>2067.0439999999999</v>
      </c>
      <c r="M53" s="765">
        <f t="shared" si="59"/>
        <v>2067.0439999999999</v>
      </c>
      <c r="N53" s="766">
        <f t="shared" si="59"/>
        <v>2005.0360000000001</v>
      </c>
      <c r="O53" s="766">
        <f t="shared" si="59"/>
        <v>2029.723</v>
      </c>
      <c r="P53" s="766">
        <f t="shared" ref="P53:AU53" si="60">P51+P46+P52</f>
        <v>11135.903</v>
      </c>
      <c r="Q53" s="766">
        <f t="shared" si="60"/>
        <v>10795.117000000002</v>
      </c>
      <c r="R53" s="765">
        <f t="shared" si="60"/>
        <v>10795.117000000002</v>
      </c>
      <c r="S53" s="766">
        <f t="shared" si="60"/>
        <v>11688.009000000002</v>
      </c>
      <c r="T53" s="766">
        <f t="shared" si="60"/>
        <v>11827.873</v>
      </c>
      <c r="U53" s="766">
        <f t="shared" si="60"/>
        <v>11818.360999999999</v>
      </c>
      <c r="V53" s="766">
        <f t="shared" si="60"/>
        <v>13141.713000000002</v>
      </c>
      <c r="W53" s="765">
        <f t="shared" si="60"/>
        <v>13141.713000000002</v>
      </c>
      <c r="X53" s="766">
        <f t="shared" si="60"/>
        <v>13619.734</v>
      </c>
      <c r="Y53" s="766">
        <f t="shared" si="60"/>
        <v>14019.82</v>
      </c>
      <c r="Z53" s="766">
        <f t="shared" si="60"/>
        <v>14146.208000000001</v>
      </c>
      <c r="AA53" s="766">
        <f t="shared" si="60"/>
        <v>17950.379000000001</v>
      </c>
      <c r="AB53" s="765">
        <f t="shared" si="60"/>
        <v>17950.379000000001</v>
      </c>
      <c r="AC53" s="766">
        <f t="shared" si="60"/>
        <v>17486.467000000001</v>
      </c>
      <c r="AD53" s="766">
        <f t="shared" si="60"/>
        <v>19782.258000000002</v>
      </c>
      <c r="AE53" s="766">
        <f t="shared" si="60"/>
        <v>28204.384000000002</v>
      </c>
      <c r="AF53" s="766">
        <f t="shared" si="60"/>
        <v>27970.796999999999</v>
      </c>
      <c r="AG53" s="765">
        <f t="shared" si="60"/>
        <v>27970.796999999999</v>
      </c>
      <c r="AH53" s="767">
        <f t="shared" si="60"/>
        <v>27989</v>
      </c>
      <c r="AI53" s="766">
        <f>AI51+AI46+AI52</f>
        <v>27895.600000000002</v>
      </c>
      <c r="AJ53" s="766">
        <f t="shared" si="60"/>
        <v>27059.600000000002</v>
      </c>
      <c r="AK53" s="766">
        <f t="shared" si="60"/>
        <v>26353</v>
      </c>
      <c r="AL53" s="765">
        <f t="shared" si="60"/>
        <v>26353</v>
      </c>
      <c r="AM53" s="766">
        <f t="shared" si="60"/>
        <v>38565.700000000004</v>
      </c>
      <c r="AN53" s="766">
        <f t="shared" si="60"/>
        <v>48343.200000000004</v>
      </c>
      <c r="AO53" s="766">
        <f t="shared" si="60"/>
        <v>48454.700000000004</v>
      </c>
      <c r="AP53" s="766">
        <f t="shared" si="60"/>
        <v>49558.433333333334</v>
      </c>
      <c r="AQ53" s="765">
        <f t="shared" si="60"/>
        <v>49558.433333333334</v>
      </c>
      <c r="AR53" s="766">
        <f t="shared" si="60"/>
        <v>48861.581239666666</v>
      </c>
      <c r="AS53" s="766">
        <f t="shared" si="60"/>
        <v>48616.191957672228</v>
      </c>
      <c r="AT53" s="766">
        <f t="shared" si="60"/>
        <v>48399.392883388893</v>
      </c>
      <c r="AU53" s="766">
        <f t="shared" si="60"/>
        <v>48335.632079844443</v>
      </c>
      <c r="AV53" s="765">
        <f>AV51+AV46+AV52</f>
        <v>48335.632079844443</v>
      </c>
      <c r="BA53" s="765">
        <f>BA51+BA46+BA52</f>
        <v>47267.397032436951</v>
      </c>
      <c r="BF53" s="765">
        <f>BF51+BF46+BF52</f>
        <v>45981.189005119348</v>
      </c>
      <c r="BK53" s="765">
        <f>BK51+BK46+BK52</f>
        <v>44993.49696728454</v>
      </c>
      <c r="BP53" s="765">
        <f>BP51+BP46+BP52</f>
        <v>44060.428504236203</v>
      </c>
      <c r="BR53" s="758"/>
    </row>
    <row r="54" spans="2:70" s="768" customFormat="1">
      <c r="B54" s="768" t="s">
        <v>305</v>
      </c>
      <c r="C54" s="768">
        <f t="shared" ref="C54:AU54" si="61">C26-C53</f>
        <v>0</v>
      </c>
      <c r="D54" s="768">
        <f t="shared" si="61"/>
        <v>0</v>
      </c>
      <c r="E54" s="768">
        <f t="shared" si="61"/>
        <v>0</v>
      </c>
      <c r="F54" s="768">
        <f t="shared" si="61"/>
        <v>0</v>
      </c>
      <c r="G54" s="768">
        <f t="shared" si="61"/>
        <v>0</v>
      </c>
      <c r="H54" s="768">
        <f t="shared" si="61"/>
        <v>0</v>
      </c>
      <c r="I54" s="768">
        <f t="shared" si="61"/>
        <v>0</v>
      </c>
      <c r="J54" s="768">
        <f t="shared" si="61"/>
        <v>0</v>
      </c>
      <c r="K54" s="768">
        <f t="shared" si="61"/>
        <v>0</v>
      </c>
      <c r="L54" s="768">
        <f t="shared" si="61"/>
        <v>0</v>
      </c>
      <c r="M54" s="768">
        <f t="shared" si="61"/>
        <v>0</v>
      </c>
      <c r="N54" s="768">
        <f t="shared" si="61"/>
        <v>0</v>
      </c>
      <c r="O54" s="768">
        <f t="shared" si="61"/>
        <v>0</v>
      </c>
      <c r="P54" s="768">
        <f t="shared" si="61"/>
        <v>0</v>
      </c>
      <c r="Q54" s="768">
        <f t="shared" si="61"/>
        <v>0</v>
      </c>
      <c r="R54" s="768">
        <f t="shared" si="61"/>
        <v>0</v>
      </c>
      <c r="S54" s="768">
        <f t="shared" si="61"/>
        <v>0</v>
      </c>
      <c r="T54" s="768">
        <f t="shared" si="61"/>
        <v>0</v>
      </c>
      <c r="U54" s="768">
        <f t="shared" si="61"/>
        <v>0</v>
      </c>
      <c r="V54" s="768">
        <f t="shared" si="61"/>
        <v>0</v>
      </c>
      <c r="W54" s="768">
        <f t="shared" si="61"/>
        <v>0</v>
      </c>
      <c r="X54" s="768">
        <f t="shared" si="61"/>
        <v>0</v>
      </c>
      <c r="Y54" s="768">
        <f t="shared" si="61"/>
        <v>0</v>
      </c>
      <c r="Z54" s="768">
        <f t="shared" si="61"/>
        <v>0</v>
      </c>
      <c r="AA54" s="768">
        <f t="shared" si="61"/>
        <v>0</v>
      </c>
      <c r="AB54" s="768">
        <f t="shared" si="61"/>
        <v>0</v>
      </c>
      <c r="AC54" s="768">
        <f t="shared" si="61"/>
        <v>0</v>
      </c>
      <c r="AD54" s="768">
        <f t="shared" si="61"/>
        <v>0</v>
      </c>
      <c r="AE54" s="768">
        <f t="shared" si="61"/>
        <v>0</v>
      </c>
      <c r="AF54" s="768">
        <f t="shared" si="61"/>
        <v>0</v>
      </c>
      <c r="AG54" s="768">
        <f t="shared" si="61"/>
        <v>-4.0000000000873115E-2</v>
      </c>
      <c r="AH54" s="768">
        <f t="shared" si="61"/>
        <v>0</v>
      </c>
      <c r="AI54" s="768">
        <f>AI26-AI53</f>
        <v>0</v>
      </c>
      <c r="AJ54" s="768">
        <f t="shared" si="61"/>
        <v>0</v>
      </c>
      <c r="AK54" s="768">
        <f t="shared" si="61"/>
        <v>0</v>
      </c>
      <c r="AL54" s="768">
        <f t="shared" si="61"/>
        <v>0</v>
      </c>
      <c r="AM54" s="768">
        <f t="shared" si="61"/>
        <v>0.19999999998981366</v>
      </c>
      <c r="AN54" s="768">
        <f t="shared" si="61"/>
        <v>0</v>
      </c>
      <c r="AO54" s="768">
        <f t="shared" si="61"/>
        <v>-0.10000000001309672</v>
      </c>
      <c r="AP54" s="768">
        <f t="shared" si="61"/>
        <v>-9.9999999991268851E-2</v>
      </c>
      <c r="AQ54" s="768">
        <f t="shared" si="61"/>
        <v>-9.9999999991268851E-2</v>
      </c>
      <c r="AR54" s="768">
        <f t="shared" si="61"/>
        <v>-9.9999999998544808E-2</v>
      </c>
      <c r="AS54" s="768">
        <f t="shared" si="61"/>
        <v>-0.10000000001309672</v>
      </c>
      <c r="AT54" s="768">
        <f t="shared" si="61"/>
        <v>-0.10000000000582077</v>
      </c>
      <c r="AU54" s="768">
        <f t="shared" si="61"/>
        <v>-9.9999999991268851E-2</v>
      </c>
      <c r="AV54" s="768">
        <f>AV26-AV53</f>
        <v>-9.9999999991268851E-2</v>
      </c>
      <c r="BA54" s="768">
        <f>BA26-BA53</f>
        <v>-9.9999999998544808E-2</v>
      </c>
      <c r="BF54" s="768">
        <f>BF26-BF53</f>
        <v>-0.10000000000582077</v>
      </c>
      <c r="BK54" s="768">
        <f>BK26-BK53</f>
        <v>-0.10000000000582077</v>
      </c>
      <c r="BP54" s="768">
        <f>BP26-BP53</f>
        <v>-0.10000000000582077</v>
      </c>
    </row>
    <row r="55" spans="2:70" s="96" customFormat="1">
      <c r="T55" s="769"/>
      <c r="U55" s="769"/>
      <c r="V55" s="769"/>
    </row>
    <row r="56" spans="2:70" s="96" customFormat="1">
      <c r="B56" s="753" t="s">
        <v>306</v>
      </c>
      <c r="C56" s="754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5"/>
      <c r="X56" s="755"/>
      <c r="Y56" s="755"/>
      <c r="Z56" s="755"/>
      <c r="AA56" s="755"/>
      <c r="AB56" s="755"/>
      <c r="AC56" s="755"/>
      <c r="AD56" s="755"/>
      <c r="AE56" s="755"/>
      <c r="AF56" s="755"/>
      <c r="AG56" s="755"/>
      <c r="AH56" s="755"/>
      <c r="AI56" s="755"/>
      <c r="AJ56" s="755"/>
      <c r="AK56" s="755"/>
      <c r="AL56" s="755"/>
      <c r="AM56" s="755"/>
      <c r="AN56" s="755"/>
      <c r="AO56" s="755"/>
      <c r="AP56" s="755"/>
      <c r="AQ56" s="755"/>
      <c r="AR56" s="755"/>
      <c r="AS56" s="755"/>
      <c r="AT56" s="755"/>
      <c r="AU56" s="755"/>
      <c r="AV56" s="755"/>
      <c r="AW56" s="755"/>
      <c r="AX56" s="755"/>
      <c r="AY56" s="755"/>
      <c r="AZ56" s="755"/>
      <c r="BA56" s="755"/>
      <c r="BB56" s="755"/>
      <c r="BC56" s="755"/>
      <c r="BD56" s="755"/>
      <c r="BE56" s="755"/>
      <c r="BF56" s="755"/>
      <c r="BG56" s="755"/>
      <c r="BH56" s="755"/>
      <c r="BI56" s="755"/>
      <c r="BJ56" s="755"/>
      <c r="BK56" s="755"/>
      <c r="BL56" s="755"/>
      <c r="BM56" s="755"/>
      <c r="BN56" s="755"/>
      <c r="BO56" s="755"/>
      <c r="BP56" s="755"/>
      <c r="BR56" s="755"/>
    </row>
    <row r="57" spans="2:70" s="145" customFormat="1">
      <c r="B57" s="756" t="s">
        <v>307</v>
      </c>
      <c r="C57" s="756"/>
      <c r="D57" s="757"/>
      <c r="E57" s="757"/>
      <c r="F57" s="757"/>
      <c r="G57" s="757"/>
      <c r="H57" s="756"/>
      <c r="I57" s="757"/>
      <c r="J57" s="757"/>
      <c r="K57" s="757"/>
      <c r="L57" s="757"/>
      <c r="M57" s="756"/>
      <c r="N57" s="757"/>
      <c r="O57" s="757"/>
      <c r="P57" s="757"/>
      <c r="Q57" s="757"/>
      <c r="R57" s="756"/>
      <c r="S57" s="757"/>
      <c r="T57" s="757"/>
      <c r="U57" s="757"/>
      <c r="V57" s="757"/>
      <c r="W57" s="756"/>
      <c r="X57" s="757"/>
      <c r="Y57" s="757"/>
      <c r="Z57" s="757"/>
      <c r="AA57" s="757"/>
      <c r="AB57" s="756"/>
      <c r="AC57" s="757"/>
      <c r="AD57" s="757"/>
      <c r="AE57" s="757"/>
      <c r="AF57" s="757"/>
      <c r="AG57" s="756"/>
      <c r="AH57" s="757"/>
      <c r="AI57" s="757"/>
      <c r="AJ57" s="757"/>
      <c r="AK57" s="757"/>
      <c r="AL57" s="756"/>
      <c r="AM57" s="757"/>
      <c r="AN57" s="757"/>
      <c r="AO57" s="757"/>
      <c r="AP57" s="757"/>
      <c r="AQ57" s="756"/>
      <c r="AR57" s="757"/>
      <c r="AS57" s="757"/>
      <c r="AT57" s="757"/>
      <c r="AU57" s="757"/>
      <c r="AV57" s="756"/>
      <c r="AW57" s="757"/>
      <c r="AX57" s="757"/>
      <c r="AY57" s="757"/>
      <c r="AZ57" s="757"/>
      <c r="BA57" s="756"/>
      <c r="BB57" s="757"/>
      <c r="BC57" s="757"/>
      <c r="BD57" s="757"/>
      <c r="BE57" s="757"/>
      <c r="BF57" s="756"/>
      <c r="BG57" s="757"/>
      <c r="BH57" s="757"/>
      <c r="BI57" s="757"/>
      <c r="BJ57" s="757"/>
      <c r="BK57" s="756"/>
      <c r="BL57" s="757"/>
      <c r="BM57" s="757"/>
      <c r="BN57" s="757"/>
      <c r="BO57" s="757"/>
      <c r="BP57" s="756"/>
      <c r="BR57" s="758"/>
    </row>
    <row r="58" spans="2:70" s="96" customFormat="1">
      <c r="B58" s="759" t="s">
        <v>308</v>
      </c>
      <c r="C58" s="759">
        <v>195.53899999999999</v>
      </c>
      <c r="D58" s="96">
        <v>56.375999999999998</v>
      </c>
      <c r="E58" s="96">
        <v>-25.289000000000001</v>
      </c>
      <c r="F58" s="96">
        <v>48.436999999999998</v>
      </c>
      <c r="G58" s="96">
        <f t="shared" ref="G58:G64" si="62">H58-D58-E58-F58</f>
        <v>120.38000000000001</v>
      </c>
      <c r="H58" s="759">
        <v>199.904</v>
      </c>
      <c r="I58" s="96">
        <v>39.003</v>
      </c>
      <c r="J58" s="96">
        <v>24.09</v>
      </c>
      <c r="K58" s="96">
        <v>40.362000000000002</v>
      </c>
      <c r="L58" s="96">
        <f t="shared" ref="L58:L64" si="63">M58-I58-J58-K58</f>
        <v>73</v>
      </c>
      <c r="M58" s="759">
        <v>176.45500000000001</v>
      </c>
      <c r="N58" s="96">
        <v>-3.15</v>
      </c>
      <c r="O58" s="96">
        <v>33.969000000000001</v>
      </c>
      <c r="P58" s="145">
        <v>-207.88200000000001</v>
      </c>
      <c r="Q58" s="96">
        <f t="shared" ref="Q58:Q64" si="64">R58-N58-O58-P58</f>
        <v>-31.129999999999995</v>
      </c>
      <c r="R58" s="759">
        <v>-208.19300000000001</v>
      </c>
      <c r="S58" s="96">
        <v>6.4820000000000002</v>
      </c>
      <c r="T58" s="96">
        <v>56.36</v>
      </c>
      <c r="U58" s="96">
        <v>40.862000000000002</v>
      </c>
      <c r="V58" s="96">
        <f t="shared" ref="V58:V64" si="65">W58-S58-T58-U58</f>
        <v>55.854999999999997</v>
      </c>
      <c r="W58" s="759">
        <v>159.559</v>
      </c>
      <c r="X58" s="96">
        <v>-12.920999999999999</v>
      </c>
      <c r="Y58" s="96">
        <v>-21.606999999999999</v>
      </c>
      <c r="Z58" s="96">
        <v>7.6449999999999996</v>
      </c>
      <c r="AA58" s="96">
        <f t="shared" ref="AA58:AA64" si="66">AB58-X58-Y58-Z58</f>
        <v>-89.14200000000001</v>
      </c>
      <c r="AB58" s="759">
        <v>-116.02500000000001</v>
      </c>
      <c r="AC58" s="96">
        <v>-27.53</v>
      </c>
      <c r="AD58" s="96">
        <f>10.866</f>
        <v>10.866</v>
      </c>
      <c r="AE58" s="96">
        <v>-971.97500000000002</v>
      </c>
      <c r="AF58" s="96">
        <f t="shared" ref="AF58:AF64" si="67">AG58-AC58-AD58-AE58</f>
        <v>124.97000000000003</v>
      </c>
      <c r="AG58" s="759">
        <v>-863.66899999999998</v>
      </c>
      <c r="AH58" s="145">
        <v>-20.3</v>
      </c>
      <c r="AI58" s="96">
        <f>122</f>
        <v>122</v>
      </c>
      <c r="AJ58" s="145">
        <f>276.4</f>
        <v>276.39999999999998</v>
      </c>
      <c r="AK58" s="96">
        <f t="shared" ref="AK58:AK64" si="68">AL58-AH58-AI58-AJ58</f>
        <v>534.1</v>
      </c>
      <c r="AL58" s="759">
        <v>912.2</v>
      </c>
      <c r="AM58" s="145">
        <v>74.5</v>
      </c>
      <c r="AN58" s="145">
        <v>-51.6</v>
      </c>
      <c r="AO58" s="145">
        <v>51.7</v>
      </c>
      <c r="AP58" s="145">
        <f>IS!BD32-AP104</f>
        <v>293.09999999999957</v>
      </c>
      <c r="AQ58" s="759">
        <f t="shared" ref="AQ58:AQ64" si="69">SUM(AM58:AP58)</f>
        <v>367.69999999999959</v>
      </c>
      <c r="AR58" s="145">
        <f>IS!BF32-AR104</f>
        <v>-163.70552299999969</v>
      </c>
      <c r="AS58" s="145">
        <f>IS!BG32-AS104</f>
        <v>123.22047445000055</v>
      </c>
      <c r="AT58" s="145">
        <f>IS!BH32-AT104</f>
        <v>201.8109950500002</v>
      </c>
      <c r="AU58" s="770">
        <f>IS!BI32-AU104</f>
        <v>319.56341690000033</v>
      </c>
      <c r="AV58" s="759">
        <f t="shared" ref="AV58:AV64" si="70">SUM(AR58:AU58)</f>
        <v>480.8893634000014</v>
      </c>
      <c r="BA58" s="771">
        <f>IS!BO32-BA104</f>
        <v>1154.6434393675027</v>
      </c>
      <c r="BF58" s="771">
        <f>IS!BT32-BF104</f>
        <v>1848.503920525055</v>
      </c>
      <c r="BK58" s="771">
        <f>IS!BY32-BK104</f>
        <v>2545.971301118238</v>
      </c>
      <c r="BP58" s="771">
        <f>IS!CD32-BP104</f>
        <v>2997.3647093131599</v>
      </c>
      <c r="BR58" s="758"/>
    </row>
    <row r="59" spans="2:70" s="96" customFormat="1">
      <c r="B59" s="759" t="s">
        <v>309</v>
      </c>
      <c r="C59" s="759">
        <v>94.984999999999999</v>
      </c>
      <c r="D59" s="96">
        <v>25.073</v>
      </c>
      <c r="E59" s="96">
        <v>25.344999999999999</v>
      </c>
      <c r="F59" s="96">
        <v>24.780999999999999</v>
      </c>
      <c r="G59" s="96">
        <f t="shared" si="62"/>
        <v>27.705999999999996</v>
      </c>
      <c r="H59" s="759">
        <v>102.905</v>
      </c>
      <c r="I59" s="96">
        <v>26.690999999999999</v>
      </c>
      <c r="J59" s="96">
        <v>32.088999999999999</v>
      </c>
      <c r="K59" s="96">
        <v>43.292999999999999</v>
      </c>
      <c r="L59" s="96">
        <f t="shared" si="63"/>
        <v>47.186999999999991</v>
      </c>
      <c r="M59" s="759">
        <v>149.26</v>
      </c>
      <c r="N59" s="96">
        <v>40.048000000000002</v>
      </c>
      <c r="O59" s="96">
        <v>40.232999999999997</v>
      </c>
      <c r="P59" s="145">
        <v>42.338000000000001</v>
      </c>
      <c r="Q59" s="96">
        <f t="shared" si="64"/>
        <v>131.88499999999999</v>
      </c>
      <c r="R59" s="759">
        <v>254.50399999999999</v>
      </c>
      <c r="S59" s="96">
        <v>127.002</v>
      </c>
      <c r="T59" s="96">
        <v>122.276</v>
      </c>
      <c r="U59" s="96">
        <v>154.93600000000001</v>
      </c>
      <c r="V59" s="96">
        <f t="shared" si="65"/>
        <v>208.38899999999992</v>
      </c>
      <c r="W59" s="759">
        <v>612.60299999999995</v>
      </c>
      <c r="X59" s="96">
        <v>215.58199999999999</v>
      </c>
      <c r="Y59" s="96">
        <v>221.86600000000001</v>
      </c>
      <c r="Z59" s="96">
        <v>235.31100000000001</v>
      </c>
      <c r="AA59" s="96">
        <f t="shared" si="66"/>
        <v>313.46299999999997</v>
      </c>
      <c r="AB59" s="759">
        <v>986.22199999999998</v>
      </c>
      <c r="AC59" s="96">
        <v>341.44499999999999</v>
      </c>
      <c r="AD59" s="96">
        <f>317.854</f>
        <v>317.85399999999998</v>
      </c>
      <c r="AE59" s="96">
        <v>945.95600000000002</v>
      </c>
      <c r="AF59" s="96">
        <f t="shared" si="67"/>
        <v>410.55100000000004</v>
      </c>
      <c r="AG59" s="759">
        <v>2015.806</v>
      </c>
      <c r="AH59" s="145">
        <v>401.1</v>
      </c>
      <c r="AI59" s="96">
        <f>407.7</f>
        <v>407.7</v>
      </c>
      <c r="AJ59" s="145">
        <f>439.3</f>
        <v>439.3</v>
      </c>
      <c r="AK59" s="96">
        <f t="shared" si="68"/>
        <v>489.49999999999994</v>
      </c>
      <c r="AL59" s="759">
        <v>1737.6</v>
      </c>
      <c r="AM59" s="145">
        <v>407</v>
      </c>
      <c r="AN59" s="145">
        <v>635</v>
      </c>
      <c r="AO59" s="145">
        <f>726.4</f>
        <v>726.4</v>
      </c>
      <c r="AP59" s="145">
        <f>AP105+AP104</f>
        <v>632.59999999999991</v>
      </c>
      <c r="AQ59" s="759">
        <f t="shared" si="69"/>
        <v>2401</v>
      </c>
      <c r="AR59" s="145">
        <f t="shared" ref="AR59:AU59" si="71">AR105+AR104</f>
        <v>686.55</v>
      </c>
      <c r="AS59" s="145">
        <f t="shared" si="71"/>
        <v>686.55</v>
      </c>
      <c r="AT59" s="145">
        <f t="shared" si="71"/>
        <v>686.55</v>
      </c>
      <c r="AU59" s="145">
        <f t="shared" si="71"/>
        <v>686.55</v>
      </c>
      <c r="AV59" s="759">
        <f t="shared" si="70"/>
        <v>2746.2</v>
      </c>
      <c r="BA59" s="759">
        <f>BA105+BA104</f>
        <v>2679</v>
      </c>
      <c r="BF59" s="759">
        <f>BF105+BF104</f>
        <v>2548.3000000000002</v>
      </c>
      <c r="BK59" s="759">
        <f>BK105+BK104</f>
        <v>2412.6</v>
      </c>
      <c r="BP59" s="759">
        <f>BP105+BP104</f>
        <v>2412.6</v>
      </c>
      <c r="BR59" s="758"/>
    </row>
    <row r="60" spans="2:70" s="96" customFormat="1">
      <c r="B60" s="759" t="s">
        <v>310</v>
      </c>
      <c r="C60" s="759">
        <v>10.632999999999999</v>
      </c>
      <c r="D60" s="96">
        <v>1.429</v>
      </c>
      <c r="E60" s="96">
        <v>3.7440000000000002</v>
      </c>
      <c r="F60" s="96">
        <v>1.5669999999999999</v>
      </c>
      <c r="G60" s="96">
        <f t="shared" si="62"/>
        <v>1.1659999999999993</v>
      </c>
      <c r="H60" s="759">
        <v>7.9059999999999997</v>
      </c>
      <c r="I60" s="96">
        <v>1.7569999999999999</v>
      </c>
      <c r="J60" s="96">
        <v>1.3340000000000001</v>
      </c>
      <c r="K60" s="96">
        <v>1.1259999999999999</v>
      </c>
      <c r="L60" s="96">
        <f t="shared" si="63"/>
        <v>1.3960000000000008</v>
      </c>
      <c r="M60" s="759">
        <v>5.6130000000000004</v>
      </c>
      <c r="N60" s="96">
        <v>1.657</v>
      </c>
      <c r="O60" s="96">
        <v>1.895</v>
      </c>
      <c r="P60" s="145">
        <v>68.284000000000006</v>
      </c>
      <c r="Q60" s="96">
        <f t="shared" si="64"/>
        <v>26.197000000000003</v>
      </c>
      <c r="R60" s="759">
        <v>98.033000000000001</v>
      </c>
      <c r="S60" s="145">
        <v>29.893000000000001</v>
      </c>
      <c r="T60" s="96">
        <v>25.558</v>
      </c>
      <c r="U60" s="145">
        <v>17.587</v>
      </c>
      <c r="V60" s="96">
        <f t="shared" si="65"/>
        <v>20.984999999999996</v>
      </c>
      <c r="W60" s="759">
        <v>94.022999999999996</v>
      </c>
      <c r="X60" s="145">
        <v>19.152000000000001</v>
      </c>
      <c r="Y60" s="145">
        <v>15.156000000000001</v>
      </c>
      <c r="Z60" s="145">
        <v>18.547000000000001</v>
      </c>
      <c r="AA60" s="96">
        <f t="shared" si="66"/>
        <v>13.381000000000004</v>
      </c>
      <c r="AB60" s="759">
        <v>66.236000000000004</v>
      </c>
      <c r="AC60" s="145">
        <v>9.0950000000000006</v>
      </c>
      <c r="AD60" s="145">
        <f>7.381</f>
        <v>7.3810000000000002</v>
      </c>
      <c r="AE60" s="145">
        <v>16</v>
      </c>
      <c r="AF60" s="96">
        <f t="shared" si="67"/>
        <v>13.002000000000002</v>
      </c>
      <c r="AG60" s="759">
        <v>45.478000000000002</v>
      </c>
      <c r="AH60" s="145">
        <v>24.8</v>
      </c>
      <c r="AI60" s="145">
        <f>15.6</f>
        <v>15.6</v>
      </c>
      <c r="AJ60" s="145">
        <f>20.2</f>
        <v>20.2</v>
      </c>
      <c r="AK60" s="96">
        <f t="shared" si="68"/>
        <v>17.600000000000005</v>
      </c>
      <c r="AL60" s="759">
        <v>78.2</v>
      </c>
      <c r="AM60" s="145">
        <v>35</v>
      </c>
      <c r="AN60" s="145">
        <v>25.9</v>
      </c>
      <c r="AO60" s="145">
        <v>50.5</v>
      </c>
      <c r="AP60" s="772">
        <v>50</v>
      </c>
      <c r="AQ60" s="759">
        <f t="shared" si="69"/>
        <v>161.4</v>
      </c>
      <c r="AR60" s="772">
        <f>200/4</f>
        <v>50</v>
      </c>
      <c r="AS60" s="772">
        <f t="shared" ref="AS60:AU60" si="72">200/4</f>
        <v>50</v>
      </c>
      <c r="AT60" s="772">
        <f t="shared" si="72"/>
        <v>50</v>
      </c>
      <c r="AU60" s="772">
        <f t="shared" si="72"/>
        <v>50</v>
      </c>
      <c r="AV60" s="759">
        <f t="shared" si="70"/>
        <v>200</v>
      </c>
      <c r="BA60" s="759">
        <f>AV60</f>
        <v>200</v>
      </c>
      <c r="BF60" s="759">
        <f>BA60</f>
        <v>200</v>
      </c>
      <c r="BK60" s="759">
        <f>BF60</f>
        <v>200</v>
      </c>
      <c r="BP60" s="759">
        <f>BK60</f>
        <v>200</v>
      </c>
      <c r="BR60" s="758"/>
    </row>
    <row r="61" spans="2:70" s="96" customFormat="1">
      <c r="B61" s="759" t="s">
        <v>311</v>
      </c>
      <c r="C61" s="759">
        <v>0</v>
      </c>
      <c r="D61" s="96">
        <v>0</v>
      </c>
      <c r="E61" s="96">
        <v>0</v>
      </c>
      <c r="F61" s="96">
        <v>0</v>
      </c>
      <c r="G61" s="96">
        <f t="shared" si="62"/>
        <v>-90</v>
      </c>
      <c r="H61" s="759">
        <v>-90</v>
      </c>
      <c r="I61" s="96">
        <v>7.8</v>
      </c>
      <c r="J61" s="96">
        <v>0.4</v>
      </c>
      <c r="K61" s="96">
        <v>3.8</v>
      </c>
      <c r="L61" s="96">
        <f t="shared" si="63"/>
        <v>-28</v>
      </c>
      <c r="M61" s="759">
        <v>-16</v>
      </c>
      <c r="N61" s="96">
        <v>4.3</v>
      </c>
      <c r="O61" s="96">
        <v>0.7</v>
      </c>
      <c r="P61" s="145">
        <v>59.5</v>
      </c>
      <c r="Q61" s="96">
        <f t="shared" si="64"/>
        <v>-119.90299999999999</v>
      </c>
      <c r="R61" s="759">
        <v>-55.402999999999999</v>
      </c>
      <c r="S61" s="145">
        <v>-19.773</v>
      </c>
      <c r="T61" s="96">
        <v>-18.724</v>
      </c>
      <c r="U61" s="145">
        <v>-38.600999999999999</v>
      </c>
      <c r="V61" s="96">
        <f t="shared" si="65"/>
        <v>-145.86100000000002</v>
      </c>
      <c r="W61" s="759">
        <v>-222.959</v>
      </c>
      <c r="X61" s="145">
        <v>-14.859</v>
      </c>
      <c r="Y61" s="145">
        <v>-5.85</v>
      </c>
      <c r="Z61" s="145">
        <v>-107.093</v>
      </c>
      <c r="AA61" s="96">
        <f t="shared" si="66"/>
        <v>-191.80099999999999</v>
      </c>
      <c r="AB61" s="759">
        <v>-319.60300000000001</v>
      </c>
      <c r="AC61" s="145">
        <v>-37.354999999999997</v>
      </c>
      <c r="AD61" s="145">
        <f>-63.22</f>
        <v>-63.22</v>
      </c>
      <c r="AE61" s="145">
        <v>-185.61099999999999</v>
      </c>
      <c r="AF61" s="96">
        <f t="shared" si="67"/>
        <v>-229.69799999999998</v>
      </c>
      <c r="AG61" s="759">
        <v>-515.88400000000001</v>
      </c>
      <c r="AH61" s="96">
        <v>10</v>
      </c>
      <c r="AI61" s="145">
        <f>-21.4</f>
        <v>-21.4</v>
      </c>
      <c r="AJ61" s="145">
        <f>74.6</f>
        <v>74.599999999999994</v>
      </c>
      <c r="AK61" s="96">
        <f t="shared" si="68"/>
        <v>18.599999999999994</v>
      </c>
      <c r="AL61" s="759">
        <v>81.8</v>
      </c>
      <c r="AM61" s="96">
        <v>62.5</v>
      </c>
      <c r="AN61" s="96">
        <v>-50.1</v>
      </c>
      <c r="AO61" s="96">
        <v>-91.4</v>
      </c>
      <c r="AP61" s="773">
        <v>0</v>
      </c>
      <c r="AQ61" s="759">
        <f t="shared" si="69"/>
        <v>-79</v>
      </c>
      <c r="AR61" s="773">
        <v>0</v>
      </c>
      <c r="AS61" s="773">
        <v>0</v>
      </c>
      <c r="AT61" s="773">
        <v>0</v>
      </c>
      <c r="AU61" s="773">
        <v>0</v>
      </c>
      <c r="AV61" s="759">
        <f t="shared" si="70"/>
        <v>0</v>
      </c>
      <c r="AW61" s="774"/>
      <c r="AX61" s="774"/>
      <c r="AY61" s="774"/>
      <c r="AZ61" s="774"/>
      <c r="BA61" s="759">
        <f>AV61</f>
        <v>0</v>
      </c>
      <c r="BB61" s="774"/>
      <c r="BC61" s="774"/>
      <c r="BD61" s="774"/>
      <c r="BE61" s="774"/>
      <c r="BF61" s="759">
        <f>BA61</f>
        <v>0</v>
      </c>
      <c r="BG61" s="774"/>
      <c r="BH61" s="774"/>
      <c r="BI61" s="774"/>
      <c r="BJ61" s="774"/>
      <c r="BK61" s="759">
        <f>BF61</f>
        <v>0</v>
      </c>
      <c r="BL61" s="774"/>
      <c r="BM61" s="774"/>
      <c r="BN61" s="774"/>
      <c r="BO61" s="774"/>
      <c r="BP61" s="759">
        <f>BK61</f>
        <v>0</v>
      </c>
      <c r="BR61" s="758"/>
    </row>
    <row r="62" spans="2:70" s="96" customFormat="1">
      <c r="B62" s="759" t="s">
        <v>312</v>
      </c>
      <c r="C62" s="759"/>
      <c r="H62" s="759"/>
      <c r="M62" s="759"/>
      <c r="P62" s="145"/>
      <c r="R62" s="759"/>
      <c r="S62" s="145"/>
      <c r="U62" s="145"/>
      <c r="W62" s="759"/>
      <c r="X62" s="145"/>
      <c r="Y62" s="145"/>
      <c r="Z62" s="145"/>
      <c r="AB62" s="759"/>
      <c r="AC62" s="145"/>
      <c r="AD62" s="145"/>
      <c r="AE62" s="145"/>
      <c r="AG62" s="759"/>
      <c r="AI62" s="145"/>
      <c r="AJ62" s="145"/>
      <c r="AL62" s="759"/>
      <c r="AM62" s="775"/>
      <c r="AN62" s="775"/>
      <c r="AO62" s="775"/>
      <c r="AP62" s="776">
        <v>-75</v>
      </c>
      <c r="AQ62" s="777">
        <f t="shared" si="69"/>
        <v>-75</v>
      </c>
      <c r="AR62" s="776">
        <v>-75</v>
      </c>
      <c r="AS62" s="776">
        <v>-50</v>
      </c>
      <c r="AT62" s="776">
        <v>-25</v>
      </c>
      <c r="AU62" s="776">
        <v>-25</v>
      </c>
      <c r="AV62" s="777">
        <f t="shared" si="70"/>
        <v>-175</v>
      </c>
      <c r="AW62" s="778"/>
      <c r="AX62" s="778"/>
      <c r="AY62" s="778"/>
      <c r="AZ62" s="778"/>
      <c r="BA62" s="779">
        <v>0</v>
      </c>
      <c r="BB62" s="779"/>
      <c r="BC62" s="779"/>
      <c r="BD62" s="779"/>
      <c r="BE62" s="779"/>
      <c r="BF62" s="779">
        <v>0</v>
      </c>
      <c r="BG62" s="779"/>
      <c r="BH62" s="779"/>
      <c r="BI62" s="779"/>
      <c r="BJ62" s="779"/>
      <c r="BK62" s="779">
        <v>0</v>
      </c>
      <c r="BL62" s="779"/>
      <c r="BM62" s="779"/>
      <c r="BN62" s="779"/>
      <c r="BO62" s="779"/>
      <c r="BP62" s="779">
        <v>0</v>
      </c>
      <c r="BR62" s="758"/>
    </row>
    <row r="63" spans="2:70" s="96" customFormat="1">
      <c r="B63" s="759" t="s">
        <v>45</v>
      </c>
      <c r="C63" s="759">
        <f>-19.168+0.962+4.821+21.468-24.356-16.462+95.114-8+2.528+7.854+3.843</f>
        <v>68.604000000000013</v>
      </c>
      <c r="D63" s="96">
        <f>-4.492+0.13-10+3.616+1.195+0.568</f>
        <v>-8.9830000000000005</v>
      </c>
      <c r="E63" s="96">
        <f>-4.492+0.13+51.974-3.461+24.648-1.621</f>
        <v>67.177999999999997</v>
      </c>
      <c r="F63" s="96">
        <f>-4.492+0.13+1.465-4.156-83.048+2-45.065+0.429</f>
        <v>-132.73699999999999</v>
      </c>
      <c r="G63" s="96">
        <f t="shared" si="62"/>
        <v>14.595999999999989</v>
      </c>
      <c r="H63" s="759">
        <f>-18.246+0.52+69.056-6.534-93.048+32.565-45.065+1.195-0.389</f>
        <v>-59.946000000000005</v>
      </c>
      <c r="I63" s="96">
        <f>-5.3+0.13-6.158+0.241+2.707+0.006-0.023</f>
        <v>-8.3969999999999985</v>
      </c>
      <c r="J63" s="96">
        <f>-5.301+0.564+0.968+30.414+9.674-0.344+0.192</f>
        <v>36.167000000000002</v>
      </c>
      <c r="K63" s="96">
        <f>-5.3+2.682+1.228+8.126+0.385-0.466-24.648-0.089</f>
        <v>-18.082000000000001</v>
      </c>
      <c r="L63" s="96">
        <f t="shared" si="63"/>
        <v>37.411999999999999</v>
      </c>
      <c r="M63" s="759">
        <f>-21.201+5.986+3.62+59.354+13.969+10.968-0.804-30.806+6.191-0.177</f>
        <v>47.1</v>
      </c>
      <c r="N63" s="96">
        <f>-4.775+2.801+1.312+51.003-5.95+0.155-0.522</f>
        <v>44.024000000000001</v>
      </c>
      <c r="O63" s="96">
        <f>-4.776+2.837+1.332+10.242+0.392-0.154</f>
        <v>9.8730000000000011</v>
      </c>
      <c r="P63" s="145">
        <f>-4.775+2.712+6.854+38.5+5.405-0.346</f>
        <v>48.35</v>
      </c>
      <c r="Q63" s="96">
        <f t="shared" si="64"/>
        <v>93.867000000000075</v>
      </c>
      <c r="R63" s="759">
        <f>-19.101+11.169+10.303+89.245+53.266+6.887+52.61-44.45+11.603-4.934+30.716-1.2</f>
        <v>196.11400000000006</v>
      </c>
      <c r="S63" s="96">
        <f>-4.775+2.642+1.292-24.05+2+0.381+29.576+30.686-16+0.4+8.262-2.289+1.438</f>
        <v>29.562999999999992</v>
      </c>
      <c r="T63" s="145">
        <f>-4.776+1.945+0.469-7.566+2+1.752+2.091+16.262-0.4+14.748-2.712-21.316+6.263</f>
        <v>8.76</v>
      </c>
      <c r="U63" s="145">
        <f>-4.775+1.917+10.768-2.042+6.904+1.74+2.768+10.315-3.362-7.737</f>
        <v>16.495999999999995</v>
      </c>
      <c r="V63" s="96">
        <f t="shared" si="65"/>
        <v>115.54700000000001</v>
      </c>
      <c r="W63" s="759">
        <f>-19.101+8.491+18.612+109.2+59.256-10.986+5.519+30.686+11.841-26.541-26.533-21.316-9.753+36.844+4.147</f>
        <v>170.36599999999999</v>
      </c>
      <c r="X63" s="145">
        <f>-8.568+3.249+2.498+33.098+9.527+9.839+4.383+3.155-0.06-0.593-25.564-0.056+0.133-1.048</f>
        <v>29.993000000000002</v>
      </c>
      <c r="Y63" s="145">
        <f>-0.391+4.568+10.294+1.024+7.729+1.72+53.624-1.752-2.882+3.299-0.898-0.025</f>
        <v>76.31</v>
      </c>
      <c r="Z63" s="145">
        <f>8.979+145.3+6.009+0.229+5.63+6.833-37.739-2.367+0.356-0.552-5.545</f>
        <v>127.13300000000002</v>
      </c>
      <c r="AA63" s="96">
        <f t="shared" si="66"/>
        <v>59.589999999999932</v>
      </c>
      <c r="AB63" s="759">
        <f>36.402+189.901+78.822-5.266+21.779+10.78+56.779-41.8-12.541-23.839-2.322-15.669</f>
        <v>293.02599999999995</v>
      </c>
      <c r="AC63" s="145">
        <f>9.647+43.241-2.185+8.994+4.448-2.82-4.604-1.77-1.859-0.638+21.379+0.965</f>
        <v>74.798000000000002</v>
      </c>
      <c r="AD63" s="145">
        <f>33.279+4.83+26.518+3.669+11.576+1.124-11.728-11.845+10.536-2.234-3.609-3.963</f>
        <v>58.15300000000002</v>
      </c>
      <c r="AE63" s="145">
        <f>27.572+123.981+149.4+0.625-34.995+16.12+149.601-0.15-32.179-5.408+8.161-3.347-4.778</f>
        <v>394.60300000000001</v>
      </c>
      <c r="AF63" s="96">
        <f t="shared" si="67"/>
        <v>210.96299999999979</v>
      </c>
      <c r="AG63" s="759">
        <f>89.461+153.639+372.45-29.259+68.283+10.18+220.495-180.849-24.2+9.783-5.822+65.014-11.124+0.466</f>
        <v>738.51699999999983</v>
      </c>
      <c r="AH63" s="145">
        <f>12.2+5.2+8.9+19.6-48.8-1.2+12.6+93.7-0.7+9.7</f>
        <v>111.2</v>
      </c>
      <c r="AI63" s="145">
        <f>11.3+0.4+4.3+1.9+16+1.5-0.9-5.3-7.5-3.7</f>
        <v>18</v>
      </c>
      <c r="AJ63" s="145">
        <f>34.6+19.9+12.4-254.5+4+12-0.9-0.2-15.9+55.1-1.3+9.7</f>
        <v>-125.10000000000001</v>
      </c>
      <c r="AK63" s="96">
        <f t="shared" si="68"/>
        <v>149.19999999999999</v>
      </c>
      <c r="AL63" s="759">
        <f>70+21+27.3-14.1+81.3-253.5-44.7-3.2-17.1+135.1+129.6-10.7+32.3</f>
        <v>153.29999999999998</v>
      </c>
      <c r="AM63" s="145">
        <f>10.5+24.5+7.1+12.2+1.5-3+75.9+20-2.2-7.2-17.9</f>
        <v>121.4</v>
      </c>
      <c r="AN63" s="145">
        <f>92.7+12.3+46+11.7+14.6+4.8-2.9-7.7-10.3-9.9-2.7</f>
        <v>148.6</v>
      </c>
      <c r="AO63" s="145">
        <f>20.5+95.8+27.2+5.3+3.8+19.6+25.6-26.2+3.9+31-7.7+0.2</f>
        <v>199.00000000000003</v>
      </c>
      <c r="AP63" s="772">
        <v>-117</v>
      </c>
      <c r="AQ63" s="759">
        <f t="shared" si="69"/>
        <v>352</v>
      </c>
      <c r="AR63" s="772"/>
      <c r="AS63" s="772"/>
      <c r="AT63" s="772"/>
      <c r="AU63" s="772"/>
      <c r="AV63" s="759">
        <f t="shared" si="70"/>
        <v>0</v>
      </c>
      <c r="BA63" s="759">
        <f>AV63</f>
        <v>0</v>
      </c>
      <c r="BF63" s="759">
        <f>BA63</f>
        <v>0</v>
      </c>
      <c r="BK63" s="759">
        <f>BF63</f>
        <v>0</v>
      </c>
      <c r="BP63" s="759">
        <f>BK63</f>
        <v>0</v>
      </c>
      <c r="BR63" s="758"/>
    </row>
    <row r="64" spans="2:70" s="96" customFormat="1">
      <c r="B64" s="759" t="s">
        <v>313</v>
      </c>
      <c r="C64" s="759">
        <f>18.052-7.994+3.023+0.376+3.273-26.496-7.514-11.628</f>
        <v>-28.907999999999998</v>
      </c>
      <c r="D64" s="96">
        <f>28.52+1.045+11.764+3.937-9.236-2.687+2.518-17.08</f>
        <v>18.780999999999992</v>
      </c>
      <c r="E64" s="96">
        <f>-10.004+5.041-1.852+3.587-3.327-0.713+4.925-1.579</f>
        <v>-3.9219999999999997</v>
      </c>
      <c r="F64" s="96">
        <f>-5.952+0.044+0.077-3.306-3.896+3.003+2.384+3.228</f>
        <v>-4.418000000000001</v>
      </c>
      <c r="G64" s="96">
        <f t="shared" si="62"/>
        <v>33.115000000000009</v>
      </c>
      <c r="H64" s="759">
        <f>20.441+7.178+20.577+0.318-6.135+3.584+8.7-11.107</f>
        <v>43.555999999999997</v>
      </c>
      <c r="I64" s="96">
        <f>6.839+0.77+1.226+3.21-16.334-8.776+1.01-7.827</f>
        <v>-19.881999999999998</v>
      </c>
      <c r="J64" s="96">
        <f>-14.204-9.96+2.77+6.223+20.512-0.32-2.02</f>
        <v>3.0009999999999972</v>
      </c>
      <c r="K64" s="96">
        <f>-1.938-2.392-6.085+6.773+18.681+0.886+2.773</f>
        <v>18.698</v>
      </c>
      <c r="L64" s="96">
        <f t="shared" si="63"/>
        <v>-3.347999999999999</v>
      </c>
      <c r="M64" s="759">
        <f>-30.14+0.812-26.212-0.796+30.771+36.414+0.726-13.106</f>
        <v>-1.530999999999997</v>
      </c>
      <c r="N64" s="96">
        <f>15.059-14.858+2.275-29.73-14.803+1.401-1.47</f>
        <v>-42.125999999999998</v>
      </c>
      <c r="O64" s="96">
        <f>-11.397+9.036+2.961-0.566+17.803+3.676+0.73</f>
        <v>22.242999999999999</v>
      </c>
      <c r="P64" s="145">
        <f>17.966+1.752-2.164+22.277+63.45-2.929-0.018</f>
        <v>100.334</v>
      </c>
      <c r="Q64" s="96">
        <f t="shared" si="64"/>
        <v>-102.315</v>
      </c>
      <c r="R64" s="759">
        <f>25.187+7.463+7.394-76.1+26.732-9.723-2.817</f>
        <v>-21.863999999999997</v>
      </c>
      <c r="S64" s="96">
        <f>-118.481+13.36-6.87-37.806+62.742-0.863+1.081</f>
        <v>-86.837000000000003</v>
      </c>
      <c r="T64" s="96">
        <f>67.736-8.217+12.497+27.497-51.814-13.73-1.543</f>
        <v>32.426000000000009</v>
      </c>
      <c r="U64" s="96">
        <f>-43.087-5.211-7.813+16.808+21.397+0.92-0.587</f>
        <v>-17.573000000000004</v>
      </c>
      <c r="V64" s="96">
        <f t="shared" si="65"/>
        <v>-65.134999999999962</v>
      </c>
      <c r="W64" s="759">
        <f>-164.581-11.521-3.084-8.98+70.175-15.497-3.631</f>
        <v>-137.11899999999997</v>
      </c>
      <c r="X64" s="96">
        <f>-14.786-35.08-4.266-9.92-7.52+1.575+0.28</f>
        <v>-69.716999999999985</v>
      </c>
      <c r="Y64" s="96">
        <f>8.183-16.433+1.133-9.035-15.121</f>
        <v>-31.273000000000003</v>
      </c>
      <c r="Z64" s="96">
        <f>-182.646-9.787-6.324+84.352-0.311</f>
        <v>-114.71600000000001</v>
      </c>
      <c r="AA64" s="96">
        <f t="shared" si="66"/>
        <v>-37.572000000000031</v>
      </c>
      <c r="AB64" s="759">
        <f>-219.431-80.304+54.827-29.07+20.7</f>
        <v>-253.27800000000002</v>
      </c>
      <c r="AC64" s="96">
        <f>-89.227-24.948-0.122+9.193</f>
        <v>-105.10400000000001</v>
      </c>
      <c r="AD64" s="96">
        <f>-44.775-33.96+5.354+47.375</f>
        <v>-26.006</v>
      </c>
      <c r="AE64" s="145">
        <f>52.961-46.15+49.786-53.858</f>
        <v>2.7390000000000043</v>
      </c>
      <c r="AF64" s="96">
        <f t="shared" si="67"/>
        <v>-249.92000000000002</v>
      </c>
      <c r="AG64" s="759">
        <f>-261.38-122.701+82.338-76.548</f>
        <v>-378.29100000000005</v>
      </c>
      <c r="AH64" s="96">
        <f>-30.1-69.2+4.2+52.6</f>
        <v>-42.500000000000007</v>
      </c>
      <c r="AI64" s="96">
        <f>-53.7-12.1+24.8-124.9</f>
        <v>-165.9</v>
      </c>
      <c r="AJ64" s="96">
        <f>-121.4-41.5+5.5+90.7</f>
        <v>-66.7</v>
      </c>
      <c r="AK64" s="96">
        <f t="shared" si="68"/>
        <v>-393.3</v>
      </c>
      <c r="AL64" s="759">
        <f>-572.4-174.3-110.3+188.6</f>
        <v>-668.4</v>
      </c>
      <c r="AM64" s="96">
        <f>-67-38.5-45.1-58.7</f>
        <v>-209.3</v>
      </c>
      <c r="AN64" s="96">
        <f>-241.8-48.3-118.4+111.2</f>
        <v>-297.3</v>
      </c>
      <c r="AO64" s="96">
        <f>-347.2-45.6-88.5+281.6</f>
        <v>-199.7</v>
      </c>
      <c r="AP64" s="96">
        <f>(AO13-AP13)+(AO14-AP14)+(AP28-AO28)</f>
        <v>-221.4188888888886</v>
      </c>
      <c r="AQ64" s="759">
        <f t="shared" si="69"/>
        <v>-927.71888888888861</v>
      </c>
      <c r="AR64" s="96">
        <f t="shared" ref="AR64:AU64" si="73">(AQ13-AR13)+(AQ14-AR14)+(AR28-AQ28)</f>
        <v>-60.123904000000152</v>
      </c>
      <c r="AS64" s="96">
        <f t="shared" si="73"/>
        <v>-64.30724900000024</v>
      </c>
      <c r="AT64" s="96">
        <f t="shared" si="73"/>
        <v>-103.06146577777736</v>
      </c>
      <c r="AU64" s="96">
        <f t="shared" si="73"/>
        <v>35.411734111110661</v>
      </c>
      <c r="AV64" s="759">
        <f t="shared" si="70"/>
        <v>-192.08088466666709</v>
      </c>
      <c r="BA64" s="759">
        <f>(AV13-BA13)+(AV14-BA14)+(BA28-AV28)</f>
        <v>-249.64870474722181</v>
      </c>
      <c r="BF64" s="759">
        <f>(BA13-BF13)+(BA14-BF14)+(BF28-BA28)</f>
        <v>-227.31354876481112</v>
      </c>
      <c r="BK64" s="759">
        <f>(BF13-BK13)+(BF14-BK14)+(BK28-BF28)</f>
        <v>-231.33740109433791</v>
      </c>
      <c r="BP64" s="759">
        <f>(BK13-BP13)+(BK14-BP14)+(BP28-BK28)</f>
        <v>-176.60309364486648</v>
      </c>
      <c r="BR64" s="758"/>
    </row>
    <row r="65" spans="2:70" s="96" customFormat="1">
      <c r="B65" s="765" t="s">
        <v>314</v>
      </c>
      <c r="C65" s="765">
        <f t="shared" ref="C65:R65" si="74">SUM(C58:C64)</f>
        <v>340.85299999999995</v>
      </c>
      <c r="D65" s="766">
        <f t="shared" si="74"/>
        <v>92.675999999999988</v>
      </c>
      <c r="E65" s="766">
        <f t="shared" si="74"/>
        <v>67.055999999999997</v>
      </c>
      <c r="F65" s="766">
        <f t="shared" si="74"/>
        <v>-62.370000000000012</v>
      </c>
      <c r="G65" s="766">
        <f t="shared" si="74"/>
        <v>106.96300000000001</v>
      </c>
      <c r="H65" s="765">
        <f t="shared" si="74"/>
        <v>204.32499999999999</v>
      </c>
      <c r="I65" s="766">
        <f t="shared" si="74"/>
        <v>46.972000000000016</v>
      </c>
      <c r="J65" s="766">
        <f t="shared" si="74"/>
        <v>97.081000000000003</v>
      </c>
      <c r="K65" s="766">
        <f t="shared" si="74"/>
        <v>89.197000000000003</v>
      </c>
      <c r="L65" s="766">
        <f t="shared" si="74"/>
        <v>127.64699999999998</v>
      </c>
      <c r="M65" s="765">
        <f t="shared" si="74"/>
        <v>360.89700000000005</v>
      </c>
      <c r="N65" s="766">
        <f t="shared" si="74"/>
        <v>44.753000000000007</v>
      </c>
      <c r="O65" s="766">
        <f t="shared" si="74"/>
        <v>108.913</v>
      </c>
      <c r="P65" s="780">
        <f t="shared" si="74"/>
        <v>110.92400000000001</v>
      </c>
      <c r="Q65" s="766">
        <f t="shared" si="74"/>
        <v>-1.3989999999999156</v>
      </c>
      <c r="R65" s="781">
        <f t="shared" si="74"/>
        <v>263.19100000000009</v>
      </c>
      <c r="S65" s="766">
        <f t="shared" ref="S65:AU65" si="75">SUM(S58:S64)</f>
        <v>86.33</v>
      </c>
      <c r="T65" s="766">
        <f t="shared" si="75"/>
        <v>226.65600000000001</v>
      </c>
      <c r="U65" s="766">
        <f t="shared" si="75"/>
        <v>173.70699999999997</v>
      </c>
      <c r="V65" s="766">
        <f t="shared" si="75"/>
        <v>189.77999999999994</v>
      </c>
      <c r="W65" s="765">
        <f t="shared" si="75"/>
        <v>676.47299999999996</v>
      </c>
      <c r="X65" s="766">
        <f t="shared" si="75"/>
        <v>167.23</v>
      </c>
      <c r="Y65" s="766">
        <f t="shared" si="75"/>
        <v>254.602</v>
      </c>
      <c r="Z65" s="766">
        <f t="shared" si="75"/>
        <v>166.82700000000006</v>
      </c>
      <c r="AA65" s="766">
        <f t="shared" si="75"/>
        <v>67.918999999999883</v>
      </c>
      <c r="AB65" s="765">
        <f>SUM(AB58:AB64)</f>
        <v>656.57799999999986</v>
      </c>
      <c r="AC65" s="782">
        <f t="shared" si="75"/>
        <v>255.34899999999996</v>
      </c>
      <c r="AD65" s="782">
        <f t="shared" si="75"/>
        <v>305.02800000000002</v>
      </c>
      <c r="AE65" s="782">
        <f t="shared" si="75"/>
        <v>201.71200000000002</v>
      </c>
      <c r="AF65" s="766">
        <f t="shared" si="75"/>
        <v>279.86799999999977</v>
      </c>
      <c r="AG65" s="765">
        <f t="shared" si="75"/>
        <v>1041.9569999999999</v>
      </c>
      <c r="AH65" s="766">
        <f t="shared" si="75"/>
        <v>484.30000000000007</v>
      </c>
      <c r="AI65" s="766">
        <f t="shared" si="75"/>
        <v>376.00000000000011</v>
      </c>
      <c r="AJ65" s="782">
        <f>SUM(AJ58:AJ64)</f>
        <v>618.70000000000005</v>
      </c>
      <c r="AK65" s="766">
        <f t="shared" si="75"/>
        <v>815.69999999999982</v>
      </c>
      <c r="AL65" s="765">
        <f t="shared" si="75"/>
        <v>2294.7000000000003</v>
      </c>
      <c r="AM65" s="766">
        <f t="shared" si="75"/>
        <v>491.09999999999997</v>
      </c>
      <c r="AN65" s="766">
        <f t="shared" si="75"/>
        <v>410.49999999999994</v>
      </c>
      <c r="AO65" s="766">
        <f t="shared" si="75"/>
        <v>736.5</v>
      </c>
      <c r="AP65" s="766">
        <f t="shared" si="75"/>
        <v>562.28111111111093</v>
      </c>
      <c r="AQ65" s="765">
        <f t="shared" si="75"/>
        <v>2200.3811111111113</v>
      </c>
      <c r="AR65" s="766">
        <f t="shared" si="75"/>
        <v>437.72057300000017</v>
      </c>
      <c r="AS65" s="766">
        <f t="shared" si="75"/>
        <v>745.46322545000021</v>
      </c>
      <c r="AT65" s="766">
        <f t="shared" si="75"/>
        <v>810.2995292722228</v>
      </c>
      <c r="AU65" s="766">
        <f t="shared" si="75"/>
        <v>1066.5251510111109</v>
      </c>
      <c r="AV65" s="765">
        <f>SUM(AV58:AV64)</f>
        <v>3060.0084787333344</v>
      </c>
      <c r="BA65" s="765">
        <f>SUM(BA58:BA64)</f>
        <v>3783.9947346202807</v>
      </c>
      <c r="BF65" s="765">
        <f>SUM(BF58:BF64)</f>
        <v>4369.4903717602438</v>
      </c>
      <c r="BK65" s="765">
        <f>SUM(BK58:BK64)</f>
        <v>4927.2339000238999</v>
      </c>
      <c r="BP65" s="765">
        <f>SUM(BP58:BP64)</f>
        <v>5433.3616156682929</v>
      </c>
      <c r="BR65" s="758"/>
    </row>
    <row r="66" spans="2:70" s="145" customFormat="1">
      <c r="B66" s="756" t="s">
        <v>315</v>
      </c>
      <c r="C66" s="756"/>
      <c r="D66" s="757"/>
      <c r="E66" s="757"/>
      <c r="F66" s="757"/>
      <c r="G66" s="757"/>
      <c r="H66" s="756"/>
      <c r="I66" s="757"/>
      <c r="J66" s="757"/>
      <c r="K66" s="783"/>
      <c r="L66" s="757"/>
      <c r="M66" s="756"/>
      <c r="N66" s="757"/>
      <c r="O66" s="757"/>
      <c r="P66" s="757"/>
      <c r="Q66" s="757"/>
      <c r="R66" s="756"/>
      <c r="S66" s="757"/>
      <c r="T66" s="757"/>
      <c r="U66" s="757"/>
      <c r="V66" s="757"/>
      <c r="W66" s="756"/>
      <c r="X66" s="757"/>
      <c r="Y66" s="757"/>
      <c r="Z66" s="757"/>
      <c r="AA66" s="757"/>
      <c r="AB66" s="756"/>
      <c r="AC66" s="757"/>
      <c r="AD66" s="757"/>
      <c r="AE66" s="757"/>
      <c r="AF66" s="757"/>
      <c r="AG66" s="756"/>
      <c r="AH66" s="757"/>
      <c r="AI66" s="757"/>
      <c r="AJ66" s="757"/>
      <c r="AK66" s="757"/>
      <c r="AL66" s="756"/>
      <c r="AM66" s="757"/>
      <c r="AN66" s="757"/>
      <c r="AO66" s="757"/>
      <c r="AP66" s="757"/>
      <c r="AQ66" s="756"/>
      <c r="AR66" s="757"/>
      <c r="AS66" s="757"/>
      <c r="AT66" s="757"/>
      <c r="AU66" s="757"/>
      <c r="AV66" s="756"/>
      <c r="AW66" s="757"/>
      <c r="AX66" s="757"/>
      <c r="AY66" s="757"/>
      <c r="AZ66" s="757"/>
      <c r="BA66" s="756"/>
      <c r="BB66" s="757"/>
      <c r="BC66" s="757"/>
      <c r="BD66" s="757"/>
      <c r="BE66" s="757"/>
      <c r="BF66" s="756"/>
      <c r="BG66" s="757"/>
      <c r="BH66" s="757"/>
      <c r="BI66" s="757"/>
      <c r="BJ66" s="757"/>
      <c r="BK66" s="756"/>
      <c r="BL66" s="757"/>
      <c r="BM66" s="757"/>
      <c r="BN66" s="757"/>
      <c r="BO66" s="757"/>
      <c r="BP66" s="756"/>
      <c r="BR66" s="758"/>
    </row>
    <row r="67" spans="2:70" s="96" customFormat="1">
      <c r="B67" s="759" t="s">
        <v>316</v>
      </c>
      <c r="C67" s="759">
        <v>-35.085999999999999</v>
      </c>
      <c r="D67" s="96">
        <v>-9.6780000000000008</v>
      </c>
      <c r="E67" s="96">
        <v>-7.7069999999999999</v>
      </c>
      <c r="F67" s="96">
        <v>-3.931</v>
      </c>
      <c r="G67" s="96">
        <f>H67-D67-E67-F67</f>
        <v>-0.68299999999999805</v>
      </c>
      <c r="H67" s="759">
        <v>-21.998999999999999</v>
      </c>
      <c r="I67" s="96">
        <v>-0.78600000000000003</v>
      </c>
      <c r="J67" s="96">
        <v>-0.84199999999999997</v>
      </c>
      <c r="K67" s="96">
        <f>-1.083</f>
        <v>-1.083</v>
      </c>
      <c r="L67" s="96">
        <f>M67-I67-J67-K67</f>
        <v>-4.7120000000000006</v>
      </c>
      <c r="M67" s="759">
        <v>-7.423</v>
      </c>
      <c r="N67" s="96">
        <v>-3.6339999999999999</v>
      </c>
      <c r="O67" s="96">
        <v>-2.86</v>
      </c>
      <c r="P67" s="145">
        <v>-1.0369999999999999</v>
      </c>
      <c r="Q67" s="96">
        <f>R67-N67-O67-P67</f>
        <v>5.7539999999999987</v>
      </c>
      <c r="R67" s="759">
        <f>-16.823+15.046</f>
        <v>-1.777000000000001</v>
      </c>
      <c r="S67" s="96">
        <v>-21.504999999999999</v>
      </c>
      <c r="T67" s="96">
        <v>-12.474</v>
      </c>
      <c r="U67" s="96">
        <v>-9.5839999999999996</v>
      </c>
      <c r="V67" s="96">
        <f>W67-S67-T67-U67</f>
        <v>-14.952000000000005</v>
      </c>
      <c r="W67" s="759">
        <v>-58.515000000000001</v>
      </c>
      <c r="X67" s="96">
        <v>-11.116</v>
      </c>
      <c r="Y67" s="96">
        <v>-13.601000000000001</v>
      </c>
      <c r="Z67" s="96">
        <f>-57.069</f>
        <v>-57.069000000000003</v>
      </c>
      <c r="AA67" s="96">
        <f>AB67-X67-Y67-Z67</f>
        <v>-25.852000000000004</v>
      </c>
      <c r="AB67" s="759">
        <f>-107.638</f>
        <v>-107.63800000000001</v>
      </c>
      <c r="AC67" s="96">
        <v>-14.042</v>
      </c>
      <c r="AD67" s="96">
        <f>-12.761</f>
        <v>-12.760999999999999</v>
      </c>
      <c r="AE67" s="96">
        <v>-24.931999999999999</v>
      </c>
      <c r="AF67" s="96">
        <f>AG67-AC67-AD67-AE67</f>
        <v>-63.584000000000003</v>
      </c>
      <c r="AG67" s="759">
        <v>-115.319</v>
      </c>
      <c r="AH67" s="96">
        <v>-58.1</v>
      </c>
      <c r="AI67" s="96">
        <f>-113.5</f>
        <v>-113.5</v>
      </c>
      <c r="AJ67" s="96">
        <f>-39.6</f>
        <v>-39.6</v>
      </c>
      <c r="AK67" s="96">
        <f>AL67-AH67-AI67-AJ67</f>
        <v>-80.400000000000034</v>
      </c>
      <c r="AL67" s="759">
        <f>-291.6</f>
        <v>-291.60000000000002</v>
      </c>
      <c r="AM67" s="96">
        <v>-65.8</v>
      </c>
      <c r="AN67" s="96">
        <v>-46.8</v>
      </c>
      <c r="AO67" s="96">
        <v>-51.1</v>
      </c>
      <c r="AP67" s="773">
        <v>-75</v>
      </c>
      <c r="AQ67" s="759">
        <f>SUM(AM67:AP67)</f>
        <v>-238.7</v>
      </c>
      <c r="AR67" s="773">
        <f>-350/4</f>
        <v>-87.5</v>
      </c>
      <c r="AS67" s="773">
        <f t="shared" ref="AS67:AU67" si="76">-350/4</f>
        <v>-87.5</v>
      </c>
      <c r="AT67" s="773">
        <f t="shared" si="76"/>
        <v>-87.5</v>
      </c>
      <c r="AU67" s="773">
        <f t="shared" si="76"/>
        <v>-87.5</v>
      </c>
      <c r="AV67" s="759">
        <f>SUM(AR67:AU67)</f>
        <v>-350</v>
      </c>
      <c r="BA67" s="774">
        <f>AV67</f>
        <v>-350</v>
      </c>
      <c r="BF67" s="774">
        <f>BA67</f>
        <v>-350</v>
      </c>
      <c r="BK67" s="774">
        <f>BF67</f>
        <v>-350</v>
      </c>
      <c r="BP67" s="774">
        <f>BK67</f>
        <v>-350</v>
      </c>
      <c r="BR67" s="758"/>
    </row>
    <row r="68" spans="2:70" s="96" customFormat="1">
      <c r="B68" s="759" t="s">
        <v>317</v>
      </c>
      <c r="C68" s="759">
        <f>-34.534+3.282+52.669-1.376</f>
        <v>20.040999999999997</v>
      </c>
      <c r="D68" s="96">
        <f>-2.926+2.95-79.725-4.9</f>
        <v>-84.600999999999999</v>
      </c>
      <c r="E68" s="96">
        <f>-83.048-0.856+1.5+12.187+79.735-0.015</f>
        <v>9.5030000000000001</v>
      </c>
      <c r="F68" s="96">
        <f>-99.63-0.999+8.712+83.048-0.016</f>
        <v>-8.8849999999999856</v>
      </c>
      <c r="G68" s="96">
        <f>H68-D68-E68-F68</f>
        <v>-1.8490000000000233</v>
      </c>
      <c r="H68" s="759">
        <f>-101.92-83.048+83.048-6.29+4.45+25.206+79.735-79.725-7.288</f>
        <v>-85.832000000000008</v>
      </c>
      <c r="I68" s="96">
        <f>0.013-5.25-1.019</f>
        <v>-6.2560000000000002</v>
      </c>
      <c r="J68" s="96">
        <f>-540.889-200+5.3-1.744+0.357+1.065</f>
        <v>-735.91100000000006</v>
      </c>
      <c r="K68" s="96">
        <f>-8.126+5.189-1.06+0.013+0.553</f>
        <v>-3.4309999999999996</v>
      </c>
      <c r="L68" s="96">
        <f>M68-I68-J68-K68</f>
        <v>10.249000000000096</v>
      </c>
      <c r="M68" s="759">
        <f>-561.829-200+23.113-5.25+5.25+5.189-3.823+1.078+0.923</f>
        <v>-735.34899999999993</v>
      </c>
      <c r="N68" s="96">
        <f>-50.003+8.542+1.215</f>
        <v>-40.245999999999995</v>
      </c>
      <c r="O68" s="96">
        <f>-10.242+3.75</f>
        <v>-6.4920000000000009</v>
      </c>
      <c r="P68" s="145">
        <f>308.982-1+6.422+2</f>
        <v>316.40400000000005</v>
      </c>
      <c r="Q68" s="96">
        <f>R68-N68-O68-P68</f>
        <v>-38.949999999999989</v>
      </c>
      <c r="R68" s="759">
        <f>308.982-84.532+7.965-1.699</f>
        <v>230.71600000000004</v>
      </c>
      <c r="S68" s="96">
        <f>-463.702-302.885-40.016+2.774</f>
        <v>-803.82899999999995</v>
      </c>
      <c r="T68" s="96">
        <f>-96.565-8+83.865-29.326</f>
        <v>-50.026000000000003</v>
      </c>
      <c r="U68" s="145">
        <f>-409.056-12.237-11.745</f>
        <v>-433.03800000000001</v>
      </c>
      <c r="V68" s="96">
        <f>W68-S68-T68-U68</f>
        <v>-1499.1</v>
      </c>
      <c r="W68" s="759">
        <f>-2464.108-327.437+86.639-81.087</f>
        <v>-2785.9929999999999</v>
      </c>
      <c r="X68" s="145">
        <f>-272.812-1.865+8.364-7.2+66.25</f>
        <v>-207.26300000000003</v>
      </c>
      <c r="Y68" s="145">
        <f>-454.02-0.695+1.048-8.873</f>
        <v>-462.53999999999996</v>
      </c>
      <c r="Z68" s="145">
        <f>0.628-6.305-245.367+10.717</f>
        <v>-240.32699999999997</v>
      </c>
      <c r="AA68" s="96">
        <f>AB68-X68-Y68-Z68</f>
        <v>-1947.9529999999997</v>
      </c>
      <c r="AB68" s="759">
        <f>-3485.286-73.495+624.774-7.2-8.872+91.996</f>
        <v>-2858.0829999999996</v>
      </c>
      <c r="AC68" s="775">
        <f>-237.603-0.707+9.027+8.429</f>
        <v>-220.85400000000001</v>
      </c>
      <c r="AD68" s="775">
        <f>-513.457-32.509+7.993+19.001</f>
        <v>-518.97199999999998</v>
      </c>
      <c r="AE68" s="145">
        <f>-4439.325-4.852</f>
        <v>-4444.1769999999997</v>
      </c>
      <c r="AF68" s="96">
        <f>AG68-AC68-AD68-AE68</f>
        <v>-81.064000000000306</v>
      </c>
      <c r="AG68" s="759">
        <f>-5253.543-69.636+41.092+17.02</f>
        <v>-5265.067</v>
      </c>
      <c r="AH68" s="145">
        <f>-306.3-21.1+1.4</f>
        <v>-326.00000000000006</v>
      </c>
      <c r="AI68" s="775">
        <f>-68-10.4-75.9+1.4</f>
        <v>-152.9</v>
      </c>
      <c r="AJ68" s="145">
        <f>-606.8-74.3+1477</f>
        <v>795.90000000000009</v>
      </c>
      <c r="AK68" s="96">
        <f>AL68-AH68-AI68-AJ68</f>
        <v>-125.10000000000002</v>
      </c>
      <c r="AL68" s="759">
        <f>-1102.6-179+1492.3+53.2-72-75.9+75.9</f>
        <v>191.90000000000003</v>
      </c>
      <c r="AM68" s="96">
        <f>-795-48.8+17.7+0.5</f>
        <v>-825.59999999999991</v>
      </c>
      <c r="AN68" s="96">
        <f>-13090.9-9.2+184.6-26.3+10343.9-0.5-10354.9</f>
        <v>-12953.3</v>
      </c>
      <c r="AO68" s="96">
        <v>-105.1</v>
      </c>
      <c r="AP68" s="773">
        <f>-800-166-100-500</f>
        <v>-1566</v>
      </c>
      <c r="AQ68" s="759">
        <f>SUM(AM68:AP68)</f>
        <v>-15450</v>
      </c>
      <c r="AR68" s="773">
        <v>-500</v>
      </c>
      <c r="AS68" s="773">
        <v>0</v>
      </c>
      <c r="AT68" s="773">
        <v>0</v>
      </c>
      <c r="AU68" s="776">
        <f>-170-175-130</f>
        <v>-475</v>
      </c>
      <c r="AV68" s="759">
        <f>SUM(AR68:AU68)</f>
        <v>-975</v>
      </c>
      <c r="BA68" s="784"/>
      <c r="BF68" s="759">
        <f>-BF115*BF116</f>
        <v>0</v>
      </c>
      <c r="BK68" s="759">
        <f>-BK115*BK116</f>
        <v>0</v>
      </c>
      <c r="BP68" s="759">
        <f>-BP115*BP116</f>
        <v>0</v>
      </c>
      <c r="BR68" s="758"/>
    </row>
    <row r="69" spans="2:70" s="96" customFormat="1">
      <c r="B69" s="765" t="s">
        <v>318</v>
      </c>
      <c r="C69" s="765">
        <f t="shared" ref="C69:AP69" si="77">SUM(C67:C68)</f>
        <v>-15.045000000000002</v>
      </c>
      <c r="D69" s="766">
        <f t="shared" si="77"/>
        <v>-94.278999999999996</v>
      </c>
      <c r="E69" s="766">
        <f t="shared" si="77"/>
        <v>1.7960000000000003</v>
      </c>
      <c r="F69" s="766">
        <f t="shared" si="77"/>
        <v>-12.815999999999985</v>
      </c>
      <c r="G69" s="766">
        <f t="shared" si="77"/>
        <v>-2.5320000000000213</v>
      </c>
      <c r="H69" s="765">
        <f t="shared" si="77"/>
        <v>-107.831</v>
      </c>
      <c r="I69" s="766">
        <f t="shared" si="77"/>
        <v>-7.0419999999999998</v>
      </c>
      <c r="J69" s="766">
        <f t="shared" si="77"/>
        <v>-736.75300000000004</v>
      </c>
      <c r="K69" s="766">
        <f t="shared" si="77"/>
        <v>-4.5139999999999993</v>
      </c>
      <c r="L69" s="766">
        <f t="shared" si="77"/>
        <v>5.5370000000000958</v>
      </c>
      <c r="M69" s="765">
        <f t="shared" si="77"/>
        <v>-742.77199999999993</v>
      </c>
      <c r="N69" s="766">
        <f t="shared" si="77"/>
        <v>-43.879999999999995</v>
      </c>
      <c r="O69" s="766">
        <f t="shared" si="77"/>
        <v>-9.3520000000000003</v>
      </c>
      <c r="P69" s="766">
        <f t="shared" si="77"/>
        <v>315.36700000000008</v>
      </c>
      <c r="Q69" s="766">
        <f t="shared" si="77"/>
        <v>-33.195999999999991</v>
      </c>
      <c r="R69" s="765">
        <f t="shared" si="77"/>
        <v>228.93900000000002</v>
      </c>
      <c r="S69" s="766">
        <f t="shared" si="77"/>
        <v>-825.33399999999995</v>
      </c>
      <c r="T69" s="766">
        <f t="shared" si="77"/>
        <v>-62.5</v>
      </c>
      <c r="U69" s="766">
        <f t="shared" si="77"/>
        <v>-442.62200000000001</v>
      </c>
      <c r="V69" s="766">
        <f t="shared" si="77"/>
        <v>-1514.0519999999999</v>
      </c>
      <c r="W69" s="765">
        <f t="shared" si="77"/>
        <v>-2844.5079999999998</v>
      </c>
      <c r="X69" s="766">
        <f t="shared" si="77"/>
        <v>-218.37900000000002</v>
      </c>
      <c r="Y69" s="766">
        <f t="shared" si="77"/>
        <v>-476.14099999999996</v>
      </c>
      <c r="Z69" s="766">
        <f t="shared" si="77"/>
        <v>-297.39599999999996</v>
      </c>
      <c r="AA69" s="766">
        <f t="shared" si="77"/>
        <v>-1973.8049999999998</v>
      </c>
      <c r="AB69" s="765">
        <f t="shared" si="77"/>
        <v>-2965.7209999999995</v>
      </c>
      <c r="AC69" s="785">
        <f t="shared" si="77"/>
        <v>-234.89600000000002</v>
      </c>
      <c r="AD69" s="785">
        <f t="shared" si="77"/>
        <v>-531.73299999999995</v>
      </c>
      <c r="AE69" s="766">
        <f t="shared" si="77"/>
        <v>-4469.1089999999995</v>
      </c>
      <c r="AF69" s="766">
        <f t="shared" si="77"/>
        <v>-144.64800000000031</v>
      </c>
      <c r="AG69" s="765">
        <f t="shared" si="77"/>
        <v>-5380.3860000000004</v>
      </c>
      <c r="AH69" s="767">
        <f t="shared" si="77"/>
        <v>-384.10000000000008</v>
      </c>
      <c r="AI69" s="785">
        <f>SUM(AI67:AI68)</f>
        <v>-266.39999999999998</v>
      </c>
      <c r="AJ69" s="766">
        <f t="shared" si="77"/>
        <v>756.30000000000007</v>
      </c>
      <c r="AK69" s="766">
        <f t="shared" si="77"/>
        <v>-205.50000000000006</v>
      </c>
      <c r="AL69" s="765">
        <f>SUM(AL67:AL68)</f>
        <v>-99.699999999999989</v>
      </c>
      <c r="AM69" s="766">
        <f t="shared" si="77"/>
        <v>-891.39999999999986</v>
      </c>
      <c r="AN69" s="766">
        <f t="shared" si="77"/>
        <v>-13000.099999999999</v>
      </c>
      <c r="AO69" s="766">
        <f t="shared" si="77"/>
        <v>-156.19999999999999</v>
      </c>
      <c r="AP69" s="766">
        <f t="shared" si="77"/>
        <v>-1641</v>
      </c>
      <c r="AQ69" s="765">
        <f>SUM(AQ67:AQ68)</f>
        <v>-15688.7</v>
      </c>
      <c r="AR69" s="766">
        <f t="shared" ref="AR69:AU69" si="78">SUM(AR67:AR68)</f>
        <v>-587.5</v>
      </c>
      <c r="AS69" s="766">
        <f t="shared" si="78"/>
        <v>-87.5</v>
      </c>
      <c r="AT69" s="766">
        <f t="shared" si="78"/>
        <v>-87.5</v>
      </c>
      <c r="AU69" s="766">
        <f t="shared" si="78"/>
        <v>-562.5</v>
      </c>
      <c r="AV69" s="765">
        <f>SUM(AV67:AV68)</f>
        <v>-1325</v>
      </c>
      <c r="BA69" s="765">
        <f>SUM(BA67:BA68)</f>
        <v>-350</v>
      </c>
      <c r="BF69" s="765">
        <f>SUM(BF67:BF68)</f>
        <v>-350</v>
      </c>
      <c r="BK69" s="765">
        <f>SUM(BK67:BK68)</f>
        <v>-350</v>
      </c>
      <c r="BP69" s="765">
        <f>SUM(BP67:BP68)</f>
        <v>-350</v>
      </c>
      <c r="BR69" s="758"/>
    </row>
    <row r="70" spans="2:70" s="145" customFormat="1">
      <c r="B70" s="756" t="s">
        <v>319</v>
      </c>
      <c r="C70" s="756"/>
      <c r="D70" s="757"/>
      <c r="E70" s="757"/>
      <c r="F70" s="757"/>
      <c r="G70" s="757"/>
      <c r="H70" s="756"/>
      <c r="I70" s="757"/>
      <c r="J70" s="757"/>
      <c r="K70" s="757"/>
      <c r="L70" s="757"/>
      <c r="M70" s="756"/>
      <c r="N70" s="757"/>
      <c r="O70" s="757"/>
      <c r="P70" s="757"/>
      <c r="Q70" s="757"/>
      <c r="R70" s="756"/>
      <c r="S70" s="757"/>
      <c r="T70" s="757"/>
      <c r="U70" s="757"/>
      <c r="V70" s="757"/>
      <c r="W70" s="756"/>
      <c r="X70" s="757"/>
      <c r="Y70" s="757"/>
      <c r="Z70" s="757"/>
      <c r="AA70" s="757"/>
      <c r="AB70" s="756"/>
      <c r="AC70" s="757"/>
      <c r="AD70" s="757"/>
      <c r="AE70" s="757"/>
      <c r="AF70" s="757"/>
      <c r="AG70" s="756"/>
      <c r="AH70" s="757"/>
      <c r="AI70" s="757"/>
      <c r="AJ70" s="757"/>
      <c r="AK70" s="757"/>
      <c r="AL70" s="756"/>
      <c r="AM70" s="757"/>
      <c r="AN70" s="757"/>
      <c r="AO70" s="757"/>
      <c r="AP70" s="757"/>
      <c r="AQ70" s="756"/>
      <c r="AR70" s="757"/>
      <c r="AS70" s="757"/>
      <c r="AT70" s="757"/>
      <c r="AU70" s="757"/>
      <c r="AV70" s="756"/>
      <c r="AW70" s="757"/>
      <c r="AX70" s="757"/>
      <c r="AY70" s="757"/>
      <c r="AZ70" s="757"/>
      <c r="BA70" s="756"/>
      <c r="BB70" s="757"/>
      <c r="BC70" s="757"/>
      <c r="BD70" s="757"/>
      <c r="BE70" s="757"/>
      <c r="BF70" s="756"/>
      <c r="BG70" s="757"/>
      <c r="BH70" s="757"/>
      <c r="BI70" s="757"/>
      <c r="BJ70" s="757"/>
      <c r="BK70" s="756"/>
      <c r="BL70" s="757"/>
      <c r="BM70" s="757"/>
      <c r="BN70" s="757"/>
      <c r="BO70" s="757"/>
      <c r="BP70" s="756"/>
      <c r="BR70" s="758"/>
    </row>
    <row r="71" spans="2:70" s="96" customFormat="1">
      <c r="B71" s="759" t="s">
        <v>320</v>
      </c>
      <c r="C71" s="759">
        <f>-406.756-11.25</f>
        <v>-418.00599999999997</v>
      </c>
      <c r="D71" s="96">
        <v>0</v>
      </c>
      <c r="E71" s="96">
        <v>0</v>
      </c>
      <c r="F71" s="96">
        <v>0</v>
      </c>
      <c r="G71" s="96">
        <f t="shared" ref="G71:G76" si="79">H71-D71-E71-F71</f>
        <v>0</v>
      </c>
      <c r="H71" s="759">
        <v>0</v>
      </c>
      <c r="I71" s="96">
        <v>0</v>
      </c>
      <c r="J71" s="96">
        <f>350+130</f>
        <v>480</v>
      </c>
      <c r="K71" s="96">
        <v>-75</v>
      </c>
      <c r="L71" s="96">
        <f t="shared" ref="L71:L76" si="80">M71-I71-J71-K71</f>
        <v>-55</v>
      </c>
      <c r="M71" s="759">
        <f>350+130-130</f>
        <v>350</v>
      </c>
      <c r="N71" s="96">
        <v>0</v>
      </c>
      <c r="O71" s="96">
        <f>-12.5</f>
        <v>-12.5</v>
      </c>
      <c r="P71" s="145">
        <f>4.474</f>
        <v>4.4740000000000002</v>
      </c>
      <c r="Q71" s="96">
        <f t="shared" ref="Q71:Q76" si="81">R71-N71-O71-P71</f>
        <v>208.60999999999999</v>
      </c>
      <c r="R71" s="759">
        <f>992.4-537.5-254.316</f>
        <v>200.58399999999997</v>
      </c>
      <c r="S71" s="145">
        <f>2139.688-975-139.225</f>
        <v>1025.4630000000002</v>
      </c>
      <c r="T71" s="96">
        <f>-199.788+100</f>
        <v>-99.788000000000011</v>
      </c>
      <c r="U71" s="145">
        <f>-11.088-202.587+690</f>
        <v>476.32500000000005</v>
      </c>
      <c r="V71" s="96">
        <f t="shared" ref="V71:V76" si="82">W71-S71-T71-U71</f>
        <v>1368.6869999999997</v>
      </c>
      <c r="W71" s="759">
        <f>5388.799-2004.641-613.471</f>
        <v>2770.6869999999999</v>
      </c>
      <c r="X71" s="145">
        <f>645.643-302.812+7.364-3.975</f>
        <v>346.21999999999997</v>
      </c>
      <c r="Y71" s="96">
        <f>640.767-127.181+12.236-21.582</f>
        <v>504.24</v>
      </c>
      <c r="Z71" s="96">
        <f>122.295-31.063+8.93-4.82-62.086</f>
        <v>33.256000000000014</v>
      </c>
      <c r="AA71" s="96">
        <f t="shared" ref="AA71:AA76" si="83">AB71-X71-Y71-Z71</f>
        <v>2586.9610000000007</v>
      </c>
      <c r="AB71" s="144">
        <f>6005.758-1929.118+35.365-31.075-3.975-606.278</f>
        <v>3470.6770000000006</v>
      </c>
      <c r="AC71" s="775">
        <f>-430.036+4.471-1.417</f>
        <v>-426.98199999999997</v>
      </c>
      <c r="AD71" s="775">
        <f>340-174.707+14.171-10.855</f>
        <v>168.60900000000001</v>
      </c>
      <c r="AE71" s="145">
        <f>7165.121-4781.025+4.764-25.258</f>
        <v>2363.6020000000008</v>
      </c>
      <c r="AF71" s="96">
        <f t="shared" ref="AF71:AF76" si="84">AG71-AC71-AD71-AE71</f>
        <v>-37.819000000000869</v>
      </c>
      <c r="AG71" s="759">
        <f>8441.356-6326.219+27.413-75.14</f>
        <v>2067.41</v>
      </c>
      <c r="AH71" s="145">
        <f>360.6-433.9+1.6-5.1</f>
        <v>-76.799999999999955</v>
      </c>
      <c r="AI71" s="775">
        <f>50-120.3+4.8-8.1</f>
        <v>-73.599999999999994</v>
      </c>
      <c r="AJ71" s="775">
        <f>-1629.8+555+6.1-6</f>
        <v>-1074.7</v>
      </c>
      <c r="AK71" s="96">
        <f>AL71-AH71-AI71-AJ71</f>
        <v>-1039.3000000000004</v>
      </c>
      <c r="AL71" s="759">
        <f>1632.6-3888+19.4-28.4</f>
        <v>-2264.4</v>
      </c>
      <c r="AM71" s="145">
        <f>12004.4-1110.3</f>
        <v>10894.1</v>
      </c>
      <c r="AN71" s="145">
        <f>4921.4-247.9-3122.8</f>
        <v>1550.6999999999998</v>
      </c>
      <c r="AO71" s="145">
        <f>-29</f>
        <v>-29</v>
      </c>
      <c r="AP71" s="776">
        <v>900</v>
      </c>
      <c r="AQ71" s="759">
        <f>SUM(AM71:AP71)</f>
        <v>13315.8</v>
      </c>
      <c r="AR71" s="772">
        <f>-405</f>
        <v>-405</v>
      </c>
      <c r="AS71" s="772">
        <v>-400</v>
      </c>
      <c r="AT71" s="772">
        <v>-450</v>
      </c>
      <c r="AU71" s="772">
        <v>-450</v>
      </c>
      <c r="AV71" s="777">
        <f>SUM(AR71:AU71)</f>
        <v>-1705</v>
      </c>
      <c r="AW71" s="764"/>
      <c r="AX71" s="764"/>
      <c r="AY71" s="764"/>
      <c r="AZ71" s="764"/>
      <c r="BA71" s="786">
        <v>-2500</v>
      </c>
      <c r="BB71" s="775"/>
      <c r="BC71" s="775"/>
      <c r="BD71" s="775"/>
      <c r="BE71" s="775"/>
      <c r="BF71" s="786">
        <v>-2500</v>
      </c>
      <c r="BG71" s="775"/>
      <c r="BH71" s="775"/>
      <c r="BI71" s="775"/>
      <c r="BJ71" s="775"/>
      <c r="BK71" s="786">
        <v>-2750</v>
      </c>
      <c r="BL71" s="775"/>
      <c r="BM71" s="775"/>
      <c r="BN71" s="775"/>
      <c r="BO71" s="775"/>
      <c r="BP71" s="786">
        <v>-3000</v>
      </c>
      <c r="BR71" s="758"/>
    </row>
    <row r="72" spans="2:70" s="96" customFormat="1">
      <c r="B72" s="759" t="s">
        <v>321</v>
      </c>
      <c r="C72" s="759">
        <f>11.217</f>
        <v>11.217000000000001</v>
      </c>
      <c r="D72" s="96">
        <v>0</v>
      </c>
      <c r="E72" s="96">
        <v>-25.538</v>
      </c>
      <c r="F72" s="96">
        <v>0</v>
      </c>
      <c r="G72" s="96">
        <f t="shared" si="79"/>
        <v>-4.3039999999999985</v>
      </c>
      <c r="H72" s="759">
        <v>-29.841999999999999</v>
      </c>
      <c r="I72" s="96">
        <v>0</v>
      </c>
      <c r="J72" s="96">
        <f>0.018</f>
        <v>1.7999999999999999E-2</v>
      </c>
      <c r="K72" s="96">
        <v>0</v>
      </c>
      <c r="L72" s="96">
        <f t="shared" si="80"/>
        <v>0.84799999999999998</v>
      </c>
      <c r="M72" s="759">
        <v>0.86599999999999999</v>
      </c>
      <c r="N72" s="96">
        <v>1.544</v>
      </c>
      <c r="O72" s="96">
        <v>1.254</v>
      </c>
      <c r="P72" s="145">
        <v>0</v>
      </c>
      <c r="Q72" s="96">
        <f t="shared" si="81"/>
        <v>-4.5030000000000054</v>
      </c>
      <c r="R72" s="759">
        <f>-60.13+58.425</f>
        <v>-1.7050000000000054</v>
      </c>
      <c r="S72" s="145">
        <f>-274.75+23.229</f>
        <v>-251.52100000000002</v>
      </c>
      <c r="T72" s="96">
        <f>-224.814+6.133</f>
        <v>-218.68099999999998</v>
      </c>
      <c r="U72" s="145">
        <f>-74.556+4.847</f>
        <v>-69.709000000000003</v>
      </c>
      <c r="V72" s="96">
        <f t="shared" si="82"/>
        <v>-57.592999999999904</v>
      </c>
      <c r="W72" s="759">
        <f>-639.242+41.738</f>
        <v>-597.50399999999991</v>
      </c>
      <c r="X72" s="145">
        <f>-108.724+5.108</f>
        <v>-103.616</v>
      </c>
      <c r="Y72" s="145">
        <f>-172+1.911</f>
        <v>-170.089</v>
      </c>
      <c r="Z72" s="145">
        <f>5.209</f>
        <v>5.2089999999999996</v>
      </c>
      <c r="AA72" s="96">
        <f t="shared" si="83"/>
        <v>10.798000000000005</v>
      </c>
      <c r="AB72" s="759">
        <f>-280.724+23.026</f>
        <v>-257.69799999999998</v>
      </c>
      <c r="AC72" s="145">
        <f>-35.005+2.677</f>
        <v>-32.328000000000003</v>
      </c>
      <c r="AD72" s="145">
        <f>2271.25-20.624+1.894</f>
        <v>2252.52</v>
      </c>
      <c r="AE72" s="775">
        <f>-1.37+2.538</f>
        <v>1.1679999999999997</v>
      </c>
      <c r="AF72" s="96">
        <f t="shared" si="84"/>
        <v>40.46200000000011</v>
      </c>
      <c r="AG72" s="759">
        <f>2307.436-55.629+10.015</f>
        <v>2261.8220000000001</v>
      </c>
      <c r="AH72" s="145">
        <v>3.5</v>
      </c>
      <c r="AI72" s="145">
        <f>3.6</f>
        <v>3.6</v>
      </c>
      <c r="AJ72" s="145">
        <f>3.8</f>
        <v>3.8</v>
      </c>
      <c r="AK72" s="96">
        <f>AL72-AH72-AI72-AJ72</f>
        <v>6.3</v>
      </c>
      <c r="AL72" s="759">
        <f>17.2</f>
        <v>17.2</v>
      </c>
      <c r="AM72" s="145">
        <f>1433.7+14.5</f>
        <v>1448.2</v>
      </c>
      <c r="AN72" s="145">
        <f>-50+7.6</f>
        <v>-42.4</v>
      </c>
      <c r="AO72" s="145">
        <f>7</f>
        <v>7</v>
      </c>
      <c r="AP72" s="145">
        <f>AP124-AP123</f>
        <v>0</v>
      </c>
      <c r="AQ72" s="759">
        <f>SUM(AM72:AP72)</f>
        <v>1412.8</v>
      </c>
      <c r="AR72" s="145">
        <f t="shared" ref="AR72:AU72" si="85">AR124-AR123</f>
        <v>0</v>
      </c>
      <c r="AS72" s="145">
        <f t="shared" si="85"/>
        <v>0</v>
      </c>
      <c r="AT72" s="145">
        <f t="shared" si="85"/>
        <v>0</v>
      </c>
      <c r="AU72" s="145">
        <f t="shared" si="85"/>
        <v>0</v>
      </c>
      <c r="AV72" s="759">
        <f>SUM(AR72:AU72)</f>
        <v>0</v>
      </c>
      <c r="BA72" s="759">
        <f>BA124-BA123</f>
        <v>0</v>
      </c>
      <c r="BF72" s="759">
        <f>BF124-BF123</f>
        <v>-858.49868365507018</v>
      </c>
      <c r="BK72" s="759">
        <f>BK124-BK123</f>
        <v>-1004.8725929400609</v>
      </c>
      <c r="BP72" s="759">
        <f>BP124-BP123</f>
        <v>-1144.308475005975</v>
      </c>
      <c r="BR72" s="758"/>
    </row>
    <row r="73" spans="2:70" s="96" customFormat="1">
      <c r="B73" s="759" t="s">
        <v>322</v>
      </c>
      <c r="C73" s="759">
        <v>-321.52300000000002</v>
      </c>
      <c r="D73" s="96">
        <v>0</v>
      </c>
      <c r="E73" s="96">
        <v>-120.768</v>
      </c>
      <c r="F73" s="96">
        <v>-59.518000000000001</v>
      </c>
      <c r="G73" s="96">
        <f t="shared" si="79"/>
        <v>-1.0000000000047748E-3</v>
      </c>
      <c r="H73" s="759">
        <v>-180.28700000000001</v>
      </c>
      <c r="I73" s="96">
        <v>-59.331000000000003</v>
      </c>
      <c r="J73" s="96">
        <v>-59.331000000000003</v>
      </c>
      <c r="K73" s="96">
        <v>-14.24</v>
      </c>
      <c r="L73" s="96">
        <f t="shared" si="80"/>
        <v>-14.24399999999998</v>
      </c>
      <c r="M73" s="759">
        <v>-147.14599999999999</v>
      </c>
      <c r="N73" s="96">
        <v>-14.246</v>
      </c>
      <c r="O73" s="96">
        <v>-14.256</v>
      </c>
      <c r="P73" s="145">
        <v>-15.064</v>
      </c>
      <c r="Q73" s="96">
        <f t="shared" si="81"/>
        <v>-312.72499999999997</v>
      </c>
      <c r="R73" s="759">
        <v>-356.291</v>
      </c>
      <c r="S73" s="96">
        <v>0</v>
      </c>
      <c r="T73" s="96">
        <v>0</v>
      </c>
      <c r="U73" s="96">
        <v>0</v>
      </c>
      <c r="V73" s="96">
        <f t="shared" si="82"/>
        <v>0</v>
      </c>
      <c r="W73" s="759">
        <v>0</v>
      </c>
      <c r="X73" s="145">
        <v>0</v>
      </c>
      <c r="Y73" s="96">
        <v>0</v>
      </c>
      <c r="Z73" s="96">
        <v>0</v>
      </c>
      <c r="AA73" s="96">
        <f t="shared" si="83"/>
        <v>0</v>
      </c>
      <c r="AB73" s="759">
        <v>0</v>
      </c>
      <c r="AC73" s="96">
        <v>0</v>
      </c>
      <c r="AD73" s="96">
        <v>0</v>
      </c>
      <c r="AE73" s="96">
        <v>0</v>
      </c>
      <c r="AF73" s="96">
        <f t="shared" si="84"/>
        <v>0</v>
      </c>
      <c r="AG73" s="759">
        <v>0</v>
      </c>
      <c r="AH73" s="96">
        <v>0</v>
      </c>
      <c r="AI73" s="96">
        <v>0</v>
      </c>
      <c r="AJ73" s="96">
        <v>0</v>
      </c>
      <c r="AK73" s="96">
        <f>AL73-AH73-AI73-AJ73</f>
        <v>0</v>
      </c>
      <c r="AL73" s="759">
        <v>0</v>
      </c>
      <c r="AM73" s="145">
        <v>0</v>
      </c>
      <c r="AN73" s="145">
        <v>0</v>
      </c>
      <c r="AO73" s="145">
        <v>0</v>
      </c>
      <c r="AP73" s="772">
        <v>0</v>
      </c>
      <c r="AQ73" s="759">
        <f>SUM(AM73:AP73)</f>
        <v>0</v>
      </c>
      <c r="AR73" s="772">
        <v>0</v>
      </c>
      <c r="AS73" s="772">
        <v>0</v>
      </c>
      <c r="AT73" s="772">
        <v>0</v>
      </c>
      <c r="AU73" s="772">
        <v>0</v>
      </c>
      <c r="AV73" s="759">
        <f>SUM(AR73:AU73)</f>
        <v>0</v>
      </c>
      <c r="BA73" s="759">
        <v>0</v>
      </c>
      <c r="BF73" s="759">
        <v>0</v>
      </c>
      <c r="BK73" s="759">
        <v>0</v>
      </c>
      <c r="BP73" s="759">
        <v>0</v>
      </c>
      <c r="BR73" s="758"/>
    </row>
    <row r="74" spans="2:70" s="96" customFormat="1">
      <c r="B74" s="759" t="s">
        <v>45</v>
      </c>
      <c r="C74" s="759">
        <f>-0.338</f>
        <v>-0.33800000000000002</v>
      </c>
      <c r="D74" s="96">
        <v>-0.13800000000000001</v>
      </c>
      <c r="E74" s="96">
        <v>-1.4E-2</v>
      </c>
      <c r="F74" s="96">
        <v>-3.1E-2</v>
      </c>
      <c r="G74" s="96">
        <f t="shared" si="79"/>
        <v>1.0000000000000148E-3</v>
      </c>
      <c r="H74" s="759">
        <f>-0.182</f>
        <v>-0.182</v>
      </c>
      <c r="I74" s="96">
        <v>0</v>
      </c>
      <c r="J74" s="96">
        <f>-26.274-0.393</f>
        <v>-26.667000000000002</v>
      </c>
      <c r="K74" s="96">
        <v>2.5999999999999999E-2</v>
      </c>
      <c r="L74" s="96">
        <f t="shared" si="80"/>
        <v>-3.2000000000000223E-2</v>
      </c>
      <c r="M74" s="759">
        <f>-26.274-0.399</f>
        <v>-26.673000000000002</v>
      </c>
      <c r="N74" s="96">
        <v>0</v>
      </c>
      <c r="O74" s="96">
        <v>0</v>
      </c>
      <c r="P74" s="145">
        <v>0</v>
      </c>
      <c r="Q74" s="96">
        <f t="shared" si="81"/>
        <v>-55.871000000000002</v>
      </c>
      <c r="R74" s="759">
        <f>-37.682-14.485-4.565+0.861</f>
        <v>-55.871000000000002</v>
      </c>
      <c r="S74" s="96">
        <f>-39.478+24.05-15.747</f>
        <v>-31.175000000000001</v>
      </c>
      <c r="T74" s="96">
        <f>-15.2+7.566-4.066</f>
        <v>-11.7</v>
      </c>
      <c r="U74" s="96">
        <f>-66.864-28.515-2.477+2.042-11.777</f>
        <v>-107.59100000000001</v>
      </c>
      <c r="V74" s="96">
        <f t="shared" si="82"/>
        <v>-74.552000000000021</v>
      </c>
      <c r="W74" s="759">
        <f>26.533-66.863-52.499-59.718-31.8-40.671</f>
        <v>-225.01800000000003</v>
      </c>
      <c r="X74" s="145">
        <f>0.593-3.824-27.5-1.435</f>
        <v>-32.166000000000004</v>
      </c>
      <c r="Y74" s="96">
        <f>2.882-9.91-33.518-1.107</f>
        <v>-41.652999999999999</v>
      </c>
      <c r="Z74" s="96">
        <f>2.367-7.376-18.826-22.562</f>
        <v>-46.397000000000006</v>
      </c>
      <c r="AA74" s="96">
        <f t="shared" si="83"/>
        <v>-35.394999999999996</v>
      </c>
      <c r="AB74" s="759">
        <f>-31.073-103.926-33.153+12.541</f>
        <v>-155.61099999999999</v>
      </c>
      <c r="AC74" s="96">
        <f>4.604-6.848-21.054-33.311</f>
        <v>-56.608999999999995</v>
      </c>
      <c r="AD74" s="96">
        <f>11.845-14.683-61.885-0.325</f>
        <v>-65.048000000000002</v>
      </c>
      <c r="AE74" s="96">
        <f>32.179-14.387-15.13-2.101-46.853</f>
        <v>-46.292000000000002</v>
      </c>
      <c r="AF74" s="96">
        <f t="shared" si="84"/>
        <v>-133.53100000000003</v>
      </c>
      <c r="AG74" s="759">
        <f>-65.505-130.06-128.014-2.101+24.2</f>
        <v>-301.48</v>
      </c>
      <c r="AH74" s="96">
        <f>1.2-27.7-9.7-3.3-9.9</f>
        <v>-49.4</v>
      </c>
      <c r="AI74" s="96">
        <f>-3.1-8.8-72.5-0.9-1.3</f>
        <v>-86.600000000000009</v>
      </c>
      <c r="AJ74" s="96">
        <f>15.9-2-14.4-10.2-0.5</f>
        <v>-11.2</v>
      </c>
      <c r="AK74" s="96">
        <f>AL74-AH74-AI74-AJ74</f>
        <v>-49.299999999999983</v>
      </c>
      <c r="AL74" s="759">
        <f>17.1-44.1-106.1-55.2-8.2</f>
        <v>-196.5</v>
      </c>
      <c r="AM74" s="145">
        <f>-15.9-12.3-26.6+0.9+17.9</f>
        <v>-36.000000000000007</v>
      </c>
      <c r="AN74" s="145">
        <f>7.7-45.6-68.7-75.1-1.3</f>
        <v>-183</v>
      </c>
      <c r="AO74" s="145">
        <f>-3.9-24.3-48.4-9.9</f>
        <v>-86.5</v>
      </c>
      <c r="AP74" s="772">
        <v>0</v>
      </c>
      <c r="AQ74" s="759">
        <f>SUM(AM74:AP74)</f>
        <v>-305.5</v>
      </c>
      <c r="AR74" s="772">
        <v>0</v>
      </c>
      <c r="AS74" s="772">
        <v>0</v>
      </c>
      <c r="AT74" s="772">
        <v>0</v>
      </c>
      <c r="AU74" s="772">
        <v>0</v>
      </c>
      <c r="AV74" s="759">
        <f>SUM(AR74:AU74)</f>
        <v>0</v>
      </c>
      <c r="BA74" s="759">
        <v>0</v>
      </c>
      <c r="BF74" s="759">
        <v>0</v>
      </c>
      <c r="BK74" s="759">
        <v>0</v>
      </c>
      <c r="BP74" s="759">
        <v>0</v>
      </c>
      <c r="BR74" s="758"/>
    </row>
    <row r="75" spans="2:70" s="96" customFormat="1">
      <c r="B75" s="765" t="s">
        <v>323</v>
      </c>
      <c r="C75" s="765">
        <f t="shared" ref="C75:AH75" si="86">SUM(C71:C74)</f>
        <v>-728.65</v>
      </c>
      <c r="D75" s="766">
        <f t="shared" si="86"/>
        <v>-0.13800000000000001</v>
      </c>
      <c r="E75" s="766">
        <f t="shared" si="86"/>
        <v>-146.32000000000002</v>
      </c>
      <c r="F75" s="766">
        <f t="shared" si="86"/>
        <v>-59.548999999999999</v>
      </c>
      <c r="G75" s="766">
        <f t="shared" si="86"/>
        <v>-4.3040000000000029</v>
      </c>
      <c r="H75" s="765">
        <f t="shared" si="86"/>
        <v>-210.31100000000001</v>
      </c>
      <c r="I75" s="766">
        <f t="shared" si="86"/>
        <v>-59.331000000000003</v>
      </c>
      <c r="J75" s="766">
        <f t="shared" si="86"/>
        <v>394.02</v>
      </c>
      <c r="K75" s="766">
        <f t="shared" si="86"/>
        <v>-89.213999999999999</v>
      </c>
      <c r="L75" s="766">
        <f t="shared" si="86"/>
        <v>-68.427999999999983</v>
      </c>
      <c r="M75" s="765">
        <f t="shared" si="86"/>
        <v>177.047</v>
      </c>
      <c r="N75" s="766">
        <f t="shared" si="86"/>
        <v>-12.702</v>
      </c>
      <c r="O75" s="766">
        <f t="shared" si="86"/>
        <v>-25.502000000000002</v>
      </c>
      <c r="P75" s="766">
        <f t="shared" si="86"/>
        <v>-10.59</v>
      </c>
      <c r="Q75" s="766">
        <f t="shared" si="86"/>
        <v>-164.489</v>
      </c>
      <c r="R75" s="765">
        <f t="shared" si="86"/>
        <v>-213.28300000000004</v>
      </c>
      <c r="S75" s="766">
        <f t="shared" si="86"/>
        <v>742.76700000000028</v>
      </c>
      <c r="T75" s="766">
        <f t="shared" si="86"/>
        <v>-330.16899999999998</v>
      </c>
      <c r="U75" s="766">
        <f t="shared" si="86"/>
        <v>299.02500000000003</v>
      </c>
      <c r="V75" s="766">
        <f t="shared" si="86"/>
        <v>1236.5419999999999</v>
      </c>
      <c r="W75" s="765">
        <f t="shared" si="86"/>
        <v>1948.165</v>
      </c>
      <c r="X75" s="766">
        <f t="shared" si="86"/>
        <v>210.43799999999999</v>
      </c>
      <c r="Y75" s="766">
        <f t="shared" si="86"/>
        <v>292.49799999999999</v>
      </c>
      <c r="Z75" s="766">
        <f t="shared" si="86"/>
        <v>-7.9319999999999879</v>
      </c>
      <c r="AA75" s="766">
        <f t="shared" si="86"/>
        <v>2562.3640000000009</v>
      </c>
      <c r="AB75" s="765">
        <f t="shared" si="86"/>
        <v>3057.3680000000008</v>
      </c>
      <c r="AC75" s="766">
        <f t="shared" si="86"/>
        <v>-515.91899999999998</v>
      </c>
      <c r="AD75" s="766">
        <f>SUM(AD71:AD74)</f>
        <v>2356.0810000000001</v>
      </c>
      <c r="AE75" s="766">
        <f t="shared" si="86"/>
        <v>2318.478000000001</v>
      </c>
      <c r="AF75" s="766">
        <f>SUM(AF71:AF74)</f>
        <v>-130.8880000000008</v>
      </c>
      <c r="AG75" s="765">
        <f>SUM(AG71:AG74)</f>
        <v>4027.752</v>
      </c>
      <c r="AH75" s="767">
        <f t="shared" si="86"/>
        <v>-122.69999999999996</v>
      </c>
      <c r="AI75" s="766">
        <f>SUM(AI71:AI74)</f>
        <v>-156.60000000000002</v>
      </c>
      <c r="AJ75" s="766">
        <f>SUM(AJ71:AJ74)</f>
        <v>-1082.1000000000001</v>
      </c>
      <c r="AK75" s="766">
        <f t="shared" ref="AK75:AP75" si="87">SUM(AK71:AK74)</f>
        <v>-1082.3000000000004</v>
      </c>
      <c r="AL75" s="765">
        <f t="shared" si="87"/>
        <v>-2443.7000000000003</v>
      </c>
      <c r="AM75" s="766">
        <f t="shared" si="87"/>
        <v>12306.300000000001</v>
      </c>
      <c r="AN75" s="766">
        <f t="shared" si="87"/>
        <v>1325.2999999999997</v>
      </c>
      <c r="AO75" s="766">
        <f t="shared" si="87"/>
        <v>-108.5</v>
      </c>
      <c r="AP75" s="766">
        <f t="shared" si="87"/>
        <v>900</v>
      </c>
      <c r="AQ75" s="765">
        <f>SUM(AQ71:AQ74)</f>
        <v>14423.099999999999</v>
      </c>
      <c r="AR75" s="787">
        <f t="shared" ref="AR75:AU75" si="88">SUM(AR71:AR74)</f>
        <v>-405</v>
      </c>
      <c r="AS75" s="787">
        <f t="shared" si="88"/>
        <v>-400</v>
      </c>
      <c r="AT75" s="787">
        <f t="shared" si="88"/>
        <v>-450</v>
      </c>
      <c r="AU75" s="787">
        <f t="shared" si="88"/>
        <v>-450</v>
      </c>
      <c r="AV75" s="765">
        <f>SUM(AV71:AV74)</f>
        <v>-1705</v>
      </c>
      <c r="BA75" s="765">
        <f>SUM(BA71:BA74)</f>
        <v>-2500</v>
      </c>
      <c r="BF75" s="765">
        <f>SUM(BF71:BF74)</f>
        <v>-3358.4986836550702</v>
      </c>
      <c r="BK75" s="765">
        <f>SUM(BK71:BK74)</f>
        <v>-3754.8725929400607</v>
      </c>
      <c r="BP75" s="765">
        <f>SUM(BP71:BP74)</f>
        <v>-4144.3084750059752</v>
      </c>
      <c r="BR75" s="758"/>
    </row>
    <row r="76" spans="2:70" s="96" customFormat="1">
      <c r="B76" s="759" t="s">
        <v>324</v>
      </c>
      <c r="C76" s="759">
        <v>1.9430000000000001</v>
      </c>
      <c r="D76" s="96">
        <v>-0.36299999999999999</v>
      </c>
      <c r="E76" s="96">
        <v>-1.2999999999999999E-2</v>
      </c>
      <c r="F76" s="96">
        <v>-0.316</v>
      </c>
      <c r="G76" s="96">
        <f t="shared" si="79"/>
        <v>-1.5850000000000002</v>
      </c>
      <c r="H76" s="759">
        <v>-2.2770000000000001</v>
      </c>
      <c r="I76" s="96">
        <v>-0.45200000000000001</v>
      </c>
      <c r="J76" s="96">
        <v>0.876</v>
      </c>
      <c r="K76" s="96">
        <v>1.0189999999999999</v>
      </c>
      <c r="L76" s="96">
        <f t="shared" si="80"/>
        <v>0.30100000000000038</v>
      </c>
      <c r="M76" s="759">
        <v>1.744</v>
      </c>
      <c r="N76" s="96">
        <v>0.25800000000000001</v>
      </c>
      <c r="O76" s="96">
        <v>-0.38500000000000001</v>
      </c>
      <c r="P76" s="145">
        <v>0.38700000000000001</v>
      </c>
      <c r="Q76" s="96">
        <f t="shared" si="81"/>
        <v>0.69899999999999984</v>
      </c>
      <c r="R76" s="759">
        <v>0.95899999999999996</v>
      </c>
      <c r="S76" s="96">
        <v>3.72</v>
      </c>
      <c r="T76" s="96">
        <v>3.206</v>
      </c>
      <c r="U76" s="96">
        <v>-14.496</v>
      </c>
      <c r="V76" s="96">
        <f t="shared" si="82"/>
        <v>-2.7180000000000017</v>
      </c>
      <c r="W76" s="759">
        <v>-10.288</v>
      </c>
      <c r="X76" s="96">
        <v>7.0789999999999997</v>
      </c>
      <c r="Y76" s="96">
        <v>-6.1719999999999997</v>
      </c>
      <c r="Z76" s="96">
        <v>0.96499999999999997</v>
      </c>
      <c r="AA76" s="96">
        <f t="shared" si="83"/>
        <v>1.883</v>
      </c>
      <c r="AB76" s="759">
        <v>3.7549999999999999</v>
      </c>
      <c r="AC76" s="96">
        <v>-6.8890000000000002</v>
      </c>
      <c r="AD76" s="96">
        <f>-3.722</f>
        <v>-3.722</v>
      </c>
      <c r="AE76" s="96">
        <v>5.8760000000000003</v>
      </c>
      <c r="AF76" s="96">
        <f t="shared" si="84"/>
        <v>-0.33899999999999952</v>
      </c>
      <c r="AG76" s="759">
        <v>-5.0739999999999998</v>
      </c>
      <c r="AH76" s="96">
        <v>-1.5</v>
      </c>
      <c r="AI76" s="96">
        <f>1.9</f>
        <v>1.9</v>
      </c>
      <c r="AJ76" s="96">
        <f>-15.3</f>
        <v>-15.3</v>
      </c>
      <c r="AK76" s="96">
        <f>AL76-AH76-AI76-AJ76</f>
        <v>-14.099999999999998</v>
      </c>
      <c r="AL76" s="759">
        <v>-29</v>
      </c>
      <c r="AM76" s="788">
        <f>-15.1+5.8</f>
        <v>-9.3000000000000007</v>
      </c>
      <c r="AN76" s="789">
        <v>3</v>
      </c>
      <c r="AO76" s="789">
        <v>-9.8000000000000007</v>
      </c>
      <c r="AP76" s="790">
        <v>0</v>
      </c>
      <c r="AQ76" s="759">
        <f>SUM(AM76:AP76)</f>
        <v>-16.100000000000001</v>
      </c>
      <c r="AR76" s="791">
        <v>0</v>
      </c>
      <c r="AS76" s="792">
        <v>0</v>
      </c>
      <c r="AT76" s="792">
        <v>0</v>
      </c>
      <c r="AU76" s="790">
        <v>0</v>
      </c>
      <c r="AV76" s="759">
        <f>SUM(AR76:AU76)</f>
        <v>0</v>
      </c>
      <c r="BA76" s="759">
        <v>0</v>
      </c>
      <c r="BF76" s="759">
        <v>0</v>
      </c>
      <c r="BK76" s="759">
        <v>0</v>
      </c>
      <c r="BP76" s="759">
        <v>0</v>
      </c>
      <c r="BR76" s="758"/>
    </row>
    <row r="77" spans="2:70" s="96" customFormat="1">
      <c r="B77" s="765" t="s">
        <v>325</v>
      </c>
      <c r="C77" s="765">
        <f t="shared" ref="C77:Q77" si="89">C76+C75+C69+C65</f>
        <v>-400.899</v>
      </c>
      <c r="D77" s="766">
        <f t="shared" si="89"/>
        <v>-2.1040000000000134</v>
      </c>
      <c r="E77" s="793">
        <f t="shared" si="89"/>
        <v>-77.481000000000037</v>
      </c>
      <c r="F77" s="766">
        <f t="shared" si="89"/>
        <v>-135.05099999999999</v>
      </c>
      <c r="G77" s="766">
        <f t="shared" si="89"/>
        <v>98.541999999999987</v>
      </c>
      <c r="H77" s="765">
        <f t="shared" si="89"/>
        <v>-116.09399999999999</v>
      </c>
      <c r="I77" s="766">
        <f t="shared" si="89"/>
        <v>-19.852999999999987</v>
      </c>
      <c r="J77" s="766">
        <f t="shared" si="89"/>
        <v>-244.77600000000007</v>
      </c>
      <c r="K77" s="766">
        <f t="shared" si="89"/>
        <v>-3.5119999999999862</v>
      </c>
      <c r="L77" s="766">
        <f t="shared" si="89"/>
        <v>65.057000000000102</v>
      </c>
      <c r="M77" s="765">
        <f t="shared" si="89"/>
        <v>-203.08399999999995</v>
      </c>
      <c r="N77" s="766">
        <f t="shared" si="89"/>
        <v>-11.570999999999991</v>
      </c>
      <c r="O77" s="766">
        <f t="shared" si="89"/>
        <v>73.673999999999992</v>
      </c>
      <c r="P77" s="780">
        <f t="shared" si="89"/>
        <v>416.08800000000008</v>
      </c>
      <c r="Q77" s="766">
        <f t="shared" si="89"/>
        <v>-198.38499999999991</v>
      </c>
      <c r="R77" s="765">
        <f>SUM(N77:Q77)</f>
        <v>279.80600000000015</v>
      </c>
      <c r="S77" s="766">
        <f t="shared" ref="S77:AP77" si="90">S76+S75+S69+S65</f>
        <v>7.4830000000003594</v>
      </c>
      <c r="T77" s="766">
        <f t="shared" si="90"/>
        <v>-162.80699999999996</v>
      </c>
      <c r="U77" s="766">
        <f t="shared" si="90"/>
        <v>15.614000000000004</v>
      </c>
      <c r="V77" s="766">
        <f t="shared" si="90"/>
        <v>-90.448000000000121</v>
      </c>
      <c r="W77" s="765">
        <f t="shared" si="90"/>
        <v>-230.1579999999999</v>
      </c>
      <c r="X77" s="766">
        <f t="shared" si="90"/>
        <v>166.36799999999997</v>
      </c>
      <c r="Y77" s="766">
        <f t="shared" si="90"/>
        <v>64.787000000000006</v>
      </c>
      <c r="Z77" s="766">
        <f t="shared" si="90"/>
        <v>-137.53599999999989</v>
      </c>
      <c r="AA77" s="766">
        <f t="shared" si="90"/>
        <v>658.36100000000079</v>
      </c>
      <c r="AB77" s="765">
        <f t="shared" si="90"/>
        <v>751.98000000000127</v>
      </c>
      <c r="AC77" s="766">
        <f t="shared" si="90"/>
        <v>-502.35500000000002</v>
      </c>
      <c r="AD77" s="766">
        <f>AD76+AD75+AD69+AD65</f>
        <v>2125.654</v>
      </c>
      <c r="AE77" s="766">
        <f t="shared" si="90"/>
        <v>-1943.0429999999983</v>
      </c>
      <c r="AF77" s="782">
        <f t="shared" si="90"/>
        <v>3.9929999999986308</v>
      </c>
      <c r="AG77" s="765">
        <f>AG76+AG75+AG69+AG65</f>
        <v>-315.75100000000066</v>
      </c>
      <c r="AH77" s="767">
        <f>AH76+AH75+AH69+AH65</f>
        <v>-24</v>
      </c>
      <c r="AI77" s="766">
        <f>AI76+AI75+AI69+AI65</f>
        <v>-45.099999999999909</v>
      </c>
      <c r="AJ77" s="766">
        <f t="shared" si="90"/>
        <v>277.60000000000002</v>
      </c>
      <c r="AK77" s="766">
        <f t="shared" si="90"/>
        <v>-486.2000000000005</v>
      </c>
      <c r="AL77" s="765">
        <f t="shared" si="90"/>
        <v>-277.69999999999982</v>
      </c>
      <c r="AM77" s="766">
        <f t="shared" si="90"/>
        <v>11896.700000000003</v>
      </c>
      <c r="AN77" s="766">
        <f t="shared" si="90"/>
        <v>-11261.3</v>
      </c>
      <c r="AO77" s="766">
        <f t="shared" si="90"/>
        <v>462</v>
      </c>
      <c r="AP77" s="766">
        <f t="shared" si="90"/>
        <v>-178.71888888888907</v>
      </c>
      <c r="AQ77" s="765">
        <f>AQ76+AQ75+AQ69+AQ65</f>
        <v>918.68111111110875</v>
      </c>
      <c r="AR77" s="794">
        <f t="shared" ref="AR77:AU77" si="91">AR76+AR75+AR69+AR65</f>
        <v>-554.77942699999983</v>
      </c>
      <c r="AS77" s="794">
        <f t="shared" si="91"/>
        <v>257.96322545000021</v>
      </c>
      <c r="AT77" s="794">
        <f t="shared" si="91"/>
        <v>272.7995292722228</v>
      </c>
      <c r="AU77" s="794">
        <f t="shared" si="91"/>
        <v>54.025151011110893</v>
      </c>
      <c r="AV77" s="765">
        <f>AV76+AV75+AV69+AV65</f>
        <v>30.008478733334414</v>
      </c>
      <c r="BA77" s="765">
        <f>BA76+BA75+BA69+BA65</f>
        <v>933.99473462028072</v>
      </c>
      <c r="BF77" s="765">
        <f>BF76+BF75+BF69+BF65</f>
        <v>660.99168810517358</v>
      </c>
      <c r="BK77" s="765">
        <f>BK76+BK75+BK69+BK65</f>
        <v>822.36130708383916</v>
      </c>
      <c r="BP77" s="765">
        <f>BP76+BP75+BP69+BP65</f>
        <v>939.05314066231767</v>
      </c>
      <c r="BR77" s="758"/>
    </row>
    <row r="78" spans="2:70" s="96" customFormat="1">
      <c r="B78" s="795" t="s">
        <v>326</v>
      </c>
      <c r="C78" s="796">
        <v>834.54</v>
      </c>
      <c r="D78" s="797">
        <f>C79</f>
        <v>433.64099999999996</v>
      </c>
      <c r="E78" s="798">
        <f>D79</f>
        <v>431.53699999999992</v>
      </c>
      <c r="F78" s="798">
        <f>E79</f>
        <v>354.05599999999987</v>
      </c>
      <c r="G78" s="798">
        <f>F79</f>
        <v>219.00499999999988</v>
      </c>
      <c r="H78" s="795">
        <f>D78</f>
        <v>433.64099999999996</v>
      </c>
      <c r="I78" s="797">
        <f>G79</f>
        <v>317.54699999999985</v>
      </c>
      <c r="J78" s="798">
        <f>I79</f>
        <v>297.69399999999985</v>
      </c>
      <c r="K78" s="798">
        <f>J79</f>
        <v>52.917999999999779</v>
      </c>
      <c r="L78" s="798">
        <f>K79</f>
        <v>49.405999999999793</v>
      </c>
      <c r="M78" s="795">
        <f>I78</f>
        <v>317.54699999999985</v>
      </c>
      <c r="N78" s="797">
        <f>L79</f>
        <v>114.46299999999989</v>
      </c>
      <c r="O78" s="798">
        <f>N79</f>
        <v>102.89199999999991</v>
      </c>
      <c r="P78" s="799">
        <f>O79</f>
        <v>176.56599999999992</v>
      </c>
      <c r="Q78" s="798">
        <f>P79</f>
        <v>592.654</v>
      </c>
      <c r="R78" s="795">
        <f>N78</f>
        <v>114.46299999999989</v>
      </c>
      <c r="S78" s="797">
        <v>394.26900000000001</v>
      </c>
      <c r="T78" s="798">
        <f>S79</f>
        <v>401.75200000000035</v>
      </c>
      <c r="U78" s="798">
        <f>T79</f>
        <v>238.94499999999999</v>
      </c>
      <c r="V78" s="798">
        <f>U79</f>
        <v>254.559</v>
      </c>
      <c r="W78" s="795">
        <f>S78</f>
        <v>394.26900000000001</v>
      </c>
      <c r="X78" s="797">
        <v>164.11099999999999</v>
      </c>
      <c r="Y78" s="798">
        <f>X79</f>
        <v>330.47899999999993</v>
      </c>
      <c r="Z78" s="798">
        <f>Y79</f>
        <v>395.26599999999996</v>
      </c>
      <c r="AA78" s="798">
        <f>Z79</f>
        <v>257.73000000000008</v>
      </c>
      <c r="AB78" s="795">
        <v>164.11099999999999</v>
      </c>
      <c r="AC78" s="797">
        <v>916.09100000000001</v>
      </c>
      <c r="AD78" s="798">
        <f>AC79</f>
        <v>413.73599999999999</v>
      </c>
      <c r="AE78" s="798">
        <f>AD79</f>
        <v>2539.39</v>
      </c>
      <c r="AF78" s="798">
        <f>AE79</f>
        <v>596.34700000000157</v>
      </c>
      <c r="AG78" s="795">
        <f>AC78</f>
        <v>916.09100000000001</v>
      </c>
      <c r="AH78" s="798">
        <f>AG79</f>
        <v>600.29999999999995</v>
      </c>
      <c r="AI78" s="798">
        <f>AH79</f>
        <v>576.29999999999995</v>
      </c>
      <c r="AJ78" s="798">
        <f>AI79</f>
        <v>531.20000000000005</v>
      </c>
      <c r="AK78" s="798">
        <f>AJ79</f>
        <v>808.80000000000007</v>
      </c>
      <c r="AL78" s="795">
        <f>AG79</f>
        <v>600.29999999999995</v>
      </c>
      <c r="AM78" s="798">
        <f>AL79</f>
        <v>322.60000000000014</v>
      </c>
      <c r="AN78" s="798">
        <f>AM79</f>
        <v>12219.300000000003</v>
      </c>
      <c r="AO78" s="798">
        <f>AN79</f>
        <v>958.00000000000364</v>
      </c>
      <c r="AP78" s="798">
        <f>AO79</f>
        <v>1420.0000000000036</v>
      </c>
      <c r="AQ78" s="795">
        <f>AL79</f>
        <v>322.60000000000014</v>
      </c>
      <c r="AR78" s="798">
        <f t="shared" ref="AR78:AU78" si="92">AQ79</f>
        <v>1241.2811111111089</v>
      </c>
      <c r="AS78" s="798">
        <f t="shared" si="92"/>
        <v>686.50168411110906</v>
      </c>
      <c r="AT78" s="798">
        <f t="shared" si="92"/>
        <v>944.46490956110927</v>
      </c>
      <c r="AU78" s="798">
        <f t="shared" si="92"/>
        <v>1217.264438833332</v>
      </c>
      <c r="AV78" s="795">
        <f>AQ79</f>
        <v>1241.2811111111089</v>
      </c>
      <c r="BA78" s="795">
        <f>AV79</f>
        <v>1271.2895898444433</v>
      </c>
      <c r="BF78" s="795">
        <f>BA79</f>
        <v>2205.2843244647238</v>
      </c>
      <c r="BK78" s="795">
        <f>BF79</f>
        <v>2866.2760125698974</v>
      </c>
      <c r="BP78" s="795">
        <f>BK79</f>
        <v>3688.6373196537365</v>
      </c>
      <c r="BR78" s="758"/>
    </row>
    <row r="79" spans="2:70" s="96" customFormat="1">
      <c r="B79" s="800" t="s">
        <v>327</v>
      </c>
      <c r="C79" s="800">
        <f t="shared" ref="C79:R79" si="93">C77+C78</f>
        <v>433.64099999999996</v>
      </c>
      <c r="D79" s="801">
        <f t="shared" si="93"/>
        <v>431.53699999999992</v>
      </c>
      <c r="E79" s="802">
        <f t="shared" si="93"/>
        <v>354.05599999999987</v>
      </c>
      <c r="F79" s="802">
        <f t="shared" si="93"/>
        <v>219.00499999999988</v>
      </c>
      <c r="G79" s="802">
        <f t="shared" si="93"/>
        <v>317.54699999999985</v>
      </c>
      <c r="H79" s="800">
        <f t="shared" si="93"/>
        <v>317.54699999999997</v>
      </c>
      <c r="I79" s="801">
        <f t="shared" si="93"/>
        <v>297.69399999999985</v>
      </c>
      <c r="J79" s="802">
        <f t="shared" si="93"/>
        <v>52.917999999999779</v>
      </c>
      <c r="K79" s="802">
        <f t="shared" si="93"/>
        <v>49.405999999999793</v>
      </c>
      <c r="L79" s="802">
        <f t="shared" si="93"/>
        <v>114.46299999999989</v>
      </c>
      <c r="M79" s="800">
        <f t="shared" si="93"/>
        <v>114.46299999999991</v>
      </c>
      <c r="N79" s="801">
        <f t="shared" si="93"/>
        <v>102.89199999999991</v>
      </c>
      <c r="O79" s="802">
        <f t="shared" si="93"/>
        <v>176.56599999999992</v>
      </c>
      <c r="P79" s="802">
        <f t="shared" si="93"/>
        <v>592.654</v>
      </c>
      <c r="Q79" s="802">
        <f t="shared" si="93"/>
        <v>394.26900000000012</v>
      </c>
      <c r="R79" s="800">
        <f t="shared" si="93"/>
        <v>394.26900000000006</v>
      </c>
      <c r="S79" s="801">
        <f>S77+S78</f>
        <v>401.75200000000035</v>
      </c>
      <c r="T79" s="802">
        <v>238.94499999999999</v>
      </c>
      <c r="U79" s="802">
        <f t="shared" ref="U79:AB79" si="94">U77+U78</f>
        <v>254.559</v>
      </c>
      <c r="V79" s="802">
        <f t="shared" si="94"/>
        <v>164.11099999999988</v>
      </c>
      <c r="W79" s="800">
        <f t="shared" si="94"/>
        <v>164.1110000000001</v>
      </c>
      <c r="X79" s="801">
        <f t="shared" si="94"/>
        <v>330.47899999999993</v>
      </c>
      <c r="Y79" s="802">
        <f t="shared" si="94"/>
        <v>395.26599999999996</v>
      </c>
      <c r="Z79" s="802">
        <f t="shared" si="94"/>
        <v>257.73000000000008</v>
      </c>
      <c r="AA79" s="802">
        <f t="shared" si="94"/>
        <v>916.0910000000008</v>
      </c>
      <c r="AB79" s="800">
        <f t="shared" si="94"/>
        <v>916.09100000000126</v>
      </c>
      <c r="AC79" s="801">
        <f>AC77+AC78</f>
        <v>413.73599999999999</v>
      </c>
      <c r="AD79" s="803">
        <f>AD77+AD78</f>
        <v>2539.39</v>
      </c>
      <c r="AE79" s="802">
        <f>AE77+AE78</f>
        <v>596.34700000000157</v>
      </c>
      <c r="AF79" s="802">
        <f>AF77+AF78</f>
        <v>600.34000000000015</v>
      </c>
      <c r="AG79" s="800">
        <v>600.29999999999995</v>
      </c>
      <c r="AH79" s="802">
        <f t="shared" ref="AH79:AU79" si="95">AH77+AH78</f>
        <v>576.29999999999995</v>
      </c>
      <c r="AI79" s="803">
        <f>AI77+AI78</f>
        <v>531.20000000000005</v>
      </c>
      <c r="AJ79" s="802">
        <f t="shared" si="95"/>
        <v>808.80000000000007</v>
      </c>
      <c r="AK79" s="802">
        <f t="shared" si="95"/>
        <v>322.59999999999957</v>
      </c>
      <c r="AL79" s="800">
        <f t="shared" si="95"/>
        <v>322.60000000000014</v>
      </c>
      <c r="AM79" s="802">
        <f t="shared" si="95"/>
        <v>12219.300000000003</v>
      </c>
      <c r="AN79" s="802">
        <f t="shared" si="95"/>
        <v>958.00000000000364</v>
      </c>
      <c r="AO79" s="802">
        <f t="shared" si="95"/>
        <v>1420.0000000000036</v>
      </c>
      <c r="AP79" s="802">
        <f t="shared" si="95"/>
        <v>1241.2811111111146</v>
      </c>
      <c r="AQ79" s="800">
        <f t="shared" si="95"/>
        <v>1241.2811111111089</v>
      </c>
      <c r="AR79" s="802">
        <f t="shared" si="95"/>
        <v>686.50168411110906</v>
      </c>
      <c r="AS79" s="802">
        <f t="shared" si="95"/>
        <v>944.46490956110927</v>
      </c>
      <c r="AT79" s="802">
        <f t="shared" si="95"/>
        <v>1217.264438833332</v>
      </c>
      <c r="AU79" s="802">
        <f t="shared" si="95"/>
        <v>1271.2895898444428</v>
      </c>
      <c r="AV79" s="800">
        <f>AV77+AV78</f>
        <v>1271.2895898444433</v>
      </c>
      <c r="BA79" s="800">
        <f>BA77+BA78</f>
        <v>2205.2843244647238</v>
      </c>
      <c r="BF79" s="800">
        <f>BF77+BF78</f>
        <v>2866.2760125698974</v>
      </c>
      <c r="BK79" s="800">
        <f>BK77+BK78</f>
        <v>3688.6373196537365</v>
      </c>
      <c r="BP79" s="800">
        <f>BP77+BP78</f>
        <v>4627.6904603160547</v>
      </c>
      <c r="BR79" s="758"/>
    </row>
    <row r="80" spans="2:70" s="768" customFormat="1">
      <c r="B80" s="768" t="s">
        <v>305</v>
      </c>
      <c r="C80" s="768">
        <f t="shared" ref="C80:AU80" si="96">C11-C79</f>
        <v>0</v>
      </c>
      <c r="D80" s="768">
        <f t="shared" si="96"/>
        <v>0</v>
      </c>
      <c r="E80" s="768">
        <f t="shared" si="96"/>
        <v>0</v>
      </c>
      <c r="F80" s="768">
        <f t="shared" si="96"/>
        <v>0</v>
      </c>
      <c r="G80" s="768">
        <f t="shared" si="96"/>
        <v>0</v>
      </c>
      <c r="H80" s="768">
        <f t="shared" si="96"/>
        <v>0</v>
      </c>
      <c r="I80" s="768">
        <f t="shared" si="96"/>
        <v>0</v>
      </c>
      <c r="J80" s="768">
        <f t="shared" si="96"/>
        <v>2.2026824808563106E-13</v>
      </c>
      <c r="K80" s="768">
        <f t="shared" si="96"/>
        <v>2.0605739337042905E-13</v>
      </c>
      <c r="L80" s="768">
        <f t="shared" si="96"/>
        <v>0</v>
      </c>
      <c r="M80" s="768">
        <f t="shared" si="96"/>
        <v>0</v>
      </c>
      <c r="N80" s="768">
        <f t="shared" si="96"/>
        <v>0</v>
      </c>
      <c r="O80" s="768">
        <f t="shared" si="96"/>
        <v>0</v>
      </c>
      <c r="P80" s="768">
        <f t="shared" si="96"/>
        <v>0</v>
      </c>
      <c r="Q80" s="768">
        <f t="shared" si="96"/>
        <v>0</v>
      </c>
      <c r="R80" s="768">
        <f t="shared" si="96"/>
        <v>0</v>
      </c>
      <c r="S80" s="768">
        <f t="shared" si="96"/>
        <v>0</v>
      </c>
      <c r="T80" s="768">
        <f t="shared" si="96"/>
        <v>0</v>
      </c>
      <c r="U80" s="804">
        <f t="shared" si="96"/>
        <v>0</v>
      </c>
      <c r="V80" s="768">
        <f t="shared" si="96"/>
        <v>0</v>
      </c>
      <c r="W80" s="768">
        <f t="shared" si="96"/>
        <v>0</v>
      </c>
      <c r="X80" s="768">
        <f t="shared" si="96"/>
        <v>0</v>
      </c>
      <c r="Y80" s="768">
        <f t="shared" si="96"/>
        <v>0</v>
      </c>
      <c r="Z80" s="805">
        <f t="shared" si="96"/>
        <v>0</v>
      </c>
      <c r="AA80" s="768">
        <f t="shared" si="96"/>
        <v>0</v>
      </c>
      <c r="AB80" s="768">
        <f t="shared" si="96"/>
        <v>-1.2505552149377763E-12</v>
      </c>
      <c r="AC80" s="805">
        <f t="shared" si="96"/>
        <v>0</v>
      </c>
      <c r="AD80" s="768">
        <f t="shared" si="96"/>
        <v>0</v>
      </c>
      <c r="AE80" s="804">
        <f t="shared" si="96"/>
        <v>-1.5916157281026244E-12</v>
      </c>
      <c r="AF80" s="768">
        <f t="shared" si="96"/>
        <v>0</v>
      </c>
      <c r="AG80" s="768">
        <f t="shared" si="96"/>
        <v>0</v>
      </c>
      <c r="AH80" s="806">
        <f t="shared" si="96"/>
        <v>0</v>
      </c>
      <c r="AI80" s="768">
        <f>AI11-AI79</f>
        <v>0</v>
      </c>
      <c r="AJ80" s="804">
        <f t="shared" si="96"/>
        <v>0</v>
      </c>
      <c r="AK80" s="804">
        <f t="shared" si="96"/>
        <v>4.5474735088646412E-13</v>
      </c>
      <c r="AL80" s="768">
        <f t="shared" si="96"/>
        <v>0</v>
      </c>
      <c r="AM80" s="807">
        <f t="shared" si="96"/>
        <v>0</v>
      </c>
      <c r="AN80" s="768">
        <f t="shared" si="96"/>
        <v>-3.637978807091713E-12</v>
      </c>
      <c r="AO80" s="804">
        <f t="shared" si="96"/>
        <v>-3.637978807091713E-12</v>
      </c>
      <c r="AP80" s="804">
        <f t="shared" si="96"/>
        <v>0</v>
      </c>
      <c r="AQ80" s="768">
        <f t="shared" si="96"/>
        <v>5.6843418860808015E-12</v>
      </c>
      <c r="AR80" s="804">
        <f t="shared" si="96"/>
        <v>0</v>
      </c>
      <c r="AS80" s="804">
        <f t="shared" si="96"/>
        <v>0</v>
      </c>
      <c r="AT80" s="804">
        <f t="shared" si="96"/>
        <v>0</v>
      </c>
      <c r="AU80" s="804">
        <f t="shared" si="96"/>
        <v>0</v>
      </c>
      <c r="AV80" s="768">
        <f>AV11-AV79</f>
        <v>0</v>
      </c>
      <c r="BA80" s="768">
        <f>BA11-BA79</f>
        <v>0</v>
      </c>
      <c r="BF80" s="768">
        <f>BF11-BF79</f>
        <v>0</v>
      </c>
      <c r="BK80" s="768">
        <f>BK11-BK79</f>
        <v>0</v>
      </c>
      <c r="BP80" s="768">
        <f>BP11-BP79</f>
        <v>0</v>
      </c>
    </row>
    <row r="81" spans="2:70" s="96" customFormat="1">
      <c r="AN81" s="243"/>
    </row>
    <row r="82" spans="2:70" s="96" customFormat="1">
      <c r="B82" s="808" t="s">
        <v>328</v>
      </c>
      <c r="C82" s="809">
        <f>C11+C12</f>
        <v>437.536</v>
      </c>
      <c r="D82" s="810"/>
      <c r="E82" s="810"/>
      <c r="F82" s="810"/>
      <c r="G82" s="811"/>
      <c r="H82" s="809">
        <f>H11+H12</f>
        <v>318.26600000000002</v>
      </c>
      <c r="I82" s="810"/>
      <c r="J82" s="810"/>
      <c r="K82" s="810"/>
      <c r="L82" s="811"/>
      <c r="M82" s="809">
        <f t="shared" ref="M82:AU82" si="97">M11+M12</f>
        <v>124.029</v>
      </c>
      <c r="N82" s="810">
        <f t="shared" si="97"/>
        <v>111.12299999999999</v>
      </c>
      <c r="O82" s="810">
        <f t="shared" si="97"/>
        <v>182.804</v>
      </c>
      <c r="P82" s="810">
        <f t="shared" si="97"/>
        <v>598.245</v>
      </c>
      <c r="Q82" s="811">
        <f t="shared" si="97"/>
        <v>400.35200000000003</v>
      </c>
      <c r="R82" s="809">
        <f t="shared" si="97"/>
        <v>400.35200000000003</v>
      </c>
      <c r="S82" s="810">
        <f t="shared" si="97"/>
        <v>406.053</v>
      </c>
      <c r="T82" s="810">
        <f t="shared" si="97"/>
        <v>241.899</v>
      </c>
      <c r="U82" s="810">
        <f t="shared" si="97"/>
        <v>257.52600000000001</v>
      </c>
      <c r="V82" s="811">
        <f t="shared" si="97"/>
        <v>170.44899999999998</v>
      </c>
      <c r="W82" s="809">
        <f t="shared" si="97"/>
        <v>170.44899999999998</v>
      </c>
      <c r="X82" s="810">
        <f t="shared" si="97"/>
        <v>331.52799999999996</v>
      </c>
      <c r="Y82" s="810">
        <f t="shared" si="97"/>
        <v>395.26600000000002</v>
      </c>
      <c r="Z82" s="810">
        <f t="shared" si="97"/>
        <v>257.73</v>
      </c>
      <c r="AA82" s="811">
        <f t="shared" si="97"/>
        <v>920.50099999999998</v>
      </c>
      <c r="AB82" s="809">
        <f t="shared" si="97"/>
        <v>920.50099999999998</v>
      </c>
      <c r="AC82" s="810">
        <f t="shared" si="97"/>
        <v>413.73599999999999</v>
      </c>
      <c r="AD82" s="810">
        <f t="shared" si="97"/>
        <v>2539.39</v>
      </c>
      <c r="AE82" s="810">
        <f t="shared" si="97"/>
        <v>596.34699999999998</v>
      </c>
      <c r="AF82" s="811">
        <f t="shared" si="97"/>
        <v>600.34</v>
      </c>
      <c r="AG82" s="809">
        <f t="shared" si="97"/>
        <v>600.29999999999995</v>
      </c>
      <c r="AH82" s="810">
        <f t="shared" si="97"/>
        <v>576.29999999999995</v>
      </c>
      <c r="AI82" s="810">
        <f t="shared" si="97"/>
        <v>531.20000000000005</v>
      </c>
      <c r="AJ82" s="810">
        <f t="shared" si="97"/>
        <v>808.8</v>
      </c>
      <c r="AK82" s="811">
        <f t="shared" si="97"/>
        <v>322.60000000000002</v>
      </c>
      <c r="AL82" s="809">
        <f t="shared" si="97"/>
        <v>322.60000000000002</v>
      </c>
      <c r="AM82" s="810">
        <f t="shared" si="97"/>
        <v>12219.3</v>
      </c>
      <c r="AN82" s="810">
        <f t="shared" si="97"/>
        <v>958</v>
      </c>
      <c r="AO82" s="810">
        <f t="shared" si="97"/>
        <v>1420</v>
      </c>
      <c r="AP82" s="811">
        <f t="shared" si="97"/>
        <v>1241.2811111111146</v>
      </c>
      <c r="AQ82" s="809">
        <f t="shared" si="97"/>
        <v>1241.2811111111146</v>
      </c>
      <c r="AR82" s="811">
        <f t="shared" si="97"/>
        <v>686.50168411110906</v>
      </c>
      <c r="AS82" s="811">
        <f t="shared" si="97"/>
        <v>944.46490956110927</v>
      </c>
      <c r="AT82" s="811">
        <f t="shared" si="97"/>
        <v>1217.264438833332</v>
      </c>
      <c r="AU82" s="811">
        <f t="shared" si="97"/>
        <v>1271.2895898444428</v>
      </c>
      <c r="AV82" s="809">
        <f>AV11+AV12</f>
        <v>1271.2895898444428</v>
      </c>
      <c r="BA82" s="809">
        <f>BA11+BA12</f>
        <v>2205.2843244647238</v>
      </c>
      <c r="BF82" s="809">
        <f>BF11+BF12</f>
        <v>2866.2760125698974</v>
      </c>
      <c r="BK82" s="809">
        <f>BK11+BK12</f>
        <v>3688.6373196537365</v>
      </c>
      <c r="BP82" s="809">
        <f>BP11+BP12</f>
        <v>4627.6904603160547</v>
      </c>
      <c r="BR82" s="758"/>
    </row>
    <row r="83" spans="2:70" s="761" customFormat="1" ht="15">
      <c r="B83" s="812" t="s">
        <v>329</v>
      </c>
      <c r="C83" s="813">
        <f>C35+C42</f>
        <v>0</v>
      </c>
      <c r="D83" s="812"/>
      <c r="E83" s="814"/>
      <c r="F83" s="814"/>
      <c r="G83" s="815"/>
      <c r="H83" s="813">
        <f>H35+H42</f>
        <v>0</v>
      </c>
      <c r="I83" s="812"/>
      <c r="J83" s="814"/>
      <c r="K83" s="814"/>
      <c r="L83" s="815"/>
      <c r="M83" s="813">
        <f t="shared" ref="M83:AU83" si="98">M35+M42</f>
        <v>326.08500000000004</v>
      </c>
      <c r="N83" s="812">
        <f t="shared" si="98"/>
        <v>328.88599999999997</v>
      </c>
      <c r="O83" s="814">
        <f t="shared" si="98"/>
        <v>319.22300000000001</v>
      </c>
      <c r="P83" s="814">
        <f t="shared" si="98"/>
        <v>3235.55</v>
      </c>
      <c r="Q83" s="815">
        <f t="shared" si="98"/>
        <v>3595.277</v>
      </c>
      <c r="R83" s="813">
        <f t="shared" si="98"/>
        <v>3595.277</v>
      </c>
      <c r="S83" s="812">
        <f t="shared" si="98"/>
        <v>4716.3710000000001</v>
      </c>
      <c r="T83" s="814">
        <f t="shared" si="98"/>
        <v>4546.7889999999998</v>
      </c>
      <c r="U83" s="814">
        <f t="shared" si="98"/>
        <v>5226.9110000000001</v>
      </c>
      <c r="V83" s="815">
        <f t="shared" si="98"/>
        <v>6651.0110000000004</v>
      </c>
      <c r="W83" s="813">
        <f t="shared" si="98"/>
        <v>6651.0110000000004</v>
      </c>
      <c r="X83" s="812">
        <f t="shared" si="98"/>
        <v>6996.0749999999998</v>
      </c>
      <c r="Y83" s="814">
        <f t="shared" si="98"/>
        <v>7551.1749999999993</v>
      </c>
      <c r="Z83" s="814">
        <f t="shared" si="98"/>
        <v>7630.2460000000001</v>
      </c>
      <c r="AA83" s="815">
        <f t="shared" si="98"/>
        <v>11015.625</v>
      </c>
      <c r="AB83" s="813">
        <f t="shared" si="98"/>
        <v>11015.625</v>
      </c>
      <c r="AC83" s="812">
        <f t="shared" si="98"/>
        <v>10617.119999999999</v>
      </c>
      <c r="AD83" s="814">
        <f t="shared" si="98"/>
        <v>10794.105</v>
      </c>
      <c r="AE83" s="814">
        <f t="shared" si="98"/>
        <v>17404.714</v>
      </c>
      <c r="AF83" s="815">
        <f t="shared" si="98"/>
        <v>17367.702000000001</v>
      </c>
      <c r="AG83" s="813">
        <f t="shared" si="98"/>
        <v>17367.702000000001</v>
      </c>
      <c r="AH83" s="812">
        <f t="shared" si="98"/>
        <v>17386.900000000001</v>
      </c>
      <c r="AI83" s="814">
        <f t="shared" si="98"/>
        <v>17325.5</v>
      </c>
      <c r="AJ83" s="814">
        <f t="shared" si="98"/>
        <v>16274.9</v>
      </c>
      <c r="AK83" s="815">
        <f t="shared" si="98"/>
        <v>15254.6</v>
      </c>
      <c r="AL83" s="813">
        <f t="shared" si="98"/>
        <v>15254.6</v>
      </c>
      <c r="AM83" s="812">
        <f t="shared" si="98"/>
        <v>26020.7</v>
      </c>
      <c r="AN83" s="814">
        <f t="shared" si="98"/>
        <v>30881.100000000002</v>
      </c>
      <c r="AO83" s="814">
        <f t="shared" si="98"/>
        <v>30883.3</v>
      </c>
      <c r="AP83" s="815">
        <f t="shared" si="98"/>
        <v>31783.3</v>
      </c>
      <c r="AQ83" s="813">
        <f t="shared" si="98"/>
        <v>31783.3</v>
      </c>
      <c r="AR83" s="815">
        <f t="shared" si="98"/>
        <v>31378.3</v>
      </c>
      <c r="AS83" s="815">
        <f t="shared" si="98"/>
        <v>30978.3</v>
      </c>
      <c r="AT83" s="815">
        <f t="shared" si="98"/>
        <v>30528.3</v>
      </c>
      <c r="AU83" s="815">
        <f t="shared" si="98"/>
        <v>30078.3</v>
      </c>
      <c r="AV83" s="813">
        <f>AV35+AV42</f>
        <v>30078.3</v>
      </c>
      <c r="BA83" s="813">
        <f>BA35+BA42</f>
        <v>27578.3</v>
      </c>
      <c r="BF83" s="813">
        <f>BF35+BF42</f>
        <v>25078.3</v>
      </c>
      <c r="BK83" s="813">
        <f>BK35+BK42</f>
        <v>22328.3</v>
      </c>
      <c r="BP83" s="813">
        <f>BP35+BP42</f>
        <v>19328.3</v>
      </c>
      <c r="BR83" s="816"/>
    </row>
    <row r="84" spans="2:70" s="763" customFormat="1">
      <c r="B84" s="817" t="s">
        <v>330</v>
      </c>
      <c r="C84" s="818">
        <f>C83-C82</f>
        <v>-437.536</v>
      </c>
      <c r="D84" s="817"/>
      <c r="E84" s="819"/>
      <c r="F84" s="819"/>
      <c r="G84" s="820"/>
      <c r="H84" s="820">
        <f>H83-H82</f>
        <v>-318.26600000000002</v>
      </c>
      <c r="I84" s="817"/>
      <c r="J84" s="819"/>
      <c r="K84" s="819"/>
      <c r="L84" s="820"/>
      <c r="M84" s="820">
        <f t="shared" ref="M84:AU84" si="99">M83-M82</f>
        <v>202.05600000000004</v>
      </c>
      <c r="N84" s="817">
        <f t="shared" si="99"/>
        <v>217.76299999999998</v>
      </c>
      <c r="O84" s="819">
        <f t="shared" si="99"/>
        <v>136.41900000000001</v>
      </c>
      <c r="P84" s="819">
        <f t="shared" si="99"/>
        <v>2637.3050000000003</v>
      </c>
      <c r="Q84" s="820">
        <f t="shared" si="99"/>
        <v>3194.9250000000002</v>
      </c>
      <c r="R84" s="820">
        <f t="shared" si="99"/>
        <v>3194.9250000000002</v>
      </c>
      <c r="S84" s="817">
        <f t="shared" si="99"/>
        <v>4310.3180000000002</v>
      </c>
      <c r="T84" s="819">
        <f t="shared" si="99"/>
        <v>4304.8899999999994</v>
      </c>
      <c r="U84" s="819">
        <f t="shared" si="99"/>
        <v>4969.3850000000002</v>
      </c>
      <c r="V84" s="820">
        <f t="shared" si="99"/>
        <v>6480.5620000000008</v>
      </c>
      <c r="W84" s="820">
        <f t="shared" si="99"/>
        <v>6480.5620000000008</v>
      </c>
      <c r="X84" s="817">
        <f t="shared" si="99"/>
        <v>6664.5469999999996</v>
      </c>
      <c r="Y84" s="819">
        <f t="shared" si="99"/>
        <v>7155.9089999999997</v>
      </c>
      <c r="Z84" s="819">
        <f t="shared" si="99"/>
        <v>7372.5159999999996</v>
      </c>
      <c r="AA84" s="820">
        <f t="shared" si="99"/>
        <v>10095.124</v>
      </c>
      <c r="AB84" s="820">
        <f t="shared" si="99"/>
        <v>10095.124</v>
      </c>
      <c r="AC84" s="817">
        <f t="shared" si="99"/>
        <v>10203.383999999998</v>
      </c>
      <c r="AD84" s="819">
        <f t="shared" si="99"/>
        <v>8254.7150000000001</v>
      </c>
      <c r="AE84" s="819">
        <f t="shared" si="99"/>
        <v>16808.366999999998</v>
      </c>
      <c r="AF84" s="820">
        <f t="shared" si="99"/>
        <v>16767.362000000001</v>
      </c>
      <c r="AG84" s="820">
        <f t="shared" si="99"/>
        <v>16767.402000000002</v>
      </c>
      <c r="AH84" s="817">
        <f t="shared" si="99"/>
        <v>16810.600000000002</v>
      </c>
      <c r="AI84" s="819">
        <f t="shared" si="99"/>
        <v>16794.3</v>
      </c>
      <c r="AJ84" s="819">
        <f t="shared" si="99"/>
        <v>15466.1</v>
      </c>
      <c r="AK84" s="820">
        <f t="shared" si="99"/>
        <v>14932</v>
      </c>
      <c r="AL84" s="820">
        <f t="shared" si="99"/>
        <v>14932</v>
      </c>
      <c r="AM84" s="817">
        <f t="shared" si="99"/>
        <v>13801.400000000001</v>
      </c>
      <c r="AN84" s="819">
        <f t="shared" si="99"/>
        <v>29923.100000000002</v>
      </c>
      <c r="AO84" s="819">
        <f t="shared" si="99"/>
        <v>29463.3</v>
      </c>
      <c r="AP84" s="820">
        <f t="shared" si="99"/>
        <v>30542.018888888884</v>
      </c>
      <c r="AQ84" s="820">
        <f t="shared" si="99"/>
        <v>30542.018888888884</v>
      </c>
      <c r="AR84" s="820">
        <f t="shared" si="99"/>
        <v>30691.798315888889</v>
      </c>
      <c r="AS84" s="820">
        <f t="shared" si="99"/>
        <v>30033.83509043889</v>
      </c>
      <c r="AT84" s="820">
        <f t="shared" si="99"/>
        <v>29311.035561166667</v>
      </c>
      <c r="AU84" s="820">
        <f t="shared" si="99"/>
        <v>28807.010410155555</v>
      </c>
      <c r="AV84" s="820">
        <f>AV83-AV82</f>
        <v>28807.010410155555</v>
      </c>
      <c r="AW84" s="817"/>
      <c r="AX84" s="819"/>
      <c r="AY84" s="819"/>
      <c r="AZ84" s="820"/>
      <c r="BA84" s="820">
        <f>BA83-BA82</f>
        <v>25373.015675535276</v>
      </c>
      <c r="BB84" s="817"/>
      <c r="BC84" s="819"/>
      <c r="BD84" s="819"/>
      <c r="BE84" s="820"/>
      <c r="BF84" s="820">
        <f>BF83-BF82</f>
        <v>22212.023987430101</v>
      </c>
      <c r="BG84" s="817"/>
      <c r="BH84" s="819"/>
      <c r="BI84" s="819"/>
      <c r="BJ84" s="820"/>
      <c r="BK84" s="820">
        <f>BK83-BK82</f>
        <v>18639.662680346264</v>
      </c>
      <c r="BL84" s="817"/>
      <c r="BM84" s="819"/>
      <c r="BN84" s="819"/>
      <c r="BO84" s="820"/>
      <c r="BP84" s="820">
        <f>BP83-BP82</f>
        <v>14700.609539683945</v>
      </c>
      <c r="BR84" s="821"/>
    </row>
    <row r="85" spans="2:70" s="96" customFormat="1"/>
    <row r="86" spans="2:70" s="824" customFormat="1" hidden="1">
      <c r="B86" s="822" t="s">
        <v>331</v>
      </c>
      <c r="C86" s="798"/>
      <c r="D86" s="798"/>
      <c r="E86" s="798"/>
      <c r="F86" s="798"/>
      <c r="G86" s="798"/>
      <c r="H86" s="757">
        <f>H65+H67</f>
        <v>182.32599999999999</v>
      </c>
      <c r="I86" s="757">
        <f>I65+I67</f>
        <v>46.186000000000014</v>
      </c>
      <c r="J86" s="757">
        <f>J65+J67</f>
        <v>96.239000000000004</v>
      </c>
      <c r="K86" s="757">
        <f>K65+K67</f>
        <v>88.114000000000004</v>
      </c>
      <c r="L86" s="757">
        <f>L65+L67</f>
        <v>122.93499999999997</v>
      </c>
      <c r="M86" s="757">
        <f>SUM(I86:L86)</f>
        <v>353.47399999999999</v>
      </c>
      <c r="N86" s="757">
        <f>N65+N67</f>
        <v>41.119000000000007</v>
      </c>
      <c r="O86" s="757">
        <f>O65+O67</f>
        <v>106.053</v>
      </c>
      <c r="P86" s="757">
        <f>P65+P67</f>
        <v>109.887</v>
      </c>
      <c r="Q86" s="757">
        <f>Q65+Q67</f>
        <v>4.355000000000083</v>
      </c>
      <c r="R86" s="757">
        <f>SUM(N86:Q86)</f>
        <v>261.41400000000004</v>
      </c>
      <c r="S86" s="757">
        <f>S65+S67</f>
        <v>64.825000000000003</v>
      </c>
      <c r="T86" s="757">
        <f>T65+T67</f>
        <v>214.18200000000002</v>
      </c>
      <c r="U86" s="757">
        <f>U65+U67</f>
        <v>164.12299999999996</v>
      </c>
      <c r="V86" s="757">
        <f>V65+V67</f>
        <v>174.82799999999995</v>
      </c>
      <c r="W86" s="757">
        <f>SUM(S86:V86)</f>
        <v>617.95799999999997</v>
      </c>
      <c r="X86" s="757">
        <f>X65+X67</f>
        <v>156.11399999999998</v>
      </c>
      <c r="Y86" s="757">
        <f>Y65+Y67</f>
        <v>241.001</v>
      </c>
      <c r="Z86" s="757">
        <f>Z65+Z67</f>
        <v>109.75800000000005</v>
      </c>
      <c r="AA86" s="757">
        <f>AA65+AA67</f>
        <v>42.066999999999879</v>
      </c>
      <c r="AB86" s="757">
        <f>SUM(X86:AA86)</f>
        <v>548.93999999999994</v>
      </c>
      <c r="AC86" s="757">
        <f>AC65+AC67</f>
        <v>241.30699999999996</v>
      </c>
      <c r="AD86" s="757">
        <f>AD65+AD67</f>
        <v>292.267</v>
      </c>
      <c r="AE86" s="757">
        <f>AE65+AE67</f>
        <v>176.78000000000003</v>
      </c>
      <c r="AF86" s="757">
        <f>AF65+AF67</f>
        <v>216.28399999999976</v>
      </c>
      <c r="AG86" s="757">
        <f>SUM(AC86:AF86)</f>
        <v>926.63799999999981</v>
      </c>
      <c r="AH86" s="757">
        <f>AH65+AH67</f>
        <v>426.20000000000005</v>
      </c>
      <c r="AI86" s="757">
        <f>AI65+AI67</f>
        <v>262.50000000000011</v>
      </c>
      <c r="AJ86" s="757">
        <f>AJ65+AJ67</f>
        <v>579.1</v>
      </c>
      <c r="AK86" s="757">
        <f>AK65+AK67</f>
        <v>735.29999999999973</v>
      </c>
      <c r="AL86" s="757">
        <f>SUM(AH86:AK86)</f>
        <v>2003.1</v>
      </c>
      <c r="AM86" s="757">
        <f>AM65+AM67</f>
        <v>425.29999999999995</v>
      </c>
      <c r="AN86" s="757">
        <f>AN65+AN67</f>
        <v>363.69999999999993</v>
      </c>
      <c r="AO86" s="757">
        <f>AO65+AO67</f>
        <v>685.4</v>
      </c>
      <c r="AP86" s="757">
        <f>AP65+AP67</f>
        <v>487.28111111111093</v>
      </c>
      <c r="AQ86" s="757">
        <f>AQ65+AQ67</f>
        <v>1961.6811111111112</v>
      </c>
      <c r="AR86" s="757">
        <f t="shared" ref="AR86:AU86" si="100">AR65+AR67</f>
        <v>350.22057300000017</v>
      </c>
      <c r="AS86" s="757">
        <f t="shared" si="100"/>
        <v>657.96322545000021</v>
      </c>
      <c r="AT86" s="757">
        <f t="shared" si="100"/>
        <v>722.7995292722228</v>
      </c>
      <c r="AU86" s="757">
        <f t="shared" si="100"/>
        <v>979.02515101111089</v>
      </c>
      <c r="AV86" s="757">
        <f>AV65+AV67</f>
        <v>2710.0084787333344</v>
      </c>
      <c r="AW86" s="798"/>
      <c r="AX86" s="798"/>
      <c r="AY86" s="798"/>
      <c r="AZ86" s="798"/>
      <c r="BA86" s="757">
        <f>BA65+BA67</f>
        <v>3433.9947346202807</v>
      </c>
      <c r="BB86" s="798"/>
      <c r="BC86" s="798"/>
      <c r="BD86" s="798"/>
      <c r="BE86" s="798"/>
      <c r="BF86" s="823">
        <f>BF65+BF67</f>
        <v>4019.4903717602438</v>
      </c>
      <c r="BG86" s="798"/>
      <c r="BH86" s="798"/>
      <c r="BI86" s="798"/>
      <c r="BJ86" s="798"/>
      <c r="BK86" s="757">
        <f>BK65+BK67</f>
        <v>4577.2339000238999</v>
      </c>
      <c r="BL86" s="798"/>
      <c r="BM86" s="798"/>
      <c r="BN86" s="798"/>
      <c r="BO86" s="798"/>
      <c r="BP86" s="823">
        <f>BP65+BP67</f>
        <v>5083.3616156682929</v>
      </c>
      <c r="BR86" s="825"/>
    </row>
    <row r="87" spans="2:70" s="828" customFormat="1" hidden="1">
      <c r="B87" s="826" t="s">
        <v>102</v>
      </c>
      <c r="C87" s="824"/>
      <c r="D87" s="824"/>
      <c r="E87" s="824"/>
      <c r="F87" s="824"/>
      <c r="G87" s="824"/>
      <c r="H87" s="827">
        <f>IS!V96</f>
        <v>299.75099999999998</v>
      </c>
      <c r="I87" s="827">
        <f>IS!W96</f>
        <v>83.294999999999987</v>
      </c>
      <c r="J87" s="827">
        <f>IS!X96</f>
        <v>92.188000000000017</v>
      </c>
      <c r="K87" s="827">
        <f>IS!Y96</f>
        <v>112.40599999999998</v>
      </c>
      <c r="L87" s="827">
        <f>IS!Z96</f>
        <v>136.245</v>
      </c>
      <c r="M87" s="827">
        <f>SUM(I87:L87)</f>
        <v>424.13400000000001</v>
      </c>
      <c r="N87" s="827">
        <f>IS!AB96</f>
        <v>108.33100000000002</v>
      </c>
      <c r="O87" s="827">
        <f>IS!AC96</f>
        <v>109.626</v>
      </c>
      <c r="P87" s="827">
        <f>IS!AD96</f>
        <v>-126.27869999999993</v>
      </c>
      <c r="Q87" s="827">
        <f>IS!AE96</f>
        <v>230.27099999999996</v>
      </c>
      <c r="R87" s="827">
        <f>SUM(N87:Q87)</f>
        <v>321.94930000000005</v>
      </c>
      <c r="S87" s="827">
        <f>IS!AG96</f>
        <v>283.41800000000006</v>
      </c>
      <c r="T87" s="827">
        <f>IS!AH96</f>
        <v>303.18899999999985</v>
      </c>
      <c r="U87" s="827">
        <f>IS!AI96</f>
        <v>299.18899999999996</v>
      </c>
      <c r="V87" s="827">
        <f>IS!AJ96</f>
        <v>370.20099999999996</v>
      </c>
      <c r="W87" s="827">
        <f>SUM(S87:V87)</f>
        <v>1255.9969999999998</v>
      </c>
      <c r="X87" s="827">
        <f>IS!AL96</f>
        <v>443.71499999999992</v>
      </c>
      <c r="Y87" s="827">
        <f>IS!AM96</f>
        <v>428.20200000000006</v>
      </c>
      <c r="Z87" s="827">
        <f>IS!AN96</f>
        <v>475.23699999999997</v>
      </c>
      <c r="AA87" s="827">
        <f>IS!AO96</f>
        <v>522.62500000000011</v>
      </c>
      <c r="AB87" s="827">
        <f>SUM(X87:AA87)</f>
        <v>1869.779</v>
      </c>
      <c r="AC87" s="827">
        <f>IS!AQ96</f>
        <v>571.29700000000003</v>
      </c>
      <c r="AD87" s="827">
        <f>IS!AR96</f>
        <v>587.09799999999984</v>
      </c>
      <c r="AE87" s="827">
        <f>IS!AS96</f>
        <v>760.85899999999981</v>
      </c>
      <c r="AF87" s="827">
        <f>IS!AT96</f>
        <v>1054.8890000000001</v>
      </c>
      <c r="AG87" s="827">
        <f>SUM(AC87:AF87)</f>
        <v>2974.143</v>
      </c>
      <c r="AH87" s="827">
        <f>IS!AV96</f>
        <v>896.3</v>
      </c>
      <c r="AI87" s="827">
        <f>IS!AW96</f>
        <v>937.59999999999968</v>
      </c>
      <c r="AJ87" s="827">
        <f>IS!AX96</f>
        <v>1009.1000000000004</v>
      </c>
      <c r="AK87" s="827">
        <f>IS!AY96</f>
        <v>1190.0999999999999</v>
      </c>
      <c r="AL87" s="827">
        <f>SUM(AH87:AK87)</f>
        <v>4033.1</v>
      </c>
      <c r="AM87" s="827">
        <f>IS!BA96</f>
        <v>1071.7000000000003</v>
      </c>
      <c r="AN87" s="827">
        <f>IS!BB96</f>
        <v>1381</v>
      </c>
      <c r="AO87" s="827">
        <f>IS!BC96</f>
        <v>1447</v>
      </c>
      <c r="AP87" s="827">
        <f>IS!BD96</f>
        <v>1379.9999999999995</v>
      </c>
      <c r="AQ87" s="827">
        <f>IS!BE96</f>
        <v>5279.7000000000007</v>
      </c>
      <c r="AR87" s="827">
        <f>IS!BF96</f>
        <v>1058.9731200000001</v>
      </c>
      <c r="AS87" s="827">
        <f>IS!BG96</f>
        <v>1409.4867420000005</v>
      </c>
      <c r="AT87" s="827">
        <f>IS!BH96</f>
        <v>1495.0711780000001</v>
      </c>
      <c r="AU87" s="827">
        <f>IS!BI96</f>
        <v>1626.7284390000002</v>
      </c>
      <c r="AV87" s="827">
        <f>IS!BJ96</f>
        <v>5590.2594790000003</v>
      </c>
      <c r="BA87" s="827">
        <f>IS!BO96</f>
        <v>6033.6811345500028</v>
      </c>
      <c r="BF87" s="829">
        <f>IS!BT96</f>
        <v>6476.2228770882994</v>
      </c>
      <c r="BK87" s="827">
        <f>IS!BY96</f>
        <v>6972.1256777861618</v>
      </c>
      <c r="BP87" s="829">
        <f>IS!CD96</f>
        <v>7338.176746250776</v>
      </c>
      <c r="BR87" s="827"/>
    </row>
    <row r="88" spans="2:70" s="824" customFormat="1" hidden="1">
      <c r="B88" s="830" t="s">
        <v>332</v>
      </c>
      <c r="I88" s="825">
        <f>I35+I42</f>
        <v>0</v>
      </c>
      <c r="J88" s="825">
        <f>J35+J42</f>
        <v>450.66300000000001</v>
      </c>
      <c r="K88" s="825">
        <f>K35+K42</f>
        <v>378.34499999999997</v>
      </c>
      <c r="L88" s="825">
        <f>L35+L42</f>
        <v>326.08500000000004</v>
      </c>
      <c r="M88" s="825">
        <f>L88</f>
        <v>326.08500000000004</v>
      </c>
      <c r="N88" s="825">
        <f>N35+N42</f>
        <v>328.88599999999997</v>
      </c>
      <c r="O88" s="825">
        <f>O35+O42</f>
        <v>319.22300000000001</v>
      </c>
      <c r="P88" s="825">
        <f>P35+P42</f>
        <v>3235.55</v>
      </c>
      <c r="Q88" s="825">
        <f>Q35+Q42</f>
        <v>3595.277</v>
      </c>
      <c r="R88" s="825">
        <f>Q88</f>
        <v>3595.277</v>
      </c>
      <c r="S88" s="825">
        <f>S35+S42</f>
        <v>4716.3710000000001</v>
      </c>
      <c r="T88" s="825">
        <f>T35+T42</f>
        <v>4546.7889999999998</v>
      </c>
      <c r="U88" s="825">
        <f>U35+U42</f>
        <v>5226.9110000000001</v>
      </c>
      <c r="V88" s="825">
        <f>V35+V42</f>
        <v>6651.0110000000004</v>
      </c>
      <c r="W88" s="825">
        <f>V88</f>
        <v>6651.0110000000004</v>
      </c>
      <c r="X88" s="825">
        <f>X35+X42</f>
        <v>6996.0749999999998</v>
      </c>
      <c r="Y88" s="825">
        <f>Y35+Y42</f>
        <v>7551.1749999999993</v>
      </c>
      <c r="Z88" s="825">
        <f>Z35+Z42</f>
        <v>7630.2460000000001</v>
      </c>
      <c r="AA88" s="825">
        <f>AA35+AA42</f>
        <v>11015.625</v>
      </c>
      <c r="AB88" s="825">
        <f>AA88</f>
        <v>11015.625</v>
      </c>
      <c r="AC88" s="825">
        <f>AC35+AC42</f>
        <v>10617.119999999999</v>
      </c>
      <c r="AD88" s="825">
        <f>AD35+AD42</f>
        <v>10794.105</v>
      </c>
      <c r="AE88" s="825">
        <f>AE35+AE42</f>
        <v>17404.714</v>
      </c>
      <c r="AF88" s="825">
        <f>AF35+AF42</f>
        <v>17367.702000000001</v>
      </c>
      <c r="AG88" s="825">
        <f>AF88</f>
        <v>17367.702000000001</v>
      </c>
      <c r="AH88" s="825">
        <f t="shared" ref="AH88:AU88" si="101">AH35+AH42</f>
        <v>17386.900000000001</v>
      </c>
      <c r="AI88" s="825">
        <f t="shared" si="101"/>
        <v>17325.5</v>
      </c>
      <c r="AJ88" s="825">
        <f t="shared" si="101"/>
        <v>16274.9</v>
      </c>
      <c r="AK88" s="825">
        <f t="shared" si="101"/>
        <v>15254.6</v>
      </c>
      <c r="AL88" s="825">
        <f t="shared" si="101"/>
        <v>15254.6</v>
      </c>
      <c r="AM88" s="825">
        <f t="shared" si="101"/>
        <v>26020.7</v>
      </c>
      <c r="AN88" s="825">
        <f t="shared" si="101"/>
        <v>30881.100000000002</v>
      </c>
      <c r="AO88" s="825">
        <f t="shared" si="101"/>
        <v>30883.3</v>
      </c>
      <c r="AP88" s="825">
        <f t="shared" si="101"/>
        <v>31783.3</v>
      </c>
      <c r="AQ88" s="825">
        <f t="shared" si="101"/>
        <v>31783.3</v>
      </c>
      <c r="AR88" s="825">
        <f t="shared" si="101"/>
        <v>31378.3</v>
      </c>
      <c r="AS88" s="825">
        <f t="shared" si="101"/>
        <v>30978.3</v>
      </c>
      <c r="AT88" s="825">
        <f t="shared" si="101"/>
        <v>30528.3</v>
      </c>
      <c r="AU88" s="825">
        <f t="shared" si="101"/>
        <v>30078.3</v>
      </c>
      <c r="AV88" s="825">
        <f>AV35+AV42</f>
        <v>30078.3</v>
      </c>
      <c r="BA88" s="825">
        <f>BA35+BA42</f>
        <v>27578.3</v>
      </c>
      <c r="BF88" s="831">
        <f>BF35+BF42</f>
        <v>25078.3</v>
      </c>
      <c r="BK88" s="825">
        <f>BK35+BK42</f>
        <v>22328.3</v>
      </c>
      <c r="BP88" s="831">
        <f>BP35+BP42</f>
        <v>19328.3</v>
      </c>
      <c r="BR88" s="825"/>
    </row>
    <row r="89" spans="2:70" s="824" customFormat="1" hidden="1">
      <c r="B89" s="830" t="s">
        <v>333</v>
      </c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>
        <f>S88-S11</f>
        <v>4314.6189999999997</v>
      </c>
      <c r="T89" s="825">
        <f t="shared" ref="T89:BP89" si="102">T88-T11</f>
        <v>4307.8440000000001</v>
      </c>
      <c r="U89" s="825">
        <f t="shared" si="102"/>
        <v>4972.3519999999999</v>
      </c>
      <c r="V89" s="825">
        <f t="shared" si="102"/>
        <v>6486.9000000000005</v>
      </c>
      <c r="W89" s="825">
        <f t="shared" si="102"/>
        <v>6486.9000000000005</v>
      </c>
      <c r="X89" s="825">
        <f>X88-X11</f>
        <v>6665.5959999999995</v>
      </c>
      <c r="Y89" s="825">
        <f>Y88-Y11</f>
        <v>7155.9089999999997</v>
      </c>
      <c r="Z89" s="825">
        <f>Z88-Z11</f>
        <v>7372.5159999999996</v>
      </c>
      <c r="AA89" s="825">
        <f>AA88-AA11</f>
        <v>10099.534</v>
      </c>
      <c r="AB89" s="825">
        <f>AB88-AB11</f>
        <v>10099.534</v>
      </c>
      <c r="AC89" s="825">
        <f t="shared" si="102"/>
        <v>10203.383999999998</v>
      </c>
      <c r="AD89" s="825">
        <f t="shared" si="102"/>
        <v>8254.7150000000001</v>
      </c>
      <c r="AE89" s="825">
        <f t="shared" si="102"/>
        <v>16808.366999999998</v>
      </c>
      <c r="AF89" s="825">
        <f t="shared" si="102"/>
        <v>16767.362000000001</v>
      </c>
      <c r="AG89" s="825">
        <f t="shared" si="102"/>
        <v>16767.402000000002</v>
      </c>
      <c r="AH89" s="825">
        <f t="shared" si="102"/>
        <v>16810.600000000002</v>
      </c>
      <c r="AI89" s="825">
        <f t="shared" si="102"/>
        <v>16794.3</v>
      </c>
      <c r="AJ89" s="825">
        <f t="shared" si="102"/>
        <v>15466.1</v>
      </c>
      <c r="AK89" s="825">
        <f t="shared" si="102"/>
        <v>14932</v>
      </c>
      <c r="AL89" s="825">
        <f t="shared" si="102"/>
        <v>14932</v>
      </c>
      <c r="AM89" s="825">
        <f t="shared" si="102"/>
        <v>13801.400000000001</v>
      </c>
      <c r="AN89" s="825">
        <f t="shared" si="102"/>
        <v>29923.100000000002</v>
      </c>
      <c r="AO89" s="825">
        <f t="shared" si="102"/>
        <v>29463.3</v>
      </c>
      <c r="AP89" s="825">
        <f t="shared" si="102"/>
        <v>30542.018888888884</v>
      </c>
      <c r="AQ89" s="825">
        <f t="shared" si="102"/>
        <v>30542.018888888884</v>
      </c>
      <c r="AR89" s="825">
        <f t="shared" si="102"/>
        <v>30691.798315888889</v>
      </c>
      <c r="AS89" s="825">
        <f t="shared" si="102"/>
        <v>30033.83509043889</v>
      </c>
      <c r="AT89" s="825">
        <f t="shared" si="102"/>
        <v>29311.035561166667</v>
      </c>
      <c r="AU89" s="825">
        <f t="shared" si="102"/>
        <v>28807.010410155555</v>
      </c>
      <c r="AV89" s="825">
        <f t="shared" si="102"/>
        <v>28807.010410155555</v>
      </c>
      <c r="AW89" s="825">
        <f t="shared" si="102"/>
        <v>0</v>
      </c>
      <c r="AX89" s="825">
        <f t="shared" si="102"/>
        <v>0</v>
      </c>
      <c r="AY89" s="825">
        <f t="shared" si="102"/>
        <v>0</v>
      </c>
      <c r="AZ89" s="825">
        <f t="shared" si="102"/>
        <v>0</v>
      </c>
      <c r="BA89" s="825">
        <f t="shared" si="102"/>
        <v>25373.015675535276</v>
      </c>
      <c r="BB89" s="825">
        <f t="shared" si="102"/>
        <v>0</v>
      </c>
      <c r="BC89" s="825">
        <f t="shared" si="102"/>
        <v>0</v>
      </c>
      <c r="BD89" s="825">
        <f t="shared" si="102"/>
        <v>0</v>
      </c>
      <c r="BE89" s="825">
        <f t="shared" si="102"/>
        <v>0</v>
      </c>
      <c r="BF89" s="831">
        <f t="shared" si="102"/>
        <v>22212.023987430101</v>
      </c>
      <c r="BG89" s="825">
        <f t="shared" si="102"/>
        <v>0</v>
      </c>
      <c r="BH89" s="825">
        <f t="shared" si="102"/>
        <v>0</v>
      </c>
      <c r="BI89" s="825">
        <f t="shared" si="102"/>
        <v>0</v>
      </c>
      <c r="BJ89" s="825">
        <f t="shared" si="102"/>
        <v>0</v>
      </c>
      <c r="BK89" s="825">
        <f t="shared" si="102"/>
        <v>18639.662680346264</v>
      </c>
      <c r="BL89" s="825">
        <f t="shared" si="102"/>
        <v>0</v>
      </c>
      <c r="BM89" s="825">
        <f t="shared" si="102"/>
        <v>0</v>
      </c>
      <c r="BN89" s="825">
        <f t="shared" si="102"/>
        <v>0</v>
      </c>
      <c r="BO89" s="825">
        <f t="shared" si="102"/>
        <v>0</v>
      </c>
      <c r="BP89" s="831">
        <f t="shared" si="102"/>
        <v>14700.609539683945</v>
      </c>
      <c r="BR89" s="825"/>
    </row>
    <row r="90" spans="2:70" s="824" customFormat="1" hidden="1">
      <c r="B90" s="830" t="s">
        <v>334</v>
      </c>
      <c r="I90" s="825"/>
      <c r="J90" s="825"/>
      <c r="K90" s="825"/>
      <c r="L90" s="825"/>
      <c r="M90" s="825"/>
      <c r="N90" s="825">
        <f>N87+J87+K87+L87</f>
        <v>449.17</v>
      </c>
      <c r="O90" s="825">
        <f>O87+K87+L87+N87</f>
        <v>466.608</v>
      </c>
      <c r="P90" s="825">
        <f>N87+O87+P87+L87</f>
        <v>227.9233000000001</v>
      </c>
      <c r="Q90" s="825">
        <f>Q87+N87+O87+P87</f>
        <v>321.94929999999999</v>
      </c>
      <c r="R90" s="825">
        <f>Q90</f>
        <v>321.94929999999999</v>
      </c>
      <c r="S90" s="825">
        <f>S87+O87+P87+Q87</f>
        <v>497.0363000000001</v>
      </c>
      <c r="T90" s="825">
        <f>T87+P87+Q87+S87</f>
        <v>690.59929999999986</v>
      </c>
      <c r="U90" s="825">
        <f>S87+T87+U87+Q87</f>
        <v>1116.067</v>
      </c>
      <c r="V90" s="825">
        <f>V87+S87+T87+U87</f>
        <v>1255.9969999999998</v>
      </c>
      <c r="W90" s="825">
        <f>V90</f>
        <v>1255.9969999999998</v>
      </c>
      <c r="X90" s="825">
        <f>X87+T87+U87+V87</f>
        <v>1416.2939999999999</v>
      </c>
      <c r="Y90" s="825">
        <f>Y87+U87+V87+X87</f>
        <v>1541.307</v>
      </c>
      <c r="Z90" s="825">
        <f>X87+Y87+Z87+V87</f>
        <v>1717.355</v>
      </c>
      <c r="AA90" s="825">
        <f>AA87+X87+Y87+Z87</f>
        <v>1869.779</v>
      </c>
      <c r="AB90" s="825">
        <f>AA90</f>
        <v>1869.779</v>
      </c>
      <c r="AC90" s="825">
        <f>AC87+Y87+Z87+AA87</f>
        <v>1997.3609999999999</v>
      </c>
      <c r="AD90" s="825">
        <f>AD87+Z87+AA87+AC87</f>
        <v>2156.2570000000001</v>
      </c>
      <c r="AE90" s="825">
        <f>AC87+AD87+AE87+AA87</f>
        <v>2441.8789999999999</v>
      </c>
      <c r="AF90" s="825">
        <f>AF87+AC87+AD87+AE87</f>
        <v>2974.143</v>
      </c>
      <c r="AG90" s="825">
        <f>AF90</f>
        <v>2974.143</v>
      </c>
      <c r="AH90" s="825">
        <f>AH87+AD87+AE87+AF87</f>
        <v>3299.1459999999997</v>
      </c>
      <c r="AI90" s="825">
        <f>AI87+AE87+AF87+AH87</f>
        <v>3649.6479999999992</v>
      </c>
      <c r="AJ90" s="825">
        <f>AH87+AI87+AJ87+AF87</f>
        <v>3897.8890000000001</v>
      </c>
      <c r="AK90" s="825">
        <f>AK87+AH87+AI87+AJ87</f>
        <v>4033.0999999999995</v>
      </c>
      <c r="AL90" s="825">
        <f>AK90</f>
        <v>4033.0999999999995</v>
      </c>
      <c r="AM90" s="825">
        <f>AI87+AJ87+AK87+AM87</f>
        <v>4208.5</v>
      </c>
      <c r="AN90" s="825">
        <f>AJ87+AK87+AM87+AN87</f>
        <v>4651.9000000000005</v>
      </c>
      <c r="AO90" s="825">
        <f>AK87+AM87+AN87+AO87</f>
        <v>5089.8</v>
      </c>
      <c r="AP90" s="825">
        <f>AM87+AN87+AO87+AP87</f>
        <v>5279.7</v>
      </c>
      <c r="AQ90" s="825">
        <f>AQ87</f>
        <v>5279.7000000000007</v>
      </c>
      <c r="AR90" s="825">
        <f>AN87+AO87+AP87+AR87</f>
        <v>5266.9731200000006</v>
      </c>
      <c r="AS90" s="825">
        <f>AO87+AP87+AR87+AS87</f>
        <v>5295.4598619999997</v>
      </c>
      <c r="AT90" s="825">
        <f>AP87+AR87+AS87+AT87</f>
        <v>5343.5310399999998</v>
      </c>
      <c r="AU90" s="825">
        <f>AR87+AS87+AT87+AU87</f>
        <v>5590.2594790000012</v>
      </c>
      <c r="AV90" s="825">
        <f>AV87</f>
        <v>5590.2594790000003</v>
      </c>
      <c r="BA90" s="825">
        <f>BA87</f>
        <v>6033.6811345500028</v>
      </c>
      <c r="BF90" s="831">
        <f>BF87</f>
        <v>6476.2228770882994</v>
      </c>
      <c r="BK90" s="825">
        <f>BK87</f>
        <v>6972.1256777861618</v>
      </c>
      <c r="BP90" s="831">
        <f>BP87</f>
        <v>7338.176746250776</v>
      </c>
      <c r="BR90" s="825"/>
    </row>
    <row r="91" spans="2:70" s="828" customFormat="1" hidden="1">
      <c r="B91" s="826" t="s">
        <v>335</v>
      </c>
      <c r="I91" s="832"/>
      <c r="J91" s="832"/>
      <c r="K91" s="832"/>
      <c r="L91" s="832"/>
      <c r="M91" s="832"/>
      <c r="N91" s="832"/>
      <c r="O91" s="832"/>
      <c r="P91" s="832"/>
      <c r="Q91" s="832"/>
      <c r="R91" s="832"/>
      <c r="S91" s="832">
        <f>S89/S90</f>
        <v>8.6806919333658303</v>
      </c>
      <c r="T91" s="832">
        <f>T89/T90</f>
        <v>6.2378342984129889</v>
      </c>
      <c r="U91" s="832">
        <f>U89/U90</f>
        <v>4.4552450704124391</v>
      </c>
      <c r="V91" s="832">
        <f t="shared" ref="V91:BP91" si="103">V89/V90</f>
        <v>5.1647416355293849</v>
      </c>
      <c r="W91" s="832">
        <f t="shared" si="103"/>
        <v>5.1647416355293849</v>
      </c>
      <c r="X91" s="832">
        <f t="shared" si="103"/>
        <v>4.7063646389803244</v>
      </c>
      <c r="Y91" s="832">
        <f t="shared" si="103"/>
        <v>4.6427538446266707</v>
      </c>
      <c r="Z91" s="832">
        <f t="shared" si="103"/>
        <v>4.29294816738531</v>
      </c>
      <c r="AA91" s="832">
        <f t="shared" si="103"/>
        <v>5.4014586750626679</v>
      </c>
      <c r="AB91" s="832">
        <f t="shared" si="103"/>
        <v>5.4014586750626679</v>
      </c>
      <c r="AC91" s="832">
        <f>AC89/AC90</f>
        <v>5.1084325767850673</v>
      </c>
      <c r="AD91" s="832">
        <f>AD89/AD90</f>
        <v>3.8282611952100329</v>
      </c>
      <c r="AE91" s="832">
        <f>AE89/AE90</f>
        <v>6.8833742376260245</v>
      </c>
      <c r="AF91" s="832">
        <f>AF89/AF90</f>
        <v>5.637712107319655</v>
      </c>
      <c r="AG91" s="832">
        <f>AG89/AG90</f>
        <v>5.6377255565720956</v>
      </c>
      <c r="AH91" s="832">
        <f t="shared" si="103"/>
        <v>5.0954398501915357</v>
      </c>
      <c r="AI91" s="832">
        <f t="shared" si="103"/>
        <v>4.6016218550391716</v>
      </c>
      <c r="AJ91" s="832">
        <f t="shared" si="103"/>
        <v>3.9678143733697908</v>
      </c>
      <c r="AK91" s="832">
        <f t="shared" si="103"/>
        <v>3.7023629466167471</v>
      </c>
      <c r="AL91" s="832">
        <f t="shared" si="103"/>
        <v>3.7023629466167471</v>
      </c>
      <c r="AM91" s="832">
        <f t="shared" si="103"/>
        <v>3.2794107164072712</v>
      </c>
      <c r="AN91" s="832">
        <f t="shared" si="103"/>
        <v>6.43244695715729</v>
      </c>
      <c r="AO91" s="832">
        <f t="shared" si="103"/>
        <v>5.7886950371330892</v>
      </c>
      <c r="AP91" s="832">
        <f t="shared" si="103"/>
        <v>5.784801956340111</v>
      </c>
      <c r="AQ91" s="832">
        <f t="shared" si="103"/>
        <v>5.7848019563401101</v>
      </c>
      <c r="AR91" s="832">
        <f t="shared" si="103"/>
        <v>5.8272175719569432</v>
      </c>
      <c r="AS91" s="832">
        <f t="shared" si="103"/>
        <v>5.6716198164318916</v>
      </c>
      <c r="AT91" s="832">
        <f t="shared" si="103"/>
        <v>5.4853308311963449</v>
      </c>
      <c r="AU91" s="832">
        <f t="shared" si="103"/>
        <v>5.1530721460014624</v>
      </c>
      <c r="AV91" s="832">
        <f t="shared" si="103"/>
        <v>5.1530721460014632</v>
      </c>
      <c r="AW91" s="832" t="e">
        <f t="shared" si="103"/>
        <v>#DIV/0!</v>
      </c>
      <c r="AX91" s="832" t="e">
        <f t="shared" si="103"/>
        <v>#DIV/0!</v>
      </c>
      <c r="AY91" s="832" t="e">
        <f t="shared" si="103"/>
        <v>#DIV/0!</v>
      </c>
      <c r="AZ91" s="832" t="e">
        <f t="shared" si="103"/>
        <v>#DIV/0!</v>
      </c>
      <c r="BA91" s="832">
        <f t="shared" si="103"/>
        <v>4.2052297941706884</v>
      </c>
      <c r="BB91" s="832" t="e">
        <f t="shared" si="103"/>
        <v>#DIV/0!</v>
      </c>
      <c r="BC91" s="832" t="e">
        <f t="shared" si="103"/>
        <v>#DIV/0!</v>
      </c>
      <c r="BD91" s="832" t="e">
        <f t="shared" si="103"/>
        <v>#DIV/0!</v>
      </c>
      <c r="BE91" s="832" t="e">
        <f t="shared" si="103"/>
        <v>#DIV/0!</v>
      </c>
      <c r="BF91" s="833">
        <f t="shared" si="103"/>
        <v>3.4297806621220848</v>
      </c>
      <c r="BG91" s="832" t="e">
        <f t="shared" si="103"/>
        <v>#DIV/0!</v>
      </c>
      <c r="BH91" s="832" t="e">
        <f t="shared" si="103"/>
        <v>#DIV/0!</v>
      </c>
      <c r="BI91" s="832" t="e">
        <f t="shared" si="103"/>
        <v>#DIV/0!</v>
      </c>
      <c r="BJ91" s="832" t="e">
        <f t="shared" si="103"/>
        <v>#DIV/0!</v>
      </c>
      <c r="BK91" s="832">
        <f t="shared" si="103"/>
        <v>2.6734547743070607</v>
      </c>
      <c r="BL91" s="832" t="e">
        <f t="shared" si="103"/>
        <v>#DIV/0!</v>
      </c>
      <c r="BM91" s="832" t="e">
        <f t="shared" si="103"/>
        <v>#DIV/0!</v>
      </c>
      <c r="BN91" s="832" t="e">
        <f t="shared" si="103"/>
        <v>#DIV/0!</v>
      </c>
      <c r="BO91" s="832" t="e">
        <f t="shared" si="103"/>
        <v>#DIV/0!</v>
      </c>
      <c r="BP91" s="833">
        <f t="shared" si="103"/>
        <v>2.0033054596558721</v>
      </c>
      <c r="BR91" s="825">
        <f>1.6*AV90</f>
        <v>8944.4151664000001</v>
      </c>
    </row>
    <row r="92" spans="2:70" s="828" customFormat="1" hidden="1">
      <c r="B92" s="834" t="s">
        <v>336</v>
      </c>
      <c r="C92" s="835"/>
      <c r="D92" s="835"/>
      <c r="E92" s="835"/>
      <c r="F92" s="835"/>
      <c r="G92" s="835"/>
      <c r="H92" s="835"/>
      <c r="I92" s="836"/>
      <c r="J92" s="836"/>
      <c r="K92" s="836"/>
      <c r="L92" s="836"/>
      <c r="M92" s="836"/>
      <c r="N92" s="836"/>
      <c r="O92" s="836"/>
      <c r="P92" s="836"/>
      <c r="Q92" s="836"/>
      <c r="R92" s="836">
        <f>R88/R90</f>
        <v>11.167214837864224</v>
      </c>
      <c r="S92" s="836">
        <f t="shared" ref="S92:BP92" si="104">S88/S90</f>
        <v>9.4889870216722585</v>
      </c>
      <c r="T92" s="836">
        <f t="shared" si="104"/>
        <v>6.5838308842768889</v>
      </c>
      <c r="U92" s="836">
        <f t="shared" si="104"/>
        <v>4.6833308394567714</v>
      </c>
      <c r="V92" s="836">
        <f t="shared" si="104"/>
        <v>5.2954035718238188</v>
      </c>
      <c r="W92" s="836">
        <f t="shared" si="104"/>
        <v>5.2954035718238188</v>
      </c>
      <c r="X92" s="836">
        <f t="shared" si="104"/>
        <v>4.939705315421798</v>
      </c>
      <c r="Y92" s="836">
        <f t="shared" si="104"/>
        <v>4.8992024301453245</v>
      </c>
      <c r="Z92" s="836">
        <f t="shared" si="104"/>
        <v>4.4430219727429678</v>
      </c>
      <c r="AA92" s="836">
        <f t="shared" si="104"/>
        <v>5.8914048130821879</v>
      </c>
      <c r="AB92" s="836">
        <f t="shared" si="104"/>
        <v>5.8914048130821879</v>
      </c>
      <c r="AC92" s="836">
        <f t="shared" si="104"/>
        <v>5.315573899760734</v>
      </c>
      <c r="AD92" s="836">
        <f t="shared" si="104"/>
        <v>5.0059454879450822</v>
      </c>
      <c r="AE92" s="836">
        <f t="shared" si="104"/>
        <v>7.1275906791450359</v>
      </c>
      <c r="AF92" s="836">
        <f t="shared" si="104"/>
        <v>5.8395652125671162</v>
      </c>
      <c r="AG92" s="836">
        <f t="shared" si="104"/>
        <v>5.8395652125671162</v>
      </c>
      <c r="AH92" s="836">
        <f t="shared" si="104"/>
        <v>5.270121419300632</v>
      </c>
      <c r="AI92" s="836">
        <f t="shared" si="104"/>
        <v>4.7471701380516702</v>
      </c>
      <c r="AJ92" s="836">
        <f t="shared" si="104"/>
        <v>4.1753113031181748</v>
      </c>
      <c r="AK92" s="836">
        <f t="shared" si="104"/>
        <v>3.7823510451017834</v>
      </c>
      <c r="AL92" s="836">
        <f t="shared" si="104"/>
        <v>3.7823510451017834</v>
      </c>
      <c r="AM92" s="836">
        <f t="shared" si="104"/>
        <v>6.1828917666627063</v>
      </c>
      <c r="AN92" s="836">
        <f t="shared" si="104"/>
        <v>6.6383843160859</v>
      </c>
      <c r="AO92" s="836">
        <f t="shared" si="104"/>
        <v>6.0676843883846123</v>
      </c>
      <c r="AP92" s="836">
        <f t="shared" si="104"/>
        <v>6.0199064340776935</v>
      </c>
      <c r="AQ92" s="836">
        <f t="shared" si="104"/>
        <v>6.0199064340776927</v>
      </c>
      <c r="AR92" s="836">
        <f t="shared" si="104"/>
        <v>5.9575584088038775</v>
      </c>
      <c r="AS92" s="836">
        <f t="shared" si="104"/>
        <v>5.8499735258686396</v>
      </c>
      <c r="AT92" s="836">
        <f t="shared" si="104"/>
        <v>5.7131323410446591</v>
      </c>
      <c r="AU92" s="836">
        <f t="shared" si="104"/>
        <v>5.3804836990107798</v>
      </c>
      <c r="AV92" s="836">
        <f t="shared" si="104"/>
        <v>5.3804836990107807</v>
      </c>
      <c r="AW92" s="836" t="e">
        <f t="shared" si="104"/>
        <v>#DIV/0!</v>
      </c>
      <c r="AX92" s="836" t="e">
        <f t="shared" si="104"/>
        <v>#DIV/0!</v>
      </c>
      <c r="AY92" s="836" t="e">
        <f t="shared" si="104"/>
        <v>#DIV/0!</v>
      </c>
      <c r="AZ92" s="836" t="e">
        <f t="shared" si="104"/>
        <v>#DIV/0!</v>
      </c>
      <c r="BA92" s="836">
        <f t="shared" si="104"/>
        <v>4.5707254634457595</v>
      </c>
      <c r="BB92" s="836" t="e">
        <f t="shared" si="104"/>
        <v>#DIV/0!</v>
      </c>
      <c r="BC92" s="836" t="e">
        <f t="shared" si="104"/>
        <v>#DIV/0!</v>
      </c>
      <c r="BD92" s="836" t="e">
        <f t="shared" si="104"/>
        <v>#DIV/0!</v>
      </c>
      <c r="BE92" s="836" t="e">
        <f t="shared" si="104"/>
        <v>#DIV/0!</v>
      </c>
      <c r="BF92" s="837">
        <f t="shared" si="104"/>
        <v>3.8723651850714513</v>
      </c>
      <c r="BG92" s="836" t="e">
        <f t="shared" si="104"/>
        <v>#DIV/0!</v>
      </c>
      <c r="BH92" s="836" t="e">
        <f t="shared" si="104"/>
        <v>#DIV/0!</v>
      </c>
      <c r="BI92" s="836" t="e">
        <f t="shared" si="104"/>
        <v>#DIV/0!</v>
      </c>
      <c r="BJ92" s="836" t="e">
        <f t="shared" si="104"/>
        <v>#DIV/0!</v>
      </c>
      <c r="BK92" s="836">
        <f t="shared" si="104"/>
        <v>3.2025096838314364</v>
      </c>
      <c r="BL92" s="836" t="e">
        <f t="shared" si="104"/>
        <v>#DIV/0!</v>
      </c>
      <c r="BM92" s="836" t="e">
        <f t="shared" si="104"/>
        <v>#DIV/0!</v>
      </c>
      <c r="BN92" s="836" t="e">
        <f t="shared" si="104"/>
        <v>#DIV/0!</v>
      </c>
      <c r="BO92" s="836" t="e">
        <f t="shared" si="104"/>
        <v>#DIV/0!</v>
      </c>
      <c r="BP92" s="837">
        <f t="shared" si="104"/>
        <v>2.6339376480506851</v>
      </c>
      <c r="BR92" s="827"/>
    </row>
    <row r="93" spans="2:70" hidden="1"/>
    <row r="94" spans="2:70" s="96" customFormat="1" hidden="1">
      <c r="B94" s="838" t="s">
        <v>337</v>
      </c>
      <c r="C94" s="809"/>
      <c r="D94" s="808"/>
      <c r="E94" s="810"/>
      <c r="F94" s="810"/>
      <c r="G94" s="811"/>
      <c r="H94" s="809"/>
      <c r="I94" s="808"/>
      <c r="J94" s="810"/>
      <c r="K94" s="810"/>
      <c r="L94" s="811"/>
      <c r="M94" s="809"/>
      <c r="N94" s="808"/>
      <c r="O94" s="810"/>
      <c r="P94" s="810"/>
      <c r="Q94" s="811"/>
      <c r="R94" s="809"/>
      <c r="S94" s="808"/>
      <c r="T94" s="810"/>
      <c r="U94" s="810"/>
      <c r="V94" s="811"/>
      <c r="W94" s="809"/>
      <c r="X94" s="808"/>
      <c r="Y94" s="810"/>
      <c r="Z94" s="810"/>
      <c r="AA94" s="811"/>
      <c r="AB94" s="809"/>
      <c r="AC94" s="808"/>
      <c r="AD94" s="810"/>
      <c r="AE94" s="810"/>
      <c r="AF94" s="811"/>
      <c r="AG94" s="809"/>
      <c r="AH94" s="808"/>
      <c r="AI94" s="810"/>
      <c r="AJ94" s="810"/>
      <c r="AK94" s="811"/>
      <c r="AL94" s="809"/>
      <c r="AM94" s="808"/>
      <c r="AN94" s="810"/>
      <c r="AO94" s="810"/>
      <c r="AP94" s="811"/>
      <c r="AQ94" s="809"/>
      <c r="AR94" s="808"/>
      <c r="AS94" s="810"/>
      <c r="AT94" s="810"/>
      <c r="AU94" s="811"/>
      <c r="AV94" s="809"/>
      <c r="AW94" s="808"/>
      <c r="AX94" s="810"/>
      <c r="AY94" s="810"/>
      <c r="AZ94" s="811"/>
      <c r="BA94" s="809"/>
      <c r="BB94" s="808"/>
      <c r="BC94" s="810"/>
      <c r="BD94" s="810"/>
      <c r="BE94" s="811"/>
      <c r="BF94" s="809"/>
      <c r="BG94" s="808"/>
      <c r="BH94" s="810"/>
      <c r="BI94" s="810"/>
      <c r="BJ94" s="811"/>
      <c r="BK94" s="809"/>
      <c r="BL94" s="808"/>
      <c r="BM94" s="810"/>
      <c r="BN94" s="810"/>
      <c r="BO94" s="811"/>
      <c r="BP94" s="809"/>
      <c r="BR94" s="758"/>
    </row>
    <row r="95" spans="2:70" s="96" customFormat="1" hidden="1">
      <c r="B95" s="839" t="s">
        <v>338</v>
      </c>
      <c r="C95" s="840">
        <f>IS!Q10</f>
        <v>842.81799999999998</v>
      </c>
      <c r="D95" s="839">
        <f>IS!R10</f>
        <v>208.49799999999999</v>
      </c>
      <c r="E95" s="825">
        <f>IS!S10</f>
        <v>186.095</v>
      </c>
      <c r="F95" s="825">
        <f>IS!T10</f>
        <v>181.089</v>
      </c>
      <c r="G95" s="841">
        <f>IS!U10</f>
        <v>181.49599999999998</v>
      </c>
      <c r="H95" s="840">
        <f>SUM(D95:G95)</f>
        <v>757.178</v>
      </c>
      <c r="I95" s="839">
        <f>IS!W10</f>
        <v>173.31899999999999</v>
      </c>
      <c r="J95" s="825">
        <f>IS!X10</f>
        <v>193.535</v>
      </c>
      <c r="K95" s="825">
        <f>IS!Y10</f>
        <v>212.523</v>
      </c>
      <c r="L95" s="841">
        <f>IS!Z10</f>
        <v>241.053</v>
      </c>
      <c r="M95" s="840">
        <f>SUM(I95:L95)</f>
        <v>820.43</v>
      </c>
      <c r="N95" s="839">
        <f>IS!AB10</f>
        <v>219.63499999999999</v>
      </c>
      <c r="O95" s="825">
        <f>IS!AC10</f>
        <v>238.745</v>
      </c>
      <c r="P95" s="825">
        <f>IS!AD10</f>
        <v>208.26700000000002</v>
      </c>
      <c r="Q95" s="841">
        <f>IS!AE10</f>
        <v>514.56399999999996</v>
      </c>
      <c r="R95" s="840">
        <f>SUM(N95:Q95)</f>
        <v>1181.211</v>
      </c>
      <c r="S95" s="839">
        <f>IS!AG10</f>
        <v>565.02600000000007</v>
      </c>
      <c r="T95" s="825">
        <f>IS!AH10</f>
        <v>609.38699999999994</v>
      </c>
      <c r="U95" s="825">
        <f>IS!AI10</f>
        <v>600.85199999999998</v>
      </c>
      <c r="V95" s="841">
        <f>IS!AJ10</f>
        <v>688.45299999999997</v>
      </c>
      <c r="W95" s="840">
        <f>SUM(S95:V95)</f>
        <v>2463.7179999999998</v>
      </c>
      <c r="X95" s="839">
        <f>IS!AL10</f>
        <v>856.10299999999995</v>
      </c>
      <c r="Y95" s="825">
        <f>IS!AM10</f>
        <v>820.09</v>
      </c>
      <c r="Z95" s="825">
        <f>IS!AN10</f>
        <v>884.14</v>
      </c>
      <c r="AA95" s="841">
        <f>IS!AO10</f>
        <v>986.29300000000001</v>
      </c>
      <c r="AB95" s="840">
        <f>SUM(X95:AA95)</f>
        <v>3546.6260000000002</v>
      </c>
      <c r="AC95" s="839">
        <f>IS!AQ10</f>
        <v>1068.355</v>
      </c>
      <c r="AD95" s="825">
        <f>IS!AR10</f>
        <v>1095.7619999999999</v>
      </c>
      <c r="AE95" s="825">
        <f>IS!AS10</f>
        <v>1541.731</v>
      </c>
      <c r="AF95" s="841">
        <f>IS!AT10</f>
        <v>2063.7570000000001</v>
      </c>
      <c r="AG95" s="840">
        <f>SUM(AC95:AF95)</f>
        <v>5769.6049999999996</v>
      </c>
      <c r="AH95" s="839">
        <f>IS!AV10</f>
        <v>1886.1999999999998</v>
      </c>
      <c r="AI95" s="825">
        <f>IS!AW10</f>
        <v>2041.1</v>
      </c>
      <c r="AJ95" s="825">
        <f>IS!AX10</f>
        <v>2056.2000000000003</v>
      </c>
      <c r="AK95" s="841">
        <f>IS!AY10</f>
        <v>2280</v>
      </c>
      <c r="AL95" s="840">
        <f>SUM(AH95:AK95)</f>
        <v>8263.5</v>
      </c>
      <c r="AM95" s="839">
        <f>IS!BA10</f>
        <v>2190.9</v>
      </c>
      <c r="AN95" s="825">
        <f>IS!BB10</f>
        <v>2732.4</v>
      </c>
      <c r="AO95" s="825">
        <f>IS!BC10</f>
        <v>2786.8</v>
      </c>
      <c r="AP95" s="841">
        <f>IS!BD10</f>
        <v>2784.1</v>
      </c>
      <c r="AQ95" s="841">
        <f>IS!BE10</f>
        <v>10494.2</v>
      </c>
      <c r="AR95" s="839">
        <f>IS!BF10</f>
        <v>2379.2960000000003</v>
      </c>
      <c r="AS95" s="825">
        <f>IS!BG10</f>
        <v>2743.1110000000003</v>
      </c>
      <c r="AT95" s="825">
        <f>IS!BH10</f>
        <v>2828.2669999999998</v>
      </c>
      <c r="AU95" s="841">
        <f>IS!BI10</f>
        <v>3016.0770000000002</v>
      </c>
      <c r="AV95" s="841">
        <f>IS!BJ10</f>
        <v>10966.751</v>
      </c>
      <c r="AW95" s="839"/>
      <c r="AX95" s="825"/>
      <c r="AY95" s="825"/>
      <c r="AZ95" s="841"/>
      <c r="BA95" s="841">
        <f>IS!BO10</f>
        <v>11740.723020000001</v>
      </c>
      <c r="BB95" s="839"/>
      <c r="BC95" s="825"/>
      <c r="BD95" s="825"/>
      <c r="BE95" s="841"/>
      <c r="BF95" s="841">
        <f>IS!BT10</f>
        <v>12447.6115627</v>
      </c>
      <c r="BG95" s="839"/>
      <c r="BH95" s="825"/>
      <c r="BI95" s="825"/>
      <c r="BJ95" s="841"/>
      <c r="BK95" s="841">
        <f>IS!BY10</f>
        <v>13185.359670699003</v>
      </c>
      <c r="BL95" s="839"/>
      <c r="BM95" s="825"/>
      <c r="BN95" s="825"/>
      <c r="BO95" s="841"/>
      <c r="BP95" s="841">
        <f>IS!CD10</f>
        <v>13762.726328055631</v>
      </c>
      <c r="BR95" s="758"/>
    </row>
    <row r="96" spans="2:70" s="96" customFormat="1" hidden="1">
      <c r="B96" s="839" t="s">
        <v>339</v>
      </c>
      <c r="C96" s="840">
        <f>IS!Q11</f>
        <v>223.67999999999998</v>
      </c>
      <c r="D96" s="839">
        <f>IS!R11</f>
        <v>53.734999999999999</v>
      </c>
      <c r="E96" s="825">
        <f>IS!S11</f>
        <v>43.877000000000002</v>
      </c>
      <c r="F96" s="825">
        <f>IS!T11</f>
        <v>47.468000000000004</v>
      </c>
      <c r="G96" s="841">
        <f>IS!U11</f>
        <v>52.087000000000003</v>
      </c>
      <c r="H96" s="840">
        <f>SUM(D96:G96)</f>
        <v>197.16699999999997</v>
      </c>
      <c r="I96" s="839">
        <f>IS!W11</f>
        <v>44.84</v>
      </c>
      <c r="J96" s="825">
        <f>IS!X11</f>
        <v>50.057000000000002</v>
      </c>
      <c r="K96" s="825">
        <f>IS!Y11</f>
        <v>50.668999999999997</v>
      </c>
      <c r="L96" s="841">
        <f>IS!Z11</f>
        <v>58.743000000000002</v>
      </c>
      <c r="M96" s="840">
        <f>SUM(I96:L96)</f>
        <v>204.309</v>
      </c>
      <c r="N96" s="839">
        <f>IS!AB11</f>
        <v>58.954999999999998</v>
      </c>
      <c r="O96" s="825">
        <f>IS!AC11</f>
        <v>63.9</v>
      </c>
      <c r="P96" s="825">
        <f>IS!AD11</f>
        <v>62.142000000000003</v>
      </c>
      <c r="Q96" s="841">
        <f>IS!AE11</f>
        <v>160.32599999999999</v>
      </c>
      <c r="R96" s="840">
        <f>SUM(N96:Q96)</f>
        <v>345.32299999999998</v>
      </c>
      <c r="S96" s="839">
        <f>IS!AG11</f>
        <v>151.76900000000003</v>
      </c>
      <c r="T96" s="825">
        <f>IS!AH11</f>
        <v>157.32000000000002</v>
      </c>
      <c r="U96" s="825">
        <f>IS!AI11</f>
        <v>160.32599999999999</v>
      </c>
      <c r="V96" s="841">
        <f>IS!AJ11</f>
        <v>166.374</v>
      </c>
      <c r="W96" s="840">
        <f>SUM(S96:V96)</f>
        <v>635.7890000000001</v>
      </c>
      <c r="X96" s="839">
        <f>IS!AL11</f>
        <v>224.45700000000002</v>
      </c>
      <c r="Y96" s="825">
        <f>IS!AM11</f>
        <v>199.09300000000002</v>
      </c>
      <c r="Z96" s="825">
        <f>IS!AN11</f>
        <v>210.22199999999998</v>
      </c>
      <c r="AA96" s="841">
        <f>IS!AO11</f>
        <v>244.82300000000001</v>
      </c>
      <c r="AB96" s="840">
        <f>SUM(X96:AA96)</f>
        <v>878.59500000000003</v>
      </c>
      <c r="AC96" s="839">
        <f>IS!AQ11</f>
        <v>246.34400000000002</v>
      </c>
      <c r="AD96" s="825">
        <f>IS!AR11</f>
        <v>258.68200000000002</v>
      </c>
      <c r="AE96" s="825">
        <f>IS!AS11</f>
        <v>415.959</v>
      </c>
      <c r="AF96" s="841">
        <f>IS!AT11</f>
        <v>548.04500000000007</v>
      </c>
      <c r="AG96" s="840">
        <f>SUM(AC96:AF96)</f>
        <v>1469.0300000000002</v>
      </c>
      <c r="AH96" s="839">
        <f>IS!AV11</f>
        <v>498.79999999999995</v>
      </c>
      <c r="AI96" s="825">
        <f>IS!AW11</f>
        <v>567.9</v>
      </c>
      <c r="AJ96" s="825">
        <f>IS!AX11</f>
        <v>533.79999999999995</v>
      </c>
      <c r="AK96" s="841">
        <f>IS!AY11</f>
        <v>558.70000000000005</v>
      </c>
      <c r="AL96" s="840">
        <f>SUM(AH96:AK96)</f>
        <v>2159.1999999999998</v>
      </c>
      <c r="AM96" s="839">
        <f>IS!BA11</f>
        <v>540.69999999999993</v>
      </c>
      <c r="AN96" s="825">
        <f>IS!BB11</f>
        <v>630.4</v>
      </c>
      <c r="AO96" s="825">
        <f>IS!BC11</f>
        <v>612</v>
      </c>
      <c r="AP96" s="841">
        <f>IS!BD11</f>
        <v>680.7</v>
      </c>
      <c r="AQ96" s="841">
        <f>IS!BE11</f>
        <v>2463.8000000000002</v>
      </c>
      <c r="AR96" s="839">
        <f>IS!BF11</f>
        <v>599.46575999999993</v>
      </c>
      <c r="AS96" s="825">
        <f>IS!BG11</f>
        <v>643.6082899999999</v>
      </c>
      <c r="AT96" s="825">
        <f>IS!BH11</f>
        <v>652.59412999999995</v>
      </c>
      <c r="AU96" s="841">
        <f>IS!BI11</f>
        <v>711.200695</v>
      </c>
      <c r="AV96" s="841">
        <f>IS!BJ11</f>
        <v>2606.8688749999997</v>
      </c>
      <c r="AW96" s="839"/>
      <c r="AX96" s="825"/>
      <c r="AY96" s="825"/>
      <c r="AZ96" s="841"/>
      <c r="BA96" s="841">
        <f>IS!BO11</f>
        <v>2760.9358247499995</v>
      </c>
      <c r="BB96" s="839"/>
      <c r="BC96" s="825"/>
      <c r="BD96" s="825"/>
      <c r="BE96" s="841"/>
      <c r="BF96" s="841">
        <f>IS!BT11</f>
        <v>2873.6098364929994</v>
      </c>
      <c r="BG96" s="839"/>
      <c r="BH96" s="825"/>
      <c r="BI96" s="825"/>
      <c r="BJ96" s="841"/>
      <c r="BK96" s="841">
        <f>IS!BY11</f>
        <v>2974.0747237999162</v>
      </c>
      <c r="BL96" s="839"/>
      <c r="BM96" s="825"/>
      <c r="BN96" s="825"/>
      <c r="BO96" s="841"/>
      <c r="BP96" s="841">
        <f>IS!CD11</f>
        <v>3039.7998415895563</v>
      </c>
      <c r="BR96" s="758"/>
    </row>
    <row r="97" spans="2:70" s="96" customFormat="1" hidden="1">
      <c r="B97" s="839" t="s">
        <v>340</v>
      </c>
      <c r="C97" s="840">
        <f>IS!Q31</f>
        <v>293.58899999999994</v>
      </c>
      <c r="D97" s="839">
        <f>IS!R31</f>
        <v>69.086999999999975</v>
      </c>
      <c r="E97" s="825">
        <f>IS!S31</f>
        <v>59.612999999999992</v>
      </c>
      <c r="F97" s="825">
        <f>IS!T31</f>
        <v>55.818999999999981</v>
      </c>
      <c r="G97" s="841">
        <f>IS!U31</f>
        <v>54.187999999999988</v>
      </c>
      <c r="H97" s="840">
        <f>SUM(D97:G97)</f>
        <v>238.70699999999994</v>
      </c>
      <c r="I97" s="839">
        <f>IS!W31</f>
        <v>44.698999999999984</v>
      </c>
      <c r="J97" s="825">
        <f>IS!X31</f>
        <v>53.452000000000012</v>
      </c>
      <c r="K97" s="825">
        <f>IS!Y31</f>
        <v>51.04999999999999</v>
      </c>
      <c r="L97" s="841">
        <f>IS!Z31</f>
        <v>69.128936806148573</v>
      </c>
      <c r="M97" s="840">
        <f>SUM(I97:L97)</f>
        <v>218.32993680614857</v>
      </c>
      <c r="N97" s="839">
        <f>IS!AB31</f>
        <v>49.389000000000017</v>
      </c>
      <c r="O97" s="825">
        <f>IS!AC31</f>
        <v>54.942</v>
      </c>
      <c r="P97" s="825">
        <f>IS!AD31</f>
        <v>-207.84869999999992</v>
      </c>
      <c r="Q97" s="841">
        <f>IS!AE32</f>
        <v>167.55999999999997</v>
      </c>
      <c r="R97" s="840">
        <f>SUM(N97:Q97)</f>
        <v>64.042300000000068</v>
      </c>
      <c r="S97" s="839">
        <f>IS!AG32</f>
        <v>205.08700000000005</v>
      </c>
      <c r="T97" s="825">
        <f>IS!AH32</f>
        <v>240.24499999999986</v>
      </c>
      <c r="U97" s="825">
        <f>IS!AI32</f>
        <v>212.09300000000002</v>
      </c>
      <c r="V97" s="841">
        <f>IS!AJ32</f>
        <v>298.77300000000002</v>
      </c>
      <c r="W97" s="840">
        <f>SUM(S97:V97)</f>
        <v>956.19799999999998</v>
      </c>
      <c r="X97" s="839">
        <f>IS!AL32</f>
        <v>360.32199999999989</v>
      </c>
      <c r="Y97" s="825">
        <f>IS!AM32</f>
        <v>314.54200000000003</v>
      </c>
      <c r="Z97" s="825">
        <f>IS!AN32</f>
        <v>357.50599999999997</v>
      </c>
      <c r="AA97" s="841">
        <f>IS!AO32</f>
        <v>379.56700000000012</v>
      </c>
      <c r="AB97" s="840">
        <f>SUM(X97:AA97)</f>
        <v>1411.9369999999999</v>
      </c>
      <c r="AC97" s="839">
        <f>IS!AQ32</f>
        <v>405.16200000000003</v>
      </c>
      <c r="AD97" s="825">
        <f>IS!AR32</f>
        <v>420.55799999999982</v>
      </c>
      <c r="AE97" s="825">
        <f>IS!AS32</f>
        <v>485.80699999999985</v>
      </c>
      <c r="AF97" s="841">
        <f>IS!AT32</f>
        <v>731.53600000000006</v>
      </c>
      <c r="AG97" s="840">
        <f>SUM(AC97:AF97)</f>
        <v>2043.0629999999996</v>
      </c>
      <c r="AH97" s="839">
        <f>IS!AV32</f>
        <v>599.69999999999993</v>
      </c>
      <c r="AI97" s="825">
        <f>IS!AW32</f>
        <v>650.5999999999998</v>
      </c>
      <c r="AJ97" s="825">
        <f>IS!AX32</f>
        <v>718.8000000000003</v>
      </c>
      <c r="AK97" s="841">
        <f>IS!AY32</f>
        <v>880.7</v>
      </c>
      <c r="AL97" s="840">
        <f>SUM(AH97:AK97)</f>
        <v>2849.8</v>
      </c>
      <c r="AM97" s="839">
        <f>IS!BA32</f>
        <v>809.30000000000041</v>
      </c>
      <c r="AN97" s="825">
        <f>IS!BB32</f>
        <v>897.10000000000014</v>
      </c>
      <c r="AO97" s="825">
        <f>IS!BC32</f>
        <v>961.30000000000007</v>
      </c>
      <c r="AP97" s="841">
        <f>IS!BD32</f>
        <v>875.69999999999948</v>
      </c>
      <c r="AQ97" s="841">
        <f>IS!BE32</f>
        <v>3543.4</v>
      </c>
      <c r="AR97" s="839">
        <f>IS!BF32</f>
        <v>472.84447700000027</v>
      </c>
      <c r="AS97" s="825">
        <f>IS!BG32</f>
        <v>759.77047445000051</v>
      </c>
      <c r="AT97" s="825">
        <f>IS!BH32</f>
        <v>838.36099505000016</v>
      </c>
      <c r="AU97" s="841">
        <f>IS!BI32</f>
        <v>956.11341690000029</v>
      </c>
      <c r="AV97" s="841">
        <f>IS!BJ32</f>
        <v>3027.0893634000004</v>
      </c>
      <c r="AW97" s="839"/>
      <c r="AX97" s="825"/>
      <c r="AY97" s="825"/>
      <c r="AZ97" s="841"/>
      <c r="BA97" s="841">
        <f>IS!BO32</f>
        <v>3633.6434393675027</v>
      </c>
      <c r="BB97" s="839"/>
      <c r="BC97" s="825"/>
      <c r="BD97" s="825"/>
      <c r="BE97" s="841"/>
      <c r="BF97" s="841">
        <f>IS!BT32</f>
        <v>4196.8039205250552</v>
      </c>
      <c r="BG97" s="839"/>
      <c r="BH97" s="825"/>
      <c r="BI97" s="825"/>
      <c r="BJ97" s="841"/>
      <c r="BK97" s="841">
        <f>IS!BY32</f>
        <v>4758.5713011182379</v>
      </c>
      <c r="BL97" s="839"/>
      <c r="BM97" s="825"/>
      <c r="BN97" s="825"/>
      <c r="BO97" s="841"/>
      <c r="BP97" s="841">
        <f>IS!CD32</f>
        <v>5209.9647093131598</v>
      </c>
      <c r="BR97" s="758"/>
    </row>
    <row r="98" spans="2:70" s="96" customFormat="1" hidden="1">
      <c r="B98" s="842" t="s">
        <v>341</v>
      </c>
      <c r="C98" s="843">
        <f>IS!Q33</f>
        <v>160.875</v>
      </c>
      <c r="D98" s="842">
        <f>IS!R33</f>
        <v>161.024</v>
      </c>
      <c r="E98" s="844">
        <f>IS!S33</f>
        <v>160.709</v>
      </c>
      <c r="F98" s="844">
        <f>IS!T33</f>
        <v>158.715</v>
      </c>
      <c r="G98" s="845">
        <f>IS!U33</f>
        <v>158.495</v>
      </c>
      <c r="H98" s="845">
        <f>IS!V33</f>
        <v>159.72999999999999</v>
      </c>
      <c r="I98" s="842">
        <f>IS!W33</f>
        <v>158.27000000000001</v>
      </c>
      <c r="J98" s="844">
        <f>IS!X33</f>
        <v>158.33099999999999</v>
      </c>
      <c r="K98" s="844">
        <f>IS!Y33</f>
        <v>158.65199999999999</v>
      </c>
      <c r="L98" s="845">
        <f>IS!Z33</f>
        <v>158.785</v>
      </c>
      <c r="M98" s="845">
        <f>IS!AA33</f>
        <v>158.5095</v>
      </c>
      <c r="N98" s="842">
        <f>IS!AB33</f>
        <v>158.387</v>
      </c>
      <c r="O98" s="844">
        <f>IS!AC33</f>
        <v>161.01900000000001</v>
      </c>
      <c r="P98" s="844">
        <f>IS!AD33</f>
        <v>163.29499999999999</v>
      </c>
      <c r="Q98" s="845">
        <f>IS!AE33</f>
        <v>330.452</v>
      </c>
      <c r="R98" s="845">
        <f>IS!AF33</f>
        <v>203.28825000000001</v>
      </c>
      <c r="S98" s="842">
        <f>IS!AG33</f>
        <v>332.9</v>
      </c>
      <c r="T98" s="844">
        <f>IS!AH33</f>
        <v>331.36900000000003</v>
      </c>
      <c r="U98" s="844">
        <f>IS!AI33</f>
        <v>322.78300000000002</v>
      </c>
      <c r="V98" s="845">
        <f>IS!AJ33</f>
        <v>317.39</v>
      </c>
      <c r="W98" s="845">
        <f>IS!AK33</f>
        <v>326.1105</v>
      </c>
      <c r="X98" s="842">
        <f>IS!AL33</f>
        <v>316.39699999999999</v>
      </c>
      <c r="Y98" s="844">
        <f>IS!AM33</f>
        <v>312.63099999999997</v>
      </c>
      <c r="Z98" s="844">
        <f>IS!AN33</f>
        <v>311.74299999999999</v>
      </c>
      <c r="AA98" s="845">
        <f>IS!AO33</f>
        <v>311.73899999999998</v>
      </c>
      <c r="AB98" s="845">
        <f>IS!AP33</f>
        <v>313.1275</v>
      </c>
      <c r="AC98" s="842">
        <f>IS!AQ33</f>
        <v>312.35000000000002</v>
      </c>
      <c r="AD98" s="844">
        <f>IS!AR33</f>
        <v>314.447</v>
      </c>
      <c r="AE98" s="844">
        <f>IS!AS33</f>
        <v>340.22300000000001</v>
      </c>
      <c r="AF98" s="845">
        <f>IS!AT33</f>
        <v>340.86500000000001</v>
      </c>
      <c r="AG98" s="845">
        <f>IS!AU33</f>
        <v>327.46600000000001</v>
      </c>
      <c r="AH98" s="842">
        <f>IS!AV33</f>
        <v>341.5</v>
      </c>
      <c r="AI98" s="844">
        <f>IS!AW33</f>
        <v>341.3</v>
      </c>
      <c r="AJ98" s="844">
        <f>IS!AX33</f>
        <v>341.3</v>
      </c>
      <c r="AK98" s="845">
        <f>IS!AY33</f>
        <v>341.9</v>
      </c>
      <c r="AL98" s="845">
        <f>IS!AZ33</f>
        <v>341.5</v>
      </c>
      <c r="AM98" s="842">
        <f>IS!BA33</f>
        <v>343.4</v>
      </c>
      <c r="AN98" s="844">
        <f>IS!BB33</f>
        <v>350.9</v>
      </c>
      <c r="AO98" s="844">
        <f>IS!BC33</f>
        <v>351</v>
      </c>
      <c r="AP98" s="845">
        <f>IS!BD33</f>
        <v>349.9</v>
      </c>
      <c r="AQ98" s="845">
        <f>IS!BE33</f>
        <v>348.79999999999995</v>
      </c>
      <c r="AR98" s="842">
        <f>IS!BF33</f>
        <v>349.9</v>
      </c>
      <c r="AS98" s="844">
        <f>IS!BG33</f>
        <v>349.9</v>
      </c>
      <c r="AT98" s="844">
        <f>IS!BH33</f>
        <v>349.9</v>
      </c>
      <c r="AU98" s="845">
        <f>IS!BI33</f>
        <v>349.9</v>
      </c>
      <c r="AV98" s="845">
        <f>IS!BJ33</f>
        <v>349.9</v>
      </c>
      <c r="AW98" s="842"/>
      <c r="AX98" s="844"/>
      <c r="AY98" s="844"/>
      <c r="AZ98" s="845"/>
      <c r="BA98" s="845">
        <f>IS!BO33</f>
        <v>353.399</v>
      </c>
      <c r="BB98" s="842"/>
      <c r="BC98" s="844"/>
      <c r="BD98" s="844"/>
      <c r="BE98" s="845"/>
      <c r="BF98" s="845">
        <f>IS!BT33</f>
        <v>352.64049658172468</v>
      </c>
      <c r="BG98" s="842"/>
      <c r="BH98" s="844"/>
      <c r="BI98" s="844"/>
      <c r="BJ98" s="845"/>
      <c r="BK98" s="845">
        <f>IS!BY33</f>
        <v>352.14741117578171</v>
      </c>
      <c r="BL98" s="842"/>
      <c r="BM98" s="844"/>
      <c r="BN98" s="844"/>
      <c r="BO98" s="845"/>
      <c r="BP98" s="845">
        <f>IS!CD33</f>
        <v>351.85452370418625</v>
      </c>
      <c r="BR98" s="758"/>
    </row>
    <row r="99" spans="2:70" s="96" customFormat="1"/>
    <row r="100" spans="2:70" s="96" customFormat="1">
      <c r="B100" s="846" t="s">
        <v>342</v>
      </c>
      <c r="C100" s="846"/>
      <c r="D100" s="847"/>
      <c r="E100" s="848"/>
      <c r="F100" s="848"/>
      <c r="G100" s="849"/>
      <c r="H100" s="846"/>
      <c r="I100" s="847"/>
      <c r="J100" s="848"/>
      <c r="K100" s="848"/>
      <c r="L100" s="849"/>
      <c r="M100" s="846"/>
      <c r="N100" s="847"/>
      <c r="O100" s="848"/>
      <c r="P100" s="848"/>
      <c r="Q100" s="849"/>
      <c r="R100" s="846"/>
      <c r="S100" s="847"/>
      <c r="T100" s="848"/>
      <c r="U100" s="848"/>
      <c r="V100" s="849"/>
      <c r="W100" s="846"/>
      <c r="X100" s="847"/>
      <c r="Y100" s="848"/>
      <c r="Z100" s="848"/>
      <c r="AA100" s="849"/>
      <c r="AB100" s="846"/>
      <c r="AC100" s="847"/>
      <c r="AD100" s="848"/>
      <c r="AE100" s="848"/>
      <c r="AF100" s="849"/>
      <c r="AG100" s="846"/>
      <c r="AH100" s="847"/>
      <c r="AI100" s="848"/>
      <c r="AJ100" s="848"/>
      <c r="AK100" s="849"/>
      <c r="AL100" s="846"/>
      <c r="AM100" s="847"/>
      <c r="AN100" s="848"/>
      <c r="AO100" s="848"/>
      <c r="AP100" s="849"/>
      <c r="AQ100" s="846"/>
      <c r="AR100" s="850"/>
      <c r="AS100" s="851"/>
      <c r="AT100" s="851"/>
      <c r="AU100" s="852"/>
      <c r="AV100" s="846"/>
      <c r="AW100" s="847"/>
      <c r="AX100" s="848"/>
      <c r="AY100" s="848"/>
      <c r="AZ100" s="849"/>
      <c r="BA100" s="846"/>
      <c r="BB100" s="847"/>
      <c r="BC100" s="848"/>
      <c r="BD100" s="848"/>
      <c r="BE100" s="849"/>
      <c r="BF100" s="846"/>
      <c r="BG100" s="847"/>
      <c r="BH100" s="848"/>
      <c r="BI100" s="848"/>
      <c r="BJ100" s="849"/>
      <c r="BK100" s="846"/>
      <c r="BL100" s="847"/>
      <c r="BM100" s="848"/>
      <c r="BN100" s="848"/>
      <c r="BO100" s="849"/>
      <c r="BP100" s="846"/>
      <c r="BR100" s="758"/>
    </row>
    <row r="101" spans="2:70" s="96" customFormat="1">
      <c r="B101" s="108" t="s">
        <v>343</v>
      </c>
      <c r="C101" s="108">
        <f>(C13/C95)*360</f>
        <v>47.461065140991295</v>
      </c>
      <c r="D101" s="109">
        <f t="shared" ref="D101:G102" si="105">(D13/D95)*90</f>
        <v>35.562643286746159</v>
      </c>
      <c r="E101" s="109">
        <f t="shared" si="105"/>
        <v>45.025873881619603</v>
      </c>
      <c r="F101" s="109">
        <f t="shared" si="105"/>
        <v>49.597932508324639</v>
      </c>
      <c r="G101" s="109">
        <f t="shared" si="105"/>
        <v>44.654372548155337</v>
      </c>
      <c r="H101" s="108">
        <f>(H13/H95)*360</f>
        <v>42.814714637773413</v>
      </c>
      <c r="I101" s="109">
        <f t="shared" ref="I101:L102" si="106">(I13/I95)*90</f>
        <v>42.989631834940198</v>
      </c>
      <c r="J101" s="109">
        <f t="shared" si="106"/>
        <v>45.248559692045369</v>
      </c>
      <c r="K101" s="109">
        <f t="shared" si="106"/>
        <v>42.044719865614546</v>
      </c>
      <c r="L101" s="109">
        <f t="shared" si="106"/>
        <v>44.773182661074536</v>
      </c>
      <c r="M101" s="108">
        <f>(M13/M95)*360</f>
        <v>52.619772558292603</v>
      </c>
      <c r="N101" s="109">
        <f t="shared" ref="N101:Q102" si="107">(N13/N95)*90</f>
        <v>43.036173651740391</v>
      </c>
      <c r="O101" s="109">
        <f t="shared" si="107"/>
        <v>43.128903223104153</v>
      </c>
      <c r="P101" s="109">
        <f t="shared" si="107"/>
        <v>125.80303168528857</v>
      </c>
      <c r="Q101" s="109">
        <f t="shared" si="107"/>
        <v>48.067315241641467</v>
      </c>
      <c r="R101" s="108">
        <f>(R13/R95)*360</f>
        <v>83.75712721943836</v>
      </c>
      <c r="S101" s="109">
        <f t="shared" ref="S101:V102" si="108">(S13/S95)*90</f>
        <v>75.039184037548708</v>
      </c>
      <c r="T101" s="109">
        <f t="shared" si="108"/>
        <v>60.781129233147418</v>
      </c>
      <c r="U101" s="109">
        <f t="shared" si="108"/>
        <v>67.461055301471916</v>
      </c>
      <c r="V101" s="109">
        <f t="shared" si="108"/>
        <v>74.419197824688112</v>
      </c>
      <c r="W101" s="108">
        <f>(W13/W95)*360</f>
        <v>83.181792721407248</v>
      </c>
      <c r="X101" s="109">
        <f t="shared" ref="X101:AA102" si="109">(X13/X95)*90</f>
        <v>64.502472249250374</v>
      </c>
      <c r="Y101" s="109">
        <f t="shared" si="109"/>
        <v>67.076003853235605</v>
      </c>
      <c r="Z101" s="109">
        <f t="shared" si="109"/>
        <v>81.94505395073179</v>
      </c>
      <c r="AA101" s="109">
        <f t="shared" si="109"/>
        <v>83.388151391118058</v>
      </c>
      <c r="AB101" s="108">
        <f>(AB13/AB95)*360</f>
        <v>92.758751557113726</v>
      </c>
      <c r="AC101" s="109">
        <f t="shared" ref="AC101:AF102" si="110">(AC13/AC95)*90</f>
        <v>88.804273860280531</v>
      </c>
      <c r="AD101" s="109">
        <f t="shared" si="110"/>
        <v>92.566214196148437</v>
      </c>
      <c r="AE101" s="109">
        <f t="shared" si="110"/>
        <v>95.920312946940797</v>
      </c>
      <c r="AF101" s="109">
        <f t="shared" si="110"/>
        <v>79.141686739281809</v>
      </c>
      <c r="AG101" s="108">
        <f>(AG13/AG95)*360</f>
        <v>113.23424047226806</v>
      </c>
      <c r="AH101" s="109">
        <f t="shared" ref="AH101:AK102" si="111">(AH13/AH95)*90</f>
        <v>81.411303149188853</v>
      </c>
      <c r="AI101" s="109">
        <f t="shared" si="111"/>
        <v>78.077017294596047</v>
      </c>
      <c r="AJ101" s="109">
        <f t="shared" si="111"/>
        <v>82.296469215056888</v>
      </c>
      <c r="AK101" s="109">
        <f t="shared" si="111"/>
        <v>81.93947368421054</v>
      </c>
      <c r="AL101" s="108">
        <f>(AL13/AL95)*360</f>
        <v>90.432383372662926</v>
      </c>
      <c r="AM101" s="109">
        <f t="shared" ref="AM101:AO102" si="112">(AM13/AM95)*90</f>
        <v>86.627413391756818</v>
      </c>
      <c r="AN101" s="109">
        <f t="shared" si="112"/>
        <v>78.096179183135703</v>
      </c>
      <c r="AO101" s="109">
        <f t="shared" si="112"/>
        <v>87.077292952490311</v>
      </c>
      <c r="AP101" s="853">
        <v>92</v>
      </c>
      <c r="AQ101" s="108">
        <f>(AQ13/AQ95)*360</f>
        <v>97.630005145699513</v>
      </c>
      <c r="AR101" s="855">
        <v>112</v>
      </c>
      <c r="AS101" s="853">
        <v>97</v>
      </c>
      <c r="AT101" s="853">
        <v>97</v>
      </c>
      <c r="AU101" s="856">
        <v>87</v>
      </c>
      <c r="AV101" s="108">
        <f>(AV13/AV95)*360</f>
        <v>95.706996174163166</v>
      </c>
      <c r="AW101" s="854"/>
      <c r="AX101" s="109"/>
      <c r="AY101" s="109"/>
      <c r="AZ101" s="857"/>
      <c r="BA101" s="858">
        <v>96</v>
      </c>
      <c r="BB101" s="854"/>
      <c r="BC101" s="109"/>
      <c r="BD101" s="109"/>
      <c r="BE101" s="857"/>
      <c r="BF101" s="858">
        <v>96</v>
      </c>
      <c r="BG101" s="854"/>
      <c r="BH101" s="109"/>
      <c r="BI101" s="109"/>
      <c r="BJ101" s="857"/>
      <c r="BK101" s="858">
        <v>96</v>
      </c>
      <c r="BL101" s="854"/>
      <c r="BM101" s="109"/>
      <c r="BN101" s="109"/>
      <c r="BO101" s="857"/>
      <c r="BP101" s="858">
        <v>96</v>
      </c>
      <c r="BR101" s="758"/>
    </row>
    <row r="102" spans="2:70" s="96" customFormat="1">
      <c r="B102" s="108" t="s">
        <v>344</v>
      </c>
      <c r="C102" s="108">
        <f>(C14/C96)*360</f>
        <v>129.95439914163092</v>
      </c>
      <c r="D102" s="109">
        <f t="shared" si="105"/>
        <v>112.93253931329676</v>
      </c>
      <c r="E102" s="109">
        <f t="shared" si="105"/>
        <v>143.24885475305967</v>
      </c>
      <c r="F102" s="109">
        <f t="shared" si="105"/>
        <v>133.00728912109207</v>
      </c>
      <c r="G102" s="109">
        <f t="shared" si="105"/>
        <v>102.91416284293585</v>
      </c>
      <c r="H102" s="108">
        <f>(H14/H96)*360</f>
        <v>108.75024725232926</v>
      </c>
      <c r="I102" s="109">
        <f t="shared" si="106"/>
        <v>120.7794380017841</v>
      </c>
      <c r="J102" s="109">
        <f t="shared" si="106"/>
        <v>126.00934934175038</v>
      </c>
      <c r="K102" s="109">
        <f t="shared" si="106"/>
        <v>131.03811008703548</v>
      </c>
      <c r="L102" s="109">
        <f t="shared" si="106"/>
        <v>126.81630151677645</v>
      </c>
      <c r="M102" s="108">
        <f>(M14/M96)*360</f>
        <v>145.84908153825822</v>
      </c>
      <c r="N102" s="109">
        <f t="shared" si="107"/>
        <v>148.8774489017047</v>
      </c>
      <c r="O102" s="109">
        <f t="shared" si="107"/>
        <v>124.13239436619719</v>
      </c>
      <c r="P102" s="109">
        <f t="shared" si="107"/>
        <v>427.65134691512986</v>
      </c>
      <c r="Q102" s="109">
        <f t="shared" si="107"/>
        <v>128.87728752666445</v>
      </c>
      <c r="R102" s="108">
        <f>(R14/R96)*360</f>
        <v>239.33974858321051</v>
      </c>
      <c r="S102" s="109">
        <f t="shared" si="108"/>
        <v>157.81859272974054</v>
      </c>
      <c r="T102" s="109">
        <f t="shared" si="108"/>
        <v>148.61727688787184</v>
      </c>
      <c r="U102" s="109">
        <f t="shared" si="108"/>
        <v>145.75502413831819</v>
      </c>
      <c r="V102" s="109">
        <f t="shared" si="108"/>
        <v>192.15189873417722</v>
      </c>
      <c r="W102" s="108">
        <f>(W14/W96)*360</f>
        <v>201.13012335853557</v>
      </c>
      <c r="X102" s="109">
        <f t="shared" si="109"/>
        <v>149.77305229954956</v>
      </c>
      <c r="Y102" s="109">
        <f t="shared" si="109"/>
        <v>175.72496270587109</v>
      </c>
      <c r="Z102" s="109">
        <f t="shared" si="109"/>
        <v>179.06156349002484</v>
      </c>
      <c r="AA102" s="109">
        <f t="shared" si="109"/>
        <v>195.29635695992616</v>
      </c>
      <c r="AB102" s="108">
        <f>(AB14/AB96)*360</f>
        <v>217.67954518293411</v>
      </c>
      <c r="AC102" s="109">
        <f t="shared" si="110"/>
        <v>186.20644302276489</v>
      </c>
      <c r="AD102" s="109">
        <f t="shared" si="110"/>
        <v>172.93553474922876</v>
      </c>
      <c r="AE102" s="109">
        <f t="shared" si="110"/>
        <v>232.83044723157812</v>
      </c>
      <c r="AF102" s="109">
        <f t="shared" si="110"/>
        <v>145.00075723708818</v>
      </c>
      <c r="AG102" s="108">
        <f>(AG14/AG96)*360</f>
        <v>216.37935236176247</v>
      </c>
      <c r="AH102" s="109">
        <f t="shared" si="111"/>
        <v>172.02485966319168</v>
      </c>
      <c r="AI102" s="109">
        <f t="shared" si="111"/>
        <v>149.36608557844693</v>
      </c>
      <c r="AJ102" s="109">
        <f t="shared" si="111"/>
        <v>157.25552641438745</v>
      </c>
      <c r="AK102" s="109">
        <f t="shared" si="111"/>
        <v>153.13048147485233</v>
      </c>
      <c r="AL102" s="108">
        <f>(AL14/AL96)*360</f>
        <v>158.49203408669879</v>
      </c>
      <c r="AM102" s="109">
        <f t="shared" si="112"/>
        <v>166.26780099870541</v>
      </c>
      <c r="AN102" s="109">
        <f t="shared" si="112"/>
        <v>175.53140862944161</v>
      </c>
      <c r="AO102" s="109">
        <f t="shared" si="112"/>
        <v>176.35294117647061</v>
      </c>
      <c r="AP102" s="853">
        <v>175</v>
      </c>
      <c r="AQ102" s="108">
        <f>(AQ14/AQ96)*360</f>
        <v>193.39637957626434</v>
      </c>
      <c r="AR102" s="855">
        <v>175</v>
      </c>
      <c r="AS102" s="853">
        <v>177</v>
      </c>
      <c r="AT102" s="853">
        <v>177</v>
      </c>
      <c r="AU102" s="856">
        <v>180</v>
      </c>
      <c r="AV102" s="108">
        <f>(AV14/AV96)*360</f>
        <v>196.42894405266168</v>
      </c>
      <c r="AW102" s="854"/>
      <c r="AX102" s="109"/>
      <c r="AY102" s="109"/>
      <c r="AZ102" s="857"/>
      <c r="BA102" s="858">
        <v>200</v>
      </c>
      <c r="BB102" s="854"/>
      <c r="BC102" s="109"/>
      <c r="BD102" s="109"/>
      <c r="BE102" s="857"/>
      <c r="BF102" s="858">
        <v>200</v>
      </c>
      <c r="BG102" s="854"/>
      <c r="BH102" s="109"/>
      <c r="BI102" s="109"/>
      <c r="BJ102" s="857"/>
      <c r="BK102" s="858">
        <v>200</v>
      </c>
      <c r="BL102" s="854"/>
      <c r="BM102" s="109"/>
      <c r="BN102" s="109"/>
      <c r="BO102" s="857"/>
      <c r="BP102" s="858">
        <v>200</v>
      </c>
      <c r="BR102" s="758"/>
    </row>
    <row r="103" spans="2:70" s="96" customFormat="1">
      <c r="B103" s="108" t="s">
        <v>345</v>
      </c>
      <c r="C103" s="108">
        <f>C28/C96*360</f>
        <v>81.140021459227469</v>
      </c>
      <c r="D103" s="109">
        <f>D28/D96*90</f>
        <v>65.876616730250305</v>
      </c>
      <c r="E103" s="109">
        <f>E28/E96*90</f>
        <v>70.677803860792665</v>
      </c>
      <c r="F103" s="109">
        <f>F28/F96*90</f>
        <v>58.730934524311103</v>
      </c>
      <c r="G103" s="109">
        <f>G28/G96*90</f>
        <v>70.963964136924758</v>
      </c>
      <c r="H103" s="108">
        <f>H28/H96*360</f>
        <v>74.988207965836082</v>
      </c>
      <c r="I103" s="109">
        <f>I28/I96*90</f>
        <v>51.434879571810882</v>
      </c>
      <c r="J103" s="109">
        <f>J28/J96*90</f>
        <v>55.925245220448687</v>
      </c>
      <c r="K103" s="109">
        <f>K28/K96*90</f>
        <v>67.04395192326669</v>
      </c>
      <c r="L103" s="109">
        <f>L28/L96*90</f>
        <v>110.3447219243144</v>
      </c>
      <c r="M103" s="108">
        <f>M28/M96*360</f>
        <v>126.90542266860493</v>
      </c>
      <c r="N103" s="109">
        <f>N28/N96*90</f>
        <v>64.849461453651088</v>
      </c>
      <c r="O103" s="109">
        <f>O28/O96*90</f>
        <v>58.985915492957751</v>
      </c>
      <c r="P103" s="109">
        <f>P28/P96*90</f>
        <v>254.88992951626915</v>
      </c>
      <c r="Q103" s="109">
        <f>Q28/Q96*90</f>
        <v>56.878859324127092</v>
      </c>
      <c r="R103" s="108">
        <f>R28/R96*360</f>
        <v>105.63049666544077</v>
      </c>
      <c r="S103" s="109">
        <f>S28/S96*90</f>
        <v>68.86109811621607</v>
      </c>
      <c r="T103" s="109">
        <f>T28/T96*90</f>
        <v>72.487986270022873</v>
      </c>
      <c r="U103" s="109">
        <f>U28/U96*90</f>
        <v>83.516896822723695</v>
      </c>
      <c r="V103" s="109">
        <f>V28/V96*90</f>
        <v>85.264524505030835</v>
      </c>
      <c r="W103" s="108">
        <f>W28/W96*360</f>
        <v>89.248477089097165</v>
      </c>
      <c r="X103" s="109">
        <f>X28/X96*90</f>
        <v>62.662024352103067</v>
      </c>
      <c r="Y103" s="109">
        <f>Y28/Y96*90</f>
        <v>70.600272234583827</v>
      </c>
      <c r="Z103" s="109">
        <f>Z28/Z96*90</f>
        <v>71.36227416730884</v>
      </c>
      <c r="AA103" s="109">
        <f>AA28/AA96*90</f>
        <v>83.589205262577437</v>
      </c>
      <c r="AB103" s="108">
        <f>AB28/AB96*360</f>
        <v>93.169480818807287</v>
      </c>
      <c r="AC103" s="109">
        <f>AC28/AC96*90</f>
        <v>66.865399603806054</v>
      </c>
      <c r="AD103" s="109">
        <f>AD28/AD96*90</f>
        <v>98.997842911373809</v>
      </c>
      <c r="AE103" s="109">
        <f>AE28/AE96*90</f>
        <v>89.347435684767007</v>
      </c>
      <c r="AF103" s="109">
        <f>AF28/AF96*90</f>
        <v>53.695043290240761</v>
      </c>
      <c r="AG103" s="108">
        <f>AG28/AG96*360</f>
        <v>80.127158737398148</v>
      </c>
      <c r="AH103" s="109">
        <f>AH28/AH96*90</f>
        <v>70.783881315156393</v>
      </c>
      <c r="AI103" s="109">
        <f>AI28/AI96*90</f>
        <v>51.933438985736927</v>
      </c>
      <c r="AJ103" s="109">
        <f>AJ28/AJ96*90</f>
        <v>54.509179467965531</v>
      </c>
      <c r="AK103" s="109">
        <f>AK28/AK96*90</f>
        <v>64.113119742258817</v>
      </c>
      <c r="AL103" s="108">
        <f>AL28/AL96*360</f>
        <v>66.357910337161911</v>
      </c>
      <c r="AM103" s="109">
        <f>AM28/AM96*90</f>
        <v>58.67394118734974</v>
      </c>
      <c r="AN103" s="109">
        <f>AN28/AN96*90</f>
        <v>59.362309644670056</v>
      </c>
      <c r="AO103" s="109">
        <f>AO28/AO96*90</f>
        <v>70.117647058823536</v>
      </c>
      <c r="AP103" s="853">
        <v>70</v>
      </c>
      <c r="AQ103" s="108">
        <f>AQ28/AQ96*360</f>
        <v>77.358551830505718</v>
      </c>
      <c r="AR103" s="855">
        <v>64</v>
      </c>
      <c r="AS103" s="853">
        <v>64</v>
      </c>
      <c r="AT103" s="853">
        <v>64</v>
      </c>
      <c r="AU103" s="856">
        <v>64</v>
      </c>
      <c r="AV103" s="108">
        <f>AV28/AV96*360</f>
        <v>69.841402329835262</v>
      </c>
      <c r="AW103" s="859">
        <v>55</v>
      </c>
      <c r="AX103" s="859">
        <v>55</v>
      </c>
      <c r="AY103" s="859">
        <v>55</v>
      </c>
      <c r="AZ103" s="859">
        <v>55</v>
      </c>
      <c r="BA103" s="859">
        <v>76</v>
      </c>
      <c r="BB103" s="859">
        <v>55</v>
      </c>
      <c r="BC103" s="859">
        <v>55</v>
      </c>
      <c r="BD103" s="859">
        <v>55</v>
      </c>
      <c r="BE103" s="859">
        <v>55</v>
      </c>
      <c r="BF103" s="859">
        <v>76</v>
      </c>
      <c r="BG103" s="859">
        <v>55</v>
      </c>
      <c r="BH103" s="859">
        <v>55</v>
      </c>
      <c r="BI103" s="859">
        <v>55</v>
      </c>
      <c r="BJ103" s="859">
        <v>55</v>
      </c>
      <c r="BK103" s="859">
        <v>76</v>
      </c>
      <c r="BL103" s="859">
        <v>55</v>
      </c>
      <c r="BM103" s="859">
        <v>55</v>
      </c>
      <c r="BN103" s="859">
        <v>55</v>
      </c>
      <c r="BO103" s="859">
        <v>55</v>
      </c>
      <c r="BP103" s="859">
        <v>76</v>
      </c>
      <c r="BR103" s="758"/>
    </row>
    <row r="104" spans="2:70" s="96" customFormat="1">
      <c r="B104" s="108" t="s">
        <v>346</v>
      </c>
      <c r="C104" s="108"/>
      <c r="D104" s="854"/>
      <c r="E104" s="109"/>
      <c r="F104" s="109"/>
      <c r="G104" s="857"/>
      <c r="H104" s="108"/>
      <c r="I104" s="854"/>
      <c r="J104" s="109"/>
      <c r="K104" s="109"/>
      <c r="L104" s="857"/>
      <c r="M104" s="108"/>
      <c r="N104" s="854"/>
      <c r="O104" s="109"/>
      <c r="P104" s="109">
        <v>37.792999999999999</v>
      </c>
      <c r="Q104" s="109">
        <f>219.758-108.979-P104</f>
        <v>72.986000000000018</v>
      </c>
      <c r="R104" s="108">
        <f>SUM(N104:Q104)</f>
        <v>110.77900000000002</v>
      </c>
      <c r="S104" s="109">
        <v>114.337</v>
      </c>
      <c r="T104" s="109">
        <v>114.946</v>
      </c>
      <c r="U104" s="109">
        <f>IS!AI16</f>
        <v>138.02699999999999</v>
      </c>
      <c r="V104" s="109">
        <f>IS!AJ16</f>
        <v>192.798</v>
      </c>
      <c r="W104" s="108">
        <f>SUM(S104:V104)</f>
        <v>560.10799999999995</v>
      </c>
      <c r="X104" s="109">
        <f>IS!AL16</f>
        <v>200.643</v>
      </c>
      <c r="Y104" s="109">
        <v>211.101</v>
      </c>
      <c r="Z104" s="109">
        <v>218.18700000000001</v>
      </c>
      <c r="AA104" s="109">
        <f>931.442-X104-Y104-Z104</f>
        <v>301.51099999999997</v>
      </c>
      <c r="AB104" s="108">
        <f>SUM(X104:AA104)</f>
        <v>931.44200000000001</v>
      </c>
      <c r="AC104" s="109">
        <v>326.17500000000001</v>
      </c>
      <c r="AD104" s="109">
        <v>303.59800000000001</v>
      </c>
      <c r="AE104" s="109">
        <v>910.24800000000005</v>
      </c>
      <c r="AF104" s="109">
        <f>1902-AC104-AD104-AE104</f>
        <v>361.97900000000004</v>
      </c>
      <c r="AG104" s="108">
        <f>SUM(AC104:AF104)</f>
        <v>1902.0000000000002</v>
      </c>
      <c r="AH104" s="109">
        <v>355.19999999999993</v>
      </c>
      <c r="AI104" s="109">
        <v>365.6</v>
      </c>
      <c r="AJ104" s="109">
        <v>393</v>
      </c>
      <c r="AK104" s="109">
        <v>436.90000000000009</v>
      </c>
      <c r="AL104" s="108">
        <f>SUM(AH104:AK104)</f>
        <v>1550.7</v>
      </c>
      <c r="AM104" s="109">
        <v>365.20000000000005</v>
      </c>
      <c r="AN104" s="109">
        <v>585.4</v>
      </c>
      <c r="AO104" s="109">
        <v>679.2</v>
      </c>
      <c r="AP104" s="853">
        <f>2212.4-SUM(AM104:AO104)</f>
        <v>582.59999999999991</v>
      </c>
      <c r="AQ104" s="108">
        <f>SUM(AM104:AP104)</f>
        <v>2212.4</v>
      </c>
      <c r="AR104" s="855">
        <f>2546.2/4</f>
        <v>636.54999999999995</v>
      </c>
      <c r="AS104" s="853">
        <f>2546.2/4</f>
        <v>636.54999999999995</v>
      </c>
      <c r="AT104" s="853">
        <f>2546.2/4</f>
        <v>636.54999999999995</v>
      </c>
      <c r="AU104" s="853">
        <f>2546.2/4</f>
        <v>636.54999999999995</v>
      </c>
      <c r="AV104" s="108">
        <f>SUM(AR104:AU104)</f>
        <v>2546.1999999999998</v>
      </c>
      <c r="AW104" s="859"/>
      <c r="AX104" s="859"/>
      <c r="AY104" s="859"/>
      <c r="AZ104" s="859"/>
      <c r="BA104" s="859">
        <v>2479</v>
      </c>
      <c r="BB104" s="859"/>
      <c r="BC104" s="859"/>
      <c r="BD104" s="859"/>
      <c r="BE104" s="859"/>
      <c r="BF104" s="859">
        <v>2348.3000000000002</v>
      </c>
      <c r="BG104" s="859"/>
      <c r="BH104" s="859"/>
      <c r="BI104" s="859"/>
      <c r="BJ104" s="859"/>
      <c r="BK104" s="859">
        <v>2212.6</v>
      </c>
      <c r="BL104" s="859"/>
      <c r="BM104" s="859"/>
      <c r="BN104" s="859"/>
      <c r="BO104" s="859"/>
      <c r="BP104" s="859">
        <v>2212.6</v>
      </c>
      <c r="BR104" s="758" t="s">
        <v>347</v>
      </c>
    </row>
    <row r="105" spans="2:70" s="96" customFormat="1">
      <c r="B105" s="108" t="s">
        <v>348</v>
      </c>
      <c r="C105" s="108"/>
      <c r="D105" s="854"/>
      <c r="E105" s="109"/>
      <c r="F105" s="109"/>
      <c r="G105" s="857"/>
      <c r="H105" s="108"/>
      <c r="I105" s="854"/>
      <c r="J105" s="109"/>
      <c r="K105" s="109"/>
      <c r="L105" s="857"/>
      <c r="M105" s="108"/>
      <c r="N105" s="854"/>
      <c r="O105" s="109"/>
      <c r="P105" s="109">
        <f>P59-P104</f>
        <v>4.5450000000000017</v>
      </c>
      <c r="Q105" s="109">
        <f>Q59-Q104</f>
        <v>58.898999999999972</v>
      </c>
      <c r="R105" s="108">
        <f>SUM(N105:Q105)</f>
        <v>63.443999999999974</v>
      </c>
      <c r="S105" s="109">
        <f>S59-S104</f>
        <v>12.664999999999992</v>
      </c>
      <c r="T105" s="109">
        <f>T59-T104</f>
        <v>7.3299999999999983</v>
      </c>
      <c r="U105" s="109">
        <f>U59-U104</f>
        <v>16.90900000000002</v>
      </c>
      <c r="V105" s="109">
        <f>V59-V104</f>
        <v>15.590999999999923</v>
      </c>
      <c r="W105" s="108">
        <f>SUM(S105:V105)</f>
        <v>52.494999999999933</v>
      </c>
      <c r="X105" s="109">
        <f>X59-X104</f>
        <v>14.938999999999993</v>
      </c>
      <c r="Y105" s="109">
        <f>Y59-Y104</f>
        <v>10.765000000000015</v>
      </c>
      <c r="Z105" s="109">
        <f>Z59-Z104</f>
        <v>17.123999999999995</v>
      </c>
      <c r="AA105" s="109">
        <f>AA59-AA104</f>
        <v>11.951999999999998</v>
      </c>
      <c r="AB105" s="108">
        <f>SUM(X105:AA105)</f>
        <v>54.78</v>
      </c>
      <c r="AC105" s="109">
        <f>AC59-AC104</f>
        <v>15.269999999999982</v>
      </c>
      <c r="AD105" s="109">
        <f>AD59-AD104</f>
        <v>14.255999999999972</v>
      </c>
      <c r="AE105" s="109">
        <f>AE59-AE104</f>
        <v>35.70799999999997</v>
      </c>
      <c r="AF105" s="109">
        <f>AF59-AF104</f>
        <v>48.572000000000003</v>
      </c>
      <c r="AG105" s="108">
        <f>SUM(AC105:AF105)</f>
        <v>113.80599999999993</v>
      </c>
      <c r="AH105" s="109">
        <f>AH59-AH104</f>
        <v>45.900000000000091</v>
      </c>
      <c r="AI105" s="109">
        <f>AI59-AI104</f>
        <v>42.099999999999966</v>
      </c>
      <c r="AJ105" s="109">
        <f>AJ59-AJ104</f>
        <v>46.300000000000011</v>
      </c>
      <c r="AK105" s="109">
        <f>AK59-AK104</f>
        <v>52.599999999999852</v>
      </c>
      <c r="AL105" s="108">
        <f>SUM(AH105:AK105)</f>
        <v>186.89999999999992</v>
      </c>
      <c r="AM105" s="109">
        <f>AM59-AM104</f>
        <v>41.799999999999955</v>
      </c>
      <c r="AN105" s="109">
        <f>AN59-AN104</f>
        <v>49.600000000000023</v>
      </c>
      <c r="AO105" s="109">
        <f>AO59-AO104</f>
        <v>47.199999999999932</v>
      </c>
      <c r="AP105" s="853">
        <v>50</v>
      </c>
      <c r="AQ105" s="108">
        <f>SUM(AM105:AP105)</f>
        <v>188.59999999999991</v>
      </c>
      <c r="AR105" s="855">
        <v>50</v>
      </c>
      <c r="AS105" s="853">
        <v>50</v>
      </c>
      <c r="AT105" s="853">
        <v>50</v>
      </c>
      <c r="AU105" s="853">
        <v>50</v>
      </c>
      <c r="AV105" s="108">
        <f>SUM(AR105:AU105)</f>
        <v>200</v>
      </c>
      <c r="AW105" s="854"/>
      <c r="AX105" s="109"/>
      <c r="AY105" s="109"/>
      <c r="AZ105" s="857"/>
      <c r="BA105" s="108">
        <f>AV105</f>
        <v>200</v>
      </c>
      <c r="BB105" s="854"/>
      <c r="BC105" s="109"/>
      <c r="BD105" s="109"/>
      <c r="BE105" s="857"/>
      <c r="BF105" s="108">
        <f>BA105</f>
        <v>200</v>
      </c>
      <c r="BG105" s="854"/>
      <c r="BH105" s="109"/>
      <c r="BI105" s="109"/>
      <c r="BJ105" s="857"/>
      <c r="BK105" s="108">
        <f>BF105</f>
        <v>200</v>
      </c>
      <c r="BL105" s="854"/>
      <c r="BM105" s="109"/>
      <c r="BN105" s="109"/>
      <c r="BO105" s="857"/>
      <c r="BP105" s="108">
        <f>BK105</f>
        <v>200</v>
      </c>
      <c r="BR105" s="758"/>
    </row>
    <row r="106" spans="2:70" s="96" customFormat="1">
      <c r="B106" s="108" t="s">
        <v>349</v>
      </c>
      <c r="C106" s="108"/>
      <c r="D106" s="854"/>
      <c r="E106" s="109"/>
      <c r="F106" s="109"/>
      <c r="G106" s="857"/>
      <c r="H106" s="108"/>
      <c r="I106" s="854"/>
      <c r="J106" s="109"/>
      <c r="K106" s="109"/>
      <c r="L106" s="857"/>
      <c r="M106" s="108"/>
      <c r="N106" s="854"/>
      <c r="O106" s="109"/>
      <c r="P106" s="860">
        <v>0</v>
      </c>
      <c r="Q106" s="857"/>
      <c r="R106" s="108"/>
      <c r="S106" s="854"/>
      <c r="T106" s="109"/>
      <c r="U106" s="109"/>
      <c r="V106" s="857"/>
      <c r="W106" s="108"/>
      <c r="X106" s="109"/>
      <c r="Y106" s="109"/>
      <c r="Z106" s="109"/>
      <c r="AA106" s="857"/>
      <c r="AB106" s="108">
        <f>SUM(X106:AA106)</f>
        <v>0</v>
      </c>
      <c r="AC106" s="109"/>
      <c r="AD106" s="109">
        <v>0</v>
      </c>
      <c r="AE106" s="109">
        <v>0</v>
      </c>
      <c r="AF106" s="857"/>
      <c r="AG106" s="108">
        <f>SUM(AC106:AF106)</f>
        <v>0</v>
      </c>
      <c r="AH106" s="109"/>
      <c r="AI106" s="109">
        <v>0</v>
      </c>
      <c r="AJ106" s="109">
        <v>0</v>
      </c>
      <c r="AK106" s="857">
        <v>0</v>
      </c>
      <c r="AL106" s="108">
        <f>SUM(AH106:AK106)</f>
        <v>0</v>
      </c>
      <c r="AM106" s="109">
        <v>0</v>
      </c>
      <c r="AN106" s="109">
        <v>0</v>
      </c>
      <c r="AO106" s="109">
        <v>0</v>
      </c>
      <c r="AP106" s="857">
        <v>0</v>
      </c>
      <c r="AQ106" s="108">
        <f>SUM(AM106:AP106)</f>
        <v>0</v>
      </c>
      <c r="AR106" s="861">
        <v>0</v>
      </c>
      <c r="AS106" s="109">
        <v>0</v>
      </c>
      <c r="AT106" s="109">
        <v>0</v>
      </c>
      <c r="AU106" s="862">
        <v>0</v>
      </c>
      <c r="AV106" s="108">
        <v>0</v>
      </c>
      <c r="AW106" s="854"/>
      <c r="AX106" s="109"/>
      <c r="AY106" s="109"/>
      <c r="AZ106" s="857"/>
      <c r="BA106" s="108">
        <v>0</v>
      </c>
      <c r="BB106" s="854"/>
      <c r="BC106" s="109"/>
      <c r="BD106" s="109"/>
      <c r="BE106" s="857"/>
      <c r="BF106" s="108">
        <v>0</v>
      </c>
      <c r="BG106" s="854"/>
      <c r="BH106" s="109"/>
      <c r="BI106" s="109"/>
      <c r="BJ106" s="857"/>
      <c r="BK106" s="108">
        <v>0</v>
      </c>
      <c r="BL106" s="854"/>
      <c r="BM106" s="109"/>
      <c r="BN106" s="109"/>
      <c r="BO106" s="857"/>
      <c r="BP106" s="108">
        <v>0</v>
      </c>
      <c r="BR106" s="758"/>
    </row>
    <row r="107" spans="2:70" s="96" customFormat="1">
      <c r="B107" s="108" t="s">
        <v>350</v>
      </c>
      <c r="C107" s="108"/>
      <c r="D107" s="854"/>
      <c r="E107" s="109"/>
      <c r="F107" s="109"/>
      <c r="G107" s="857"/>
      <c r="H107" s="108"/>
      <c r="I107" s="854"/>
      <c r="J107" s="109"/>
      <c r="K107" s="109"/>
      <c r="L107" s="857"/>
      <c r="M107" s="108"/>
      <c r="N107" s="854"/>
      <c r="O107" s="109"/>
      <c r="P107" s="863">
        <v>5.0000000000000001E-3</v>
      </c>
      <c r="Q107" s="864"/>
      <c r="R107" s="108"/>
      <c r="S107" s="864"/>
      <c r="T107" s="864"/>
      <c r="U107" s="864"/>
      <c r="V107" s="864"/>
      <c r="W107" s="865">
        <f>W108/AVERAGE(S78,V79)</f>
        <v>1.4628031089938752E-2</v>
      </c>
      <c r="X107" s="864"/>
      <c r="Y107" s="864"/>
      <c r="Z107" s="864"/>
      <c r="AA107" s="864"/>
      <c r="AB107" s="865">
        <f>AB108/AVERAGE(X78,AA79)</f>
        <v>1.1083112232712021E-2</v>
      </c>
      <c r="AC107" s="864"/>
      <c r="AD107" s="864"/>
      <c r="AE107" s="864"/>
      <c r="AF107" s="864"/>
      <c r="AG107" s="865">
        <f>AG108/AVERAGE(AC78,AF79)</f>
        <v>7.8948531123407516E-3</v>
      </c>
      <c r="AH107" s="864"/>
      <c r="AI107" s="864"/>
      <c r="AJ107" s="864"/>
      <c r="AK107" s="864"/>
      <c r="AL107" s="865"/>
      <c r="AM107" s="864"/>
      <c r="AN107" s="864"/>
      <c r="AO107" s="864"/>
      <c r="AP107" s="866">
        <v>0.01</v>
      </c>
      <c r="AQ107" s="865">
        <f>AQ108/AVERAGE(AM78,AP79)</f>
        <v>1.8159948219991152E-2</v>
      </c>
      <c r="AR107" s="867">
        <v>0.01</v>
      </c>
      <c r="AS107" s="864">
        <v>0.01</v>
      </c>
      <c r="AT107" s="864">
        <v>0.01</v>
      </c>
      <c r="AU107" s="868">
        <v>0.01</v>
      </c>
      <c r="AV107" s="865">
        <f>AV108/AVERAGE(AR78,AU79)</f>
        <v>3.2552414481800518E-2</v>
      </c>
      <c r="AW107" s="109"/>
      <c r="AX107" s="109"/>
      <c r="AY107" s="109"/>
      <c r="AZ107" s="857"/>
      <c r="BA107" s="869">
        <v>0.01</v>
      </c>
      <c r="BB107" s="109"/>
      <c r="BC107" s="109"/>
      <c r="BD107" s="109"/>
      <c r="BE107" s="857"/>
      <c r="BF107" s="869">
        <v>0.01</v>
      </c>
      <c r="BG107" s="109"/>
      <c r="BH107" s="109"/>
      <c r="BI107" s="109"/>
      <c r="BJ107" s="857"/>
      <c r="BK107" s="869">
        <v>0.01</v>
      </c>
      <c r="BL107" s="109"/>
      <c r="BM107" s="109"/>
      <c r="BN107" s="109"/>
      <c r="BO107" s="857"/>
      <c r="BP107" s="869">
        <v>0.01</v>
      </c>
      <c r="BR107" s="758"/>
    </row>
    <row r="108" spans="2:70" s="96" customFormat="1">
      <c r="B108" s="108" t="s">
        <v>351</v>
      </c>
      <c r="C108" s="108"/>
      <c r="D108" s="854"/>
      <c r="E108" s="109"/>
      <c r="F108" s="109"/>
      <c r="G108" s="857"/>
      <c r="H108" s="108"/>
      <c r="I108" s="854"/>
      <c r="J108" s="109"/>
      <c r="K108" s="109"/>
      <c r="L108" s="857"/>
      <c r="M108" s="108"/>
      <c r="N108" s="854"/>
      <c r="O108" s="109"/>
      <c r="P108" s="860"/>
      <c r="Q108" s="857"/>
      <c r="R108" s="108"/>
      <c r="S108" s="109">
        <v>0.80300000000000005</v>
      </c>
      <c r="T108" s="109">
        <v>0.84699999999999998</v>
      </c>
      <c r="U108" s="109">
        <v>1.052</v>
      </c>
      <c r="V108" s="109">
        <f>4.084-S108-T108-U108</f>
        <v>1.3819999999999997</v>
      </c>
      <c r="W108" s="108">
        <f>SUM(S108:V108)</f>
        <v>4.0839999999999996</v>
      </c>
      <c r="X108" s="109">
        <v>1.123</v>
      </c>
      <c r="Y108" s="109">
        <v>1.02</v>
      </c>
      <c r="Z108" s="109">
        <v>1.1559999999999999</v>
      </c>
      <c r="AA108" s="109">
        <f>5.986-X108-Y108-Z108</f>
        <v>2.6869999999999994</v>
      </c>
      <c r="AB108" s="108">
        <f>SUM(X108:AA108)</f>
        <v>5.9859999999999989</v>
      </c>
      <c r="AC108" s="109">
        <v>1.5960000000000001</v>
      </c>
      <c r="AD108" s="109">
        <v>1.054</v>
      </c>
      <c r="AE108" s="109">
        <v>2.6859999999999999</v>
      </c>
      <c r="AF108" s="109">
        <f>5.986-AC108-AD108-AE108</f>
        <v>0.64999999999999947</v>
      </c>
      <c r="AG108" s="108">
        <f>SUM(AC108:AF108)</f>
        <v>5.9859999999999998</v>
      </c>
      <c r="AH108" s="109"/>
      <c r="AI108" s="109"/>
      <c r="AJ108" s="109"/>
      <c r="AK108" s="109"/>
      <c r="AL108" s="108"/>
      <c r="AM108" s="109"/>
      <c r="AN108" s="109"/>
      <c r="AO108" s="109">
        <f t="shared" ref="AO108:AP108" si="113">AO107*AO78</f>
        <v>0</v>
      </c>
      <c r="AP108" s="857">
        <f t="shared" si="113"/>
        <v>14.200000000000037</v>
      </c>
      <c r="AQ108" s="108">
        <f>SUM(AM108:AP108)</f>
        <v>14.200000000000037</v>
      </c>
      <c r="AR108" s="861">
        <f t="shared" ref="AR108:AU108" si="114">AR107*AR78</f>
        <v>12.41281111111109</v>
      </c>
      <c r="AS108" s="109">
        <f t="shared" si="114"/>
        <v>6.8650168411110908</v>
      </c>
      <c r="AT108" s="109">
        <f t="shared" si="114"/>
        <v>9.4446490956110924</v>
      </c>
      <c r="AU108" s="862">
        <f t="shared" si="114"/>
        <v>12.172644388333319</v>
      </c>
      <c r="AV108" s="108">
        <f>SUM(AR108:AU108)</f>
        <v>40.89512143616659</v>
      </c>
      <c r="AW108" s="854"/>
      <c r="AX108" s="109"/>
      <c r="AY108" s="109"/>
      <c r="AZ108" s="857"/>
      <c r="BA108" s="108">
        <f>BA107*BA78</f>
        <v>12.712895898444433</v>
      </c>
      <c r="BB108" s="854"/>
      <c r="BC108" s="109"/>
      <c r="BD108" s="109"/>
      <c r="BE108" s="857"/>
      <c r="BF108" s="108">
        <f>BF107*BF78</f>
        <v>22.052843244647239</v>
      </c>
      <c r="BG108" s="854"/>
      <c r="BH108" s="109"/>
      <c r="BI108" s="109"/>
      <c r="BJ108" s="857"/>
      <c r="BK108" s="108">
        <f>BK107*BK78</f>
        <v>28.662760125698973</v>
      </c>
      <c r="BL108" s="854"/>
      <c r="BM108" s="109"/>
      <c r="BN108" s="109"/>
      <c r="BO108" s="857"/>
      <c r="BP108" s="108">
        <f>BP107*BP78</f>
        <v>36.886373196537363</v>
      </c>
      <c r="BR108" s="758"/>
    </row>
    <row r="109" spans="2:70" s="96" customFormat="1">
      <c r="B109" s="108" t="s">
        <v>352</v>
      </c>
      <c r="C109" s="108"/>
      <c r="D109" s="854"/>
      <c r="E109" s="109"/>
      <c r="F109" s="109"/>
      <c r="G109" s="857"/>
      <c r="H109" s="108"/>
      <c r="I109" s="854"/>
      <c r="J109" s="109"/>
      <c r="K109" s="109"/>
      <c r="L109" s="857"/>
      <c r="M109" s="108"/>
      <c r="N109" s="854"/>
      <c r="O109" s="109"/>
      <c r="P109" s="863">
        <v>5.5E-2</v>
      </c>
      <c r="Q109" s="864"/>
      <c r="R109" s="108"/>
      <c r="S109" s="864"/>
      <c r="T109" s="870">
        <f>T110/AVERAGE(T83,S83)*4</f>
        <v>6.8096848159807238E-2</v>
      </c>
      <c r="U109" s="870">
        <f>U110/AVERAGE(U83,T83)*4</f>
        <v>6.1240267247818121E-2</v>
      </c>
      <c r="V109" s="870">
        <f>V110/AVERAGE(V83,U83)*4</f>
        <v>7.4246656948917494E-2</v>
      </c>
      <c r="W109" s="108"/>
      <c r="X109" s="870">
        <f>X110/AVERAGE(X83,W83)*4</f>
        <v>5.9807639520993716E-2</v>
      </c>
      <c r="Y109" s="870">
        <f>Y110/AVERAGE(Y83,X83)*4</f>
        <v>5.5330870095722559E-2</v>
      </c>
      <c r="Z109" s="870">
        <f>Z110/AVERAGE(Z83,Y83)*4</f>
        <v>6.1149480012444163E-2</v>
      </c>
      <c r="AA109" s="870">
        <f>AA110/AVERAGE(AA83,Z83)*4</f>
        <v>6.6380379870696282E-2</v>
      </c>
      <c r="AB109" s="865">
        <f>AB110/AVERAGE(AB42+AB35,W35+W42)</f>
        <v>5.3592093027784123E-2</v>
      </c>
      <c r="AC109" s="870">
        <f>AC110/AVERAGE(AC83,AB83)*4</f>
        <v>5.743700117576387E-2</v>
      </c>
      <c r="AD109" s="870">
        <f>AD110/AVERAGE(AD83,AC83)*4</f>
        <v>6.6056192487818896E-2</v>
      </c>
      <c r="AE109" s="870">
        <f>AE110/AVERAGE(AE83,AD83)*4</f>
        <v>7.0728068434355362E-2</v>
      </c>
      <c r="AF109" s="870">
        <f>AF110/AVERAGE(AF83,AE83)*4</f>
        <v>-2.4851422460837925E-2</v>
      </c>
      <c r="AG109" s="865">
        <f>AG110/AVERAGE(AG42+AG35,AB35+AB42)</f>
        <v>3.3357329815493435E-2</v>
      </c>
      <c r="AH109" s="870">
        <f>AH110/AVERAGE(AH83,AG83)*4</f>
        <v>5.6740687175758767E-2</v>
      </c>
      <c r="AI109" s="870">
        <f>AI110/AVERAGE(AI83,AH83)*4</f>
        <v>5.2730436385844827E-2</v>
      </c>
      <c r="AJ109" s="870">
        <f>AJ110/AVERAGE(AJ83,AI83)*4</f>
        <v>5.3070796776228855E-2</v>
      </c>
      <c r="AK109" s="870">
        <f>AK110/AVERAGE(AK83,AJ83)*4</f>
        <v>5.3740148115257146E-2</v>
      </c>
      <c r="AL109" s="865">
        <f>AL110/AVERAGE(AL42+AL35,AG35+AG42)</f>
        <v>5.5790054300889E-2</v>
      </c>
      <c r="AM109" s="870">
        <f>AM110/AVERAGE(AM83,AL83)*4</f>
        <v>4.000455478215785E-2</v>
      </c>
      <c r="AN109" s="870">
        <f>AN110/AVERAGE(AN83,AM83)*4</f>
        <v>5.4985958264940654E-2</v>
      </c>
      <c r="AO109" s="870">
        <f>AO110/AVERAGE(AO83,AN83)*4</f>
        <v>5.0657012777587093E-2</v>
      </c>
      <c r="AP109" s="866">
        <v>5.2499999999999998E-2</v>
      </c>
      <c r="AQ109" s="865">
        <f>AQ110/AVERAGE(AQ42+AQ35,AL35+AL42)</f>
        <v>5.9520070517603892E-2</v>
      </c>
      <c r="AR109" s="867">
        <v>5.2499999999999998E-2</v>
      </c>
      <c r="AS109" s="864">
        <v>5.5E-2</v>
      </c>
      <c r="AT109" s="864">
        <v>5.5E-2</v>
      </c>
      <c r="AU109" s="868">
        <v>5.5E-2</v>
      </c>
      <c r="AV109" s="865">
        <f>AV110/AVERAGE(AV42+AV35,AQ35+AQ42)</f>
        <v>5.4402985858755672E-2</v>
      </c>
      <c r="AW109" s="109"/>
      <c r="AX109" s="109"/>
      <c r="AY109" s="109"/>
      <c r="AZ109" s="857"/>
      <c r="BA109" s="869">
        <v>5.5E-2</v>
      </c>
      <c r="BB109" s="109"/>
      <c r="BC109" s="109"/>
      <c r="BD109" s="109"/>
      <c r="BE109" s="857"/>
      <c r="BF109" s="869">
        <v>5.5E-2</v>
      </c>
      <c r="BG109" s="109"/>
      <c r="BH109" s="109"/>
      <c r="BI109" s="109"/>
      <c r="BJ109" s="857"/>
      <c r="BK109" s="869">
        <v>5.5E-2</v>
      </c>
      <c r="BL109" s="109"/>
      <c r="BM109" s="109"/>
      <c r="BN109" s="109"/>
      <c r="BO109" s="857"/>
      <c r="BP109" s="869">
        <v>5.5E-2</v>
      </c>
      <c r="BR109" s="758"/>
    </row>
    <row r="110" spans="2:70" s="96" customFormat="1">
      <c r="B110" s="115" t="s">
        <v>353</v>
      </c>
      <c r="C110" s="115"/>
      <c r="D110" s="871"/>
      <c r="E110" s="116"/>
      <c r="F110" s="116"/>
      <c r="G110" s="872"/>
      <c r="H110" s="115"/>
      <c r="I110" s="871"/>
      <c r="J110" s="116"/>
      <c r="K110" s="116"/>
      <c r="L110" s="872"/>
      <c r="M110" s="115"/>
      <c r="N110" s="871"/>
      <c r="O110" s="116"/>
      <c r="P110" s="873">
        <f>P109*(P42+P35)/4</f>
        <v>44.488812500000002</v>
      </c>
      <c r="Q110" s="116"/>
      <c r="R110" s="115"/>
      <c r="S110" s="116">
        <v>69.137</v>
      </c>
      <c r="T110" s="116">
        <v>78.849000000000004</v>
      </c>
      <c r="U110" s="116">
        <v>74.817999999999998</v>
      </c>
      <c r="V110" s="116">
        <f>333.041-S110-T110-U110</f>
        <v>110.23700000000001</v>
      </c>
      <c r="W110" s="115">
        <f>SUM(S110:V110)</f>
        <v>333.041</v>
      </c>
      <c r="X110" s="116">
        <v>102.02500000000001</v>
      </c>
      <c r="Y110" s="116">
        <v>100.614</v>
      </c>
      <c r="Z110" s="116">
        <v>116.042</v>
      </c>
      <c r="AA110" s="116">
        <f>473.396-X110-Y110-Z110</f>
        <v>154.71499999999995</v>
      </c>
      <c r="AB110" s="115">
        <f>SUM(X110:AA110)</f>
        <v>473.39599999999996</v>
      </c>
      <c r="AC110" s="116">
        <v>155.315</v>
      </c>
      <c r="AD110" s="116">
        <v>176.79300000000001</v>
      </c>
      <c r="AE110" s="116">
        <v>249.30600000000001</v>
      </c>
      <c r="AF110" s="116">
        <f>473.396-AC110-AD110-AE110</f>
        <v>-108.018</v>
      </c>
      <c r="AG110" s="115">
        <f>SUM(AC110:AF110)</f>
        <v>473.39599999999996</v>
      </c>
      <c r="AH110" s="116">
        <v>246.5</v>
      </c>
      <c r="AI110" s="116">
        <f>-228.8*-1</f>
        <v>228.8</v>
      </c>
      <c r="AJ110" s="116">
        <f>-222.9*-1</f>
        <v>222.9</v>
      </c>
      <c r="AK110" s="116">
        <f>-211.8*-1</f>
        <v>211.8</v>
      </c>
      <c r="AL110" s="115">
        <f>SUM(AH110:AK110)</f>
        <v>910</v>
      </c>
      <c r="AM110" s="116">
        <f>-206.4*-1</f>
        <v>206.4</v>
      </c>
      <c r="AN110" s="116">
        <f>-391.1*-1</f>
        <v>391.1</v>
      </c>
      <c r="AO110" s="116">
        <f>-391.1*-1</f>
        <v>391.1</v>
      </c>
      <c r="AP110" s="116">
        <f>AP109*AVERAGE(AO42+AO35, AP42+AP35)/4</f>
        <v>411.24956249999997</v>
      </c>
      <c r="AQ110" s="115">
        <f>SUM(AM110:AP110)</f>
        <v>1399.8495625</v>
      </c>
      <c r="AR110" s="874">
        <f t="shared" ref="AR110:AU110" si="115">AR109*AVERAGE(AQ42+AQ35, AR42+AR35)/4</f>
        <v>414.49799999999999</v>
      </c>
      <c r="AS110" s="875">
        <f t="shared" si="115"/>
        <v>428.70162499999998</v>
      </c>
      <c r="AT110" s="875">
        <f t="shared" si="115"/>
        <v>422.85787499999998</v>
      </c>
      <c r="AU110" s="876">
        <f t="shared" si="115"/>
        <v>416.67037499999998</v>
      </c>
      <c r="AV110" s="115">
        <f>SUM(AR110:AU110)</f>
        <v>1682.7278749999998</v>
      </c>
      <c r="AW110" s="871"/>
      <c r="AX110" s="116"/>
      <c r="AY110" s="116"/>
      <c r="AZ110" s="872"/>
      <c r="BA110" s="115">
        <f>BA109*(BA42+BA35)</f>
        <v>1516.8064999999999</v>
      </c>
      <c r="BB110" s="871"/>
      <c r="BC110" s="116"/>
      <c r="BD110" s="116"/>
      <c r="BE110" s="872"/>
      <c r="BF110" s="115">
        <f>BF109*(BF42+BF35)</f>
        <v>1379.3064999999999</v>
      </c>
      <c r="BG110" s="871"/>
      <c r="BH110" s="116"/>
      <c r="BI110" s="116"/>
      <c r="BJ110" s="872"/>
      <c r="BK110" s="115">
        <f>BK109*(BK42+BK35)</f>
        <v>1228.0564999999999</v>
      </c>
      <c r="BL110" s="871"/>
      <c r="BM110" s="116"/>
      <c r="BN110" s="116"/>
      <c r="BO110" s="872"/>
      <c r="BP110" s="115">
        <f>BP109*(BP42+BP35)</f>
        <v>1063.0564999999999</v>
      </c>
      <c r="BR110" s="758"/>
    </row>
    <row r="111" spans="2:70" s="96" customFormat="1">
      <c r="P111" s="104"/>
    </row>
    <row r="112" spans="2:70" s="96" customFormat="1">
      <c r="B112" s="96" t="s">
        <v>354</v>
      </c>
      <c r="AR112" s="96">
        <v>402.68549999999999</v>
      </c>
      <c r="AS112" s="96">
        <v>415.63912499999998</v>
      </c>
      <c r="AT112" s="96">
        <v>408.76412499999998</v>
      </c>
      <c r="AU112" s="96">
        <v>401.88912499999998</v>
      </c>
      <c r="AV112" s="96">
        <v>1628.9778749999998</v>
      </c>
      <c r="BA112" s="96">
        <v>1373.8064999999999</v>
      </c>
      <c r="BF112" s="96">
        <v>1153.8064999999999</v>
      </c>
      <c r="BK112" s="96">
        <v>988.80649999999991</v>
      </c>
      <c r="BP112" s="96">
        <v>823.80649999999991</v>
      </c>
    </row>
    <row r="113" spans="2:70" s="96" customFormat="1"/>
    <row r="114" spans="2:70" s="96" customFormat="1">
      <c r="B114" s="838" t="s">
        <v>355</v>
      </c>
      <c r="C114" s="877"/>
      <c r="D114" s="878"/>
      <c r="E114" s="878"/>
      <c r="F114" s="878"/>
      <c r="G114" s="879"/>
      <c r="H114" s="877"/>
      <c r="I114" s="878"/>
      <c r="J114" s="878"/>
      <c r="K114" s="878"/>
      <c r="L114" s="879"/>
      <c r="M114" s="877"/>
      <c r="N114" s="878"/>
      <c r="O114" s="878"/>
      <c r="P114" s="878"/>
      <c r="Q114" s="879"/>
      <c r="R114" s="877"/>
      <c r="S114" s="878"/>
      <c r="T114" s="878"/>
      <c r="U114" s="878"/>
      <c r="V114" s="879"/>
      <c r="W114" s="877"/>
      <c r="X114" s="878"/>
      <c r="Y114" s="878"/>
      <c r="Z114" s="878"/>
      <c r="AA114" s="879"/>
      <c r="AB114" s="877"/>
      <c r="AC114" s="878"/>
      <c r="AD114" s="878"/>
      <c r="AE114" s="878"/>
      <c r="AF114" s="878"/>
      <c r="AG114" s="877"/>
      <c r="AH114" s="878"/>
      <c r="AI114" s="878"/>
      <c r="AJ114" s="878"/>
      <c r="AK114" s="878"/>
      <c r="AL114" s="877"/>
      <c r="AM114" s="878"/>
      <c r="AN114" s="878"/>
      <c r="AO114" s="878"/>
      <c r="AP114" s="878"/>
      <c r="AQ114" s="877"/>
      <c r="AR114" s="878"/>
      <c r="AS114" s="878"/>
      <c r="AT114" s="878"/>
      <c r="AU114" s="878"/>
      <c r="AV114" s="877"/>
      <c r="BA114" s="877"/>
      <c r="BF114" s="877"/>
      <c r="BK114" s="877"/>
      <c r="BP114" s="877"/>
      <c r="BR114" s="758"/>
    </row>
    <row r="115" spans="2:70" s="96" customFormat="1">
      <c r="B115" s="839" t="s">
        <v>356</v>
      </c>
      <c r="C115" s="840"/>
      <c r="D115" s="839"/>
      <c r="E115" s="825"/>
      <c r="F115" s="825"/>
      <c r="G115" s="841"/>
      <c r="H115" s="840"/>
      <c r="I115" s="839"/>
      <c r="J115" s="825"/>
      <c r="K115" s="825"/>
      <c r="L115" s="841"/>
      <c r="M115" s="840"/>
      <c r="N115" s="839"/>
      <c r="O115" s="825"/>
      <c r="P115" s="825"/>
      <c r="Q115" s="841"/>
      <c r="R115" s="840"/>
      <c r="S115" s="839"/>
      <c r="T115" s="825">
        <f>S86</f>
        <v>64.825000000000003</v>
      </c>
      <c r="U115" s="825">
        <f>T86</f>
        <v>214.18200000000002</v>
      </c>
      <c r="V115" s="841">
        <f>U86</f>
        <v>164.12299999999996</v>
      </c>
      <c r="W115" s="840">
        <f>SUM(S115:V115)</f>
        <v>443.13</v>
      </c>
      <c r="X115" s="839">
        <f>V86</f>
        <v>174.82799999999995</v>
      </c>
      <c r="Y115" s="825">
        <f>X86</f>
        <v>156.11399999999998</v>
      </c>
      <c r="Z115" s="825">
        <f>Y86</f>
        <v>241.001</v>
      </c>
      <c r="AA115" s="841">
        <f>Z86</f>
        <v>109.75800000000005</v>
      </c>
      <c r="AB115" s="840">
        <f>SUM(X115:AA115)</f>
        <v>681.70099999999991</v>
      </c>
      <c r="AC115" s="825">
        <f>AB86</f>
        <v>548.93999999999994</v>
      </c>
      <c r="AD115" s="825">
        <f>AC86</f>
        <v>241.30699999999996</v>
      </c>
      <c r="AE115" s="825">
        <f>AD86</f>
        <v>292.267</v>
      </c>
      <c r="AF115" s="825">
        <f>AE86</f>
        <v>176.78000000000003</v>
      </c>
      <c r="AG115" s="840">
        <f>SUM(AC115:AF115)</f>
        <v>1259.2939999999999</v>
      </c>
      <c r="AH115" s="825">
        <f>AG86</f>
        <v>926.63799999999981</v>
      </c>
      <c r="AI115" s="825">
        <f>AH86</f>
        <v>426.20000000000005</v>
      </c>
      <c r="AJ115" s="825">
        <f>AI86</f>
        <v>262.50000000000011</v>
      </c>
      <c r="AK115" s="825">
        <f>AJ86</f>
        <v>579.1</v>
      </c>
      <c r="AL115" s="840">
        <f>SUM(AH115:AK115)</f>
        <v>2194.4379999999996</v>
      </c>
      <c r="AM115" s="825">
        <f>AL86</f>
        <v>2003.1</v>
      </c>
      <c r="AN115" s="825">
        <f>AM86</f>
        <v>425.29999999999995</v>
      </c>
      <c r="AO115" s="825">
        <f>AN86</f>
        <v>363.69999999999993</v>
      </c>
      <c r="AP115" s="825">
        <f>AO86</f>
        <v>685.4</v>
      </c>
      <c r="AQ115" s="840">
        <f>SUM(AM115:AP115)</f>
        <v>3477.4999999999995</v>
      </c>
      <c r="AR115" s="825">
        <f t="shared" ref="AR115:AU115" si="116">AQ86</f>
        <v>1961.6811111111112</v>
      </c>
      <c r="AS115" s="825">
        <f t="shared" si="116"/>
        <v>350.22057300000017</v>
      </c>
      <c r="AT115" s="825">
        <f t="shared" si="116"/>
        <v>657.96322545000021</v>
      </c>
      <c r="AU115" s="825">
        <f t="shared" si="116"/>
        <v>722.7995292722228</v>
      </c>
      <c r="AV115" s="840">
        <f>AQ86</f>
        <v>1961.6811111111112</v>
      </c>
      <c r="BA115" s="840">
        <f>AV86</f>
        <v>2710.0084787333344</v>
      </c>
      <c r="BF115" s="840">
        <f>BA86</f>
        <v>3433.9947346202807</v>
      </c>
      <c r="BK115" s="840">
        <f>BF86</f>
        <v>4019.4903717602438</v>
      </c>
      <c r="BP115" s="840">
        <f>BK86</f>
        <v>4577.2339000238999</v>
      </c>
      <c r="BR115" s="758"/>
    </row>
    <row r="116" spans="2:70" s="96" customFormat="1">
      <c r="B116" s="839" t="s">
        <v>357</v>
      </c>
      <c r="C116" s="840"/>
      <c r="D116" s="839"/>
      <c r="E116" s="880"/>
      <c r="F116" s="880"/>
      <c r="G116" s="880"/>
      <c r="H116" s="840"/>
      <c r="I116" s="839"/>
      <c r="J116" s="880"/>
      <c r="K116" s="880"/>
      <c r="L116" s="880"/>
      <c r="M116" s="840"/>
      <c r="N116" s="839"/>
      <c r="O116" s="880"/>
      <c r="P116" s="880"/>
      <c r="Q116" s="880"/>
      <c r="R116" s="840"/>
      <c r="S116" s="839"/>
      <c r="T116" s="880"/>
      <c r="U116" s="880"/>
      <c r="V116" s="880"/>
      <c r="W116" s="840"/>
      <c r="X116" s="880"/>
      <c r="Y116" s="880"/>
      <c r="Z116" s="880"/>
      <c r="AA116" s="880"/>
      <c r="AB116" s="881"/>
      <c r="AC116" s="880"/>
      <c r="AD116" s="880">
        <v>0</v>
      </c>
      <c r="AE116" s="880">
        <v>0</v>
      </c>
      <c r="AF116" s="880">
        <v>0</v>
      </c>
      <c r="AG116" s="881"/>
      <c r="AH116" s="880">
        <v>0</v>
      </c>
      <c r="AI116" s="880">
        <v>0</v>
      </c>
      <c r="AJ116" s="880">
        <v>0</v>
      </c>
      <c r="AK116" s="880">
        <v>0</v>
      </c>
      <c r="AL116" s="881"/>
      <c r="AM116" s="880">
        <v>0</v>
      </c>
      <c r="AN116" s="880">
        <v>0</v>
      </c>
      <c r="AO116" s="880">
        <v>0</v>
      </c>
      <c r="AP116" s="880">
        <v>0</v>
      </c>
      <c r="AQ116" s="881"/>
      <c r="AR116" s="880">
        <v>0</v>
      </c>
      <c r="AS116" s="880">
        <v>0</v>
      </c>
      <c r="AT116" s="880">
        <v>0</v>
      </c>
      <c r="AU116" s="880">
        <v>0</v>
      </c>
      <c r="AV116" s="881"/>
      <c r="BA116" s="881">
        <v>0</v>
      </c>
      <c r="BF116" s="881">
        <v>0</v>
      </c>
      <c r="BK116" s="881">
        <v>0</v>
      </c>
      <c r="BP116" s="881">
        <v>0</v>
      </c>
      <c r="BR116" s="758"/>
    </row>
    <row r="117" spans="2:70" s="96" customFormat="1">
      <c r="B117" s="839" t="s">
        <v>358</v>
      </c>
      <c r="C117" s="840"/>
      <c r="D117" s="839"/>
      <c r="E117" s="880"/>
      <c r="F117" s="880"/>
      <c r="G117" s="880"/>
      <c r="H117" s="840"/>
      <c r="I117" s="839"/>
      <c r="J117" s="880"/>
      <c r="K117" s="880"/>
      <c r="L117" s="880"/>
      <c r="M117" s="840"/>
      <c r="N117" s="839"/>
      <c r="O117" s="880"/>
      <c r="P117" s="880"/>
      <c r="Q117" s="880"/>
      <c r="R117" s="840"/>
      <c r="S117" s="839"/>
      <c r="T117" s="882"/>
      <c r="U117" s="882"/>
      <c r="V117" s="882"/>
      <c r="W117" s="840"/>
      <c r="X117" s="882"/>
      <c r="Y117" s="882"/>
      <c r="Z117" s="882"/>
      <c r="AA117" s="882"/>
      <c r="AB117" s="883"/>
      <c r="AC117" s="882"/>
      <c r="AD117" s="882">
        <v>3.5</v>
      </c>
      <c r="AE117" s="882">
        <v>3.5</v>
      </c>
      <c r="AF117" s="882">
        <v>3.5</v>
      </c>
      <c r="AG117" s="883"/>
      <c r="AH117" s="882">
        <v>3.5</v>
      </c>
      <c r="AI117" s="882">
        <v>3.5</v>
      </c>
      <c r="AJ117" s="882">
        <v>3.5</v>
      </c>
      <c r="AK117" s="882">
        <v>3.5</v>
      </c>
      <c r="AL117" s="883"/>
      <c r="AM117" s="882">
        <v>3.5</v>
      </c>
      <c r="AN117" s="882">
        <v>3.5</v>
      </c>
      <c r="AO117" s="882">
        <v>3.5</v>
      </c>
      <c r="AP117" s="882">
        <v>3.5</v>
      </c>
      <c r="AQ117" s="883"/>
      <c r="AR117" s="882">
        <v>3.5</v>
      </c>
      <c r="AS117" s="882">
        <v>3.5</v>
      </c>
      <c r="AT117" s="882">
        <v>3.5</v>
      </c>
      <c r="AU117" s="882">
        <v>3.5</v>
      </c>
      <c r="AV117" s="883"/>
      <c r="BA117" s="883">
        <v>3.5</v>
      </c>
      <c r="BF117" s="883">
        <v>3.5</v>
      </c>
      <c r="BK117" s="883">
        <v>3.5</v>
      </c>
      <c r="BP117" s="883">
        <v>3.5</v>
      </c>
      <c r="BR117" s="758"/>
    </row>
    <row r="118" spans="2:70" s="96" customFormat="1">
      <c r="B118" s="817" t="s">
        <v>359</v>
      </c>
      <c r="C118" s="884"/>
      <c r="D118" s="842"/>
      <c r="E118" s="844"/>
      <c r="F118" s="844"/>
      <c r="G118" s="845"/>
      <c r="H118" s="845"/>
      <c r="I118" s="842"/>
      <c r="J118" s="844"/>
      <c r="K118" s="844"/>
      <c r="L118" s="845"/>
      <c r="M118" s="845"/>
      <c r="N118" s="842"/>
      <c r="O118" s="844"/>
      <c r="P118" s="844"/>
      <c r="Q118" s="845"/>
      <c r="R118" s="845"/>
      <c r="S118" s="842"/>
      <c r="T118" s="844"/>
      <c r="U118" s="844"/>
      <c r="V118" s="844"/>
      <c r="W118" s="843"/>
      <c r="X118" s="844"/>
      <c r="Y118" s="844"/>
      <c r="Z118" s="844"/>
      <c r="AA118" s="844"/>
      <c r="AB118" s="843"/>
      <c r="AC118" s="844"/>
      <c r="AD118" s="844">
        <f>(AD115*AD116)/AD117/4</f>
        <v>0</v>
      </c>
      <c r="AE118" s="844">
        <f>(AE115*AE116)/AE117/4</f>
        <v>0</v>
      </c>
      <c r="AF118" s="844">
        <f>(AF115*AF116)/AF117/4</f>
        <v>0</v>
      </c>
      <c r="AG118" s="843"/>
      <c r="AH118" s="844">
        <f>(AH115*AH116)/AH117/4</f>
        <v>0</v>
      </c>
      <c r="AI118" s="844">
        <f>(AI115*AI116)/AI117/4</f>
        <v>0</v>
      </c>
      <c r="AJ118" s="844">
        <f>(AJ115*AJ116)/AJ117/4</f>
        <v>0</v>
      </c>
      <c r="AK118" s="844">
        <f>(AK115*AK116)/AK117/4</f>
        <v>0</v>
      </c>
      <c r="AL118" s="843"/>
      <c r="AM118" s="844">
        <f>(AM115*AM116)/AM117/4</f>
        <v>0</v>
      </c>
      <c r="AN118" s="844">
        <f>(AN115*AN116)/AN117/4</f>
        <v>0</v>
      </c>
      <c r="AO118" s="844">
        <f>(AO115*AO116)/AO117/4</f>
        <v>0</v>
      </c>
      <c r="AP118" s="844">
        <f>(AP115*AP116)/AP117/4</f>
        <v>0</v>
      </c>
      <c r="AQ118" s="843"/>
      <c r="AR118" s="844">
        <f t="shared" ref="AR118:AU118" si="117">(AR115*AR116)/AR117/4</f>
        <v>0</v>
      </c>
      <c r="AS118" s="844">
        <f t="shared" si="117"/>
        <v>0</v>
      </c>
      <c r="AT118" s="844">
        <f t="shared" si="117"/>
        <v>0</v>
      </c>
      <c r="AU118" s="844">
        <f t="shared" si="117"/>
        <v>0</v>
      </c>
      <c r="AV118" s="843"/>
      <c r="BA118" s="843">
        <f>(BA115*BA116)/BA117</f>
        <v>0</v>
      </c>
      <c r="BF118" s="843">
        <f>(BF115*BF116)/BF117</f>
        <v>0</v>
      </c>
      <c r="BK118" s="843">
        <f>(BK115*BK116)/BK117</f>
        <v>0</v>
      </c>
      <c r="BP118" s="843">
        <f>(BP115*BP116)/BP117</f>
        <v>0</v>
      </c>
      <c r="BR118" s="758"/>
    </row>
    <row r="119" spans="2:70" s="96" customFormat="1"/>
    <row r="120" spans="2:70" s="96" customFormat="1">
      <c r="B120" s="838" t="s">
        <v>360</v>
      </c>
      <c r="C120" s="877"/>
      <c r="D120" s="878"/>
      <c r="E120" s="878"/>
      <c r="F120" s="878"/>
      <c r="G120" s="879"/>
      <c r="H120" s="877"/>
      <c r="I120" s="878"/>
      <c r="J120" s="878"/>
      <c r="K120" s="878"/>
      <c r="L120" s="879"/>
      <c r="M120" s="877"/>
      <c r="N120" s="878"/>
      <c r="O120" s="878"/>
      <c r="P120" s="878"/>
      <c r="Q120" s="879"/>
      <c r="R120" s="877"/>
      <c r="S120" s="878"/>
      <c r="T120" s="878"/>
      <c r="U120" s="878"/>
      <c r="V120" s="879"/>
      <c r="W120" s="877"/>
      <c r="X120" s="878"/>
      <c r="Y120" s="878"/>
      <c r="Z120" s="878"/>
      <c r="AA120" s="879"/>
      <c r="AB120" s="877"/>
      <c r="AC120" s="878"/>
      <c r="AD120" s="878"/>
      <c r="AE120" s="878"/>
      <c r="AF120" s="878"/>
      <c r="AG120" s="877"/>
      <c r="AH120" s="878"/>
      <c r="AI120" s="878"/>
      <c r="AJ120" s="878"/>
      <c r="AK120" s="878"/>
      <c r="AL120" s="877"/>
      <c r="AM120" s="878"/>
      <c r="AN120" s="878"/>
      <c r="AO120" s="878"/>
      <c r="AP120" s="878"/>
      <c r="AQ120" s="877"/>
      <c r="AR120" s="878"/>
      <c r="AS120" s="878"/>
      <c r="AT120" s="878"/>
      <c r="AU120" s="878"/>
      <c r="AV120" s="877"/>
      <c r="BA120" s="877"/>
      <c r="BF120" s="877"/>
      <c r="BK120" s="877"/>
      <c r="BP120" s="877"/>
      <c r="BR120" s="758"/>
    </row>
    <row r="121" spans="2:70" s="96" customFormat="1">
      <c r="B121" s="839" t="s">
        <v>356</v>
      </c>
      <c r="C121" s="840"/>
      <c r="D121" s="839"/>
      <c r="E121" s="825"/>
      <c r="F121" s="825"/>
      <c r="G121" s="841"/>
      <c r="H121" s="840"/>
      <c r="I121" s="839"/>
      <c r="J121" s="825"/>
      <c r="K121" s="825"/>
      <c r="L121" s="841"/>
      <c r="M121" s="840"/>
      <c r="N121" s="839"/>
      <c r="O121" s="825"/>
      <c r="P121" s="825"/>
      <c r="Q121" s="841"/>
      <c r="R121" s="840"/>
      <c r="S121" s="839"/>
      <c r="T121" s="825">
        <f>T115</f>
        <v>64.825000000000003</v>
      </c>
      <c r="U121" s="825">
        <f>U115</f>
        <v>214.18200000000002</v>
      </c>
      <c r="V121" s="825">
        <f>V115</f>
        <v>164.12299999999996</v>
      </c>
      <c r="W121" s="840">
        <f>SUM(S121:V121)</f>
        <v>443.13</v>
      </c>
      <c r="X121" s="825">
        <f>X115</f>
        <v>174.82799999999995</v>
      </c>
      <c r="Y121" s="825">
        <f>Y115</f>
        <v>156.11399999999998</v>
      </c>
      <c r="Z121" s="825">
        <f>Z115</f>
        <v>241.001</v>
      </c>
      <c r="AA121" s="825">
        <f>AA115</f>
        <v>109.75800000000005</v>
      </c>
      <c r="AB121" s="840"/>
      <c r="AC121" s="825">
        <f>AC115</f>
        <v>548.93999999999994</v>
      </c>
      <c r="AD121" s="825">
        <f>AD115</f>
        <v>241.30699999999996</v>
      </c>
      <c r="AE121" s="825">
        <f>AE115</f>
        <v>292.267</v>
      </c>
      <c r="AF121" s="825">
        <f>AF115</f>
        <v>176.78000000000003</v>
      </c>
      <c r="AG121" s="840"/>
      <c r="AH121" s="825">
        <f>AH115</f>
        <v>926.63799999999981</v>
      </c>
      <c r="AI121" s="825">
        <f>AI115</f>
        <v>426.20000000000005</v>
      </c>
      <c r="AJ121" s="825">
        <f>AJ115</f>
        <v>262.50000000000011</v>
      </c>
      <c r="AK121" s="825">
        <f>AK115</f>
        <v>579.1</v>
      </c>
      <c r="AL121" s="840">
        <f>SUM(AH121:AK121)</f>
        <v>2194.4379999999996</v>
      </c>
      <c r="AM121" s="825">
        <f>AM115</f>
        <v>2003.1</v>
      </c>
      <c r="AN121" s="825">
        <f>AN115</f>
        <v>425.29999999999995</v>
      </c>
      <c r="AO121" s="825">
        <f>AO115</f>
        <v>363.69999999999993</v>
      </c>
      <c r="AP121" s="825">
        <f>AP115</f>
        <v>685.4</v>
      </c>
      <c r="AQ121" s="840">
        <f>SUM(AM121:AP121)</f>
        <v>3477.4999999999995</v>
      </c>
      <c r="AR121" s="825">
        <f t="shared" ref="AR121:AU121" si="118">AR115</f>
        <v>1961.6811111111112</v>
      </c>
      <c r="AS121" s="825">
        <f t="shared" si="118"/>
        <v>350.22057300000017</v>
      </c>
      <c r="AT121" s="825">
        <f t="shared" si="118"/>
        <v>657.96322545000021</v>
      </c>
      <c r="AU121" s="825">
        <f t="shared" si="118"/>
        <v>722.7995292722228</v>
      </c>
      <c r="AV121" s="840">
        <f>SUM(AR121:AU121)</f>
        <v>3692.6644388333343</v>
      </c>
      <c r="BA121" s="840">
        <f>BA115</f>
        <v>2710.0084787333344</v>
      </c>
      <c r="BF121" s="840">
        <f>BF115</f>
        <v>3433.9947346202807</v>
      </c>
      <c r="BK121" s="840">
        <f>BK115</f>
        <v>4019.4903717602438</v>
      </c>
      <c r="BP121" s="840">
        <f>BP115</f>
        <v>4577.2339000238999</v>
      </c>
      <c r="BR121" s="758"/>
    </row>
    <row r="122" spans="2:70" s="96" customFormat="1">
      <c r="B122" s="839" t="s">
        <v>361</v>
      </c>
      <c r="C122" s="840"/>
      <c r="D122" s="839"/>
      <c r="E122" s="880"/>
      <c r="F122" s="880"/>
      <c r="G122" s="880"/>
      <c r="H122" s="840"/>
      <c r="I122" s="839"/>
      <c r="J122" s="880"/>
      <c r="K122" s="880"/>
      <c r="L122" s="880"/>
      <c r="M122" s="840"/>
      <c r="N122" s="839"/>
      <c r="O122" s="880"/>
      <c r="P122" s="880"/>
      <c r="Q122" s="880"/>
      <c r="R122" s="840"/>
      <c r="S122" s="839"/>
      <c r="T122" s="880"/>
      <c r="U122" s="880"/>
      <c r="V122" s="880"/>
      <c r="W122" s="840"/>
      <c r="X122" s="880"/>
      <c r="Y122" s="880"/>
      <c r="Z122" s="880"/>
      <c r="AA122" s="880"/>
      <c r="AB122" s="840"/>
      <c r="AC122" s="880"/>
      <c r="AD122" s="880">
        <v>0</v>
      </c>
      <c r="AE122" s="880">
        <v>0</v>
      </c>
      <c r="AF122" s="880">
        <v>0</v>
      </c>
      <c r="AG122" s="840"/>
      <c r="AH122" s="880">
        <v>0</v>
      </c>
      <c r="AI122" s="880">
        <v>0</v>
      </c>
      <c r="AJ122" s="880">
        <v>0</v>
      </c>
      <c r="AK122" s="880">
        <v>0</v>
      </c>
      <c r="AL122" s="840"/>
      <c r="AM122" s="880">
        <v>0</v>
      </c>
      <c r="AN122" s="880">
        <v>0</v>
      </c>
      <c r="AO122" s="880">
        <v>0</v>
      </c>
      <c r="AP122" s="880">
        <v>0</v>
      </c>
      <c r="AQ122" s="840">
        <f>AQ123/AQ121</f>
        <v>0</v>
      </c>
      <c r="AR122" s="880">
        <v>0</v>
      </c>
      <c r="AS122" s="880">
        <v>0</v>
      </c>
      <c r="AT122" s="880">
        <v>0</v>
      </c>
      <c r="AU122" s="880">
        <v>0</v>
      </c>
      <c r="AV122" s="840">
        <f>AV123/AV121</f>
        <v>0</v>
      </c>
      <c r="BA122" s="881">
        <v>0</v>
      </c>
      <c r="BF122" s="881">
        <v>0.25</v>
      </c>
      <c r="BK122" s="881">
        <v>0.25</v>
      </c>
      <c r="BP122" s="881">
        <v>0.25</v>
      </c>
      <c r="BQ122" s="96">
        <v>25</v>
      </c>
      <c r="BR122" s="758"/>
    </row>
    <row r="123" spans="2:70" s="96" customFormat="1">
      <c r="B123" s="839" t="s">
        <v>362</v>
      </c>
      <c r="C123" s="840"/>
      <c r="D123" s="839"/>
      <c r="E123" s="880"/>
      <c r="F123" s="880"/>
      <c r="G123" s="880"/>
      <c r="H123" s="840"/>
      <c r="I123" s="839"/>
      <c r="J123" s="880"/>
      <c r="K123" s="880"/>
      <c r="L123" s="880"/>
      <c r="M123" s="840"/>
      <c r="N123" s="839"/>
      <c r="O123" s="880"/>
      <c r="P123" s="880"/>
      <c r="Q123" s="880"/>
      <c r="R123" s="840"/>
      <c r="S123" s="839"/>
      <c r="T123" s="880"/>
      <c r="U123" s="880"/>
      <c r="V123" s="880"/>
      <c r="W123" s="840"/>
      <c r="X123" s="880"/>
      <c r="Y123" s="880"/>
      <c r="Z123" s="880"/>
      <c r="AA123" s="880"/>
      <c r="AB123" s="840"/>
      <c r="AC123" s="880"/>
      <c r="AD123" s="880"/>
      <c r="AE123" s="880"/>
      <c r="AF123" s="880"/>
      <c r="AG123" s="840"/>
      <c r="AH123" s="885">
        <f>AH121*AH122</f>
        <v>0</v>
      </c>
      <c r="AI123" s="885">
        <f>AI121*AI122</f>
        <v>0</v>
      </c>
      <c r="AJ123" s="885">
        <f>AJ121*AJ122</f>
        <v>0</v>
      </c>
      <c r="AK123" s="885">
        <f>AK121*AK122</f>
        <v>0</v>
      </c>
      <c r="AL123" s="886"/>
      <c r="AM123" s="885">
        <f>AM121*AM122</f>
        <v>0</v>
      </c>
      <c r="AN123" s="885">
        <f>AN121*AN122</f>
        <v>0</v>
      </c>
      <c r="AO123" s="885">
        <f>AO121*AO122</f>
        <v>0</v>
      </c>
      <c r="AP123" s="885">
        <f>AP121*AP122</f>
        <v>0</v>
      </c>
      <c r="AQ123" s="886">
        <f>SUM(AM123:AP123)</f>
        <v>0</v>
      </c>
      <c r="AR123" s="885">
        <f t="shared" ref="AR123:AU123" si="119">AR121*AR122</f>
        <v>0</v>
      </c>
      <c r="AS123" s="885">
        <f t="shared" si="119"/>
        <v>0</v>
      </c>
      <c r="AT123" s="885">
        <f t="shared" si="119"/>
        <v>0</v>
      </c>
      <c r="AU123" s="885">
        <f t="shared" si="119"/>
        <v>0</v>
      </c>
      <c r="AV123" s="886">
        <f>SUM(AR123:AU123)</f>
        <v>0</v>
      </c>
      <c r="BA123" s="887">
        <f>BA122*BA121</f>
        <v>0</v>
      </c>
      <c r="BF123" s="887">
        <f>BF122*BF121</f>
        <v>858.49868365507018</v>
      </c>
      <c r="BK123" s="887">
        <f>BK122*BK121</f>
        <v>1004.8725929400609</v>
      </c>
      <c r="BP123" s="887">
        <f>BP122*BP121</f>
        <v>1144.308475005975</v>
      </c>
      <c r="BR123" s="758"/>
    </row>
    <row r="124" spans="2:70" s="96" customFormat="1">
      <c r="B124" s="839" t="s">
        <v>363</v>
      </c>
      <c r="C124" s="840"/>
      <c r="D124" s="839"/>
      <c r="E124" s="880"/>
      <c r="F124" s="880"/>
      <c r="G124" s="880"/>
      <c r="H124" s="840"/>
      <c r="I124" s="839"/>
      <c r="J124" s="880"/>
      <c r="K124" s="880"/>
      <c r="L124" s="880"/>
      <c r="M124" s="840"/>
      <c r="N124" s="839"/>
      <c r="O124" s="880"/>
      <c r="P124" s="880"/>
      <c r="Q124" s="880"/>
      <c r="R124" s="840"/>
      <c r="S124" s="839"/>
      <c r="T124" s="880"/>
      <c r="U124" s="880"/>
      <c r="V124" s="880"/>
      <c r="W124" s="840"/>
      <c r="X124" s="880"/>
      <c r="Y124" s="880"/>
      <c r="Z124" s="880"/>
      <c r="AA124" s="880"/>
      <c r="AB124" s="840"/>
      <c r="AC124" s="880"/>
      <c r="AD124" s="880"/>
      <c r="AE124" s="880"/>
      <c r="AF124" s="880"/>
      <c r="AG124" s="840"/>
      <c r="AH124" s="880"/>
      <c r="AI124" s="880"/>
      <c r="AJ124" s="880"/>
      <c r="AK124" s="880"/>
      <c r="AL124" s="840"/>
      <c r="AM124" s="888">
        <v>1450</v>
      </c>
      <c r="AN124" s="880"/>
      <c r="AO124" s="880"/>
      <c r="AP124" s="880"/>
      <c r="AQ124" s="840">
        <f>SUM(AM124:AP124)</f>
        <v>1450</v>
      </c>
      <c r="AR124" s="880"/>
      <c r="AS124" s="880"/>
      <c r="AT124" s="880"/>
      <c r="AU124" s="880"/>
      <c r="AV124" s="840">
        <f>SUM(AR124:AU124)</f>
        <v>0</v>
      </c>
      <c r="BA124" s="881"/>
      <c r="BF124" s="881"/>
      <c r="BK124" s="881"/>
      <c r="BP124" s="881"/>
      <c r="BR124" s="758"/>
    </row>
    <row r="125" spans="2:70" s="96" customFormat="1">
      <c r="B125" s="839" t="s">
        <v>364</v>
      </c>
      <c r="C125" s="840"/>
      <c r="D125" s="839"/>
      <c r="E125" s="880"/>
      <c r="F125" s="880"/>
      <c r="G125" s="880"/>
      <c r="H125" s="840"/>
      <c r="I125" s="839"/>
      <c r="J125" s="880"/>
      <c r="K125" s="880"/>
      <c r="L125" s="880"/>
      <c r="M125" s="840"/>
      <c r="N125" s="839"/>
      <c r="O125" s="880"/>
      <c r="P125" s="880"/>
      <c r="Q125" s="880"/>
      <c r="R125" s="840"/>
      <c r="S125" s="839"/>
      <c r="T125" s="825"/>
      <c r="U125" s="825"/>
      <c r="V125" s="825"/>
      <c r="W125" s="840"/>
      <c r="X125" s="825"/>
      <c r="Y125" s="825"/>
      <c r="Z125" s="825"/>
      <c r="AA125" s="825"/>
      <c r="AB125" s="840"/>
      <c r="AC125" s="825"/>
      <c r="AD125" s="825">
        <v>55</v>
      </c>
      <c r="AE125" s="825">
        <v>55</v>
      </c>
      <c r="AF125" s="825">
        <v>55</v>
      </c>
      <c r="AG125" s="840"/>
      <c r="AH125" s="825">
        <v>120</v>
      </c>
      <c r="AI125" s="825">
        <v>120</v>
      </c>
      <c r="AJ125" s="825">
        <v>120</v>
      </c>
      <c r="AK125" s="825">
        <v>120</v>
      </c>
      <c r="AL125" s="840"/>
      <c r="AM125" s="999">
        <v>199</v>
      </c>
      <c r="AN125" s="999">
        <v>214</v>
      </c>
      <c r="AO125" s="999">
        <v>214</v>
      </c>
      <c r="AP125" s="999">
        <v>214</v>
      </c>
      <c r="AQ125" s="1000"/>
      <c r="AR125" s="999">
        <v>214</v>
      </c>
      <c r="AS125" s="999">
        <v>214</v>
      </c>
      <c r="AT125" s="999">
        <v>214</v>
      </c>
      <c r="AU125" s="999">
        <v>214</v>
      </c>
      <c r="AV125" s="840"/>
      <c r="AW125" s="145"/>
      <c r="AX125" s="145"/>
      <c r="AY125" s="145"/>
      <c r="AZ125" s="145"/>
      <c r="BA125" s="840">
        <v>150</v>
      </c>
      <c r="BB125" s="145"/>
      <c r="BC125" s="145"/>
      <c r="BD125" s="145"/>
      <c r="BE125" s="145"/>
      <c r="BF125" s="840">
        <v>200</v>
      </c>
      <c r="BG125" s="145"/>
      <c r="BH125" s="145"/>
      <c r="BI125" s="145"/>
      <c r="BJ125" s="145"/>
      <c r="BK125" s="840">
        <v>250</v>
      </c>
      <c r="BL125" s="145"/>
      <c r="BM125" s="145"/>
      <c r="BN125" s="145"/>
      <c r="BO125" s="145"/>
      <c r="BP125" s="840">
        <v>300</v>
      </c>
      <c r="BR125" s="758"/>
    </row>
    <row r="126" spans="2:70" s="96" customFormat="1">
      <c r="B126" s="817" t="s">
        <v>365</v>
      </c>
      <c r="C126" s="884"/>
      <c r="D126" s="842"/>
      <c r="E126" s="844"/>
      <c r="F126" s="844"/>
      <c r="G126" s="845"/>
      <c r="H126" s="845"/>
      <c r="I126" s="842"/>
      <c r="J126" s="844"/>
      <c r="K126" s="844"/>
      <c r="L126" s="845"/>
      <c r="M126" s="845"/>
      <c r="N126" s="842"/>
      <c r="O126" s="844"/>
      <c r="P126" s="844"/>
      <c r="Q126" s="845"/>
      <c r="R126" s="845"/>
      <c r="S126" s="842"/>
      <c r="T126" s="889"/>
      <c r="U126" s="889"/>
      <c r="V126" s="889"/>
      <c r="W126" s="843"/>
      <c r="X126" s="889"/>
      <c r="Y126" s="889"/>
      <c r="Z126" s="889"/>
      <c r="AA126" s="889"/>
      <c r="AB126" s="843"/>
      <c r="AC126" s="889"/>
      <c r="AD126" s="889">
        <f>AD121*AD122/AD125</f>
        <v>0</v>
      </c>
      <c r="AE126" s="889">
        <f>AE121*AE122/AE125</f>
        <v>0</v>
      </c>
      <c r="AF126" s="889">
        <f>AF121*AF122/AF125</f>
        <v>0</v>
      </c>
      <c r="AG126" s="843"/>
      <c r="AH126" s="889">
        <f>AH121*AH122/AH125</f>
        <v>0</v>
      </c>
      <c r="AI126" s="889">
        <f>AI121*AI122/AI125</f>
        <v>0</v>
      </c>
      <c r="AJ126" s="889">
        <f>AJ121*AJ122/AJ125</f>
        <v>0</v>
      </c>
      <c r="AK126" s="889">
        <f>AK121*AK122/AK125</f>
        <v>0</v>
      </c>
      <c r="AL126" s="843"/>
      <c r="AM126" s="890">
        <f>(AM124-AM123)/AM125</f>
        <v>7.2864321608040203</v>
      </c>
      <c r="AN126" s="889">
        <f>(AN124-AN123)/AN125</f>
        <v>0</v>
      </c>
      <c r="AO126" s="889">
        <f>(AO124-AO123)/AO125</f>
        <v>0</v>
      </c>
      <c r="AP126" s="889">
        <f>(AP124-AP123)/AP125</f>
        <v>0</v>
      </c>
      <c r="AQ126" s="843"/>
      <c r="AR126" s="889">
        <f t="shared" ref="AR126:AU126" si="120">(AR124-AR123)/AR125</f>
        <v>0</v>
      </c>
      <c r="AS126" s="889">
        <f t="shared" si="120"/>
        <v>0</v>
      </c>
      <c r="AT126" s="889">
        <f t="shared" si="120"/>
        <v>0</v>
      </c>
      <c r="AU126" s="889">
        <f t="shared" si="120"/>
        <v>0</v>
      </c>
      <c r="AV126" s="843"/>
      <c r="BA126" s="891">
        <f>(BA124-BA123)/BA125</f>
        <v>0</v>
      </c>
      <c r="BF126" s="891">
        <f>(BF124-BF123)/BF125</f>
        <v>-4.2924934182753507</v>
      </c>
      <c r="BK126" s="891">
        <f>(BK124-BK123)/BK125</f>
        <v>-4.0194903717602442</v>
      </c>
      <c r="BP126" s="891">
        <f>(BP124-BP123)/BP125</f>
        <v>-3.81436158335325</v>
      </c>
      <c r="BR126" s="758"/>
    </row>
    <row r="127" spans="2:70" s="96" customFormat="1"/>
    <row r="128" spans="2:70" s="96" customFormat="1">
      <c r="AJ128" s="892" t="s">
        <v>366</v>
      </c>
    </row>
    <row r="129" spans="2:38" s="96" customFormat="1">
      <c r="AG129" s="96" t="s">
        <v>367</v>
      </c>
    </row>
    <row r="130" spans="2:38" s="96" customFormat="1" ht="13">
      <c r="B130" s="96" t="s">
        <v>368</v>
      </c>
      <c r="AG130" s="892" t="s">
        <v>369</v>
      </c>
      <c r="AJ130" s="893">
        <v>0</v>
      </c>
      <c r="AL130" s="894">
        <v>2.4199999999999999E-2</v>
      </c>
    </row>
    <row r="131" spans="2:38" s="96" customFormat="1" ht="13">
      <c r="B131" s="96" t="s">
        <v>370</v>
      </c>
      <c r="AG131" s="892" t="s">
        <v>371</v>
      </c>
      <c r="AJ131" s="893">
        <v>182.3</v>
      </c>
      <c r="AL131" s="894">
        <v>2.41E-2</v>
      </c>
    </row>
    <row r="132" spans="2:38" s="96" customFormat="1" ht="13">
      <c r="B132" s="96" t="s">
        <v>372</v>
      </c>
      <c r="AG132" s="892" t="s">
        <v>371</v>
      </c>
      <c r="AJ132" s="893">
        <v>166.3</v>
      </c>
      <c r="AL132" s="894">
        <v>2.41E-2</v>
      </c>
    </row>
    <row r="133" spans="2:38" s="96" customFormat="1" ht="13">
      <c r="B133" s="96" t="s">
        <v>373</v>
      </c>
      <c r="AG133" s="892" t="s">
        <v>374</v>
      </c>
      <c r="AJ133" s="893">
        <v>1813.9</v>
      </c>
      <c r="AL133" s="894">
        <v>2.41E-2</v>
      </c>
    </row>
    <row r="134" spans="2:38" s="96" customFormat="1" ht="13">
      <c r="B134" s="96" t="s">
        <v>375</v>
      </c>
      <c r="AG134" s="892" t="s">
        <v>376</v>
      </c>
      <c r="AJ134" s="893">
        <v>1088.5999999999999</v>
      </c>
      <c r="AL134" s="894">
        <v>3.7499999999999999E-2</v>
      </c>
    </row>
    <row r="135" spans="2:38" s="96" customFormat="1" ht="13">
      <c r="B135" s="96" t="s">
        <v>377</v>
      </c>
      <c r="AG135" s="892" t="s">
        <v>378</v>
      </c>
      <c r="AJ135" s="893">
        <v>837.5</v>
      </c>
      <c r="AL135" s="894">
        <v>3.7499999999999999E-2</v>
      </c>
    </row>
    <row r="136" spans="2:38" s="96" customFormat="1" ht="13">
      <c r="B136" s="96" t="s">
        <v>379</v>
      </c>
      <c r="AG136" s="892" t="s">
        <v>380</v>
      </c>
      <c r="AJ136" s="893">
        <v>2544.8000000000002</v>
      </c>
      <c r="AL136" s="894">
        <v>3.8600000000000002E-2</v>
      </c>
    </row>
    <row r="137" spans="2:38" s="96" customFormat="1">
      <c r="B137" s="96" t="s">
        <v>381</v>
      </c>
      <c r="AL137" s="892"/>
    </row>
    <row r="138" spans="2:38" s="96" customFormat="1">
      <c r="B138" s="892" t="s">
        <v>382</v>
      </c>
      <c r="AG138" s="892" t="s">
        <v>383</v>
      </c>
      <c r="AJ138" s="893">
        <v>498.9</v>
      </c>
      <c r="AL138" s="892"/>
    </row>
    <row r="139" spans="2:38" s="96" customFormat="1">
      <c r="B139" s="892" t="s">
        <v>384</v>
      </c>
      <c r="AG139" s="892" t="s">
        <v>385</v>
      </c>
      <c r="AJ139" s="893">
        <v>940.9</v>
      </c>
      <c r="AL139" s="892"/>
    </row>
    <row r="140" spans="2:38" s="96" customFormat="1">
      <c r="B140" s="892" t="s">
        <v>386</v>
      </c>
      <c r="AG140" s="892" t="s">
        <v>387</v>
      </c>
      <c r="AJ140" s="893">
        <v>687.4</v>
      </c>
      <c r="AL140" s="892"/>
    </row>
    <row r="141" spans="2:38" s="96" customFormat="1">
      <c r="B141" s="892" t="s">
        <v>382</v>
      </c>
      <c r="AG141" s="892" t="s">
        <v>388</v>
      </c>
      <c r="AJ141" s="893">
        <v>650</v>
      </c>
      <c r="AL141" s="892"/>
    </row>
    <row r="142" spans="2:38" s="96" customFormat="1">
      <c r="B142" s="892" t="s">
        <v>389</v>
      </c>
      <c r="AG142" s="892" t="s">
        <v>390</v>
      </c>
      <c r="AJ142" s="893">
        <v>542.9</v>
      </c>
      <c r="AL142" s="892"/>
    </row>
    <row r="143" spans="2:38" s="96" customFormat="1">
      <c r="B143" s="892" t="s">
        <v>391</v>
      </c>
      <c r="AG143" s="892" t="s">
        <v>387</v>
      </c>
      <c r="AJ143" s="893">
        <v>2224.5</v>
      </c>
      <c r="AL143" s="892"/>
    </row>
    <row r="144" spans="2:38" s="96" customFormat="1">
      <c r="B144" s="892" t="s">
        <v>382</v>
      </c>
      <c r="AG144" s="892" t="s">
        <v>392</v>
      </c>
      <c r="AJ144" s="893">
        <v>1584.8</v>
      </c>
      <c r="AL144" s="892"/>
    </row>
    <row r="145" spans="2:38" s="96" customFormat="1">
      <c r="B145" s="892" t="s">
        <v>393</v>
      </c>
      <c r="AG145" s="892" t="s">
        <v>394</v>
      </c>
      <c r="AJ145" s="893">
        <v>1607.8</v>
      </c>
      <c r="AL145" s="892"/>
    </row>
    <row r="146" spans="2:38" s="96" customFormat="1">
      <c r="B146" s="892" t="s">
        <v>395</v>
      </c>
      <c r="AG146" s="892" t="s">
        <v>396</v>
      </c>
      <c r="AJ146" s="893">
        <v>892.3</v>
      </c>
      <c r="AL146" s="892"/>
    </row>
    <row r="147" spans="2:38" s="96" customFormat="1">
      <c r="B147" s="96" t="s">
        <v>45</v>
      </c>
      <c r="AG147" s="96" t="s">
        <v>397</v>
      </c>
      <c r="AJ147" s="893">
        <v>12</v>
      </c>
      <c r="AL147" s="892"/>
    </row>
    <row r="148" spans="2:38" s="96" customFormat="1">
      <c r="AJ148" s="243">
        <f>SUM(AJ130:AJ147)</f>
        <v>16274.899999999996</v>
      </c>
      <c r="AL148" s="892"/>
    </row>
    <row r="149" spans="2:38" s="96" customFormat="1">
      <c r="B149" s="96" t="s">
        <v>398</v>
      </c>
      <c r="AJ149" s="243">
        <v>-690.6</v>
      </c>
      <c r="AL149" s="892"/>
    </row>
    <row r="150" spans="2:38" s="96" customFormat="1">
      <c r="B150" s="763" t="s">
        <v>399</v>
      </c>
      <c r="C150" s="763"/>
      <c r="D150" s="763"/>
      <c r="E150" s="763"/>
      <c r="F150" s="763"/>
      <c r="G150" s="763"/>
      <c r="H150" s="763"/>
      <c r="I150" s="763"/>
      <c r="J150" s="763"/>
      <c r="K150" s="763"/>
      <c r="L150" s="763"/>
      <c r="M150" s="763"/>
      <c r="N150" s="763"/>
      <c r="O150" s="763"/>
      <c r="P150" s="763"/>
      <c r="Q150" s="763"/>
      <c r="R150" s="763"/>
      <c r="S150" s="763"/>
      <c r="T150" s="763"/>
      <c r="U150" s="763"/>
      <c r="V150" s="763"/>
      <c r="W150" s="763"/>
      <c r="X150" s="763"/>
      <c r="Y150" s="763"/>
      <c r="Z150" s="763"/>
      <c r="AA150" s="763"/>
      <c r="AB150" s="763"/>
      <c r="AC150" s="763"/>
      <c r="AD150" s="763"/>
      <c r="AE150" s="763"/>
      <c r="AF150" s="763"/>
      <c r="AG150" s="763"/>
      <c r="AH150" s="763"/>
      <c r="AI150" s="763"/>
      <c r="AJ150" s="454">
        <f>AJ148+AJ149</f>
        <v>15584.299999999996</v>
      </c>
    </row>
    <row r="151" spans="2:38" s="96" customFormat="1"/>
    <row r="152" spans="2:38" s="96" customFormat="1"/>
    <row r="153" spans="2:38" s="96" customFormat="1"/>
    <row r="154" spans="2:38" s="96" customFormat="1"/>
    <row r="155" spans="2:38" s="96" customFormat="1"/>
    <row r="156" spans="2:38" s="96" customFormat="1"/>
    <row r="157" spans="2:38" s="96" customFormat="1"/>
    <row r="158" spans="2:38" s="96" customFormat="1"/>
    <row r="159" spans="2:38" s="96" customFormat="1"/>
    <row r="160" spans="2:38" s="96" customFormat="1"/>
    <row r="161" s="96" customFormat="1"/>
    <row r="162" s="96" customFormat="1"/>
    <row r="163" s="96" customFormat="1"/>
    <row r="164" s="96" customFormat="1"/>
    <row r="165" s="96" customFormat="1"/>
    <row r="166" s="96" customFormat="1"/>
    <row r="167" s="96" customFormat="1"/>
    <row r="168" s="96" customFormat="1"/>
    <row r="169" s="96" customFormat="1"/>
    <row r="170" s="96" customFormat="1"/>
    <row r="171" s="96" customFormat="1"/>
    <row r="172" s="96" customFormat="1"/>
    <row r="173" s="96" customFormat="1"/>
    <row r="174" s="96" customFormat="1"/>
    <row r="175" s="96" customFormat="1"/>
    <row r="176" s="96" customFormat="1"/>
    <row r="177" s="96" customFormat="1"/>
    <row r="178" s="96" customFormat="1"/>
    <row r="179" s="96" customFormat="1"/>
    <row r="180" s="96" customFormat="1"/>
    <row r="181" s="96" customFormat="1"/>
    <row r="182" s="96" customFormat="1"/>
    <row r="183" s="96" customFormat="1"/>
    <row r="184" s="96" customFormat="1"/>
    <row r="185" s="96" customFormat="1"/>
    <row r="186" s="96" customFormat="1"/>
    <row r="187" s="96" customFormat="1"/>
    <row r="188" s="96" customFormat="1"/>
    <row r="189" s="96" customFormat="1"/>
    <row r="190" s="96" customFormat="1"/>
    <row r="191" s="96" customFormat="1"/>
    <row r="192" s="96" customFormat="1"/>
    <row r="193" s="96" customFormat="1"/>
    <row r="194" s="96" customFormat="1"/>
    <row r="195" s="96" customFormat="1"/>
    <row r="196" s="96" customFormat="1"/>
    <row r="197" s="96" customFormat="1"/>
    <row r="198" s="96" customFormat="1"/>
    <row r="199" s="96" customFormat="1"/>
    <row r="200" s="96" customFormat="1"/>
    <row r="201" s="96" customFormat="1"/>
    <row r="202" s="96" customFormat="1"/>
    <row r="203" s="96" customFormat="1"/>
    <row r="204" s="96" customFormat="1"/>
    <row r="205" s="96" customFormat="1"/>
    <row r="206" s="96" customFormat="1"/>
    <row r="207" s="96" customFormat="1"/>
    <row r="208" s="96" customFormat="1"/>
    <row r="209" s="96" customFormat="1"/>
    <row r="210" s="96" customFormat="1"/>
    <row r="211" s="96" customFormat="1"/>
    <row r="212" s="96" customFormat="1"/>
    <row r="213" s="96" customFormat="1"/>
    <row r="214" s="96" customFormat="1"/>
    <row r="215" s="96" customFormat="1"/>
    <row r="216" s="96" customFormat="1"/>
    <row r="217" s="96" customFormat="1"/>
    <row r="218" s="96" customFormat="1"/>
    <row r="219" s="96" customFormat="1"/>
    <row r="220" s="96" customFormat="1"/>
    <row r="221" s="96" customFormat="1"/>
    <row r="222" s="96" customFormat="1"/>
    <row r="223" s="96" customFormat="1"/>
    <row r="224" s="96" customFormat="1"/>
    <row r="225" s="96" customFormat="1"/>
    <row r="226" s="96" customFormat="1"/>
    <row r="227" s="96" customFormat="1"/>
    <row r="228" s="96" customFormat="1"/>
    <row r="229" s="96" customFormat="1"/>
    <row r="230" s="96" customFormat="1"/>
    <row r="231" s="96" customFormat="1"/>
    <row r="232" s="96" customFormat="1"/>
    <row r="233" s="96" customFormat="1"/>
    <row r="234" s="96" customFormat="1"/>
    <row r="235" s="96" customFormat="1"/>
    <row r="236" s="96" customFormat="1"/>
    <row r="237" s="96" customFormat="1"/>
    <row r="238" s="96" customFormat="1"/>
    <row r="239" s="96" customFormat="1"/>
    <row r="240" s="96" customFormat="1"/>
    <row r="241" s="96" customFormat="1"/>
    <row r="242" s="96" customFormat="1"/>
    <row r="243" s="96" customFormat="1"/>
    <row r="244" s="96" customFormat="1"/>
    <row r="245" s="96" customFormat="1"/>
    <row r="246" s="96" customFormat="1"/>
    <row r="247" s="96" customFormat="1"/>
    <row r="248" s="96" customFormat="1"/>
    <row r="249" s="96" customFormat="1"/>
    <row r="250" s="96" customFormat="1"/>
    <row r="251" s="96" customFormat="1"/>
    <row r="252" s="96" customFormat="1"/>
    <row r="253" s="96" customFormat="1"/>
    <row r="254" s="96" customFormat="1"/>
    <row r="255" s="96" customFormat="1"/>
    <row r="256" s="96" customFormat="1"/>
    <row r="257" s="96" customFormat="1"/>
    <row r="258" s="96" customFormat="1"/>
    <row r="259" s="96" customFormat="1"/>
    <row r="260" s="96" customFormat="1"/>
    <row r="261" s="96" customFormat="1"/>
    <row r="262" s="96" customFormat="1"/>
    <row r="263" s="96" customFormat="1"/>
    <row r="264" s="96" customFormat="1"/>
    <row r="265" s="96" customFormat="1"/>
    <row r="266" s="96" customFormat="1"/>
    <row r="267" s="96" customFormat="1"/>
    <row r="268" s="96" customFormat="1"/>
    <row r="269" s="96" customFormat="1"/>
    <row r="270" s="96" customFormat="1"/>
    <row r="271" s="96" customFormat="1"/>
    <row r="272" s="96" customFormat="1"/>
    <row r="273" s="96" customFormat="1"/>
    <row r="274" s="96" customFormat="1"/>
    <row r="275" s="96" customFormat="1"/>
    <row r="276" s="96" customFormat="1"/>
    <row r="277" s="96" customFormat="1"/>
    <row r="278" s="96" customFormat="1"/>
    <row r="279" s="96" customFormat="1"/>
    <row r="280" s="96" customFormat="1"/>
    <row r="281" s="96" customFormat="1"/>
    <row r="282" s="96" customFormat="1"/>
    <row r="283" s="96" customFormat="1"/>
    <row r="284" s="96" customFormat="1"/>
    <row r="285" s="96" customFormat="1"/>
    <row r="286" s="96" customFormat="1"/>
    <row r="287" s="96" customFormat="1"/>
    <row r="288" s="96" customFormat="1"/>
    <row r="289" s="96" customFormat="1"/>
    <row r="290" s="96" customFormat="1"/>
    <row r="291" s="96" customFormat="1"/>
    <row r="292" s="96" customFormat="1"/>
    <row r="293" s="96" customFormat="1"/>
    <row r="294" s="96" customFormat="1"/>
    <row r="295" s="96" customFormat="1"/>
    <row r="296" s="96" customFormat="1"/>
    <row r="297" s="96" customFormat="1"/>
    <row r="298" s="96" customFormat="1"/>
    <row r="299" s="96" customFormat="1"/>
    <row r="300" s="96" customFormat="1"/>
    <row r="301" s="96" customFormat="1"/>
    <row r="302" s="96" customFormat="1"/>
    <row r="303" s="96" customFormat="1"/>
    <row r="304" s="96" customFormat="1"/>
    <row r="305" s="96" customFormat="1"/>
    <row r="306" s="96" customFormat="1"/>
    <row r="307" s="96" customFormat="1"/>
    <row r="308" s="96" customFormat="1"/>
    <row r="309" s="96" customFormat="1"/>
    <row r="310" s="96" customFormat="1"/>
    <row r="311" s="96" customFormat="1"/>
    <row r="312" s="96" customFormat="1"/>
    <row r="313" s="96" customFormat="1"/>
    <row r="314" s="96" customFormat="1"/>
    <row r="315" s="96" customFormat="1"/>
    <row r="316" s="96" customFormat="1"/>
    <row r="317" s="96" customFormat="1"/>
    <row r="318" s="96" customFormat="1"/>
    <row r="319" s="96" customFormat="1"/>
    <row r="320" s="96" customFormat="1"/>
    <row r="321" s="96" customFormat="1"/>
    <row r="322" s="96" customFormat="1"/>
    <row r="323" s="96" customFormat="1"/>
    <row r="324" s="96" customFormat="1"/>
    <row r="325" s="96" customFormat="1"/>
    <row r="326" s="96" customFormat="1"/>
    <row r="327" s="96" customFormat="1"/>
    <row r="328" s="96" customFormat="1"/>
    <row r="329" s="96" customFormat="1"/>
    <row r="330" s="96" customFormat="1"/>
    <row r="331" s="96" customFormat="1"/>
    <row r="332" s="96" customFormat="1"/>
    <row r="333" s="96" customFormat="1"/>
    <row r="334" s="96" customFormat="1"/>
    <row r="335" s="96" customFormat="1"/>
    <row r="336" s="96" customFormat="1"/>
    <row r="337" s="96" customFormat="1"/>
    <row r="338" s="96" customFormat="1"/>
    <row r="339" s="96" customFormat="1"/>
    <row r="340" s="96" customFormat="1"/>
    <row r="341" s="96" customFormat="1"/>
    <row r="342" s="96" customFormat="1"/>
    <row r="343" s="96" customFormat="1"/>
    <row r="344" s="96" customFormat="1"/>
    <row r="345" s="96" customFormat="1"/>
    <row r="346" s="96" customFormat="1"/>
    <row r="347" s="96" customFormat="1"/>
    <row r="348" s="96" customFormat="1"/>
    <row r="349" s="96" customFormat="1"/>
    <row r="350" s="96" customFormat="1"/>
    <row r="351" s="96" customFormat="1"/>
    <row r="352" s="96" customFormat="1"/>
    <row r="353" s="96" customFormat="1"/>
    <row r="354" s="96" customFormat="1"/>
    <row r="355" s="96" customFormat="1"/>
    <row r="356" s="96" customFormat="1"/>
    <row r="357" s="96" customFormat="1"/>
    <row r="358" s="96" customFormat="1"/>
    <row r="359" s="96" customFormat="1"/>
    <row r="360" s="96" customFormat="1"/>
    <row r="361" s="96" customFormat="1"/>
    <row r="362" s="96" customFormat="1"/>
    <row r="363" s="96" customFormat="1"/>
    <row r="364" s="96" customFormat="1"/>
    <row r="365" s="96" customFormat="1"/>
    <row r="366" s="96" customFormat="1"/>
    <row r="367" s="96" customFormat="1"/>
    <row r="368" s="96" customFormat="1"/>
    <row r="369" s="96" customFormat="1"/>
    <row r="370" s="96" customFormat="1"/>
    <row r="371" s="96" customFormat="1"/>
    <row r="372" s="96" customFormat="1"/>
    <row r="373" s="96" customFormat="1"/>
    <row r="374" s="96" customFormat="1"/>
    <row r="375" s="96" customFormat="1"/>
    <row r="376" s="96" customFormat="1"/>
    <row r="377" s="96" customFormat="1"/>
    <row r="378" s="96" customFormat="1"/>
    <row r="379" s="96" customFormat="1"/>
    <row r="380" s="96" customFormat="1"/>
    <row r="381" s="96" customFormat="1"/>
    <row r="382" s="96" customFormat="1"/>
    <row r="383" s="96" customFormat="1"/>
    <row r="384" s="96" customFormat="1"/>
    <row r="385" s="96" customFormat="1"/>
    <row r="386" s="96" customFormat="1"/>
    <row r="387" s="96" customFormat="1"/>
    <row r="388" s="96" customFormat="1"/>
    <row r="389" s="96" customFormat="1"/>
    <row r="390" s="96" customFormat="1"/>
    <row r="391" s="96" customFormat="1"/>
    <row r="392" s="96" customFormat="1"/>
    <row r="393" s="96" customFormat="1"/>
    <row r="394" s="96" customFormat="1"/>
    <row r="395" s="96" customFormat="1"/>
    <row r="396" s="96" customFormat="1"/>
    <row r="397" s="96" customFormat="1"/>
    <row r="398" s="96" customFormat="1"/>
    <row r="399" s="96" customFormat="1"/>
    <row r="400" s="96" customFormat="1"/>
    <row r="401" s="96" customFormat="1"/>
    <row r="402" s="96" customFormat="1"/>
    <row r="403" s="96" customFormat="1"/>
    <row r="404" s="96" customFormat="1"/>
    <row r="405" s="96" customFormat="1"/>
    <row r="406" s="96" customFormat="1"/>
    <row r="407" s="96" customFormat="1"/>
    <row r="408" s="96" customFormat="1"/>
    <row r="409" s="96" customFormat="1"/>
    <row r="410" s="96" customFormat="1"/>
    <row r="411" s="96" customFormat="1"/>
    <row r="412" s="96" customFormat="1"/>
    <row r="413" s="96" customFormat="1"/>
    <row r="414" s="96" customFormat="1"/>
    <row r="415" s="96" customFormat="1"/>
    <row r="416" s="96" customFormat="1"/>
    <row r="417" s="96" customFormat="1"/>
    <row r="418" s="96" customFormat="1"/>
    <row r="419" s="96" customFormat="1"/>
    <row r="420" s="96" customFormat="1"/>
    <row r="421" s="96" customFormat="1"/>
    <row r="422" s="96" customFormat="1"/>
    <row r="423" s="96" customFormat="1"/>
    <row r="424" s="96" customFormat="1"/>
    <row r="425" s="96" customFormat="1"/>
    <row r="426" s="96" customFormat="1"/>
    <row r="427" s="96" customFormat="1"/>
    <row r="428" s="96" customFormat="1"/>
    <row r="429" s="96" customFormat="1"/>
    <row r="430" s="96" customFormat="1"/>
    <row r="431" s="96" customFormat="1"/>
    <row r="432" s="96" customFormat="1"/>
    <row r="433" s="96" customFormat="1"/>
    <row r="434" s="96" customFormat="1"/>
    <row r="435" s="96" customFormat="1"/>
    <row r="436" s="96" customFormat="1"/>
    <row r="437" s="96" customFormat="1"/>
    <row r="438" s="96" customFormat="1"/>
    <row r="439" s="96" customFormat="1"/>
    <row r="440" s="96" customFormat="1"/>
    <row r="441" s="96" customFormat="1"/>
    <row r="442" s="96" customFormat="1"/>
    <row r="443" s="96" customFormat="1"/>
    <row r="444" s="96" customFormat="1"/>
    <row r="445" s="96" customFormat="1"/>
    <row r="446" s="96" customFormat="1"/>
    <row r="447" s="96" customFormat="1"/>
    <row r="448" s="96" customFormat="1"/>
    <row r="449" s="96" customFormat="1"/>
    <row r="450" s="96" customFormat="1"/>
    <row r="451" s="96" customFormat="1"/>
    <row r="452" s="96" customFormat="1"/>
    <row r="453" s="96" customFormat="1"/>
    <row r="454" s="96" customFormat="1"/>
    <row r="455" s="96" customFormat="1"/>
    <row r="456" s="96" customFormat="1"/>
    <row r="457" s="96" customFormat="1"/>
    <row r="458" s="96" customFormat="1"/>
    <row r="459" s="96" customFormat="1"/>
    <row r="460" s="96" customFormat="1"/>
    <row r="461" s="96" customFormat="1"/>
    <row r="462" s="96" customFormat="1"/>
    <row r="463" s="96" customFormat="1"/>
    <row r="464" s="96" customFormat="1"/>
    <row r="465" s="96" customFormat="1"/>
    <row r="466" s="96" customFormat="1"/>
    <row r="467" s="96" customFormat="1"/>
    <row r="468" s="96" customFormat="1"/>
    <row r="469" s="96" customFormat="1"/>
    <row r="470" s="96" customFormat="1"/>
    <row r="471" s="96" customFormat="1"/>
    <row r="472" s="96" customFormat="1"/>
    <row r="473" s="96" customFormat="1"/>
    <row r="474" s="96" customFormat="1"/>
    <row r="475" s="96" customFormat="1"/>
    <row r="476" s="96" customFormat="1"/>
    <row r="477" s="96" customFormat="1"/>
    <row r="478" s="96" customFormat="1"/>
    <row r="479" s="96" customFormat="1"/>
    <row r="480" s="96" customFormat="1"/>
    <row r="481" s="96" customFormat="1"/>
    <row r="482" s="96" customFormat="1"/>
    <row r="483" s="96" customFormat="1"/>
    <row r="484" s="96" customFormat="1"/>
    <row r="485" s="96" customFormat="1"/>
    <row r="486" s="96" customFormat="1"/>
    <row r="487" s="96" customFormat="1"/>
    <row r="488" s="96" customFormat="1"/>
    <row r="489" s="96" customFormat="1"/>
    <row r="490" s="96" customFormat="1"/>
    <row r="491" s="96" customFormat="1"/>
    <row r="492" s="96" customFormat="1"/>
    <row r="493" s="96" customFormat="1"/>
    <row r="494" s="96" customFormat="1"/>
    <row r="495" s="96" customFormat="1"/>
    <row r="496" s="96" customFormat="1"/>
    <row r="497" s="96" customFormat="1"/>
    <row r="498" s="96" customFormat="1"/>
    <row r="499" s="96" customFormat="1"/>
    <row r="500" s="96" customFormat="1"/>
    <row r="501" s="96" customFormat="1"/>
    <row r="502" s="96" customFormat="1"/>
    <row r="503" s="96" customFormat="1"/>
    <row r="504" s="96" customFormat="1"/>
    <row r="505" s="96" customFormat="1"/>
    <row r="506" s="96" customFormat="1"/>
    <row r="507" s="96" customFormat="1"/>
    <row r="508" s="96" customFormat="1"/>
    <row r="509" s="96" customFormat="1"/>
    <row r="510" s="96" customFormat="1"/>
    <row r="511" s="96" customFormat="1"/>
    <row r="512" s="96" customFormat="1"/>
    <row r="513" s="96" customFormat="1"/>
    <row r="514" s="96" customFormat="1"/>
    <row r="515" s="96" customFormat="1"/>
    <row r="516" s="96" customFormat="1"/>
    <row r="517" s="96" customFormat="1"/>
    <row r="518" s="96" customFormat="1"/>
    <row r="519" s="96" customFormat="1"/>
    <row r="520" s="96" customFormat="1"/>
    <row r="521" s="96" customFormat="1"/>
    <row r="522" s="96" customFormat="1"/>
    <row r="523" s="96" customFormat="1"/>
    <row r="524" s="96" customFormat="1"/>
    <row r="525" s="96" customFormat="1"/>
    <row r="526" s="96" customFormat="1"/>
    <row r="527" s="96" customFormat="1"/>
    <row r="528" s="96" customFormat="1"/>
    <row r="529" s="96" customFormat="1"/>
    <row r="530" s="96" customFormat="1"/>
    <row r="531" s="96" customFormat="1"/>
    <row r="532" s="96" customFormat="1"/>
    <row r="533" s="96" customFormat="1"/>
  </sheetData>
  <conditionalFormatting sqref="A94:A1048576 BQ94:BQ1048576 BS94:XFD1048576 BR94:BR111 BR114:BR1048576 AL114:AL129 B114:AK158 AL137:AL158 AM114:AM158 B187:AM1048576 AN127:BP1048576 B110:AL110 AP110 B111:AQ111 A75:AQ75 A71:AN74 AP71:AQ74 A77:AQ92 A76:AN76 AP76:AQ76 A11:AQ70 AN114:AQ126 B94:AQ99 AV111:BP111 AV114:BP126 AV11:XFD92 B105:AP109 B104:AO104 A1:XFD10 AV94:BP99 B100:AP103 AW100:BP110">
    <cfRule type="expression" dxfId="300" priority="12" stopIfTrue="1">
      <formula>ISERROR(A1)</formula>
    </cfRule>
  </conditionalFormatting>
  <conditionalFormatting sqref="AM110:AO110">
    <cfRule type="expression" dxfId="299" priority="11" stopIfTrue="1">
      <formula>ISERROR(AM110)</formula>
    </cfRule>
  </conditionalFormatting>
  <conditionalFormatting sqref="AO71:AO74">
    <cfRule type="expression" dxfId="298" priority="10" stopIfTrue="1">
      <formula>ISERROR(AO71)</formula>
    </cfRule>
  </conditionalFormatting>
  <conditionalFormatting sqref="AO76">
    <cfRule type="expression" dxfId="297" priority="9" stopIfTrue="1">
      <formula>ISERROR(AO76)</formula>
    </cfRule>
  </conditionalFormatting>
  <conditionalFormatting sqref="AR114:AU126 AR99:AU111 AR11:AU67 AR69:AU89 AR68:AS68 AU68 AR91:AU92">
    <cfRule type="expression" dxfId="296" priority="8" stopIfTrue="1">
      <formula>ISERROR(AR11)</formula>
    </cfRule>
  </conditionalFormatting>
  <conditionalFormatting sqref="AR94:AU98">
    <cfRule type="expression" dxfId="295" priority="7" stopIfTrue="1">
      <formula>ISERROR(AR94)</formula>
    </cfRule>
  </conditionalFormatting>
  <conditionalFormatting sqref="AP104">
    <cfRule type="expression" dxfId="294" priority="5" stopIfTrue="1">
      <formula>ISERROR(AP104)</formula>
    </cfRule>
  </conditionalFormatting>
  <conditionalFormatting sqref="AT68">
    <cfRule type="expression" dxfId="293" priority="4" stopIfTrue="1">
      <formula>ISERROR(AT68)</formula>
    </cfRule>
  </conditionalFormatting>
  <conditionalFormatting sqref="AR90:AU90">
    <cfRule type="expression" dxfId="292" priority="3" stopIfTrue="1">
      <formula>ISERROR(AR90)</formula>
    </cfRule>
  </conditionalFormatting>
  <conditionalFormatting sqref="AQ100:AQ110">
    <cfRule type="expression" dxfId="291" priority="2" stopIfTrue="1">
      <formula>ISERROR(AQ100)</formula>
    </cfRule>
  </conditionalFormatting>
  <conditionalFormatting sqref="AV100:AV110">
    <cfRule type="expression" dxfId="290" priority="1" stopIfTrue="1">
      <formula>ISERROR(AV100)</formula>
    </cfRule>
  </conditionalFormatting>
  <dataValidations disablePrompts="1" count="1">
    <dataValidation type="custom" allowBlank="1" showInputMessage="1" showErrorMessage="1" sqref="AH7:AK8 BL7:BO8 BG7:BJ8 AR7:AU8 AM7:AP8 AC7:AF8 X7:AA8 N7:Q8 S7:V8 BB7:BE8 AW7:AZ8" xr:uid="{00000000-0002-0000-0600-000000000000}">
      <formula1>-1</formula1>
    </dataValidation>
  </dataValidations>
  <pageMargins left="0.75" right="0.75" top="1" bottom="1" header="0.5" footer="0.5"/>
  <pageSetup scale="44" fitToHeight="3" orientation="landscape" r:id="rId1"/>
  <headerFooter alignWithMargins="0"/>
  <rowBreaks count="1" manualBreakCount="1">
    <brk id="84" min="1" max="4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E2887"/>
  <sheetViews>
    <sheetView workbookViewId="0">
      <selection activeCell="BD10" sqref="BD10"/>
    </sheetView>
  </sheetViews>
  <sheetFormatPr baseColWidth="10" defaultColWidth="9.1640625" defaultRowHeight="13" outlineLevelCol="1"/>
  <cols>
    <col min="1" max="1" width="2" style="355" customWidth="1"/>
    <col min="2" max="2" width="35.5" style="355" customWidth="1"/>
    <col min="3" max="3" width="12.33203125" style="355" customWidth="1"/>
    <col min="4" max="47" width="9.1640625" style="355" hidden="1" customWidth="1"/>
    <col min="48" max="51" width="10.6640625" style="355" hidden="1" customWidth="1" outlineLevel="1"/>
    <col min="52" max="52" width="10.6640625" style="355" customWidth="1" collapsed="1"/>
    <col min="53" max="56" width="10.6640625" style="355" customWidth="1" outlineLevel="1"/>
    <col min="57" max="57" width="10.6640625" style="355" customWidth="1"/>
    <col min="58" max="61" width="10.6640625" style="355" customWidth="1" outlineLevel="1"/>
    <col min="62" max="62" width="10.6640625" style="355" customWidth="1"/>
    <col min="63" max="63" width="10.6640625" style="355" hidden="1" customWidth="1" outlineLevel="1"/>
    <col min="64" max="66" width="9.1640625" style="355" hidden="1" customWidth="1" outlineLevel="1"/>
    <col min="67" max="67" width="9.1640625" style="355" collapsed="1"/>
    <col min="68" max="71" width="0" style="355" hidden="1" customWidth="1"/>
    <col min="72" max="72" width="9.1640625" style="355"/>
    <col min="73" max="76" width="0" style="355" hidden="1" customWidth="1"/>
    <col min="77" max="77" width="9.1640625" style="355"/>
    <col min="78" max="81" width="0" style="355" hidden="1" customWidth="1"/>
    <col min="82" max="16384" width="9.1640625" style="355"/>
  </cols>
  <sheetData>
    <row r="2" spans="1:83">
      <c r="B2" s="584" t="s">
        <v>1</v>
      </c>
    </row>
    <row r="3" spans="1:83">
      <c r="B3" s="584" t="s">
        <v>194</v>
      </c>
    </row>
    <row r="4" spans="1:83">
      <c r="B4" s="585"/>
    </row>
    <row r="5" spans="1:83">
      <c r="B5" s="585"/>
    </row>
    <row r="7" spans="1:83">
      <c r="A7" s="208"/>
      <c r="B7" s="586" t="s">
        <v>5</v>
      </c>
      <c r="C7" s="1025" t="s">
        <v>195</v>
      </c>
      <c r="D7" s="23">
        <v>38504</v>
      </c>
      <c r="E7" s="23">
        <v>38596</v>
      </c>
      <c r="F7" s="23">
        <v>38687</v>
      </c>
      <c r="G7" s="24"/>
      <c r="H7" s="23">
        <v>38777</v>
      </c>
      <c r="I7" s="23">
        <v>38869</v>
      </c>
      <c r="J7" s="23">
        <v>38961</v>
      </c>
      <c r="K7" s="23">
        <v>39052</v>
      </c>
      <c r="L7" s="24"/>
      <c r="M7" s="23">
        <v>39142</v>
      </c>
      <c r="N7" s="23">
        <v>39234</v>
      </c>
      <c r="O7" s="23">
        <v>39326</v>
      </c>
      <c r="P7" s="23">
        <v>39417</v>
      </c>
      <c r="Q7" s="24"/>
      <c r="R7" s="23">
        <v>39508</v>
      </c>
      <c r="S7" s="23">
        <v>39600</v>
      </c>
      <c r="T7" s="23">
        <v>39692</v>
      </c>
      <c r="U7" s="23">
        <v>39783</v>
      </c>
      <c r="V7" s="24"/>
      <c r="W7" s="23">
        <v>39873</v>
      </c>
      <c r="X7" s="23">
        <v>39965</v>
      </c>
      <c r="Y7" s="23">
        <v>40057</v>
      </c>
      <c r="Z7" s="23">
        <v>40148</v>
      </c>
      <c r="AA7" s="24"/>
      <c r="AB7" s="23">
        <v>40238</v>
      </c>
      <c r="AC7" s="23">
        <v>40330</v>
      </c>
      <c r="AD7" s="23">
        <v>40422</v>
      </c>
      <c r="AE7" s="23">
        <v>40513</v>
      </c>
      <c r="AF7" s="24"/>
      <c r="AG7" s="23">
        <v>40603</v>
      </c>
      <c r="AH7" s="23">
        <v>40695</v>
      </c>
      <c r="AI7" s="23">
        <v>40787</v>
      </c>
      <c r="AJ7" s="23">
        <v>40878</v>
      </c>
      <c r="AK7" s="24"/>
      <c r="AL7" s="23">
        <v>40969</v>
      </c>
      <c r="AM7" s="23">
        <v>41061</v>
      </c>
      <c r="AN7" s="23">
        <v>41153</v>
      </c>
      <c r="AO7" s="23">
        <v>41244</v>
      </c>
      <c r="AP7" s="24"/>
      <c r="AQ7" s="23">
        <v>41334</v>
      </c>
      <c r="AR7" s="23">
        <v>41426</v>
      </c>
      <c r="AS7" s="23">
        <v>41518</v>
      </c>
      <c r="AT7" s="23">
        <v>41609</v>
      </c>
      <c r="AU7" s="24"/>
      <c r="AV7" s="23">
        <v>41699</v>
      </c>
      <c r="AW7" s="23">
        <v>41791</v>
      </c>
      <c r="AX7" s="23">
        <v>41883</v>
      </c>
      <c r="AY7" s="23">
        <v>41974</v>
      </c>
      <c r="AZ7" s="219">
        <v>2014</v>
      </c>
      <c r="BA7" s="23">
        <v>42064</v>
      </c>
      <c r="BB7" s="23">
        <v>42156</v>
      </c>
      <c r="BC7" s="23">
        <v>42248</v>
      </c>
      <c r="BD7" s="23">
        <v>42339</v>
      </c>
      <c r="BE7" s="219">
        <v>2015</v>
      </c>
      <c r="BF7" s="23">
        <v>42431</v>
      </c>
      <c r="BG7" s="23">
        <v>42523</v>
      </c>
      <c r="BH7" s="23">
        <v>42615</v>
      </c>
      <c r="BI7" s="23">
        <v>42706</v>
      </c>
      <c r="BJ7" s="219">
        <v>2016</v>
      </c>
      <c r="BK7" s="219">
        <v>42066</v>
      </c>
      <c r="BL7" s="219">
        <v>42158</v>
      </c>
      <c r="BM7" s="219">
        <v>42250</v>
      </c>
      <c r="BN7" s="219">
        <v>42341</v>
      </c>
      <c r="BO7" s="219">
        <v>2017</v>
      </c>
      <c r="BP7" s="219">
        <v>42067</v>
      </c>
      <c r="BQ7" s="219">
        <v>42159</v>
      </c>
      <c r="BR7" s="219">
        <v>42251</v>
      </c>
      <c r="BS7" s="219">
        <v>42342</v>
      </c>
      <c r="BT7" s="219">
        <v>2018</v>
      </c>
      <c r="BU7" s="219">
        <v>42068</v>
      </c>
      <c r="BV7" s="219">
        <v>42160</v>
      </c>
      <c r="BW7" s="219">
        <v>42252</v>
      </c>
      <c r="BX7" s="219">
        <v>42343</v>
      </c>
      <c r="BY7" s="219">
        <v>2019</v>
      </c>
      <c r="BZ7" s="219">
        <v>42069</v>
      </c>
      <c r="CA7" s="219">
        <v>42161</v>
      </c>
      <c r="CB7" s="219">
        <v>42253</v>
      </c>
      <c r="CC7" s="219">
        <v>42344</v>
      </c>
      <c r="CD7" s="219">
        <v>2020</v>
      </c>
    </row>
    <row r="8" spans="1:83">
      <c r="A8" s="208"/>
      <c r="B8" s="587" t="s">
        <v>6</v>
      </c>
      <c r="C8" s="1026"/>
      <c r="D8" s="221" t="s">
        <v>8</v>
      </c>
      <c r="E8" s="221" t="s">
        <v>9</v>
      </c>
      <c r="F8" s="221" t="s">
        <v>10</v>
      </c>
      <c r="G8" s="222" t="s">
        <v>11</v>
      </c>
      <c r="H8" s="221" t="s">
        <v>7</v>
      </c>
      <c r="I8" s="221" t="s">
        <v>8</v>
      </c>
      <c r="J8" s="221" t="s">
        <v>9</v>
      </c>
      <c r="K8" s="221" t="s">
        <v>10</v>
      </c>
      <c r="L8" s="222" t="s">
        <v>12</v>
      </c>
      <c r="M8" s="221" t="s">
        <v>7</v>
      </c>
      <c r="N8" s="221" t="s">
        <v>8</v>
      </c>
      <c r="O8" s="221" t="s">
        <v>9</v>
      </c>
      <c r="P8" s="221" t="s">
        <v>10</v>
      </c>
      <c r="Q8" s="222" t="s">
        <v>13</v>
      </c>
      <c r="R8" s="221" t="s">
        <v>7</v>
      </c>
      <c r="S8" s="221" t="s">
        <v>8</v>
      </c>
      <c r="T8" s="221" t="s">
        <v>9</v>
      </c>
      <c r="U8" s="221" t="s">
        <v>10</v>
      </c>
      <c r="V8" s="222" t="s">
        <v>14</v>
      </c>
      <c r="W8" s="221" t="s">
        <v>7</v>
      </c>
      <c r="X8" s="221" t="s">
        <v>8</v>
      </c>
      <c r="Y8" s="221" t="s">
        <v>9</v>
      </c>
      <c r="Z8" s="221" t="s">
        <v>10</v>
      </c>
      <c r="AA8" s="222" t="s">
        <v>122</v>
      </c>
      <c r="AB8" s="221" t="s">
        <v>7</v>
      </c>
      <c r="AC8" s="221" t="s">
        <v>8</v>
      </c>
      <c r="AD8" s="221" t="s">
        <v>9</v>
      </c>
      <c r="AE8" s="221" t="s">
        <v>10</v>
      </c>
      <c r="AF8" s="222" t="s">
        <v>16</v>
      </c>
      <c r="AG8" s="221" t="s">
        <v>7</v>
      </c>
      <c r="AH8" s="221" t="s">
        <v>8</v>
      </c>
      <c r="AI8" s="221" t="s">
        <v>9</v>
      </c>
      <c r="AJ8" s="221" t="s">
        <v>10</v>
      </c>
      <c r="AK8" s="222" t="s">
        <v>17</v>
      </c>
      <c r="AL8" s="221" t="s">
        <v>7</v>
      </c>
      <c r="AM8" s="221" t="s">
        <v>8</v>
      </c>
      <c r="AN8" s="221" t="s">
        <v>9</v>
      </c>
      <c r="AO8" s="221" t="s">
        <v>10</v>
      </c>
      <c r="AP8" s="222" t="s">
        <v>18</v>
      </c>
      <c r="AQ8" s="221" t="s">
        <v>7</v>
      </c>
      <c r="AR8" s="221" t="s">
        <v>8</v>
      </c>
      <c r="AS8" s="221" t="s">
        <v>9</v>
      </c>
      <c r="AT8" s="221" t="s">
        <v>10</v>
      </c>
      <c r="AU8" s="222" t="s">
        <v>19</v>
      </c>
      <c r="AV8" s="221" t="s">
        <v>7</v>
      </c>
      <c r="AW8" s="221" t="s">
        <v>8</v>
      </c>
      <c r="AX8" s="221" t="s">
        <v>9</v>
      </c>
      <c r="AY8" s="221" t="s">
        <v>10</v>
      </c>
      <c r="AZ8" s="223" t="s">
        <v>20</v>
      </c>
      <c r="BA8" s="221" t="s">
        <v>7</v>
      </c>
      <c r="BB8" s="221" t="s">
        <v>8</v>
      </c>
      <c r="BC8" s="221" t="s">
        <v>9</v>
      </c>
      <c r="BD8" s="221" t="s">
        <v>25</v>
      </c>
      <c r="BE8" s="223" t="s">
        <v>32</v>
      </c>
      <c r="BF8" s="221" t="s">
        <v>22</v>
      </c>
      <c r="BG8" s="221" t="s">
        <v>23</v>
      </c>
      <c r="BH8" s="221" t="s">
        <v>24</v>
      </c>
      <c r="BI8" s="221" t="s">
        <v>25</v>
      </c>
      <c r="BJ8" s="223" t="s">
        <v>26</v>
      </c>
      <c r="BK8" s="221" t="s">
        <v>22</v>
      </c>
      <c r="BL8" s="221" t="s">
        <v>23</v>
      </c>
      <c r="BM8" s="221" t="s">
        <v>24</v>
      </c>
      <c r="BN8" s="221" t="s">
        <v>25</v>
      </c>
      <c r="BO8" s="223" t="s">
        <v>27</v>
      </c>
      <c r="BP8" s="221" t="s">
        <v>22</v>
      </c>
      <c r="BQ8" s="221" t="s">
        <v>23</v>
      </c>
      <c r="BR8" s="221" t="s">
        <v>24</v>
      </c>
      <c r="BS8" s="221" t="s">
        <v>25</v>
      </c>
      <c r="BT8" s="223" t="s">
        <v>28</v>
      </c>
      <c r="BU8" s="221" t="s">
        <v>22</v>
      </c>
      <c r="BV8" s="221" t="s">
        <v>23</v>
      </c>
      <c r="BW8" s="221" t="s">
        <v>24</v>
      </c>
      <c r="BX8" s="221" t="s">
        <v>25</v>
      </c>
      <c r="BY8" s="223" t="s">
        <v>29</v>
      </c>
      <c r="BZ8" s="221" t="s">
        <v>22</v>
      </c>
      <c r="CA8" s="221" t="s">
        <v>23</v>
      </c>
      <c r="CB8" s="221" t="s">
        <v>24</v>
      </c>
      <c r="CC8" s="221" t="s">
        <v>25</v>
      </c>
      <c r="CD8" s="223" t="s">
        <v>30</v>
      </c>
    </row>
    <row r="9" spans="1:83">
      <c r="B9" s="588" t="s">
        <v>196</v>
      </c>
      <c r="C9" s="589"/>
      <c r="D9" s="590"/>
      <c r="E9" s="590"/>
      <c r="F9" s="590"/>
      <c r="G9" s="590"/>
      <c r="H9" s="590"/>
      <c r="I9" s="590"/>
      <c r="J9" s="590"/>
      <c r="K9" s="590"/>
      <c r="L9" s="590"/>
      <c r="M9" s="590"/>
      <c r="N9" s="590"/>
      <c r="O9" s="590"/>
      <c r="P9" s="590"/>
      <c r="Q9" s="590"/>
      <c r="R9" s="590"/>
      <c r="S9" s="590"/>
      <c r="T9" s="590"/>
      <c r="U9" s="590"/>
      <c r="V9" s="590"/>
      <c r="W9" s="590"/>
      <c r="X9" s="590"/>
      <c r="Y9" s="590"/>
      <c r="Z9" s="590"/>
      <c r="AA9" s="590"/>
      <c r="AB9" s="590"/>
      <c r="AC9" s="590"/>
      <c r="AD9" s="590"/>
      <c r="AE9" s="590"/>
      <c r="AF9" s="590"/>
      <c r="AG9" s="590"/>
      <c r="AH9" s="590"/>
      <c r="AI9" s="590"/>
      <c r="AJ9" s="590"/>
      <c r="AK9" s="590"/>
      <c r="AL9" s="590"/>
      <c r="AM9" s="590"/>
      <c r="AN9" s="590"/>
      <c r="AO9" s="590"/>
      <c r="AP9" s="590"/>
      <c r="AQ9" s="590"/>
      <c r="AR9" s="590"/>
      <c r="AS9" s="590"/>
      <c r="AT9" s="590"/>
      <c r="AU9" s="590"/>
      <c r="AV9" s="590"/>
      <c r="AW9" s="590"/>
      <c r="AX9" s="590"/>
      <c r="AY9" s="590"/>
      <c r="AZ9" s="589"/>
      <c r="BA9" s="590"/>
      <c r="BB9" s="590"/>
      <c r="BC9" s="590"/>
      <c r="BD9" s="590"/>
      <c r="BE9" s="589"/>
      <c r="BF9" s="590"/>
      <c r="BG9" s="590"/>
      <c r="BH9" s="590"/>
      <c r="BI9" s="590"/>
      <c r="BJ9" s="589"/>
      <c r="BK9" s="589"/>
      <c r="BL9" s="589"/>
      <c r="BM9" s="589"/>
      <c r="BN9" s="589"/>
      <c r="BO9" s="589"/>
      <c r="BP9" s="589"/>
      <c r="BQ9" s="589"/>
      <c r="BR9" s="589"/>
      <c r="BS9" s="589"/>
      <c r="BT9" s="589"/>
      <c r="BU9" s="589"/>
      <c r="BV9" s="589"/>
      <c r="BW9" s="589"/>
      <c r="BX9" s="589"/>
      <c r="BY9" s="589"/>
      <c r="BZ9" s="589"/>
      <c r="CA9" s="589"/>
      <c r="CB9" s="589"/>
      <c r="CC9" s="589"/>
      <c r="CD9" s="589"/>
      <c r="CE9" s="591"/>
    </row>
    <row r="10" spans="1:83">
      <c r="B10" s="592" t="s">
        <v>197</v>
      </c>
      <c r="C10" s="593">
        <v>0.5</v>
      </c>
      <c r="D10" s="429"/>
      <c r="E10" s="429"/>
      <c r="F10" s="429"/>
      <c r="G10" s="429"/>
      <c r="H10" s="429"/>
      <c r="I10" s="429"/>
      <c r="J10" s="429"/>
      <c r="K10" s="429"/>
      <c r="L10" s="429"/>
      <c r="M10" s="429"/>
      <c r="N10" s="429"/>
      <c r="O10" s="429"/>
      <c r="P10" s="429"/>
      <c r="Q10" s="429"/>
      <c r="R10" s="429"/>
      <c r="S10" s="429"/>
      <c r="T10" s="429"/>
      <c r="U10" s="429"/>
      <c r="V10" s="429"/>
      <c r="W10" s="429"/>
      <c r="X10" s="429"/>
      <c r="Y10" s="429"/>
      <c r="Z10" s="429"/>
      <c r="AA10" s="429"/>
      <c r="AB10" s="429"/>
      <c r="AC10" s="429"/>
      <c r="AD10" s="429"/>
      <c r="AE10" s="429"/>
      <c r="AF10" s="429"/>
      <c r="AG10" s="429"/>
      <c r="AH10" s="429"/>
      <c r="AI10" s="429"/>
      <c r="AJ10" s="429"/>
      <c r="AK10" s="429"/>
      <c r="AL10" s="429"/>
      <c r="AM10" s="429"/>
      <c r="AN10" s="429"/>
      <c r="AO10" s="429"/>
      <c r="AP10" s="429"/>
      <c r="AQ10" s="429"/>
      <c r="AR10" s="429"/>
      <c r="AS10" s="429"/>
      <c r="AT10" s="429"/>
      <c r="AU10" s="332"/>
      <c r="AV10" s="594">
        <f>'[45]YOY FX'!$D$28</f>
        <v>1.3703984375</v>
      </c>
      <c r="AW10" s="594">
        <f>'[45]YOY FX'!$D$29</f>
        <v>1.3716461538461537</v>
      </c>
      <c r="AX10" s="594">
        <f>'[45]YOY FX'!$D$30</f>
        <v>1.3252287878787878</v>
      </c>
      <c r="AY10" s="594">
        <f>'[45]YOY FX'!$D$31</f>
        <v>1.2490507462686564</v>
      </c>
      <c r="AZ10" s="595">
        <f>AVERAGE(AV10:AY10)</f>
        <v>1.3290810313733994</v>
      </c>
      <c r="BA10" s="594">
        <f>'[45]YOY FX'!$D$32</f>
        <v>1.1268124999999998</v>
      </c>
      <c r="BB10" s="594">
        <f>'[45]YOY FX'!$D$33</f>
        <v>1.1068600000000002</v>
      </c>
      <c r="BC10" s="594">
        <f>'[45]YOY FX'!$D$34</f>
        <v>1.1124636363636364</v>
      </c>
      <c r="BD10" s="594" t="e">
        <f ca="1">_xll.BDP("eurusd curncy","px_last")</f>
        <v>#NAME?</v>
      </c>
      <c r="BE10" s="595" t="e">
        <f ca="1">AVERAGE(BA10:BD10)</f>
        <v>#NAME?</v>
      </c>
      <c r="BF10" s="594" t="e">
        <f ca="1">_xll.BDP("eurusd curncy","px_last")</f>
        <v>#NAME?</v>
      </c>
      <c r="BG10" s="594" t="e">
        <f ca="1">_xll.BDP("eurusd curncy","px_last")</f>
        <v>#NAME?</v>
      </c>
      <c r="BH10" s="594" t="e">
        <f ca="1">_xll.BDP("eurusd curncy","px_last")</f>
        <v>#NAME?</v>
      </c>
      <c r="BI10" s="594" t="e">
        <f ca="1">_xll.BDP("eurusd curncy","px_last")</f>
        <v>#NAME?</v>
      </c>
      <c r="BJ10" s="595" t="e">
        <f ca="1">_xll.BDP("eurusd curncy","px_last")</f>
        <v>#NAME?</v>
      </c>
      <c r="BK10" s="332"/>
      <c r="BL10" s="332"/>
      <c r="BM10" s="332"/>
      <c r="BN10" s="332"/>
      <c r="BO10" s="332"/>
      <c r="BP10" s="332"/>
      <c r="BQ10" s="332"/>
      <c r="BR10" s="332"/>
      <c r="BS10" s="332"/>
      <c r="BT10" s="332"/>
      <c r="BU10" s="332"/>
      <c r="BV10" s="332"/>
      <c r="BW10" s="332"/>
      <c r="BX10" s="332"/>
      <c r="BY10" s="332"/>
      <c r="BZ10" s="332"/>
      <c r="CA10" s="332"/>
      <c r="CB10" s="332"/>
      <c r="CC10" s="332"/>
      <c r="CD10" s="332"/>
      <c r="CE10" s="591"/>
    </row>
    <row r="11" spans="1:83">
      <c r="B11" s="596" t="s">
        <v>198</v>
      </c>
      <c r="C11" s="597"/>
      <c r="D11" s="429"/>
      <c r="E11" s="429"/>
      <c r="F11" s="429"/>
      <c r="G11" s="429"/>
      <c r="H11" s="429"/>
      <c r="I11" s="429"/>
      <c r="J11" s="429"/>
      <c r="K11" s="429"/>
      <c r="L11" s="429"/>
      <c r="M11" s="429"/>
      <c r="N11" s="429"/>
      <c r="O11" s="429"/>
      <c r="P11" s="429"/>
      <c r="Q11" s="429"/>
      <c r="R11" s="429"/>
      <c r="S11" s="429"/>
      <c r="T11" s="429"/>
      <c r="U11" s="429"/>
      <c r="V11" s="429"/>
      <c r="W11" s="429"/>
      <c r="X11" s="429"/>
      <c r="Y11" s="429"/>
      <c r="Z11" s="429"/>
      <c r="AA11" s="429"/>
      <c r="AB11" s="429"/>
      <c r="AC11" s="429"/>
      <c r="AD11" s="429"/>
      <c r="AE11" s="429"/>
      <c r="AF11" s="429"/>
      <c r="AG11" s="429"/>
      <c r="AH11" s="429"/>
      <c r="AI11" s="429"/>
      <c r="AJ11" s="429"/>
      <c r="AK11" s="429"/>
      <c r="AL11" s="429"/>
      <c r="AM11" s="429"/>
      <c r="AN11" s="429"/>
      <c r="AO11" s="429"/>
      <c r="AP11" s="429"/>
      <c r="AQ11" s="429"/>
      <c r="AR11" s="429"/>
      <c r="AS11" s="429"/>
      <c r="AT11" s="429"/>
      <c r="AU11" s="332"/>
      <c r="AV11" s="429"/>
      <c r="AW11" s="429"/>
      <c r="AX11" s="429"/>
      <c r="AY11" s="429"/>
      <c r="AZ11" s="598"/>
      <c r="BA11" s="599">
        <f>BA10/AV10-1</f>
        <v>-0.17774825980126696</v>
      </c>
      <c r="BB11" s="599">
        <f t="shared" ref="BB11:BE11" si="0">BB10/AW10-1</f>
        <v>-0.19304261022690294</v>
      </c>
      <c r="BC11" s="599">
        <f t="shared" si="0"/>
        <v>-0.1605497507005651</v>
      </c>
      <c r="BD11" s="599" t="e">
        <f t="shared" ca="1" si="0"/>
        <v>#NAME?</v>
      </c>
      <c r="BE11" s="600" t="e">
        <f t="shared" ca="1" si="0"/>
        <v>#NAME?</v>
      </c>
      <c r="BF11" s="599" t="e">
        <f ca="1">BF10/BA10-1</f>
        <v>#NAME?</v>
      </c>
      <c r="BG11" s="599" t="e">
        <f t="shared" ref="BG11:BJ11" ca="1" si="1">BG10/BB10-1</f>
        <v>#NAME?</v>
      </c>
      <c r="BH11" s="599" t="e">
        <f t="shared" ca="1" si="1"/>
        <v>#NAME?</v>
      </c>
      <c r="BI11" s="599" t="e">
        <f t="shared" ca="1" si="1"/>
        <v>#NAME?</v>
      </c>
      <c r="BJ11" s="600" t="e">
        <f t="shared" ca="1" si="1"/>
        <v>#NAME?</v>
      </c>
      <c r="BK11" s="598"/>
      <c r="BL11" s="598"/>
      <c r="BM11" s="598"/>
      <c r="BN11" s="598"/>
      <c r="BO11" s="598"/>
      <c r="BP11" s="598"/>
      <c r="BQ11" s="598"/>
      <c r="BR11" s="598"/>
      <c r="BS11" s="598"/>
      <c r="BT11" s="598"/>
      <c r="BU11" s="598"/>
      <c r="BV11" s="598"/>
      <c r="BW11" s="598"/>
      <c r="BX11" s="598"/>
      <c r="BY11" s="598"/>
      <c r="BZ11" s="598"/>
      <c r="CA11" s="598"/>
      <c r="CB11" s="598"/>
      <c r="CC11" s="598"/>
      <c r="CD11" s="598"/>
      <c r="CE11" s="591"/>
    </row>
    <row r="12" spans="1:83">
      <c r="B12" s="592"/>
      <c r="C12" s="597"/>
      <c r="D12" s="429"/>
      <c r="E12" s="429"/>
      <c r="F12" s="429"/>
      <c r="G12" s="429"/>
      <c r="H12" s="429"/>
      <c r="I12" s="429"/>
      <c r="J12" s="429"/>
      <c r="K12" s="429"/>
      <c r="L12" s="429"/>
      <c r="M12" s="429"/>
      <c r="N12" s="429"/>
      <c r="O12" s="429"/>
      <c r="P12" s="429"/>
      <c r="Q12" s="429"/>
      <c r="R12" s="429"/>
      <c r="S12" s="429"/>
      <c r="T12" s="429"/>
      <c r="U12" s="429"/>
      <c r="V12" s="429"/>
      <c r="W12" s="429"/>
      <c r="X12" s="429"/>
      <c r="Y12" s="429"/>
      <c r="Z12" s="429"/>
      <c r="AA12" s="429"/>
      <c r="AB12" s="429"/>
      <c r="AC12" s="429"/>
      <c r="AD12" s="429"/>
      <c r="AE12" s="429"/>
      <c r="AF12" s="429"/>
      <c r="AG12" s="429"/>
      <c r="AH12" s="429"/>
      <c r="AI12" s="429"/>
      <c r="AJ12" s="429"/>
      <c r="AK12" s="429"/>
      <c r="AL12" s="429"/>
      <c r="AM12" s="429"/>
      <c r="AN12" s="429"/>
      <c r="AO12" s="429"/>
      <c r="AP12" s="429"/>
      <c r="AQ12" s="429"/>
      <c r="AR12" s="429"/>
      <c r="AS12" s="429"/>
      <c r="AT12" s="429"/>
      <c r="AU12" s="332"/>
      <c r="AV12" s="429"/>
      <c r="AW12" s="429"/>
      <c r="AX12" s="429"/>
      <c r="AY12" s="429"/>
      <c r="AZ12" s="311"/>
      <c r="BA12" s="429"/>
      <c r="BB12" s="429"/>
      <c r="BC12" s="429"/>
      <c r="BD12" s="429"/>
      <c r="BE12" s="311"/>
      <c r="BF12" s="54"/>
      <c r="BG12" s="54"/>
      <c r="BH12" s="54"/>
      <c r="BI12" s="54"/>
      <c r="BJ12" s="311"/>
      <c r="BK12" s="311"/>
      <c r="BL12" s="311"/>
      <c r="BM12" s="311"/>
      <c r="BN12" s="311"/>
      <c r="BO12" s="311"/>
      <c r="BP12" s="311"/>
      <c r="BQ12" s="311"/>
      <c r="BR12" s="311"/>
      <c r="BS12" s="311"/>
      <c r="BT12" s="311"/>
      <c r="BU12" s="311"/>
      <c r="BV12" s="311"/>
      <c r="BW12" s="311"/>
      <c r="BX12" s="311"/>
      <c r="BY12" s="311"/>
      <c r="BZ12" s="311"/>
      <c r="CA12" s="311"/>
      <c r="CB12" s="311"/>
      <c r="CC12" s="311"/>
      <c r="CD12" s="311"/>
      <c r="CE12" s="591"/>
    </row>
    <row r="13" spans="1:83">
      <c r="B13" s="592" t="s">
        <v>199</v>
      </c>
      <c r="C13" s="593">
        <v>0.05</v>
      </c>
      <c r="D13" s="429"/>
      <c r="E13" s="429"/>
      <c r="F13" s="429"/>
      <c r="G13" s="429"/>
      <c r="H13" s="429"/>
      <c r="I13" s="429"/>
      <c r="J13" s="429"/>
      <c r="K13" s="429"/>
      <c r="L13" s="429"/>
      <c r="M13" s="429"/>
      <c r="N13" s="429"/>
      <c r="O13" s="429"/>
      <c r="P13" s="429"/>
      <c r="Q13" s="429"/>
      <c r="R13" s="429"/>
      <c r="S13" s="429"/>
      <c r="T13" s="429"/>
      <c r="U13" s="429"/>
      <c r="V13" s="429"/>
      <c r="W13" s="429"/>
      <c r="X13" s="429"/>
      <c r="Y13" s="429"/>
      <c r="Z13" s="429"/>
      <c r="AA13" s="429"/>
      <c r="AB13" s="429"/>
      <c r="AC13" s="429"/>
      <c r="AD13" s="429"/>
      <c r="AE13" s="429"/>
      <c r="AF13" s="429"/>
      <c r="AG13" s="429"/>
      <c r="AH13" s="429"/>
      <c r="AI13" s="429"/>
      <c r="AJ13" s="429"/>
      <c r="AK13" s="429"/>
      <c r="AL13" s="429"/>
      <c r="AM13" s="429"/>
      <c r="AN13" s="429"/>
      <c r="AO13" s="429"/>
      <c r="AP13" s="429"/>
      <c r="AQ13" s="429"/>
      <c r="AR13" s="429"/>
      <c r="AS13" s="429"/>
      <c r="AT13" s="429"/>
      <c r="AU13" s="329"/>
      <c r="AV13" s="594">
        <f>'[45]YOY FX'!$G$28</f>
        <v>1.6548953125000005</v>
      </c>
      <c r="AW13" s="594">
        <f>'[45]YOY FX'!$G$29</f>
        <v>1.6833799999999999</v>
      </c>
      <c r="AX13" s="594">
        <f>'[45]YOY FX'!$G$30</f>
        <v>1.6698621212121216</v>
      </c>
      <c r="AY13" s="594">
        <f>'[45]YOY FX'!$G$31</f>
        <v>1.5834477611940301</v>
      </c>
      <c r="AZ13" s="595">
        <f>AVERAGE(AV13:AY13)</f>
        <v>1.647896298726538</v>
      </c>
      <c r="BA13" s="594">
        <f>'[45]YOY FX'!$G$32</f>
        <v>1.5148874999999999</v>
      </c>
      <c r="BB13" s="594">
        <f>'[45]YOY FX'!$G$33</f>
        <v>1.5332723076923076</v>
      </c>
      <c r="BC13" s="594">
        <f>'[45]YOY FX'!$G$34</f>
        <v>1.5489969696969699</v>
      </c>
      <c r="BD13" s="594" t="e">
        <f ca="1">_xll.BDP("gbpusd curncy","px_last")</f>
        <v>#NAME?</v>
      </c>
      <c r="BE13" s="595" t="e">
        <f ca="1">AVERAGE(BA13:BD13)</f>
        <v>#NAME?</v>
      </c>
      <c r="BF13" s="594" t="e">
        <f ca="1">_xll.BDP("gbpusd curncy","px_last")</f>
        <v>#NAME?</v>
      </c>
      <c r="BG13" s="594" t="e">
        <f ca="1">_xll.BDP("gbpusd curncy","px_last")</f>
        <v>#NAME?</v>
      </c>
      <c r="BH13" s="594" t="e">
        <f ca="1">_xll.BDP("gbpusd curncy","px_last")</f>
        <v>#NAME?</v>
      </c>
      <c r="BI13" s="594" t="e">
        <f ca="1">_xll.BDP("gbpusd curncy","px_last")</f>
        <v>#NAME?</v>
      </c>
      <c r="BJ13" s="595" t="e">
        <f ca="1">_xll.BDP("gbpusd curncy","px_last")</f>
        <v>#NAME?</v>
      </c>
      <c r="BK13" s="311"/>
      <c r="BL13" s="311"/>
      <c r="BM13" s="311"/>
      <c r="BN13" s="311"/>
      <c r="BO13" s="311"/>
      <c r="BP13" s="311"/>
      <c r="BQ13" s="311"/>
      <c r="BR13" s="311"/>
      <c r="BS13" s="311"/>
      <c r="BT13" s="311"/>
      <c r="BU13" s="311"/>
      <c r="BV13" s="311"/>
      <c r="BW13" s="311"/>
      <c r="BX13" s="311"/>
      <c r="BY13" s="311"/>
      <c r="BZ13" s="311"/>
      <c r="CA13" s="311"/>
      <c r="CB13" s="311"/>
      <c r="CC13" s="311"/>
      <c r="CD13" s="311"/>
      <c r="CE13" s="591"/>
    </row>
    <row r="14" spans="1:83">
      <c r="B14" s="596" t="s">
        <v>198</v>
      </c>
      <c r="C14" s="597"/>
      <c r="D14" s="429"/>
      <c r="E14" s="429"/>
      <c r="F14" s="429"/>
      <c r="G14" s="429"/>
      <c r="H14" s="429"/>
      <c r="I14" s="429"/>
      <c r="J14" s="429"/>
      <c r="K14" s="429"/>
      <c r="L14" s="429"/>
      <c r="M14" s="429"/>
      <c r="N14" s="429"/>
      <c r="O14" s="429"/>
      <c r="P14" s="429"/>
      <c r="Q14" s="429"/>
      <c r="R14" s="429"/>
      <c r="S14" s="429"/>
      <c r="T14" s="429"/>
      <c r="U14" s="429"/>
      <c r="V14" s="429"/>
      <c r="W14" s="429"/>
      <c r="X14" s="429"/>
      <c r="Y14" s="429"/>
      <c r="Z14" s="429"/>
      <c r="AA14" s="429"/>
      <c r="AB14" s="429"/>
      <c r="AC14" s="429"/>
      <c r="AD14" s="429"/>
      <c r="AE14" s="429"/>
      <c r="AF14" s="429"/>
      <c r="AG14" s="429"/>
      <c r="AH14" s="429"/>
      <c r="AI14" s="429"/>
      <c r="AJ14" s="429"/>
      <c r="AK14" s="429"/>
      <c r="AL14" s="429"/>
      <c r="AM14" s="429"/>
      <c r="AN14" s="429"/>
      <c r="AO14" s="429"/>
      <c r="AP14" s="429"/>
      <c r="AQ14" s="429"/>
      <c r="AR14" s="429"/>
      <c r="AS14" s="429"/>
      <c r="AT14" s="429"/>
      <c r="AU14" s="329"/>
      <c r="AV14" s="429"/>
      <c r="AW14" s="429"/>
      <c r="AX14" s="429"/>
      <c r="AY14" s="429"/>
      <c r="AZ14" s="311"/>
      <c r="BA14" s="599">
        <f>BA13/AV13-1</f>
        <v>-8.4602217096436783E-2</v>
      </c>
      <c r="BB14" s="599">
        <f t="shared" ref="BB14:BE14" si="2">BB13/AW13-1</f>
        <v>-8.9170414468326964E-2</v>
      </c>
      <c r="BC14" s="599">
        <f t="shared" si="2"/>
        <v>-7.2380318099208085E-2</v>
      </c>
      <c r="BD14" s="599" t="e">
        <f t="shared" ca="1" si="2"/>
        <v>#NAME?</v>
      </c>
      <c r="BE14" s="600" t="e">
        <f t="shared" ca="1" si="2"/>
        <v>#NAME?</v>
      </c>
      <c r="BF14" s="599" t="e">
        <f ca="1">BF13/BA13-1</f>
        <v>#NAME?</v>
      </c>
      <c r="BG14" s="599" t="e">
        <f t="shared" ref="BG14:BJ14" ca="1" si="3">BG13/BB13-1</f>
        <v>#NAME?</v>
      </c>
      <c r="BH14" s="599" t="e">
        <f t="shared" ca="1" si="3"/>
        <v>#NAME?</v>
      </c>
      <c r="BI14" s="599" t="e">
        <f t="shared" ca="1" si="3"/>
        <v>#NAME?</v>
      </c>
      <c r="BJ14" s="600" t="e">
        <f t="shared" ca="1" si="3"/>
        <v>#NAME?</v>
      </c>
      <c r="BK14" s="311"/>
      <c r="BL14" s="311"/>
      <c r="BM14" s="311"/>
      <c r="BN14" s="311"/>
      <c r="BO14" s="311"/>
      <c r="BP14" s="311"/>
      <c r="BQ14" s="311"/>
      <c r="BR14" s="311"/>
      <c r="BS14" s="311"/>
      <c r="BT14" s="311"/>
      <c r="BU14" s="311"/>
      <c r="BV14" s="311"/>
      <c r="BW14" s="311"/>
      <c r="BX14" s="311"/>
      <c r="BY14" s="311"/>
      <c r="BZ14" s="311"/>
      <c r="CA14" s="311"/>
      <c r="CB14" s="311"/>
      <c r="CC14" s="311"/>
      <c r="CD14" s="311"/>
      <c r="CE14" s="591"/>
    </row>
    <row r="15" spans="1:83">
      <c r="B15" s="592"/>
      <c r="C15" s="597"/>
      <c r="D15" s="429"/>
      <c r="E15" s="429"/>
      <c r="F15" s="429"/>
      <c r="G15" s="429"/>
      <c r="H15" s="429"/>
      <c r="I15" s="429"/>
      <c r="J15" s="429"/>
      <c r="K15" s="429"/>
      <c r="L15" s="429"/>
      <c r="M15" s="429"/>
      <c r="N15" s="429"/>
      <c r="O15" s="429"/>
      <c r="P15" s="429"/>
      <c r="Q15" s="429"/>
      <c r="R15" s="429"/>
      <c r="S15" s="429"/>
      <c r="T15" s="429"/>
      <c r="U15" s="429"/>
      <c r="V15" s="429"/>
      <c r="W15" s="429"/>
      <c r="X15" s="429"/>
      <c r="Y15" s="429"/>
      <c r="Z15" s="429"/>
      <c r="AA15" s="429"/>
      <c r="AB15" s="429"/>
      <c r="AC15" s="429"/>
      <c r="AD15" s="429"/>
      <c r="AE15" s="429"/>
      <c r="AF15" s="429"/>
      <c r="AG15" s="429"/>
      <c r="AH15" s="429"/>
      <c r="AI15" s="429"/>
      <c r="AJ15" s="429"/>
      <c r="AK15" s="429"/>
      <c r="AL15" s="429"/>
      <c r="AM15" s="429"/>
      <c r="AN15" s="429"/>
      <c r="AO15" s="429"/>
      <c r="AP15" s="429"/>
      <c r="AQ15" s="429"/>
      <c r="AR15" s="429"/>
      <c r="AS15" s="429"/>
      <c r="AT15" s="429"/>
      <c r="AU15" s="329"/>
      <c r="AV15" s="429"/>
      <c r="AW15" s="429"/>
      <c r="AX15" s="429"/>
      <c r="AY15" s="429"/>
      <c r="AZ15" s="311"/>
      <c r="BA15" s="429"/>
      <c r="BB15" s="429"/>
      <c r="BC15" s="429"/>
      <c r="BD15" s="429"/>
      <c r="BE15" s="311"/>
      <c r="BF15" s="54"/>
      <c r="BG15" s="54"/>
      <c r="BH15" s="54"/>
      <c r="BI15" s="54"/>
      <c r="BJ15" s="311"/>
      <c r="BK15" s="311"/>
      <c r="BL15" s="311"/>
      <c r="BM15" s="311"/>
      <c r="BN15" s="311"/>
      <c r="BO15" s="311"/>
      <c r="BP15" s="311"/>
      <c r="BQ15" s="311"/>
      <c r="BR15" s="311"/>
      <c r="BS15" s="311"/>
      <c r="BT15" s="311"/>
      <c r="BU15" s="311"/>
      <c r="BV15" s="311"/>
      <c r="BW15" s="311"/>
      <c r="BX15" s="311"/>
      <c r="BY15" s="311"/>
      <c r="BZ15" s="311"/>
      <c r="CA15" s="311"/>
      <c r="CB15" s="311"/>
      <c r="CC15" s="311"/>
      <c r="CD15" s="311"/>
      <c r="CE15" s="591"/>
    </row>
    <row r="16" spans="1:83">
      <c r="B16" s="592" t="s">
        <v>200</v>
      </c>
      <c r="C16" s="593">
        <v>0.3</v>
      </c>
      <c r="D16" s="429"/>
      <c r="E16" s="429"/>
      <c r="F16" s="429"/>
      <c r="G16" s="429"/>
      <c r="H16" s="429"/>
      <c r="I16" s="429"/>
      <c r="J16" s="429"/>
      <c r="K16" s="429"/>
      <c r="L16" s="429"/>
      <c r="M16" s="429"/>
      <c r="N16" s="429"/>
      <c r="O16" s="429"/>
      <c r="P16" s="429"/>
      <c r="Q16" s="429"/>
      <c r="R16" s="429"/>
      <c r="S16" s="429"/>
      <c r="T16" s="429"/>
      <c r="U16" s="429"/>
      <c r="V16" s="429"/>
      <c r="W16" s="429"/>
      <c r="X16" s="429"/>
      <c r="Y16" s="429"/>
      <c r="Z16" s="429"/>
      <c r="AA16" s="429"/>
      <c r="AB16" s="429"/>
      <c r="AC16" s="429"/>
      <c r="AD16" s="429"/>
      <c r="AE16" s="429"/>
      <c r="AF16" s="429"/>
      <c r="AG16" s="429"/>
      <c r="AH16" s="429"/>
      <c r="AI16" s="429"/>
      <c r="AJ16" s="429"/>
      <c r="AK16" s="429"/>
      <c r="AL16" s="429"/>
      <c r="AM16" s="429"/>
      <c r="AN16" s="429"/>
      <c r="AO16" s="429"/>
      <c r="AP16" s="429"/>
      <c r="AQ16" s="429"/>
      <c r="AR16" s="429"/>
      <c r="AS16" s="429"/>
      <c r="AT16" s="429"/>
      <c r="AU16" s="429"/>
      <c r="AV16" s="594">
        <f>'[45]YOY FX'!$M$28</f>
        <v>0.9068921875</v>
      </c>
      <c r="AW16" s="594">
        <f>'[45]YOY FX'!$M$29</f>
        <v>0.91722307692307714</v>
      </c>
      <c r="AX16" s="594">
        <f>'[45]YOY FX'!$M$30</f>
        <v>0.91874242424242447</v>
      </c>
      <c r="AY16" s="594">
        <f>'[45]YOY FX'!$M$31</f>
        <v>0.88010303030303028</v>
      </c>
      <c r="AZ16" s="595">
        <f>'[45]YOY FX'!$M$28</f>
        <v>0.9068921875</v>
      </c>
      <c r="BA16" s="594">
        <f>'[45]YOY FX'!$M$32</f>
        <v>0.80674687499999986</v>
      </c>
      <c r="BB16" s="594">
        <f>'[45]YOY FX'!$M$33</f>
        <v>0.81361538461538452</v>
      </c>
      <c r="BC16" s="594">
        <f>'[45]YOY FX'!$M$34</f>
        <v>0.76449696969696956</v>
      </c>
      <c r="BD16" s="594" t="e">
        <f ca="1">_xll.BDP("cadusd curncy","px_last")</f>
        <v>#NAME?</v>
      </c>
      <c r="BE16" s="595" t="e">
        <f ca="1">AVERAGE(BA16:BD16)</f>
        <v>#NAME?</v>
      </c>
      <c r="BF16" s="594" t="e">
        <f ca="1">_xll.BDP("cadusd curncy","px_last")</f>
        <v>#NAME?</v>
      </c>
      <c r="BG16" s="594" t="e">
        <f ca="1">_xll.BDP("cadusd curncy","px_last")</f>
        <v>#NAME?</v>
      </c>
      <c r="BH16" s="594" t="e">
        <f ca="1">_xll.BDP("cadusd curncy","px_last")</f>
        <v>#NAME?</v>
      </c>
      <c r="BI16" s="594" t="e">
        <f ca="1">_xll.BDP("cadusd curncy","px_last")</f>
        <v>#NAME?</v>
      </c>
      <c r="BJ16" s="595" t="e">
        <f ca="1">_xll.BDP("cadusd curncy","px_last")</f>
        <v>#NAME?</v>
      </c>
      <c r="BK16" s="311"/>
      <c r="BL16" s="311"/>
      <c r="BM16" s="311"/>
      <c r="BN16" s="311"/>
      <c r="BO16" s="311"/>
      <c r="BP16" s="311"/>
      <c r="BQ16" s="311"/>
      <c r="BR16" s="311"/>
      <c r="BS16" s="311"/>
      <c r="BT16" s="311"/>
      <c r="BU16" s="311"/>
      <c r="BV16" s="311"/>
      <c r="BW16" s="311"/>
      <c r="BX16" s="311"/>
      <c r="BY16" s="311"/>
      <c r="BZ16" s="311"/>
      <c r="CA16" s="311"/>
      <c r="CB16" s="311"/>
      <c r="CC16" s="311"/>
      <c r="CD16" s="311"/>
      <c r="CE16" s="591"/>
    </row>
    <row r="17" spans="2:83">
      <c r="B17" s="596" t="s">
        <v>198</v>
      </c>
      <c r="C17" s="597"/>
      <c r="D17" s="429"/>
      <c r="E17" s="429"/>
      <c r="F17" s="429"/>
      <c r="G17" s="429"/>
      <c r="H17" s="429"/>
      <c r="I17" s="429"/>
      <c r="J17" s="429"/>
      <c r="K17" s="429"/>
      <c r="L17" s="429"/>
      <c r="M17" s="429"/>
      <c r="N17" s="429"/>
      <c r="O17" s="429"/>
      <c r="P17" s="429"/>
      <c r="Q17" s="429"/>
      <c r="R17" s="429"/>
      <c r="S17" s="429"/>
      <c r="T17" s="429"/>
      <c r="U17" s="429"/>
      <c r="V17" s="429"/>
      <c r="W17" s="429"/>
      <c r="X17" s="429"/>
      <c r="Y17" s="429"/>
      <c r="Z17" s="429"/>
      <c r="AA17" s="429"/>
      <c r="AB17" s="429"/>
      <c r="AC17" s="429"/>
      <c r="AD17" s="429"/>
      <c r="AE17" s="429"/>
      <c r="AF17" s="429"/>
      <c r="AG17" s="429"/>
      <c r="AH17" s="429"/>
      <c r="AI17" s="429"/>
      <c r="AJ17" s="429"/>
      <c r="AK17" s="429"/>
      <c r="AL17" s="429"/>
      <c r="AM17" s="429"/>
      <c r="AN17" s="429"/>
      <c r="AO17" s="429"/>
      <c r="AP17" s="429"/>
      <c r="AQ17" s="429"/>
      <c r="AR17" s="429"/>
      <c r="AS17" s="429"/>
      <c r="AT17" s="429"/>
      <c r="AU17" s="429"/>
      <c r="AV17" s="429"/>
      <c r="AW17" s="429"/>
      <c r="AX17" s="429"/>
      <c r="AY17" s="429"/>
      <c r="AZ17" s="311"/>
      <c r="BA17" s="599">
        <f>BA16/AV16-1</f>
        <v>-0.11042692161244372</v>
      </c>
      <c r="BB17" s="599">
        <f t="shared" ref="BB17:BE17" si="4">BB16/AW16-1</f>
        <v>-0.11295800870520578</v>
      </c>
      <c r="BC17" s="599">
        <f t="shared" si="4"/>
        <v>-0.16788759338357806</v>
      </c>
      <c r="BD17" s="599" t="e">
        <f t="shared" ca="1" si="4"/>
        <v>#NAME?</v>
      </c>
      <c r="BE17" s="600" t="e">
        <f t="shared" ca="1" si="4"/>
        <v>#NAME?</v>
      </c>
      <c r="BF17" s="599" t="e">
        <f ca="1">BF16/BA16-1</f>
        <v>#NAME?</v>
      </c>
      <c r="BG17" s="599" t="e">
        <f t="shared" ref="BG17:BJ17" ca="1" si="5">BG16/BB16-1</f>
        <v>#NAME?</v>
      </c>
      <c r="BH17" s="599" t="e">
        <f t="shared" ca="1" si="5"/>
        <v>#NAME?</v>
      </c>
      <c r="BI17" s="599" t="e">
        <f t="shared" ca="1" si="5"/>
        <v>#NAME?</v>
      </c>
      <c r="BJ17" s="600" t="e">
        <f t="shared" ca="1" si="5"/>
        <v>#NAME?</v>
      </c>
      <c r="BK17" s="311"/>
      <c r="BL17" s="311"/>
      <c r="BM17" s="311"/>
      <c r="BN17" s="311"/>
      <c r="BO17" s="311"/>
      <c r="BP17" s="311"/>
      <c r="BQ17" s="311"/>
      <c r="BR17" s="311"/>
      <c r="BS17" s="311"/>
      <c r="BT17" s="311"/>
      <c r="BU17" s="311"/>
      <c r="BV17" s="311"/>
      <c r="BW17" s="311"/>
      <c r="BX17" s="311"/>
      <c r="BY17" s="311"/>
      <c r="BZ17" s="311"/>
      <c r="CA17" s="311"/>
      <c r="CB17" s="311"/>
      <c r="CC17" s="311"/>
      <c r="CD17" s="311"/>
      <c r="CE17" s="591"/>
    </row>
    <row r="18" spans="2:83">
      <c r="B18" s="592"/>
      <c r="C18" s="601"/>
      <c r="D18" s="429"/>
      <c r="E18" s="429"/>
      <c r="F18" s="429"/>
      <c r="G18" s="429"/>
      <c r="H18" s="429"/>
      <c r="I18" s="429"/>
      <c r="J18" s="429"/>
      <c r="K18" s="429"/>
      <c r="L18" s="429"/>
      <c r="M18" s="429"/>
      <c r="N18" s="429"/>
      <c r="O18" s="429"/>
      <c r="P18" s="429"/>
      <c r="Q18" s="429"/>
      <c r="R18" s="429"/>
      <c r="S18" s="429"/>
      <c r="T18" s="429"/>
      <c r="U18" s="429"/>
      <c r="V18" s="429"/>
      <c r="W18" s="429"/>
      <c r="X18" s="429"/>
      <c r="Y18" s="429"/>
      <c r="Z18" s="429"/>
      <c r="AA18" s="429"/>
      <c r="AB18" s="429"/>
      <c r="AC18" s="429"/>
      <c r="AD18" s="429"/>
      <c r="AE18" s="429"/>
      <c r="AF18" s="429"/>
      <c r="AG18" s="429"/>
      <c r="AH18" s="429"/>
      <c r="AI18" s="429"/>
      <c r="AJ18" s="429"/>
      <c r="AK18" s="429"/>
      <c r="AL18" s="429"/>
      <c r="AM18" s="429"/>
      <c r="AN18" s="429"/>
      <c r="AO18" s="429"/>
      <c r="AP18" s="429"/>
      <c r="AQ18" s="429"/>
      <c r="AR18" s="429"/>
      <c r="AS18" s="429"/>
      <c r="AT18" s="429"/>
      <c r="AU18" s="429"/>
      <c r="AV18" s="429"/>
      <c r="AW18" s="429"/>
      <c r="AX18" s="429"/>
      <c r="AY18" s="429"/>
      <c r="AZ18" s="602"/>
      <c r="BA18" s="429"/>
      <c r="BB18" s="429"/>
      <c r="BC18" s="429"/>
      <c r="BD18" s="429"/>
      <c r="BE18" s="602"/>
      <c r="BF18" s="603"/>
      <c r="BG18" s="603"/>
      <c r="BH18" s="603"/>
      <c r="BI18" s="603"/>
      <c r="BJ18" s="602"/>
      <c r="BK18" s="602"/>
      <c r="BL18" s="602"/>
      <c r="BM18" s="602"/>
      <c r="BN18" s="602"/>
      <c r="BO18" s="602"/>
      <c r="BP18" s="602"/>
      <c r="BQ18" s="602"/>
      <c r="BR18" s="602"/>
      <c r="BS18" s="602"/>
      <c r="BT18" s="602"/>
      <c r="BU18" s="602"/>
      <c r="BV18" s="602"/>
      <c r="BW18" s="602"/>
      <c r="BX18" s="602"/>
      <c r="BY18" s="602"/>
      <c r="BZ18" s="602"/>
      <c r="CA18" s="602"/>
      <c r="CB18" s="602"/>
      <c r="CC18" s="602"/>
      <c r="CD18" s="602"/>
      <c r="CE18" s="591"/>
    </row>
    <row r="19" spans="2:83">
      <c r="B19" s="592" t="s">
        <v>201</v>
      </c>
      <c r="C19" s="593">
        <v>0.1</v>
      </c>
      <c r="D19" s="604"/>
      <c r="E19" s="604"/>
      <c r="F19" s="604"/>
      <c r="G19" s="604"/>
      <c r="H19" s="604"/>
      <c r="I19" s="604"/>
      <c r="J19" s="604"/>
      <c r="K19" s="604"/>
      <c r="L19" s="604"/>
      <c r="M19" s="604"/>
      <c r="N19" s="604"/>
      <c r="O19" s="604"/>
      <c r="P19" s="604"/>
      <c r="Q19" s="604"/>
      <c r="R19" s="604"/>
      <c r="S19" s="604"/>
      <c r="T19" s="604"/>
      <c r="U19" s="604"/>
      <c r="V19" s="604"/>
      <c r="W19" s="604"/>
      <c r="X19" s="604"/>
      <c r="Y19" s="604"/>
      <c r="Z19" s="604"/>
      <c r="AA19" s="604"/>
      <c r="AB19" s="604"/>
      <c r="AC19" s="604"/>
      <c r="AD19" s="604"/>
      <c r="AE19" s="604"/>
      <c r="AF19" s="604"/>
      <c r="AG19" s="604"/>
      <c r="AH19" s="604"/>
      <c r="AI19" s="604"/>
      <c r="AJ19" s="604"/>
      <c r="AK19" s="604"/>
      <c r="AL19" s="604"/>
      <c r="AM19" s="604"/>
      <c r="AN19" s="604"/>
      <c r="AO19" s="604"/>
      <c r="AP19" s="604"/>
      <c r="AQ19" s="604"/>
      <c r="AR19" s="604"/>
      <c r="AS19" s="604"/>
      <c r="AT19" s="604"/>
      <c r="AU19" s="604"/>
      <c r="AV19" s="594">
        <f>'[45]YOY FX'!$V$28</f>
        <v>0.89676718750000017</v>
      </c>
      <c r="AW19" s="594">
        <f>'[45]YOY FX'!$V$29</f>
        <v>0.93308615384615379</v>
      </c>
      <c r="AX19" s="594">
        <f>'[45]YOY FX'!$V$30</f>
        <v>0.92502272727272705</v>
      </c>
      <c r="AY19" s="594">
        <f>'[45]YOY FX'!$V$31</f>
        <v>0.85467878787878782</v>
      </c>
      <c r="AZ19" s="595">
        <f>AVERAGE(AV19:AY19)</f>
        <v>0.90238871412441723</v>
      </c>
      <c r="BA19" s="594">
        <f>'[45]YOY FX'!$V$32</f>
        <v>0.78656249999999994</v>
      </c>
      <c r="BB19" s="594">
        <f>'[45]YOY FX'!$V$33</f>
        <v>0.77799230769230765</v>
      </c>
      <c r="BC19" s="594">
        <f>'[45]YOY FX'!$V$34</f>
        <v>0.72545606060606072</v>
      </c>
      <c r="BD19" s="594" t="e">
        <f ca="1">_xll.BDP("audusd curncy","px_last")</f>
        <v>#NAME?</v>
      </c>
      <c r="BE19" s="595" t="e">
        <f ca="1">AVERAGE(BA19:BD19)</f>
        <v>#NAME?</v>
      </c>
      <c r="BF19" s="594" t="e">
        <f ca="1">_xll.BDP("audusd curncy","px_last")</f>
        <v>#NAME?</v>
      </c>
      <c r="BG19" s="594" t="e">
        <f ca="1">_xll.BDP("audusd curncy","px_last")</f>
        <v>#NAME?</v>
      </c>
      <c r="BH19" s="594" t="e">
        <f ca="1">_xll.BDP("audusd curncy","px_last")</f>
        <v>#NAME?</v>
      </c>
      <c r="BI19" s="594" t="e">
        <f ca="1">_xll.BDP("audusd curncy","px_last")</f>
        <v>#NAME?</v>
      </c>
      <c r="BJ19" s="595" t="e">
        <f ca="1">_xll.BDP("audusd curncy","px_last")</f>
        <v>#NAME?</v>
      </c>
      <c r="BK19" s="332"/>
      <c r="BL19" s="332"/>
      <c r="BM19" s="332"/>
      <c r="BN19" s="332"/>
      <c r="BO19" s="332"/>
      <c r="BP19" s="332"/>
      <c r="BQ19" s="332"/>
      <c r="BR19" s="332"/>
      <c r="BS19" s="332"/>
      <c r="BT19" s="332"/>
      <c r="BU19" s="332"/>
      <c r="BV19" s="332"/>
      <c r="BW19" s="332"/>
      <c r="BX19" s="332"/>
      <c r="BY19" s="332"/>
      <c r="BZ19" s="332"/>
      <c r="CA19" s="332"/>
      <c r="CB19" s="332"/>
      <c r="CC19" s="332"/>
      <c r="CD19" s="332"/>
      <c r="CE19" s="591"/>
    </row>
    <row r="20" spans="2:83">
      <c r="B20" s="596" t="s">
        <v>198</v>
      </c>
      <c r="C20" s="597"/>
      <c r="D20" s="429"/>
      <c r="E20" s="429"/>
      <c r="F20" s="429"/>
      <c r="G20" s="429"/>
      <c r="H20" s="429"/>
      <c r="I20" s="429"/>
      <c r="J20" s="429"/>
      <c r="K20" s="429"/>
      <c r="L20" s="429"/>
      <c r="M20" s="429"/>
      <c r="N20" s="429"/>
      <c r="O20" s="429"/>
      <c r="P20" s="429"/>
      <c r="Q20" s="429"/>
      <c r="R20" s="429"/>
      <c r="S20" s="429"/>
      <c r="T20" s="429"/>
      <c r="U20" s="429"/>
      <c r="V20" s="429"/>
      <c r="W20" s="429"/>
      <c r="X20" s="429"/>
      <c r="Y20" s="429"/>
      <c r="Z20" s="429"/>
      <c r="AA20" s="429"/>
      <c r="AB20" s="429"/>
      <c r="AC20" s="429"/>
      <c r="AD20" s="429"/>
      <c r="AE20" s="429"/>
      <c r="AF20" s="429"/>
      <c r="AG20" s="429"/>
      <c r="AH20" s="429"/>
      <c r="AI20" s="429"/>
      <c r="AJ20" s="429"/>
      <c r="AK20" s="429"/>
      <c r="AL20" s="429"/>
      <c r="AM20" s="429"/>
      <c r="AN20" s="429"/>
      <c r="AO20" s="429"/>
      <c r="AP20" s="429"/>
      <c r="AQ20" s="429"/>
      <c r="AR20" s="429"/>
      <c r="AS20" s="429"/>
      <c r="AT20" s="429"/>
      <c r="AU20" s="429"/>
      <c r="AV20" s="429"/>
      <c r="AW20" s="429"/>
      <c r="AX20" s="429"/>
      <c r="AY20" s="429"/>
      <c r="AZ20" s="605"/>
      <c r="BA20" s="599">
        <f>BA19/AV19-1</f>
        <v>-0.1228910792412331</v>
      </c>
      <c r="BB20" s="599">
        <f t="shared" ref="BB20:BE20" si="6">BB19/AW19-1</f>
        <v>-0.16621599786317032</v>
      </c>
      <c r="BC20" s="599">
        <f t="shared" si="6"/>
        <v>-0.21574244695052502</v>
      </c>
      <c r="BD20" s="599" t="e">
        <f t="shared" ca="1" si="6"/>
        <v>#NAME?</v>
      </c>
      <c r="BE20" s="600" t="e">
        <f t="shared" ca="1" si="6"/>
        <v>#NAME?</v>
      </c>
      <c r="BF20" s="599" t="e">
        <f ca="1">BF19/BA19-1</f>
        <v>#NAME?</v>
      </c>
      <c r="BG20" s="599" t="e">
        <f t="shared" ref="BG20:BJ20" ca="1" si="7">BG19/BB19-1</f>
        <v>#NAME?</v>
      </c>
      <c r="BH20" s="599" t="e">
        <f t="shared" ca="1" si="7"/>
        <v>#NAME?</v>
      </c>
      <c r="BI20" s="599" t="e">
        <f t="shared" ca="1" si="7"/>
        <v>#NAME?</v>
      </c>
      <c r="BJ20" s="600" t="e">
        <f t="shared" ca="1" si="7"/>
        <v>#NAME?</v>
      </c>
      <c r="BK20" s="605"/>
      <c r="BL20" s="605"/>
      <c r="BM20" s="605"/>
      <c r="BN20" s="605"/>
      <c r="BO20" s="605"/>
      <c r="BP20" s="605"/>
      <c r="BQ20" s="605"/>
      <c r="BR20" s="605"/>
      <c r="BS20" s="605"/>
      <c r="BT20" s="605"/>
      <c r="BU20" s="605"/>
      <c r="BV20" s="605"/>
      <c r="BW20" s="605"/>
      <c r="BX20" s="605"/>
      <c r="BY20" s="605"/>
      <c r="BZ20" s="605"/>
      <c r="CA20" s="605"/>
      <c r="CB20" s="605"/>
      <c r="CC20" s="605"/>
      <c r="CD20" s="605"/>
      <c r="CE20" s="591"/>
    </row>
    <row r="21" spans="2:83">
      <c r="B21" s="606"/>
      <c r="C21" s="597"/>
      <c r="D21" s="429"/>
      <c r="E21" s="429"/>
      <c r="F21" s="429"/>
      <c r="G21" s="429"/>
      <c r="H21" s="429"/>
      <c r="I21" s="429"/>
      <c r="J21" s="429"/>
      <c r="K21" s="429"/>
      <c r="L21" s="429"/>
      <c r="M21" s="429"/>
      <c r="N21" s="429"/>
      <c r="O21" s="429"/>
      <c r="P21" s="429"/>
      <c r="Q21" s="429"/>
      <c r="R21" s="429"/>
      <c r="S21" s="429"/>
      <c r="T21" s="429"/>
      <c r="U21" s="429"/>
      <c r="V21" s="429"/>
      <c r="W21" s="429"/>
      <c r="X21" s="429"/>
      <c r="Y21" s="429"/>
      <c r="Z21" s="429"/>
      <c r="AA21" s="429"/>
      <c r="AB21" s="429"/>
      <c r="AC21" s="429"/>
      <c r="AD21" s="429"/>
      <c r="AE21" s="429"/>
      <c r="AF21" s="429"/>
      <c r="AG21" s="429"/>
      <c r="AH21" s="429"/>
      <c r="AI21" s="429"/>
      <c r="AJ21" s="429"/>
      <c r="AK21" s="429"/>
      <c r="AL21" s="429"/>
      <c r="AM21" s="429"/>
      <c r="AN21" s="429"/>
      <c r="AO21" s="429"/>
      <c r="AP21" s="429"/>
      <c r="AQ21" s="429"/>
      <c r="AR21" s="429"/>
      <c r="AS21" s="429"/>
      <c r="AT21" s="429"/>
      <c r="AU21" s="429"/>
      <c r="AV21" s="429"/>
      <c r="AW21" s="429"/>
      <c r="AX21" s="429"/>
      <c r="AY21" s="429"/>
      <c r="AZ21" s="605"/>
      <c r="BA21" s="429"/>
      <c r="BB21" s="429"/>
      <c r="BC21" s="429"/>
      <c r="BD21" s="429"/>
      <c r="BE21" s="519"/>
      <c r="BF21" s="607"/>
      <c r="BG21" s="607"/>
      <c r="BH21" s="607"/>
      <c r="BI21" s="607"/>
      <c r="BJ21" s="519"/>
      <c r="BK21" s="605"/>
      <c r="BL21" s="605"/>
      <c r="BM21" s="605"/>
      <c r="BN21" s="605"/>
      <c r="BO21" s="519"/>
      <c r="BP21" s="605"/>
      <c r="BQ21" s="605"/>
      <c r="BR21" s="605"/>
      <c r="BS21" s="605"/>
      <c r="BT21" s="519"/>
      <c r="BU21" s="605"/>
      <c r="BV21" s="605"/>
      <c r="BW21" s="605"/>
      <c r="BX21" s="605"/>
      <c r="BY21" s="519"/>
      <c r="BZ21" s="605"/>
      <c r="CA21" s="605"/>
      <c r="CB21" s="605"/>
      <c r="CC21" s="605"/>
      <c r="CD21" s="519"/>
      <c r="CE21" s="591"/>
    </row>
    <row r="22" spans="2:83">
      <c r="B22" s="592" t="s">
        <v>202</v>
      </c>
      <c r="C22" s="593">
        <v>0.05</v>
      </c>
      <c r="D22" s="429"/>
      <c r="E22" s="429"/>
      <c r="F22" s="429"/>
      <c r="G22" s="429"/>
      <c r="H22" s="429"/>
      <c r="I22" s="429"/>
      <c r="J22" s="429"/>
      <c r="K22" s="429"/>
      <c r="L22" s="429"/>
      <c r="M22" s="429"/>
      <c r="N22" s="429"/>
      <c r="O22" s="429"/>
      <c r="P22" s="429"/>
      <c r="Q22" s="429"/>
      <c r="R22" s="429"/>
      <c r="S22" s="429"/>
      <c r="T22" s="429"/>
      <c r="U22" s="429"/>
      <c r="V22" s="429"/>
      <c r="W22" s="429"/>
      <c r="X22" s="429"/>
      <c r="Y22" s="429"/>
      <c r="Z22" s="429"/>
      <c r="AA22" s="429"/>
      <c r="AB22" s="429"/>
      <c r="AC22" s="429"/>
      <c r="AD22" s="429"/>
      <c r="AE22" s="429"/>
      <c r="AF22" s="429"/>
      <c r="AG22" s="429"/>
      <c r="AH22" s="429"/>
      <c r="AI22" s="429"/>
      <c r="AJ22" s="429"/>
      <c r="AK22" s="429"/>
      <c r="AL22" s="429"/>
      <c r="AM22" s="429"/>
      <c r="AN22" s="429"/>
      <c r="AO22" s="429"/>
      <c r="AP22" s="429"/>
      <c r="AQ22" s="429"/>
      <c r="AR22" s="429"/>
      <c r="AS22" s="429"/>
      <c r="AT22" s="429"/>
      <c r="AU22" s="429"/>
      <c r="AV22" s="594">
        <f>'[45]YOY FX'!$J$28</f>
        <v>9.7260156250000025E-3</v>
      </c>
      <c r="AW22" s="594">
        <f>'[45]YOY FX'!$J$29</f>
        <v>9.7910153846153865E-3</v>
      </c>
      <c r="AX22" s="594">
        <f>'[45]YOY FX'!$J$30</f>
        <v>9.6196666666666653E-3</v>
      </c>
      <c r="AY22" s="594">
        <f>'[45]YOY FX'!$J$31</f>
        <v>9.1789083969465602E-3</v>
      </c>
      <c r="AZ22" s="595">
        <f>AVERAGE(AV22:AY22)</f>
        <v>9.5789015183071532E-3</v>
      </c>
      <c r="BA22" s="594">
        <f>'[45]YOY FX'!$J$32</f>
        <v>8.3919375000000001E-3</v>
      </c>
      <c r="BB22" s="594">
        <f>'[45]YOY FX'!$J$33</f>
        <v>8.2425230769230771E-3</v>
      </c>
      <c r="BC22" s="594">
        <f>'[45]YOY FX'!$J$34</f>
        <v>8.1879545454545434E-3</v>
      </c>
      <c r="BD22" s="594" t="e">
        <f ca="1">_xll.BDP("JPYusd curncy","px_last")</f>
        <v>#NAME?</v>
      </c>
      <c r="BE22" s="595" t="e">
        <f ca="1">AVERAGE(BA22:BD22)</f>
        <v>#NAME?</v>
      </c>
      <c r="BF22" s="594" t="e">
        <f ca="1">_xll.BDP("JPYusd curncy","px_last")</f>
        <v>#NAME?</v>
      </c>
      <c r="BG22" s="594" t="e">
        <f ca="1">_xll.BDP("JPYusd curncy","px_last")</f>
        <v>#NAME?</v>
      </c>
      <c r="BH22" s="594" t="e">
        <f ca="1">_xll.BDP("JPYusd curncy","px_last")</f>
        <v>#NAME?</v>
      </c>
      <c r="BI22" s="594" t="e">
        <f ca="1">_xll.BDP("JPYusd curncy","px_last")</f>
        <v>#NAME?</v>
      </c>
      <c r="BJ22" s="595" t="e">
        <f ca="1">_xll.BDP("JPYusd curncy","px_last")</f>
        <v>#NAME?</v>
      </c>
      <c r="BK22" s="605"/>
      <c r="BL22" s="605"/>
      <c r="BM22" s="605"/>
      <c r="BN22" s="605"/>
      <c r="BO22" s="519"/>
      <c r="BP22" s="605"/>
      <c r="BQ22" s="605"/>
      <c r="BR22" s="605"/>
      <c r="BS22" s="605"/>
      <c r="BT22" s="519"/>
      <c r="BU22" s="605"/>
      <c r="BV22" s="605"/>
      <c r="BW22" s="605"/>
      <c r="BX22" s="605"/>
      <c r="BY22" s="519"/>
      <c r="BZ22" s="605"/>
      <c r="CA22" s="605"/>
      <c r="CB22" s="605"/>
      <c r="CC22" s="605"/>
      <c r="CD22" s="519"/>
      <c r="CE22" s="591"/>
    </row>
    <row r="23" spans="2:83">
      <c r="B23" s="596" t="s">
        <v>198</v>
      </c>
      <c r="C23" s="608"/>
      <c r="D23" s="429"/>
      <c r="E23" s="429"/>
      <c r="F23" s="429"/>
      <c r="G23" s="429"/>
      <c r="H23" s="429"/>
      <c r="I23" s="429"/>
      <c r="J23" s="429"/>
      <c r="K23" s="429"/>
      <c r="L23" s="429"/>
      <c r="M23" s="429"/>
      <c r="N23" s="429"/>
      <c r="O23" s="429"/>
      <c r="P23" s="429"/>
      <c r="Q23" s="429"/>
      <c r="R23" s="429"/>
      <c r="S23" s="429"/>
      <c r="T23" s="429"/>
      <c r="U23" s="429"/>
      <c r="V23" s="429"/>
      <c r="W23" s="429"/>
      <c r="X23" s="429"/>
      <c r="Y23" s="429"/>
      <c r="Z23" s="429"/>
      <c r="AA23" s="429"/>
      <c r="AB23" s="429"/>
      <c r="AC23" s="429"/>
      <c r="AD23" s="429"/>
      <c r="AE23" s="429"/>
      <c r="AF23" s="429"/>
      <c r="AG23" s="429"/>
      <c r="AH23" s="429"/>
      <c r="AI23" s="429"/>
      <c r="AJ23" s="429"/>
      <c r="AK23" s="429"/>
      <c r="AL23" s="429"/>
      <c r="AM23" s="429"/>
      <c r="AN23" s="429"/>
      <c r="AO23" s="429"/>
      <c r="AP23" s="429"/>
      <c r="AQ23" s="429"/>
      <c r="AR23" s="429"/>
      <c r="AS23" s="429"/>
      <c r="AT23" s="429"/>
      <c r="AU23" s="429"/>
      <c r="AV23" s="429"/>
      <c r="AW23" s="429"/>
      <c r="AX23" s="429"/>
      <c r="AY23" s="429"/>
      <c r="AZ23" s="605"/>
      <c r="BA23" s="599">
        <f>BA22/AV22-1</f>
        <v>-0.13716594507321722</v>
      </c>
      <c r="BB23" s="599">
        <f t="shared" ref="BB23:BE23" si="8">BB22/AW22-1</f>
        <v>-0.15815441472244585</v>
      </c>
      <c r="BC23" s="599">
        <f t="shared" si="8"/>
        <v>-0.14883178085298754</v>
      </c>
      <c r="BD23" s="599" t="e">
        <f t="shared" ca="1" si="8"/>
        <v>#NAME?</v>
      </c>
      <c r="BE23" s="600" t="e">
        <f t="shared" ca="1" si="8"/>
        <v>#NAME?</v>
      </c>
      <c r="BF23" s="599" t="e">
        <f ca="1">BF22/BA22-1</f>
        <v>#NAME?</v>
      </c>
      <c r="BG23" s="599" t="e">
        <f t="shared" ref="BG23:BJ23" ca="1" si="9">BG22/BB22-1</f>
        <v>#NAME?</v>
      </c>
      <c r="BH23" s="599" t="e">
        <f t="shared" ca="1" si="9"/>
        <v>#NAME?</v>
      </c>
      <c r="BI23" s="599" t="e">
        <f t="shared" ca="1" si="9"/>
        <v>#NAME?</v>
      </c>
      <c r="BJ23" s="600" t="e">
        <f t="shared" ca="1" si="9"/>
        <v>#NAME?</v>
      </c>
      <c r="BK23" s="605"/>
      <c r="BL23" s="605"/>
      <c r="BM23" s="605"/>
      <c r="BN23" s="605"/>
      <c r="BO23" s="519"/>
      <c r="BP23" s="605"/>
      <c r="BQ23" s="605"/>
      <c r="BR23" s="605"/>
      <c r="BS23" s="605"/>
      <c r="BT23" s="519"/>
      <c r="BU23" s="605"/>
      <c r="BV23" s="605"/>
      <c r="BW23" s="605"/>
      <c r="BX23" s="605"/>
      <c r="BY23" s="519"/>
      <c r="BZ23" s="605"/>
      <c r="CA23" s="605"/>
      <c r="CB23" s="605"/>
      <c r="CC23" s="605"/>
      <c r="CD23" s="519"/>
      <c r="CE23" s="591"/>
    </row>
    <row r="24" spans="2:83">
      <c r="B24" s="592"/>
      <c r="C24" s="609"/>
      <c r="D24" s="429"/>
      <c r="E24" s="429"/>
      <c r="F24" s="429"/>
      <c r="G24" s="429"/>
      <c r="H24" s="429"/>
      <c r="I24" s="429"/>
      <c r="J24" s="429"/>
      <c r="K24" s="429"/>
      <c r="L24" s="429"/>
      <c r="M24" s="429"/>
      <c r="N24" s="429"/>
      <c r="O24" s="429"/>
      <c r="P24" s="429"/>
      <c r="Q24" s="429"/>
      <c r="R24" s="429"/>
      <c r="S24" s="429"/>
      <c r="T24" s="429"/>
      <c r="U24" s="429"/>
      <c r="V24" s="429"/>
      <c r="W24" s="429"/>
      <c r="X24" s="429"/>
      <c r="Y24" s="429"/>
      <c r="Z24" s="429"/>
      <c r="AA24" s="429"/>
      <c r="AB24" s="429"/>
      <c r="AC24" s="429"/>
      <c r="AD24" s="429"/>
      <c r="AE24" s="429"/>
      <c r="AF24" s="429"/>
      <c r="AG24" s="429"/>
      <c r="AH24" s="429"/>
      <c r="AI24" s="429"/>
      <c r="AJ24" s="429"/>
      <c r="AK24" s="429"/>
      <c r="AL24" s="429"/>
      <c r="AM24" s="429"/>
      <c r="AN24" s="429"/>
      <c r="AO24" s="429"/>
      <c r="AP24" s="429"/>
      <c r="AQ24" s="429"/>
      <c r="AR24" s="429"/>
      <c r="AS24" s="429"/>
      <c r="AT24" s="429"/>
      <c r="AU24" s="429"/>
      <c r="AV24" s="429"/>
      <c r="AW24" s="429"/>
      <c r="AX24" s="429"/>
      <c r="AY24" s="429"/>
      <c r="AZ24" s="610"/>
      <c r="BA24" s="429"/>
      <c r="BB24" s="429"/>
      <c r="BC24" s="429"/>
      <c r="BD24" s="429"/>
      <c r="BE24" s="610"/>
      <c r="BF24" s="429"/>
      <c r="BG24" s="429"/>
      <c r="BH24" s="429"/>
      <c r="BI24" s="429"/>
      <c r="BJ24" s="610"/>
      <c r="BK24" s="610"/>
      <c r="BL24" s="610"/>
      <c r="BM24" s="610"/>
      <c r="BN24" s="610"/>
      <c r="BO24" s="610"/>
      <c r="BP24" s="610"/>
      <c r="BQ24" s="610"/>
      <c r="BR24" s="610"/>
      <c r="BS24" s="610"/>
      <c r="BT24" s="610"/>
      <c r="BU24" s="610"/>
      <c r="BV24" s="610"/>
      <c r="BW24" s="610"/>
      <c r="BX24" s="610"/>
      <c r="BY24" s="610"/>
      <c r="BZ24" s="610"/>
      <c r="CA24" s="610"/>
      <c r="CB24" s="610"/>
      <c r="CC24" s="610"/>
      <c r="CD24" s="610"/>
      <c r="CE24" s="591"/>
    </row>
    <row r="25" spans="2:83">
      <c r="B25" s="611" t="s">
        <v>203</v>
      </c>
      <c r="C25" s="612">
        <f>SUM(C10:C24)</f>
        <v>1</v>
      </c>
      <c r="D25" s="429"/>
      <c r="E25" s="429"/>
      <c r="F25" s="429"/>
      <c r="G25" s="429"/>
      <c r="H25" s="429"/>
      <c r="I25" s="429"/>
      <c r="J25" s="429"/>
      <c r="K25" s="429"/>
      <c r="L25" s="429"/>
      <c r="M25" s="429"/>
      <c r="N25" s="429"/>
      <c r="O25" s="429"/>
      <c r="P25" s="429"/>
      <c r="Q25" s="429"/>
      <c r="R25" s="429"/>
      <c r="S25" s="429"/>
      <c r="T25" s="429"/>
      <c r="U25" s="429"/>
      <c r="V25" s="429"/>
      <c r="W25" s="429"/>
      <c r="X25" s="429"/>
      <c r="Y25" s="429"/>
      <c r="Z25" s="429"/>
      <c r="AA25" s="429"/>
      <c r="AB25" s="429"/>
      <c r="AC25" s="429"/>
      <c r="AD25" s="429"/>
      <c r="AE25" s="429"/>
      <c r="AF25" s="429"/>
      <c r="AG25" s="429"/>
      <c r="AH25" s="429"/>
      <c r="AI25" s="429"/>
      <c r="AJ25" s="429"/>
      <c r="AK25" s="429"/>
      <c r="AL25" s="429"/>
      <c r="AM25" s="429"/>
      <c r="AN25" s="429"/>
      <c r="AO25" s="429"/>
      <c r="AP25" s="429"/>
      <c r="AQ25" s="429"/>
      <c r="AR25" s="429"/>
      <c r="AS25" s="429"/>
      <c r="AT25" s="429"/>
      <c r="AU25" s="429"/>
      <c r="AV25" s="429"/>
      <c r="AW25" s="429"/>
      <c r="AX25" s="429"/>
      <c r="AY25" s="429"/>
      <c r="AZ25" s="610"/>
      <c r="BA25" s="613">
        <f>($C$10*BA11+$C$13*BA14+$C$16*BA17+$C$19*BA20+$C$22*BA23)</f>
        <v>-0.14537972241697258</v>
      </c>
      <c r="BB25" s="613">
        <f t="shared" ref="BB25:BJ25" si="10">($C$10*BB11+$C$13*BB14+$C$16*BB17+$C$19*BB20+$C$22*BB23)</f>
        <v>-0.15939654897086886</v>
      </c>
      <c r="BC25" s="613">
        <f t="shared" si="10"/>
        <v>-0.16327600300801826</v>
      </c>
      <c r="BD25" s="613" t="e">
        <f t="shared" ca="1" si="10"/>
        <v>#NAME?</v>
      </c>
      <c r="BE25" s="614" t="e">
        <f t="shared" ca="1" si="10"/>
        <v>#NAME?</v>
      </c>
      <c r="BF25" s="613" t="e">
        <f ca="1">($C$10*BF11+$C$13*BF14+$C$16*BF17+$C$19*BF20+$C$22*BF23)</f>
        <v>#NAME?</v>
      </c>
      <c r="BG25" s="613" t="e">
        <f t="shared" ca="1" si="10"/>
        <v>#NAME?</v>
      </c>
      <c r="BH25" s="613" t="e">
        <f t="shared" ca="1" si="10"/>
        <v>#NAME?</v>
      </c>
      <c r="BI25" s="613" t="e">
        <f t="shared" ca="1" si="10"/>
        <v>#NAME?</v>
      </c>
      <c r="BJ25" s="614" t="e">
        <f t="shared" ca="1" si="10"/>
        <v>#NAME?</v>
      </c>
      <c r="BK25" s="610"/>
      <c r="BL25" s="610"/>
      <c r="BM25" s="610"/>
      <c r="BN25" s="610"/>
      <c r="BO25" s="610"/>
      <c r="BP25" s="610"/>
      <c r="BQ25" s="610"/>
      <c r="BR25" s="610"/>
      <c r="BS25" s="610"/>
      <c r="BT25" s="610"/>
      <c r="BU25" s="610"/>
      <c r="BV25" s="610"/>
      <c r="BW25" s="610"/>
      <c r="BX25" s="610"/>
      <c r="BY25" s="610"/>
      <c r="BZ25" s="610"/>
      <c r="CA25" s="610"/>
      <c r="CB25" s="610"/>
      <c r="CC25" s="610"/>
      <c r="CD25" s="610"/>
      <c r="CE25" s="591"/>
    </row>
    <row r="26" spans="2:83">
      <c r="B26" s="611" t="s">
        <v>204</v>
      </c>
      <c r="C26" s="610"/>
      <c r="D26" s="429"/>
      <c r="E26" s="429"/>
      <c r="F26" s="429"/>
      <c r="G26" s="429"/>
      <c r="H26" s="429"/>
      <c r="I26" s="429"/>
      <c r="J26" s="429"/>
      <c r="K26" s="429"/>
      <c r="L26" s="429"/>
      <c r="M26" s="429"/>
      <c r="N26" s="429"/>
      <c r="O26" s="429"/>
      <c r="P26" s="429"/>
      <c r="Q26" s="429"/>
      <c r="R26" s="429"/>
      <c r="S26" s="429"/>
      <c r="T26" s="429"/>
      <c r="U26" s="429"/>
      <c r="V26" s="429"/>
      <c r="W26" s="429"/>
      <c r="X26" s="429"/>
      <c r="Y26" s="429"/>
      <c r="Z26" s="429"/>
      <c r="AA26" s="429"/>
      <c r="AB26" s="429"/>
      <c r="AC26" s="429"/>
      <c r="AD26" s="429"/>
      <c r="AE26" s="429"/>
      <c r="AF26" s="429"/>
      <c r="AG26" s="429"/>
      <c r="AH26" s="429"/>
      <c r="AI26" s="429"/>
      <c r="AJ26" s="429"/>
      <c r="AK26" s="429"/>
      <c r="AL26" s="429"/>
      <c r="AM26" s="429"/>
      <c r="AN26" s="429"/>
      <c r="AO26" s="429"/>
      <c r="AP26" s="429"/>
      <c r="AQ26" s="429"/>
      <c r="AR26" s="429"/>
      <c r="AS26" s="429"/>
      <c r="AT26" s="429"/>
      <c r="AU26" s="429"/>
      <c r="AV26" s="429"/>
      <c r="AW26" s="429"/>
      <c r="AX26" s="429"/>
      <c r="AY26" s="429"/>
      <c r="AZ26" s="610"/>
      <c r="BA26" s="599">
        <f>Sales!BA119</f>
        <v>-0.14925373134328357</v>
      </c>
      <c r="BB26" s="599">
        <f>Sales!BB119</f>
        <v>-0.17031702898550732</v>
      </c>
      <c r="BC26" s="599">
        <f>Sales!BC119</f>
        <v>-0.1621107677680057</v>
      </c>
      <c r="BD26" s="429"/>
      <c r="BE26" s="610"/>
      <c r="BF26" s="429"/>
      <c r="BG26" s="429"/>
      <c r="BH26" s="429"/>
      <c r="BI26" s="429"/>
      <c r="BJ26" s="610"/>
      <c r="BK26" s="610"/>
      <c r="BL26" s="610"/>
      <c r="BM26" s="610"/>
      <c r="BN26" s="610"/>
      <c r="BO26" s="610"/>
      <c r="BP26" s="610"/>
      <c r="BQ26" s="610"/>
      <c r="BR26" s="610"/>
      <c r="BS26" s="610"/>
      <c r="BT26" s="610"/>
      <c r="BU26" s="610"/>
      <c r="BV26" s="610"/>
      <c r="BW26" s="610"/>
      <c r="BX26" s="610"/>
      <c r="BY26" s="610"/>
      <c r="BZ26" s="610"/>
      <c r="CA26" s="610"/>
      <c r="CB26" s="610"/>
      <c r="CC26" s="610"/>
      <c r="CD26" s="610"/>
      <c r="CE26" s="591"/>
    </row>
    <row r="27" spans="2:83">
      <c r="B27" s="592"/>
      <c r="C27" s="610"/>
      <c r="D27" s="429"/>
      <c r="E27" s="429"/>
      <c r="F27" s="429"/>
      <c r="G27" s="429"/>
      <c r="H27" s="429"/>
      <c r="I27" s="429"/>
      <c r="J27" s="429"/>
      <c r="K27" s="429"/>
      <c r="L27" s="429"/>
      <c r="M27" s="429"/>
      <c r="N27" s="429"/>
      <c r="O27" s="429"/>
      <c r="P27" s="429"/>
      <c r="Q27" s="429"/>
      <c r="R27" s="429"/>
      <c r="S27" s="429"/>
      <c r="T27" s="429"/>
      <c r="U27" s="429"/>
      <c r="V27" s="429"/>
      <c r="W27" s="429"/>
      <c r="X27" s="429"/>
      <c r="Y27" s="429"/>
      <c r="Z27" s="429"/>
      <c r="AA27" s="429"/>
      <c r="AB27" s="429"/>
      <c r="AC27" s="429"/>
      <c r="AD27" s="429"/>
      <c r="AE27" s="429"/>
      <c r="AF27" s="429"/>
      <c r="AG27" s="429"/>
      <c r="AH27" s="429"/>
      <c r="AI27" s="429"/>
      <c r="AJ27" s="429"/>
      <c r="AK27" s="429"/>
      <c r="AL27" s="429"/>
      <c r="AM27" s="429"/>
      <c r="AN27" s="429"/>
      <c r="AO27" s="429"/>
      <c r="AP27" s="429"/>
      <c r="AQ27" s="429"/>
      <c r="AR27" s="429"/>
      <c r="AS27" s="429"/>
      <c r="AT27" s="429"/>
      <c r="AU27" s="429"/>
      <c r="AV27" s="429"/>
      <c r="AW27" s="429"/>
      <c r="AX27" s="429"/>
      <c r="AY27" s="429"/>
      <c r="AZ27" s="610"/>
      <c r="BA27" s="429"/>
      <c r="BB27" s="429"/>
      <c r="BC27" s="429"/>
      <c r="BD27" s="429"/>
      <c r="BE27" s="610"/>
      <c r="BF27" s="429"/>
      <c r="BG27" s="429"/>
      <c r="BH27" s="429"/>
      <c r="BI27" s="429"/>
      <c r="BJ27" s="610"/>
      <c r="BK27" s="610"/>
      <c r="BL27" s="610"/>
      <c r="BM27" s="610"/>
      <c r="BN27" s="610"/>
      <c r="BO27" s="610"/>
      <c r="BP27" s="610"/>
      <c r="BQ27" s="610"/>
      <c r="BR27" s="610"/>
      <c r="BS27" s="610"/>
      <c r="BT27" s="610"/>
      <c r="BU27" s="610"/>
      <c r="BV27" s="610"/>
      <c r="BW27" s="610"/>
      <c r="BX27" s="610"/>
      <c r="BY27" s="610"/>
      <c r="BZ27" s="610"/>
      <c r="CA27" s="610"/>
      <c r="CB27" s="610"/>
      <c r="CC27" s="610"/>
      <c r="CD27" s="610"/>
      <c r="CE27" s="591"/>
    </row>
    <row r="28" spans="2:83">
      <c r="B28" s="615" t="s">
        <v>205</v>
      </c>
      <c r="C28" s="61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17"/>
      <c r="P28" s="617"/>
      <c r="Q28" s="617"/>
      <c r="R28" s="617"/>
      <c r="S28" s="617"/>
      <c r="T28" s="617"/>
      <c r="U28" s="617"/>
      <c r="V28" s="617"/>
      <c r="W28" s="617"/>
      <c r="X28" s="617"/>
      <c r="Y28" s="617"/>
      <c r="Z28" s="617"/>
      <c r="AA28" s="617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617"/>
      <c r="AX28" s="617"/>
      <c r="AY28" s="617"/>
      <c r="AZ28" s="616"/>
      <c r="BA28" s="617"/>
      <c r="BB28" s="617"/>
      <c r="BC28" s="617"/>
      <c r="BD28" s="617"/>
      <c r="BE28" s="616"/>
      <c r="BF28" s="617"/>
      <c r="BG28" s="617"/>
      <c r="BH28" s="617"/>
      <c r="BI28" s="617"/>
      <c r="BJ28" s="616"/>
      <c r="BK28" s="616"/>
      <c r="BL28" s="616"/>
      <c r="BM28" s="616"/>
      <c r="BN28" s="616"/>
      <c r="BO28" s="616"/>
      <c r="BP28" s="616"/>
      <c r="BQ28" s="616"/>
      <c r="BR28" s="616"/>
      <c r="BS28" s="616"/>
      <c r="BT28" s="616"/>
      <c r="BU28" s="616"/>
      <c r="BV28" s="616"/>
      <c r="BW28" s="616"/>
      <c r="BX28" s="616"/>
      <c r="BY28" s="616"/>
      <c r="BZ28" s="616"/>
      <c r="CA28" s="616"/>
      <c r="CB28" s="616"/>
      <c r="CC28" s="616"/>
      <c r="CD28" s="616"/>
      <c r="CE28" s="591"/>
    </row>
    <row r="29" spans="2:83">
      <c r="B29" s="592" t="s">
        <v>206</v>
      </c>
      <c r="C29" s="593">
        <v>0.35</v>
      </c>
      <c r="D29" s="429"/>
      <c r="E29" s="429"/>
      <c r="F29" s="429"/>
      <c r="G29" s="429"/>
      <c r="H29" s="429"/>
      <c r="I29" s="429"/>
      <c r="J29" s="429"/>
      <c r="K29" s="429"/>
      <c r="L29" s="429"/>
      <c r="M29" s="429"/>
      <c r="N29" s="429"/>
      <c r="O29" s="429"/>
      <c r="P29" s="429"/>
      <c r="Q29" s="429"/>
      <c r="R29" s="429"/>
      <c r="S29" s="429"/>
      <c r="T29" s="429"/>
      <c r="U29" s="429"/>
      <c r="V29" s="429"/>
      <c r="W29" s="429"/>
      <c r="X29" s="429"/>
      <c r="Y29" s="429"/>
      <c r="Z29" s="429"/>
      <c r="AA29" s="429"/>
      <c r="AB29" s="429"/>
      <c r="AC29" s="429"/>
      <c r="AD29" s="429"/>
      <c r="AE29" s="429"/>
      <c r="AF29" s="429"/>
      <c r="AG29" s="429"/>
      <c r="AH29" s="429"/>
      <c r="AI29" s="429"/>
      <c r="AJ29" s="429"/>
      <c r="AK29" s="429"/>
      <c r="AL29" s="429"/>
      <c r="AM29" s="429"/>
      <c r="AN29" s="429"/>
      <c r="AO29" s="429"/>
      <c r="AP29" s="429"/>
      <c r="AQ29" s="429"/>
      <c r="AR29" s="429"/>
      <c r="AS29" s="429"/>
      <c r="AT29" s="429"/>
      <c r="AU29" s="429"/>
      <c r="AV29" s="594">
        <f>AVERAGE($AY$73:$AY$136)</f>
        <v>2.8548437499999996E-2</v>
      </c>
      <c r="AW29" s="594">
        <f>AVERAGE($AY$137:$AY$197)</f>
        <v>2.8560983606557375E-2</v>
      </c>
      <c r="AX29" s="594">
        <f>AVERAGE($AY$198:$AY$263)</f>
        <v>2.7782575757575756E-2</v>
      </c>
      <c r="AY29" s="594">
        <f>AVERAGE($AY$264:$AY$328)</f>
        <v>2.1653384615384606E-2</v>
      </c>
      <c r="AZ29" s="595">
        <f>AVERAGE(AV29:AY29)</f>
        <v>2.6636345369879431E-2</v>
      </c>
      <c r="BA29" s="594">
        <f>AVERAGE($AY$329:$AY$390)</f>
        <v>1.5943064516129028E-2</v>
      </c>
      <c r="BB29" s="594">
        <f>AVERAGE($AY$391:$AY$454)</f>
        <v>1.8933749999999996E-2</v>
      </c>
      <c r="BC29" s="594">
        <f>AVERAGE($AY$455:$AY$528)</f>
        <v>1.6119324324324325E-2</v>
      </c>
      <c r="BD29" s="594" t="e">
        <f ca="1">_xll.BDP("rubusd curncy","px_last")</f>
        <v>#NAME?</v>
      </c>
      <c r="BE29" s="595" t="e">
        <f ca="1">AVERAGE(BA29:BD29)</f>
        <v>#NAME?</v>
      </c>
      <c r="BF29" s="594" t="e">
        <f ca="1">_xll.BDP("rubusd curncy","px_last")</f>
        <v>#NAME?</v>
      </c>
      <c r="BG29" s="594" t="e">
        <f ca="1">_xll.BDP("rubusd curncy","px_last")</f>
        <v>#NAME?</v>
      </c>
      <c r="BH29" s="594" t="e">
        <f ca="1">_xll.BDP("rubusd curncy","px_last")</f>
        <v>#NAME?</v>
      </c>
      <c r="BI29" s="594" t="e">
        <f ca="1">_xll.BDP("rubusd curncy","px_last")</f>
        <v>#NAME?</v>
      </c>
      <c r="BJ29" s="595" t="e">
        <f ca="1">_xll.BDP("rubusd curncy","px_last")</f>
        <v>#NAME?</v>
      </c>
      <c r="BK29" s="332"/>
      <c r="BL29" s="332"/>
      <c r="BM29" s="332"/>
      <c r="BN29" s="332"/>
      <c r="BO29" s="332"/>
      <c r="BP29" s="332"/>
      <c r="BQ29" s="332"/>
      <c r="BR29" s="332"/>
      <c r="BS29" s="332"/>
      <c r="BT29" s="332"/>
      <c r="BU29" s="332"/>
      <c r="BV29" s="332"/>
      <c r="BW29" s="332"/>
      <c r="BX29" s="332"/>
      <c r="BY29" s="332"/>
      <c r="BZ29" s="332"/>
      <c r="CA29" s="332"/>
      <c r="CB29" s="332"/>
      <c r="CC29" s="332"/>
      <c r="CD29" s="332"/>
      <c r="CE29" s="591"/>
    </row>
    <row r="30" spans="2:83">
      <c r="B30" s="596" t="s">
        <v>198</v>
      </c>
      <c r="C30" s="618"/>
      <c r="D30" s="429"/>
      <c r="E30" s="429"/>
      <c r="F30" s="429"/>
      <c r="G30" s="429"/>
      <c r="H30" s="429"/>
      <c r="I30" s="429"/>
      <c r="J30" s="429"/>
      <c r="K30" s="429"/>
      <c r="L30" s="429"/>
      <c r="M30" s="429"/>
      <c r="N30" s="429"/>
      <c r="O30" s="429"/>
      <c r="P30" s="429"/>
      <c r="Q30" s="429"/>
      <c r="R30" s="429"/>
      <c r="S30" s="429"/>
      <c r="T30" s="429"/>
      <c r="U30" s="429"/>
      <c r="V30" s="429"/>
      <c r="W30" s="429"/>
      <c r="X30" s="429"/>
      <c r="Y30" s="429"/>
      <c r="Z30" s="429"/>
      <c r="AA30" s="429"/>
      <c r="AB30" s="429"/>
      <c r="AC30" s="429"/>
      <c r="AD30" s="429"/>
      <c r="AE30" s="429"/>
      <c r="AF30" s="429"/>
      <c r="AG30" s="429"/>
      <c r="AH30" s="429"/>
      <c r="AI30" s="429"/>
      <c r="AJ30" s="429"/>
      <c r="AK30" s="429"/>
      <c r="AL30" s="429"/>
      <c r="AM30" s="429"/>
      <c r="AN30" s="429"/>
      <c r="AO30" s="429"/>
      <c r="AP30" s="429"/>
      <c r="AQ30" s="429"/>
      <c r="AR30" s="429"/>
      <c r="AS30" s="429"/>
      <c r="AT30" s="429"/>
      <c r="AU30" s="332"/>
      <c r="AV30" s="429"/>
      <c r="AW30" s="429"/>
      <c r="AX30" s="429"/>
      <c r="AY30" s="429"/>
      <c r="AZ30" s="605"/>
      <c r="BA30" s="599">
        <f t="shared" ref="BA30:BJ30" si="11">BA29/AV29-1</f>
        <v>-0.44154335885706419</v>
      </c>
      <c r="BB30" s="599">
        <f t="shared" si="11"/>
        <v>-0.33707640252092175</v>
      </c>
      <c r="BC30" s="599">
        <f t="shared" si="11"/>
        <v>-0.4198045399037954</v>
      </c>
      <c r="BD30" s="599" t="e">
        <f t="shared" ca="1" si="11"/>
        <v>#NAME?</v>
      </c>
      <c r="BE30" s="600" t="e">
        <f t="shared" ca="1" si="11"/>
        <v>#NAME?</v>
      </c>
      <c r="BF30" s="599" t="e">
        <f t="shared" ca="1" si="11"/>
        <v>#NAME?</v>
      </c>
      <c r="BG30" s="599" t="e">
        <f t="shared" ca="1" si="11"/>
        <v>#NAME?</v>
      </c>
      <c r="BH30" s="599" t="e">
        <f t="shared" ca="1" si="11"/>
        <v>#NAME?</v>
      </c>
      <c r="BI30" s="599" t="e">
        <f t="shared" ca="1" si="11"/>
        <v>#NAME?</v>
      </c>
      <c r="BJ30" s="600" t="e">
        <f t="shared" ca="1" si="11"/>
        <v>#NAME?</v>
      </c>
      <c r="BK30" s="600"/>
      <c r="BL30" s="600"/>
      <c r="BM30" s="600"/>
      <c r="BN30" s="600"/>
      <c r="BO30" s="600"/>
      <c r="BP30" s="600"/>
      <c r="BQ30" s="600"/>
      <c r="BR30" s="600"/>
      <c r="BS30" s="600"/>
      <c r="BT30" s="600"/>
      <c r="BU30" s="600"/>
      <c r="BV30" s="600"/>
      <c r="BW30" s="600"/>
      <c r="BX30" s="600"/>
      <c r="BY30" s="600"/>
      <c r="BZ30" s="600"/>
      <c r="CA30" s="600"/>
      <c r="CB30" s="600"/>
      <c r="CC30" s="600"/>
      <c r="CD30" s="600"/>
      <c r="CE30" s="591"/>
    </row>
    <row r="31" spans="2:83">
      <c r="B31" s="592"/>
      <c r="C31" s="618"/>
      <c r="D31" s="429"/>
      <c r="E31" s="429"/>
      <c r="F31" s="429"/>
      <c r="G31" s="429"/>
      <c r="H31" s="429"/>
      <c r="I31" s="429"/>
      <c r="J31" s="429"/>
      <c r="K31" s="429"/>
      <c r="L31" s="429"/>
      <c r="M31" s="429"/>
      <c r="N31" s="429"/>
      <c r="O31" s="429"/>
      <c r="P31" s="429"/>
      <c r="Q31" s="429"/>
      <c r="R31" s="429"/>
      <c r="S31" s="429"/>
      <c r="T31" s="429"/>
      <c r="U31" s="429"/>
      <c r="V31" s="429"/>
      <c r="W31" s="429"/>
      <c r="X31" s="429"/>
      <c r="Y31" s="429"/>
      <c r="Z31" s="429"/>
      <c r="AA31" s="429"/>
      <c r="AB31" s="429"/>
      <c r="AC31" s="429"/>
      <c r="AD31" s="429"/>
      <c r="AE31" s="429"/>
      <c r="AF31" s="429"/>
      <c r="AG31" s="429"/>
      <c r="AH31" s="429"/>
      <c r="AI31" s="429"/>
      <c r="AJ31" s="429"/>
      <c r="AK31" s="429"/>
      <c r="AL31" s="429"/>
      <c r="AM31" s="429"/>
      <c r="AN31" s="429"/>
      <c r="AO31" s="429"/>
      <c r="AP31" s="429"/>
      <c r="AQ31" s="429"/>
      <c r="AR31" s="429"/>
      <c r="AS31" s="429"/>
      <c r="AT31" s="429"/>
      <c r="AU31" s="332"/>
      <c r="AV31" s="429"/>
      <c r="AW31" s="429"/>
      <c r="AX31" s="429"/>
      <c r="AY31" s="429"/>
      <c r="AZ31" s="311"/>
      <c r="BA31" s="429"/>
      <c r="BB31" s="429"/>
      <c r="BC31" s="429"/>
      <c r="BD31" s="429"/>
      <c r="BE31" s="311"/>
      <c r="BF31" s="429"/>
      <c r="BG31" s="429"/>
      <c r="BH31" s="429"/>
      <c r="BI31" s="429"/>
      <c r="BJ31" s="311"/>
      <c r="BK31" s="311"/>
      <c r="BL31" s="311"/>
      <c r="BM31" s="311"/>
      <c r="BN31" s="311"/>
      <c r="BO31" s="311"/>
      <c r="BP31" s="311"/>
      <c r="BQ31" s="311"/>
      <c r="BR31" s="311"/>
      <c r="BS31" s="311"/>
      <c r="BT31" s="311"/>
      <c r="BU31" s="311"/>
      <c r="BV31" s="311"/>
      <c r="BW31" s="311"/>
      <c r="BX31" s="311"/>
      <c r="BY31" s="311"/>
      <c r="BZ31" s="311"/>
      <c r="CA31" s="311"/>
      <c r="CB31" s="311"/>
      <c r="CC31" s="311"/>
      <c r="CD31" s="311"/>
      <c r="CE31" s="591"/>
    </row>
    <row r="32" spans="2:83">
      <c r="B32" s="592" t="s">
        <v>207</v>
      </c>
      <c r="C32" s="593">
        <v>0.35</v>
      </c>
      <c r="D32" s="429"/>
      <c r="E32" s="429"/>
      <c r="F32" s="429"/>
      <c r="G32" s="429"/>
      <c r="H32" s="429"/>
      <c r="I32" s="429"/>
      <c r="J32" s="429"/>
      <c r="K32" s="429"/>
      <c r="L32" s="429"/>
      <c r="M32" s="429"/>
      <c r="N32" s="429"/>
      <c r="O32" s="429"/>
      <c r="P32" s="429"/>
      <c r="Q32" s="429"/>
      <c r="R32" s="429"/>
      <c r="S32" s="429"/>
      <c r="T32" s="429"/>
      <c r="U32" s="429"/>
      <c r="V32" s="429"/>
      <c r="W32" s="429"/>
      <c r="X32" s="429"/>
      <c r="Y32" s="429"/>
      <c r="Z32" s="429"/>
      <c r="AA32" s="429"/>
      <c r="AB32" s="429"/>
      <c r="AC32" s="429"/>
      <c r="AD32" s="429"/>
      <c r="AE32" s="429"/>
      <c r="AF32" s="429"/>
      <c r="AG32" s="429"/>
      <c r="AH32" s="429"/>
      <c r="AI32" s="429"/>
      <c r="AJ32" s="429"/>
      <c r="AK32" s="429"/>
      <c r="AL32" s="429"/>
      <c r="AM32" s="429"/>
      <c r="AN32" s="429"/>
      <c r="AO32" s="429"/>
      <c r="AP32" s="429"/>
      <c r="AQ32" s="429"/>
      <c r="AR32" s="429"/>
      <c r="AS32" s="429"/>
      <c r="AT32" s="429"/>
      <c r="AU32" s="429"/>
      <c r="AV32" s="594">
        <f>AVERAGE($BC$73:$BC$136)</f>
        <v>0.32759843749999984</v>
      </c>
      <c r="AW32" s="594">
        <f>AVERAGE($BC$137:$BC$197)</f>
        <v>0.32925081967213121</v>
      </c>
      <c r="AX32" s="594">
        <f>AVERAGE($BC$198:$BC$263)</f>
        <v>0.31860000000000011</v>
      </c>
      <c r="AY32" s="594">
        <f>AVERAGE($BC$264:$BC$328)</f>
        <v>0.29744461538461531</v>
      </c>
      <c r="AZ32" s="595">
        <f>AVERAGE(AV32:AY32)</f>
        <v>0.31822346813918662</v>
      </c>
      <c r="BA32" s="594">
        <f>AVERAGE($BC$329:$BC$390)</f>
        <v>0.26989193548387097</v>
      </c>
      <c r="BB32" s="594">
        <f>AVERAGE($BC$391:$BC$454)</f>
        <v>0.27057968750000005</v>
      </c>
      <c r="BC32" s="594">
        <f>AVERAGE($BC$455:$BC$528)</f>
        <v>0.26574864864864867</v>
      </c>
      <c r="BD32" s="594" t="e">
        <f ca="1">_xll.BDP("plnusd curncy","px_last")</f>
        <v>#NAME?</v>
      </c>
      <c r="BE32" s="595" t="e">
        <f ca="1">AVERAGE(BA32:BD32)</f>
        <v>#NAME?</v>
      </c>
      <c r="BF32" s="594" t="e">
        <f ca="1">_xll.BDP("plnusd curncy","px_last")</f>
        <v>#NAME?</v>
      </c>
      <c r="BG32" s="594" t="e">
        <f ca="1">_xll.BDP("plnusd curncy","px_last")</f>
        <v>#NAME?</v>
      </c>
      <c r="BH32" s="594" t="e">
        <f ca="1">_xll.BDP("plnusd curncy","px_last")</f>
        <v>#NAME?</v>
      </c>
      <c r="BI32" s="594" t="e">
        <f ca="1">_xll.BDP("plnusd curncy","px_last")</f>
        <v>#NAME?</v>
      </c>
      <c r="BJ32" s="595" t="e">
        <f ca="1">_xll.BDP("plnusd curncy","px_last")</f>
        <v>#NAME?</v>
      </c>
      <c r="BK32" s="311"/>
      <c r="BL32" s="311"/>
      <c r="BM32" s="311"/>
      <c r="BN32" s="311"/>
      <c r="BO32" s="311"/>
      <c r="BP32" s="311"/>
      <c r="BQ32" s="311"/>
      <c r="BR32" s="311"/>
      <c r="BS32" s="311"/>
      <c r="BT32" s="311"/>
      <c r="BU32" s="311"/>
      <c r="BV32" s="311"/>
      <c r="BW32" s="311"/>
      <c r="BX32" s="311"/>
      <c r="BY32" s="311"/>
      <c r="BZ32" s="311"/>
      <c r="CA32" s="311"/>
      <c r="CB32" s="311"/>
      <c r="CC32" s="311"/>
      <c r="CD32" s="311"/>
      <c r="CE32" s="591"/>
    </row>
    <row r="33" spans="2:83">
      <c r="B33" s="596" t="s">
        <v>198</v>
      </c>
      <c r="C33" s="618"/>
      <c r="D33" s="429"/>
      <c r="E33" s="429"/>
      <c r="F33" s="429"/>
      <c r="G33" s="429"/>
      <c r="H33" s="429"/>
      <c r="I33" s="429"/>
      <c r="J33" s="429"/>
      <c r="K33" s="429"/>
      <c r="L33" s="429"/>
      <c r="M33" s="429"/>
      <c r="N33" s="429"/>
      <c r="O33" s="429"/>
      <c r="P33" s="429"/>
      <c r="Q33" s="429"/>
      <c r="R33" s="429"/>
      <c r="S33" s="429"/>
      <c r="T33" s="429"/>
      <c r="U33" s="429"/>
      <c r="V33" s="429"/>
      <c r="W33" s="429"/>
      <c r="X33" s="429"/>
      <c r="Y33" s="429"/>
      <c r="Z33" s="429"/>
      <c r="AA33" s="429"/>
      <c r="AB33" s="429"/>
      <c r="AC33" s="429"/>
      <c r="AD33" s="429"/>
      <c r="AE33" s="429"/>
      <c r="AF33" s="429"/>
      <c r="AG33" s="429"/>
      <c r="AH33" s="429"/>
      <c r="AI33" s="429"/>
      <c r="AJ33" s="429"/>
      <c r="AK33" s="429"/>
      <c r="AL33" s="429"/>
      <c r="AM33" s="429"/>
      <c r="AN33" s="429"/>
      <c r="AO33" s="429"/>
      <c r="AP33" s="429"/>
      <c r="AQ33" s="429"/>
      <c r="AR33" s="429"/>
      <c r="AS33" s="429"/>
      <c r="AT33" s="429"/>
      <c r="AU33" s="429"/>
      <c r="AV33" s="429"/>
      <c r="AW33" s="429"/>
      <c r="AX33" s="429"/>
      <c r="AY33" s="429"/>
      <c r="AZ33" s="605"/>
      <c r="BA33" s="599">
        <f t="shared" ref="BA33:BJ33" si="12">BA32/AV32-1</f>
        <v>-0.17615011370781919</v>
      </c>
      <c r="BB33" s="599">
        <f t="shared" si="12"/>
        <v>-0.17819585758527801</v>
      </c>
      <c r="BC33" s="599">
        <f t="shared" si="12"/>
        <v>-0.16588622520825935</v>
      </c>
      <c r="BD33" s="599" t="e">
        <f t="shared" ca="1" si="12"/>
        <v>#NAME?</v>
      </c>
      <c r="BE33" s="600" t="e">
        <f t="shared" ca="1" si="12"/>
        <v>#NAME?</v>
      </c>
      <c r="BF33" s="599" t="e">
        <f t="shared" ca="1" si="12"/>
        <v>#NAME?</v>
      </c>
      <c r="BG33" s="599" t="e">
        <f t="shared" ca="1" si="12"/>
        <v>#NAME?</v>
      </c>
      <c r="BH33" s="599" t="e">
        <f t="shared" ca="1" si="12"/>
        <v>#NAME?</v>
      </c>
      <c r="BI33" s="599" t="e">
        <f t="shared" ca="1" si="12"/>
        <v>#NAME?</v>
      </c>
      <c r="BJ33" s="600" t="e">
        <f t="shared" ca="1" si="12"/>
        <v>#NAME?</v>
      </c>
      <c r="BK33" s="311"/>
      <c r="BL33" s="311"/>
      <c r="BM33" s="311"/>
      <c r="BN33" s="311"/>
      <c r="BO33" s="311"/>
      <c r="BP33" s="311"/>
      <c r="BQ33" s="311"/>
      <c r="BR33" s="311"/>
      <c r="BS33" s="311"/>
      <c r="BT33" s="311"/>
      <c r="BU33" s="311"/>
      <c r="BV33" s="311"/>
      <c r="BW33" s="311"/>
      <c r="BX33" s="311"/>
      <c r="BY33" s="311"/>
      <c r="BZ33" s="311"/>
      <c r="CA33" s="311"/>
      <c r="CB33" s="311"/>
      <c r="CC33" s="311"/>
      <c r="CD33" s="311"/>
      <c r="CE33" s="591"/>
    </row>
    <row r="34" spans="2:83">
      <c r="B34" s="596"/>
      <c r="C34" s="610"/>
      <c r="D34" s="429"/>
      <c r="E34" s="429"/>
      <c r="F34" s="429"/>
      <c r="G34" s="429"/>
      <c r="H34" s="429"/>
      <c r="I34" s="429"/>
      <c r="J34" s="429"/>
      <c r="K34" s="429"/>
      <c r="L34" s="429"/>
      <c r="M34" s="429"/>
      <c r="N34" s="429"/>
      <c r="O34" s="429"/>
      <c r="P34" s="429"/>
      <c r="Q34" s="429"/>
      <c r="R34" s="429"/>
      <c r="S34" s="429"/>
      <c r="T34" s="429"/>
      <c r="U34" s="429"/>
      <c r="V34" s="429"/>
      <c r="W34" s="429"/>
      <c r="X34" s="429"/>
      <c r="Y34" s="429"/>
      <c r="Z34" s="429"/>
      <c r="AA34" s="429"/>
      <c r="AB34" s="429"/>
      <c r="AC34" s="429"/>
      <c r="AD34" s="429"/>
      <c r="AE34" s="429"/>
      <c r="AF34" s="429"/>
      <c r="AG34" s="429"/>
      <c r="AH34" s="429"/>
      <c r="AI34" s="429"/>
      <c r="AJ34" s="429"/>
      <c r="AK34" s="429"/>
      <c r="AL34" s="429"/>
      <c r="AM34" s="429"/>
      <c r="AN34" s="429"/>
      <c r="AO34" s="429"/>
      <c r="AP34" s="429"/>
      <c r="AQ34" s="429"/>
      <c r="AR34" s="429"/>
      <c r="AS34" s="429"/>
      <c r="AT34" s="429"/>
      <c r="AU34" s="429"/>
      <c r="AV34" s="429"/>
      <c r="AW34" s="429"/>
      <c r="AX34" s="429"/>
      <c r="AY34" s="429"/>
      <c r="AZ34" s="311"/>
      <c r="BA34" s="429"/>
      <c r="BB34" s="429"/>
      <c r="BC34" s="429"/>
      <c r="BD34" s="429"/>
      <c r="BE34" s="311"/>
      <c r="BF34" s="429"/>
      <c r="BG34" s="429"/>
      <c r="BH34" s="429"/>
      <c r="BI34" s="429"/>
      <c r="BJ34" s="311"/>
      <c r="BK34" s="311"/>
      <c r="BL34" s="311"/>
      <c r="BM34" s="311"/>
      <c r="BN34" s="311"/>
      <c r="BO34" s="311"/>
      <c r="BP34" s="311"/>
      <c r="BQ34" s="311"/>
      <c r="BR34" s="311"/>
      <c r="BS34" s="311"/>
      <c r="BT34" s="311"/>
      <c r="BU34" s="311"/>
      <c r="BV34" s="311"/>
      <c r="BW34" s="311"/>
      <c r="BX34" s="311"/>
      <c r="BY34" s="311"/>
      <c r="BZ34" s="311"/>
      <c r="CA34" s="311"/>
      <c r="CB34" s="311"/>
      <c r="CC34" s="311"/>
      <c r="CD34" s="311"/>
      <c r="CE34" s="591"/>
    </row>
    <row r="35" spans="2:83">
      <c r="B35" s="592" t="s">
        <v>208</v>
      </c>
      <c r="C35" s="593">
        <v>0.3</v>
      </c>
      <c r="D35" s="429"/>
      <c r="E35" s="429"/>
      <c r="F35" s="429"/>
      <c r="G35" s="429"/>
      <c r="H35" s="429"/>
      <c r="I35" s="429"/>
      <c r="J35" s="429"/>
      <c r="K35" s="429"/>
      <c r="L35" s="429"/>
      <c r="M35" s="429"/>
      <c r="N35" s="429"/>
      <c r="O35" s="429"/>
      <c r="P35" s="429"/>
      <c r="Q35" s="429"/>
      <c r="R35" s="429"/>
      <c r="S35" s="429"/>
      <c r="T35" s="429"/>
      <c r="U35" s="429"/>
      <c r="V35" s="429"/>
      <c r="W35" s="429"/>
      <c r="X35" s="429"/>
      <c r="Y35" s="429"/>
      <c r="Z35" s="429"/>
      <c r="AA35" s="429"/>
      <c r="AB35" s="429"/>
      <c r="AC35" s="429"/>
      <c r="AD35" s="429"/>
      <c r="AE35" s="429"/>
      <c r="AF35" s="429"/>
      <c r="AG35" s="429"/>
      <c r="AH35" s="429"/>
      <c r="AI35" s="429"/>
      <c r="AJ35" s="429"/>
      <c r="AK35" s="429"/>
      <c r="AL35" s="429"/>
      <c r="AM35" s="429"/>
      <c r="AN35" s="429"/>
      <c r="AO35" s="429"/>
      <c r="AP35" s="429"/>
      <c r="AQ35" s="429"/>
      <c r="AR35" s="429"/>
      <c r="AS35" s="429"/>
      <c r="AT35" s="429"/>
      <c r="AU35" s="429"/>
      <c r="AV35" s="594">
        <f>AVERAGE($BA$73:$BA$136)</f>
        <v>1.1846875000000003E-2</v>
      </c>
      <c r="AW35" s="594">
        <f>AVERAGE($BA$137:$BA$197)</f>
        <v>1.1885245901639356E-2</v>
      </c>
      <c r="AX35" s="594">
        <f>AVERAGE($BA$198:$BA$263)</f>
        <v>1.1345454545454553E-2</v>
      </c>
      <c r="AY35" s="594">
        <f>AVERAGE($BA$264:$BA$328)</f>
        <v>1.0418461538461538E-2</v>
      </c>
      <c r="AZ35" s="595">
        <f>AVERAGE(AV35:AY35)</f>
        <v>1.1374009246388862E-2</v>
      </c>
      <c r="BA35" s="594">
        <f>AVERAGE($BA$329:$BA$390)</f>
        <v>9.3532258064516136E-3</v>
      </c>
      <c r="BB35" s="594">
        <f>AVERAGE($BA$391:$BA$454)</f>
        <v>9.1578124999999923E-3</v>
      </c>
      <c r="BC35" s="594">
        <f>AVERAGE($BA$455:$BA$528)</f>
        <v>9.2621621621621509E-3</v>
      </c>
      <c r="BD35" s="594" t="e">
        <f ca="1">_xll.BDP("rsdusd curncy","px_last")</f>
        <v>#NAME?</v>
      </c>
      <c r="BE35" s="595" t="e">
        <f ca="1">AVERAGE(BA35:BD35)</f>
        <v>#NAME?</v>
      </c>
      <c r="BF35" s="594" t="e">
        <f ca="1">_xll.BDP("rsdusd curncy","px_last")</f>
        <v>#NAME?</v>
      </c>
      <c r="BG35" s="594" t="e">
        <f ca="1">_xll.BDP("rsdusd curncy","px_last")</f>
        <v>#NAME?</v>
      </c>
      <c r="BH35" s="594" t="e">
        <f ca="1">_xll.BDP("rsdusd curncy","px_last")</f>
        <v>#NAME?</v>
      </c>
      <c r="BI35" s="594" t="e">
        <f ca="1">_xll.BDP("rsdusd curncy","px_last")</f>
        <v>#NAME?</v>
      </c>
      <c r="BJ35" s="595" t="e">
        <f ca="1">_xll.BDP("rsdusd curncy","px_last")</f>
        <v>#NAME?</v>
      </c>
      <c r="BK35" s="311"/>
      <c r="BL35" s="311"/>
      <c r="BM35" s="311"/>
      <c r="BN35" s="311"/>
      <c r="BO35" s="311"/>
      <c r="BP35" s="311"/>
      <c r="BQ35" s="311"/>
      <c r="BR35" s="311"/>
      <c r="BS35" s="311"/>
      <c r="BT35" s="311"/>
      <c r="BU35" s="311"/>
      <c r="BV35" s="311"/>
      <c r="BW35" s="311"/>
      <c r="BX35" s="311"/>
      <c r="BY35" s="311"/>
      <c r="BZ35" s="311"/>
      <c r="CA35" s="311"/>
      <c r="CB35" s="311"/>
      <c r="CC35" s="311"/>
      <c r="CD35" s="311"/>
      <c r="CE35" s="591"/>
    </row>
    <row r="36" spans="2:83">
      <c r="B36" s="596" t="s">
        <v>198</v>
      </c>
      <c r="C36" s="597"/>
      <c r="D36" s="429"/>
      <c r="E36" s="429"/>
      <c r="F36" s="429"/>
      <c r="G36" s="429"/>
      <c r="H36" s="429"/>
      <c r="I36" s="429"/>
      <c r="J36" s="429"/>
      <c r="K36" s="429"/>
      <c r="L36" s="429"/>
      <c r="M36" s="429"/>
      <c r="N36" s="429"/>
      <c r="O36" s="429"/>
      <c r="P36" s="429"/>
      <c r="Q36" s="429"/>
      <c r="R36" s="429"/>
      <c r="S36" s="429"/>
      <c r="T36" s="429"/>
      <c r="U36" s="429"/>
      <c r="V36" s="429"/>
      <c r="W36" s="429"/>
      <c r="X36" s="429"/>
      <c r="Y36" s="429"/>
      <c r="Z36" s="429"/>
      <c r="AA36" s="429"/>
      <c r="AB36" s="429"/>
      <c r="AC36" s="429"/>
      <c r="AD36" s="429"/>
      <c r="AE36" s="429"/>
      <c r="AF36" s="429"/>
      <c r="AG36" s="429"/>
      <c r="AH36" s="429"/>
      <c r="AI36" s="429"/>
      <c r="AJ36" s="429"/>
      <c r="AK36" s="429"/>
      <c r="AL36" s="429"/>
      <c r="AM36" s="429"/>
      <c r="AN36" s="429"/>
      <c r="AO36" s="429"/>
      <c r="AP36" s="429"/>
      <c r="AQ36" s="429"/>
      <c r="AR36" s="429"/>
      <c r="AS36" s="429"/>
      <c r="AT36" s="429"/>
      <c r="AU36" s="429"/>
      <c r="AV36" s="429"/>
      <c r="AW36" s="429"/>
      <c r="AX36" s="429"/>
      <c r="AY36" s="429"/>
      <c r="AZ36" s="605"/>
      <c r="BA36" s="599">
        <f t="shared" ref="BA36:BJ36" si="13">BA35/AV35-1</f>
        <v>-0.2104900400779437</v>
      </c>
      <c r="BB36" s="599">
        <f t="shared" si="13"/>
        <v>-0.22948060344827725</v>
      </c>
      <c r="BC36" s="599">
        <f t="shared" si="13"/>
        <v>-0.18362352737352894</v>
      </c>
      <c r="BD36" s="599" t="e">
        <f t="shared" ca="1" si="13"/>
        <v>#NAME?</v>
      </c>
      <c r="BE36" s="600" t="e">
        <f t="shared" ca="1" si="13"/>
        <v>#NAME?</v>
      </c>
      <c r="BF36" s="599" t="e">
        <f t="shared" ca="1" si="13"/>
        <v>#NAME?</v>
      </c>
      <c r="BG36" s="599" t="e">
        <f t="shared" ca="1" si="13"/>
        <v>#NAME?</v>
      </c>
      <c r="BH36" s="599" t="e">
        <f t="shared" ca="1" si="13"/>
        <v>#NAME?</v>
      </c>
      <c r="BI36" s="599" t="e">
        <f t="shared" ca="1" si="13"/>
        <v>#NAME?</v>
      </c>
      <c r="BJ36" s="600" t="e">
        <f t="shared" ca="1" si="13"/>
        <v>#NAME?</v>
      </c>
      <c r="BK36" s="311"/>
      <c r="BL36" s="311"/>
      <c r="BM36" s="311"/>
      <c r="BN36" s="311"/>
      <c r="BO36" s="311"/>
      <c r="BP36" s="311"/>
      <c r="BQ36" s="311"/>
      <c r="BR36" s="311"/>
      <c r="BS36" s="311"/>
      <c r="BT36" s="311"/>
      <c r="BU36" s="311"/>
      <c r="BV36" s="311"/>
      <c r="BW36" s="311"/>
      <c r="BX36" s="311"/>
      <c r="BY36" s="311"/>
      <c r="BZ36" s="311"/>
      <c r="CA36" s="311"/>
      <c r="CB36" s="311"/>
      <c r="CC36" s="311"/>
      <c r="CD36" s="311"/>
      <c r="CE36" s="591"/>
    </row>
    <row r="37" spans="2:83">
      <c r="B37" s="592"/>
      <c r="C37" s="597"/>
      <c r="D37" s="429"/>
      <c r="E37" s="429"/>
      <c r="F37" s="429"/>
      <c r="G37" s="429"/>
      <c r="H37" s="429"/>
      <c r="I37" s="429"/>
      <c r="J37" s="429"/>
      <c r="K37" s="429"/>
      <c r="L37" s="429"/>
      <c r="M37" s="429"/>
      <c r="N37" s="429"/>
      <c r="O37" s="429"/>
      <c r="P37" s="429"/>
      <c r="Q37" s="429"/>
      <c r="R37" s="429"/>
      <c r="S37" s="429"/>
      <c r="T37" s="429"/>
      <c r="U37" s="429"/>
      <c r="V37" s="429"/>
      <c r="W37" s="429"/>
      <c r="X37" s="429"/>
      <c r="Y37" s="429"/>
      <c r="Z37" s="429"/>
      <c r="AA37" s="429"/>
      <c r="AB37" s="429"/>
      <c r="AC37" s="429"/>
      <c r="AD37" s="429"/>
      <c r="AE37" s="429"/>
      <c r="AF37" s="429"/>
      <c r="AG37" s="429"/>
      <c r="AH37" s="429"/>
      <c r="AI37" s="429"/>
      <c r="AJ37" s="429"/>
      <c r="AK37" s="429"/>
      <c r="AL37" s="429"/>
      <c r="AM37" s="429"/>
      <c r="AN37" s="429"/>
      <c r="AO37" s="429"/>
      <c r="AP37" s="429"/>
      <c r="AQ37" s="429"/>
      <c r="AR37" s="429"/>
      <c r="AS37" s="429"/>
      <c r="AT37" s="429"/>
      <c r="AU37" s="429"/>
      <c r="AV37" s="429"/>
      <c r="AW37" s="429"/>
      <c r="AX37" s="429"/>
      <c r="AY37" s="429"/>
      <c r="AZ37" s="311"/>
      <c r="BA37" s="429"/>
      <c r="BB37" s="429"/>
      <c r="BC37" s="429"/>
      <c r="BD37" s="429"/>
      <c r="BE37" s="311"/>
      <c r="BF37" s="429"/>
      <c r="BG37" s="429"/>
      <c r="BH37" s="429"/>
      <c r="BI37" s="429"/>
      <c r="BJ37" s="311"/>
      <c r="BK37" s="311"/>
      <c r="BL37" s="311"/>
      <c r="BM37" s="311"/>
      <c r="BN37" s="311"/>
      <c r="BO37" s="311"/>
      <c r="BP37" s="311"/>
      <c r="BQ37" s="311"/>
      <c r="BR37" s="311"/>
      <c r="BS37" s="311"/>
      <c r="BT37" s="311"/>
      <c r="BU37" s="311"/>
      <c r="BV37" s="311"/>
      <c r="BW37" s="311"/>
      <c r="BX37" s="311"/>
      <c r="BY37" s="311"/>
      <c r="BZ37" s="311"/>
      <c r="CA37" s="311"/>
      <c r="CB37" s="311"/>
      <c r="CC37" s="311"/>
      <c r="CD37" s="311"/>
      <c r="CE37" s="591"/>
    </row>
    <row r="38" spans="2:83">
      <c r="B38" s="611" t="s">
        <v>203</v>
      </c>
      <c r="C38" s="612">
        <f>SUM(C29:C37)</f>
        <v>1</v>
      </c>
      <c r="D38" s="429"/>
      <c r="E38" s="429"/>
      <c r="F38" s="429"/>
      <c r="G38" s="429"/>
      <c r="H38" s="429"/>
      <c r="I38" s="429"/>
      <c r="J38" s="429"/>
      <c r="K38" s="429"/>
      <c r="L38" s="429"/>
      <c r="M38" s="429"/>
      <c r="N38" s="429"/>
      <c r="O38" s="429"/>
      <c r="P38" s="429"/>
      <c r="Q38" s="429"/>
      <c r="R38" s="429"/>
      <c r="S38" s="429"/>
      <c r="T38" s="429"/>
      <c r="U38" s="429"/>
      <c r="V38" s="429"/>
      <c r="W38" s="429"/>
      <c r="X38" s="429"/>
      <c r="Y38" s="429"/>
      <c r="Z38" s="429"/>
      <c r="AA38" s="429"/>
      <c r="AB38" s="429"/>
      <c r="AC38" s="429"/>
      <c r="AD38" s="429"/>
      <c r="AE38" s="429"/>
      <c r="AF38" s="429"/>
      <c r="AG38" s="429"/>
      <c r="AH38" s="429"/>
      <c r="AI38" s="429"/>
      <c r="AJ38" s="429"/>
      <c r="AK38" s="429"/>
      <c r="AL38" s="429"/>
      <c r="AM38" s="429"/>
      <c r="AN38" s="429"/>
      <c r="AO38" s="429"/>
      <c r="AP38" s="429"/>
      <c r="AQ38" s="429"/>
      <c r="AR38" s="429"/>
      <c r="AS38" s="429"/>
      <c r="AT38" s="429"/>
      <c r="AU38" s="429"/>
      <c r="AV38" s="429"/>
      <c r="AW38" s="429"/>
      <c r="AX38" s="429"/>
      <c r="AY38" s="429"/>
      <c r="AZ38" s="602"/>
      <c r="BA38" s="613">
        <f>$C$29*BA30+$C$35*BA36+$C$32*BA33</f>
        <v>-0.27933972742109225</v>
      </c>
      <c r="BB38" s="613">
        <f>$C$29*BB30+$C$35*BB36+$C$32*BB33</f>
        <v>-0.24918947207165307</v>
      </c>
      <c r="BC38" s="613">
        <f>$C$29*BC30+$C$35*BC36+$C$32*BC33</f>
        <v>-0.2600788260012778</v>
      </c>
      <c r="BD38" s="613" t="e">
        <f ca="1">$C$29*BD30+$C$35*BD36+$C$32*BD33</f>
        <v>#NAME?</v>
      </c>
      <c r="BE38" s="619" t="e">
        <f ca="1">$C$29*BE30+$C$35*BE36+$C$32*BE33</f>
        <v>#NAME?</v>
      </c>
      <c r="BF38" s="613" t="e">
        <f t="shared" ref="BF38:BI38" ca="1" si="14">$C$29*BF30+$C$35*BF36+$C$32*BF33</f>
        <v>#NAME?</v>
      </c>
      <c r="BG38" s="613" t="e">
        <f t="shared" ca="1" si="14"/>
        <v>#NAME?</v>
      </c>
      <c r="BH38" s="613" t="e">
        <f t="shared" ca="1" si="14"/>
        <v>#NAME?</v>
      </c>
      <c r="BI38" s="613" t="e">
        <f t="shared" ca="1" si="14"/>
        <v>#NAME?</v>
      </c>
      <c r="BJ38" s="619" t="e">
        <f ca="1">$C$29*BJ30+$C$35*BJ36+$C$32*BJ33</f>
        <v>#NAME?</v>
      </c>
      <c r="BK38" s="602"/>
      <c r="BL38" s="602"/>
      <c r="BM38" s="602"/>
      <c r="BN38" s="602"/>
      <c r="BO38" s="602"/>
      <c r="BP38" s="602"/>
      <c r="BQ38" s="602"/>
      <c r="BR38" s="602"/>
      <c r="BS38" s="602"/>
      <c r="BT38" s="602"/>
      <c r="BU38" s="602"/>
      <c r="BV38" s="602"/>
      <c r="BW38" s="602"/>
      <c r="BX38" s="602"/>
      <c r="BY38" s="602"/>
      <c r="BZ38" s="602"/>
      <c r="CA38" s="602"/>
      <c r="CB38" s="602"/>
      <c r="CC38" s="602"/>
      <c r="CD38" s="602"/>
      <c r="CE38" s="591"/>
    </row>
    <row r="39" spans="2:83">
      <c r="B39" s="611" t="s">
        <v>204</v>
      </c>
      <c r="C39" s="610"/>
      <c r="D39" s="429"/>
      <c r="E39" s="429"/>
      <c r="F39" s="429"/>
      <c r="G39" s="429"/>
      <c r="H39" s="429"/>
      <c r="I39" s="429"/>
      <c r="J39" s="429"/>
      <c r="K39" s="429"/>
      <c r="L39" s="429"/>
      <c r="M39" s="429"/>
      <c r="N39" s="429"/>
      <c r="O39" s="429"/>
      <c r="P39" s="429"/>
      <c r="Q39" s="429"/>
      <c r="R39" s="429"/>
      <c r="S39" s="429"/>
      <c r="T39" s="429"/>
      <c r="U39" s="429"/>
      <c r="V39" s="429"/>
      <c r="W39" s="429"/>
      <c r="X39" s="429"/>
      <c r="Y39" s="429"/>
      <c r="Z39" s="429"/>
      <c r="AA39" s="429"/>
      <c r="AB39" s="429"/>
      <c r="AC39" s="429"/>
      <c r="AD39" s="429"/>
      <c r="AE39" s="429"/>
      <c r="AF39" s="429"/>
      <c r="AG39" s="429"/>
      <c r="AH39" s="429"/>
      <c r="AI39" s="429"/>
      <c r="AJ39" s="429"/>
      <c r="AK39" s="429"/>
      <c r="AL39" s="429"/>
      <c r="AM39" s="429"/>
      <c r="AN39" s="429"/>
      <c r="AO39" s="429"/>
      <c r="AP39" s="429"/>
      <c r="AQ39" s="429"/>
      <c r="AR39" s="429"/>
      <c r="AS39" s="429"/>
      <c r="AT39" s="429"/>
      <c r="AU39" s="429"/>
      <c r="AV39" s="429"/>
      <c r="AW39" s="429"/>
      <c r="AX39" s="429"/>
      <c r="AY39" s="429"/>
      <c r="AZ39" s="311"/>
      <c r="BA39" s="599">
        <f>Sales!BA127</f>
        <v>-0.24126856684062625</v>
      </c>
      <c r="BB39" s="599">
        <f>Sales!BB127</f>
        <v>-0.23207606973058634</v>
      </c>
      <c r="BC39" s="599">
        <f>Sales!BC127</f>
        <v>-0.21889498970487298</v>
      </c>
      <c r="BD39" s="429"/>
      <c r="BE39" s="311"/>
      <c r="BF39" s="54"/>
      <c r="BG39" s="54"/>
      <c r="BH39" s="54"/>
      <c r="BI39" s="54"/>
      <c r="BJ39" s="311"/>
      <c r="BK39" s="311"/>
      <c r="BL39" s="311"/>
      <c r="BM39" s="311"/>
      <c r="BN39" s="311"/>
      <c r="BO39" s="311"/>
      <c r="BP39" s="311"/>
      <c r="BQ39" s="311"/>
      <c r="BR39" s="311"/>
      <c r="BS39" s="311"/>
      <c r="BT39" s="311"/>
      <c r="BU39" s="311"/>
      <c r="BV39" s="311"/>
      <c r="BW39" s="311"/>
      <c r="BX39" s="311"/>
      <c r="BY39" s="311"/>
      <c r="BZ39" s="311"/>
      <c r="CA39" s="311"/>
      <c r="CB39" s="311"/>
      <c r="CC39" s="311"/>
      <c r="CD39" s="311"/>
      <c r="CE39" s="591"/>
    </row>
    <row r="40" spans="2:83">
      <c r="B40" s="611"/>
      <c r="C40" s="610"/>
      <c r="D40" s="429"/>
      <c r="E40" s="429"/>
      <c r="F40" s="429"/>
      <c r="G40" s="429"/>
      <c r="H40" s="429"/>
      <c r="I40" s="429"/>
      <c r="J40" s="429"/>
      <c r="K40" s="429"/>
      <c r="L40" s="429"/>
      <c r="M40" s="429"/>
      <c r="N40" s="429"/>
      <c r="O40" s="429"/>
      <c r="P40" s="429"/>
      <c r="Q40" s="429"/>
      <c r="R40" s="429"/>
      <c r="S40" s="429"/>
      <c r="T40" s="429"/>
      <c r="U40" s="429"/>
      <c r="V40" s="429"/>
      <c r="W40" s="429"/>
      <c r="X40" s="429"/>
      <c r="Y40" s="429"/>
      <c r="Z40" s="429"/>
      <c r="AA40" s="429"/>
      <c r="AB40" s="429"/>
      <c r="AC40" s="429"/>
      <c r="AD40" s="429"/>
      <c r="AE40" s="429"/>
      <c r="AF40" s="429"/>
      <c r="AG40" s="429"/>
      <c r="AH40" s="429"/>
      <c r="AI40" s="429"/>
      <c r="AJ40" s="429"/>
      <c r="AK40" s="429"/>
      <c r="AL40" s="429"/>
      <c r="AM40" s="429"/>
      <c r="AN40" s="429"/>
      <c r="AO40" s="429"/>
      <c r="AP40" s="429"/>
      <c r="AQ40" s="429"/>
      <c r="AR40" s="429"/>
      <c r="AS40" s="429"/>
      <c r="AT40" s="429"/>
      <c r="AU40" s="429"/>
      <c r="AV40" s="429"/>
      <c r="AW40" s="429"/>
      <c r="AX40" s="429"/>
      <c r="AY40" s="429"/>
      <c r="AZ40" s="311"/>
      <c r="BA40" s="429"/>
      <c r="BB40" s="429"/>
      <c r="BC40" s="429"/>
      <c r="BD40" s="429"/>
      <c r="BE40" s="311"/>
      <c r="BF40" s="54"/>
      <c r="BG40" s="54"/>
      <c r="BH40" s="54"/>
      <c r="BI40" s="54"/>
      <c r="BJ40" s="311"/>
      <c r="BK40" s="311"/>
      <c r="BL40" s="311"/>
      <c r="BM40" s="311"/>
      <c r="BN40" s="311"/>
      <c r="BO40" s="311"/>
      <c r="BP40" s="311"/>
      <c r="BQ40" s="311"/>
      <c r="BR40" s="311"/>
      <c r="BS40" s="311"/>
      <c r="BT40" s="311"/>
      <c r="BU40" s="311"/>
      <c r="BV40" s="311"/>
      <c r="BW40" s="311"/>
      <c r="BX40" s="311"/>
      <c r="BY40" s="311"/>
      <c r="BZ40" s="311"/>
      <c r="CA40" s="311"/>
      <c r="CB40" s="311"/>
      <c r="CC40" s="311"/>
      <c r="CD40" s="311"/>
      <c r="CE40" s="591"/>
    </row>
    <row r="41" spans="2:83">
      <c r="B41" s="615" t="s">
        <v>209</v>
      </c>
      <c r="C41" s="616"/>
      <c r="D41" s="617"/>
      <c r="E41" s="617"/>
      <c r="F41" s="617"/>
      <c r="G41" s="617"/>
      <c r="H41" s="617"/>
      <c r="I41" s="617"/>
      <c r="J41" s="617"/>
      <c r="K41" s="617"/>
      <c r="L41" s="617"/>
      <c r="M41" s="617"/>
      <c r="N41" s="617"/>
      <c r="O41" s="617"/>
      <c r="P41" s="617"/>
      <c r="Q41" s="617"/>
      <c r="R41" s="617"/>
      <c r="S41" s="617"/>
      <c r="T41" s="617"/>
      <c r="U41" s="617"/>
      <c r="V41" s="617"/>
      <c r="W41" s="617"/>
      <c r="X41" s="617"/>
      <c r="Y41" s="617"/>
      <c r="Z41" s="617"/>
      <c r="AA41" s="617"/>
      <c r="AB41" s="617"/>
      <c r="AC41" s="617"/>
      <c r="AD41" s="617"/>
      <c r="AE41" s="617"/>
      <c r="AF41" s="617"/>
      <c r="AG41" s="617"/>
      <c r="AH41" s="617"/>
      <c r="AI41" s="617"/>
      <c r="AJ41" s="617"/>
      <c r="AK41" s="617"/>
      <c r="AL41" s="617"/>
      <c r="AM41" s="617"/>
      <c r="AN41" s="617"/>
      <c r="AO41" s="617"/>
      <c r="AP41" s="617"/>
      <c r="AQ41" s="617"/>
      <c r="AR41" s="617"/>
      <c r="AS41" s="617"/>
      <c r="AT41" s="617"/>
      <c r="AU41" s="617"/>
      <c r="AV41" s="617"/>
      <c r="AW41" s="617"/>
      <c r="AX41" s="617"/>
      <c r="AY41" s="617"/>
      <c r="AZ41" s="616"/>
      <c r="BA41" s="617"/>
      <c r="BB41" s="617"/>
      <c r="BC41" s="617"/>
      <c r="BD41" s="617"/>
      <c r="BE41" s="616"/>
      <c r="BF41" s="617"/>
      <c r="BG41" s="617"/>
      <c r="BH41" s="617"/>
      <c r="BI41" s="617"/>
      <c r="BJ41" s="616"/>
      <c r="BK41" s="616"/>
      <c r="BL41" s="616"/>
      <c r="BM41" s="616"/>
      <c r="BN41" s="616"/>
      <c r="BO41" s="616"/>
      <c r="BP41" s="616"/>
      <c r="BQ41" s="616"/>
      <c r="BR41" s="616"/>
      <c r="BS41" s="616"/>
      <c r="BT41" s="616"/>
      <c r="BU41" s="616"/>
      <c r="BV41" s="616"/>
      <c r="BW41" s="616"/>
      <c r="BX41" s="616"/>
      <c r="BY41" s="616"/>
      <c r="BZ41" s="616"/>
      <c r="CA41" s="616"/>
      <c r="CB41" s="616"/>
      <c r="CC41" s="616"/>
      <c r="CD41" s="616"/>
      <c r="CE41" s="591"/>
    </row>
    <row r="42" spans="2:83">
      <c r="B42" s="592" t="s">
        <v>210</v>
      </c>
      <c r="C42" s="593">
        <v>0.5</v>
      </c>
      <c r="D42" s="429"/>
      <c r="E42" s="429"/>
      <c r="F42" s="429"/>
      <c r="G42" s="429"/>
      <c r="H42" s="429"/>
      <c r="I42" s="429"/>
      <c r="J42" s="429"/>
      <c r="K42" s="429"/>
      <c r="L42" s="429"/>
      <c r="M42" s="429"/>
      <c r="N42" s="429"/>
      <c r="O42" s="429"/>
      <c r="P42" s="429"/>
      <c r="Q42" s="429"/>
      <c r="R42" s="429"/>
      <c r="S42" s="429"/>
      <c r="T42" s="429"/>
      <c r="U42" s="429"/>
      <c r="V42" s="429"/>
      <c r="W42" s="429"/>
      <c r="X42" s="429"/>
      <c r="Y42" s="429"/>
      <c r="Z42" s="429"/>
      <c r="AA42" s="429"/>
      <c r="AB42" s="429"/>
      <c r="AC42" s="429"/>
      <c r="AD42" s="429"/>
      <c r="AE42" s="429"/>
      <c r="AF42" s="429"/>
      <c r="AG42" s="429"/>
      <c r="AH42" s="429"/>
      <c r="AI42" s="429"/>
      <c r="AJ42" s="429"/>
      <c r="AK42" s="429"/>
      <c r="AL42" s="429"/>
      <c r="AM42" s="429"/>
      <c r="AN42" s="429"/>
      <c r="AO42" s="429"/>
      <c r="AP42" s="429"/>
      <c r="AQ42" s="429"/>
      <c r="AR42" s="429"/>
      <c r="AS42" s="429"/>
      <c r="AT42" s="429"/>
      <c r="AU42" s="429"/>
      <c r="AV42" s="594">
        <f>AVERAGE($AW$73:$AW$133)</f>
        <v>0.42335245901639335</v>
      </c>
      <c r="AW42" s="594">
        <f>AVERAGE($AW$134:$AW$197)</f>
        <v>0.44882343750000003</v>
      </c>
      <c r="AX42" s="594">
        <f>AVERAGE($AW$198:$AW$263)</f>
        <v>0.43909545454545451</v>
      </c>
      <c r="AY42" s="594">
        <f>AVERAGE($AW$264:$AW$328)</f>
        <v>0.39270923076923081</v>
      </c>
      <c r="AZ42" s="595">
        <f>AVERAGE(AV42:AY42)</f>
        <v>0.42599514545776968</v>
      </c>
      <c r="BA42" s="594">
        <f>AVERAGE($AW$329:$AW$390)</f>
        <v>0.34963064516129022</v>
      </c>
      <c r="BB42" s="594">
        <f>AVERAGE($AW$391:$AW$454)</f>
        <v>0.32594218749999992</v>
      </c>
      <c r="BC42" s="594">
        <f>AVERAGE($AW$455:$AW$519)</f>
        <v>0.28360769230769228</v>
      </c>
      <c r="BD42" s="594" t="e">
        <f ca="1">_xll.BDP("BRLusd curncy","px_last")</f>
        <v>#NAME?</v>
      </c>
      <c r="BE42" s="595" t="e">
        <f ca="1">AVERAGE(BA42:BD42)</f>
        <v>#NAME?</v>
      </c>
      <c r="BF42" s="594" t="e">
        <f ca="1">_xll.BDP("BRLusd curncy","px_last")</f>
        <v>#NAME?</v>
      </c>
      <c r="BG42" s="594" t="e">
        <f ca="1">_xll.BDP("BRLusd curncy","px_last")</f>
        <v>#NAME?</v>
      </c>
      <c r="BH42" s="594" t="e">
        <f ca="1">_xll.BDP("BRLusd curncy","px_last")</f>
        <v>#NAME?</v>
      </c>
      <c r="BI42" s="594" t="e">
        <f ca="1">_xll.BDP("BRLusd curncy","px_last")</f>
        <v>#NAME?</v>
      </c>
      <c r="BJ42" s="595" t="e">
        <f ca="1">_xll.BDP("BRLusd curncy","px_last")</f>
        <v>#NAME?</v>
      </c>
      <c r="BK42" s="332"/>
      <c r="BL42" s="332"/>
      <c r="BM42" s="332"/>
      <c r="BN42" s="332"/>
      <c r="BO42" s="332"/>
      <c r="BP42" s="332"/>
      <c r="BQ42" s="332"/>
      <c r="BR42" s="332"/>
      <c r="BS42" s="332"/>
      <c r="BT42" s="332"/>
      <c r="BU42" s="332"/>
      <c r="BV42" s="332"/>
      <c r="BW42" s="332"/>
      <c r="BX42" s="332"/>
      <c r="BY42" s="332"/>
      <c r="BZ42" s="332"/>
      <c r="CA42" s="332"/>
      <c r="CB42" s="332"/>
      <c r="CC42" s="332"/>
      <c r="CD42" s="332"/>
      <c r="CE42" s="591"/>
    </row>
    <row r="43" spans="2:83">
      <c r="B43" s="596" t="s">
        <v>198</v>
      </c>
      <c r="C43" s="618"/>
      <c r="D43" s="429"/>
      <c r="E43" s="429"/>
      <c r="F43" s="429"/>
      <c r="G43" s="429"/>
      <c r="H43" s="429"/>
      <c r="I43" s="429"/>
      <c r="J43" s="429"/>
      <c r="K43" s="429"/>
      <c r="L43" s="429"/>
      <c r="M43" s="429"/>
      <c r="N43" s="429"/>
      <c r="O43" s="429"/>
      <c r="P43" s="429"/>
      <c r="Q43" s="429"/>
      <c r="R43" s="429"/>
      <c r="S43" s="429"/>
      <c r="T43" s="429"/>
      <c r="U43" s="429"/>
      <c r="V43" s="429"/>
      <c r="W43" s="429"/>
      <c r="X43" s="429"/>
      <c r="Y43" s="429"/>
      <c r="Z43" s="429"/>
      <c r="AA43" s="429"/>
      <c r="AB43" s="429"/>
      <c r="AC43" s="429"/>
      <c r="AD43" s="429"/>
      <c r="AE43" s="429"/>
      <c r="AF43" s="429"/>
      <c r="AG43" s="429"/>
      <c r="AH43" s="429"/>
      <c r="AI43" s="429"/>
      <c r="AJ43" s="429"/>
      <c r="AK43" s="429"/>
      <c r="AL43" s="429"/>
      <c r="AM43" s="429"/>
      <c r="AN43" s="429"/>
      <c r="AO43" s="429"/>
      <c r="AP43" s="429"/>
      <c r="AQ43" s="429"/>
      <c r="AR43" s="429"/>
      <c r="AS43" s="429"/>
      <c r="AT43" s="429"/>
      <c r="AU43" s="332"/>
      <c r="AV43" s="429"/>
      <c r="AW43" s="429"/>
      <c r="AX43" s="429"/>
      <c r="AY43" s="429"/>
      <c r="AZ43" s="605"/>
      <c r="BA43" s="599">
        <f>BA42/AV42-1</f>
        <v>-0.17413814963160146</v>
      </c>
      <c r="BB43" s="599">
        <f t="shared" ref="BB43:BJ43" si="15">BB42/AW42-1</f>
        <v>-0.27378527887149406</v>
      </c>
      <c r="BC43" s="599">
        <f t="shared" si="15"/>
        <v>-0.35410925034220864</v>
      </c>
      <c r="BD43" s="599" t="e">
        <f t="shared" ca="1" si="15"/>
        <v>#NAME?</v>
      </c>
      <c r="BE43" s="600" t="e">
        <f t="shared" ca="1" si="15"/>
        <v>#NAME?</v>
      </c>
      <c r="BF43" s="599" t="e">
        <f t="shared" ca="1" si="15"/>
        <v>#NAME?</v>
      </c>
      <c r="BG43" s="599" t="e">
        <f t="shared" ca="1" si="15"/>
        <v>#NAME?</v>
      </c>
      <c r="BH43" s="599" t="e">
        <f t="shared" ca="1" si="15"/>
        <v>#NAME?</v>
      </c>
      <c r="BI43" s="599" t="e">
        <f t="shared" ca="1" si="15"/>
        <v>#NAME?</v>
      </c>
      <c r="BJ43" s="600" t="e">
        <f t="shared" ca="1" si="15"/>
        <v>#NAME?</v>
      </c>
      <c r="BK43" s="600"/>
      <c r="BL43" s="600"/>
      <c r="BM43" s="600"/>
      <c r="BN43" s="600"/>
      <c r="BO43" s="600"/>
      <c r="BP43" s="600"/>
      <c r="BQ43" s="600"/>
      <c r="BR43" s="600"/>
      <c r="BS43" s="600"/>
      <c r="BT43" s="600"/>
      <c r="BU43" s="600"/>
      <c r="BV43" s="600"/>
      <c r="BW43" s="600"/>
      <c r="BX43" s="600"/>
      <c r="BY43" s="600"/>
      <c r="BZ43" s="600"/>
      <c r="CA43" s="600"/>
      <c r="CB43" s="600"/>
      <c r="CC43" s="600"/>
      <c r="CD43" s="600"/>
      <c r="CE43" s="591"/>
    </row>
    <row r="44" spans="2:83">
      <c r="B44" s="592"/>
      <c r="C44" s="618"/>
      <c r="D44" s="429"/>
      <c r="E44" s="429"/>
      <c r="F44" s="429"/>
      <c r="G44" s="429"/>
      <c r="H44" s="429"/>
      <c r="I44" s="429"/>
      <c r="J44" s="429"/>
      <c r="K44" s="429"/>
      <c r="L44" s="429"/>
      <c r="M44" s="429"/>
      <c r="N44" s="429"/>
      <c r="O44" s="429"/>
      <c r="P44" s="429"/>
      <c r="Q44" s="429"/>
      <c r="R44" s="429"/>
      <c r="S44" s="429"/>
      <c r="T44" s="429"/>
      <c r="U44" s="429"/>
      <c r="V44" s="429"/>
      <c r="W44" s="429"/>
      <c r="X44" s="429"/>
      <c r="Y44" s="429"/>
      <c r="Z44" s="429"/>
      <c r="AA44" s="429"/>
      <c r="AB44" s="429"/>
      <c r="AC44" s="429"/>
      <c r="AD44" s="429"/>
      <c r="AE44" s="429"/>
      <c r="AF44" s="429"/>
      <c r="AG44" s="429"/>
      <c r="AH44" s="429"/>
      <c r="AI44" s="429"/>
      <c r="AJ44" s="429"/>
      <c r="AK44" s="429"/>
      <c r="AL44" s="429"/>
      <c r="AM44" s="429"/>
      <c r="AN44" s="429"/>
      <c r="AO44" s="429"/>
      <c r="AP44" s="429"/>
      <c r="AQ44" s="429"/>
      <c r="AR44" s="429"/>
      <c r="AS44" s="429"/>
      <c r="AT44" s="429"/>
      <c r="AU44" s="332"/>
      <c r="AV44" s="429"/>
      <c r="AW44" s="429"/>
      <c r="AX44" s="429"/>
      <c r="AY44" s="429"/>
      <c r="AZ44" s="311"/>
      <c r="BA44" s="429"/>
      <c r="BB44" s="429"/>
      <c r="BC44" s="429"/>
      <c r="BD44" s="429"/>
      <c r="BE44" s="311"/>
      <c r="BF44" s="429"/>
      <c r="BG44" s="429"/>
      <c r="BH44" s="429"/>
      <c r="BI44" s="429"/>
      <c r="BJ44" s="311"/>
      <c r="BK44" s="311"/>
      <c r="BL44" s="311"/>
      <c r="BM44" s="311"/>
      <c r="BN44" s="311"/>
      <c r="BO44" s="311"/>
      <c r="BP44" s="311"/>
      <c r="BQ44" s="311"/>
      <c r="BR44" s="311"/>
      <c r="BS44" s="311"/>
      <c r="BT44" s="311"/>
      <c r="BU44" s="311"/>
      <c r="BV44" s="311"/>
      <c r="BW44" s="311"/>
      <c r="BX44" s="311"/>
      <c r="BY44" s="311"/>
      <c r="BZ44" s="311"/>
      <c r="CA44" s="311"/>
      <c r="CB44" s="311"/>
      <c r="CC44" s="311"/>
      <c r="CD44" s="311"/>
      <c r="CE44" s="591"/>
    </row>
    <row r="45" spans="2:83">
      <c r="B45" s="592" t="s">
        <v>211</v>
      </c>
      <c r="C45" s="593">
        <v>0.5</v>
      </c>
      <c r="D45" s="429"/>
      <c r="E45" s="429"/>
      <c r="F45" s="429"/>
      <c r="G45" s="429"/>
      <c r="H45" s="429"/>
      <c r="I45" s="429"/>
      <c r="J45" s="429"/>
      <c r="K45" s="429"/>
      <c r="L45" s="429"/>
      <c r="M45" s="429"/>
      <c r="N45" s="429"/>
      <c r="O45" s="429"/>
      <c r="P45" s="429"/>
      <c r="Q45" s="429"/>
      <c r="R45" s="429"/>
      <c r="S45" s="429"/>
      <c r="T45" s="429"/>
      <c r="U45" s="429"/>
      <c r="V45" s="429"/>
      <c r="W45" s="429"/>
      <c r="X45" s="429"/>
      <c r="Y45" s="429"/>
      <c r="Z45" s="429"/>
      <c r="AA45" s="429"/>
      <c r="AB45" s="429"/>
      <c r="AC45" s="429"/>
      <c r="AD45" s="429"/>
      <c r="AE45" s="429"/>
      <c r="AF45" s="429"/>
      <c r="AG45" s="429"/>
      <c r="AH45" s="429"/>
      <c r="AI45" s="429"/>
      <c r="AJ45" s="429"/>
      <c r="AK45" s="429"/>
      <c r="AL45" s="429"/>
      <c r="AM45" s="429"/>
      <c r="AN45" s="429"/>
      <c r="AO45" s="429"/>
      <c r="AP45" s="429"/>
      <c r="AQ45" s="429"/>
      <c r="AR45" s="429"/>
      <c r="AS45" s="429"/>
      <c r="AT45" s="429"/>
      <c r="AU45" s="429"/>
      <c r="AV45" s="594">
        <f>'[45]YOY FX'!$S$28</f>
        <v>7.5579375000000018E-2</v>
      </c>
      <c r="AW45" s="594">
        <f>'[45]YOY FX'!$S$29</f>
        <v>7.6964153846153821E-2</v>
      </c>
      <c r="AX45" s="594">
        <f>'[45]YOY FX'!$S$30</f>
        <v>7.6218484848484855E-2</v>
      </c>
      <c r="AY45" s="594">
        <f>'[45]YOY FX'!$S$31</f>
        <v>7.2030606060606073E-2</v>
      </c>
      <c r="AZ45" s="595">
        <f>AVERAGE(AV45:AY45)</f>
        <v>7.5198154938811199E-2</v>
      </c>
      <c r="BA45" s="594">
        <f>'[45]YOY FX'!$S$32</f>
        <v>6.6899375000000011E-2</v>
      </c>
      <c r="BB45" s="594">
        <f>'[45]YOY FX'!$S$33</f>
        <v>6.5268307692307681E-2</v>
      </c>
      <c r="BC45" s="594">
        <f>'[45]YOY FX'!$S$34</f>
        <v>6.0861363636363644E-2</v>
      </c>
      <c r="BD45" s="594" t="e">
        <f ca="1">_xll.BDP("MXNusd curncy","px_last")</f>
        <v>#NAME?</v>
      </c>
      <c r="BE45" s="595" t="e">
        <f ca="1">AVERAGE(BA45:BD45)</f>
        <v>#NAME?</v>
      </c>
      <c r="BF45" s="594" t="e">
        <f ca="1">_xll.BDP("MXNusd curncy","px_last")</f>
        <v>#NAME?</v>
      </c>
      <c r="BG45" s="594" t="e">
        <f ca="1">_xll.BDP("MXNusd curncy","px_last")</f>
        <v>#NAME?</v>
      </c>
      <c r="BH45" s="594" t="e">
        <f ca="1">_xll.BDP("MXNusd curncy","px_last")</f>
        <v>#NAME?</v>
      </c>
      <c r="BI45" s="594" t="e">
        <f ca="1">_xll.BDP("MXNusd curncy","px_last")</f>
        <v>#NAME?</v>
      </c>
      <c r="BJ45" s="595" t="e">
        <f ca="1">_xll.BDP("MXNusd curncy","px_last")</f>
        <v>#NAME?</v>
      </c>
      <c r="BK45" s="311"/>
      <c r="BL45" s="311"/>
      <c r="BM45" s="311"/>
      <c r="BN45" s="311"/>
      <c r="BO45" s="311"/>
      <c r="BP45" s="311"/>
      <c r="BQ45" s="311"/>
      <c r="BR45" s="311"/>
      <c r="BS45" s="311"/>
      <c r="BT45" s="311"/>
      <c r="BU45" s="311"/>
      <c r="BV45" s="311"/>
      <c r="BW45" s="311"/>
      <c r="BX45" s="311"/>
      <c r="BY45" s="311"/>
      <c r="BZ45" s="311"/>
      <c r="CA45" s="311"/>
      <c r="CB45" s="311"/>
      <c r="CC45" s="311"/>
      <c r="CD45" s="311"/>
      <c r="CE45" s="591"/>
    </row>
    <row r="46" spans="2:83">
      <c r="B46" s="596" t="s">
        <v>198</v>
      </c>
      <c r="C46" s="597"/>
      <c r="D46" s="429"/>
      <c r="E46" s="429"/>
      <c r="F46" s="429"/>
      <c r="G46" s="429"/>
      <c r="H46" s="429"/>
      <c r="I46" s="429"/>
      <c r="J46" s="429"/>
      <c r="K46" s="429"/>
      <c r="L46" s="429"/>
      <c r="M46" s="429"/>
      <c r="N46" s="429"/>
      <c r="O46" s="429"/>
      <c r="P46" s="429"/>
      <c r="Q46" s="429"/>
      <c r="R46" s="429"/>
      <c r="S46" s="429"/>
      <c r="T46" s="429"/>
      <c r="U46" s="429"/>
      <c r="V46" s="429"/>
      <c r="W46" s="429"/>
      <c r="X46" s="429"/>
      <c r="Y46" s="429"/>
      <c r="Z46" s="429"/>
      <c r="AA46" s="429"/>
      <c r="AB46" s="429"/>
      <c r="AC46" s="429"/>
      <c r="AD46" s="429"/>
      <c r="AE46" s="429"/>
      <c r="AF46" s="429"/>
      <c r="AG46" s="429"/>
      <c r="AH46" s="429"/>
      <c r="AI46" s="429"/>
      <c r="AJ46" s="429"/>
      <c r="AK46" s="429"/>
      <c r="AL46" s="429"/>
      <c r="AM46" s="429"/>
      <c r="AN46" s="429"/>
      <c r="AO46" s="429"/>
      <c r="AP46" s="429"/>
      <c r="AQ46" s="429"/>
      <c r="AR46" s="429"/>
      <c r="AS46" s="429"/>
      <c r="AT46" s="429"/>
      <c r="AU46" s="429"/>
      <c r="AV46" s="429"/>
      <c r="AW46" s="429"/>
      <c r="AX46" s="429"/>
      <c r="AY46" s="429"/>
      <c r="AZ46" s="605"/>
      <c r="BA46" s="599">
        <f>BA45/AV45-1</f>
        <v>-0.11484614684892547</v>
      </c>
      <c r="BB46" s="599">
        <f t="shared" ref="BB46:BJ46" si="16">BB45/AW45-1</f>
        <v>-0.15196485076968891</v>
      </c>
      <c r="BC46" s="599">
        <f t="shared" si="16"/>
        <v>-0.20148814611901189</v>
      </c>
      <c r="BD46" s="599" t="e">
        <f t="shared" ca="1" si="16"/>
        <v>#NAME?</v>
      </c>
      <c r="BE46" s="600" t="e">
        <f t="shared" ca="1" si="16"/>
        <v>#NAME?</v>
      </c>
      <c r="BF46" s="599" t="e">
        <f t="shared" ca="1" si="16"/>
        <v>#NAME?</v>
      </c>
      <c r="BG46" s="599" t="e">
        <f t="shared" ca="1" si="16"/>
        <v>#NAME?</v>
      </c>
      <c r="BH46" s="599" t="e">
        <f t="shared" ca="1" si="16"/>
        <v>#NAME?</v>
      </c>
      <c r="BI46" s="599" t="e">
        <f t="shared" ca="1" si="16"/>
        <v>#NAME?</v>
      </c>
      <c r="BJ46" s="600" t="e">
        <f t="shared" ca="1" si="16"/>
        <v>#NAME?</v>
      </c>
      <c r="BK46" s="311"/>
      <c r="BL46" s="311"/>
      <c r="BM46" s="311"/>
      <c r="BN46" s="311"/>
      <c r="BO46" s="311"/>
      <c r="BP46" s="311"/>
      <c r="BQ46" s="311"/>
      <c r="BR46" s="311"/>
      <c r="BS46" s="311"/>
      <c r="BT46" s="311"/>
      <c r="BU46" s="311"/>
      <c r="BV46" s="311"/>
      <c r="BW46" s="311"/>
      <c r="BX46" s="311"/>
      <c r="BY46" s="311"/>
      <c r="BZ46" s="311"/>
      <c r="CA46" s="311"/>
      <c r="CB46" s="311"/>
      <c r="CC46" s="311"/>
      <c r="CD46" s="311"/>
      <c r="CE46" s="591"/>
    </row>
    <row r="47" spans="2:83">
      <c r="B47" s="592"/>
      <c r="C47" s="597"/>
      <c r="D47" s="429"/>
      <c r="E47" s="429"/>
      <c r="F47" s="429"/>
      <c r="G47" s="429"/>
      <c r="H47" s="429"/>
      <c r="I47" s="429"/>
      <c r="J47" s="429"/>
      <c r="K47" s="429"/>
      <c r="L47" s="429"/>
      <c r="M47" s="429"/>
      <c r="N47" s="429"/>
      <c r="O47" s="429"/>
      <c r="P47" s="429"/>
      <c r="Q47" s="429"/>
      <c r="R47" s="429"/>
      <c r="S47" s="429"/>
      <c r="T47" s="429"/>
      <c r="U47" s="429"/>
      <c r="V47" s="429"/>
      <c r="W47" s="429"/>
      <c r="X47" s="429"/>
      <c r="Y47" s="429"/>
      <c r="Z47" s="429"/>
      <c r="AA47" s="429"/>
      <c r="AB47" s="429"/>
      <c r="AC47" s="429"/>
      <c r="AD47" s="429"/>
      <c r="AE47" s="429"/>
      <c r="AF47" s="429"/>
      <c r="AG47" s="429"/>
      <c r="AH47" s="429"/>
      <c r="AI47" s="429"/>
      <c r="AJ47" s="429"/>
      <c r="AK47" s="429"/>
      <c r="AL47" s="429"/>
      <c r="AM47" s="429"/>
      <c r="AN47" s="429"/>
      <c r="AO47" s="429"/>
      <c r="AP47" s="429"/>
      <c r="AQ47" s="429"/>
      <c r="AR47" s="429"/>
      <c r="AS47" s="429"/>
      <c r="AT47" s="429"/>
      <c r="AU47" s="429"/>
      <c r="AV47" s="429"/>
      <c r="AW47" s="429"/>
      <c r="AX47" s="429"/>
      <c r="AY47" s="429"/>
      <c r="AZ47" s="311"/>
      <c r="BA47" s="429"/>
      <c r="BB47" s="429"/>
      <c r="BC47" s="429"/>
      <c r="BD47" s="429"/>
      <c r="BE47" s="311"/>
      <c r="BF47" s="429"/>
      <c r="BG47" s="429"/>
      <c r="BH47" s="429"/>
      <c r="BI47" s="429"/>
      <c r="BJ47" s="311"/>
      <c r="BK47" s="311"/>
      <c r="BL47" s="311"/>
      <c r="BM47" s="311"/>
      <c r="BN47" s="311"/>
      <c r="BO47" s="311"/>
      <c r="BP47" s="311"/>
      <c r="BQ47" s="311"/>
      <c r="BR47" s="311"/>
      <c r="BS47" s="311"/>
      <c r="BT47" s="311"/>
      <c r="BU47" s="311"/>
      <c r="BV47" s="311"/>
      <c r="BW47" s="311"/>
      <c r="BX47" s="311"/>
      <c r="BY47" s="311"/>
      <c r="BZ47" s="311"/>
      <c r="CA47" s="311"/>
      <c r="CB47" s="311"/>
      <c r="CC47" s="311"/>
      <c r="CD47" s="311"/>
      <c r="CE47" s="591"/>
    </row>
    <row r="48" spans="2:83">
      <c r="B48" s="611" t="s">
        <v>203</v>
      </c>
      <c r="C48" s="612">
        <f>SUM(C42:C47)</f>
        <v>1</v>
      </c>
      <c r="D48" s="429"/>
      <c r="E48" s="429"/>
      <c r="F48" s="429"/>
      <c r="G48" s="429"/>
      <c r="H48" s="429"/>
      <c r="I48" s="429"/>
      <c r="J48" s="429"/>
      <c r="K48" s="429"/>
      <c r="L48" s="429"/>
      <c r="M48" s="429"/>
      <c r="N48" s="429"/>
      <c r="O48" s="429"/>
      <c r="P48" s="429"/>
      <c r="Q48" s="429"/>
      <c r="R48" s="429"/>
      <c r="S48" s="429"/>
      <c r="T48" s="429"/>
      <c r="U48" s="429"/>
      <c r="V48" s="429"/>
      <c r="W48" s="429"/>
      <c r="X48" s="429"/>
      <c r="Y48" s="429"/>
      <c r="Z48" s="429"/>
      <c r="AA48" s="429"/>
      <c r="AB48" s="429"/>
      <c r="AC48" s="429"/>
      <c r="AD48" s="429"/>
      <c r="AE48" s="429"/>
      <c r="AF48" s="429"/>
      <c r="AG48" s="429"/>
      <c r="AH48" s="429"/>
      <c r="AI48" s="429"/>
      <c r="AJ48" s="429"/>
      <c r="AK48" s="429"/>
      <c r="AL48" s="429"/>
      <c r="AM48" s="429"/>
      <c r="AN48" s="429"/>
      <c r="AO48" s="429"/>
      <c r="AP48" s="429"/>
      <c r="AQ48" s="429"/>
      <c r="AR48" s="429"/>
      <c r="AS48" s="429"/>
      <c r="AT48" s="429"/>
      <c r="AU48" s="429"/>
      <c r="AV48" s="429"/>
      <c r="AW48" s="429"/>
      <c r="AX48" s="429"/>
      <c r="AY48" s="429"/>
      <c r="AZ48" s="602"/>
      <c r="BA48" s="613">
        <f>$C$42*BA43+$C$45*BA46</f>
        <v>-0.14449214824026346</v>
      </c>
      <c r="BB48" s="613">
        <f t="shared" ref="BB48:BJ48" si="17">$C$42*BB43+$C$45*BB46</f>
        <v>-0.21287506482059149</v>
      </c>
      <c r="BC48" s="613">
        <f t="shared" si="17"/>
        <v>-0.27779869823061026</v>
      </c>
      <c r="BD48" s="613" t="e">
        <f t="shared" ca="1" si="17"/>
        <v>#NAME?</v>
      </c>
      <c r="BE48" s="619" t="e">
        <f t="shared" ca="1" si="17"/>
        <v>#NAME?</v>
      </c>
      <c r="BF48" s="613" t="e">
        <f t="shared" ca="1" si="17"/>
        <v>#NAME?</v>
      </c>
      <c r="BG48" s="613" t="e">
        <f t="shared" ca="1" si="17"/>
        <v>#NAME?</v>
      </c>
      <c r="BH48" s="613" t="e">
        <f t="shared" ca="1" si="17"/>
        <v>#NAME?</v>
      </c>
      <c r="BI48" s="613" t="e">
        <f t="shared" ca="1" si="17"/>
        <v>#NAME?</v>
      </c>
      <c r="BJ48" s="619" t="e">
        <f t="shared" ca="1" si="17"/>
        <v>#NAME?</v>
      </c>
      <c r="BK48" s="602"/>
      <c r="BL48" s="602"/>
      <c r="BM48" s="602"/>
      <c r="BN48" s="602"/>
      <c r="BO48" s="602"/>
      <c r="BP48" s="602"/>
      <c r="BQ48" s="602"/>
      <c r="BR48" s="602"/>
      <c r="BS48" s="602"/>
      <c r="BT48" s="602"/>
      <c r="BU48" s="602"/>
      <c r="BV48" s="602"/>
      <c r="BW48" s="602"/>
      <c r="BX48" s="602"/>
      <c r="BY48" s="602"/>
      <c r="BZ48" s="602"/>
      <c r="CA48" s="602"/>
      <c r="CB48" s="602"/>
      <c r="CC48" s="602"/>
      <c r="CD48" s="602"/>
      <c r="CE48" s="591"/>
    </row>
    <row r="49" spans="2:83">
      <c r="B49" s="611" t="s">
        <v>204</v>
      </c>
      <c r="C49" s="610"/>
      <c r="D49" s="429"/>
      <c r="E49" s="429"/>
      <c r="F49" s="429"/>
      <c r="G49" s="429"/>
      <c r="H49" s="429"/>
      <c r="I49" s="429"/>
      <c r="J49" s="429"/>
      <c r="K49" s="429"/>
      <c r="L49" s="429"/>
      <c r="M49" s="429"/>
      <c r="N49" s="429"/>
      <c r="O49" s="429"/>
      <c r="P49" s="429"/>
      <c r="Q49" s="429"/>
      <c r="R49" s="429"/>
      <c r="S49" s="429"/>
      <c r="T49" s="429"/>
      <c r="U49" s="429"/>
      <c r="V49" s="429"/>
      <c r="W49" s="429"/>
      <c r="X49" s="429"/>
      <c r="Y49" s="429"/>
      <c r="Z49" s="429"/>
      <c r="AA49" s="429"/>
      <c r="AB49" s="429"/>
      <c r="AC49" s="429"/>
      <c r="AD49" s="429"/>
      <c r="AE49" s="429"/>
      <c r="AF49" s="429"/>
      <c r="AG49" s="429"/>
      <c r="AH49" s="429"/>
      <c r="AI49" s="429"/>
      <c r="AJ49" s="429"/>
      <c r="AK49" s="429"/>
      <c r="AL49" s="429"/>
      <c r="AM49" s="429"/>
      <c r="AN49" s="429"/>
      <c r="AO49" s="429"/>
      <c r="AP49" s="429"/>
      <c r="AQ49" s="429"/>
      <c r="AR49" s="429"/>
      <c r="AS49" s="429"/>
      <c r="AT49" s="429"/>
      <c r="AU49" s="429"/>
      <c r="AV49" s="429"/>
      <c r="AW49" s="429"/>
      <c r="AX49" s="429"/>
      <c r="AY49" s="429"/>
      <c r="AZ49" s="311"/>
      <c r="BA49" s="599">
        <f>Sales!BA131</f>
        <v>-0.14098690835850947</v>
      </c>
      <c r="BB49" s="599">
        <f>Sales!BB131</f>
        <v>-0.19116575591985424</v>
      </c>
      <c r="BC49" s="599">
        <f>Sales!BC131</f>
        <v>-0.26485915492957751</v>
      </c>
      <c r="BD49" s="429"/>
      <c r="BE49" s="311"/>
      <c r="BF49" s="429"/>
      <c r="BG49" s="429"/>
      <c r="BH49" s="429"/>
      <c r="BI49" s="429"/>
      <c r="BJ49" s="311"/>
      <c r="BK49" s="311"/>
      <c r="BL49" s="311"/>
      <c r="BM49" s="311"/>
      <c r="BN49" s="311"/>
      <c r="BO49" s="311"/>
      <c r="BP49" s="311"/>
      <c r="BQ49" s="311"/>
      <c r="BR49" s="311"/>
      <c r="BS49" s="311"/>
      <c r="BT49" s="311"/>
      <c r="BU49" s="311"/>
      <c r="BV49" s="311"/>
      <c r="BW49" s="311"/>
      <c r="BX49" s="311"/>
      <c r="BY49" s="311"/>
      <c r="BZ49" s="311"/>
      <c r="CA49" s="311"/>
      <c r="CB49" s="311"/>
      <c r="CC49" s="311"/>
      <c r="CD49" s="311"/>
      <c r="CE49" s="591"/>
    </row>
    <row r="50" spans="2:83">
      <c r="B50" s="611"/>
      <c r="C50" s="610"/>
      <c r="D50" s="429"/>
      <c r="E50" s="429"/>
      <c r="F50" s="429"/>
      <c r="G50" s="429"/>
      <c r="H50" s="429"/>
      <c r="I50" s="429"/>
      <c r="J50" s="429"/>
      <c r="K50" s="429"/>
      <c r="L50" s="429"/>
      <c r="M50" s="429"/>
      <c r="N50" s="429"/>
      <c r="O50" s="429"/>
      <c r="P50" s="429"/>
      <c r="Q50" s="429"/>
      <c r="R50" s="429"/>
      <c r="S50" s="429"/>
      <c r="T50" s="429"/>
      <c r="U50" s="429"/>
      <c r="V50" s="429"/>
      <c r="W50" s="429"/>
      <c r="X50" s="429"/>
      <c r="Y50" s="429"/>
      <c r="Z50" s="429"/>
      <c r="AA50" s="429"/>
      <c r="AB50" s="429"/>
      <c r="AC50" s="429"/>
      <c r="AD50" s="429"/>
      <c r="AE50" s="429"/>
      <c r="AF50" s="429"/>
      <c r="AG50" s="429"/>
      <c r="AH50" s="429"/>
      <c r="AI50" s="429"/>
      <c r="AJ50" s="429"/>
      <c r="AK50" s="429"/>
      <c r="AL50" s="429"/>
      <c r="AM50" s="429"/>
      <c r="AN50" s="429"/>
      <c r="AO50" s="429"/>
      <c r="AP50" s="429"/>
      <c r="AQ50" s="429"/>
      <c r="AR50" s="429"/>
      <c r="AS50" s="429"/>
      <c r="AT50" s="429"/>
      <c r="AU50" s="429"/>
      <c r="AV50" s="429"/>
      <c r="AW50" s="429"/>
      <c r="AX50" s="429"/>
      <c r="AY50" s="429"/>
      <c r="AZ50" s="605"/>
      <c r="BA50" s="429"/>
      <c r="BB50" s="429"/>
      <c r="BC50" s="429"/>
      <c r="BD50" s="429"/>
      <c r="BE50" s="605"/>
      <c r="BF50" s="429"/>
      <c r="BG50" s="429"/>
      <c r="BH50" s="429"/>
      <c r="BI50" s="429"/>
      <c r="BJ50" s="605"/>
      <c r="BK50" s="605"/>
      <c r="BL50" s="605"/>
      <c r="BM50" s="605"/>
      <c r="BN50" s="605"/>
      <c r="BO50" s="605"/>
      <c r="BP50" s="605"/>
      <c r="BQ50" s="605"/>
      <c r="BR50" s="605"/>
      <c r="BS50" s="605"/>
      <c r="BT50" s="605"/>
      <c r="BU50" s="605"/>
      <c r="BV50" s="605"/>
      <c r="BW50" s="605"/>
      <c r="BX50" s="605"/>
      <c r="BY50" s="605"/>
      <c r="BZ50" s="605"/>
      <c r="CA50" s="605"/>
      <c r="CB50" s="605"/>
      <c r="CC50" s="605"/>
      <c r="CD50" s="605"/>
      <c r="CE50" s="591"/>
    </row>
    <row r="51" spans="2:83">
      <c r="B51" s="615" t="s">
        <v>212</v>
      </c>
      <c r="C51" s="616"/>
      <c r="D51" s="617"/>
      <c r="E51" s="617"/>
      <c r="F51" s="617"/>
      <c r="G51" s="617"/>
      <c r="H51" s="617"/>
      <c r="I51" s="617"/>
      <c r="J51" s="617"/>
      <c r="K51" s="617"/>
      <c r="L51" s="617"/>
      <c r="M51" s="617"/>
      <c r="N51" s="617"/>
      <c r="O51" s="617"/>
      <c r="P51" s="617"/>
      <c r="Q51" s="617"/>
      <c r="R51" s="617"/>
      <c r="S51" s="617"/>
      <c r="T51" s="617"/>
      <c r="U51" s="617"/>
      <c r="V51" s="617"/>
      <c r="W51" s="617"/>
      <c r="X51" s="617"/>
      <c r="Y51" s="617"/>
      <c r="Z51" s="617"/>
      <c r="AA51" s="617"/>
      <c r="AB51" s="617"/>
      <c r="AC51" s="617"/>
      <c r="AD51" s="617"/>
      <c r="AE51" s="617"/>
      <c r="AF51" s="617"/>
      <c r="AG51" s="617"/>
      <c r="AH51" s="617"/>
      <c r="AI51" s="617"/>
      <c r="AJ51" s="617"/>
      <c r="AK51" s="617"/>
      <c r="AL51" s="617"/>
      <c r="AM51" s="617"/>
      <c r="AN51" s="617"/>
      <c r="AO51" s="617"/>
      <c r="AP51" s="617"/>
      <c r="AQ51" s="617"/>
      <c r="AR51" s="617"/>
      <c r="AS51" s="617"/>
      <c r="AT51" s="617"/>
      <c r="AU51" s="617"/>
      <c r="AV51" s="617"/>
      <c r="AW51" s="617"/>
      <c r="AX51" s="617"/>
      <c r="AY51" s="617"/>
      <c r="AZ51" s="616"/>
      <c r="BA51" s="617"/>
      <c r="BB51" s="617"/>
      <c r="BC51" s="617"/>
      <c r="BD51" s="617"/>
      <c r="BE51" s="616"/>
      <c r="BF51" s="617"/>
      <c r="BG51" s="617"/>
      <c r="BH51" s="617"/>
      <c r="BI51" s="617"/>
      <c r="BJ51" s="616"/>
      <c r="BK51" s="616"/>
      <c r="BL51" s="616"/>
      <c r="BM51" s="616"/>
      <c r="BN51" s="616"/>
      <c r="BO51" s="616"/>
      <c r="BP51" s="616"/>
      <c r="BQ51" s="616"/>
      <c r="BR51" s="616"/>
      <c r="BS51" s="616"/>
      <c r="BT51" s="616"/>
      <c r="BU51" s="616"/>
      <c r="BV51" s="616"/>
      <c r="BW51" s="616"/>
      <c r="BX51" s="616"/>
      <c r="BY51" s="616"/>
      <c r="BZ51" s="616"/>
      <c r="CA51" s="616"/>
      <c r="CB51" s="616"/>
      <c r="CC51" s="616"/>
      <c r="CD51" s="616"/>
      <c r="CE51" s="591"/>
    </row>
    <row r="52" spans="2:83">
      <c r="B52" s="592" t="s">
        <v>213</v>
      </c>
      <c r="C52" s="593">
        <v>0.5</v>
      </c>
      <c r="D52" s="429"/>
      <c r="E52" s="429"/>
      <c r="F52" s="429"/>
      <c r="G52" s="429"/>
      <c r="H52" s="429"/>
      <c r="I52" s="429"/>
      <c r="J52" s="429"/>
      <c r="K52" s="429"/>
      <c r="L52" s="429"/>
      <c r="M52" s="429"/>
      <c r="N52" s="429"/>
      <c r="O52" s="429"/>
      <c r="P52" s="429"/>
      <c r="Q52" s="429"/>
      <c r="R52" s="429"/>
      <c r="S52" s="429"/>
      <c r="T52" s="429"/>
      <c r="U52" s="429"/>
      <c r="V52" s="429"/>
      <c r="W52" s="429"/>
      <c r="X52" s="429"/>
      <c r="Y52" s="429"/>
      <c r="Z52" s="429"/>
      <c r="AA52" s="429"/>
      <c r="AB52" s="429"/>
      <c r="AC52" s="429"/>
      <c r="AD52" s="429"/>
      <c r="AE52" s="429"/>
      <c r="AF52" s="429"/>
      <c r="AG52" s="429"/>
      <c r="AH52" s="429"/>
      <c r="AI52" s="429"/>
      <c r="AJ52" s="429"/>
      <c r="AK52" s="429"/>
      <c r="AL52" s="429"/>
      <c r="AM52" s="429"/>
      <c r="AN52" s="429"/>
      <c r="AO52" s="429"/>
      <c r="AP52" s="429"/>
      <c r="AQ52" s="429"/>
      <c r="AR52" s="429"/>
      <c r="AS52" s="429"/>
      <c r="AT52" s="429"/>
      <c r="AU52" s="429"/>
      <c r="AV52" s="594">
        <f>'[45]YOY FX'!$P$28</f>
        <v>0.16392578124999999</v>
      </c>
      <c r="AW52" s="594">
        <f>'[45]YOY FX'!$P$29</f>
        <v>0.1604693846153846</v>
      </c>
      <c r="AX52" s="594">
        <f>'[45]YOY FX'!$P$30</f>
        <v>0.16220303030303032</v>
      </c>
      <c r="AY52" s="594">
        <f>'[45]YOY FX'!$P$31</f>
        <v>0.16264787878787876</v>
      </c>
      <c r="AZ52" s="595">
        <f>AVERAGE(AV52:AY52)</f>
        <v>0.16231151873907343</v>
      </c>
      <c r="BA52" s="594">
        <f>'[45]YOY FX'!$P$32</f>
        <v>0.16035671874999999</v>
      </c>
      <c r="BB52" s="594">
        <f>'[45]YOY FX'!$P$33</f>
        <v>0.16123369230769236</v>
      </c>
      <c r="BC52" s="594">
        <f>'[45]YOY FX'!$P$34</f>
        <v>0.1586698484848485</v>
      </c>
      <c r="BD52" s="594" t="e">
        <f ca="1">_xll.BDP("CNYusd curncy","px_last")</f>
        <v>#NAME?</v>
      </c>
      <c r="BE52" s="595" t="e">
        <f ca="1">AVERAGE(BA52:BD52)</f>
        <v>#NAME?</v>
      </c>
      <c r="BF52" s="594" t="e">
        <f ca="1">_xll.BDP("CNYusd curncy","px_last")</f>
        <v>#NAME?</v>
      </c>
      <c r="BG52" s="594" t="e">
        <f ca="1">_xll.BDP("CNYusd curncy","px_last")</f>
        <v>#NAME?</v>
      </c>
      <c r="BH52" s="594" t="e">
        <f ca="1">_xll.BDP("CNYusd curncy","px_last")</f>
        <v>#NAME?</v>
      </c>
      <c r="BI52" s="594" t="e">
        <f ca="1">_xll.BDP("CNYusd curncy","px_last")</f>
        <v>#NAME?</v>
      </c>
      <c r="BJ52" s="595" t="e">
        <f ca="1">_xll.BDP("CNYusd curncy","px_last")</f>
        <v>#NAME?</v>
      </c>
      <c r="BK52" s="332"/>
      <c r="BL52" s="332"/>
      <c r="BM52" s="332"/>
      <c r="BN52" s="332"/>
      <c r="BO52" s="332"/>
      <c r="BP52" s="332"/>
      <c r="BQ52" s="332"/>
      <c r="BR52" s="332"/>
      <c r="BS52" s="332"/>
      <c r="BT52" s="332"/>
      <c r="BU52" s="332"/>
      <c r="BV52" s="332"/>
      <c r="BW52" s="332"/>
      <c r="BX52" s="332"/>
      <c r="BY52" s="332"/>
      <c r="BZ52" s="332"/>
      <c r="CA52" s="332"/>
      <c r="CB52" s="332"/>
      <c r="CC52" s="332"/>
      <c r="CD52" s="332"/>
      <c r="CE52" s="591"/>
    </row>
    <row r="53" spans="2:83">
      <c r="B53" s="596" t="s">
        <v>198</v>
      </c>
      <c r="C53" s="618"/>
      <c r="D53" s="429"/>
      <c r="E53" s="429"/>
      <c r="F53" s="429"/>
      <c r="G53" s="429"/>
      <c r="H53" s="429"/>
      <c r="I53" s="429"/>
      <c r="J53" s="429"/>
      <c r="K53" s="429"/>
      <c r="L53" s="429"/>
      <c r="M53" s="429"/>
      <c r="N53" s="429"/>
      <c r="O53" s="429"/>
      <c r="P53" s="429"/>
      <c r="Q53" s="429"/>
      <c r="R53" s="429"/>
      <c r="S53" s="429"/>
      <c r="T53" s="429"/>
      <c r="U53" s="429"/>
      <c r="V53" s="429"/>
      <c r="W53" s="429"/>
      <c r="X53" s="429"/>
      <c r="Y53" s="429"/>
      <c r="Z53" s="429"/>
      <c r="AA53" s="429"/>
      <c r="AB53" s="429"/>
      <c r="AC53" s="429"/>
      <c r="AD53" s="429"/>
      <c r="AE53" s="429"/>
      <c r="AF53" s="429"/>
      <c r="AG53" s="429"/>
      <c r="AH53" s="429"/>
      <c r="AI53" s="429"/>
      <c r="AJ53" s="429"/>
      <c r="AK53" s="429"/>
      <c r="AL53" s="429"/>
      <c r="AM53" s="429"/>
      <c r="AN53" s="429"/>
      <c r="AO53" s="429"/>
      <c r="AP53" s="429"/>
      <c r="AQ53" s="429"/>
      <c r="AR53" s="429"/>
      <c r="AS53" s="429"/>
      <c r="AT53" s="429"/>
      <c r="AU53" s="332"/>
      <c r="AV53" s="429"/>
      <c r="AW53" s="429"/>
      <c r="AX53" s="429"/>
      <c r="AY53" s="429"/>
      <c r="AZ53" s="605"/>
      <c r="BA53" s="599">
        <f>BA52/AV52-1</f>
        <v>-2.1772429405456872E-2</v>
      </c>
      <c r="BB53" s="599">
        <f t="shared" ref="BB53:BJ53" si="18">BB52/AW52-1</f>
        <v>4.7629502296631099E-3</v>
      </c>
      <c r="BC53" s="599">
        <f t="shared" si="18"/>
        <v>-2.178246492424385E-2</v>
      </c>
      <c r="BD53" s="599" t="e">
        <f t="shared" ca="1" si="18"/>
        <v>#NAME?</v>
      </c>
      <c r="BE53" s="600" t="e">
        <f t="shared" ca="1" si="18"/>
        <v>#NAME?</v>
      </c>
      <c r="BF53" s="599" t="e">
        <f t="shared" ca="1" si="18"/>
        <v>#NAME?</v>
      </c>
      <c r="BG53" s="599" t="e">
        <f t="shared" ca="1" si="18"/>
        <v>#NAME?</v>
      </c>
      <c r="BH53" s="599" t="e">
        <f t="shared" ca="1" si="18"/>
        <v>#NAME?</v>
      </c>
      <c r="BI53" s="599" t="e">
        <f t="shared" ca="1" si="18"/>
        <v>#NAME?</v>
      </c>
      <c r="BJ53" s="600" t="e">
        <f t="shared" ca="1" si="18"/>
        <v>#NAME?</v>
      </c>
      <c r="BK53" s="600"/>
      <c r="BL53" s="600"/>
      <c r="BM53" s="600"/>
      <c r="BN53" s="600"/>
      <c r="BO53" s="600"/>
      <c r="BP53" s="600"/>
      <c r="BQ53" s="600"/>
      <c r="BR53" s="600"/>
      <c r="BS53" s="600"/>
      <c r="BT53" s="600"/>
      <c r="BU53" s="600"/>
      <c r="BV53" s="600"/>
      <c r="BW53" s="600"/>
      <c r="BX53" s="600"/>
      <c r="BY53" s="600"/>
      <c r="BZ53" s="600"/>
      <c r="CA53" s="600"/>
      <c r="CB53" s="600"/>
      <c r="CC53" s="600"/>
      <c r="CD53" s="600"/>
      <c r="CE53" s="591"/>
    </row>
    <row r="54" spans="2:83">
      <c r="B54" s="592"/>
      <c r="C54" s="618"/>
      <c r="D54" s="429"/>
      <c r="E54" s="429"/>
      <c r="F54" s="429"/>
      <c r="G54" s="429"/>
      <c r="H54" s="429"/>
      <c r="I54" s="429"/>
      <c r="J54" s="429"/>
      <c r="K54" s="429"/>
      <c r="L54" s="429"/>
      <c r="M54" s="429"/>
      <c r="N54" s="429"/>
      <c r="O54" s="429"/>
      <c r="P54" s="429"/>
      <c r="Q54" s="429"/>
      <c r="R54" s="429"/>
      <c r="S54" s="429"/>
      <c r="T54" s="429"/>
      <c r="U54" s="429"/>
      <c r="V54" s="429"/>
      <c r="W54" s="429"/>
      <c r="X54" s="429"/>
      <c r="Y54" s="429"/>
      <c r="Z54" s="429"/>
      <c r="AA54" s="429"/>
      <c r="AB54" s="429"/>
      <c r="AC54" s="429"/>
      <c r="AD54" s="429"/>
      <c r="AE54" s="429"/>
      <c r="AF54" s="429"/>
      <c r="AG54" s="429"/>
      <c r="AH54" s="429"/>
      <c r="AI54" s="429"/>
      <c r="AJ54" s="429"/>
      <c r="AK54" s="429"/>
      <c r="AL54" s="429"/>
      <c r="AM54" s="429"/>
      <c r="AN54" s="429"/>
      <c r="AO54" s="429"/>
      <c r="AP54" s="429"/>
      <c r="AQ54" s="429"/>
      <c r="AR54" s="429"/>
      <c r="AS54" s="429"/>
      <c r="AT54" s="429"/>
      <c r="AU54" s="332"/>
      <c r="AV54" s="429"/>
      <c r="AW54" s="429"/>
      <c r="AX54" s="429"/>
      <c r="AY54" s="429"/>
      <c r="AZ54" s="311"/>
      <c r="BA54" s="429"/>
      <c r="BB54" s="429"/>
      <c r="BC54" s="429"/>
      <c r="BD54" s="429"/>
      <c r="BE54" s="311"/>
      <c r="BF54" s="429"/>
      <c r="BG54" s="429"/>
      <c r="BH54" s="429"/>
      <c r="BI54" s="429"/>
      <c r="BJ54" s="311"/>
      <c r="BK54" s="311"/>
      <c r="BL54" s="311"/>
      <c r="BM54" s="311"/>
      <c r="BN54" s="311"/>
      <c r="BO54" s="311"/>
      <c r="BP54" s="311"/>
      <c r="BQ54" s="311"/>
      <c r="BR54" s="311"/>
      <c r="BS54" s="311"/>
      <c r="BT54" s="311"/>
      <c r="BU54" s="311"/>
      <c r="BV54" s="311"/>
      <c r="BW54" s="311"/>
      <c r="BX54" s="311"/>
      <c r="BY54" s="311"/>
      <c r="BZ54" s="311"/>
      <c r="CA54" s="311"/>
      <c r="CB54" s="311"/>
      <c r="CC54" s="311"/>
      <c r="CD54" s="311"/>
      <c r="CE54" s="591"/>
    </row>
    <row r="55" spans="2:83">
      <c r="B55" s="592" t="s">
        <v>214</v>
      </c>
      <c r="C55" s="593">
        <v>0.3</v>
      </c>
      <c r="D55" s="429"/>
      <c r="E55" s="429"/>
      <c r="F55" s="429"/>
      <c r="G55" s="429"/>
      <c r="H55" s="429"/>
      <c r="I55" s="429"/>
      <c r="J55" s="429"/>
      <c r="K55" s="429"/>
      <c r="L55" s="429"/>
      <c r="M55" s="429"/>
      <c r="N55" s="429"/>
      <c r="O55" s="429"/>
      <c r="P55" s="429"/>
      <c r="Q55" s="429"/>
      <c r="R55" s="429"/>
      <c r="S55" s="429"/>
      <c r="T55" s="429"/>
      <c r="U55" s="429"/>
      <c r="V55" s="429"/>
      <c r="W55" s="429"/>
      <c r="X55" s="429"/>
      <c r="Y55" s="429"/>
      <c r="Z55" s="429"/>
      <c r="AA55" s="429"/>
      <c r="AB55" s="429"/>
      <c r="AC55" s="429"/>
      <c r="AD55" s="429"/>
      <c r="AE55" s="429"/>
      <c r="AF55" s="429"/>
      <c r="AG55" s="429"/>
      <c r="AH55" s="429"/>
      <c r="AI55" s="429"/>
      <c r="AJ55" s="429"/>
      <c r="AK55" s="429"/>
      <c r="AL55" s="429"/>
      <c r="AM55" s="429"/>
      <c r="AN55" s="429"/>
      <c r="AO55" s="429"/>
      <c r="AP55" s="429"/>
      <c r="AQ55" s="429"/>
      <c r="AR55" s="429"/>
      <c r="AS55" s="429"/>
      <c r="AT55" s="429"/>
      <c r="AU55" s="329"/>
      <c r="AV55" s="594">
        <f>AVERAGE($BE$73:$BE$136)</f>
        <v>9.3467031249999999E-2</v>
      </c>
      <c r="AW55" s="594">
        <f>AVERAGE($BE$137:$BE$197)</f>
        <v>9.7152786885245909E-2</v>
      </c>
      <c r="AX55" s="594">
        <f>AVERAGE($BE$198:$BE$263)</f>
        <v>9.7524545454545433E-2</v>
      </c>
      <c r="AY55" s="594">
        <f>AVERAGE($BE$264:$BE$328)</f>
        <v>9.215830769230772E-2</v>
      </c>
      <c r="AZ55" s="595">
        <f>AVERAGE(AV55:AY55)</f>
        <v>9.5075667820524762E-2</v>
      </c>
      <c r="BA55" s="594">
        <f>AVERAGE($BE$329:$BE$390)</f>
        <v>9.0872258064516154E-2</v>
      </c>
      <c r="BB55" s="594">
        <f>AVERAGE($BE$391:$BE$454)</f>
        <v>9.1190000000000021E-2</v>
      </c>
      <c r="BC55" s="594">
        <f>AVERAGE($BE$455:$BE$528)</f>
        <v>8.5885810810810828E-2</v>
      </c>
      <c r="BD55" s="594" t="e">
        <f ca="1">_xll.BDP("krwusd curncy","px_last")</f>
        <v>#NAME?</v>
      </c>
      <c r="BE55" s="595" t="e">
        <f ca="1">AVERAGE(BA55:BD55)</f>
        <v>#NAME?</v>
      </c>
      <c r="BF55" s="594" t="e">
        <f ca="1">_xll.BDP("krwusd curncy","px_last")</f>
        <v>#NAME?</v>
      </c>
      <c r="BG55" s="594" t="e">
        <f ca="1">_xll.BDP("krwusd curncy","px_last")</f>
        <v>#NAME?</v>
      </c>
      <c r="BH55" s="594" t="e">
        <f ca="1">_xll.BDP("krwusd curncy","px_last")</f>
        <v>#NAME?</v>
      </c>
      <c r="BI55" s="594" t="e">
        <f ca="1">_xll.BDP("krwusd curncy","px_last")</f>
        <v>#NAME?</v>
      </c>
      <c r="BJ55" s="595" t="e">
        <f ca="1">_xll.BDP("krwusd curncy","px_last")</f>
        <v>#NAME?</v>
      </c>
      <c r="BK55" s="311"/>
      <c r="BL55" s="311"/>
      <c r="BM55" s="311"/>
      <c r="BN55" s="311"/>
      <c r="BO55" s="311"/>
      <c r="BP55" s="311"/>
      <c r="BQ55" s="311"/>
      <c r="BR55" s="311"/>
      <c r="BS55" s="311"/>
      <c r="BT55" s="311"/>
      <c r="BU55" s="311"/>
      <c r="BV55" s="311"/>
      <c r="BW55" s="311"/>
      <c r="BX55" s="311"/>
      <c r="BY55" s="311"/>
      <c r="BZ55" s="311"/>
      <c r="CA55" s="311"/>
      <c r="CB55" s="311"/>
      <c r="CC55" s="311"/>
      <c r="CD55" s="311"/>
      <c r="CE55" s="591"/>
    </row>
    <row r="56" spans="2:83">
      <c r="B56" s="596" t="s">
        <v>198</v>
      </c>
      <c r="C56" s="597"/>
      <c r="D56" s="429"/>
      <c r="E56" s="429"/>
      <c r="F56" s="429"/>
      <c r="G56" s="429"/>
      <c r="H56" s="429"/>
      <c r="I56" s="429"/>
      <c r="J56" s="429"/>
      <c r="K56" s="429"/>
      <c r="L56" s="429"/>
      <c r="M56" s="429"/>
      <c r="N56" s="429"/>
      <c r="O56" s="429"/>
      <c r="P56" s="429"/>
      <c r="Q56" s="429"/>
      <c r="R56" s="429"/>
      <c r="S56" s="429"/>
      <c r="T56" s="429"/>
      <c r="U56" s="429"/>
      <c r="V56" s="429"/>
      <c r="W56" s="429"/>
      <c r="X56" s="429"/>
      <c r="Y56" s="429"/>
      <c r="Z56" s="429"/>
      <c r="AA56" s="429"/>
      <c r="AB56" s="429"/>
      <c r="AC56" s="429"/>
      <c r="AD56" s="429"/>
      <c r="AE56" s="429"/>
      <c r="AF56" s="429"/>
      <c r="AG56" s="429"/>
      <c r="AH56" s="429"/>
      <c r="AI56" s="429"/>
      <c r="AJ56" s="429"/>
      <c r="AK56" s="429"/>
      <c r="AL56" s="429"/>
      <c r="AM56" s="429"/>
      <c r="AN56" s="429"/>
      <c r="AO56" s="429"/>
      <c r="AP56" s="429"/>
      <c r="AQ56" s="429"/>
      <c r="AR56" s="429"/>
      <c r="AS56" s="429"/>
      <c r="AT56" s="429"/>
      <c r="AU56" s="329"/>
      <c r="AV56" s="429"/>
      <c r="AW56" s="429"/>
      <c r="AX56" s="429"/>
      <c r="AY56" s="429"/>
      <c r="AZ56" s="605"/>
      <c r="BA56" s="599">
        <f>BA55/AV55-1</f>
        <v>-2.7761373724853877E-2</v>
      </c>
      <c r="BB56" s="599">
        <f t="shared" ref="BB56:BJ56" si="19">BB55/AW55-1</f>
        <v>-6.137535603882327E-2</v>
      </c>
      <c r="BC56" s="599">
        <f t="shared" si="19"/>
        <v>-0.11934159333415428</v>
      </c>
      <c r="BD56" s="599" t="e">
        <f t="shared" ca="1" si="19"/>
        <v>#NAME?</v>
      </c>
      <c r="BE56" s="600" t="e">
        <f t="shared" ca="1" si="19"/>
        <v>#NAME?</v>
      </c>
      <c r="BF56" s="599" t="e">
        <f t="shared" ca="1" si="19"/>
        <v>#NAME?</v>
      </c>
      <c r="BG56" s="599" t="e">
        <f t="shared" ca="1" si="19"/>
        <v>#NAME?</v>
      </c>
      <c r="BH56" s="599" t="e">
        <f t="shared" ca="1" si="19"/>
        <v>#NAME?</v>
      </c>
      <c r="BI56" s="599" t="e">
        <f t="shared" ca="1" si="19"/>
        <v>#NAME?</v>
      </c>
      <c r="BJ56" s="600" t="e">
        <f t="shared" ca="1" si="19"/>
        <v>#NAME?</v>
      </c>
      <c r="BK56" s="311"/>
      <c r="BL56" s="311"/>
      <c r="BM56" s="311"/>
      <c r="BN56" s="311"/>
      <c r="BO56" s="311"/>
      <c r="BP56" s="311"/>
      <c r="BQ56" s="311"/>
      <c r="BR56" s="311"/>
      <c r="BS56" s="311"/>
      <c r="BT56" s="311"/>
      <c r="BU56" s="311"/>
      <c r="BV56" s="311"/>
      <c r="BW56" s="311"/>
      <c r="BX56" s="311"/>
      <c r="BY56" s="311"/>
      <c r="BZ56" s="311"/>
      <c r="CA56" s="311"/>
      <c r="CB56" s="311"/>
      <c r="CC56" s="311"/>
      <c r="CD56" s="311"/>
      <c r="CE56" s="591"/>
    </row>
    <row r="57" spans="2:83">
      <c r="B57" s="592"/>
      <c r="C57" s="618"/>
      <c r="D57" s="429"/>
      <c r="E57" s="429"/>
      <c r="F57" s="429"/>
      <c r="G57" s="429"/>
      <c r="H57" s="429"/>
      <c r="I57" s="429"/>
      <c r="J57" s="429"/>
      <c r="K57" s="429"/>
      <c r="L57" s="429"/>
      <c r="M57" s="429"/>
      <c r="N57" s="429"/>
      <c r="O57" s="429"/>
      <c r="P57" s="429"/>
      <c r="Q57" s="429"/>
      <c r="R57" s="429"/>
      <c r="S57" s="429"/>
      <c r="T57" s="429"/>
      <c r="U57" s="429"/>
      <c r="V57" s="429"/>
      <c r="W57" s="429"/>
      <c r="X57" s="429"/>
      <c r="Y57" s="429"/>
      <c r="Z57" s="429"/>
      <c r="AA57" s="429"/>
      <c r="AB57" s="429"/>
      <c r="AC57" s="429"/>
      <c r="AD57" s="429"/>
      <c r="AE57" s="429"/>
      <c r="AF57" s="429"/>
      <c r="AG57" s="429"/>
      <c r="AH57" s="429"/>
      <c r="AI57" s="429"/>
      <c r="AJ57" s="429"/>
      <c r="AK57" s="429"/>
      <c r="AL57" s="429"/>
      <c r="AM57" s="429"/>
      <c r="AN57" s="429"/>
      <c r="AO57" s="429"/>
      <c r="AP57" s="429"/>
      <c r="AQ57" s="429"/>
      <c r="AR57" s="429"/>
      <c r="AS57" s="429"/>
      <c r="AT57" s="429"/>
      <c r="AU57" s="329"/>
      <c r="AV57" s="429"/>
      <c r="AW57" s="429"/>
      <c r="AX57" s="429"/>
      <c r="AY57" s="429"/>
      <c r="AZ57" s="311"/>
      <c r="BA57" s="429"/>
      <c r="BB57" s="429"/>
      <c r="BC57" s="429"/>
      <c r="BD57" s="429"/>
      <c r="BE57" s="311"/>
      <c r="BF57" s="429"/>
      <c r="BG57" s="429"/>
      <c r="BH57" s="429"/>
      <c r="BI57" s="429"/>
      <c r="BJ57" s="311"/>
      <c r="BK57" s="311"/>
      <c r="BL57" s="311"/>
      <c r="BM57" s="311"/>
      <c r="BN57" s="311"/>
      <c r="BO57" s="311"/>
      <c r="BP57" s="311"/>
      <c r="BQ57" s="311"/>
      <c r="BR57" s="311"/>
      <c r="BS57" s="311"/>
      <c r="BT57" s="311"/>
      <c r="BU57" s="311"/>
      <c r="BV57" s="311"/>
      <c r="BW57" s="311"/>
      <c r="BX57" s="311"/>
      <c r="BY57" s="311"/>
      <c r="BZ57" s="311"/>
      <c r="CA57" s="311"/>
      <c r="CB57" s="311"/>
      <c r="CC57" s="311"/>
      <c r="CD57" s="311"/>
      <c r="CE57" s="591"/>
    </row>
    <row r="58" spans="2:83">
      <c r="B58" s="592" t="s">
        <v>215</v>
      </c>
      <c r="C58" s="593">
        <v>0.1</v>
      </c>
      <c r="D58" s="429"/>
      <c r="E58" s="429"/>
      <c r="F58" s="429"/>
      <c r="G58" s="429"/>
      <c r="H58" s="429"/>
      <c r="I58" s="429"/>
      <c r="J58" s="429"/>
      <c r="K58" s="429"/>
      <c r="L58" s="429"/>
      <c r="M58" s="429"/>
      <c r="N58" s="429"/>
      <c r="O58" s="429"/>
      <c r="P58" s="429"/>
      <c r="Q58" s="429"/>
      <c r="R58" s="429"/>
      <c r="S58" s="429"/>
      <c r="T58" s="429"/>
      <c r="U58" s="429"/>
      <c r="V58" s="429"/>
      <c r="W58" s="429"/>
      <c r="X58" s="429"/>
      <c r="Y58" s="429"/>
      <c r="Z58" s="429"/>
      <c r="AA58" s="429"/>
      <c r="AB58" s="429"/>
      <c r="AC58" s="429"/>
      <c r="AD58" s="429"/>
      <c r="AE58" s="429"/>
      <c r="AF58" s="429"/>
      <c r="AG58" s="429"/>
      <c r="AH58" s="429"/>
      <c r="AI58" s="429"/>
      <c r="AJ58" s="429"/>
      <c r="AK58" s="429"/>
      <c r="AL58" s="429"/>
      <c r="AM58" s="429"/>
      <c r="AN58" s="429"/>
      <c r="AO58" s="429"/>
      <c r="AP58" s="429"/>
      <c r="AQ58" s="429"/>
      <c r="AR58" s="429"/>
      <c r="AS58" s="429"/>
      <c r="AT58" s="429"/>
      <c r="AU58" s="329"/>
      <c r="AV58" s="594">
        <f>AVERAGE($BG$72:$BG$134)</f>
        <v>1.6192428571428566E-2</v>
      </c>
      <c r="AW58" s="594">
        <f>AVERAGE($BG$135:$BG$199)</f>
        <v>1.6730215384615384E-2</v>
      </c>
      <c r="AX58" s="594">
        <f>AVERAGE($BG$200:$BG$265)</f>
        <v>1.6499772727272724E-2</v>
      </c>
      <c r="AY58" s="594">
        <f>AVERAGE($BG$266:$BG$328)</f>
        <v>1.6143984126984132E-2</v>
      </c>
      <c r="AZ58" s="595">
        <f>AVERAGE(AV58:AY58)</f>
        <v>1.6391600202575202E-2</v>
      </c>
      <c r="BA58" s="594">
        <f>AVERAGE($BG$329:$BG$392)</f>
        <v>1.6074953124999999E-2</v>
      </c>
      <c r="BB58" s="594">
        <f>AVERAGE($BG$393:$BG$455)</f>
        <v>1.5764031746031748E-2</v>
      </c>
      <c r="BC58" s="594">
        <f>AVERAGE($BG$456:$BG$521)</f>
        <v>1.5397045454545455E-2</v>
      </c>
      <c r="BD58" s="594" t="e">
        <f ca="1">_xll.BDP("inrusd curncy","px_last")</f>
        <v>#NAME?</v>
      </c>
      <c r="BE58" s="595" t="e">
        <f ca="1">AVERAGE(BA58:BD58)</f>
        <v>#NAME?</v>
      </c>
      <c r="BF58" s="594" t="e">
        <f ca="1">_xll.BDP("inrusd curncy","px_last")</f>
        <v>#NAME?</v>
      </c>
      <c r="BG58" s="594" t="e">
        <f ca="1">_xll.BDP("inrusd curncy","px_last")</f>
        <v>#NAME?</v>
      </c>
      <c r="BH58" s="594" t="e">
        <f ca="1">_xll.BDP("inrusd curncy","px_last")</f>
        <v>#NAME?</v>
      </c>
      <c r="BI58" s="594" t="e">
        <f ca="1">_xll.BDP("inrusd curncy","px_last")</f>
        <v>#NAME?</v>
      </c>
      <c r="BJ58" s="595" t="e">
        <f ca="1">_xll.BDP("inrusd curncy","px_last")</f>
        <v>#NAME?</v>
      </c>
      <c r="BK58" s="311"/>
      <c r="BL58" s="311"/>
      <c r="BM58" s="311"/>
      <c r="BN58" s="311"/>
      <c r="BO58" s="311"/>
      <c r="BP58" s="311"/>
      <c r="BQ58" s="311"/>
      <c r="BR58" s="311"/>
      <c r="BS58" s="311"/>
      <c r="BT58" s="311"/>
      <c r="BU58" s="311"/>
      <c r="BV58" s="311"/>
      <c r="BW58" s="311"/>
      <c r="BX58" s="311"/>
      <c r="BY58" s="311"/>
      <c r="BZ58" s="311"/>
      <c r="CA58" s="311"/>
      <c r="CB58" s="311"/>
      <c r="CC58" s="311"/>
      <c r="CD58" s="311"/>
      <c r="CE58" s="591"/>
    </row>
    <row r="59" spans="2:83">
      <c r="B59" s="596" t="s">
        <v>198</v>
      </c>
      <c r="C59" s="597"/>
      <c r="D59" s="429"/>
      <c r="E59" s="429"/>
      <c r="F59" s="429"/>
      <c r="G59" s="429"/>
      <c r="H59" s="429"/>
      <c r="I59" s="429"/>
      <c r="J59" s="429"/>
      <c r="K59" s="429"/>
      <c r="L59" s="429"/>
      <c r="M59" s="429"/>
      <c r="N59" s="429"/>
      <c r="O59" s="429"/>
      <c r="P59" s="429"/>
      <c r="Q59" s="429"/>
      <c r="R59" s="429"/>
      <c r="S59" s="429"/>
      <c r="T59" s="429"/>
      <c r="U59" s="429"/>
      <c r="V59" s="429"/>
      <c r="W59" s="429"/>
      <c r="X59" s="429"/>
      <c r="Y59" s="429"/>
      <c r="Z59" s="429"/>
      <c r="AA59" s="429"/>
      <c r="AB59" s="429"/>
      <c r="AC59" s="429"/>
      <c r="AD59" s="429"/>
      <c r="AE59" s="429"/>
      <c r="AF59" s="429"/>
      <c r="AG59" s="429"/>
      <c r="AH59" s="429"/>
      <c r="AI59" s="429"/>
      <c r="AJ59" s="429"/>
      <c r="AK59" s="429"/>
      <c r="AL59" s="429"/>
      <c r="AM59" s="429"/>
      <c r="AN59" s="429"/>
      <c r="AO59" s="429"/>
      <c r="AP59" s="429"/>
      <c r="AQ59" s="429"/>
      <c r="AR59" s="429"/>
      <c r="AS59" s="429"/>
      <c r="AT59" s="429"/>
      <c r="AU59" s="329"/>
      <c r="AV59" s="429"/>
      <c r="AW59" s="429"/>
      <c r="AX59" s="429"/>
      <c r="AY59" s="429"/>
      <c r="AZ59" s="605"/>
      <c r="BA59" s="599">
        <f>BA58/AV58-1</f>
        <v>-7.2549615340500306E-3</v>
      </c>
      <c r="BB59" s="599">
        <f t="shared" ref="BB59:BJ59" si="20">BB58/AW58-1</f>
        <v>-5.7750818884980459E-2</v>
      </c>
      <c r="BC59" s="599">
        <f t="shared" si="20"/>
        <v>-6.6832876485901749E-2</v>
      </c>
      <c r="BD59" s="599" t="e">
        <f t="shared" ca="1" si="20"/>
        <v>#NAME?</v>
      </c>
      <c r="BE59" s="600" t="e">
        <f t="shared" ca="1" si="20"/>
        <v>#NAME?</v>
      </c>
      <c r="BF59" s="599" t="e">
        <f t="shared" ca="1" si="20"/>
        <v>#NAME?</v>
      </c>
      <c r="BG59" s="599" t="e">
        <f t="shared" ca="1" si="20"/>
        <v>#NAME?</v>
      </c>
      <c r="BH59" s="599" t="e">
        <f t="shared" ca="1" si="20"/>
        <v>#NAME?</v>
      </c>
      <c r="BI59" s="599" t="e">
        <f t="shared" ca="1" si="20"/>
        <v>#NAME?</v>
      </c>
      <c r="BJ59" s="600" t="e">
        <f t="shared" ca="1" si="20"/>
        <v>#NAME?</v>
      </c>
      <c r="BK59" s="311"/>
      <c r="BL59" s="311"/>
      <c r="BM59" s="311"/>
      <c r="BN59" s="311"/>
      <c r="BO59" s="311"/>
      <c r="BP59" s="311"/>
      <c r="BQ59" s="311"/>
      <c r="BR59" s="311"/>
      <c r="BS59" s="311"/>
      <c r="BT59" s="311"/>
      <c r="BU59" s="311"/>
      <c r="BV59" s="311"/>
      <c r="BW59" s="311"/>
      <c r="BX59" s="311"/>
      <c r="BY59" s="311"/>
      <c r="BZ59" s="311"/>
      <c r="CA59" s="311"/>
      <c r="CB59" s="311"/>
      <c r="CC59" s="311"/>
      <c r="CD59" s="311"/>
      <c r="CE59" s="591"/>
    </row>
    <row r="60" spans="2:83">
      <c r="B60" s="592"/>
      <c r="C60" s="618"/>
      <c r="D60" s="429"/>
      <c r="E60" s="429"/>
      <c r="F60" s="429"/>
      <c r="G60" s="429"/>
      <c r="H60" s="429"/>
      <c r="I60" s="429"/>
      <c r="J60" s="429"/>
      <c r="K60" s="429"/>
      <c r="L60" s="429"/>
      <c r="M60" s="429"/>
      <c r="N60" s="429"/>
      <c r="O60" s="429"/>
      <c r="P60" s="429"/>
      <c r="Q60" s="429"/>
      <c r="R60" s="429"/>
      <c r="S60" s="429"/>
      <c r="T60" s="429"/>
      <c r="U60" s="429"/>
      <c r="V60" s="429"/>
      <c r="W60" s="429"/>
      <c r="X60" s="429"/>
      <c r="Y60" s="429"/>
      <c r="Z60" s="429"/>
      <c r="AA60" s="429"/>
      <c r="AB60" s="429"/>
      <c r="AC60" s="429"/>
      <c r="AD60" s="429"/>
      <c r="AE60" s="429"/>
      <c r="AF60" s="429"/>
      <c r="AG60" s="429"/>
      <c r="AH60" s="429"/>
      <c r="AI60" s="429"/>
      <c r="AJ60" s="429"/>
      <c r="AK60" s="429"/>
      <c r="AL60" s="429"/>
      <c r="AM60" s="429"/>
      <c r="AN60" s="429"/>
      <c r="AO60" s="429"/>
      <c r="AP60" s="429"/>
      <c r="AQ60" s="429"/>
      <c r="AR60" s="429"/>
      <c r="AS60" s="429"/>
      <c r="AT60" s="429"/>
      <c r="AU60" s="329"/>
      <c r="AV60" s="429"/>
      <c r="AW60" s="429"/>
      <c r="AX60" s="429"/>
      <c r="AY60" s="429"/>
      <c r="AZ60" s="311"/>
      <c r="BA60" s="429"/>
      <c r="BB60" s="429"/>
      <c r="BC60" s="429"/>
      <c r="BD60" s="429"/>
      <c r="BE60" s="311"/>
      <c r="BF60" s="429"/>
      <c r="BG60" s="429"/>
      <c r="BH60" s="429"/>
      <c r="BI60" s="429"/>
      <c r="BJ60" s="311"/>
      <c r="BK60" s="311"/>
      <c r="BL60" s="311"/>
      <c r="BM60" s="311"/>
      <c r="BN60" s="311"/>
      <c r="BO60" s="311"/>
      <c r="BP60" s="311"/>
      <c r="BQ60" s="311"/>
      <c r="BR60" s="311"/>
      <c r="BS60" s="311"/>
      <c r="BT60" s="311"/>
      <c r="BU60" s="311"/>
      <c r="BV60" s="311"/>
      <c r="BW60" s="311"/>
      <c r="BX60" s="311"/>
      <c r="BY60" s="311"/>
      <c r="BZ60" s="311"/>
      <c r="CA60" s="311"/>
      <c r="CB60" s="311"/>
      <c r="CC60" s="311"/>
      <c r="CD60" s="311"/>
      <c r="CE60" s="591"/>
    </row>
    <row r="61" spans="2:83">
      <c r="B61" s="592" t="s">
        <v>216</v>
      </c>
      <c r="C61" s="593">
        <v>0.05</v>
      </c>
      <c r="D61" s="429"/>
      <c r="E61" s="429"/>
      <c r="F61" s="429"/>
      <c r="G61" s="429"/>
      <c r="H61" s="429"/>
      <c r="I61" s="429"/>
      <c r="J61" s="429"/>
      <c r="K61" s="429"/>
      <c r="L61" s="429"/>
      <c r="M61" s="429"/>
      <c r="N61" s="429"/>
      <c r="O61" s="429"/>
      <c r="P61" s="429"/>
      <c r="Q61" s="429"/>
      <c r="R61" s="429"/>
      <c r="S61" s="429"/>
      <c r="T61" s="429"/>
      <c r="U61" s="429"/>
      <c r="V61" s="429"/>
      <c r="W61" s="429"/>
      <c r="X61" s="429"/>
      <c r="Y61" s="429"/>
      <c r="Z61" s="429"/>
      <c r="AA61" s="429"/>
      <c r="AB61" s="429"/>
      <c r="AC61" s="429"/>
      <c r="AD61" s="429"/>
      <c r="AE61" s="429"/>
      <c r="AF61" s="429"/>
      <c r="AG61" s="429"/>
      <c r="AH61" s="429"/>
      <c r="AI61" s="429"/>
      <c r="AJ61" s="429"/>
      <c r="AK61" s="429"/>
      <c r="AL61" s="429"/>
      <c r="AM61" s="429"/>
      <c r="AN61" s="429"/>
      <c r="AO61" s="429"/>
      <c r="AP61" s="429"/>
      <c r="AQ61" s="429"/>
      <c r="AR61" s="429"/>
      <c r="AS61" s="429"/>
      <c r="AT61" s="429"/>
      <c r="AU61" s="329"/>
      <c r="AV61" s="594">
        <f>AVERAGE($BI$73:$BI$136)</f>
        <v>8.473753124999997E-2</v>
      </c>
      <c r="AW61" s="594">
        <f>AVERAGE($BI$137:$BI$197)</f>
        <v>8.6212196721311501E-2</v>
      </c>
      <c r="AX61" s="594">
        <f>AVERAGE($BI$198:$BI$263)</f>
        <v>8.5122045454545422E-2</v>
      </c>
      <c r="AY61" s="594">
        <f>AVERAGE($BI$264:$BI$328)</f>
        <v>8.1736338461538466E-2</v>
      </c>
      <c r="AZ61" s="595">
        <f>AVERAGE(AV61:AY61)</f>
        <v>8.4452027971848836E-2</v>
      </c>
      <c r="BA61" s="594">
        <f>AVERAGE($BI$329:$BI$390)</f>
        <v>7.8371064516129046E-2</v>
      </c>
      <c r="BB61" s="594">
        <f>AVERAGE($BI$391:$BI$454)</f>
        <v>7.6385703124999996E-2</v>
      </c>
      <c r="BC61" s="594">
        <f>AVERAGE($BI$455:$BI$528)</f>
        <v>7.2425337837837833E-2</v>
      </c>
      <c r="BD61" s="594" t="e">
        <f ca="1">_xll.BDP("idrusd curncy","px_last")</f>
        <v>#NAME?</v>
      </c>
      <c r="BE61" s="595" t="e">
        <f ca="1">AVERAGE(BA61:BD61)</f>
        <v>#NAME?</v>
      </c>
      <c r="BF61" s="594" t="e">
        <f ca="1">_xll.BDP("idrusd curncy","px_last")</f>
        <v>#NAME?</v>
      </c>
      <c r="BG61" s="594" t="e">
        <f ca="1">_xll.BDP("idrusd curncy","px_last")</f>
        <v>#NAME?</v>
      </c>
      <c r="BH61" s="594" t="e">
        <f ca="1">_xll.BDP("idrusd curncy","px_last")</f>
        <v>#NAME?</v>
      </c>
      <c r="BI61" s="594" t="e">
        <f ca="1">_xll.BDP("idrusd curncy","px_last")</f>
        <v>#NAME?</v>
      </c>
      <c r="BJ61" s="595" t="e">
        <f ca="1">_xll.BDP("idrusd curncy","px_last")</f>
        <v>#NAME?</v>
      </c>
      <c r="BK61" s="311"/>
      <c r="BL61" s="311"/>
      <c r="BM61" s="311"/>
      <c r="BN61" s="311"/>
      <c r="BO61" s="311"/>
      <c r="BP61" s="311"/>
      <c r="BQ61" s="311"/>
      <c r="BR61" s="311"/>
      <c r="BS61" s="311"/>
      <c r="BT61" s="311"/>
      <c r="BU61" s="311"/>
      <c r="BV61" s="311"/>
      <c r="BW61" s="311"/>
      <c r="BX61" s="311"/>
      <c r="BY61" s="311"/>
      <c r="BZ61" s="311"/>
      <c r="CA61" s="311"/>
      <c r="CB61" s="311"/>
      <c r="CC61" s="311"/>
      <c r="CD61" s="311"/>
      <c r="CE61" s="591"/>
    </row>
    <row r="62" spans="2:83">
      <c r="B62" s="596" t="s">
        <v>198</v>
      </c>
      <c r="C62" s="618"/>
      <c r="D62" s="429"/>
      <c r="E62" s="429"/>
      <c r="F62" s="429"/>
      <c r="G62" s="429"/>
      <c r="H62" s="429"/>
      <c r="I62" s="429"/>
      <c r="J62" s="429"/>
      <c r="K62" s="429"/>
      <c r="L62" s="429"/>
      <c r="M62" s="429"/>
      <c r="N62" s="429"/>
      <c r="O62" s="429"/>
      <c r="P62" s="429"/>
      <c r="Q62" s="429"/>
      <c r="R62" s="429"/>
      <c r="S62" s="429"/>
      <c r="T62" s="429"/>
      <c r="U62" s="429"/>
      <c r="V62" s="429"/>
      <c r="W62" s="429"/>
      <c r="X62" s="429"/>
      <c r="Y62" s="429"/>
      <c r="Z62" s="429"/>
      <c r="AA62" s="429"/>
      <c r="AB62" s="429"/>
      <c r="AC62" s="429"/>
      <c r="AD62" s="429"/>
      <c r="AE62" s="429"/>
      <c r="AF62" s="429"/>
      <c r="AG62" s="429"/>
      <c r="AH62" s="429"/>
      <c r="AI62" s="429"/>
      <c r="AJ62" s="429"/>
      <c r="AK62" s="429"/>
      <c r="AL62" s="429"/>
      <c r="AM62" s="429"/>
      <c r="AN62" s="429"/>
      <c r="AO62" s="429"/>
      <c r="AP62" s="429"/>
      <c r="AQ62" s="429"/>
      <c r="AR62" s="429"/>
      <c r="AS62" s="429"/>
      <c r="AT62" s="429"/>
      <c r="AU62" s="329"/>
      <c r="AV62" s="429"/>
      <c r="AW62" s="429"/>
      <c r="AX62" s="429"/>
      <c r="AY62" s="429"/>
      <c r="AZ62" s="605"/>
      <c r="BA62" s="599">
        <f>BA61/AV61-1</f>
        <v>-7.5131605086393494E-2</v>
      </c>
      <c r="BB62" s="599">
        <f t="shared" ref="BB62:BJ62" si="21">BB61/AW61-1</f>
        <v>-0.11398031798304031</v>
      </c>
      <c r="BC62" s="599">
        <f t="shared" si="21"/>
        <v>-0.14915886418034374</v>
      </c>
      <c r="BD62" s="599" t="e">
        <f t="shared" ca="1" si="21"/>
        <v>#NAME?</v>
      </c>
      <c r="BE62" s="600" t="e">
        <f t="shared" ca="1" si="21"/>
        <v>#NAME?</v>
      </c>
      <c r="BF62" s="599" t="e">
        <f t="shared" ca="1" si="21"/>
        <v>#NAME?</v>
      </c>
      <c r="BG62" s="599" t="e">
        <f t="shared" ca="1" si="21"/>
        <v>#NAME?</v>
      </c>
      <c r="BH62" s="599" t="e">
        <f t="shared" ca="1" si="21"/>
        <v>#NAME?</v>
      </c>
      <c r="BI62" s="599" t="e">
        <f t="shared" ca="1" si="21"/>
        <v>#NAME?</v>
      </c>
      <c r="BJ62" s="600" t="e">
        <f t="shared" ca="1" si="21"/>
        <v>#NAME?</v>
      </c>
      <c r="BK62" s="311"/>
      <c r="BL62" s="311"/>
      <c r="BM62" s="311"/>
      <c r="BN62" s="311"/>
      <c r="BO62" s="311"/>
      <c r="BP62" s="311"/>
      <c r="BQ62" s="311"/>
      <c r="BR62" s="311"/>
      <c r="BS62" s="311"/>
      <c r="BT62" s="311"/>
      <c r="BU62" s="311"/>
      <c r="BV62" s="311"/>
      <c r="BW62" s="311"/>
      <c r="BX62" s="311"/>
      <c r="BY62" s="311"/>
      <c r="BZ62" s="311"/>
      <c r="CA62" s="311"/>
      <c r="CB62" s="311"/>
      <c r="CC62" s="311"/>
      <c r="CD62" s="311"/>
      <c r="CE62" s="591"/>
    </row>
    <row r="63" spans="2:83" ht="12.75" customHeight="1">
      <c r="B63" s="592"/>
      <c r="C63" s="618"/>
      <c r="D63" s="429"/>
      <c r="E63" s="429"/>
      <c r="F63" s="429"/>
      <c r="G63" s="429"/>
      <c r="H63" s="429"/>
      <c r="I63" s="429"/>
      <c r="J63" s="429"/>
      <c r="K63" s="429"/>
      <c r="L63" s="429"/>
      <c r="M63" s="429"/>
      <c r="N63" s="429"/>
      <c r="O63" s="429"/>
      <c r="P63" s="429"/>
      <c r="Q63" s="429"/>
      <c r="R63" s="429"/>
      <c r="S63" s="429"/>
      <c r="T63" s="429"/>
      <c r="U63" s="429"/>
      <c r="V63" s="429"/>
      <c r="W63" s="429"/>
      <c r="X63" s="429"/>
      <c r="Y63" s="429"/>
      <c r="Z63" s="429"/>
      <c r="AA63" s="429"/>
      <c r="AB63" s="429"/>
      <c r="AC63" s="429"/>
      <c r="AD63" s="429"/>
      <c r="AE63" s="429"/>
      <c r="AF63" s="429"/>
      <c r="AG63" s="429"/>
      <c r="AH63" s="429"/>
      <c r="AI63" s="429"/>
      <c r="AJ63" s="429"/>
      <c r="AK63" s="429"/>
      <c r="AL63" s="429"/>
      <c r="AM63" s="429"/>
      <c r="AN63" s="429"/>
      <c r="AO63" s="429"/>
      <c r="AP63" s="429"/>
      <c r="AQ63" s="429"/>
      <c r="AR63" s="429"/>
      <c r="AS63" s="429"/>
      <c r="AT63" s="429"/>
      <c r="AU63" s="329"/>
      <c r="AV63" s="429"/>
      <c r="AW63" s="429"/>
      <c r="AX63" s="429"/>
      <c r="AY63" s="429"/>
      <c r="AZ63" s="311"/>
      <c r="BA63" s="429"/>
      <c r="BB63" s="429"/>
      <c r="BC63" s="429"/>
      <c r="BD63" s="429"/>
      <c r="BE63" s="311"/>
      <c r="BF63" s="429"/>
      <c r="BG63" s="429"/>
      <c r="BH63" s="429"/>
      <c r="BI63" s="429"/>
      <c r="BJ63" s="311"/>
      <c r="BK63" s="311"/>
      <c r="BL63" s="311"/>
      <c r="BM63" s="311"/>
      <c r="BN63" s="311"/>
      <c r="BO63" s="311"/>
      <c r="BP63" s="311"/>
      <c r="BQ63" s="311"/>
      <c r="BR63" s="311"/>
      <c r="BS63" s="311"/>
      <c r="BT63" s="311"/>
      <c r="BU63" s="311"/>
      <c r="BV63" s="311"/>
      <c r="BW63" s="311"/>
      <c r="BX63" s="311"/>
      <c r="BY63" s="311"/>
      <c r="BZ63" s="311"/>
      <c r="CA63" s="311"/>
      <c r="CB63" s="311"/>
      <c r="CC63" s="311"/>
      <c r="CD63" s="311"/>
      <c r="CE63" s="591"/>
    </row>
    <row r="64" spans="2:83">
      <c r="B64" s="592" t="s">
        <v>217</v>
      </c>
      <c r="C64" s="593">
        <v>0.05</v>
      </c>
      <c r="D64" s="429"/>
      <c r="E64" s="429"/>
      <c r="F64" s="429"/>
      <c r="G64" s="429"/>
      <c r="H64" s="429"/>
      <c r="I64" s="429"/>
      <c r="J64" s="429"/>
      <c r="K64" s="429"/>
      <c r="L64" s="429"/>
      <c r="M64" s="429"/>
      <c r="N64" s="429"/>
      <c r="O64" s="429"/>
      <c r="P64" s="429"/>
      <c r="Q64" s="429"/>
      <c r="R64" s="429"/>
      <c r="S64" s="429"/>
      <c r="T64" s="429"/>
      <c r="U64" s="429"/>
      <c r="V64" s="429"/>
      <c r="W64" s="429"/>
      <c r="X64" s="429"/>
      <c r="Y64" s="429"/>
      <c r="Z64" s="429"/>
      <c r="AA64" s="429"/>
      <c r="AB64" s="429"/>
      <c r="AC64" s="429"/>
      <c r="AD64" s="429"/>
      <c r="AE64" s="429"/>
      <c r="AF64" s="429"/>
      <c r="AG64" s="429"/>
      <c r="AH64" s="429"/>
      <c r="AI64" s="429"/>
      <c r="AJ64" s="429"/>
      <c r="AK64" s="429"/>
      <c r="AL64" s="429"/>
      <c r="AM64" s="429"/>
      <c r="AN64" s="429"/>
      <c r="AO64" s="429"/>
      <c r="AP64" s="429"/>
      <c r="AQ64" s="429"/>
      <c r="AR64" s="429"/>
      <c r="AS64" s="429"/>
      <c r="AT64" s="429"/>
      <c r="AU64" s="429"/>
      <c r="AV64" s="594">
        <f>AVERAGE($BK$73:$BK$136)</f>
        <v>3.0637515624999997E-2</v>
      </c>
      <c r="AW64" s="594">
        <f>AVERAGE($BK$137:$BK$197)</f>
        <v>3.0821655737704932E-2</v>
      </c>
      <c r="AX64" s="594">
        <f>AVERAGE($BK$198:$BK$263)</f>
        <v>3.1142742424242417E-2</v>
      </c>
      <c r="AY64" s="594">
        <f>AVERAGE($BK$264:$BK$328)</f>
        <v>3.0597707692307689E-2</v>
      </c>
      <c r="AZ64" s="595">
        <f>AVERAGE(AV64:AY64)</f>
        <v>3.0799905369813758E-2</v>
      </c>
      <c r="BA64" s="594">
        <f>AVERAGE($BK$329:$BK$390)</f>
        <v>3.0609032258064515E-2</v>
      </c>
      <c r="BB64" s="594">
        <f>AVERAGE($BK$391:$BK$454)</f>
        <v>3.0195249999999996E-2</v>
      </c>
      <c r="BC64" s="594">
        <f>AVERAGE($BK$455:$BK$528)</f>
        <v>2.848602702702703E-2</v>
      </c>
      <c r="BD64" s="594" t="e">
        <f ca="1">_xll.BDP("thbusd curncy","px_last")</f>
        <v>#NAME?</v>
      </c>
      <c r="BE64" s="595" t="e">
        <f ca="1">AVERAGE(BA64:BD64)</f>
        <v>#NAME?</v>
      </c>
      <c r="BF64" s="594" t="e">
        <f ca="1">_xll.BDP("thbusd curncy","px_last")</f>
        <v>#NAME?</v>
      </c>
      <c r="BG64" s="594" t="e">
        <f ca="1">_xll.BDP("thbusd curncy","px_last")</f>
        <v>#NAME?</v>
      </c>
      <c r="BH64" s="594" t="e">
        <f ca="1">_xll.BDP("thbusd curncy","px_last")</f>
        <v>#NAME?</v>
      </c>
      <c r="BI64" s="594" t="e">
        <f ca="1">_xll.BDP("thbusd curncy","px_last")</f>
        <v>#NAME?</v>
      </c>
      <c r="BJ64" s="595" t="e">
        <f ca="1">_xll.BDP("thbusd curncy","px_last")</f>
        <v>#NAME?</v>
      </c>
      <c r="BK64" s="311"/>
      <c r="BL64" s="311"/>
      <c r="BM64" s="311"/>
      <c r="BN64" s="311"/>
      <c r="BO64" s="311"/>
      <c r="BP64" s="311"/>
      <c r="BQ64" s="311"/>
      <c r="BR64" s="311"/>
      <c r="BS64" s="311"/>
      <c r="BT64" s="311"/>
      <c r="BU64" s="311"/>
      <c r="BV64" s="311"/>
      <c r="BW64" s="311"/>
      <c r="BX64" s="311"/>
      <c r="BY64" s="311"/>
      <c r="BZ64" s="311"/>
      <c r="CA64" s="311"/>
      <c r="CB64" s="311"/>
      <c r="CC64" s="311"/>
      <c r="CD64" s="311"/>
      <c r="CE64" s="591"/>
    </row>
    <row r="65" spans="2:83">
      <c r="B65" s="596" t="s">
        <v>198</v>
      </c>
      <c r="C65" s="597"/>
      <c r="D65" s="429"/>
      <c r="E65" s="429"/>
      <c r="F65" s="429"/>
      <c r="G65" s="429"/>
      <c r="H65" s="429"/>
      <c r="I65" s="429"/>
      <c r="J65" s="429"/>
      <c r="K65" s="429"/>
      <c r="L65" s="429"/>
      <c r="M65" s="429"/>
      <c r="N65" s="429"/>
      <c r="O65" s="429"/>
      <c r="P65" s="429"/>
      <c r="Q65" s="429"/>
      <c r="R65" s="429"/>
      <c r="S65" s="429"/>
      <c r="T65" s="429"/>
      <c r="U65" s="429"/>
      <c r="V65" s="429"/>
      <c r="W65" s="429"/>
      <c r="X65" s="429"/>
      <c r="Y65" s="429"/>
      <c r="Z65" s="429"/>
      <c r="AA65" s="429"/>
      <c r="AB65" s="429"/>
      <c r="AC65" s="429"/>
      <c r="AD65" s="429"/>
      <c r="AE65" s="429"/>
      <c r="AF65" s="429"/>
      <c r="AG65" s="429"/>
      <c r="AH65" s="429"/>
      <c r="AI65" s="429"/>
      <c r="AJ65" s="429"/>
      <c r="AK65" s="429"/>
      <c r="AL65" s="429"/>
      <c r="AM65" s="429"/>
      <c r="AN65" s="429"/>
      <c r="AO65" s="429"/>
      <c r="AP65" s="429"/>
      <c r="AQ65" s="429"/>
      <c r="AR65" s="429"/>
      <c r="AS65" s="429"/>
      <c r="AT65" s="429"/>
      <c r="AU65" s="429"/>
      <c r="AV65" s="429"/>
      <c r="AW65" s="429"/>
      <c r="AX65" s="429"/>
      <c r="AY65" s="429"/>
      <c r="AZ65" s="605"/>
      <c r="BA65" s="599">
        <f>BA64/AV64-1</f>
        <v>-9.2968918511915355E-4</v>
      </c>
      <c r="BB65" s="599">
        <f t="shared" ref="BB65:BJ65" si="22">BB64/AW64-1</f>
        <v>-2.0323558962428989E-2</v>
      </c>
      <c r="BC65" s="599">
        <f t="shared" si="22"/>
        <v>-8.5307689381501683E-2</v>
      </c>
      <c r="BD65" s="599" t="e">
        <f t="shared" ca="1" si="22"/>
        <v>#NAME?</v>
      </c>
      <c r="BE65" s="600" t="e">
        <f t="shared" ca="1" si="22"/>
        <v>#NAME?</v>
      </c>
      <c r="BF65" s="599" t="e">
        <f t="shared" ca="1" si="22"/>
        <v>#NAME?</v>
      </c>
      <c r="BG65" s="599" t="e">
        <f t="shared" ca="1" si="22"/>
        <v>#NAME?</v>
      </c>
      <c r="BH65" s="599" t="e">
        <f t="shared" ca="1" si="22"/>
        <v>#NAME?</v>
      </c>
      <c r="BI65" s="599" t="e">
        <f t="shared" ca="1" si="22"/>
        <v>#NAME?</v>
      </c>
      <c r="BJ65" s="600" t="e">
        <f t="shared" ca="1" si="22"/>
        <v>#NAME?</v>
      </c>
      <c r="BK65" s="311"/>
      <c r="BL65" s="311"/>
      <c r="BM65" s="311"/>
      <c r="BN65" s="311"/>
      <c r="BO65" s="311"/>
      <c r="BP65" s="311"/>
      <c r="BQ65" s="311"/>
      <c r="BR65" s="311"/>
      <c r="BS65" s="311"/>
      <c r="BT65" s="311"/>
      <c r="BU65" s="311"/>
      <c r="BV65" s="311"/>
      <c r="BW65" s="311"/>
      <c r="BX65" s="311"/>
      <c r="BY65" s="311"/>
      <c r="BZ65" s="311"/>
      <c r="CA65" s="311"/>
      <c r="CB65" s="311"/>
      <c r="CC65" s="311"/>
      <c r="CD65" s="311"/>
      <c r="CE65" s="591"/>
    </row>
    <row r="66" spans="2:83">
      <c r="B66" s="596"/>
      <c r="C66" s="597"/>
      <c r="D66" s="429"/>
      <c r="E66" s="429"/>
      <c r="F66" s="429"/>
      <c r="G66" s="429"/>
      <c r="H66" s="429"/>
      <c r="I66" s="429"/>
      <c r="J66" s="429"/>
      <c r="K66" s="429"/>
      <c r="L66" s="429"/>
      <c r="M66" s="429"/>
      <c r="N66" s="429"/>
      <c r="O66" s="429"/>
      <c r="P66" s="429"/>
      <c r="Q66" s="429"/>
      <c r="R66" s="429"/>
      <c r="S66" s="429"/>
      <c r="T66" s="429"/>
      <c r="U66" s="429"/>
      <c r="V66" s="429"/>
      <c r="W66" s="429"/>
      <c r="X66" s="429"/>
      <c r="Y66" s="429"/>
      <c r="Z66" s="429"/>
      <c r="AA66" s="429"/>
      <c r="AB66" s="429"/>
      <c r="AC66" s="429"/>
      <c r="AD66" s="429"/>
      <c r="AE66" s="429"/>
      <c r="AF66" s="429"/>
      <c r="AG66" s="429"/>
      <c r="AH66" s="429"/>
      <c r="AI66" s="429"/>
      <c r="AJ66" s="429"/>
      <c r="AK66" s="429"/>
      <c r="AL66" s="429"/>
      <c r="AM66" s="429"/>
      <c r="AN66" s="429"/>
      <c r="AO66" s="429"/>
      <c r="AP66" s="429"/>
      <c r="AQ66" s="429"/>
      <c r="AR66" s="429"/>
      <c r="AS66" s="429"/>
      <c r="AT66" s="429"/>
      <c r="AU66" s="429"/>
      <c r="AV66" s="429"/>
      <c r="AW66" s="429"/>
      <c r="AX66" s="429"/>
      <c r="AY66" s="429"/>
      <c r="AZ66" s="311"/>
      <c r="BA66" s="429"/>
      <c r="BB66" s="429"/>
      <c r="BC66" s="429"/>
      <c r="BD66" s="429"/>
      <c r="BE66" s="311"/>
      <c r="BF66" s="429"/>
      <c r="BG66" s="429"/>
      <c r="BH66" s="429"/>
      <c r="BI66" s="429"/>
      <c r="BJ66" s="311"/>
      <c r="BK66" s="311"/>
      <c r="BL66" s="311"/>
      <c r="BM66" s="311"/>
      <c r="BN66" s="311"/>
      <c r="BO66" s="311"/>
      <c r="BP66" s="311"/>
      <c r="BQ66" s="311"/>
      <c r="BR66" s="311"/>
      <c r="BS66" s="311"/>
      <c r="BT66" s="311"/>
      <c r="BU66" s="311"/>
      <c r="BV66" s="311"/>
      <c r="BW66" s="311"/>
      <c r="BX66" s="311"/>
      <c r="BY66" s="311"/>
      <c r="BZ66" s="311"/>
      <c r="CA66" s="311"/>
      <c r="CB66" s="311"/>
      <c r="CC66" s="311"/>
      <c r="CD66" s="311"/>
      <c r="CE66" s="591"/>
    </row>
    <row r="67" spans="2:83">
      <c r="B67" s="611" t="s">
        <v>203</v>
      </c>
      <c r="C67" s="612">
        <f>SUM(C52:C66)</f>
        <v>1</v>
      </c>
      <c r="D67" s="429"/>
      <c r="E67" s="429"/>
      <c r="F67" s="429"/>
      <c r="G67" s="429"/>
      <c r="H67" s="429"/>
      <c r="I67" s="429"/>
      <c r="J67" s="429"/>
      <c r="K67" s="429"/>
      <c r="L67" s="429"/>
      <c r="M67" s="429"/>
      <c r="N67" s="429"/>
      <c r="O67" s="429"/>
      <c r="P67" s="429"/>
      <c r="Q67" s="429"/>
      <c r="R67" s="429"/>
      <c r="S67" s="429"/>
      <c r="T67" s="429"/>
      <c r="U67" s="429"/>
      <c r="V67" s="429"/>
      <c r="W67" s="429"/>
      <c r="X67" s="429"/>
      <c r="Y67" s="429"/>
      <c r="Z67" s="429"/>
      <c r="AA67" s="429"/>
      <c r="AB67" s="429"/>
      <c r="AC67" s="429"/>
      <c r="AD67" s="429"/>
      <c r="AE67" s="429"/>
      <c r="AF67" s="429"/>
      <c r="AG67" s="429"/>
      <c r="AH67" s="429"/>
      <c r="AI67" s="429"/>
      <c r="AJ67" s="429"/>
      <c r="AK67" s="429"/>
      <c r="AL67" s="429"/>
      <c r="AM67" s="429"/>
      <c r="AN67" s="429"/>
      <c r="AO67" s="429"/>
      <c r="AP67" s="429"/>
      <c r="AQ67" s="429"/>
      <c r="AR67" s="429"/>
      <c r="AS67" s="429"/>
      <c r="AT67" s="429"/>
      <c r="AU67" s="429"/>
      <c r="AV67" s="429"/>
      <c r="AW67" s="429"/>
      <c r="AX67" s="429"/>
      <c r="AY67" s="429"/>
      <c r="AZ67" s="602"/>
      <c r="BA67" s="613">
        <f>$C$52*BA53+$C$55*BA56+$C$58*BA59+$C$61*BA62+$C$64*BA65</f>
        <v>-2.3743187687165237E-2</v>
      </c>
      <c r="BB67" s="613">
        <f t="shared" ref="BB67:BJ67" si="23">$C$52*BB53+$C$55*BB56+$C$58*BB59+$C$61*BB62+$C$64*BB65</f>
        <v>-2.8521407432586937E-2</v>
      </c>
      <c r="BC67" s="613">
        <f t="shared" si="23"/>
        <v>-6.5100325789050659E-2</v>
      </c>
      <c r="BD67" s="613" t="e">
        <f t="shared" ca="1" si="23"/>
        <v>#NAME?</v>
      </c>
      <c r="BE67" s="619" t="e">
        <f t="shared" ca="1" si="23"/>
        <v>#NAME?</v>
      </c>
      <c r="BF67" s="613" t="e">
        <f t="shared" ca="1" si="23"/>
        <v>#NAME?</v>
      </c>
      <c r="BG67" s="613" t="e">
        <f t="shared" ca="1" si="23"/>
        <v>#NAME?</v>
      </c>
      <c r="BH67" s="613" t="e">
        <f t="shared" ca="1" si="23"/>
        <v>#NAME?</v>
      </c>
      <c r="BI67" s="613" t="e">
        <f t="shared" ca="1" si="23"/>
        <v>#NAME?</v>
      </c>
      <c r="BJ67" s="619" t="e">
        <f t="shared" ca="1" si="23"/>
        <v>#NAME?</v>
      </c>
      <c r="BK67" s="602"/>
      <c r="BL67" s="602"/>
      <c r="BM67" s="602"/>
      <c r="BN67" s="602"/>
      <c r="BO67" s="602"/>
      <c r="BP67" s="602"/>
      <c r="BQ67" s="602"/>
      <c r="BR67" s="602"/>
      <c r="BS67" s="602"/>
      <c r="BT67" s="602"/>
      <c r="BU67" s="602"/>
      <c r="BV67" s="602"/>
      <c r="BW67" s="602"/>
      <c r="BX67" s="602"/>
      <c r="BY67" s="602"/>
      <c r="BZ67" s="602"/>
      <c r="CA67" s="602"/>
      <c r="CB67" s="602"/>
      <c r="CC67" s="602"/>
      <c r="CD67" s="602"/>
      <c r="CE67" s="591"/>
    </row>
    <row r="68" spans="2:83">
      <c r="B68" s="611" t="s">
        <v>204</v>
      </c>
      <c r="C68" s="610"/>
      <c r="D68" s="429"/>
      <c r="E68" s="429"/>
      <c r="F68" s="429"/>
      <c r="G68" s="429"/>
      <c r="H68" s="429"/>
      <c r="I68" s="429"/>
      <c r="J68" s="429"/>
      <c r="K68" s="429"/>
      <c r="L68" s="429"/>
      <c r="M68" s="429"/>
      <c r="N68" s="429"/>
      <c r="O68" s="429"/>
      <c r="P68" s="429"/>
      <c r="Q68" s="429"/>
      <c r="R68" s="429"/>
      <c r="S68" s="429"/>
      <c r="T68" s="429"/>
      <c r="U68" s="429"/>
      <c r="V68" s="429"/>
      <c r="W68" s="429"/>
      <c r="X68" s="429"/>
      <c r="Y68" s="429"/>
      <c r="Z68" s="429"/>
      <c r="AA68" s="429"/>
      <c r="AB68" s="429"/>
      <c r="AC68" s="429"/>
      <c r="AD68" s="429"/>
      <c r="AE68" s="429"/>
      <c r="AF68" s="429"/>
      <c r="AG68" s="429"/>
      <c r="AH68" s="429"/>
      <c r="AI68" s="429"/>
      <c r="AJ68" s="429"/>
      <c r="AK68" s="429"/>
      <c r="AL68" s="429"/>
      <c r="AM68" s="429"/>
      <c r="AN68" s="429"/>
      <c r="AO68" s="429"/>
      <c r="AP68" s="429"/>
      <c r="AQ68" s="429"/>
      <c r="AR68" s="429"/>
      <c r="AS68" s="429"/>
      <c r="AT68" s="429"/>
      <c r="AU68" s="429"/>
      <c r="AV68" s="429"/>
      <c r="AW68" s="429"/>
      <c r="AX68" s="429"/>
      <c r="AY68" s="429"/>
      <c r="AZ68" s="311"/>
      <c r="BA68" s="599">
        <f>Sales!BA135</f>
        <v>-3.0172413793103425E-2</v>
      </c>
      <c r="BB68" s="599">
        <f>Sales!BB135</f>
        <v>-3.0198383541513524E-2</v>
      </c>
      <c r="BC68" s="599">
        <f>Sales!BC135</f>
        <v>-8.1618981158408821E-2</v>
      </c>
      <c r="BD68" s="429"/>
      <c r="BE68" s="311"/>
      <c r="BF68" s="54"/>
      <c r="BG68" s="54"/>
      <c r="BH68" s="54"/>
      <c r="BI68" s="54"/>
      <c r="BJ68" s="311"/>
      <c r="BK68" s="311"/>
      <c r="BL68" s="311"/>
      <c r="BM68" s="311"/>
      <c r="BN68" s="311"/>
      <c r="BO68" s="311"/>
      <c r="BP68" s="311"/>
      <c r="BQ68" s="311"/>
      <c r="BR68" s="311"/>
      <c r="BS68" s="311"/>
      <c r="BT68" s="311"/>
      <c r="BU68" s="311"/>
      <c r="BV68" s="311"/>
      <c r="BW68" s="311"/>
      <c r="BX68" s="311"/>
      <c r="BY68" s="311"/>
      <c r="BZ68" s="311"/>
      <c r="CA68" s="311"/>
      <c r="CB68" s="311"/>
      <c r="CC68" s="311"/>
      <c r="CD68" s="311"/>
      <c r="CE68" s="591"/>
    </row>
    <row r="69" spans="2:83">
      <c r="B69" s="592"/>
      <c r="C69" s="620"/>
      <c r="D69" s="429"/>
      <c r="E69" s="429"/>
      <c r="F69" s="429"/>
      <c r="G69" s="429"/>
      <c r="H69" s="429"/>
      <c r="I69" s="429"/>
      <c r="J69" s="429"/>
      <c r="K69" s="429"/>
      <c r="L69" s="429"/>
      <c r="M69" s="429"/>
      <c r="N69" s="429"/>
      <c r="O69" s="429"/>
      <c r="P69" s="429"/>
      <c r="Q69" s="429"/>
      <c r="R69" s="429"/>
      <c r="S69" s="429"/>
      <c r="T69" s="429"/>
      <c r="U69" s="429"/>
      <c r="V69" s="429"/>
      <c r="W69" s="429"/>
      <c r="X69" s="429"/>
      <c r="Y69" s="429"/>
      <c r="Z69" s="429"/>
      <c r="AA69" s="429"/>
      <c r="AB69" s="429"/>
      <c r="AC69" s="429"/>
      <c r="AD69" s="429"/>
      <c r="AE69" s="429"/>
      <c r="AF69" s="429"/>
      <c r="AG69" s="429"/>
      <c r="AH69" s="429"/>
      <c r="AI69" s="429"/>
      <c r="AJ69" s="429"/>
      <c r="AK69" s="429"/>
      <c r="AL69" s="429"/>
      <c r="AM69" s="429"/>
      <c r="AN69" s="429"/>
      <c r="AO69" s="429"/>
      <c r="AP69" s="429"/>
      <c r="AQ69" s="429"/>
      <c r="AR69" s="429"/>
      <c r="AS69" s="429"/>
      <c r="AT69" s="429"/>
      <c r="AU69" s="429"/>
      <c r="AV69" s="429"/>
      <c r="AW69" s="429"/>
      <c r="AX69" s="429"/>
      <c r="AY69" s="429"/>
      <c r="AZ69" s="610"/>
      <c r="BA69" s="429"/>
      <c r="BB69" s="429"/>
      <c r="BC69" s="429"/>
      <c r="BD69" s="429"/>
      <c r="BE69" s="610"/>
      <c r="BF69" s="429"/>
      <c r="BG69" s="429"/>
      <c r="BH69" s="429"/>
      <c r="BI69" s="429"/>
      <c r="BJ69" s="610"/>
      <c r="BK69" s="610"/>
      <c r="BL69" s="610"/>
      <c r="BM69" s="610"/>
      <c r="BN69" s="610"/>
      <c r="BO69" s="610"/>
      <c r="BP69" s="610"/>
      <c r="BQ69" s="610"/>
      <c r="BR69" s="610"/>
      <c r="BS69" s="610"/>
      <c r="BT69" s="610"/>
      <c r="BU69" s="610"/>
      <c r="BV69" s="610"/>
      <c r="BW69" s="610"/>
      <c r="BX69" s="610"/>
      <c r="BY69" s="610"/>
      <c r="BZ69" s="610"/>
      <c r="CA69" s="610"/>
      <c r="CB69" s="610"/>
      <c r="CC69" s="610"/>
      <c r="CD69" s="610"/>
      <c r="CE69" s="591"/>
    </row>
    <row r="70" spans="2:83">
      <c r="B70" s="621"/>
      <c r="C70" s="621"/>
      <c r="D70" s="621"/>
      <c r="E70" s="621"/>
      <c r="F70" s="621"/>
      <c r="G70" s="621"/>
      <c r="H70" s="621"/>
      <c r="I70" s="621"/>
      <c r="J70" s="621"/>
      <c r="K70" s="621"/>
      <c r="L70" s="621"/>
      <c r="M70" s="621"/>
      <c r="N70" s="621"/>
      <c r="O70" s="621"/>
      <c r="P70" s="621"/>
      <c r="Q70" s="621"/>
      <c r="R70" s="621"/>
      <c r="S70" s="621"/>
      <c r="T70" s="621"/>
      <c r="U70" s="621"/>
      <c r="V70" s="621"/>
      <c r="W70" s="621"/>
      <c r="X70" s="621"/>
      <c r="Y70" s="621"/>
      <c r="Z70" s="621"/>
      <c r="AA70" s="621"/>
      <c r="AB70" s="621"/>
      <c r="AC70" s="621"/>
      <c r="AD70" s="621"/>
      <c r="AE70" s="621"/>
      <c r="AF70" s="621"/>
      <c r="AG70" s="621"/>
      <c r="AH70" s="621"/>
      <c r="AI70" s="621"/>
      <c r="AJ70" s="621"/>
      <c r="AK70" s="621"/>
      <c r="AL70" s="621"/>
      <c r="AM70" s="621"/>
      <c r="AN70" s="621"/>
      <c r="AO70" s="621"/>
      <c r="AP70" s="621"/>
      <c r="AQ70" s="621"/>
      <c r="AR70" s="621"/>
      <c r="AS70" s="621"/>
      <c r="AT70" s="621"/>
      <c r="AU70" s="621"/>
      <c r="AV70" s="621"/>
      <c r="AW70" s="621"/>
      <c r="AX70" s="621"/>
      <c r="AY70" s="621"/>
      <c r="AZ70" s="621"/>
      <c r="BA70" s="621"/>
      <c r="BB70" s="621"/>
      <c r="BC70" s="621"/>
      <c r="BD70" s="621"/>
      <c r="BE70" s="621"/>
      <c r="BF70" s="621"/>
      <c r="BG70" s="621"/>
      <c r="BH70" s="621"/>
      <c r="BI70" s="621"/>
      <c r="BJ70" s="621"/>
      <c r="BK70" s="621"/>
      <c r="BL70" s="621"/>
      <c r="BM70" s="621"/>
      <c r="BN70" s="621"/>
      <c r="BO70" s="621"/>
      <c r="BP70" s="621"/>
      <c r="BQ70" s="621"/>
      <c r="BR70" s="621"/>
      <c r="BS70" s="621"/>
      <c r="BT70" s="621"/>
      <c r="BU70" s="621"/>
      <c r="BV70" s="621"/>
      <c r="BW70" s="621"/>
      <c r="BX70" s="621"/>
      <c r="BY70" s="621"/>
      <c r="BZ70" s="621"/>
      <c r="CA70" s="621"/>
      <c r="CB70" s="621"/>
      <c r="CC70" s="621"/>
      <c r="CD70" s="621"/>
      <c r="CE70" s="591"/>
    </row>
    <row r="71" spans="2:83">
      <c r="B71" s="591"/>
      <c r="C71" s="591"/>
      <c r="D71" s="591"/>
      <c r="E71" s="591"/>
      <c r="F71" s="591"/>
      <c r="G71" s="591"/>
      <c r="H71" s="591"/>
      <c r="I71" s="591"/>
      <c r="J71" s="591"/>
      <c r="K71" s="591"/>
      <c r="L71" s="591"/>
      <c r="M71" s="591"/>
      <c r="N71" s="591"/>
      <c r="O71" s="591"/>
      <c r="P71" s="591"/>
      <c r="Q71" s="591"/>
      <c r="R71" s="591"/>
      <c r="S71" s="591"/>
      <c r="T71" s="591"/>
      <c r="U71" s="591"/>
      <c r="V71" s="591"/>
      <c r="W71" s="591"/>
      <c r="X71" s="591"/>
      <c r="Y71" s="591"/>
      <c r="Z71" s="591"/>
      <c r="AA71" s="591"/>
      <c r="AB71" s="591"/>
      <c r="AC71" s="591"/>
      <c r="AD71" s="591"/>
      <c r="AE71" s="591"/>
      <c r="AF71" s="591"/>
      <c r="AG71" s="591"/>
      <c r="AH71" s="591"/>
      <c r="AI71" s="591"/>
      <c r="AJ71" s="591"/>
      <c r="AK71" s="591"/>
      <c r="AL71" s="591"/>
      <c r="AM71" s="591"/>
      <c r="AN71" s="591"/>
      <c r="AO71" s="591"/>
      <c r="AP71" s="591"/>
      <c r="AQ71" s="591"/>
      <c r="AR71" s="591"/>
      <c r="AS71" s="591"/>
      <c r="AT71" s="591"/>
      <c r="AU71" s="591"/>
      <c r="AV71" s="591"/>
      <c r="AW71" s="591" t="s">
        <v>218</v>
      </c>
      <c r="AX71" s="591"/>
      <c r="AY71" s="591" t="s">
        <v>219</v>
      </c>
      <c r="AZ71" s="591"/>
      <c r="BA71" s="591" t="s">
        <v>220</v>
      </c>
      <c r="BB71" s="591"/>
      <c r="BC71" s="591" t="s">
        <v>221</v>
      </c>
      <c r="BD71" s="591"/>
      <c r="BE71" s="591" t="s">
        <v>222</v>
      </c>
      <c r="BF71" s="591"/>
      <c r="BG71" s="591" t="s">
        <v>223</v>
      </c>
      <c r="BH71" s="591"/>
      <c r="BI71" s="591" t="s">
        <v>224</v>
      </c>
      <c r="BJ71" s="591"/>
      <c r="BK71" s="591" t="s">
        <v>225</v>
      </c>
      <c r="BL71" s="591"/>
      <c r="BM71" s="591"/>
      <c r="BN71" s="591"/>
      <c r="BO71" s="591"/>
      <c r="BP71" s="591"/>
      <c r="BQ71" s="591"/>
      <c r="BR71" s="591"/>
      <c r="BS71" s="591"/>
      <c r="BT71" s="591"/>
      <c r="BU71" s="591"/>
      <c r="BV71" s="591"/>
      <c r="BW71" s="591"/>
      <c r="BX71" s="591"/>
      <c r="BY71" s="591"/>
      <c r="BZ71" s="591"/>
      <c r="CA71" s="591"/>
      <c r="CB71" s="591"/>
      <c r="CC71" s="591"/>
      <c r="CD71" s="591"/>
      <c r="CE71" s="591"/>
    </row>
    <row r="72" spans="2:83">
      <c r="AV72" s="622" t="e">
        <f ca="1">_xll.BDH(AW71,"PX_LAST","01/1/14","","per=d","cols=2;rows=560")</f>
        <v>#NAME?</v>
      </c>
      <c r="AW72" s="623">
        <v>0.41760000000000003</v>
      </c>
      <c r="AX72" s="622" t="e">
        <f ca="1">_xll.BDH(AY71,"PX_LAST","01/1/14","","per=d","cols=2;rows=575")</f>
        <v>#NAME?</v>
      </c>
      <c r="AY72" s="623">
        <v>3.04E-2</v>
      </c>
      <c r="AZ72" s="622" t="e">
        <f ca="1">_xll.BDH(BA71,"PX_LAST","01/1/14","","per=d","cols=2;rows=575")</f>
        <v>#NAME?</v>
      </c>
      <c r="BA72" s="623">
        <v>1.2E-2</v>
      </c>
      <c r="BB72" s="622" t="e">
        <f ca="1">_xll.BDH(BC71,"PX_LAST","01/1/14","","per=d","cols=2;rows=575")</f>
        <v>#NAME?</v>
      </c>
      <c r="BC72" s="623">
        <v>0.33119999999999999</v>
      </c>
      <c r="BD72" s="622" t="e">
        <f ca="1">_xll.BDH(BE71,"PX_LAST","01/1/14","","per=d","cols=2;rows=575")</f>
        <v>#NAME?</v>
      </c>
      <c r="BE72" s="623">
        <v>9.4710000000000003E-2</v>
      </c>
      <c r="BF72" s="622" t="e">
        <f ca="1">_xll.BDH(BG71,"PX_LAST","01/1/14","","per=d","cols=2;rows=566")</f>
        <v>#NAME?</v>
      </c>
      <c r="BG72" s="623">
        <v>1.6157999999999999E-2</v>
      </c>
      <c r="BH72" s="622" t="e">
        <f ca="1">_xll.BDH(BI71,"PX_LAST","01/1/14","","per=d","cols=2;rows=575")</f>
        <v>#NAME?</v>
      </c>
      <c r="BI72" s="623">
        <v>8.2169000000000006E-2</v>
      </c>
      <c r="BJ72" s="622" t="e">
        <f ca="1">_xll.BDH(BK71,"PX_LAST","01/1/14","","per=d","cols=2;rows=575")</f>
        <v>#NAME?</v>
      </c>
      <c r="BK72" s="623">
        <v>3.0553E-2</v>
      </c>
    </row>
    <row r="73" spans="2:83">
      <c r="D73" s="355">
        <v>3.6020000000000003E-2</v>
      </c>
      <c r="AV73" s="624">
        <v>41642</v>
      </c>
      <c r="AW73" s="355">
        <v>0.4199</v>
      </c>
      <c r="AX73" s="624">
        <v>41641</v>
      </c>
      <c r="AY73" s="355">
        <v>3.0210000000000001E-2</v>
      </c>
      <c r="AZ73" s="624">
        <v>41641</v>
      </c>
      <c r="BA73" s="355">
        <v>1.1900000000000001E-2</v>
      </c>
      <c r="BB73" s="624">
        <v>41641</v>
      </c>
      <c r="BC73" s="355">
        <v>0.32800000000000001</v>
      </c>
      <c r="BD73" s="624">
        <v>41641</v>
      </c>
      <c r="BE73" s="355">
        <v>9.5180000000000001E-2</v>
      </c>
      <c r="BF73" s="624">
        <v>41641</v>
      </c>
      <c r="BG73" s="355">
        <v>1.6046000000000001E-2</v>
      </c>
      <c r="BH73" s="624">
        <v>41641</v>
      </c>
      <c r="BI73" s="355">
        <v>8.2461000000000007E-2</v>
      </c>
      <c r="BJ73" s="624">
        <v>41641</v>
      </c>
      <c r="BK73" s="355">
        <v>3.0331E-2</v>
      </c>
    </row>
    <row r="74" spans="2:83">
      <c r="C74" s="624"/>
      <c r="D74" s="355">
        <v>3.6060000000000002E-2</v>
      </c>
      <c r="AV74" s="624">
        <v>41645</v>
      </c>
      <c r="AW74" s="355">
        <v>0.42059999999999997</v>
      </c>
      <c r="AX74" s="624">
        <v>41642</v>
      </c>
      <c r="AY74" s="355">
        <v>3.014E-2</v>
      </c>
      <c r="AZ74" s="624">
        <v>41642</v>
      </c>
      <c r="BA74" s="355">
        <v>1.18E-2</v>
      </c>
      <c r="BB74" s="624">
        <v>41642</v>
      </c>
      <c r="BC74" s="355">
        <v>0.3261</v>
      </c>
      <c r="BD74" s="624">
        <v>41642</v>
      </c>
      <c r="BE74" s="355">
        <v>9.4740000000000005E-2</v>
      </c>
      <c r="BF74" s="624">
        <v>41642</v>
      </c>
      <c r="BG74" s="355">
        <v>1.6056000000000001E-2</v>
      </c>
      <c r="BH74" s="624">
        <v>41642</v>
      </c>
      <c r="BI74" s="355">
        <v>8.2507999999999998E-2</v>
      </c>
      <c r="BJ74" s="624">
        <v>41642</v>
      </c>
      <c r="BK74" s="355">
        <v>3.0294000000000001E-2</v>
      </c>
    </row>
    <row r="75" spans="2:83">
      <c r="C75" s="624"/>
      <c r="D75" s="355">
        <v>3.5869999999999999E-2</v>
      </c>
      <c r="AV75" s="624">
        <v>41646</v>
      </c>
      <c r="AW75" s="355">
        <v>0.42159999999999997</v>
      </c>
      <c r="AX75" s="624">
        <v>41645</v>
      </c>
      <c r="AY75" s="355">
        <v>3.014E-2</v>
      </c>
      <c r="AZ75" s="624">
        <v>41645</v>
      </c>
      <c r="BA75" s="355">
        <v>1.1900000000000001E-2</v>
      </c>
      <c r="BB75" s="624">
        <v>41645</v>
      </c>
      <c r="BC75" s="355">
        <v>0.32640000000000002</v>
      </c>
      <c r="BD75" s="624">
        <v>41645</v>
      </c>
      <c r="BE75" s="355">
        <v>9.3880000000000005E-2</v>
      </c>
      <c r="BF75" s="624">
        <v>41645</v>
      </c>
      <c r="BG75" s="355">
        <v>1.6048E-2</v>
      </c>
      <c r="BH75" s="624">
        <v>41645</v>
      </c>
      <c r="BI75" s="355">
        <v>8.2020999999999997E-2</v>
      </c>
      <c r="BJ75" s="624">
        <v>41645</v>
      </c>
      <c r="BK75" s="355">
        <v>3.0224999999999998E-2</v>
      </c>
    </row>
    <row r="76" spans="2:83">
      <c r="C76" s="624"/>
      <c r="D76" s="355">
        <v>3.6020000000000003E-2</v>
      </c>
      <c r="AV76" s="624">
        <v>41647</v>
      </c>
      <c r="AW76" s="355">
        <v>0.41799999999999998</v>
      </c>
      <c r="AX76" s="624">
        <v>41646</v>
      </c>
      <c r="AY76" s="355">
        <v>3.0179999999999998E-2</v>
      </c>
      <c r="AZ76" s="624">
        <v>41646</v>
      </c>
      <c r="BA76" s="355">
        <v>1.1900000000000001E-2</v>
      </c>
      <c r="BB76" s="624">
        <v>41646</v>
      </c>
      <c r="BC76" s="355">
        <v>0.3261</v>
      </c>
      <c r="BD76" s="624">
        <v>41646</v>
      </c>
      <c r="BE76" s="355">
        <v>9.3490000000000004E-2</v>
      </c>
      <c r="BF76" s="624">
        <v>41646</v>
      </c>
      <c r="BG76" s="355">
        <v>1.6102000000000002E-2</v>
      </c>
      <c r="BH76" s="624">
        <v>41646</v>
      </c>
      <c r="BI76" s="355">
        <v>8.2794999999999994E-2</v>
      </c>
      <c r="BJ76" s="624">
        <v>41646</v>
      </c>
      <c r="BK76" s="355">
        <v>3.0238999999999999E-2</v>
      </c>
    </row>
    <row r="77" spans="2:83">
      <c r="C77" s="624"/>
      <c r="D77" s="355">
        <v>3.6020000000000003E-2</v>
      </c>
      <c r="AV77" s="624">
        <v>41648</v>
      </c>
      <c r="AW77" s="355">
        <v>0.41830000000000001</v>
      </c>
      <c r="AX77" s="624">
        <v>41647</v>
      </c>
      <c r="AY77" s="355">
        <v>3.0099999999999998E-2</v>
      </c>
      <c r="AZ77" s="624">
        <v>41647</v>
      </c>
      <c r="BA77" s="355">
        <v>1.18E-2</v>
      </c>
      <c r="BB77" s="624">
        <v>41647</v>
      </c>
      <c r="BC77" s="355">
        <v>0.32500000000000001</v>
      </c>
      <c r="BD77" s="624">
        <v>41647</v>
      </c>
      <c r="BE77" s="355">
        <v>9.3670000000000003E-2</v>
      </c>
      <c r="BF77" s="624">
        <v>41647</v>
      </c>
      <c r="BG77" s="355">
        <v>1.6098000000000001E-2</v>
      </c>
      <c r="BH77" s="624">
        <v>41647</v>
      </c>
      <c r="BI77" s="355">
        <v>8.2761000000000001E-2</v>
      </c>
      <c r="BJ77" s="624">
        <v>41647</v>
      </c>
      <c r="BK77" s="355">
        <v>3.0252000000000001E-2</v>
      </c>
    </row>
    <row r="78" spans="2:83">
      <c r="C78" s="624"/>
      <c r="D78" s="355">
        <v>3.5959999999999999E-2</v>
      </c>
      <c r="AV78" s="624">
        <v>41649</v>
      </c>
      <c r="AW78" s="355">
        <v>0.42230000000000001</v>
      </c>
      <c r="AX78" s="624">
        <v>41648</v>
      </c>
      <c r="AY78" s="355">
        <v>3.0130000000000001E-2</v>
      </c>
      <c r="AZ78" s="624">
        <v>41648</v>
      </c>
      <c r="BA78" s="355">
        <v>1.18E-2</v>
      </c>
      <c r="BB78" s="624">
        <v>41648</v>
      </c>
      <c r="BC78" s="355">
        <v>0.32590000000000002</v>
      </c>
      <c r="BD78" s="624">
        <v>41648</v>
      </c>
      <c r="BE78" s="355">
        <v>9.4070000000000001E-2</v>
      </c>
      <c r="BF78" s="624">
        <v>41648</v>
      </c>
      <c r="BG78" s="355">
        <v>1.6129999999999999E-2</v>
      </c>
      <c r="BH78" s="624">
        <v>41648</v>
      </c>
      <c r="BI78" s="355">
        <v>8.3035999999999999E-2</v>
      </c>
      <c r="BJ78" s="624">
        <v>41648</v>
      </c>
      <c r="BK78" s="355">
        <v>3.0280999999999999E-2</v>
      </c>
    </row>
    <row r="79" spans="2:83">
      <c r="C79" s="624"/>
      <c r="D79" s="355">
        <v>3.5770000000000003E-2</v>
      </c>
      <c r="AV79" s="624">
        <v>41652</v>
      </c>
      <c r="AW79" s="355">
        <v>0.42430000000000001</v>
      </c>
      <c r="AX79" s="624">
        <v>41649</v>
      </c>
      <c r="AY79" s="355">
        <v>3.0269999999999998E-2</v>
      </c>
      <c r="AZ79" s="624">
        <v>41649</v>
      </c>
      <c r="BA79" s="355">
        <v>1.1900000000000001E-2</v>
      </c>
      <c r="BB79" s="624">
        <v>41649</v>
      </c>
      <c r="BC79" s="355">
        <v>0.32969999999999999</v>
      </c>
      <c r="BD79" s="624">
        <v>41649</v>
      </c>
      <c r="BE79" s="355">
        <v>9.418E-2</v>
      </c>
      <c r="BF79" s="624">
        <v>41649</v>
      </c>
      <c r="BG79" s="355">
        <v>1.6258999999999999E-2</v>
      </c>
      <c r="BH79" s="624">
        <v>41649</v>
      </c>
      <c r="BI79" s="355">
        <v>8.4495000000000001E-2</v>
      </c>
      <c r="BJ79" s="624">
        <v>41649</v>
      </c>
      <c r="BK79" s="355">
        <v>3.0279E-2</v>
      </c>
    </row>
    <row r="80" spans="2:83">
      <c r="C80" s="624"/>
      <c r="D80" s="355">
        <v>3.5920000000000001E-2</v>
      </c>
      <c r="AV80" s="624">
        <v>41653</v>
      </c>
      <c r="AW80" s="355">
        <v>0.4249</v>
      </c>
      <c r="AX80" s="624">
        <v>41652</v>
      </c>
      <c r="AY80" s="355">
        <v>3.005E-2</v>
      </c>
      <c r="AZ80" s="624">
        <v>41652</v>
      </c>
      <c r="BA80" s="355">
        <v>1.1900000000000001E-2</v>
      </c>
      <c r="BB80" s="624">
        <v>41652</v>
      </c>
      <c r="BC80" s="355">
        <v>0.3291</v>
      </c>
      <c r="BD80" s="624">
        <v>41652</v>
      </c>
      <c r="BE80" s="355">
        <v>9.4520000000000007E-2</v>
      </c>
      <c r="BF80" s="624">
        <v>41652</v>
      </c>
      <c r="BG80" s="355">
        <v>1.6263E-2</v>
      </c>
      <c r="BH80" s="624">
        <v>41652</v>
      </c>
      <c r="BI80" s="355">
        <v>8.4417000000000006E-2</v>
      </c>
      <c r="BJ80" s="624">
        <v>41652</v>
      </c>
      <c r="BK80" s="355">
        <v>3.0335999999999998E-2</v>
      </c>
    </row>
    <row r="81" spans="3:63">
      <c r="C81" s="624"/>
      <c r="D81" s="355">
        <v>3.5839999999999997E-2</v>
      </c>
      <c r="AV81" s="624">
        <v>41654</v>
      </c>
      <c r="AW81" s="355">
        <v>0.42449999999999999</v>
      </c>
      <c r="AX81" s="624">
        <v>41653</v>
      </c>
      <c r="AY81" s="355">
        <v>3.0030000000000001E-2</v>
      </c>
      <c r="AZ81" s="624">
        <v>41653</v>
      </c>
      <c r="BA81" s="355">
        <v>1.18E-2</v>
      </c>
      <c r="BB81" s="624">
        <v>41653</v>
      </c>
      <c r="BC81" s="355">
        <v>0.33019999999999999</v>
      </c>
      <c r="BD81" s="624">
        <v>41653</v>
      </c>
      <c r="BE81" s="355">
        <v>9.4380000000000006E-2</v>
      </c>
      <c r="BF81" s="624">
        <v>41653</v>
      </c>
      <c r="BG81" s="355">
        <v>1.6263E-2</v>
      </c>
      <c r="BH81" s="624">
        <v>41653</v>
      </c>
      <c r="BI81" s="355">
        <v>8.4653000000000006E-2</v>
      </c>
      <c r="BJ81" s="624">
        <v>41653</v>
      </c>
      <c r="BK81" s="355">
        <v>3.0502000000000001E-2</v>
      </c>
    </row>
    <row r="82" spans="3:63">
      <c r="C82" s="624"/>
      <c r="D82" s="355">
        <v>3.5790000000000002E-2</v>
      </c>
      <c r="AV82" s="624">
        <v>41655</v>
      </c>
      <c r="AW82" s="355">
        <v>0.42299999999999999</v>
      </c>
      <c r="AX82" s="624">
        <v>41654</v>
      </c>
      <c r="AY82" s="355">
        <v>2.9940000000000001E-2</v>
      </c>
      <c r="AZ82" s="624">
        <v>41654</v>
      </c>
      <c r="BA82" s="355">
        <v>1.18E-2</v>
      </c>
      <c r="BB82" s="624">
        <v>41654</v>
      </c>
      <c r="BC82" s="355">
        <v>0.32719999999999999</v>
      </c>
      <c r="BD82" s="624">
        <v>41654</v>
      </c>
      <c r="BE82" s="355">
        <v>9.3899999999999997E-2</v>
      </c>
      <c r="BF82" s="624">
        <v>41654</v>
      </c>
      <c r="BG82" s="355">
        <v>1.6254000000000001E-2</v>
      </c>
      <c r="BH82" s="624">
        <v>41654</v>
      </c>
      <c r="BI82" s="355">
        <v>8.2729999999999998E-2</v>
      </c>
      <c r="BJ82" s="624">
        <v>41654</v>
      </c>
      <c r="BK82" s="355">
        <v>3.0426999999999999E-2</v>
      </c>
    </row>
    <row r="83" spans="3:63">
      <c r="C83" s="624"/>
      <c r="D83" s="355">
        <v>3.5650000000000001E-2</v>
      </c>
      <c r="AV83" s="624">
        <v>41656</v>
      </c>
      <c r="AW83" s="355">
        <v>0.42570000000000002</v>
      </c>
      <c r="AX83" s="624">
        <v>41655</v>
      </c>
      <c r="AY83" s="355">
        <v>2.9940000000000001E-2</v>
      </c>
      <c r="AZ83" s="624">
        <v>41655</v>
      </c>
      <c r="BA83" s="355">
        <v>1.18E-2</v>
      </c>
      <c r="BB83" s="624">
        <v>41655</v>
      </c>
      <c r="BC83" s="355">
        <v>0.32690000000000002</v>
      </c>
      <c r="BD83" s="624">
        <v>41655</v>
      </c>
      <c r="BE83" s="355">
        <v>9.4030000000000002E-2</v>
      </c>
      <c r="BF83" s="624">
        <v>41655</v>
      </c>
      <c r="BG83" s="355">
        <v>1.6291E-2</v>
      </c>
      <c r="BH83" s="624">
        <v>41655</v>
      </c>
      <c r="BI83" s="355">
        <v>8.2525000000000001E-2</v>
      </c>
      <c r="BJ83" s="624">
        <v>41655</v>
      </c>
      <c r="BK83" s="355">
        <v>3.0516000000000001E-2</v>
      </c>
    </row>
    <row r="84" spans="3:63">
      <c r="C84" s="624"/>
      <c r="D84" s="355">
        <v>3.5540000000000002E-2</v>
      </c>
      <c r="AV84" s="624">
        <v>41659</v>
      </c>
      <c r="AW84" s="355">
        <v>0.42609999999999998</v>
      </c>
      <c r="AX84" s="624">
        <v>41656</v>
      </c>
      <c r="AY84" s="355">
        <v>2.9780000000000001E-2</v>
      </c>
      <c r="AZ84" s="624">
        <v>41656</v>
      </c>
      <c r="BA84" s="355">
        <v>1.17E-2</v>
      </c>
      <c r="BB84" s="624">
        <v>41656</v>
      </c>
      <c r="BC84" s="355">
        <v>0.32519999999999999</v>
      </c>
      <c r="BD84" s="624">
        <v>41656</v>
      </c>
      <c r="BE84" s="355">
        <v>9.4210000000000002E-2</v>
      </c>
      <c r="BF84" s="624">
        <v>41656</v>
      </c>
      <c r="BG84" s="355">
        <v>1.6226000000000001E-2</v>
      </c>
      <c r="BH84" s="624">
        <v>41656</v>
      </c>
      <c r="BI84" s="355">
        <v>8.2712999999999995E-2</v>
      </c>
      <c r="BJ84" s="624">
        <v>41656</v>
      </c>
      <c r="BK84" s="355">
        <v>3.0474000000000001E-2</v>
      </c>
    </row>
    <row r="85" spans="3:63">
      <c r="C85" s="624"/>
      <c r="D85" s="355">
        <v>3.5540000000000002E-2</v>
      </c>
      <c r="AV85" s="624">
        <v>41660</v>
      </c>
      <c r="AW85" s="355">
        <v>0.42320000000000002</v>
      </c>
      <c r="AX85" s="624">
        <v>41659</v>
      </c>
      <c r="AY85" s="355">
        <v>2.9569999999999999E-2</v>
      </c>
      <c r="AZ85" s="624">
        <v>41659</v>
      </c>
      <c r="BA85" s="355">
        <v>1.18E-2</v>
      </c>
      <c r="BB85" s="624">
        <v>41659</v>
      </c>
      <c r="BC85" s="355">
        <v>0.32579999999999998</v>
      </c>
      <c r="BD85" s="624">
        <v>41659</v>
      </c>
      <c r="BE85" s="355">
        <v>9.3960000000000002E-2</v>
      </c>
      <c r="BF85" s="624">
        <v>41659</v>
      </c>
      <c r="BG85" s="355">
        <v>1.6251000000000002E-2</v>
      </c>
      <c r="BH85" s="624">
        <v>41659</v>
      </c>
      <c r="BI85" s="355">
        <v>8.2556000000000004E-2</v>
      </c>
      <c r="BJ85" s="624">
        <v>41659</v>
      </c>
      <c r="BK85" s="355">
        <v>3.0474999999999999E-2</v>
      </c>
    </row>
    <row r="86" spans="3:63">
      <c r="C86" s="624"/>
      <c r="D86" s="355">
        <v>3.5490000000000001E-2</v>
      </c>
      <c r="AV86" s="624">
        <v>41661</v>
      </c>
      <c r="AW86" s="355">
        <v>0.4214</v>
      </c>
      <c r="AX86" s="624">
        <v>41660</v>
      </c>
      <c r="AY86" s="355">
        <v>2.9430000000000001E-2</v>
      </c>
      <c r="AZ86" s="624">
        <v>41660</v>
      </c>
      <c r="BA86" s="355">
        <v>1.17E-2</v>
      </c>
      <c r="BB86" s="624">
        <v>41660</v>
      </c>
      <c r="BC86" s="355">
        <v>0.3256</v>
      </c>
      <c r="BD86" s="624">
        <v>41660</v>
      </c>
      <c r="BE86" s="355">
        <v>9.3380000000000005E-2</v>
      </c>
      <c r="BF86" s="624">
        <v>41660</v>
      </c>
      <c r="BG86" s="355">
        <v>1.6107E-2</v>
      </c>
      <c r="BH86" s="624">
        <v>41660</v>
      </c>
      <c r="BI86" s="355">
        <v>8.2389000000000004E-2</v>
      </c>
      <c r="BJ86" s="624">
        <v>41660</v>
      </c>
      <c r="BK86" s="355">
        <v>3.0374000000000002E-2</v>
      </c>
    </row>
    <row r="87" spans="3:63">
      <c r="C87" s="624"/>
      <c r="D87" s="355">
        <v>3.5610000000000003E-2</v>
      </c>
      <c r="AV87" s="624">
        <v>41662</v>
      </c>
      <c r="AW87" s="355">
        <v>0.41739999999999999</v>
      </c>
      <c r="AX87" s="624">
        <v>41661</v>
      </c>
      <c r="AY87" s="355">
        <v>2.947E-2</v>
      </c>
      <c r="AZ87" s="624">
        <v>41661</v>
      </c>
      <c r="BA87" s="355">
        <v>1.17E-2</v>
      </c>
      <c r="BB87" s="624">
        <v>41661</v>
      </c>
      <c r="BC87" s="355">
        <v>0.32550000000000001</v>
      </c>
      <c r="BD87" s="624">
        <v>41661</v>
      </c>
      <c r="BE87" s="355">
        <v>9.3670000000000003E-2</v>
      </c>
      <c r="BF87" s="624">
        <v>41661</v>
      </c>
      <c r="BG87" s="355">
        <v>1.6174000000000001E-2</v>
      </c>
      <c r="BH87" s="624">
        <v>41661</v>
      </c>
      <c r="BI87" s="355">
        <v>8.2372000000000001E-2</v>
      </c>
      <c r="BJ87" s="624">
        <v>41661</v>
      </c>
      <c r="BK87" s="355">
        <v>3.0374000000000002E-2</v>
      </c>
    </row>
    <row r="88" spans="3:63">
      <c r="C88" s="624"/>
      <c r="D88" s="355">
        <v>3.5720000000000002E-2</v>
      </c>
      <c r="AV88" s="624">
        <v>41663</v>
      </c>
      <c r="AW88" s="355">
        <v>0.41670000000000001</v>
      </c>
      <c r="AX88" s="624">
        <v>41662</v>
      </c>
      <c r="AY88" s="355">
        <v>2.93E-2</v>
      </c>
      <c r="AZ88" s="624">
        <v>41662</v>
      </c>
      <c r="BA88" s="355">
        <v>1.1900000000000001E-2</v>
      </c>
      <c r="BB88" s="624">
        <v>41662</v>
      </c>
      <c r="BC88" s="355">
        <v>0.32750000000000001</v>
      </c>
      <c r="BD88" s="624">
        <v>41662</v>
      </c>
      <c r="BE88" s="355">
        <v>9.2869999999999994E-2</v>
      </c>
      <c r="BF88" s="624">
        <v>41662</v>
      </c>
      <c r="BG88" s="355">
        <v>1.6087000000000001E-2</v>
      </c>
      <c r="BH88" s="624">
        <v>41662</v>
      </c>
      <c r="BI88" s="355">
        <v>8.2202999999999998E-2</v>
      </c>
      <c r="BJ88" s="624">
        <v>41662</v>
      </c>
      <c r="BK88" s="355">
        <v>3.0414E-2</v>
      </c>
    </row>
    <row r="89" spans="3:63">
      <c r="C89" s="624"/>
      <c r="D89" s="355">
        <v>3.5680000000000003E-2</v>
      </c>
      <c r="AV89" s="624">
        <v>41666</v>
      </c>
      <c r="AW89" s="355">
        <v>0.41310000000000002</v>
      </c>
      <c r="AX89" s="624">
        <v>41663</v>
      </c>
      <c r="AY89" s="355">
        <v>2.9020000000000001E-2</v>
      </c>
      <c r="AZ89" s="624">
        <v>41663</v>
      </c>
      <c r="BA89" s="355">
        <v>1.18E-2</v>
      </c>
      <c r="BB89" s="624">
        <v>41663</v>
      </c>
      <c r="BC89" s="355">
        <v>0.32600000000000001</v>
      </c>
      <c r="BD89" s="624">
        <v>41663</v>
      </c>
      <c r="BE89" s="355">
        <v>9.2069999999999999E-2</v>
      </c>
      <c r="BF89" s="624">
        <v>41663</v>
      </c>
      <c r="BG89" s="355">
        <v>1.5942999999999999E-2</v>
      </c>
      <c r="BH89" s="624">
        <v>41663</v>
      </c>
      <c r="BI89" s="355">
        <v>8.2118999999999998E-2</v>
      </c>
      <c r="BJ89" s="624">
        <v>41663</v>
      </c>
      <c r="BK89" s="355">
        <v>3.0440999999999999E-2</v>
      </c>
    </row>
    <row r="90" spans="3:63">
      <c r="C90" s="624"/>
      <c r="D90" s="355">
        <v>3.5680000000000003E-2</v>
      </c>
      <c r="AV90" s="624">
        <v>41667</v>
      </c>
      <c r="AW90" s="355">
        <v>0.41220000000000001</v>
      </c>
      <c r="AX90" s="624">
        <v>41666</v>
      </c>
      <c r="AY90" s="355">
        <v>2.8910000000000002E-2</v>
      </c>
      <c r="AZ90" s="624">
        <v>41666</v>
      </c>
      <c r="BA90" s="355">
        <v>1.18E-2</v>
      </c>
      <c r="BB90" s="624">
        <v>41666</v>
      </c>
      <c r="BC90" s="355">
        <v>0.32529999999999998</v>
      </c>
      <c r="BD90" s="624">
        <v>41666</v>
      </c>
      <c r="BE90" s="355">
        <v>9.264E-2</v>
      </c>
      <c r="BF90" s="624">
        <v>41666</v>
      </c>
      <c r="BG90" s="355">
        <v>1.5767E-2</v>
      </c>
      <c r="BH90" s="624">
        <v>41666</v>
      </c>
      <c r="BI90" s="355">
        <v>8.1749000000000002E-2</v>
      </c>
      <c r="BJ90" s="624">
        <v>41666</v>
      </c>
      <c r="BK90" s="355">
        <v>3.0391000000000001E-2</v>
      </c>
    </row>
    <row r="91" spans="3:63">
      <c r="C91" s="624"/>
      <c r="D91" s="355">
        <v>3.5610000000000003E-2</v>
      </c>
      <c r="AV91" s="624">
        <v>41668</v>
      </c>
      <c r="AW91" s="355">
        <v>0.41060000000000002</v>
      </c>
      <c r="AX91" s="624">
        <v>41667</v>
      </c>
      <c r="AY91" s="355">
        <v>2.877E-2</v>
      </c>
      <c r="AZ91" s="624">
        <v>41667</v>
      </c>
      <c r="BA91" s="355">
        <v>1.18E-2</v>
      </c>
      <c r="BB91" s="624">
        <v>41667</v>
      </c>
      <c r="BC91" s="355">
        <v>0.32550000000000001</v>
      </c>
      <c r="BD91" s="624">
        <v>41667</v>
      </c>
      <c r="BE91" s="355">
        <v>9.2749999999999999E-2</v>
      </c>
      <c r="BF91" s="624">
        <v>41667</v>
      </c>
      <c r="BG91" s="355">
        <v>1.5934E-2</v>
      </c>
      <c r="BH91" s="624">
        <v>41667</v>
      </c>
      <c r="BI91" s="355">
        <v>8.2033999999999996E-2</v>
      </c>
      <c r="BJ91" s="624">
        <v>41667</v>
      </c>
      <c r="BK91" s="355">
        <v>3.0384999999999999E-2</v>
      </c>
    </row>
    <row r="92" spans="3:63">
      <c r="C92" s="624"/>
      <c r="D92" s="355">
        <v>3.5630000000000002E-2</v>
      </c>
      <c r="AV92" s="624">
        <v>41669</v>
      </c>
      <c r="AW92" s="355">
        <v>0.41499999999999998</v>
      </c>
      <c r="AX92" s="624">
        <v>41668</v>
      </c>
      <c r="AY92" s="355">
        <v>2.8469999999999999E-2</v>
      </c>
      <c r="AZ92" s="624">
        <v>41668</v>
      </c>
      <c r="BA92" s="355">
        <v>1.18E-2</v>
      </c>
      <c r="BB92" s="624">
        <v>41668</v>
      </c>
      <c r="BC92" s="355">
        <v>0.32329999999999998</v>
      </c>
      <c r="BD92" s="624">
        <v>41668</v>
      </c>
      <c r="BE92" s="355">
        <v>9.2730000000000007E-2</v>
      </c>
      <c r="BF92" s="624">
        <v>41668</v>
      </c>
      <c r="BG92" s="355">
        <v>1.5886000000000001E-2</v>
      </c>
      <c r="BH92" s="624">
        <v>41668</v>
      </c>
      <c r="BI92" s="355">
        <v>8.2169000000000006E-2</v>
      </c>
      <c r="BJ92" s="624">
        <v>41668</v>
      </c>
      <c r="BK92" s="355">
        <v>3.0338E-2</v>
      </c>
    </row>
    <row r="93" spans="3:63">
      <c r="C93" s="624"/>
      <c r="D93" s="355">
        <v>3.5700000000000003E-2</v>
      </c>
      <c r="AV93" s="624">
        <v>41670</v>
      </c>
      <c r="AW93" s="355">
        <v>0.4143</v>
      </c>
      <c r="AX93" s="624">
        <v>41669</v>
      </c>
      <c r="AY93" s="355">
        <v>2.8590000000000001E-2</v>
      </c>
      <c r="AZ93" s="624">
        <v>41669</v>
      </c>
      <c r="BA93" s="355">
        <v>1.17E-2</v>
      </c>
      <c r="BB93" s="624">
        <v>41669</v>
      </c>
      <c r="BC93" s="355">
        <v>0.32029999999999997</v>
      </c>
      <c r="BD93" s="624">
        <v>41669</v>
      </c>
      <c r="BE93" s="355">
        <v>9.2549999999999993E-2</v>
      </c>
      <c r="BF93" s="624">
        <v>41669</v>
      </c>
      <c r="BG93" s="355">
        <v>1.601E-2</v>
      </c>
      <c r="BH93" s="624">
        <v>41669</v>
      </c>
      <c r="BI93" s="355">
        <v>8.1882999999999997E-2</v>
      </c>
      <c r="BJ93" s="624">
        <v>41669</v>
      </c>
      <c r="BK93" s="355">
        <v>3.0294000000000001E-2</v>
      </c>
    </row>
    <row r="94" spans="3:63">
      <c r="C94" s="624"/>
      <c r="D94" s="355">
        <v>3.5749999999999997E-2</v>
      </c>
      <c r="AV94" s="624">
        <v>41673</v>
      </c>
      <c r="AW94" s="355">
        <v>0.4108</v>
      </c>
      <c r="AX94" s="624">
        <v>41670</v>
      </c>
      <c r="AY94" s="355">
        <v>2.845E-2</v>
      </c>
      <c r="AZ94" s="624">
        <v>41670</v>
      </c>
      <c r="BA94" s="355">
        <v>1.1599999999999999E-2</v>
      </c>
      <c r="BB94" s="624">
        <v>41670</v>
      </c>
      <c r="BC94" s="355">
        <v>0.31719999999999998</v>
      </c>
      <c r="BD94" s="624">
        <v>41670</v>
      </c>
      <c r="BE94" s="355">
        <v>9.2480000000000007E-2</v>
      </c>
      <c r="BF94" s="624">
        <v>41670</v>
      </c>
      <c r="BG94" s="355">
        <v>1.5993E-2</v>
      </c>
      <c r="BH94" s="624">
        <v>41670</v>
      </c>
      <c r="BI94" s="355">
        <v>8.1882999999999997E-2</v>
      </c>
      <c r="BJ94" s="624">
        <v>41670</v>
      </c>
      <c r="BK94" s="355">
        <v>3.0284999999999999E-2</v>
      </c>
    </row>
    <row r="95" spans="3:63">
      <c r="C95" s="624"/>
      <c r="D95" s="355">
        <v>3.5720000000000002E-2</v>
      </c>
      <c r="AV95" s="624">
        <v>41674</v>
      </c>
      <c r="AW95" s="355">
        <v>0.4158</v>
      </c>
      <c r="AX95" s="624">
        <v>41673</v>
      </c>
      <c r="AY95" s="355">
        <v>2.8219999999999999E-2</v>
      </c>
      <c r="AZ95" s="624">
        <v>41673</v>
      </c>
      <c r="BA95" s="355">
        <v>1.17E-2</v>
      </c>
      <c r="BB95" s="624">
        <v>41673</v>
      </c>
      <c r="BC95" s="355">
        <v>0.31859999999999999</v>
      </c>
      <c r="BD95" s="624">
        <v>41673</v>
      </c>
      <c r="BE95" s="355">
        <v>9.1899999999999996E-2</v>
      </c>
      <c r="BF95" s="624">
        <v>41673</v>
      </c>
      <c r="BG95" s="355">
        <v>1.5893999999999998E-2</v>
      </c>
      <c r="BH95" s="624">
        <v>41673</v>
      </c>
      <c r="BI95" s="355">
        <v>8.1698999999999994E-2</v>
      </c>
      <c r="BJ95" s="624">
        <v>41673</v>
      </c>
      <c r="BK95" s="355">
        <v>3.0356000000000001E-2</v>
      </c>
    </row>
    <row r="96" spans="3:63">
      <c r="C96" s="624"/>
      <c r="D96" s="355">
        <v>3.5700000000000003E-2</v>
      </c>
      <c r="AV96" s="624">
        <v>41675</v>
      </c>
      <c r="AW96" s="355">
        <v>0.41689999999999999</v>
      </c>
      <c r="AX96" s="624">
        <v>41674</v>
      </c>
      <c r="AY96" s="355">
        <v>2.8580000000000001E-2</v>
      </c>
      <c r="AZ96" s="624">
        <v>41674</v>
      </c>
      <c r="BA96" s="355">
        <v>1.17E-2</v>
      </c>
      <c r="BB96" s="624">
        <v>41674</v>
      </c>
      <c r="BC96" s="355">
        <v>0.32140000000000002</v>
      </c>
      <c r="BD96" s="624">
        <v>41674</v>
      </c>
      <c r="BE96" s="355">
        <v>9.2859999999999998E-2</v>
      </c>
      <c r="BF96" s="624">
        <v>41674</v>
      </c>
      <c r="BG96" s="355">
        <v>1.6060000000000001E-2</v>
      </c>
      <c r="BH96" s="624">
        <v>41674</v>
      </c>
      <c r="BI96" s="355">
        <v>8.1949999999999995E-2</v>
      </c>
      <c r="BJ96" s="624">
        <v>41674</v>
      </c>
      <c r="BK96" s="355">
        <v>3.0533000000000001E-2</v>
      </c>
    </row>
    <row r="97" spans="3:63">
      <c r="C97" s="624"/>
      <c r="D97" s="355">
        <v>3.5740000000000001E-2</v>
      </c>
      <c r="AV97" s="624">
        <v>41676</v>
      </c>
      <c r="AW97" s="355">
        <v>0.41920000000000002</v>
      </c>
      <c r="AX97" s="624">
        <v>41675</v>
      </c>
      <c r="AY97" s="355">
        <v>2.8639999999999999E-2</v>
      </c>
      <c r="AZ97" s="624">
        <v>41675</v>
      </c>
      <c r="BA97" s="355">
        <v>1.17E-2</v>
      </c>
      <c r="BB97" s="624">
        <v>41675</v>
      </c>
      <c r="BC97" s="355">
        <v>0.32300000000000001</v>
      </c>
      <c r="BD97" s="624">
        <v>41675</v>
      </c>
      <c r="BE97" s="355">
        <v>9.2759999999999995E-2</v>
      </c>
      <c r="BF97" s="624">
        <v>41675</v>
      </c>
      <c r="BG97" s="355">
        <v>1.6018000000000001E-2</v>
      </c>
      <c r="BH97" s="624">
        <v>41675</v>
      </c>
      <c r="BI97" s="355">
        <v>8.2074999999999995E-2</v>
      </c>
      <c r="BJ97" s="624">
        <v>41675</v>
      </c>
      <c r="BK97" s="355">
        <v>3.0518E-2</v>
      </c>
    </row>
    <row r="98" spans="3:63">
      <c r="C98" s="624"/>
      <c r="D98" s="355">
        <v>3.5540000000000002E-2</v>
      </c>
      <c r="AV98" s="624">
        <v>41677</v>
      </c>
      <c r="AW98" s="355">
        <v>0.42</v>
      </c>
      <c r="AX98" s="624">
        <v>41676</v>
      </c>
      <c r="AY98" s="355">
        <v>2.8830000000000001E-2</v>
      </c>
      <c r="AZ98" s="624">
        <v>41676</v>
      </c>
      <c r="BA98" s="355">
        <v>1.17E-2</v>
      </c>
      <c r="BB98" s="624">
        <v>41676</v>
      </c>
      <c r="BC98" s="355">
        <v>0.32540000000000002</v>
      </c>
      <c r="BD98" s="624">
        <v>41676</v>
      </c>
      <c r="BE98" s="355">
        <v>9.3009999999999995E-2</v>
      </c>
      <c r="BF98" s="624">
        <v>41676</v>
      </c>
      <c r="BG98" s="355">
        <v>1.6077999999999999E-2</v>
      </c>
      <c r="BH98" s="624">
        <v>41676</v>
      </c>
      <c r="BI98" s="355">
        <v>8.2011000000000001E-2</v>
      </c>
      <c r="BJ98" s="624">
        <v>41676</v>
      </c>
      <c r="BK98" s="355">
        <v>3.0491999999999998E-2</v>
      </c>
    </row>
    <row r="99" spans="3:63">
      <c r="C99" s="624"/>
      <c r="D99" s="355">
        <v>3.5470000000000002E-2</v>
      </c>
      <c r="AV99" s="624">
        <v>41680</v>
      </c>
      <c r="AW99" s="355">
        <v>0.4148</v>
      </c>
      <c r="AX99" s="624">
        <v>41677</v>
      </c>
      <c r="AY99" s="355">
        <v>2.877E-2</v>
      </c>
      <c r="AZ99" s="624">
        <v>41677</v>
      </c>
      <c r="BA99" s="355">
        <v>1.18E-2</v>
      </c>
      <c r="BB99" s="624">
        <v>41677</v>
      </c>
      <c r="BC99" s="355">
        <v>0.3266</v>
      </c>
      <c r="BD99" s="624">
        <v>41677</v>
      </c>
      <c r="BE99" s="355">
        <v>9.3049999999999994E-2</v>
      </c>
      <c r="BF99" s="624">
        <v>41677</v>
      </c>
      <c r="BG99" s="355">
        <v>1.61E-2</v>
      </c>
      <c r="BH99" s="624">
        <v>41677</v>
      </c>
      <c r="BI99" s="355">
        <v>8.2220000000000001E-2</v>
      </c>
      <c r="BJ99" s="624">
        <v>41677</v>
      </c>
      <c r="BK99" s="355">
        <v>3.0488000000000001E-2</v>
      </c>
    </row>
    <row r="100" spans="3:63">
      <c r="C100" s="624"/>
      <c r="D100" s="355">
        <v>3.5560000000000001E-2</v>
      </c>
      <c r="AV100" s="624">
        <v>41681</v>
      </c>
      <c r="AW100" s="355">
        <v>0.41649999999999998</v>
      </c>
      <c r="AX100" s="624">
        <v>41680</v>
      </c>
      <c r="AY100" s="355">
        <v>2.877E-2</v>
      </c>
      <c r="AZ100" s="624">
        <v>41680</v>
      </c>
      <c r="BA100" s="355">
        <v>1.18E-2</v>
      </c>
      <c r="BB100" s="624">
        <v>41680</v>
      </c>
      <c r="BC100" s="355">
        <v>0.32650000000000001</v>
      </c>
      <c r="BD100" s="624">
        <v>41680</v>
      </c>
      <c r="BE100" s="355">
        <v>9.3100000000000002E-2</v>
      </c>
      <c r="BF100" s="624">
        <v>41680</v>
      </c>
      <c r="BG100" s="355">
        <v>1.6046999999999999E-2</v>
      </c>
      <c r="BH100" s="624">
        <v>41680</v>
      </c>
      <c r="BI100" s="355">
        <v>8.2169000000000006E-2</v>
      </c>
      <c r="BJ100" s="624">
        <v>41680</v>
      </c>
      <c r="BK100" s="355">
        <v>3.0474999999999999E-2</v>
      </c>
    </row>
    <row r="101" spans="3:63">
      <c r="C101" s="624"/>
      <c r="D101" s="355">
        <v>3.5589999999999997E-2</v>
      </c>
      <c r="AV101" s="624">
        <v>41682</v>
      </c>
      <c r="AW101" s="355">
        <v>0.4128</v>
      </c>
      <c r="AX101" s="624">
        <v>41681</v>
      </c>
      <c r="AY101" s="355">
        <v>2.878E-2</v>
      </c>
      <c r="AZ101" s="624">
        <v>41681</v>
      </c>
      <c r="BA101" s="355">
        <v>1.18E-2</v>
      </c>
      <c r="BB101" s="624">
        <v>41681</v>
      </c>
      <c r="BC101" s="355">
        <v>0.32690000000000002</v>
      </c>
      <c r="BD101" s="624">
        <v>41681</v>
      </c>
      <c r="BE101" s="355">
        <v>9.3799999999999994E-2</v>
      </c>
      <c r="BF101" s="624">
        <v>41681</v>
      </c>
      <c r="BG101" s="355">
        <v>1.6121E-2</v>
      </c>
      <c r="BH101" s="624">
        <v>41681</v>
      </c>
      <c r="BI101" s="355">
        <v>8.2270999999999997E-2</v>
      </c>
      <c r="BJ101" s="624">
        <v>41681</v>
      </c>
      <c r="BK101" s="355">
        <v>3.0547999999999999E-2</v>
      </c>
    </row>
    <row r="102" spans="3:63">
      <c r="C102" s="624"/>
      <c r="D102" s="355">
        <v>3.5630000000000002E-2</v>
      </c>
      <c r="AV102" s="624">
        <v>41683</v>
      </c>
      <c r="AW102" s="355">
        <v>0.41589999999999999</v>
      </c>
      <c r="AX102" s="624">
        <v>41682</v>
      </c>
      <c r="AY102" s="355">
        <v>2.8719999999999999E-2</v>
      </c>
      <c r="AZ102" s="624">
        <v>41682</v>
      </c>
      <c r="BA102" s="355">
        <v>1.17E-2</v>
      </c>
      <c r="BB102" s="624">
        <v>41682</v>
      </c>
      <c r="BC102" s="355">
        <v>0.32690000000000002</v>
      </c>
      <c r="BD102" s="624">
        <v>41682</v>
      </c>
      <c r="BE102" s="355">
        <v>9.4140000000000001E-2</v>
      </c>
      <c r="BF102" s="624">
        <v>41682</v>
      </c>
      <c r="BG102" s="355">
        <v>1.6160999999999998E-2</v>
      </c>
      <c r="BH102" s="624">
        <v>41682</v>
      </c>
      <c r="BI102" s="355">
        <v>8.2747000000000001E-2</v>
      </c>
      <c r="BJ102" s="624">
        <v>41682</v>
      </c>
      <c r="BK102" s="355">
        <v>3.0759999999999999E-2</v>
      </c>
    </row>
    <row r="103" spans="3:63">
      <c r="C103" s="624"/>
      <c r="D103" s="355">
        <v>3.569E-2</v>
      </c>
      <c r="AV103" s="624">
        <v>41684</v>
      </c>
      <c r="AW103" s="355">
        <v>0.41899999999999998</v>
      </c>
      <c r="AX103" s="624">
        <v>41683</v>
      </c>
      <c r="AY103" s="355">
        <v>2.8500000000000001E-2</v>
      </c>
      <c r="AZ103" s="624">
        <v>41683</v>
      </c>
      <c r="BA103" s="355">
        <v>1.18E-2</v>
      </c>
      <c r="BB103" s="624">
        <v>41683</v>
      </c>
      <c r="BC103" s="355">
        <v>0.32890000000000003</v>
      </c>
      <c r="BD103" s="624">
        <v>41683</v>
      </c>
      <c r="BE103" s="355">
        <v>9.3909999999999993E-2</v>
      </c>
      <c r="BF103" s="624">
        <v>41683</v>
      </c>
      <c r="BG103" s="355">
        <v>1.6087000000000001E-2</v>
      </c>
      <c r="BH103" s="624">
        <v>41683</v>
      </c>
      <c r="BI103" s="355">
        <v>8.3403000000000005E-2</v>
      </c>
      <c r="BJ103" s="624">
        <v>41683</v>
      </c>
      <c r="BK103" s="355">
        <v>3.0710000000000001E-2</v>
      </c>
    </row>
    <row r="104" spans="3:63">
      <c r="C104" s="624"/>
      <c r="D104" s="355">
        <v>3.5700000000000003E-2</v>
      </c>
      <c r="AV104" s="624">
        <v>41687</v>
      </c>
      <c r="AW104" s="355">
        <v>0.41830000000000001</v>
      </c>
      <c r="AX104" s="624">
        <v>41684</v>
      </c>
      <c r="AY104" s="355">
        <v>2.8500000000000001E-2</v>
      </c>
      <c r="AZ104" s="624">
        <v>41684</v>
      </c>
      <c r="BA104" s="355">
        <v>1.18E-2</v>
      </c>
      <c r="BB104" s="624">
        <v>41684</v>
      </c>
      <c r="BC104" s="355">
        <v>0.33019999999999999</v>
      </c>
      <c r="BD104" s="624">
        <v>41684</v>
      </c>
      <c r="BE104" s="355">
        <v>9.4070000000000001E-2</v>
      </c>
      <c r="BF104" s="624">
        <v>41684</v>
      </c>
      <c r="BG104" s="355">
        <v>1.6167000000000001E-2</v>
      </c>
      <c r="BH104" s="624">
        <v>41684</v>
      </c>
      <c r="BI104" s="355">
        <v>8.4530999999999995E-2</v>
      </c>
      <c r="BJ104" s="624">
        <v>41684</v>
      </c>
      <c r="BK104" s="355">
        <v>3.0911999999999999E-2</v>
      </c>
    </row>
    <row r="105" spans="3:63">
      <c r="C105" s="624"/>
      <c r="D105" s="355">
        <v>3.5700000000000003E-2</v>
      </c>
      <c r="AV105" s="624">
        <v>41688</v>
      </c>
      <c r="AW105" s="355">
        <v>0.41739999999999999</v>
      </c>
      <c r="AX105" s="624">
        <v>41687</v>
      </c>
      <c r="AY105" s="355">
        <v>2.8379999999999999E-2</v>
      </c>
      <c r="AZ105" s="624">
        <v>41687</v>
      </c>
      <c r="BA105" s="355">
        <v>1.18E-2</v>
      </c>
      <c r="BB105" s="624">
        <v>41687</v>
      </c>
      <c r="BC105" s="355">
        <v>0.33079999999999998</v>
      </c>
      <c r="BD105" s="624">
        <v>41687</v>
      </c>
      <c r="BE105" s="355">
        <v>9.4310000000000005E-2</v>
      </c>
      <c r="BF105" s="624">
        <v>41687</v>
      </c>
      <c r="BG105" s="355">
        <v>1.6191000000000001E-2</v>
      </c>
      <c r="BH105" s="624">
        <v>41687</v>
      </c>
      <c r="BI105" s="355">
        <v>8.4889999999999993E-2</v>
      </c>
      <c r="BJ105" s="624">
        <v>41687</v>
      </c>
      <c r="BK105" s="355">
        <v>3.1026999999999999E-2</v>
      </c>
    </row>
    <row r="106" spans="3:63">
      <c r="C106" s="624"/>
      <c r="D106" s="355">
        <v>3.5740000000000001E-2</v>
      </c>
      <c r="AV106" s="624">
        <v>41689</v>
      </c>
      <c r="AW106" s="355">
        <v>0.4178</v>
      </c>
      <c r="AX106" s="624">
        <v>41688</v>
      </c>
      <c r="AY106" s="355">
        <v>2.819E-2</v>
      </c>
      <c r="AZ106" s="624">
        <v>41688</v>
      </c>
      <c r="BA106" s="355">
        <v>1.1900000000000001E-2</v>
      </c>
      <c r="BB106" s="624">
        <v>41688</v>
      </c>
      <c r="BC106" s="355">
        <v>0.33169999999999999</v>
      </c>
      <c r="BD106" s="624">
        <v>41688</v>
      </c>
      <c r="BE106" s="355">
        <v>9.3909999999999993E-2</v>
      </c>
      <c r="BF106" s="624">
        <v>41688</v>
      </c>
      <c r="BG106" s="355">
        <v>1.6086E-2</v>
      </c>
      <c r="BH106" s="624">
        <v>41688</v>
      </c>
      <c r="BI106" s="355">
        <v>8.4476999999999997E-2</v>
      </c>
      <c r="BJ106" s="624">
        <v>41688</v>
      </c>
      <c r="BK106" s="355">
        <v>3.0775E-2</v>
      </c>
    </row>
    <row r="107" spans="3:63">
      <c r="C107" s="624"/>
      <c r="D107" s="355">
        <v>3.5799999999999998E-2</v>
      </c>
      <c r="AV107" s="624">
        <v>41690</v>
      </c>
      <c r="AW107" s="355">
        <v>0.4219</v>
      </c>
      <c r="AX107" s="624">
        <v>41689</v>
      </c>
      <c r="AY107" s="355">
        <v>2.793E-2</v>
      </c>
      <c r="AZ107" s="624">
        <v>41689</v>
      </c>
      <c r="BA107" s="355">
        <v>1.1900000000000001E-2</v>
      </c>
      <c r="BB107" s="624">
        <v>41689</v>
      </c>
      <c r="BC107" s="355">
        <v>0.32919999999999999</v>
      </c>
      <c r="BD107" s="624">
        <v>41689</v>
      </c>
      <c r="BE107" s="355">
        <v>9.3619999999999995E-2</v>
      </c>
      <c r="BF107" s="624">
        <v>41689</v>
      </c>
      <c r="BG107" s="355">
        <v>1.6028000000000001E-2</v>
      </c>
      <c r="BH107" s="624">
        <v>41689</v>
      </c>
      <c r="BI107" s="355">
        <v>8.4889999999999993E-2</v>
      </c>
      <c r="BJ107" s="624">
        <v>41689</v>
      </c>
      <c r="BK107" s="355">
        <v>3.0679999999999999E-2</v>
      </c>
    </row>
    <row r="108" spans="3:63">
      <c r="C108" s="624"/>
      <c r="D108" s="355">
        <v>3.5799999999999998E-2</v>
      </c>
      <c r="AV108" s="624">
        <v>41691</v>
      </c>
      <c r="AW108" s="355">
        <v>0.42620000000000002</v>
      </c>
      <c r="AX108" s="624">
        <v>41690</v>
      </c>
      <c r="AY108" s="355">
        <v>2.7959999999999999E-2</v>
      </c>
      <c r="AZ108" s="624">
        <v>41690</v>
      </c>
      <c r="BA108" s="355">
        <v>1.18E-2</v>
      </c>
      <c r="BB108" s="624">
        <v>41690</v>
      </c>
      <c r="BC108" s="355">
        <v>0.32919999999999999</v>
      </c>
      <c r="BD108" s="624">
        <v>41690</v>
      </c>
      <c r="BE108" s="355">
        <v>9.3270000000000006E-2</v>
      </c>
      <c r="BF108" s="624">
        <v>41690</v>
      </c>
      <c r="BG108" s="355">
        <v>1.6102999999999999E-2</v>
      </c>
      <c r="BH108" s="624">
        <v>41690</v>
      </c>
      <c r="BI108" s="355">
        <v>8.4709999999999994E-2</v>
      </c>
      <c r="BJ108" s="624">
        <v>41690</v>
      </c>
      <c r="BK108" s="355">
        <v>3.0721999999999999E-2</v>
      </c>
    </row>
    <row r="109" spans="3:63">
      <c r="C109" s="624"/>
      <c r="D109" s="355">
        <v>3.5979999999999998E-2</v>
      </c>
      <c r="AV109" s="624">
        <v>41694</v>
      </c>
      <c r="AW109" s="355">
        <v>0.42699999999999999</v>
      </c>
      <c r="AX109" s="624">
        <v>41691</v>
      </c>
      <c r="AY109" s="355">
        <v>2.8150000000000001E-2</v>
      </c>
      <c r="AZ109" s="624">
        <v>41691</v>
      </c>
      <c r="BA109" s="355">
        <v>1.1900000000000001E-2</v>
      </c>
      <c r="BB109" s="624">
        <v>41691</v>
      </c>
      <c r="BC109" s="355">
        <v>0.33079999999999998</v>
      </c>
      <c r="BD109" s="624">
        <v>41691</v>
      </c>
      <c r="BE109" s="355">
        <v>9.3200000000000005E-2</v>
      </c>
      <c r="BF109" s="624">
        <v>41691</v>
      </c>
      <c r="BG109" s="355">
        <v>1.6119000000000001E-2</v>
      </c>
      <c r="BH109" s="624">
        <v>41691</v>
      </c>
      <c r="BI109" s="355">
        <v>8.5179000000000005E-2</v>
      </c>
      <c r="BJ109" s="624">
        <v>41691</v>
      </c>
      <c r="BK109" s="355">
        <v>3.0742999999999999E-2</v>
      </c>
    </row>
    <row r="110" spans="3:63">
      <c r="C110" s="624"/>
      <c r="D110" s="355">
        <v>3.6040000000000003E-2</v>
      </c>
      <c r="AV110" s="624">
        <v>41695</v>
      </c>
      <c r="AW110" s="355">
        <v>0.42699999999999999</v>
      </c>
      <c r="AX110" s="624">
        <v>41694</v>
      </c>
      <c r="AY110" s="355">
        <v>2.8139999999999998E-2</v>
      </c>
      <c r="AZ110" s="624">
        <v>41694</v>
      </c>
      <c r="BA110" s="355">
        <v>1.1900000000000001E-2</v>
      </c>
      <c r="BB110" s="624">
        <v>41694</v>
      </c>
      <c r="BC110" s="355">
        <v>0.33</v>
      </c>
      <c r="BD110" s="624">
        <v>41694</v>
      </c>
      <c r="BE110" s="355">
        <v>9.3109999999999998E-2</v>
      </c>
      <c r="BF110" s="624">
        <v>41694</v>
      </c>
      <c r="BG110" s="355">
        <v>1.6164999999999999E-2</v>
      </c>
      <c r="BH110" s="624">
        <v>41694</v>
      </c>
      <c r="BI110" s="355">
        <v>8.5433999999999996E-2</v>
      </c>
      <c r="BJ110" s="624">
        <v>41694</v>
      </c>
      <c r="BK110" s="355">
        <v>3.0737E-2</v>
      </c>
    </row>
    <row r="111" spans="3:63">
      <c r="C111" s="624"/>
      <c r="D111" s="355">
        <v>3.6049999999999999E-2</v>
      </c>
      <c r="AV111" s="624">
        <v>41696</v>
      </c>
      <c r="AW111" s="355">
        <v>0.42549999999999999</v>
      </c>
      <c r="AX111" s="624">
        <v>41695</v>
      </c>
      <c r="AY111" s="355">
        <v>2.7980000000000001E-2</v>
      </c>
      <c r="AZ111" s="624">
        <v>41695</v>
      </c>
      <c r="BA111" s="355">
        <v>1.1900000000000001E-2</v>
      </c>
      <c r="BB111" s="624">
        <v>41695</v>
      </c>
      <c r="BC111" s="355">
        <v>0.33090000000000003</v>
      </c>
      <c r="BD111" s="624">
        <v>41695</v>
      </c>
      <c r="BE111" s="355">
        <v>9.3130000000000004E-2</v>
      </c>
      <c r="BF111" s="624">
        <v>41695</v>
      </c>
      <c r="BG111" s="355">
        <v>1.6146000000000001E-2</v>
      </c>
      <c r="BH111" s="624">
        <v>41695</v>
      </c>
      <c r="BI111" s="355">
        <v>8.5690000000000002E-2</v>
      </c>
      <c r="BJ111" s="624">
        <v>41695</v>
      </c>
      <c r="BK111" s="355">
        <v>3.0721999999999999E-2</v>
      </c>
    </row>
    <row r="112" spans="3:63">
      <c r="C112" s="624"/>
      <c r="D112" s="355">
        <v>3.6130000000000002E-2</v>
      </c>
      <c r="AV112" s="624">
        <v>41697</v>
      </c>
      <c r="AW112" s="355">
        <v>0.42859999999999998</v>
      </c>
      <c r="AX112" s="624">
        <v>41696</v>
      </c>
      <c r="AY112" s="355">
        <v>2.7740000000000001E-2</v>
      </c>
      <c r="AZ112" s="624">
        <v>41696</v>
      </c>
      <c r="BA112" s="355">
        <v>1.18E-2</v>
      </c>
      <c r="BB112" s="624">
        <v>41696</v>
      </c>
      <c r="BC112" s="355">
        <v>0.32740000000000002</v>
      </c>
      <c r="BD112" s="624">
        <v>41696</v>
      </c>
      <c r="BE112" s="355">
        <v>9.3439999999999995E-2</v>
      </c>
      <c r="BF112" s="624">
        <v>41696</v>
      </c>
      <c r="BG112" s="355">
        <v>1.6095000000000002E-2</v>
      </c>
      <c r="BH112" s="624">
        <v>41696</v>
      </c>
      <c r="BI112" s="355">
        <v>8.5985000000000006E-2</v>
      </c>
      <c r="BJ112" s="624">
        <v>41696</v>
      </c>
      <c r="BK112" s="355">
        <v>3.0689000000000001E-2</v>
      </c>
    </row>
    <row r="113" spans="3:63">
      <c r="C113" s="624"/>
      <c r="D113" s="355">
        <v>3.6110000000000003E-2</v>
      </c>
      <c r="AV113" s="624">
        <v>41698</v>
      </c>
      <c r="AW113" s="355">
        <v>0.42699999999999999</v>
      </c>
      <c r="AX113" s="624">
        <v>41697</v>
      </c>
      <c r="AY113" s="355">
        <v>2.776E-2</v>
      </c>
      <c r="AZ113" s="624">
        <v>41697</v>
      </c>
      <c r="BA113" s="355">
        <v>1.18E-2</v>
      </c>
      <c r="BB113" s="624">
        <v>41697</v>
      </c>
      <c r="BC113" s="355">
        <v>0.32969999999999999</v>
      </c>
      <c r="BD113" s="624">
        <v>41697</v>
      </c>
      <c r="BE113" s="355">
        <v>9.3780000000000002E-2</v>
      </c>
      <c r="BF113" s="624">
        <v>41697</v>
      </c>
      <c r="BG113" s="355">
        <v>1.6136000000000001E-2</v>
      </c>
      <c r="BH113" s="624">
        <v>41697</v>
      </c>
      <c r="BI113" s="355">
        <v>8.5891999999999996E-2</v>
      </c>
      <c r="BJ113" s="624">
        <v>41697</v>
      </c>
      <c r="BK113" s="355">
        <v>3.0693999999999999E-2</v>
      </c>
    </row>
    <row r="114" spans="3:63">
      <c r="C114" s="624"/>
      <c r="D114" s="355">
        <v>3.6049999999999999E-2</v>
      </c>
      <c r="AV114" s="624">
        <v>41703</v>
      </c>
      <c r="AW114" s="355">
        <v>0.43140000000000001</v>
      </c>
      <c r="AX114" s="624">
        <v>41698</v>
      </c>
      <c r="AY114" s="355">
        <v>2.768E-2</v>
      </c>
      <c r="AZ114" s="624">
        <v>41698</v>
      </c>
      <c r="BA114" s="355">
        <v>1.1900000000000001E-2</v>
      </c>
      <c r="BB114" s="624">
        <v>41698</v>
      </c>
      <c r="BC114" s="355">
        <v>0.33179999999999998</v>
      </c>
      <c r="BD114" s="624">
        <v>41698</v>
      </c>
      <c r="BE114" s="355">
        <v>9.3759999999999996E-2</v>
      </c>
      <c r="BF114" s="624">
        <v>41698</v>
      </c>
      <c r="BG114" s="355">
        <v>1.6164999999999999E-2</v>
      </c>
      <c r="BH114" s="624">
        <v>41698</v>
      </c>
      <c r="BI114" s="355">
        <v>8.6096000000000006E-2</v>
      </c>
      <c r="BJ114" s="624">
        <v>41698</v>
      </c>
      <c r="BK114" s="355">
        <v>3.0731000000000001E-2</v>
      </c>
    </row>
    <row r="115" spans="3:63">
      <c r="C115" s="624"/>
      <c r="D115" s="355">
        <v>3.6049999999999999E-2</v>
      </c>
      <c r="AV115" s="624">
        <v>41704</v>
      </c>
      <c r="AW115" s="355">
        <v>0.4304</v>
      </c>
      <c r="AX115" s="624">
        <v>41701</v>
      </c>
      <c r="AY115" s="355">
        <v>2.741E-2</v>
      </c>
      <c r="AZ115" s="624">
        <v>41701</v>
      </c>
      <c r="BA115" s="355">
        <v>1.18E-2</v>
      </c>
      <c r="BB115" s="624">
        <v>41701</v>
      </c>
      <c r="BC115" s="355">
        <v>0.32490000000000002</v>
      </c>
      <c r="BD115" s="624">
        <v>41701</v>
      </c>
      <c r="BE115" s="355">
        <v>9.325E-2</v>
      </c>
      <c r="BF115" s="624">
        <v>41701</v>
      </c>
      <c r="BG115" s="355">
        <v>1.6074999999999999E-2</v>
      </c>
      <c r="BH115" s="624">
        <v>41701</v>
      </c>
      <c r="BI115" s="355">
        <v>8.6336999999999997E-2</v>
      </c>
      <c r="BJ115" s="624">
        <v>41701</v>
      </c>
      <c r="BK115" s="355">
        <v>3.074E-2</v>
      </c>
    </row>
    <row r="116" spans="3:63">
      <c r="C116" s="624"/>
      <c r="D116" s="355">
        <v>3.6110000000000003E-2</v>
      </c>
      <c r="AV116" s="624">
        <v>41705</v>
      </c>
      <c r="AW116" s="355">
        <v>0.42730000000000001</v>
      </c>
      <c r="AX116" s="624">
        <v>41702</v>
      </c>
      <c r="AY116" s="355">
        <v>2.7740000000000001E-2</v>
      </c>
      <c r="AZ116" s="624">
        <v>41702</v>
      </c>
      <c r="BA116" s="355">
        <v>1.18E-2</v>
      </c>
      <c r="BB116" s="624">
        <v>41702</v>
      </c>
      <c r="BC116" s="355">
        <v>0.32850000000000001</v>
      </c>
      <c r="BD116" s="624">
        <v>41702</v>
      </c>
      <c r="BE116" s="355">
        <v>9.3340000000000006E-2</v>
      </c>
      <c r="BF116" s="624">
        <v>41702</v>
      </c>
      <c r="BG116" s="355">
        <v>1.6150999999999999E-2</v>
      </c>
      <c r="BH116" s="624">
        <v>41702</v>
      </c>
      <c r="BI116" s="355">
        <v>8.5763000000000006E-2</v>
      </c>
      <c r="BJ116" s="624">
        <v>41702</v>
      </c>
      <c r="BK116" s="355">
        <v>3.0934E-2</v>
      </c>
    </row>
    <row r="117" spans="3:63">
      <c r="C117" s="624"/>
      <c r="D117" s="355">
        <v>3.61E-2</v>
      </c>
      <c r="AV117" s="624">
        <v>41708</v>
      </c>
      <c r="AW117" s="355">
        <v>0.42520000000000002</v>
      </c>
      <c r="AX117" s="624">
        <v>41703</v>
      </c>
      <c r="AY117" s="355">
        <v>2.7740000000000001E-2</v>
      </c>
      <c r="AZ117" s="624">
        <v>41703</v>
      </c>
      <c r="BA117" s="355">
        <v>1.18E-2</v>
      </c>
      <c r="BB117" s="624">
        <v>41703</v>
      </c>
      <c r="BC117" s="355">
        <v>0.3281</v>
      </c>
      <c r="BD117" s="624">
        <v>41703</v>
      </c>
      <c r="BE117" s="355">
        <v>9.3340000000000006E-2</v>
      </c>
      <c r="BF117" s="624">
        <v>41703</v>
      </c>
      <c r="BG117" s="355">
        <v>1.6296000000000001E-2</v>
      </c>
      <c r="BH117" s="624">
        <v>41703</v>
      </c>
      <c r="BI117" s="355">
        <v>8.6388999999999994E-2</v>
      </c>
      <c r="BJ117" s="624">
        <v>41703</v>
      </c>
      <c r="BK117" s="355">
        <v>3.0963999999999998E-2</v>
      </c>
    </row>
    <row r="118" spans="3:63">
      <c r="C118" s="624"/>
      <c r="D118" s="355">
        <v>3.6299999999999999E-2</v>
      </c>
      <c r="AV118" s="624">
        <v>41709</v>
      </c>
      <c r="AW118" s="355">
        <v>0.42299999999999999</v>
      </c>
      <c r="AX118" s="624">
        <v>41704</v>
      </c>
      <c r="AY118" s="355">
        <v>2.767E-2</v>
      </c>
      <c r="AZ118" s="624">
        <v>41704</v>
      </c>
      <c r="BA118" s="355">
        <v>1.1900000000000001E-2</v>
      </c>
      <c r="BB118" s="624">
        <v>41704</v>
      </c>
      <c r="BC118" s="355">
        <v>0.33169999999999999</v>
      </c>
      <c r="BD118" s="624">
        <v>41704</v>
      </c>
      <c r="BE118" s="355">
        <v>9.3969999999999998E-2</v>
      </c>
      <c r="BF118" s="624">
        <v>41704</v>
      </c>
      <c r="BG118" s="355">
        <v>1.6414999999999999E-2</v>
      </c>
      <c r="BH118" s="624">
        <v>41704</v>
      </c>
      <c r="BI118" s="355">
        <v>8.7135000000000004E-2</v>
      </c>
      <c r="BJ118" s="624">
        <v>41704</v>
      </c>
      <c r="BK118" s="355">
        <v>3.1014E-2</v>
      </c>
    </row>
    <row r="119" spans="3:63">
      <c r="C119" s="624"/>
      <c r="D119" s="355">
        <v>3.6420000000000001E-2</v>
      </c>
      <c r="AV119" s="624">
        <v>41710</v>
      </c>
      <c r="AW119" s="355">
        <v>0.42420000000000002</v>
      </c>
      <c r="AX119" s="624">
        <v>41705</v>
      </c>
      <c r="AY119" s="355">
        <v>2.7449999999999999E-2</v>
      </c>
      <c r="AZ119" s="624">
        <v>41705</v>
      </c>
      <c r="BA119" s="355">
        <v>1.2E-2</v>
      </c>
      <c r="BB119" s="624">
        <v>41705</v>
      </c>
      <c r="BC119" s="355">
        <v>0.3301</v>
      </c>
      <c r="BD119" s="624">
        <v>41705</v>
      </c>
      <c r="BE119" s="355">
        <v>9.3859999999999999E-2</v>
      </c>
      <c r="BF119" s="624">
        <v>41705</v>
      </c>
      <c r="BG119" s="355">
        <v>1.6337999999999998E-2</v>
      </c>
      <c r="BH119" s="624">
        <v>41705</v>
      </c>
      <c r="BI119" s="355">
        <v>8.7527999999999995E-2</v>
      </c>
      <c r="BJ119" s="624">
        <v>41705</v>
      </c>
      <c r="BK119" s="355">
        <v>3.0953000000000001E-2</v>
      </c>
    </row>
    <row r="120" spans="3:63">
      <c r="C120" s="624"/>
      <c r="D120" s="355">
        <v>3.6429999999999997E-2</v>
      </c>
      <c r="AV120" s="624">
        <v>41711</v>
      </c>
      <c r="AW120" s="355">
        <v>0.42270000000000002</v>
      </c>
      <c r="AX120" s="624">
        <v>41708</v>
      </c>
      <c r="AY120" s="355">
        <v>2.7519999999999999E-2</v>
      </c>
      <c r="AZ120" s="624">
        <v>41708</v>
      </c>
      <c r="BA120" s="355">
        <v>1.2E-2</v>
      </c>
      <c r="BB120" s="624">
        <v>41708</v>
      </c>
      <c r="BC120" s="355">
        <v>0.32940000000000003</v>
      </c>
      <c r="BD120" s="624">
        <v>41708</v>
      </c>
      <c r="BE120" s="355">
        <v>9.3689999999999996E-2</v>
      </c>
      <c r="BF120" s="624">
        <v>41708</v>
      </c>
      <c r="BG120" s="355">
        <v>1.6395E-2</v>
      </c>
      <c r="BH120" s="624">
        <v>41708</v>
      </c>
      <c r="BI120" s="355">
        <v>8.7355000000000002E-2</v>
      </c>
      <c r="BJ120" s="624">
        <v>41708</v>
      </c>
      <c r="BK120" s="355">
        <v>3.0883000000000001E-2</v>
      </c>
    </row>
    <row r="121" spans="3:63">
      <c r="C121" s="624"/>
      <c r="D121" s="355">
        <v>3.6389999999999999E-2</v>
      </c>
      <c r="AV121" s="624">
        <v>41712</v>
      </c>
      <c r="AW121" s="355">
        <v>0.42549999999999999</v>
      </c>
      <c r="AX121" s="624">
        <v>41709</v>
      </c>
      <c r="AY121" s="355">
        <v>2.742E-2</v>
      </c>
      <c r="AZ121" s="624">
        <v>41709</v>
      </c>
      <c r="BA121" s="355">
        <v>1.1900000000000001E-2</v>
      </c>
      <c r="BB121" s="624">
        <v>41709</v>
      </c>
      <c r="BC121" s="355">
        <v>0.3281</v>
      </c>
      <c r="BD121" s="624">
        <v>41709</v>
      </c>
      <c r="BE121" s="355">
        <v>9.3469999999999998E-2</v>
      </c>
      <c r="BF121" s="624">
        <v>41709</v>
      </c>
      <c r="BG121" s="355">
        <v>1.6372999999999999E-2</v>
      </c>
      <c r="BH121" s="624">
        <v>41709</v>
      </c>
      <c r="BI121" s="355">
        <v>8.7970000000000007E-2</v>
      </c>
      <c r="BJ121" s="624">
        <v>41709</v>
      </c>
      <c r="BK121" s="355">
        <v>3.0896E-2</v>
      </c>
    </row>
    <row r="122" spans="3:63">
      <c r="C122" s="624"/>
      <c r="D122" s="355">
        <v>3.6400000000000002E-2</v>
      </c>
      <c r="AV122" s="624">
        <v>41715</v>
      </c>
      <c r="AW122" s="355">
        <v>0.42570000000000002</v>
      </c>
      <c r="AX122" s="624">
        <v>41710</v>
      </c>
      <c r="AY122" s="355">
        <v>2.7400000000000001E-2</v>
      </c>
      <c r="AZ122" s="624">
        <v>41710</v>
      </c>
      <c r="BA122" s="355">
        <v>1.2E-2</v>
      </c>
      <c r="BB122" s="624">
        <v>41710</v>
      </c>
      <c r="BC122" s="355">
        <v>0.3291</v>
      </c>
      <c r="BD122" s="624">
        <v>41710</v>
      </c>
      <c r="BE122" s="355">
        <v>9.3450000000000005E-2</v>
      </c>
      <c r="BF122" s="624">
        <v>41710</v>
      </c>
      <c r="BG122" s="355">
        <v>1.6396999999999998E-2</v>
      </c>
      <c r="BH122" s="624">
        <v>41710</v>
      </c>
      <c r="BI122" s="355">
        <v>8.7526999999999994E-2</v>
      </c>
      <c r="BJ122" s="624">
        <v>41710</v>
      </c>
      <c r="BK122" s="355">
        <v>3.0873000000000001E-2</v>
      </c>
    </row>
    <row r="123" spans="3:63">
      <c r="C123" s="624"/>
      <c r="D123" s="355">
        <v>3.6409999999999998E-2</v>
      </c>
      <c r="AV123" s="624">
        <v>41716</v>
      </c>
      <c r="AW123" s="355">
        <v>0.4274</v>
      </c>
      <c r="AX123" s="624">
        <v>41711</v>
      </c>
      <c r="AY123" s="355">
        <v>2.7289999999999998E-2</v>
      </c>
      <c r="AZ123" s="624">
        <v>41711</v>
      </c>
      <c r="BA123" s="355">
        <v>1.2E-2</v>
      </c>
      <c r="BB123" s="624">
        <v>41711</v>
      </c>
      <c r="BC123" s="355">
        <v>0.32740000000000002</v>
      </c>
      <c r="BD123" s="624">
        <v>41711</v>
      </c>
      <c r="BE123" s="355">
        <v>9.3399999999999997E-2</v>
      </c>
      <c r="BF123" s="624">
        <v>41711</v>
      </c>
      <c r="BG123" s="355">
        <v>1.6268999999999999E-2</v>
      </c>
      <c r="BH123" s="624">
        <v>41711</v>
      </c>
      <c r="BI123" s="355">
        <v>8.7873000000000007E-2</v>
      </c>
      <c r="BJ123" s="624">
        <v>41711</v>
      </c>
      <c r="BK123" s="355">
        <v>3.0922000000000002E-2</v>
      </c>
    </row>
    <row r="124" spans="3:63">
      <c r="C124" s="624"/>
      <c r="D124" s="355">
        <v>3.637E-2</v>
      </c>
      <c r="AV124" s="624">
        <v>41717</v>
      </c>
      <c r="AW124" s="355">
        <v>0.4259</v>
      </c>
      <c r="AX124" s="624">
        <v>41712</v>
      </c>
      <c r="AY124" s="355">
        <v>2.7349999999999999E-2</v>
      </c>
      <c r="AZ124" s="624">
        <v>41712</v>
      </c>
      <c r="BA124" s="355">
        <v>1.2E-2</v>
      </c>
      <c r="BB124" s="624">
        <v>41712</v>
      </c>
      <c r="BC124" s="355">
        <v>0.32940000000000003</v>
      </c>
      <c r="BD124" s="624">
        <v>41712</v>
      </c>
      <c r="BE124" s="355">
        <v>9.3340000000000006E-2</v>
      </c>
      <c r="BF124" s="624">
        <v>41712</v>
      </c>
      <c r="BG124" s="355">
        <v>1.6320999999999999E-2</v>
      </c>
      <c r="BH124" s="624">
        <v>41712</v>
      </c>
      <c r="BI124" s="355">
        <v>8.7641999999999998E-2</v>
      </c>
      <c r="BJ124" s="624">
        <v>41712</v>
      </c>
      <c r="BK124" s="355">
        <v>3.0984000000000001E-2</v>
      </c>
    </row>
    <row r="125" spans="3:63">
      <c r="C125" s="624"/>
      <c r="D125" s="355">
        <v>3.6339999999999997E-2</v>
      </c>
      <c r="AV125" s="624">
        <v>41718</v>
      </c>
      <c r="AW125" s="355">
        <v>0.42980000000000002</v>
      </c>
      <c r="AX125" s="624">
        <v>41715</v>
      </c>
      <c r="AY125" s="355">
        <v>2.7550000000000002E-2</v>
      </c>
      <c r="AZ125" s="624">
        <v>41715</v>
      </c>
      <c r="BA125" s="355">
        <v>1.2E-2</v>
      </c>
      <c r="BB125" s="624">
        <v>41715</v>
      </c>
      <c r="BC125" s="355">
        <v>0.32929999999999998</v>
      </c>
      <c r="BD125" s="624">
        <v>41715</v>
      </c>
      <c r="BE125" s="355">
        <v>9.3710000000000002E-2</v>
      </c>
      <c r="BF125" s="624">
        <v>41715</v>
      </c>
      <c r="BG125" s="355">
        <v>1.6379000000000001E-2</v>
      </c>
      <c r="BH125" s="624">
        <v>41715</v>
      </c>
      <c r="BI125" s="355">
        <v>8.8594000000000006E-2</v>
      </c>
      <c r="BJ125" s="624">
        <v>41715</v>
      </c>
      <c r="BK125" s="355">
        <v>3.1033000000000002E-2</v>
      </c>
    </row>
    <row r="126" spans="3:63">
      <c r="C126" s="624"/>
      <c r="D126" s="355">
        <v>3.6249999999999998E-2</v>
      </c>
      <c r="AV126" s="624">
        <v>41719</v>
      </c>
      <c r="AW126" s="355">
        <v>0.43020000000000003</v>
      </c>
      <c r="AX126" s="624">
        <v>41716</v>
      </c>
      <c r="AY126" s="355">
        <v>2.759E-2</v>
      </c>
      <c r="AZ126" s="624">
        <v>41716</v>
      </c>
      <c r="BA126" s="355">
        <v>1.2E-2</v>
      </c>
      <c r="BB126" s="624">
        <v>41716</v>
      </c>
      <c r="BC126" s="355">
        <v>0.33110000000000001</v>
      </c>
      <c r="BD126" s="624">
        <v>41716</v>
      </c>
      <c r="BE126" s="355">
        <v>9.35E-2</v>
      </c>
      <c r="BF126" s="624">
        <v>41716</v>
      </c>
      <c r="BG126" s="355">
        <v>1.6389000000000001E-2</v>
      </c>
      <c r="BH126" s="624">
        <v>41716</v>
      </c>
      <c r="BI126" s="355">
        <v>8.8416999999999996E-2</v>
      </c>
      <c r="BJ126" s="624">
        <v>41716</v>
      </c>
      <c r="BK126" s="355">
        <v>3.1143000000000001E-2</v>
      </c>
    </row>
    <row r="127" spans="3:63">
      <c r="C127" s="624"/>
      <c r="D127" s="355">
        <v>3.6260000000000001E-2</v>
      </c>
      <c r="AV127" s="624">
        <v>41722</v>
      </c>
      <c r="AW127" s="355">
        <v>0.43080000000000002</v>
      </c>
      <c r="AX127" s="624">
        <v>41717</v>
      </c>
      <c r="AY127" s="355">
        <v>2.7650000000000001E-2</v>
      </c>
      <c r="AZ127" s="624">
        <v>41717</v>
      </c>
      <c r="BA127" s="355">
        <v>1.1900000000000001E-2</v>
      </c>
      <c r="BB127" s="624">
        <v>41717</v>
      </c>
      <c r="BC127" s="355">
        <v>0.32840000000000003</v>
      </c>
      <c r="BD127" s="624">
        <v>41717</v>
      </c>
      <c r="BE127" s="355">
        <v>9.2990000000000003E-2</v>
      </c>
      <c r="BF127" s="624">
        <v>41717</v>
      </c>
      <c r="BG127" s="355">
        <v>1.6272999999999999E-2</v>
      </c>
      <c r="BH127" s="624">
        <v>41717</v>
      </c>
      <c r="BI127" s="355">
        <v>8.8242000000000001E-2</v>
      </c>
      <c r="BJ127" s="624">
        <v>41717</v>
      </c>
      <c r="BK127" s="355">
        <v>3.0959E-2</v>
      </c>
    </row>
    <row r="128" spans="3:63">
      <c r="C128" s="624"/>
      <c r="D128" s="355">
        <v>3.6089999999999997E-2</v>
      </c>
      <c r="AV128" s="624">
        <v>41723</v>
      </c>
      <c r="AW128" s="355">
        <v>0.43269999999999997</v>
      </c>
      <c r="AX128" s="624">
        <v>41718</v>
      </c>
      <c r="AY128" s="355">
        <v>2.7529999999999999E-2</v>
      </c>
      <c r="AZ128" s="624">
        <v>41718</v>
      </c>
      <c r="BA128" s="355">
        <v>1.1900000000000001E-2</v>
      </c>
      <c r="BB128" s="624">
        <v>41718</v>
      </c>
      <c r="BC128" s="355">
        <v>0.32829999999999998</v>
      </c>
      <c r="BD128" s="624">
        <v>41718</v>
      </c>
      <c r="BE128" s="355">
        <v>9.2530000000000001E-2</v>
      </c>
      <c r="BF128" s="624">
        <v>41718</v>
      </c>
      <c r="BG128" s="355">
        <v>1.6330000000000001E-2</v>
      </c>
      <c r="BH128" s="624">
        <v>41718</v>
      </c>
      <c r="BI128" s="355">
        <v>8.7526999999999994E-2</v>
      </c>
      <c r="BJ128" s="624">
        <v>41718</v>
      </c>
      <c r="BK128" s="355">
        <v>3.0873999999999999E-2</v>
      </c>
    </row>
    <row r="129" spans="3:63">
      <c r="C129" s="624"/>
      <c r="D129" s="355">
        <v>3.6130000000000002E-2</v>
      </c>
      <c r="AV129" s="624">
        <v>41724</v>
      </c>
      <c r="AW129" s="355">
        <v>0.43409999999999999</v>
      </c>
      <c r="AX129" s="624">
        <v>41719</v>
      </c>
      <c r="AY129" s="355">
        <v>2.76E-2</v>
      </c>
      <c r="AZ129" s="624">
        <v>41719</v>
      </c>
      <c r="BA129" s="355">
        <v>1.1900000000000001E-2</v>
      </c>
      <c r="BB129" s="624">
        <v>41719</v>
      </c>
      <c r="BC129" s="355">
        <v>0.32900000000000001</v>
      </c>
      <c r="BD129" s="624">
        <v>41719</v>
      </c>
      <c r="BE129" s="355">
        <v>9.2609999999999998E-2</v>
      </c>
      <c r="BF129" s="624">
        <v>41719</v>
      </c>
      <c r="BG129" s="355">
        <v>1.6393000000000001E-2</v>
      </c>
      <c r="BH129" s="624">
        <v>41719</v>
      </c>
      <c r="BI129" s="355">
        <v>8.7446999999999997E-2</v>
      </c>
      <c r="BJ129" s="624">
        <v>41719</v>
      </c>
      <c r="BK129" s="355">
        <v>3.0876000000000001E-2</v>
      </c>
    </row>
    <row r="130" spans="3:63">
      <c r="C130" s="624"/>
      <c r="D130" s="355">
        <v>3.6089999999999997E-2</v>
      </c>
      <c r="AV130" s="624">
        <v>41725</v>
      </c>
      <c r="AW130" s="355">
        <v>0.4425</v>
      </c>
      <c r="AX130" s="624">
        <v>41722</v>
      </c>
      <c r="AY130" s="355">
        <v>2.7709999999999999E-2</v>
      </c>
      <c r="AZ130" s="624">
        <v>41722</v>
      </c>
      <c r="BA130" s="355">
        <v>1.1900000000000001E-2</v>
      </c>
      <c r="BB130" s="624">
        <v>41722</v>
      </c>
      <c r="BC130" s="355">
        <v>0.32950000000000002</v>
      </c>
      <c r="BD130" s="624">
        <v>41722</v>
      </c>
      <c r="BE130" s="355">
        <v>9.2770000000000005E-2</v>
      </c>
      <c r="BF130" s="624">
        <v>41722</v>
      </c>
      <c r="BG130" s="355">
        <v>1.6494000000000002E-2</v>
      </c>
      <c r="BH130" s="624">
        <v>41722</v>
      </c>
      <c r="BI130" s="355">
        <v>8.7873000000000007E-2</v>
      </c>
      <c r="BJ130" s="624">
        <v>41722</v>
      </c>
      <c r="BK130" s="355">
        <v>3.0811999999999999E-2</v>
      </c>
    </row>
    <row r="131" spans="3:63">
      <c r="C131" s="624"/>
      <c r="D131" s="355">
        <v>3.5929999999999997E-2</v>
      </c>
      <c r="AV131" s="624">
        <v>41726</v>
      </c>
      <c r="AW131" s="355">
        <v>0.442</v>
      </c>
      <c r="AX131" s="624">
        <v>41723</v>
      </c>
      <c r="AY131" s="355">
        <v>2.819E-2</v>
      </c>
      <c r="AZ131" s="624">
        <v>41723</v>
      </c>
      <c r="BA131" s="355">
        <v>1.1900000000000001E-2</v>
      </c>
      <c r="BB131" s="624">
        <v>41723</v>
      </c>
      <c r="BC131" s="355">
        <v>0.32990000000000003</v>
      </c>
      <c r="BD131" s="624">
        <v>41723</v>
      </c>
      <c r="BE131" s="355">
        <v>9.2749999999999999E-2</v>
      </c>
      <c r="BF131" s="624">
        <v>41723</v>
      </c>
      <c r="BG131" s="355">
        <v>1.6597000000000001E-2</v>
      </c>
      <c r="BH131" s="624">
        <v>41723</v>
      </c>
      <c r="BI131" s="355">
        <v>8.7873000000000007E-2</v>
      </c>
      <c r="BJ131" s="624">
        <v>41723</v>
      </c>
      <c r="BK131" s="355">
        <v>3.0700000000000002E-2</v>
      </c>
    </row>
    <row r="132" spans="3:63">
      <c r="C132" s="624"/>
      <c r="D132" s="355">
        <v>3.5889999999999998E-2</v>
      </c>
      <c r="AV132" s="624">
        <v>41729</v>
      </c>
      <c r="AW132" s="355">
        <v>0.44030000000000002</v>
      </c>
      <c r="AX132" s="624">
        <v>41724</v>
      </c>
      <c r="AY132" s="355">
        <v>2.8119999999999999E-2</v>
      </c>
      <c r="AZ132" s="624">
        <v>41724</v>
      </c>
      <c r="BA132" s="355">
        <v>1.1900000000000001E-2</v>
      </c>
      <c r="BB132" s="624">
        <v>41724</v>
      </c>
      <c r="BC132" s="355">
        <v>0.3296</v>
      </c>
      <c r="BD132" s="624">
        <v>41724</v>
      </c>
      <c r="BE132" s="355">
        <v>9.2859999999999998E-2</v>
      </c>
      <c r="BF132" s="624">
        <v>41724</v>
      </c>
      <c r="BG132" s="355">
        <v>1.661E-2</v>
      </c>
      <c r="BH132" s="624">
        <v>41724</v>
      </c>
      <c r="BI132" s="355">
        <v>8.7662000000000004E-2</v>
      </c>
      <c r="BJ132" s="624">
        <v>41724</v>
      </c>
      <c r="BK132" s="355">
        <v>3.0713000000000001E-2</v>
      </c>
    </row>
    <row r="133" spans="3:63">
      <c r="C133" s="624"/>
      <c r="D133" s="355">
        <v>3.5920000000000001E-2</v>
      </c>
      <c r="AV133" s="624">
        <v>41730</v>
      </c>
      <c r="AW133" s="355">
        <v>0.44190000000000002</v>
      </c>
      <c r="AX133" s="624">
        <v>41725</v>
      </c>
      <c r="AY133" s="355">
        <v>2.8070000000000001E-2</v>
      </c>
      <c r="AZ133" s="624">
        <v>41725</v>
      </c>
      <c r="BA133" s="355">
        <v>1.1900000000000001E-2</v>
      </c>
      <c r="BB133" s="624">
        <v>41725</v>
      </c>
      <c r="BC133" s="355">
        <v>0.33</v>
      </c>
      <c r="BD133" s="624">
        <v>41725</v>
      </c>
      <c r="BE133" s="355">
        <v>9.3600000000000003E-2</v>
      </c>
      <c r="BF133" s="624">
        <v>41725</v>
      </c>
      <c r="BG133" s="355">
        <v>1.6615000000000001E-2</v>
      </c>
      <c r="BH133" s="624">
        <v>41725</v>
      </c>
      <c r="BI133" s="355">
        <v>8.7382000000000001E-2</v>
      </c>
      <c r="BJ133" s="624">
        <v>41725</v>
      </c>
      <c r="BK133" s="355">
        <v>3.0755999999999999E-2</v>
      </c>
    </row>
    <row r="134" spans="3:63">
      <c r="C134" s="624"/>
      <c r="D134" s="355">
        <v>3.5869999999999999E-2</v>
      </c>
      <c r="AV134" s="624">
        <v>41731</v>
      </c>
      <c r="AW134" s="355">
        <v>0.44059999999999999</v>
      </c>
      <c r="AX134" s="624">
        <v>41726</v>
      </c>
      <c r="AY134" s="355">
        <v>2.7980000000000001E-2</v>
      </c>
      <c r="AZ134" s="624">
        <v>41726</v>
      </c>
      <c r="BA134" s="355">
        <v>1.21E-2</v>
      </c>
      <c r="BB134" s="624">
        <v>41726</v>
      </c>
      <c r="BC134" s="355">
        <v>0.32969999999999999</v>
      </c>
      <c r="BD134" s="624">
        <v>41726</v>
      </c>
      <c r="BE134" s="355">
        <v>9.3479999999999994E-2</v>
      </c>
      <c r="BF134" s="624">
        <v>41726</v>
      </c>
      <c r="BG134" s="355">
        <v>1.67E-2</v>
      </c>
      <c r="BH134" s="624">
        <v>41726</v>
      </c>
      <c r="BI134" s="355">
        <v>8.7719000000000005E-2</v>
      </c>
      <c r="BJ134" s="624">
        <v>41726</v>
      </c>
      <c r="BK134" s="355">
        <v>3.0769000000000001E-2</v>
      </c>
    </row>
    <row r="135" spans="3:63">
      <c r="C135" s="624"/>
      <c r="D135" s="355">
        <v>3.5959999999999999E-2</v>
      </c>
      <c r="AV135" s="624">
        <v>41732</v>
      </c>
      <c r="AW135" s="355">
        <v>0.4385</v>
      </c>
      <c r="AX135" s="624">
        <v>41729</v>
      </c>
      <c r="AY135" s="355">
        <v>2.852E-2</v>
      </c>
      <c r="AZ135" s="624">
        <v>41729</v>
      </c>
      <c r="BA135" s="355">
        <v>1.1900000000000001E-2</v>
      </c>
      <c r="BB135" s="624">
        <v>41729</v>
      </c>
      <c r="BC135" s="355">
        <v>0.33050000000000002</v>
      </c>
      <c r="BD135" s="624">
        <v>41729</v>
      </c>
      <c r="BE135" s="355">
        <v>9.3960000000000002E-2</v>
      </c>
      <c r="BF135" s="624">
        <v>41730</v>
      </c>
      <c r="BG135" s="355">
        <v>1.6723999999999999E-2</v>
      </c>
      <c r="BH135" s="624">
        <v>41729</v>
      </c>
      <c r="BI135" s="355">
        <v>8.7758000000000003E-2</v>
      </c>
      <c r="BJ135" s="624">
        <v>41729</v>
      </c>
      <c r="BK135" s="355">
        <v>3.0849000000000001E-2</v>
      </c>
    </row>
    <row r="136" spans="3:63">
      <c r="C136" s="624"/>
      <c r="D136" s="355">
        <v>3.5819999999999998E-2</v>
      </c>
      <c r="AV136" s="624">
        <v>41733</v>
      </c>
      <c r="AW136" s="355">
        <v>0.44590000000000002</v>
      </c>
      <c r="AX136" s="624">
        <v>41730</v>
      </c>
      <c r="AY136" s="355">
        <v>2.8490000000000001E-2</v>
      </c>
      <c r="AZ136" s="624">
        <v>41730</v>
      </c>
      <c r="BA136" s="355">
        <v>1.2E-2</v>
      </c>
      <c r="BB136" s="624">
        <v>41730</v>
      </c>
      <c r="BC136" s="355">
        <v>0.3306</v>
      </c>
      <c r="BD136" s="624">
        <v>41730</v>
      </c>
      <c r="BE136" s="355">
        <v>9.4539999999999999E-2</v>
      </c>
      <c r="BF136" s="624">
        <v>41731</v>
      </c>
      <c r="BG136" s="355">
        <v>1.6712999999999999E-2</v>
      </c>
      <c r="BH136" s="624">
        <v>41730</v>
      </c>
      <c r="BI136" s="355">
        <v>8.8398000000000004E-2</v>
      </c>
      <c r="BJ136" s="624">
        <v>41730</v>
      </c>
      <c r="BK136" s="355">
        <v>3.0915000000000002E-2</v>
      </c>
    </row>
    <row r="137" spans="3:63">
      <c r="C137" s="624"/>
      <c r="D137" s="355">
        <v>3.5810000000000002E-2</v>
      </c>
      <c r="AV137" s="624">
        <v>41736</v>
      </c>
      <c r="AW137" s="355">
        <v>0.45090000000000002</v>
      </c>
      <c r="AX137" s="624">
        <v>41731</v>
      </c>
      <c r="AY137" s="355">
        <v>2.8199999999999999E-2</v>
      </c>
      <c r="AZ137" s="624">
        <v>41731</v>
      </c>
      <c r="BA137" s="355">
        <v>1.1900000000000001E-2</v>
      </c>
      <c r="BB137" s="624">
        <v>41731</v>
      </c>
      <c r="BC137" s="355">
        <v>0.33040000000000003</v>
      </c>
      <c r="BD137" s="624">
        <v>41731</v>
      </c>
      <c r="BE137" s="355">
        <v>9.4509999999999997E-2</v>
      </c>
      <c r="BF137" s="624">
        <v>41732</v>
      </c>
      <c r="BG137" s="355">
        <v>1.6558E-2</v>
      </c>
      <c r="BH137" s="624">
        <v>41731</v>
      </c>
      <c r="BI137" s="355">
        <v>8.8553999999999994E-2</v>
      </c>
      <c r="BJ137" s="624">
        <v>41731</v>
      </c>
      <c r="BK137" s="355">
        <v>3.0837E-2</v>
      </c>
    </row>
    <row r="138" spans="3:63">
      <c r="C138" s="624"/>
      <c r="D138" s="355">
        <v>3.5799999999999998E-2</v>
      </c>
      <c r="AV138" s="624">
        <v>41737</v>
      </c>
      <c r="AW138" s="355">
        <v>0.45419999999999999</v>
      </c>
      <c r="AX138" s="624">
        <v>41732</v>
      </c>
      <c r="AY138" s="355">
        <v>2.8080000000000001E-2</v>
      </c>
      <c r="AZ138" s="624">
        <v>41732</v>
      </c>
      <c r="BA138" s="355">
        <v>1.1900000000000001E-2</v>
      </c>
      <c r="BB138" s="624">
        <v>41732</v>
      </c>
      <c r="BC138" s="355">
        <v>0.32929999999999998</v>
      </c>
      <c r="BD138" s="624">
        <v>41732</v>
      </c>
      <c r="BE138" s="355">
        <v>9.4479999999999995E-2</v>
      </c>
      <c r="BF138" s="624">
        <v>41733</v>
      </c>
      <c r="BG138" s="355">
        <v>1.6719000000000001E-2</v>
      </c>
      <c r="BH138" s="624">
        <v>41732</v>
      </c>
      <c r="BI138" s="355">
        <v>8.8514999999999996E-2</v>
      </c>
      <c r="BJ138" s="624">
        <v>41732</v>
      </c>
      <c r="BK138" s="355">
        <v>3.0787999999999999E-2</v>
      </c>
    </row>
    <row r="139" spans="3:63">
      <c r="C139" s="624"/>
      <c r="D139" s="355">
        <v>3.5959999999999999E-2</v>
      </c>
      <c r="AV139" s="624">
        <v>41738</v>
      </c>
      <c r="AW139" s="355">
        <v>0.45479999999999998</v>
      </c>
      <c r="AX139" s="624">
        <v>41733</v>
      </c>
      <c r="AY139" s="355">
        <v>2.835E-2</v>
      </c>
      <c r="AZ139" s="624">
        <v>41733</v>
      </c>
      <c r="BA139" s="355">
        <v>1.1900000000000001E-2</v>
      </c>
      <c r="BB139" s="624">
        <v>41733</v>
      </c>
      <c r="BC139" s="355">
        <v>0.32929999999999998</v>
      </c>
      <c r="BD139" s="624">
        <v>41733</v>
      </c>
      <c r="BE139" s="355">
        <v>9.5070000000000002E-2</v>
      </c>
      <c r="BF139" s="624">
        <v>41736</v>
      </c>
      <c r="BG139" s="355">
        <v>1.66E-2</v>
      </c>
      <c r="BH139" s="624">
        <v>41733</v>
      </c>
      <c r="BI139" s="355">
        <v>8.8367000000000001E-2</v>
      </c>
      <c r="BJ139" s="624">
        <v>41733</v>
      </c>
      <c r="BK139" s="355">
        <v>3.0802E-2</v>
      </c>
    </row>
    <row r="140" spans="3:63">
      <c r="C140" s="624"/>
      <c r="D140" s="355">
        <v>3.5909999999999997E-2</v>
      </c>
      <c r="AV140" s="624">
        <v>41739</v>
      </c>
      <c r="AW140" s="355">
        <v>0.45590000000000003</v>
      </c>
      <c r="AX140" s="624">
        <v>41736</v>
      </c>
      <c r="AY140" s="355">
        <v>2.8039999999999999E-2</v>
      </c>
      <c r="AZ140" s="624">
        <v>41736</v>
      </c>
      <c r="BA140" s="355">
        <v>1.1900000000000001E-2</v>
      </c>
      <c r="BB140" s="624">
        <v>41736</v>
      </c>
      <c r="BC140" s="355">
        <v>0.3296</v>
      </c>
      <c r="BD140" s="624">
        <v>41736</v>
      </c>
      <c r="BE140" s="355">
        <v>9.4810000000000005E-2</v>
      </c>
      <c r="BF140" s="624">
        <v>41737</v>
      </c>
      <c r="BG140" s="355">
        <v>1.6635E-2</v>
      </c>
      <c r="BH140" s="624">
        <v>41736</v>
      </c>
      <c r="BI140" s="355">
        <v>8.8624999999999995E-2</v>
      </c>
      <c r="BJ140" s="624">
        <v>41736</v>
      </c>
      <c r="BK140" s="355">
        <v>3.0806E-2</v>
      </c>
    </row>
    <row r="141" spans="3:63">
      <c r="C141" s="624"/>
      <c r="D141" s="355">
        <v>3.5999999999999997E-2</v>
      </c>
      <c r="AV141" s="624">
        <v>41740</v>
      </c>
      <c r="AW141" s="355">
        <v>0.45079999999999998</v>
      </c>
      <c r="AX141" s="624">
        <v>41737</v>
      </c>
      <c r="AY141" s="355">
        <v>2.7990000000000001E-2</v>
      </c>
      <c r="AZ141" s="624">
        <v>41737</v>
      </c>
      <c r="BA141" s="355">
        <v>1.2E-2</v>
      </c>
      <c r="BB141" s="624">
        <v>41737</v>
      </c>
      <c r="BC141" s="355">
        <v>0.33100000000000002</v>
      </c>
      <c r="BD141" s="624">
        <v>41737</v>
      </c>
      <c r="BE141" s="355">
        <v>9.5280000000000004E-2</v>
      </c>
      <c r="BF141" s="624">
        <v>41738</v>
      </c>
      <c r="BG141" s="355">
        <v>1.6684999999999998E-2</v>
      </c>
      <c r="BH141" s="624">
        <v>41737</v>
      </c>
      <c r="BI141" s="355">
        <v>8.8547000000000001E-2</v>
      </c>
      <c r="BJ141" s="624">
        <v>41737</v>
      </c>
      <c r="BK141" s="355">
        <v>3.0988999999999999E-2</v>
      </c>
    </row>
    <row r="142" spans="3:63">
      <c r="C142" s="624"/>
      <c r="D142" s="355">
        <v>3.5990000000000001E-2</v>
      </c>
      <c r="AV142" s="624">
        <v>41743</v>
      </c>
      <c r="AW142" s="355">
        <v>0.45140000000000002</v>
      </c>
      <c r="AX142" s="624">
        <v>41738</v>
      </c>
      <c r="AY142" s="355">
        <v>2.811E-2</v>
      </c>
      <c r="AZ142" s="624">
        <v>41738</v>
      </c>
      <c r="BA142" s="355">
        <v>1.2E-2</v>
      </c>
      <c r="BB142" s="624">
        <v>41738</v>
      </c>
      <c r="BC142" s="355">
        <v>0.33279999999999998</v>
      </c>
      <c r="BD142" s="624">
        <v>41738</v>
      </c>
      <c r="BE142" s="355">
        <v>9.6610000000000001E-2</v>
      </c>
      <c r="BF142" s="624">
        <v>41739</v>
      </c>
      <c r="BG142" s="355">
        <v>1.6553999999999999E-2</v>
      </c>
      <c r="BH142" s="624">
        <v>41738</v>
      </c>
      <c r="BI142" s="355">
        <v>8.8557999999999998E-2</v>
      </c>
      <c r="BJ142" s="624">
        <v>41738</v>
      </c>
      <c r="BK142" s="355">
        <v>3.1098000000000001E-2</v>
      </c>
    </row>
    <row r="143" spans="3:63">
      <c r="C143" s="624"/>
      <c r="D143" s="355">
        <v>3.594E-2</v>
      </c>
      <c r="AV143" s="624">
        <v>41744</v>
      </c>
      <c r="AW143" s="355">
        <v>0.44790000000000002</v>
      </c>
      <c r="AX143" s="624">
        <v>41739</v>
      </c>
      <c r="AY143" s="355">
        <v>2.811E-2</v>
      </c>
      <c r="AZ143" s="624">
        <v>41739</v>
      </c>
      <c r="BA143" s="355">
        <v>1.2E-2</v>
      </c>
      <c r="BB143" s="624">
        <v>41739</v>
      </c>
      <c r="BC143" s="355">
        <v>0.33260000000000001</v>
      </c>
      <c r="BD143" s="624">
        <v>41739</v>
      </c>
      <c r="BE143" s="355">
        <v>9.6189999999999998E-2</v>
      </c>
      <c r="BF143" s="624">
        <v>41740</v>
      </c>
      <c r="BG143" s="355">
        <v>1.6574999999999999E-2</v>
      </c>
      <c r="BH143" s="624">
        <v>41739</v>
      </c>
      <c r="BI143" s="355">
        <v>8.8273000000000004E-2</v>
      </c>
      <c r="BJ143" s="624">
        <v>41739</v>
      </c>
      <c r="BK143" s="355">
        <v>3.0984000000000001E-2</v>
      </c>
    </row>
    <row r="144" spans="3:63">
      <c r="C144" s="624"/>
      <c r="D144" s="355">
        <v>3.5869999999999999E-2</v>
      </c>
      <c r="AV144" s="624">
        <v>41745</v>
      </c>
      <c r="AW144" s="355">
        <v>0.44590000000000002</v>
      </c>
      <c r="AX144" s="624">
        <v>41740</v>
      </c>
      <c r="AY144" s="355">
        <v>2.8049999999999999E-2</v>
      </c>
      <c r="AZ144" s="624">
        <v>41740</v>
      </c>
      <c r="BA144" s="355">
        <v>1.2E-2</v>
      </c>
      <c r="BB144" s="624">
        <v>41740</v>
      </c>
      <c r="BC144" s="355">
        <v>0.3322</v>
      </c>
      <c r="BD144" s="624">
        <v>41740</v>
      </c>
      <c r="BE144" s="355">
        <v>9.6229999999999996E-2</v>
      </c>
      <c r="BF144" s="624">
        <v>41743</v>
      </c>
      <c r="BG144" s="355">
        <v>1.6566000000000001E-2</v>
      </c>
      <c r="BH144" s="624">
        <v>41740</v>
      </c>
      <c r="BI144" s="355">
        <v>8.7593000000000004E-2</v>
      </c>
      <c r="BJ144" s="624">
        <v>41740</v>
      </c>
      <c r="BK144" s="355">
        <v>3.0967000000000001E-2</v>
      </c>
    </row>
    <row r="145" spans="3:63">
      <c r="C145" s="624"/>
      <c r="D145" s="355">
        <v>3.5819999999999998E-2</v>
      </c>
      <c r="AV145" s="624">
        <v>41746</v>
      </c>
      <c r="AW145" s="355">
        <v>0.4471</v>
      </c>
      <c r="AX145" s="624">
        <v>41743</v>
      </c>
      <c r="AY145" s="355">
        <v>2.7810000000000001E-2</v>
      </c>
      <c r="AZ145" s="624">
        <v>41743</v>
      </c>
      <c r="BA145" s="355">
        <v>1.2E-2</v>
      </c>
      <c r="BB145" s="624">
        <v>41743</v>
      </c>
      <c r="BC145" s="355">
        <v>0.3306</v>
      </c>
      <c r="BD145" s="624">
        <v>41743</v>
      </c>
      <c r="BE145" s="355">
        <v>9.6009999999999998E-2</v>
      </c>
      <c r="BF145" s="624">
        <v>41744</v>
      </c>
      <c r="BG145" s="355">
        <v>1.6555E-2</v>
      </c>
      <c r="BH145" s="624">
        <v>41743</v>
      </c>
      <c r="BI145" s="355">
        <v>8.7413000000000005E-2</v>
      </c>
      <c r="BJ145" s="624">
        <v>41743</v>
      </c>
      <c r="BK145" s="355">
        <v>3.0998000000000001E-2</v>
      </c>
    </row>
    <row r="146" spans="3:63">
      <c r="C146" s="624"/>
      <c r="D146" s="355">
        <v>3.5959999999999999E-2</v>
      </c>
      <c r="AV146" s="624">
        <v>41747</v>
      </c>
      <c r="AW146" s="355">
        <v>0.4471</v>
      </c>
      <c r="AX146" s="624">
        <v>41744</v>
      </c>
      <c r="AY146" s="355">
        <v>2.758E-2</v>
      </c>
      <c r="AZ146" s="624">
        <v>41744</v>
      </c>
      <c r="BA146" s="355">
        <v>1.2E-2</v>
      </c>
      <c r="BB146" s="624">
        <v>41744</v>
      </c>
      <c r="BC146" s="355">
        <v>0.32979999999999998</v>
      </c>
      <c r="BD146" s="624">
        <v>41744</v>
      </c>
      <c r="BE146" s="355">
        <v>9.5939999999999998E-2</v>
      </c>
      <c r="BF146" s="624">
        <v>41745</v>
      </c>
      <c r="BG146" s="355">
        <v>1.6587000000000001E-2</v>
      </c>
      <c r="BH146" s="624">
        <v>41744</v>
      </c>
      <c r="BI146" s="355">
        <v>8.7446999999999997E-2</v>
      </c>
      <c r="BJ146" s="624">
        <v>41744</v>
      </c>
      <c r="BK146" s="355">
        <v>3.0939000000000001E-2</v>
      </c>
    </row>
    <row r="147" spans="3:63">
      <c r="C147" s="624"/>
      <c r="D147" s="355">
        <v>3.6020000000000003E-2</v>
      </c>
      <c r="AV147" s="624">
        <v>41751</v>
      </c>
      <c r="AW147" s="355">
        <v>0.44690000000000002</v>
      </c>
      <c r="AX147" s="624">
        <v>41745</v>
      </c>
      <c r="AY147" s="355">
        <v>2.7810000000000001E-2</v>
      </c>
      <c r="AZ147" s="624">
        <v>41745</v>
      </c>
      <c r="BA147" s="355">
        <v>1.2E-2</v>
      </c>
      <c r="BB147" s="624">
        <v>41745</v>
      </c>
      <c r="BC147" s="355">
        <v>0.32979999999999998</v>
      </c>
      <c r="BD147" s="624">
        <v>41745</v>
      </c>
      <c r="BE147" s="355">
        <v>9.6290000000000001E-2</v>
      </c>
      <c r="BF147" s="624">
        <v>41746</v>
      </c>
      <c r="BG147" s="355">
        <v>1.6567999999999999E-2</v>
      </c>
      <c r="BH147" s="624">
        <v>41745</v>
      </c>
      <c r="BI147" s="355">
        <v>8.7455000000000005E-2</v>
      </c>
      <c r="BJ147" s="624">
        <v>41745</v>
      </c>
      <c r="BK147" s="355">
        <v>3.1029999999999999E-2</v>
      </c>
    </row>
    <row r="148" spans="3:63">
      <c r="C148" s="624"/>
      <c r="D148" s="355">
        <v>3.6060000000000002E-2</v>
      </c>
      <c r="AV148" s="624">
        <v>41752</v>
      </c>
      <c r="AW148" s="355">
        <v>0.4496</v>
      </c>
      <c r="AX148" s="624">
        <v>41746</v>
      </c>
      <c r="AY148" s="355">
        <v>2.818E-2</v>
      </c>
      <c r="AZ148" s="624">
        <v>41746</v>
      </c>
      <c r="BA148" s="355">
        <v>1.2E-2</v>
      </c>
      <c r="BB148" s="624">
        <v>41746</v>
      </c>
      <c r="BC148" s="355">
        <v>0.33029999999999998</v>
      </c>
      <c r="BD148" s="624">
        <v>41746</v>
      </c>
      <c r="BE148" s="355">
        <v>9.6280000000000004E-2</v>
      </c>
      <c r="BF148" s="624">
        <v>41747</v>
      </c>
      <c r="BG148" s="355">
        <v>1.6562E-2</v>
      </c>
      <c r="BH148" s="624">
        <v>41746</v>
      </c>
      <c r="BI148" s="355">
        <v>8.7515999999999997E-2</v>
      </c>
      <c r="BJ148" s="624">
        <v>41746</v>
      </c>
      <c r="BK148" s="355">
        <v>3.1060999999999998E-2</v>
      </c>
    </row>
    <row r="149" spans="3:63">
      <c r="C149" s="624"/>
      <c r="D149" s="355">
        <v>3.6089999999999997E-2</v>
      </c>
      <c r="AV149" s="624">
        <v>41753</v>
      </c>
      <c r="AW149" s="355">
        <v>0.45179999999999998</v>
      </c>
      <c r="AX149" s="624">
        <v>41747</v>
      </c>
      <c r="AY149" s="355">
        <v>2.809E-2</v>
      </c>
      <c r="AZ149" s="624">
        <v>41747</v>
      </c>
      <c r="BA149" s="355">
        <v>1.2E-2</v>
      </c>
      <c r="BB149" s="624">
        <v>41747</v>
      </c>
      <c r="BC149" s="355">
        <v>0.33050000000000002</v>
      </c>
      <c r="BD149" s="624">
        <v>41747</v>
      </c>
      <c r="BE149" s="355">
        <v>9.6280000000000004E-2</v>
      </c>
      <c r="BF149" s="624">
        <v>41750</v>
      </c>
      <c r="BG149" s="355">
        <v>1.6528000000000001E-2</v>
      </c>
      <c r="BH149" s="624">
        <v>41747</v>
      </c>
      <c r="BI149" s="355">
        <v>8.7515999999999997E-2</v>
      </c>
      <c r="BJ149" s="624">
        <v>41747</v>
      </c>
      <c r="BK149" s="355">
        <v>3.107E-2</v>
      </c>
    </row>
    <row r="150" spans="3:63">
      <c r="C150" s="624"/>
      <c r="D150" s="355">
        <v>3.6089999999999997E-2</v>
      </c>
      <c r="AV150" s="624">
        <v>41754</v>
      </c>
      <c r="AW150" s="355">
        <v>0.44590000000000002</v>
      </c>
      <c r="AX150" s="624">
        <v>41750</v>
      </c>
      <c r="AY150" s="355">
        <v>2.8000000000000001E-2</v>
      </c>
      <c r="AZ150" s="624">
        <v>41750</v>
      </c>
      <c r="BA150" s="355">
        <v>1.2E-2</v>
      </c>
      <c r="BB150" s="624">
        <v>41750</v>
      </c>
      <c r="BC150" s="355">
        <v>0.3301</v>
      </c>
      <c r="BD150" s="624">
        <v>41750</v>
      </c>
      <c r="BE150" s="355">
        <v>9.6140000000000003E-2</v>
      </c>
      <c r="BF150" s="624">
        <v>41751</v>
      </c>
      <c r="BG150" s="355">
        <v>1.6416E-2</v>
      </c>
      <c r="BH150" s="624">
        <v>41750</v>
      </c>
      <c r="BI150" s="355">
        <v>8.7355000000000002E-2</v>
      </c>
      <c r="BJ150" s="624">
        <v>41750</v>
      </c>
      <c r="BK150" s="355">
        <v>3.1019999999999999E-2</v>
      </c>
    </row>
    <row r="151" spans="3:63">
      <c r="C151" s="624"/>
      <c r="D151" s="355">
        <v>3.603E-2</v>
      </c>
      <c r="AV151" s="624">
        <v>41757</v>
      </c>
      <c r="AW151" s="355">
        <v>0.44969999999999999</v>
      </c>
      <c r="AX151" s="624">
        <v>41751</v>
      </c>
      <c r="AY151" s="355">
        <v>2.8060000000000002E-2</v>
      </c>
      <c r="AZ151" s="624">
        <v>41751</v>
      </c>
      <c r="BA151" s="355">
        <v>1.1900000000000001E-2</v>
      </c>
      <c r="BB151" s="624">
        <v>41751</v>
      </c>
      <c r="BC151" s="355">
        <v>0.32950000000000002</v>
      </c>
      <c r="BD151" s="624">
        <v>41751</v>
      </c>
      <c r="BE151" s="355">
        <v>9.6170000000000005E-2</v>
      </c>
      <c r="BF151" s="624">
        <v>41752</v>
      </c>
      <c r="BG151" s="355">
        <v>1.6355000000000001E-2</v>
      </c>
      <c r="BH151" s="624">
        <v>41751</v>
      </c>
      <c r="BI151" s="355">
        <v>8.6805999999999994E-2</v>
      </c>
      <c r="BJ151" s="624">
        <v>41751</v>
      </c>
      <c r="BK151" s="355">
        <v>3.0931E-2</v>
      </c>
    </row>
    <row r="152" spans="3:63">
      <c r="C152" s="624"/>
      <c r="D152" s="355">
        <v>3.5990000000000001E-2</v>
      </c>
      <c r="AV152" s="624">
        <v>41758</v>
      </c>
      <c r="AW152" s="355">
        <v>0.4476</v>
      </c>
      <c r="AX152" s="624">
        <v>41752</v>
      </c>
      <c r="AY152" s="355">
        <v>2.8029999999999999E-2</v>
      </c>
      <c r="AZ152" s="624">
        <v>41752</v>
      </c>
      <c r="BA152" s="355">
        <v>1.2E-2</v>
      </c>
      <c r="BB152" s="624">
        <v>41752</v>
      </c>
      <c r="BC152" s="355">
        <v>0.32990000000000003</v>
      </c>
      <c r="BD152" s="624">
        <v>41752</v>
      </c>
      <c r="BE152" s="355">
        <v>9.6180000000000002E-2</v>
      </c>
      <c r="BF152" s="624">
        <v>41753</v>
      </c>
      <c r="BG152" s="355">
        <v>1.6362999999999999E-2</v>
      </c>
      <c r="BH152" s="624">
        <v>41752</v>
      </c>
      <c r="BI152" s="355">
        <v>8.6002999999999996E-2</v>
      </c>
      <c r="BJ152" s="624">
        <v>41752</v>
      </c>
      <c r="BK152" s="355">
        <v>3.0914000000000001E-2</v>
      </c>
    </row>
    <row r="153" spans="3:63">
      <c r="C153" s="624"/>
      <c r="D153" s="355">
        <v>3.6060000000000002E-2</v>
      </c>
      <c r="AV153" s="624">
        <v>41759</v>
      </c>
      <c r="AW153" s="355">
        <v>0.44869999999999999</v>
      </c>
      <c r="AX153" s="624">
        <v>41753</v>
      </c>
      <c r="AY153" s="355">
        <v>2.7949999999999999E-2</v>
      </c>
      <c r="AZ153" s="624">
        <v>41753</v>
      </c>
      <c r="BA153" s="355">
        <v>1.2E-2</v>
      </c>
      <c r="BB153" s="624">
        <v>41753</v>
      </c>
      <c r="BC153" s="355">
        <v>0.3296</v>
      </c>
      <c r="BD153" s="624">
        <v>41753</v>
      </c>
      <c r="BE153" s="355">
        <v>9.6329999999999999E-2</v>
      </c>
      <c r="BF153" s="624">
        <v>41754</v>
      </c>
      <c r="BG153" s="355">
        <v>1.6483000000000001E-2</v>
      </c>
      <c r="BH153" s="624">
        <v>41753</v>
      </c>
      <c r="BI153" s="355">
        <v>8.6188000000000001E-2</v>
      </c>
      <c r="BJ153" s="624">
        <v>41753</v>
      </c>
      <c r="BK153" s="355">
        <v>3.0869000000000001E-2</v>
      </c>
    </row>
    <row r="154" spans="3:63">
      <c r="C154" s="624"/>
      <c r="D154" s="355">
        <v>3.5959999999999999E-2</v>
      </c>
      <c r="AV154" s="624">
        <v>41760</v>
      </c>
      <c r="AW154" s="355">
        <v>0.44790000000000002</v>
      </c>
      <c r="AX154" s="624">
        <v>41754</v>
      </c>
      <c r="AY154" s="355">
        <v>2.7779999999999999E-2</v>
      </c>
      <c r="AZ154" s="624">
        <v>41754</v>
      </c>
      <c r="BA154" s="355">
        <v>1.1900000000000001E-2</v>
      </c>
      <c r="BB154" s="624">
        <v>41754</v>
      </c>
      <c r="BC154" s="355">
        <v>0.3286</v>
      </c>
      <c r="BD154" s="624">
        <v>41754</v>
      </c>
      <c r="BE154" s="355">
        <v>9.6019999999999994E-2</v>
      </c>
      <c r="BF154" s="624">
        <v>41757</v>
      </c>
      <c r="BG154" s="355">
        <v>1.6508999999999999E-2</v>
      </c>
      <c r="BH154" s="624">
        <v>41754</v>
      </c>
      <c r="BI154" s="355">
        <v>8.6459999999999995E-2</v>
      </c>
      <c r="BJ154" s="624">
        <v>41754</v>
      </c>
      <c r="BK154" s="355">
        <v>3.1031E-2</v>
      </c>
    </row>
    <row r="155" spans="3:63">
      <c r="C155" s="624"/>
      <c r="D155" s="355">
        <v>3.5979999999999998E-2</v>
      </c>
      <c r="AV155" s="624">
        <v>41761</v>
      </c>
      <c r="AW155" s="355">
        <v>0.4501</v>
      </c>
      <c r="AX155" s="624">
        <v>41757</v>
      </c>
      <c r="AY155" s="355">
        <v>2.7879999999999999E-2</v>
      </c>
      <c r="AZ155" s="624">
        <v>41757</v>
      </c>
      <c r="BA155" s="355">
        <v>1.2E-2</v>
      </c>
      <c r="BB155" s="624">
        <v>41757</v>
      </c>
      <c r="BC155" s="355">
        <v>0.32919999999999999</v>
      </c>
      <c r="BD155" s="624">
        <v>41757</v>
      </c>
      <c r="BE155" s="355">
        <v>9.6689999999999998E-2</v>
      </c>
      <c r="BF155" s="624">
        <v>41758</v>
      </c>
      <c r="BG155" s="355">
        <v>1.6590000000000001E-2</v>
      </c>
      <c r="BH155" s="624">
        <v>41757</v>
      </c>
      <c r="BI155" s="355">
        <v>8.6306999999999995E-2</v>
      </c>
      <c r="BJ155" s="624">
        <v>41757</v>
      </c>
      <c r="BK155" s="355">
        <v>3.1011E-2</v>
      </c>
    </row>
    <row r="156" spans="3:63">
      <c r="C156" s="624"/>
      <c r="D156" s="355">
        <v>3.5999999999999997E-2</v>
      </c>
      <c r="AV156" s="624">
        <v>41764</v>
      </c>
      <c r="AW156" s="355">
        <v>0.44579999999999997</v>
      </c>
      <c r="AX156" s="624">
        <v>41758</v>
      </c>
      <c r="AY156" s="355">
        <v>2.8070000000000001E-2</v>
      </c>
      <c r="AZ156" s="624">
        <v>41758</v>
      </c>
      <c r="BA156" s="355">
        <v>1.1900000000000001E-2</v>
      </c>
      <c r="BB156" s="624">
        <v>41758</v>
      </c>
      <c r="BC156" s="355">
        <v>0.32929999999999998</v>
      </c>
      <c r="BD156" s="624">
        <v>41758</v>
      </c>
      <c r="BE156" s="355">
        <v>9.7040000000000001E-2</v>
      </c>
      <c r="BF156" s="624">
        <v>41759</v>
      </c>
      <c r="BG156" s="355">
        <v>1.6580999999999999E-2</v>
      </c>
      <c r="BH156" s="624">
        <v>41758</v>
      </c>
      <c r="BI156" s="355">
        <v>8.6580000000000004E-2</v>
      </c>
      <c r="BJ156" s="624">
        <v>41758</v>
      </c>
      <c r="BK156" s="355">
        <v>3.1008000000000001E-2</v>
      </c>
    </row>
    <row r="157" spans="3:63">
      <c r="C157" s="624"/>
      <c r="D157" s="355">
        <v>3.5929999999999997E-2</v>
      </c>
      <c r="AV157" s="624">
        <v>41765</v>
      </c>
      <c r="AW157" s="355">
        <v>0.44890000000000002</v>
      </c>
      <c r="AX157" s="624">
        <v>41759</v>
      </c>
      <c r="AY157" s="355">
        <v>2.8070000000000001E-2</v>
      </c>
      <c r="AZ157" s="624">
        <v>41759</v>
      </c>
      <c r="BA157" s="355">
        <v>1.2E-2</v>
      </c>
      <c r="BB157" s="624">
        <v>41759</v>
      </c>
      <c r="BC157" s="355">
        <v>0.32990000000000003</v>
      </c>
      <c r="BD157" s="624">
        <v>41759</v>
      </c>
      <c r="BE157" s="355">
        <v>9.6799999999999997E-2</v>
      </c>
      <c r="BF157" s="624">
        <v>41760</v>
      </c>
      <c r="BG157" s="355">
        <v>1.6625000000000001E-2</v>
      </c>
      <c r="BH157" s="624">
        <v>41759</v>
      </c>
      <c r="BI157" s="355">
        <v>8.6457000000000006E-2</v>
      </c>
      <c r="BJ157" s="624">
        <v>41759</v>
      </c>
      <c r="BK157" s="355">
        <v>3.0880999999999999E-2</v>
      </c>
    </row>
    <row r="158" spans="3:63">
      <c r="C158" s="624"/>
      <c r="D158" s="355">
        <v>3.5990000000000001E-2</v>
      </c>
      <c r="AV158" s="624">
        <v>41766</v>
      </c>
      <c r="AW158" s="355">
        <v>0.45100000000000001</v>
      </c>
      <c r="AX158" s="624">
        <v>41760</v>
      </c>
      <c r="AY158" s="355">
        <v>2.809E-2</v>
      </c>
      <c r="AZ158" s="624">
        <v>41760</v>
      </c>
      <c r="BA158" s="355">
        <v>1.2E-2</v>
      </c>
      <c r="BB158" s="624">
        <v>41760</v>
      </c>
      <c r="BC158" s="355">
        <v>0.33050000000000002</v>
      </c>
      <c r="BD158" s="624">
        <v>41760</v>
      </c>
      <c r="BE158" s="355">
        <v>9.6750000000000003E-2</v>
      </c>
      <c r="BF158" s="624">
        <v>41761</v>
      </c>
      <c r="BG158" s="355">
        <v>1.6653999999999999E-2</v>
      </c>
      <c r="BH158" s="624">
        <v>41760</v>
      </c>
      <c r="BI158" s="355">
        <v>8.6494000000000001E-2</v>
      </c>
      <c r="BJ158" s="624">
        <v>41760</v>
      </c>
      <c r="BK158" s="355">
        <v>3.0894999999999999E-2</v>
      </c>
    </row>
    <row r="159" spans="3:63">
      <c r="C159" s="624"/>
      <c r="D159" s="355">
        <v>3.5970000000000002E-2</v>
      </c>
      <c r="AV159" s="624">
        <v>41767</v>
      </c>
      <c r="AW159" s="355">
        <v>0.4516</v>
      </c>
      <c r="AX159" s="624">
        <v>41761</v>
      </c>
      <c r="AY159" s="355">
        <v>2.7910000000000001E-2</v>
      </c>
      <c r="AZ159" s="624">
        <v>41761</v>
      </c>
      <c r="BA159" s="355">
        <v>1.2E-2</v>
      </c>
      <c r="BB159" s="624">
        <v>41761</v>
      </c>
      <c r="BC159" s="355">
        <v>0.32979999999999998</v>
      </c>
      <c r="BD159" s="624">
        <v>41761</v>
      </c>
      <c r="BE159" s="355">
        <v>9.7129999999999994E-2</v>
      </c>
      <c r="BF159" s="624">
        <v>41764</v>
      </c>
      <c r="BG159" s="355">
        <v>1.6636999999999999E-2</v>
      </c>
      <c r="BH159" s="624">
        <v>41761</v>
      </c>
      <c r="BI159" s="355">
        <v>8.6693000000000006E-2</v>
      </c>
      <c r="BJ159" s="624">
        <v>41761</v>
      </c>
      <c r="BK159" s="355">
        <v>3.0863000000000002E-2</v>
      </c>
    </row>
    <row r="160" spans="3:63">
      <c r="C160" s="624"/>
      <c r="D160" s="355">
        <v>3.5950000000000003E-2</v>
      </c>
      <c r="AV160" s="624">
        <v>41768</v>
      </c>
      <c r="AW160" s="355">
        <v>0.45179999999999998</v>
      </c>
      <c r="AX160" s="624">
        <v>41764</v>
      </c>
      <c r="AY160" s="355">
        <v>2.7990000000000001E-2</v>
      </c>
      <c r="AZ160" s="624">
        <v>41764</v>
      </c>
      <c r="BA160" s="355">
        <v>1.2E-2</v>
      </c>
      <c r="BB160" s="624">
        <v>41764</v>
      </c>
      <c r="BC160" s="355">
        <v>0.33</v>
      </c>
      <c r="BD160" s="624">
        <v>41764</v>
      </c>
      <c r="BE160" s="355">
        <v>9.7290000000000001E-2</v>
      </c>
      <c r="BF160" s="624">
        <v>41765</v>
      </c>
      <c r="BG160" s="355">
        <v>1.6662E-2</v>
      </c>
      <c r="BH160" s="624">
        <v>41764</v>
      </c>
      <c r="BI160" s="355">
        <v>8.6787000000000003E-2</v>
      </c>
      <c r="BJ160" s="624">
        <v>41764</v>
      </c>
      <c r="BK160" s="355">
        <v>3.0911999999999999E-2</v>
      </c>
    </row>
    <row r="161" spans="3:63">
      <c r="C161" s="624"/>
      <c r="D161" s="355">
        <v>3.5950000000000003E-2</v>
      </c>
      <c r="AV161" s="624">
        <v>41771</v>
      </c>
      <c r="AW161" s="355">
        <v>0.45140000000000002</v>
      </c>
      <c r="AX161" s="624">
        <v>41765</v>
      </c>
      <c r="AY161" s="355">
        <v>2.8219999999999999E-2</v>
      </c>
      <c r="AZ161" s="624">
        <v>41765</v>
      </c>
      <c r="BA161" s="355">
        <v>1.21E-2</v>
      </c>
      <c r="BB161" s="624">
        <v>41765</v>
      </c>
      <c r="BC161" s="355">
        <v>0.33169999999999999</v>
      </c>
      <c r="BD161" s="624">
        <v>41765</v>
      </c>
      <c r="BE161" s="355">
        <v>9.7479999999999997E-2</v>
      </c>
      <c r="BF161" s="624">
        <v>41766</v>
      </c>
      <c r="BG161" s="355">
        <v>1.6695000000000002E-2</v>
      </c>
      <c r="BH161" s="624">
        <v>41765</v>
      </c>
      <c r="BI161" s="355">
        <v>8.6881E-2</v>
      </c>
      <c r="BJ161" s="624">
        <v>41765</v>
      </c>
      <c r="BK161" s="355">
        <v>3.091E-2</v>
      </c>
    </row>
    <row r="162" spans="3:63">
      <c r="C162" s="624"/>
      <c r="D162" s="355">
        <v>3.5950000000000003E-2</v>
      </c>
      <c r="AV162" s="624">
        <v>41772</v>
      </c>
      <c r="AW162" s="355">
        <v>0.45150000000000001</v>
      </c>
      <c r="AX162" s="624">
        <v>41766</v>
      </c>
      <c r="AY162" s="355">
        <v>2.8629999999999999E-2</v>
      </c>
      <c r="AZ162" s="624">
        <v>41766</v>
      </c>
      <c r="BA162" s="355">
        <v>1.2E-2</v>
      </c>
      <c r="BB162" s="624">
        <v>41766</v>
      </c>
      <c r="BC162" s="355">
        <v>0.33210000000000001</v>
      </c>
      <c r="BD162" s="624">
        <v>41766</v>
      </c>
      <c r="BE162" s="355">
        <v>9.7769999999999996E-2</v>
      </c>
      <c r="BF162" s="624">
        <v>41767</v>
      </c>
      <c r="BG162" s="355">
        <v>1.6684999999999998E-2</v>
      </c>
      <c r="BH162" s="624">
        <v>41766</v>
      </c>
      <c r="BI162" s="355">
        <v>8.6524000000000004E-2</v>
      </c>
      <c r="BJ162" s="624">
        <v>41766</v>
      </c>
      <c r="BK162" s="355">
        <v>3.0880999999999999E-2</v>
      </c>
    </row>
    <row r="163" spans="3:63">
      <c r="C163" s="624"/>
      <c r="D163" s="355">
        <v>3.5909999999999997E-2</v>
      </c>
      <c r="AV163" s="624">
        <v>41773</v>
      </c>
      <c r="AW163" s="355">
        <v>0.4541</v>
      </c>
      <c r="AX163" s="624">
        <v>41767</v>
      </c>
      <c r="AY163" s="355">
        <v>2.852E-2</v>
      </c>
      <c r="AZ163" s="624">
        <v>41767</v>
      </c>
      <c r="BA163" s="355">
        <v>1.2E-2</v>
      </c>
      <c r="BB163" s="624">
        <v>41767</v>
      </c>
      <c r="BC163" s="355">
        <v>0.33119999999999999</v>
      </c>
      <c r="BD163" s="624">
        <v>41767</v>
      </c>
      <c r="BE163" s="355">
        <v>9.7790000000000002E-2</v>
      </c>
      <c r="BF163" s="624">
        <v>41768</v>
      </c>
      <c r="BG163" s="355">
        <v>1.6711E-2</v>
      </c>
      <c r="BH163" s="624">
        <v>41767</v>
      </c>
      <c r="BI163" s="355">
        <v>8.6560999999999999E-2</v>
      </c>
      <c r="BJ163" s="624">
        <v>41767</v>
      </c>
      <c r="BK163" s="355">
        <v>3.0778E-2</v>
      </c>
    </row>
    <row r="164" spans="3:63">
      <c r="C164" s="624"/>
      <c r="D164" s="355">
        <v>3.5860000000000003E-2</v>
      </c>
      <c r="AV164" s="624">
        <v>41774</v>
      </c>
      <c r="AW164" s="355">
        <v>0.45069999999999999</v>
      </c>
      <c r="AX164" s="624">
        <v>41768</v>
      </c>
      <c r="AY164" s="355">
        <v>2.8400000000000002E-2</v>
      </c>
      <c r="AZ164" s="624">
        <v>41768</v>
      </c>
      <c r="BA164" s="355">
        <v>1.1900000000000001E-2</v>
      </c>
      <c r="BB164" s="624">
        <v>41768</v>
      </c>
      <c r="BC164" s="355">
        <v>0.3291</v>
      </c>
      <c r="BD164" s="624">
        <v>41768</v>
      </c>
      <c r="BE164" s="355">
        <v>9.7460000000000005E-2</v>
      </c>
      <c r="BF164" s="624">
        <v>41771</v>
      </c>
      <c r="BG164" s="355">
        <v>1.6788000000000001E-2</v>
      </c>
      <c r="BH164" s="624">
        <v>41768</v>
      </c>
      <c r="BI164" s="355">
        <v>8.6693000000000006E-2</v>
      </c>
      <c r="BJ164" s="624">
        <v>41768</v>
      </c>
      <c r="BK164" s="355">
        <v>3.0648999999999999E-2</v>
      </c>
    </row>
    <row r="165" spans="3:63">
      <c r="C165" s="624"/>
      <c r="D165" s="355">
        <v>3.5779999999999999E-2</v>
      </c>
      <c r="AV165" s="624">
        <v>41775</v>
      </c>
      <c r="AW165" s="355">
        <v>0.4516</v>
      </c>
      <c r="AX165" s="624">
        <v>41771</v>
      </c>
      <c r="AY165" s="355">
        <v>2.8549999999999999E-2</v>
      </c>
      <c r="AZ165" s="624">
        <v>41771</v>
      </c>
      <c r="BA165" s="355">
        <v>1.1900000000000001E-2</v>
      </c>
      <c r="BB165" s="624">
        <v>41771</v>
      </c>
      <c r="BC165" s="355">
        <v>0.32900000000000001</v>
      </c>
      <c r="BD165" s="624">
        <v>41771</v>
      </c>
      <c r="BE165" s="355">
        <v>9.7600000000000006E-2</v>
      </c>
      <c r="BF165" s="624">
        <v>41772</v>
      </c>
      <c r="BG165" s="355">
        <v>1.6816999999999999E-2</v>
      </c>
      <c r="BH165" s="624">
        <v>41771</v>
      </c>
      <c r="BI165" s="355">
        <v>8.6787000000000003E-2</v>
      </c>
      <c r="BJ165" s="624">
        <v>41771</v>
      </c>
      <c r="BK165" s="355">
        <v>3.0665000000000001E-2</v>
      </c>
    </row>
    <row r="166" spans="3:63">
      <c r="C166" s="624"/>
      <c r="D166" s="355">
        <v>3.5700000000000003E-2</v>
      </c>
      <c r="AV166" s="624">
        <v>41778</v>
      </c>
      <c r="AW166" s="355">
        <v>0.45290000000000002</v>
      </c>
      <c r="AX166" s="624">
        <v>41772</v>
      </c>
      <c r="AY166" s="355">
        <v>2.8649999999999998E-2</v>
      </c>
      <c r="AZ166" s="624">
        <v>41772</v>
      </c>
      <c r="BA166" s="355">
        <v>1.1900000000000001E-2</v>
      </c>
      <c r="BB166" s="624">
        <v>41772</v>
      </c>
      <c r="BC166" s="355">
        <v>0.32729999999999998</v>
      </c>
      <c r="BD166" s="624">
        <v>41772</v>
      </c>
      <c r="BE166" s="355">
        <v>9.7780000000000006E-2</v>
      </c>
      <c r="BF166" s="624">
        <v>41773</v>
      </c>
      <c r="BG166" s="355">
        <v>1.6813000000000002E-2</v>
      </c>
      <c r="BH166" s="624">
        <v>41772</v>
      </c>
      <c r="BI166" s="355">
        <v>8.6693000000000006E-2</v>
      </c>
      <c r="BJ166" s="624">
        <v>41772</v>
      </c>
      <c r="BK166" s="355">
        <v>3.0665999999999999E-2</v>
      </c>
    </row>
    <row r="167" spans="3:63">
      <c r="C167" s="624"/>
      <c r="D167" s="355">
        <v>3.5720000000000002E-2</v>
      </c>
      <c r="AV167" s="624">
        <v>41779</v>
      </c>
      <c r="AW167" s="355">
        <v>0.45129999999999998</v>
      </c>
      <c r="AX167" s="624">
        <v>41773</v>
      </c>
      <c r="AY167" s="355">
        <v>2.8850000000000001E-2</v>
      </c>
      <c r="AZ167" s="624">
        <v>41773</v>
      </c>
      <c r="BA167" s="355">
        <v>1.1900000000000001E-2</v>
      </c>
      <c r="BB167" s="624">
        <v>41773</v>
      </c>
      <c r="BC167" s="355">
        <v>0.32729999999999998</v>
      </c>
      <c r="BD167" s="624">
        <v>41773</v>
      </c>
      <c r="BE167" s="355">
        <v>9.7299999999999998E-2</v>
      </c>
      <c r="BF167" s="624">
        <v>41774</v>
      </c>
      <c r="BG167" s="355">
        <v>1.6816999999999999E-2</v>
      </c>
      <c r="BH167" s="624">
        <v>41773</v>
      </c>
      <c r="BI167" s="355">
        <v>8.7335999999999997E-2</v>
      </c>
      <c r="BJ167" s="624">
        <v>41773</v>
      </c>
      <c r="BK167" s="355">
        <v>3.0844E-2</v>
      </c>
    </row>
    <row r="168" spans="3:63">
      <c r="C168" s="624"/>
      <c r="D168" s="355">
        <v>3.5709999999999999E-2</v>
      </c>
      <c r="AV168" s="624">
        <v>41780</v>
      </c>
      <c r="AW168" s="355">
        <v>0.45269999999999999</v>
      </c>
      <c r="AX168" s="624">
        <v>41774</v>
      </c>
      <c r="AY168" s="355">
        <v>2.8760000000000001E-2</v>
      </c>
      <c r="AZ168" s="624">
        <v>41774</v>
      </c>
      <c r="BA168" s="355">
        <v>1.1900000000000001E-2</v>
      </c>
      <c r="BB168" s="624">
        <v>41774</v>
      </c>
      <c r="BC168" s="355">
        <v>0.32700000000000001</v>
      </c>
      <c r="BD168" s="624">
        <v>41774</v>
      </c>
      <c r="BE168" s="355">
        <v>9.7170000000000006E-2</v>
      </c>
      <c r="BF168" s="624">
        <v>41775</v>
      </c>
      <c r="BG168" s="355">
        <v>1.7080999999999999E-2</v>
      </c>
      <c r="BH168" s="624">
        <v>41774</v>
      </c>
      <c r="BI168" s="355">
        <v>8.7335999999999997E-2</v>
      </c>
      <c r="BJ168" s="624">
        <v>41774</v>
      </c>
      <c r="BK168" s="355">
        <v>3.074E-2</v>
      </c>
    </row>
    <row r="169" spans="3:63">
      <c r="C169" s="624"/>
      <c r="D169" s="355">
        <v>3.5749999999999997E-2</v>
      </c>
      <c r="AV169" s="624">
        <v>41781</v>
      </c>
      <c r="AW169" s="355">
        <v>0.45140000000000002</v>
      </c>
      <c r="AX169" s="624">
        <v>41775</v>
      </c>
      <c r="AY169" s="355">
        <v>2.8819999999999998E-2</v>
      </c>
      <c r="AZ169" s="624">
        <v>41775</v>
      </c>
      <c r="BA169" s="355">
        <v>1.1900000000000001E-2</v>
      </c>
      <c r="BB169" s="624">
        <v>41775</v>
      </c>
      <c r="BC169" s="355">
        <v>0.32669999999999999</v>
      </c>
      <c r="BD169" s="624">
        <v>41775</v>
      </c>
      <c r="BE169" s="355">
        <v>9.7670000000000007E-2</v>
      </c>
      <c r="BF169" s="624">
        <v>41778</v>
      </c>
      <c r="BG169" s="355">
        <v>1.7111999999999999E-2</v>
      </c>
      <c r="BH169" s="624">
        <v>41775</v>
      </c>
      <c r="BI169" s="355">
        <v>8.7584999999999996E-2</v>
      </c>
      <c r="BJ169" s="624">
        <v>41775</v>
      </c>
      <c r="BK169" s="355">
        <v>3.0759999999999999E-2</v>
      </c>
    </row>
    <row r="170" spans="3:63">
      <c r="C170" s="624"/>
      <c r="D170" s="355">
        <v>3.5680000000000003E-2</v>
      </c>
      <c r="AV170" s="624">
        <v>41782</v>
      </c>
      <c r="AW170" s="355">
        <v>0.44979999999999998</v>
      </c>
      <c r="AX170" s="624">
        <v>41778</v>
      </c>
      <c r="AY170" s="355">
        <v>2.8920000000000001E-2</v>
      </c>
      <c r="AZ170" s="624">
        <v>41778</v>
      </c>
      <c r="BA170" s="355">
        <v>1.18E-2</v>
      </c>
      <c r="BB170" s="624">
        <v>41778</v>
      </c>
      <c r="BC170" s="355">
        <v>0.32729999999999998</v>
      </c>
      <c r="BD170" s="624">
        <v>41778</v>
      </c>
      <c r="BE170" s="355">
        <v>9.7869999999999999E-2</v>
      </c>
      <c r="BF170" s="624">
        <v>41779</v>
      </c>
      <c r="BG170" s="355">
        <v>1.7056999999999999E-2</v>
      </c>
      <c r="BH170" s="624">
        <v>41778</v>
      </c>
      <c r="BI170" s="355">
        <v>8.7566000000000005E-2</v>
      </c>
      <c r="BJ170" s="624">
        <v>41778</v>
      </c>
      <c r="BK170" s="355">
        <v>3.0780999999999999E-2</v>
      </c>
    </row>
    <row r="171" spans="3:63">
      <c r="C171" s="624"/>
      <c r="D171" s="355">
        <v>3.5659999999999997E-2</v>
      </c>
      <c r="AV171" s="624">
        <v>41785</v>
      </c>
      <c r="AW171" s="355">
        <v>0.44950000000000001</v>
      </c>
      <c r="AX171" s="624">
        <v>41779</v>
      </c>
      <c r="AY171" s="355">
        <v>2.896E-2</v>
      </c>
      <c r="AZ171" s="624">
        <v>41779</v>
      </c>
      <c r="BA171" s="355">
        <v>1.1900000000000001E-2</v>
      </c>
      <c r="BB171" s="624">
        <v>41779</v>
      </c>
      <c r="BC171" s="355">
        <v>0.3271</v>
      </c>
      <c r="BD171" s="624">
        <v>41779</v>
      </c>
      <c r="BE171" s="355">
        <v>9.7540000000000002E-2</v>
      </c>
      <c r="BF171" s="624">
        <v>41780</v>
      </c>
      <c r="BG171" s="355">
        <v>1.7052999999999999E-2</v>
      </c>
      <c r="BH171" s="624">
        <v>41779</v>
      </c>
      <c r="BI171" s="355">
        <v>8.7031999999999998E-2</v>
      </c>
      <c r="BJ171" s="624">
        <v>41779</v>
      </c>
      <c r="BK171" s="355">
        <v>3.0735999999999999E-2</v>
      </c>
    </row>
    <row r="172" spans="3:63">
      <c r="C172" s="624"/>
      <c r="D172" s="355">
        <v>3.5700000000000003E-2</v>
      </c>
      <c r="AV172" s="624">
        <v>41786</v>
      </c>
      <c r="AW172" s="355">
        <v>0.44650000000000001</v>
      </c>
      <c r="AX172" s="624">
        <v>41780</v>
      </c>
      <c r="AY172" s="355">
        <v>2.9170000000000001E-2</v>
      </c>
      <c r="AZ172" s="624">
        <v>41780</v>
      </c>
      <c r="BA172" s="355">
        <v>1.1900000000000001E-2</v>
      </c>
      <c r="BB172" s="624">
        <v>41780</v>
      </c>
      <c r="BC172" s="355">
        <v>0.3276</v>
      </c>
      <c r="BD172" s="624">
        <v>41780</v>
      </c>
      <c r="BE172" s="355">
        <v>9.74E-2</v>
      </c>
      <c r="BF172" s="624">
        <v>41781</v>
      </c>
      <c r="BG172" s="355">
        <v>1.7132999999999999E-2</v>
      </c>
      <c r="BH172" s="624">
        <v>41780</v>
      </c>
      <c r="BI172" s="355">
        <v>8.6861999999999995E-2</v>
      </c>
      <c r="BJ172" s="624">
        <v>41780</v>
      </c>
      <c r="BK172" s="355">
        <v>3.0800999999999999E-2</v>
      </c>
    </row>
    <row r="173" spans="3:63">
      <c r="C173" s="624"/>
      <c r="D173" s="355">
        <v>3.5680000000000003E-2</v>
      </c>
      <c r="AV173" s="624">
        <v>41787</v>
      </c>
      <c r="AW173" s="355">
        <v>0.44769999999999999</v>
      </c>
      <c r="AX173" s="624">
        <v>41781</v>
      </c>
      <c r="AY173" s="355">
        <v>2.9149999999999999E-2</v>
      </c>
      <c r="AZ173" s="624">
        <v>41781</v>
      </c>
      <c r="BA173" s="355">
        <v>1.18E-2</v>
      </c>
      <c r="BB173" s="624">
        <v>41781</v>
      </c>
      <c r="BC173" s="355">
        <v>0.32819999999999999</v>
      </c>
      <c r="BD173" s="624">
        <v>41781</v>
      </c>
      <c r="BE173" s="355">
        <v>9.7619999999999998E-2</v>
      </c>
      <c r="BF173" s="624">
        <v>41782</v>
      </c>
      <c r="BG173" s="355">
        <v>1.7114999999999998E-2</v>
      </c>
      <c r="BH173" s="624">
        <v>41781</v>
      </c>
      <c r="BI173" s="355">
        <v>8.6742E-2</v>
      </c>
      <c r="BJ173" s="624">
        <v>41781</v>
      </c>
      <c r="BK173" s="355">
        <v>3.0696999999999999E-2</v>
      </c>
    </row>
    <row r="174" spans="3:63">
      <c r="C174" s="624"/>
      <c r="D174" s="355">
        <v>3.56E-2</v>
      </c>
      <c r="AV174" s="624">
        <v>41788</v>
      </c>
      <c r="AW174" s="355">
        <v>0.4496</v>
      </c>
      <c r="AX174" s="624">
        <v>41782</v>
      </c>
      <c r="AY174" s="355">
        <v>2.93E-2</v>
      </c>
      <c r="AZ174" s="624">
        <v>41782</v>
      </c>
      <c r="BA174" s="355">
        <v>1.18E-2</v>
      </c>
      <c r="BB174" s="624">
        <v>41782</v>
      </c>
      <c r="BC174" s="355">
        <v>0.3281</v>
      </c>
      <c r="BD174" s="624">
        <v>41782</v>
      </c>
      <c r="BE174" s="355">
        <v>9.7600000000000006E-2</v>
      </c>
      <c r="BF174" s="624">
        <v>41785</v>
      </c>
      <c r="BG174" s="355">
        <v>1.7038000000000001E-2</v>
      </c>
      <c r="BH174" s="624">
        <v>41782</v>
      </c>
      <c r="BI174" s="355">
        <v>8.6096000000000006E-2</v>
      </c>
      <c r="BJ174" s="624">
        <v>41782</v>
      </c>
      <c r="BK174" s="355">
        <v>3.0731000000000001E-2</v>
      </c>
    </row>
    <row r="175" spans="3:63">
      <c r="C175" s="624"/>
      <c r="D175" s="355">
        <v>3.5610000000000003E-2</v>
      </c>
      <c r="AV175" s="624">
        <v>41789</v>
      </c>
      <c r="AW175" s="355">
        <v>0.44619999999999999</v>
      </c>
      <c r="AX175" s="624">
        <v>41785</v>
      </c>
      <c r="AY175" s="355">
        <v>2.9219999999999999E-2</v>
      </c>
      <c r="AZ175" s="624">
        <v>41785</v>
      </c>
      <c r="BA175" s="355">
        <v>1.18E-2</v>
      </c>
      <c r="BB175" s="624">
        <v>41785</v>
      </c>
      <c r="BC175" s="355">
        <v>0.32779999999999998</v>
      </c>
      <c r="BD175" s="624">
        <v>41785</v>
      </c>
      <c r="BE175" s="355">
        <v>9.7689999999999999E-2</v>
      </c>
      <c r="BF175" s="624">
        <v>41786</v>
      </c>
      <c r="BG175" s="355">
        <v>1.6962999999999999E-2</v>
      </c>
      <c r="BH175" s="624">
        <v>41785</v>
      </c>
      <c r="BI175" s="355">
        <v>8.6336999999999997E-2</v>
      </c>
      <c r="BJ175" s="624">
        <v>41785</v>
      </c>
      <c r="BK175" s="355">
        <v>3.0696000000000001E-2</v>
      </c>
    </row>
    <row r="176" spans="3:63">
      <c r="C176" s="624"/>
      <c r="D176" s="355">
        <v>3.5560000000000001E-2</v>
      </c>
      <c r="AV176" s="624">
        <v>41792</v>
      </c>
      <c r="AW176" s="355">
        <v>0.43930000000000002</v>
      </c>
      <c r="AX176" s="624">
        <v>41786</v>
      </c>
      <c r="AY176" s="355">
        <v>2.9049999999999999E-2</v>
      </c>
      <c r="AZ176" s="624">
        <v>41786</v>
      </c>
      <c r="BA176" s="355">
        <v>1.18E-2</v>
      </c>
      <c r="BB176" s="624">
        <v>41786</v>
      </c>
      <c r="BC176" s="355">
        <v>0.32740000000000002</v>
      </c>
      <c r="BD176" s="624">
        <v>41786</v>
      </c>
      <c r="BE176" s="355">
        <v>9.7589999999999996E-2</v>
      </c>
      <c r="BF176" s="624">
        <v>41787</v>
      </c>
      <c r="BG176" s="355">
        <v>1.6975000000000001E-2</v>
      </c>
      <c r="BH176" s="624">
        <v>41786</v>
      </c>
      <c r="BI176" s="355">
        <v>8.6336999999999997E-2</v>
      </c>
      <c r="BJ176" s="624">
        <v>41786</v>
      </c>
      <c r="BK176" s="355">
        <v>3.0658000000000001E-2</v>
      </c>
    </row>
    <row r="177" spans="3:63">
      <c r="C177" s="624"/>
      <c r="D177" s="355">
        <v>3.5409999999999997E-2</v>
      </c>
      <c r="AV177" s="624">
        <v>41793</v>
      </c>
      <c r="AW177" s="355">
        <v>0.43859999999999999</v>
      </c>
      <c r="AX177" s="624">
        <v>41787</v>
      </c>
      <c r="AY177" s="355">
        <v>2.8930000000000001E-2</v>
      </c>
      <c r="AZ177" s="624">
        <v>41787</v>
      </c>
      <c r="BA177" s="355">
        <v>1.18E-2</v>
      </c>
      <c r="BB177" s="624">
        <v>41787</v>
      </c>
      <c r="BC177" s="355">
        <v>0.32740000000000002</v>
      </c>
      <c r="BD177" s="624">
        <v>41787</v>
      </c>
      <c r="BE177" s="355">
        <v>9.776E-2</v>
      </c>
      <c r="BF177" s="624">
        <v>41788</v>
      </c>
      <c r="BG177" s="355">
        <v>1.6971E-2</v>
      </c>
      <c r="BH177" s="624">
        <v>41787</v>
      </c>
      <c r="BI177" s="355">
        <v>8.6169999999999997E-2</v>
      </c>
      <c r="BJ177" s="624">
        <v>41787</v>
      </c>
      <c r="BK177" s="355">
        <v>3.0588000000000001E-2</v>
      </c>
    </row>
    <row r="178" spans="3:63">
      <c r="C178" s="624"/>
      <c r="D178" s="355">
        <v>3.5220000000000001E-2</v>
      </c>
      <c r="AV178" s="624">
        <v>41794</v>
      </c>
      <c r="AW178" s="355">
        <v>0.43830000000000002</v>
      </c>
      <c r="AX178" s="624">
        <v>41788</v>
      </c>
      <c r="AY178" s="355">
        <v>2.8830000000000001E-2</v>
      </c>
      <c r="AZ178" s="624">
        <v>41788</v>
      </c>
      <c r="BA178" s="355">
        <v>1.18E-2</v>
      </c>
      <c r="BB178" s="624">
        <v>41788</v>
      </c>
      <c r="BC178" s="355">
        <v>0.3286</v>
      </c>
      <c r="BD178" s="624">
        <v>41788</v>
      </c>
      <c r="BE178" s="355">
        <v>9.8169999999999993E-2</v>
      </c>
      <c r="BF178" s="624">
        <v>41789</v>
      </c>
      <c r="BG178" s="355">
        <v>1.6861999999999999E-2</v>
      </c>
      <c r="BH178" s="624">
        <v>41788</v>
      </c>
      <c r="BI178" s="355">
        <v>8.6169999999999997E-2</v>
      </c>
      <c r="BJ178" s="624">
        <v>41788</v>
      </c>
      <c r="BK178" s="355">
        <v>3.0484000000000001E-2</v>
      </c>
    </row>
    <row r="179" spans="3:63">
      <c r="C179" s="624"/>
      <c r="D179" s="355">
        <v>3.524E-2</v>
      </c>
      <c r="AV179" s="624">
        <v>41795</v>
      </c>
      <c r="AW179" s="355">
        <v>0.4415</v>
      </c>
      <c r="AX179" s="624">
        <v>41789</v>
      </c>
      <c r="AY179" s="355">
        <v>2.8649999999999998E-2</v>
      </c>
      <c r="AZ179" s="624">
        <v>41789</v>
      </c>
      <c r="BA179" s="355">
        <v>1.18E-2</v>
      </c>
      <c r="BB179" s="624">
        <v>41789</v>
      </c>
      <c r="BC179" s="355">
        <v>0.32900000000000001</v>
      </c>
      <c r="BD179" s="624">
        <v>41789</v>
      </c>
      <c r="BE179" s="355">
        <v>9.7890000000000005E-2</v>
      </c>
      <c r="BF179" s="624">
        <v>41792</v>
      </c>
      <c r="BG179" s="355">
        <v>1.6898E-2</v>
      </c>
      <c r="BH179" s="624">
        <v>41789</v>
      </c>
      <c r="BI179" s="355">
        <v>8.5653000000000007E-2</v>
      </c>
      <c r="BJ179" s="624">
        <v>41789</v>
      </c>
      <c r="BK179" s="355">
        <v>3.0474000000000001E-2</v>
      </c>
    </row>
    <row r="180" spans="3:63">
      <c r="C180" s="624"/>
      <c r="D180" s="355">
        <v>3.524E-2</v>
      </c>
      <c r="AV180" s="624">
        <v>41796</v>
      </c>
      <c r="AW180" s="355">
        <v>0.44479999999999997</v>
      </c>
      <c r="AX180" s="624">
        <v>41792</v>
      </c>
      <c r="AY180" s="355">
        <v>2.8580000000000001E-2</v>
      </c>
      <c r="AZ180" s="624">
        <v>41792</v>
      </c>
      <c r="BA180" s="355">
        <v>1.18E-2</v>
      </c>
      <c r="BB180" s="624">
        <v>41792</v>
      </c>
      <c r="BC180" s="355">
        <v>0.32819999999999999</v>
      </c>
      <c r="BD180" s="624">
        <v>41792</v>
      </c>
      <c r="BE180" s="355">
        <v>9.7589999999999996E-2</v>
      </c>
      <c r="BF180" s="624">
        <v>41793</v>
      </c>
      <c r="BG180" s="355">
        <v>1.686E-2</v>
      </c>
      <c r="BH180" s="624">
        <v>41792</v>
      </c>
      <c r="BI180" s="355">
        <v>8.4998000000000004E-2</v>
      </c>
      <c r="BJ180" s="624">
        <v>41792</v>
      </c>
      <c r="BK180" s="355">
        <v>3.0454999999999999E-2</v>
      </c>
    </row>
    <row r="181" spans="3:63">
      <c r="C181" s="624"/>
      <c r="D181" s="355">
        <v>3.5200000000000002E-2</v>
      </c>
      <c r="AV181" s="624">
        <v>41799</v>
      </c>
      <c r="AW181" s="355">
        <v>0.4486</v>
      </c>
      <c r="AX181" s="624">
        <v>41793</v>
      </c>
      <c r="AY181" s="355">
        <v>2.852E-2</v>
      </c>
      <c r="AZ181" s="624">
        <v>41793</v>
      </c>
      <c r="BA181" s="355">
        <v>1.18E-2</v>
      </c>
      <c r="BB181" s="624">
        <v>41793</v>
      </c>
      <c r="BC181" s="355">
        <v>0.32790000000000002</v>
      </c>
      <c r="BD181" s="624">
        <v>41793</v>
      </c>
      <c r="BE181" s="355">
        <v>9.7710000000000005E-2</v>
      </c>
      <c r="BF181" s="624">
        <v>41794</v>
      </c>
      <c r="BG181" s="355">
        <v>1.6872000000000002E-2</v>
      </c>
      <c r="BH181" s="624">
        <v>41793</v>
      </c>
      <c r="BI181" s="355">
        <v>8.4814000000000001E-2</v>
      </c>
      <c r="BJ181" s="624">
        <v>41793</v>
      </c>
      <c r="BK181" s="355">
        <v>3.0661999999999998E-2</v>
      </c>
    </row>
    <row r="182" spans="3:63">
      <c r="C182" s="624"/>
      <c r="D182" s="355">
        <v>3.5189999999999999E-2</v>
      </c>
      <c r="AV182" s="624">
        <v>41800</v>
      </c>
      <c r="AW182" s="355">
        <v>0.44979999999999998</v>
      </c>
      <c r="AX182" s="624">
        <v>41794</v>
      </c>
      <c r="AY182" s="355">
        <v>2.8559999999999999E-2</v>
      </c>
      <c r="AZ182" s="624">
        <v>41794</v>
      </c>
      <c r="BA182" s="355">
        <v>1.18E-2</v>
      </c>
      <c r="BB182" s="624">
        <v>41794</v>
      </c>
      <c r="BC182" s="355">
        <v>0.32929999999999998</v>
      </c>
      <c r="BD182" s="624">
        <v>41794</v>
      </c>
      <c r="BE182" s="355">
        <v>9.7470000000000001E-2</v>
      </c>
      <c r="BF182" s="624">
        <v>41795</v>
      </c>
      <c r="BG182" s="355">
        <v>1.6934999999999999E-2</v>
      </c>
      <c r="BH182" s="624">
        <v>41794</v>
      </c>
      <c r="BI182" s="355">
        <v>8.4103999999999998E-2</v>
      </c>
      <c r="BJ182" s="624">
        <v>41794</v>
      </c>
      <c r="BK182" s="355">
        <v>3.0609000000000001E-2</v>
      </c>
    </row>
    <row r="183" spans="3:63">
      <c r="C183" s="624"/>
      <c r="D183" s="355">
        <v>3.5249999999999997E-2</v>
      </c>
      <c r="AV183" s="624">
        <v>41801</v>
      </c>
      <c r="AW183" s="355">
        <v>0.44729999999999998</v>
      </c>
      <c r="AX183" s="624">
        <v>41795</v>
      </c>
      <c r="AY183" s="355">
        <v>2.8830000000000001E-2</v>
      </c>
      <c r="AZ183" s="624">
        <v>41795</v>
      </c>
      <c r="BA183" s="355">
        <v>1.18E-2</v>
      </c>
      <c r="BB183" s="624">
        <v>41795</v>
      </c>
      <c r="BC183" s="355">
        <v>0.33050000000000002</v>
      </c>
      <c r="BD183" s="624">
        <v>41795</v>
      </c>
      <c r="BE183" s="355">
        <v>9.8059999999999994E-2</v>
      </c>
      <c r="BF183" s="624">
        <v>41796</v>
      </c>
      <c r="BG183" s="355">
        <v>1.6958000000000001E-2</v>
      </c>
      <c r="BH183" s="624">
        <v>41795</v>
      </c>
      <c r="BI183" s="355">
        <v>8.4317000000000003E-2</v>
      </c>
      <c r="BJ183" s="624">
        <v>41795</v>
      </c>
      <c r="BK183" s="355">
        <v>3.0641999999999999E-2</v>
      </c>
    </row>
    <row r="184" spans="3:63">
      <c r="C184" s="624"/>
      <c r="D184" s="355">
        <v>3.5150000000000001E-2</v>
      </c>
      <c r="AV184" s="624">
        <v>41802</v>
      </c>
      <c r="AW184" s="355">
        <v>0.44729999999999998</v>
      </c>
      <c r="AX184" s="624">
        <v>41796</v>
      </c>
      <c r="AY184" s="355">
        <v>2.9069999999999999E-2</v>
      </c>
      <c r="AZ184" s="624">
        <v>41796</v>
      </c>
      <c r="BA184" s="355">
        <v>1.18E-2</v>
      </c>
      <c r="BB184" s="624">
        <v>41796</v>
      </c>
      <c r="BC184" s="355">
        <v>0.33310000000000001</v>
      </c>
      <c r="BD184" s="624">
        <v>41796</v>
      </c>
      <c r="BE184" s="355">
        <v>9.8049999999999998E-2</v>
      </c>
      <c r="BF184" s="624">
        <v>41799</v>
      </c>
      <c r="BG184" s="355">
        <v>1.6892999999999998E-2</v>
      </c>
      <c r="BH184" s="624">
        <v>41796</v>
      </c>
      <c r="BI184" s="355">
        <v>8.4501999999999994E-2</v>
      </c>
      <c r="BJ184" s="624">
        <v>41796</v>
      </c>
      <c r="BK184" s="355">
        <v>3.0787999999999999E-2</v>
      </c>
    </row>
    <row r="185" spans="3:63">
      <c r="C185" s="624"/>
      <c r="D185" s="355">
        <v>3.5110000000000002E-2</v>
      </c>
      <c r="AV185" s="624">
        <v>41803</v>
      </c>
      <c r="AW185" s="355">
        <v>0.4496</v>
      </c>
      <c r="AX185" s="624">
        <v>41799</v>
      </c>
      <c r="AY185" s="355">
        <v>2.911E-2</v>
      </c>
      <c r="AZ185" s="624">
        <v>41799</v>
      </c>
      <c r="BA185" s="355">
        <v>1.18E-2</v>
      </c>
      <c r="BB185" s="624">
        <v>41799</v>
      </c>
      <c r="BC185" s="355">
        <v>0.33129999999999998</v>
      </c>
      <c r="BD185" s="624">
        <v>41799</v>
      </c>
      <c r="BE185" s="355">
        <v>9.8360000000000003E-2</v>
      </c>
      <c r="BF185" s="624">
        <v>41800</v>
      </c>
      <c r="BG185" s="355">
        <v>1.6896000000000001E-2</v>
      </c>
      <c r="BH185" s="624">
        <v>41799</v>
      </c>
      <c r="BI185" s="355">
        <v>8.4530999999999995E-2</v>
      </c>
      <c r="BJ185" s="624">
        <v>41799</v>
      </c>
      <c r="BK185" s="355">
        <v>3.0842999999999999E-2</v>
      </c>
    </row>
    <row r="186" spans="3:63">
      <c r="C186" s="624"/>
      <c r="D186" s="355">
        <v>3.5099999999999999E-2</v>
      </c>
      <c r="AV186" s="624">
        <v>41806</v>
      </c>
      <c r="AW186" s="355">
        <v>0.44740000000000002</v>
      </c>
      <c r="AX186" s="624">
        <v>41800</v>
      </c>
      <c r="AY186" s="355">
        <v>2.913E-2</v>
      </c>
      <c r="AZ186" s="624">
        <v>41800</v>
      </c>
      <c r="BA186" s="355">
        <v>1.17E-2</v>
      </c>
      <c r="BB186" s="624">
        <v>41800</v>
      </c>
      <c r="BC186" s="355">
        <v>0.32990000000000003</v>
      </c>
      <c r="BD186" s="624">
        <v>41800</v>
      </c>
      <c r="BE186" s="355">
        <v>9.8330000000000001E-2</v>
      </c>
      <c r="BF186" s="624">
        <v>41801</v>
      </c>
      <c r="BG186" s="355">
        <v>1.6837999999999999E-2</v>
      </c>
      <c r="BH186" s="624">
        <v>41800</v>
      </c>
      <c r="BI186" s="355">
        <v>8.4692000000000003E-2</v>
      </c>
      <c r="BJ186" s="624">
        <v>41800</v>
      </c>
      <c r="BK186" s="355">
        <v>3.0797999999999999E-2</v>
      </c>
    </row>
    <row r="187" spans="3:63">
      <c r="C187" s="624"/>
      <c r="D187" s="355">
        <v>3.4970000000000001E-2</v>
      </c>
      <c r="AV187" s="624">
        <v>41807</v>
      </c>
      <c r="AW187" s="355">
        <v>0.44209999999999999</v>
      </c>
      <c r="AX187" s="624">
        <v>41801</v>
      </c>
      <c r="AY187" s="355">
        <v>2.9080000000000002E-2</v>
      </c>
      <c r="AZ187" s="624">
        <v>41801</v>
      </c>
      <c r="BA187" s="355">
        <v>1.17E-2</v>
      </c>
      <c r="BB187" s="624">
        <v>41801</v>
      </c>
      <c r="BC187" s="355">
        <v>0.32940000000000003</v>
      </c>
      <c r="BD187" s="624">
        <v>41801</v>
      </c>
      <c r="BE187" s="355">
        <v>9.8269999999999996E-2</v>
      </c>
      <c r="BF187" s="624">
        <v>41802</v>
      </c>
      <c r="BG187" s="355">
        <v>1.6863E-2</v>
      </c>
      <c r="BH187" s="624">
        <v>41801</v>
      </c>
      <c r="BI187" s="355">
        <v>8.4673999999999999E-2</v>
      </c>
      <c r="BJ187" s="624">
        <v>41801</v>
      </c>
      <c r="BK187" s="355">
        <v>3.0790000000000001E-2</v>
      </c>
    </row>
    <row r="188" spans="3:63">
      <c r="C188" s="624"/>
      <c r="D188" s="355">
        <v>3.5000000000000003E-2</v>
      </c>
      <c r="AV188" s="624">
        <v>41808</v>
      </c>
      <c r="AW188" s="355">
        <v>0.44890000000000002</v>
      </c>
      <c r="AX188" s="624">
        <v>41802</v>
      </c>
      <c r="AY188" s="355">
        <v>2.9090000000000001E-2</v>
      </c>
      <c r="AZ188" s="624">
        <v>41802</v>
      </c>
      <c r="BA188" s="355">
        <v>1.18E-2</v>
      </c>
      <c r="BB188" s="624">
        <v>41802</v>
      </c>
      <c r="BC188" s="355">
        <v>0.32929999999999998</v>
      </c>
      <c r="BD188" s="624">
        <v>41802</v>
      </c>
      <c r="BE188" s="355">
        <v>9.8229999999999998E-2</v>
      </c>
      <c r="BF188" s="624">
        <v>41803</v>
      </c>
      <c r="BG188" s="355">
        <v>1.6747999999999999E-2</v>
      </c>
      <c r="BH188" s="624">
        <v>41802</v>
      </c>
      <c r="BI188" s="355">
        <v>8.4667000000000006E-2</v>
      </c>
      <c r="BJ188" s="624">
        <v>41802</v>
      </c>
      <c r="BK188" s="355">
        <v>3.082E-2</v>
      </c>
    </row>
    <row r="189" spans="3:63">
      <c r="C189" s="624"/>
      <c r="D189" s="355">
        <v>3.5009999999999999E-2</v>
      </c>
      <c r="AV189" s="624">
        <v>41809</v>
      </c>
      <c r="AW189" s="355">
        <v>0.44769999999999999</v>
      </c>
      <c r="AX189" s="624">
        <v>41803</v>
      </c>
      <c r="AY189" s="355">
        <v>2.9069999999999999E-2</v>
      </c>
      <c r="AZ189" s="624">
        <v>41803</v>
      </c>
      <c r="BA189" s="355">
        <v>1.17E-2</v>
      </c>
      <c r="BB189" s="624">
        <v>41803</v>
      </c>
      <c r="BC189" s="355">
        <v>0.32869999999999999</v>
      </c>
      <c r="BD189" s="624">
        <v>41803</v>
      </c>
      <c r="BE189" s="355">
        <v>9.7979999999999998E-2</v>
      </c>
      <c r="BF189" s="624">
        <v>41806</v>
      </c>
      <c r="BG189" s="355">
        <v>1.6605000000000002E-2</v>
      </c>
      <c r="BH189" s="624">
        <v>41803</v>
      </c>
      <c r="BI189" s="355">
        <v>8.4818000000000005E-2</v>
      </c>
      <c r="BJ189" s="624">
        <v>41803</v>
      </c>
      <c r="BK189" s="355">
        <v>3.0883000000000001E-2</v>
      </c>
    </row>
    <row r="190" spans="3:63">
      <c r="C190" s="624"/>
      <c r="D190" s="355">
        <v>3.5060000000000001E-2</v>
      </c>
      <c r="AV190" s="624">
        <v>41810</v>
      </c>
      <c r="AW190" s="355">
        <v>0.44819999999999999</v>
      </c>
      <c r="AX190" s="624">
        <v>41806</v>
      </c>
      <c r="AY190" s="355">
        <v>2.8889999999999999E-2</v>
      </c>
      <c r="AZ190" s="624">
        <v>41806</v>
      </c>
      <c r="BA190" s="355">
        <v>1.18E-2</v>
      </c>
      <c r="BB190" s="624">
        <v>41806</v>
      </c>
      <c r="BC190" s="355">
        <v>0.32779999999999998</v>
      </c>
      <c r="BD190" s="624">
        <v>41806</v>
      </c>
      <c r="BE190" s="355">
        <v>9.8019999999999996E-2</v>
      </c>
      <c r="BF190" s="624">
        <v>41807</v>
      </c>
      <c r="BG190" s="355">
        <v>1.6590000000000001E-2</v>
      </c>
      <c r="BH190" s="624">
        <v>41806</v>
      </c>
      <c r="BI190" s="355">
        <v>8.4601999999999997E-2</v>
      </c>
      <c r="BJ190" s="624">
        <v>41806</v>
      </c>
      <c r="BK190" s="355">
        <v>3.0905999999999999E-2</v>
      </c>
    </row>
    <row r="191" spans="3:63">
      <c r="C191" s="624"/>
      <c r="D191" s="355">
        <v>3.5040000000000002E-2</v>
      </c>
      <c r="AV191" s="624">
        <v>41813</v>
      </c>
      <c r="AW191" s="355">
        <v>0.45100000000000001</v>
      </c>
      <c r="AX191" s="624">
        <v>41807</v>
      </c>
      <c r="AY191" s="355">
        <v>2.8719999999999999E-2</v>
      </c>
      <c r="AZ191" s="624">
        <v>41807</v>
      </c>
      <c r="BA191" s="355">
        <v>1.17E-2</v>
      </c>
      <c r="BB191" s="624">
        <v>41807</v>
      </c>
      <c r="BC191" s="355">
        <v>0.32700000000000001</v>
      </c>
      <c r="BD191" s="624">
        <v>41807</v>
      </c>
      <c r="BE191" s="355">
        <v>9.7820000000000004E-2</v>
      </c>
      <c r="BF191" s="624">
        <v>41808</v>
      </c>
      <c r="BG191" s="355">
        <v>1.6721E-2</v>
      </c>
      <c r="BH191" s="624">
        <v>41807</v>
      </c>
      <c r="BI191" s="355">
        <v>8.4122000000000002E-2</v>
      </c>
      <c r="BJ191" s="624">
        <v>41807</v>
      </c>
      <c r="BK191" s="355">
        <v>3.0772000000000001E-2</v>
      </c>
    </row>
    <row r="192" spans="3:63">
      <c r="C192" s="624"/>
      <c r="D192" s="355">
        <v>3.4970000000000001E-2</v>
      </c>
      <c r="AV192" s="624">
        <v>41814</v>
      </c>
      <c r="AW192" s="355">
        <v>0.4496</v>
      </c>
      <c r="AX192" s="624">
        <v>41808</v>
      </c>
      <c r="AY192" s="355">
        <v>2.9100000000000001E-2</v>
      </c>
      <c r="AZ192" s="624">
        <v>41808</v>
      </c>
      <c r="BA192" s="355">
        <v>1.18E-2</v>
      </c>
      <c r="BB192" s="624">
        <v>41808</v>
      </c>
      <c r="BC192" s="355">
        <v>0.32929999999999998</v>
      </c>
      <c r="BD192" s="624">
        <v>41808</v>
      </c>
      <c r="BE192" s="355">
        <v>9.8199999999999996E-2</v>
      </c>
      <c r="BF192" s="624">
        <v>41809</v>
      </c>
      <c r="BG192" s="355">
        <v>1.6617E-2</v>
      </c>
      <c r="BH192" s="624">
        <v>41808</v>
      </c>
      <c r="BI192" s="355">
        <v>8.3350999999999995E-2</v>
      </c>
      <c r="BJ192" s="624">
        <v>41808</v>
      </c>
      <c r="BK192" s="355">
        <v>3.0845000000000001E-2</v>
      </c>
    </row>
    <row r="193" spans="3:63">
      <c r="C193" s="624"/>
      <c r="D193" s="355">
        <v>3.4970000000000001E-2</v>
      </c>
      <c r="AV193" s="624">
        <v>41815</v>
      </c>
      <c r="AW193" s="355">
        <v>0.45290000000000002</v>
      </c>
      <c r="AX193" s="624">
        <v>41809</v>
      </c>
      <c r="AY193" s="355">
        <v>2.9069999999999999E-2</v>
      </c>
      <c r="AZ193" s="624">
        <v>41809</v>
      </c>
      <c r="BA193" s="355">
        <v>1.18E-2</v>
      </c>
      <c r="BB193" s="624">
        <v>41809</v>
      </c>
      <c r="BC193" s="355">
        <v>0.32790000000000002</v>
      </c>
      <c r="BD193" s="624">
        <v>41809</v>
      </c>
      <c r="BE193" s="355">
        <v>9.8129999999999995E-2</v>
      </c>
      <c r="BF193" s="624">
        <v>41810</v>
      </c>
      <c r="BG193" s="355">
        <v>1.6622000000000001E-2</v>
      </c>
      <c r="BH193" s="624">
        <v>41809</v>
      </c>
      <c r="BI193" s="355">
        <v>8.3793999999999993E-2</v>
      </c>
      <c r="BJ193" s="624">
        <v>41809</v>
      </c>
      <c r="BK193" s="355">
        <v>3.0800000000000001E-2</v>
      </c>
    </row>
    <row r="194" spans="3:63">
      <c r="C194" s="624"/>
      <c r="D194" s="355">
        <v>3.4889999999999997E-2</v>
      </c>
      <c r="AV194" s="624">
        <v>41816</v>
      </c>
      <c r="AW194" s="355">
        <v>0.45490000000000003</v>
      </c>
      <c r="AX194" s="624">
        <v>41810</v>
      </c>
      <c r="AY194" s="355">
        <v>2.903E-2</v>
      </c>
      <c r="AZ194" s="624">
        <v>41810</v>
      </c>
      <c r="BA194" s="355">
        <v>1.18E-2</v>
      </c>
      <c r="BB194" s="624">
        <v>41810</v>
      </c>
      <c r="BC194" s="355">
        <v>0.32619999999999999</v>
      </c>
      <c r="BD194" s="624">
        <v>41810</v>
      </c>
      <c r="BE194" s="355">
        <v>9.8049999999999998E-2</v>
      </c>
      <c r="BF194" s="624">
        <v>41813</v>
      </c>
      <c r="BG194" s="355">
        <v>1.6648E-2</v>
      </c>
      <c r="BH194" s="624">
        <v>41810</v>
      </c>
      <c r="BI194" s="355">
        <v>8.3492999999999998E-2</v>
      </c>
      <c r="BJ194" s="624">
        <v>41810</v>
      </c>
      <c r="BK194" s="355">
        <v>3.0802E-2</v>
      </c>
    </row>
    <row r="195" spans="3:63">
      <c r="C195" s="624"/>
      <c r="D195" s="355">
        <v>3.492E-2</v>
      </c>
      <c r="AV195" s="624">
        <v>41817</v>
      </c>
      <c r="AW195" s="355">
        <v>0.45569999999999999</v>
      </c>
      <c r="AX195" s="624">
        <v>41813</v>
      </c>
      <c r="AY195" s="355">
        <v>2.9360000000000001E-2</v>
      </c>
      <c r="AZ195" s="624">
        <v>41813</v>
      </c>
      <c r="BA195" s="355">
        <v>1.18E-2</v>
      </c>
      <c r="BB195" s="624">
        <v>41813</v>
      </c>
      <c r="BC195" s="355">
        <v>0.32690000000000002</v>
      </c>
      <c r="BD195" s="624">
        <v>41813</v>
      </c>
      <c r="BE195" s="355">
        <v>9.8140000000000005E-2</v>
      </c>
      <c r="BF195" s="624">
        <v>41814</v>
      </c>
      <c r="BG195" s="355">
        <v>1.6615999999999999E-2</v>
      </c>
      <c r="BH195" s="624">
        <v>41813</v>
      </c>
      <c r="BI195" s="355">
        <v>8.3472000000000005E-2</v>
      </c>
      <c r="BJ195" s="624">
        <v>41813</v>
      </c>
      <c r="BK195" s="355">
        <v>3.0828999999999999E-2</v>
      </c>
    </row>
    <row r="196" spans="3:63">
      <c r="C196" s="624"/>
      <c r="D196" s="355">
        <v>3.5009999999999999E-2</v>
      </c>
      <c r="AV196" s="624">
        <v>41820</v>
      </c>
      <c r="AW196" s="355">
        <v>0.45179999999999998</v>
      </c>
      <c r="AX196" s="624">
        <v>41814</v>
      </c>
      <c r="AY196" s="355">
        <v>2.9579999999999999E-2</v>
      </c>
      <c r="AZ196" s="624">
        <v>41814</v>
      </c>
      <c r="BA196" s="355">
        <v>1.18E-2</v>
      </c>
      <c r="BB196" s="624">
        <v>41814</v>
      </c>
      <c r="BC196" s="355">
        <v>0.32769999999999999</v>
      </c>
      <c r="BD196" s="624">
        <v>41814</v>
      </c>
      <c r="BE196" s="355">
        <v>9.8159999999999997E-2</v>
      </c>
      <c r="BF196" s="624">
        <v>41815</v>
      </c>
      <c r="BG196" s="355">
        <v>1.6650999999999999E-2</v>
      </c>
      <c r="BH196" s="624">
        <v>41814</v>
      </c>
      <c r="BI196" s="355">
        <v>8.3409999999999998E-2</v>
      </c>
      <c r="BJ196" s="624">
        <v>41814</v>
      </c>
      <c r="BK196" s="355">
        <v>3.0817000000000001E-2</v>
      </c>
    </row>
    <row r="197" spans="3:63">
      <c r="C197" s="624"/>
      <c r="D197" s="355">
        <v>3.492E-2</v>
      </c>
      <c r="AV197" s="624">
        <v>41821</v>
      </c>
      <c r="AW197" s="355">
        <v>0.45419999999999999</v>
      </c>
      <c r="AX197" s="624">
        <v>41815</v>
      </c>
      <c r="AY197" s="355">
        <v>2.962E-2</v>
      </c>
      <c r="AZ197" s="624">
        <v>41815</v>
      </c>
      <c r="BA197" s="355">
        <v>1.18E-2</v>
      </c>
      <c r="BB197" s="624">
        <v>41815</v>
      </c>
      <c r="BC197" s="355">
        <v>0.32940000000000003</v>
      </c>
      <c r="BD197" s="624">
        <v>41815</v>
      </c>
      <c r="BE197" s="355">
        <v>9.8080000000000001E-2</v>
      </c>
      <c r="BF197" s="624">
        <v>41816</v>
      </c>
      <c r="BG197" s="355">
        <v>1.6618999999999998E-2</v>
      </c>
      <c r="BH197" s="624">
        <v>41815</v>
      </c>
      <c r="BI197" s="355">
        <v>8.2712999999999995E-2</v>
      </c>
      <c r="BJ197" s="624">
        <v>41815</v>
      </c>
      <c r="BK197" s="355">
        <v>3.0817000000000001E-2</v>
      </c>
    </row>
    <row r="198" spans="3:63">
      <c r="C198" s="624"/>
      <c r="D198" s="355">
        <v>3.4869999999999998E-2</v>
      </c>
      <c r="AV198" s="624">
        <v>41822</v>
      </c>
      <c r="AW198" s="355">
        <v>0.45</v>
      </c>
      <c r="AX198" s="624">
        <v>41816</v>
      </c>
      <c r="AY198" s="355">
        <v>2.9690000000000001E-2</v>
      </c>
      <c r="AZ198" s="624">
        <v>41816</v>
      </c>
      <c r="BA198" s="355">
        <v>1.18E-2</v>
      </c>
      <c r="BB198" s="624">
        <v>41816</v>
      </c>
      <c r="BC198" s="355">
        <v>0.32790000000000002</v>
      </c>
      <c r="BD198" s="624">
        <v>41816</v>
      </c>
      <c r="BE198" s="355">
        <v>9.8369999999999999E-2</v>
      </c>
      <c r="BF198" s="624">
        <v>41817</v>
      </c>
      <c r="BG198" s="355">
        <v>1.6669E-2</v>
      </c>
      <c r="BH198" s="624">
        <v>41816</v>
      </c>
      <c r="BI198" s="355">
        <v>8.2651000000000002E-2</v>
      </c>
      <c r="BJ198" s="624">
        <v>41816</v>
      </c>
      <c r="BK198" s="355">
        <v>3.0797000000000001E-2</v>
      </c>
    </row>
    <row r="199" spans="3:63">
      <c r="C199" s="624"/>
      <c r="D199" s="355">
        <v>3.4930000000000003E-2</v>
      </c>
      <c r="AV199" s="624">
        <v>41823</v>
      </c>
      <c r="AW199" s="355">
        <v>0.4521</v>
      </c>
      <c r="AX199" s="624">
        <v>41817</v>
      </c>
      <c r="AY199" s="355">
        <v>2.963E-2</v>
      </c>
      <c r="AZ199" s="624">
        <v>41817</v>
      </c>
      <c r="BA199" s="355">
        <v>1.18E-2</v>
      </c>
      <c r="BB199" s="624">
        <v>41817</v>
      </c>
      <c r="BC199" s="355">
        <v>0.32869999999999999</v>
      </c>
      <c r="BD199" s="624">
        <v>41817</v>
      </c>
      <c r="BE199" s="355">
        <v>9.8619999999999999E-2</v>
      </c>
      <c r="BF199" s="624">
        <v>41820</v>
      </c>
      <c r="BG199" s="355">
        <v>1.6655E-2</v>
      </c>
      <c r="BH199" s="624">
        <v>41817</v>
      </c>
      <c r="BI199" s="355">
        <v>8.3367999999999998E-2</v>
      </c>
      <c r="BJ199" s="624">
        <v>41817</v>
      </c>
      <c r="BK199" s="355">
        <v>3.0810000000000001E-2</v>
      </c>
    </row>
    <row r="200" spans="3:63">
      <c r="C200" s="624"/>
      <c r="D200" s="355">
        <v>3.4889999999999997E-2</v>
      </c>
      <c r="AV200" s="624">
        <v>41824</v>
      </c>
      <c r="AW200" s="355">
        <v>0.45190000000000002</v>
      </c>
      <c r="AX200" s="624">
        <v>41820</v>
      </c>
      <c r="AY200" s="355">
        <v>2.9420000000000002E-2</v>
      </c>
      <c r="AZ200" s="624">
        <v>41820</v>
      </c>
      <c r="BA200" s="355">
        <v>1.18E-2</v>
      </c>
      <c r="BB200" s="624">
        <v>41820</v>
      </c>
      <c r="BC200" s="355">
        <v>0.32929999999999998</v>
      </c>
      <c r="BD200" s="624">
        <v>41820</v>
      </c>
      <c r="BE200" s="355">
        <v>9.8820000000000005E-2</v>
      </c>
      <c r="BF200" s="624">
        <v>41821</v>
      </c>
      <c r="BG200" s="355">
        <v>1.6688000000000001E-2</v>
      </c>
      <c r="BH200" s="624">
        <v>41820</v>
      </c>
      <c r="BI200" s="355">
        <v>8.4281999999999996E-2</v>
      </c>
      <c r="BJ200" s="624">
        <v>41820</v>
      </c>
      <c r="BK200" s="355">
        <v>3.0825999999999999E-2</v>
      </c>
    </row>
    <row r="201" spans="3:63">
      <c r="C201" s="624"/>
      <c r="D201" s="355">
        <v>3.4729999999999997E-2</v>
      </c>
      <c r="AV201" s="624">
        <v>41827</v>
      </c>
      <c r="AW201" s="355">
        <v>0.4501</v>
      </c>
      <c r="AX201" s="624">
        <v>41821</v>
      </c>
      <c r="AY201" s="355">
        <v>2.9139999999999999E-2</v>
      </c>
      <c r="AZ201" s="624">
        <v>41821</v>
      </c>
      <c r="BA201" s="355">
        <v>1.18E-2</v>
      </c>
      <c r="BB201" s="624">
        <v>41821</v>
      </c>
      <c r="BC201" s="355">
        <v>0.32879999999999998</v>
      </c>
      <c r="BD201" s="624">
        <v>41821</v>
      </c>
      <c r="BE201" s="355">
        <v>9.8919999999999994E-2</v>
      </c>
      <c r="BF201" s="624">
        <v>41822</v>
      </c>
      <c r="BG201" s="355">
        <v>1.6788999999999998E-2</v>
      </c>
      <c r="BH201" s="624">
        <v>41821</v>
      </c>
      <c r="BI201" s="355">
        <v>8.4298999999999999E-2</v>
      </c>
      <c r="BJ201" s="624">
        <v>41821</v>
      </c>
      <c r="BK201" s="355">
        <v>3.0870000000000002E-2</v>
      </c>
    </row>
    <row r="202" spans="3:63">
      <c r="C202" s="624"/>
      <c r="D202" s="355">
        <v>3.4689999999999999E-2</v>
      </c>
      <c r="AV202" s="624">
        <v>41828</v>
      </c>
      <c r="AW202" s="355">
        <v>0.45150000000000001</v>
      </c>
      <c r="AX202" s="624">
        <v>41822</v>
      </c>
      <c r="AY202" s="355">
        <v>2.9170000000000001E-2</v>
      </c>
      <c r="AZ202" s="624">
        <v>41822</v>
      </c>
      <c r="BA202" s="355">
        <v>1.18E-2</v>
      </c>
      <c r="BB202" s="624">
        <v>41822</v>
      </c>
      <c r="BC202" s="355">
        <v>0.32950000000000002</v>
      </c>
      <c r="BD202" s="624">
        <v>41822</v>
      </c>
      <c r="BE202" s="355">
        <v>9.9040000000000003E-2</v>
      </c>
      <c r="BF202" s="624">
        <v>41823</v>
      </c>
      <c r="BG202" s="355">
        <v>1.6791E-2</v>
      </c>
      <c r="BH202" s="624">
        <v>41822</v>
      </c>
      <c r="BI202" s="355">
        <v>8.4069000000000005E-2</v>
      </c>
      <c r="BJ202" s="624">
        <v>41822</v>
      </c>
      <c r="BK202" s="355">
        <v>3.0887999999999999E-2</v>
      </c>
    </row>
    <row r="203" spans="3:63">
      <c r="C203" s="624"/>
      <c r="D203" s="355">
        <v>3.4689999999999999E-2</v>
      </c>
      <c r="AV203" s="624">
        <v>41829</v>
      </c>
      <c r="AW203" s="355">
        <v>0.45150000000000001</v>
      </c>
      <c r="AX203" s="624">
        <v>41823</v>
      </c>
      <c r="AY203" s="355">
        <v>2.9170000000000001E-2</v>
      </c>
      <c r="AZ203" s="624">
        <v>41823</v>
      </c>
      <c r="BA203" s="355">
        <v>1.17E-2</v>
      </c>
      <c r="BB203" s="624">
        <v>41823</v>
      </c>
      <c r="BC203" s="355">
        <v>0.3286</v>
      </c>
      <c r="BD203" s="624">
        <v>41823</v>
      </c>
      <c r="BE203" s="355">
        <v>9.9070000000000005E-2</v>
      </c>
      <c r="BF203" s="624">
        <v>41824</v>
      </c>
      <c r="BG203" s="355">
        <v>1.6729000000000001E-2</v>
      </c>
      <c r="BH203" s="624">
        <v>41823</v>
      </c>
      <c r="BI203" s="355">
        <v>8.3892999999999995E-2</v>
      </c>
      <c r="BJ203" s="624">
        <v>41823</v>
      </c>
      <c r="BK203" s="355">
        <v>3.0859000000000001E-2</v>
      </c>
    </row>
    <row r="204" spans="3:63">
      <c r="C204" s="624"/>
      <c r="D204" s="355">
        <v>3.4689999999999999E-2</v>
      </c>
      <c r="AV204" s="624">
        <v>41830</v>
      </c>
      <c r="AW204" s="355">
        <v>0.4506</v>
      </c>
      <c r="AX204" s="624">
        <v>41824</v>
      </c>
      <c r="AY204" s="355">
        <v>2.9069999999999999E-2</v>
      </c>
      <c r="AZ204" s="624">
        <v>41824</v>
      </c>
      <c r="BA204" s="355">
        <v>1.17E-2</v>
      </c>
      <c r="BB204" s="624">
        <v>41824</v>
      </c>
      <c r="BC204" s="355">
        <v>0.32750000000000001</v>
      </c>
      <c r="BD204" s="624">
        <v>41824</v>
      </c>
      <c r="BE204" s="355">
        <v>9.9070000000000005E-2</v>
      </c>
      <c r="BF204" s="624">
        <v>41827</v>
      </c>
      <c r="BG204" s="355">
        <v>1.6670999999999998E-2</v>
      </c>
      <c r="BH204" s="624">
        <v>41824</v>
      </c>
      <c r="BI204" s="355">
        <v>8.4210999999999994E-2</v>
      </c>
      <c r="BJ204" s="624">
        <v>41824</v>
      </c>
      <c r="BK204" s="355">
        <v>3.0886E-2</v>
      </c>
    </row>
    <row r="205" spans="3:63">
      <c r="C205" s="624"/>
      <c r="D205" s="355">
        <v>3.474E-2</v>
      </c>
      <c r="AV205" s="624">
        <v>41831</v>
      </c>
      <c r="AW205" s="355">
        <v>0.4501</v>
      </c>
      <c r="AX205" s="624">
        <v>41827</v>
      </c>
      <c r="AY205" s="355">
        <v>2.9020000000000001E-2</v>
      </c>
      <c r="AZ205" s="624">
        <v>41827</v>
      </c>
      <c r="BA205" s="355">
        <v>1.17E-2</v>
      </c>
      <c r="BB205" s="624">
        <v>41827</v>
      </c>
      <c r="BC205" s="355">
        <v>0.32840000000000003</v>
      </c>
      <c r="BD205" s="624">
        <v>41827</v>
      </c>
      <c r="BE205" s="355">
        <v>9.887E-2</v>
      </c>
      <c r="BF205" s="624">
        <v>41828</v>
      </c>
      <c r="BG205" s="355">
        <v>1.6705000000000001E-2</v>
      </c>
      <c r="BH205" s="624">
        <v>41827</v>
      </c>
      <c r="BI205" s="355">
        <v>8.5580000000000003E-2</v>
      </c>
      <c r="BJ205" s="624">
        <v>41827</v>
      </c>
      <c r="BK205" s="355">
        <v>3.0855E-2</v>
      </c>
    </row>
    <row r="206" spans="3:63">
      <c r="C206" s="624"/>
      <c r="D206" s="355">
        <v>3.483E-2</v>
      </c>
      <c r="AV206" s="624">
        <v>41834</v>
      </c>
      <c r="AW206" s="355">
        <v>0.45179999999999998</v>
      </c>
      <c r="AX206" s="624">
        <v>41828</v>
      </c>
      <c r="AY206" s="355">
        <v>2.92E-2</v>
      </c>
      <c r="AZ206" s="624">
        <v>41828</v>
      </c>
      <c r="BA206" s="355">
        <v>1.18E-2</v>
      </c>
      <c r="BB206" s="624">
        <v>41828</v>
      </c>
      <c r="BC206" s="355">
        <v>0.32990000000000003</v>
      </c>
      <c r="BD206" s="624">
        <v>41828</v>
      </c>
      <c r="BE206" s="355">
        <v>9.8809999999999995E-2</v>
      </c>
      <c r="BF206" s="624">
        <v>41829</v>
      </c>
      <c r="BG206" s="355">
        <v>1.6760000000000001E-2</v>
      </c>
      <c r="BH206" s="624">
        <v>41828</v>
      </c>
      <c r="BI206" s="355">
        <v>8.6022000000000001E-2</v>
      </c>
      <c r="BJ206" s="624">
        <v>41828</v>
      </c>
      <c r="BK206" s="355">
        <v>3.0880999999999999E-2</v>
      </c>
    </row>
    <row r="207" spans="3:63">
      <c r="C207" s="624"/>
      <c r="D207" s="355">
        <v>3.499E-2</v>
      </c>
      <c r="AV207" s="624">
        <v>41835</v>
      </c>
      <c r="AW207" s="355">
        <v>0.45069999999999999</v>
      </c>
      <c r="AX207" s="624">
        <v>41829</v>
      </c>
      <c r="AY207" s="355">
        <v>2.9479999999999999E-2</v>
      </c>
      <c r="AZ207" s="624">
        <v>41829</v>
      </c>
      <c r="BA207" s="355">
        <v>1.18E-2</v>
      </c>
      <c r="BB207" s="624">
        <v>41829</v>
      </c>
      <c r="BC207" s="355">
        <v>0.33069999999999999</v>
      </c>
      <c r="BD207" s="624">
        <v>41829</v>
      </c>
      <c r="BE207" s="355">
        <v>9.8979999999999999E-2</v>
      </c>
      <c r="BF207" s="624">
        <v>41830</v>
      </c>
      <c r="BG207" s="355">
        <v>1.6646999999999999E-2</v>
      </c>
      <c r="BH207" s="624">
        <v>41829</v>
      </c>
      <c r="BI207" s="355">
        <v>8.6022000000000001E-2</v>
      </c>
      <c r="BJ207" s="624">
        <v>41829</v>
      </c>
      <c r="BK207" s="355">
        <v>3.107E-2</v>
      </c>
    </row>
    <row r="208" spans="3:63">
      <c r="C208" s="624"/>
      <c r="D208" s="355">
        <v>3.4909999999999997E-2</v>
      </c>
      <c r="AV208" s="624">
        <v>41836</v>
      </c>
      <c r="AW208" s="355">
        <v>0.44969999999999999</v>
      </c>
      <c r="AX208" s="624">
        <v>41830</v>
      </c>
      <c r="AY208" s="355">
        <v>2.9409999999999999E-2</v>
      </c>
      <c r="AZ208" s="624">
        <v>41830</v>
      </c>
      <c r="BA208" s="355">
        <v>1.18E-2</v>
      </c>
      <c r="BB208" s="624">
        <v>41830</v>
      </c>
      <c r="BC208" s="355">
        <v>0.32840000000000003</v>
      </c>
      <c r="BD208" s="624">
        <v>41830</v>
      </c>
      <c r="BE208" s="355">
        <v>9.8669999999999994E-2</v>
      </c>
      <c r="BF208" s="624">
        <v>41831</v>
      </c>
      <c r="BG208" s="355">
        <v>1.6631E-2</v>
      </c>
      <c r="BH208" s="624">
        <v>41830</v>
      </c>
      <c r="BI208" s="355">
        <v>8.6336999999999997E-2</v>
      </c>
      <c r="BJ208" s="624">
        <v>41830</v>
      </c>
      <c r="BK208" s="355">
        <v>3.1067999999999998E-2</v>
      </c>
    </row>
    <row r="209" spans="3:63">
      <c r="C209" s="624"/>
      <c r="D209" s="355">
        <v>3.4889999999999997E-2</v>
      </c>
      <c r="AV209" s="624">
        <v>41837</v>
      </c>
      <c r="AW209" s="355">
        <v>0.44390000000000002</v>
      </c>
      <c r="AX209" s="624">
        <v>41831</v>
      </c>
      <c r="AY209" s="355">
        <v>2.9250000000000002E-2</v>
      </c>
      <c r="AZ209" s="624">
        <v>41831</v>
      </c>
      <c r="BA209" s="355">
        <v>1.17E-2</v>
      </c>
      <c r="BB209" s="624">
        <v>41831</v>
      </c>
      <c r="BC209" s="355">
        <v>0.3286</v>
      </c>
      <c r="BD209" s="624">
        <v>41831</v>
      </c>
      <c r="BE209" s="355">
        <v>9.7979999999999998E-2</v>
      </c>
      <c r="BF209" s="624">
        <v>41834</v>
      </c>
      <c r="BG209" s="355">
        <v>1.6643000000000002E-2</v>
      </c>
      <c r="BH209" s="624">
        <v>41831</v>
      </c>
      <c r="BI209" s="355">
        <v>8.6169999999999997E-2</v>
      </c>
      <c r="BJ209" s="624">
        <v>41831</v>
      </c>
      <c r="BK209" s="355">
        <v>3.1113999999999999E-2</v>
      </c>
    </row>
    <row r="210" spans="3:63">
      <c r="C210" s="624"/>
      <c r="D210" s="355">
        <v>3.4860000000000002E-2</v>
      </c>
      <c r="AV210" s="624">
        <v>41838</v>
      </c>
      <c r="AW210" s="355">
        <v>0.4491</v>
      </c>
      <c r="AX210" s="624">
        <v>41834</v>
      </c>
      <c r="AY210" s="355">
        <v>2.911E-2</v>
      </c>
      <c r="AZ210" s="624">
        <v>41834</v>
      </c>
      <c r="BA210" s="355">
        <v>1.17E-2</v>
      </c>
      <c r="BB210" s="624">
        <v>41834</v>
      </c>
      <c r="BC210" s="355">
        <v>0.3291</v>
      </c>
      <c r="BD210" s="624">
        <v>41834</v>
      </c>
      <c r="BE210" s="355">
        <v>9.8019999999999996E-2</v>
      </c>
      <c r="BF210" s="624">
        <v>41835</v>
      </c>
      <c r="BG210" s="355">
        <v>1.6615999999999999E-2</v>
      </c>
      <c r="BH210" s="624">
        <v>41834</v>
      </c>
      <c r="BI210" s="355">
        <v>8.5751999999999995E-2</v>
      </c>
      <c r="BJ210" s="624">
        <v>41834</v>
      </c>
      <c r="BK210" s="355">
        <v>3.1116999999999999E-2</v>
      </c>
    </row>
    <row r="211" spans="3:63">
      <c r="C211" s="624"/>
      <c r="D211" s="355">
        <v>3.4869999999999998E-2</v>
      </c>
      <c r="AV211" s="624">
        <v>41841</v>
      </c>
      <c r="AW211" s="355">
        <v>0.45</v>
      </c>
      <c r="AX211" s="624">
        <v>41835</v>
      </c>
      <c r="AY211" s="355">
        <v>2.9080000000000002E-2</v>
      </c>
      <c r="AZ211" s="624">
        <v>41835</v>
      </c>
      <c r="BA211" s="355">
        <v>1.17E-2</v>
      </c>
      <c r="BB211" s="624">
        <v>41835</v>
      </c>
      <c r="BC211" s="355">
        <v>0.32800000000000001</v>
      </c>
      <c r="BD211" s="624">
        <v>41835</v>
      </c>
      <c r="BE211" s="355">
        <v>9.7320000000000004E-2</v>
      </c>
      <c r="BF211" s="624">
        <v>41836</v>
      </c>
      <c r="BG211" s="355">
        <v>1.6643999999999999E-2</v>
      </c>
      <c r="BH211" s="624">
        <v>41835</v>
      </c>
      <c r="BI211" s="355">
        <v>8.5214999999999999E-2</v>
      </c>
      <c r="BJ211" s="624">
        <v>41835</v>
      </c>
      <c r="BK211" s="355">
        <v>3.1133999999999998E-2</v>
      </c>
    </row>
    <row r="212" spans="3:63">
      <c r="C212" s="624"/>
      <c r="D212" s="355">
        <v>3.4840000000000003E-2</v>
      </c>
      <c r="AV212" s="624">
        <v>41842</v>
      </c>
      <c r="AW212" s="355">
        <v>0.45200000000000001</v>
      </c>
      <c r="AX212" s="624">
        <v>41836</v>
      </c>
      <c r="AY212" s="355">
        <v>2.8899999999999999E-2</v>
      </c>
      <c r="AZ212" s="624">
        <v>41836</v>
      </c>
      <c r="BA212" s="355">
        <v>1.1599999999999999E-2</v>
      </c>
      <c r="BB212" s="624">
        <v>41836</v>
      </c>
      <c r="BC212" s="355">
        <v>0.32719999999999999</v>
      </c>
      <c r="BD212" s="624">
        <v>41836</v>
      </c>
      <c r="BE212" s="355">
        <v>9.7059999999999994E-2</v>
      </c>
      <c r="BF212" s="624">
        <v>41837</v>
      </c>
      <c r="BG212" s="355">
        <v>1.6483999999999999E-2</v>
      </c>
      <c r="BH212" s="624">
        <v>41836</v>
      </c>
      <c r="BI212" s="355">
        <v>8.5470000000000004E-2</v>
      </c>
      <c r="BJ212" s="624">
        <v>41836</v>
      </c>
      <c r="BK212" s="355">
        <v>3.1144999999999999E-2</v>
      </c>
    </row>
    <row r="213" spans="3:63">
      <c r="C213" s="624"/>
      <c r="D213" s="355">
        <v>3.4889999999999997E-2</v>
      </c>
      <c r="AV213" s="624">
        <v>41843</v>
      </c>
      <c r="AW213" s="355">
        <v>0.4506</v>
      </c>
      <c r="AX213" s="624">
        <v>41837</v>
      </c>
      <c r="AY213" s="355">
        <v>2.835E-2</v>
      </c>
      <c r="AZ213" s="624">
        <v>41837</v>
      </c>
      <c r="BA213" s="355">
        <v>1.17E-2</v>
      </c>
      <c r="BB213" s="624">
        <v>41837</v>
      </c>
      <c r="BC213" s="355">
        <v>0.32540000000000002</v>
      </c>
      <c r="BD213" s="624">
        <v>41837</v>
      </c>
      <c r="BE213" s="355">
        <v>9.6759999999999999E-2</v>
      </c>
      <c r="BF213" s="624">
        <v>41838</v>
      </c>
      <c r="BG213" s="355">
        <v>1.6573999999999998E-2</v>
      </c>
      <c r="BH213" s="624">
        <v>41837</v>
      </c>
      <c r="BI213" s="355">
        <v>8.5525000000000004E-2</v>
      </c>
      <c r="BJ213" s="624">
        <v>41837</v>
      </c>
      <c r="BK213" s="355">
        <v>3.1067999999999998E-2</v>
      </c>
    </row>
    <row r="214" spans="3:63">
      <c r="C214" s="624"/>
      <c r="D214" s="355">
        <v>3.4950000000000002E-2</v>
      </c>
      <c r="AV214" s="624">
        <v>41844</v>
      </c>
      <c r="AW214" s="355">
        <v>0.4501</v>
      </c>
      <c r="AX214" s="624">
        <v>41838</v>
      </c>
      <c r="AY214" s="355">
        <v>2.843E-2</v>
      </c>
      <c r="AZ214" s="624">
        <v>41838</v>
      </c>
      <c r="BA214" s="355">
        <v>1.1599999999999999E-2</v>
      </c>
      <c r="BB214" s="624">
        <v>41838</v>
      </c>
      <c r="BC214" s="355">
        <v>0.32600000000000001</v>
      </c>
      <c r="BD214" s="624">
        <v>41838</v>
      </c>
      <c r="BE214" s="355">
        <v>9.7129999999999994E-2</v>
      </c>
      <c r="BF214" s="624">
        <v>41841</v>
      </c>
      <c r="BG214" s="355">
        <v>1.6584999999999999E-2</v>
      </c>
      <c r="BH214" s="624">
        <v>41838</v>
      </c>
      <c r="BI214" s="355">
        <v>8.6077000000000001E-2</v>
      </c>
      <c r="BJ214" s="624">
        <v>41838</v>
      </c>
      <c r="BK214" s="355">
        <v>3.1104E-2</v>
      </c>
    </row>
    <row r="215" spans="3:63">
      <c r="C215" s="624"/>
      <c r="D215" s="355">
        <v>3.4909999999999997E-2</v>
      </c>
      <c r="AV215" s="624">
        <v>41845</v>
      </c>
      <c r="AW215" s="355">
        <v>0.44850000000000001</v>
      </c>
      <c r="AX215" s="624">
        <v>41841</v>
      </c>
      <c r="AY215" s="355">
        <v>2.8420000000000001E-2</v>
      </c>
      <c r="AZ215" s="624">
        <v>41841</v>
      </c>
      <c r="BA215" s="355">
        <v>1.1599999999999999E-2</v>
      </c>
      <c r="BB215" s="624">
        <v>41841</v>
      </c>
      <c r="BC215" s="355">
        <v>0.32619999999999999</v>
      </c>
      <c r="BD215" s="624">
        <v>41841</v>
      </c>
      <c r="BE215" s="355">
        <v>9.7360000000000002E-2</v>
      </c>
      <c r="BF215" s="624">
        <v>41842</v>
      </c>
      <c r="BG215" s="355">
        <v>1.6632999999999998E-2</v>
      </c>
      <c r="BH215" s="624">
        <v>41841</v>
      </c>
      <c r="BI215" s="355">
        <v>8.6468000000000003E-2</v>
      </c>
      <c r="BJ215" s="624">
        <v>41841</v>
      </c>
      <c r="BK215" s="355">
        <v>3.1352999999999999E-2</v>
      </c>
    </row>
    <row r="216" spans="3:63">
      <c r="C216" s="624"/>
      <c r="D216" s="355">
        <v>3.4880000000000001E-2</v>
      </c>
      <c r="AV216" s="624">
        <v>41848</v>
      </c>
      <c r="AW216" s="355">
        <v>0.44979999999999998</v>
      </c>
      <c r="AX216" s="624">
        <v>41842</v>
      </c>
      <c r="AY216" s="355">
        <v>2.86E-2</v>
      </c>
      <c r="AZ216" s="624">
        <v>41842</v>
      </c>
      <c r="BA216" s="355">
        <v>1.15E-2</v>
      </c>
      <c r="BB216" s="624">
        <v>41842</v>
      </c>
      <c r="BC216" s="355">
        <v>0.32540000000000002</v>
      </c>
      <c r="BD216" s="624">
        <v>41842</v>
      </c>
      <c r="BE216" s="355">
        <v>9.7629999999999995E-2</v>
      </c>
      <c r="BF216" s="624">
        <v>41843</v>
      </c>
      <c r="BG216" s="355">
        <v>1.6674999999999999E-2</v>
      </c>
      <c r="BH216" s="624">
        <v>41842</v>
      </c>
      <c r="BI216" s="355">
        <v>8.6280999999999997E-2</v>
      </c>
      <c r="BJ216" s="624">
        <v>41842</v>
      </c>
      <c r="BK216" s="355">
        <v>3.1488000000000002E-2</v>
      </c>
    </row>
    <row r="217" spans="3:63">
      <c r="C217" s="624"/>
      <c r="D217" s="355">
        <v>3.4790000000000001E-2</v>
      </c>
      <c r="AV217" s="624">
        <v>41849</v>
      </c>
      <c r="AW217" s="355">
        <v>0.44829999999999998</v>
      </c>
      <c r="AX217" s="624">
        <v>41843</v>
      </c>
      <c r="AY217" s="355">
        <v>2.8660000000000001E-2</v>
      </c>
      <c r="AZ217" s="624">
        <v>41843</v>
      </c>
      <c r="BA217" s="355">
        <v>1.15E-2</v>
      </c>
      <c r="BB217" s="624">
        <v>41843</v>
      </c>
      <c r="BC217" s="355">
        <v>0.3256</v>
      </c>
      <c r="BD217" s="624">
        <v>41843</v>
      </c>
      <c r="BE217" s="355">
        <v>9.7650000000000001E-2</v>
      </c>
      <c r="BF217" s="624">
        <v>41844</v>
      </c>
      <c r="BG217" s="355">
        <v>1.6645E-2</v>
      </c>
      <c r="BH217" s="624">
        <v>41843</v>
      </c>
      <c r="BI217" s="355">
        <v>8.6881E-2</v>
      </c>
      <c r="BJ217" s="624">
        <v>41843</v>
      </c>
      <c r="BK217" s="355">
        <v>3.1474000000000002E-2</v>
      </c>
    </row>
    <row r="218" spans="3:63">
      <c r="C218" s="624"/>
      <c r="D218" s="355">
        <v>3.4840000000000003E-2</v>
      </c>
      <c r="AV218" s="624">
        <v>41850</v>
      </c>
      <c r="AW218" s="355">
        <v>0.44540000000000002</v>
      </c>
      <c r="AX218" s="624">
        <v>41844</v>
      </c>
      <c r="AY218" s="355">
        <v>2.8510000000000001E-2</v>
      </c>
      <c r="AZ218" s="624">
        <v>41844</v>
      </c>
      <c r="BA218" s="355">
        <v>1.1599999999999999E-2</v>
      </c>
      <c r="BB218" s="624">
        <v>41844</v>
      </c>
      <c r="BC218" s="355">
        <v>0.32529999999999998</v>
      </c>
      <c r="BD218" s="624">
        <v>41844</v>
      </c>
      <c r="BE218" s="355">
        <v>9.7110000000000002E-2</v>
      </c>
      <c r="BF218" s="624">
        <v>41845</v>
      </c>
      <c r="BG218" s="355">
        <v>1.6649000000000001E-2</v>
      </c>
      <c r="BH218" s="624">
        <v>41844</v>
      </c>
      <c r="BI218" s="355">
        <v>8.6468000000000003E-2</v>
      </c>
      <c r="BJ218" s="624">
        <v>41844</v>
      </c>
      <c r="BK218" s="355">
        <v>3.1403E-2</v>
      </c>
    </row>
    <row r="219" spans="3:63">
      <c r="C219" s="624"/>
      <c r="D219" s="355">
        <v>3.4909999999999997E-2</v>
      </c>
      <c r="AV219" s="624">
        <v>41851</v>
      </c>
      <c r="AW219" s="355">
        <v>0.44180000000000003</v>
      </c>
      <c r="AX219" s="624">
        <v>41845</v>
      </c>
      <c r="AY219" s="355">
        <v>2.8469999999999999E-2</v>
      </c>
      <c r="AZ219" s="624">
        <v>41845</v>
      </c>
      <c r="BA219" s="355">
        <v>1.15E-2</v>
      </c>
      <c r="BB219" s="624">
        <v>41845</v>
      </c>
      <c r="BC219" s="355">
        <v>0.32390000000000002</v>
      </c>
      <c r="BD219" s="624">
        <v>41845</v>
      </c>
      <c r="BE219" s="355">
        <v>9.7420000000000007E-2</v>
      </c>
      <c r="BF219" s="624">
        <v>41848</v>
      </c>
      <c r="BG219" s="355">
        <v>1.6643999999999999E-2</v>
      </c>
      <c r="BH219" s="624">
        <v>41845</v>
      </c>
      <c r="BI219" s="355">
        <v>8.6374000000000006E-2</v>
      </c>
      <c r="BJ219" s="624">
        <v>41845</v>
      </c>
      <c r="BK219" s="355">
        <v>3.1397000000000001E-2</v>
      </c>
    </row>
    <row r="220" spans="3:63">
      <c r="C220" s="624"/>
      <c r="D220" s="355">
        <v>3.492E-2</v>
      </c>
      <c r="AV220" s="624">
        <v>41852</v>
      </c>
      <c r="AW220" s="355">
        <v>0.44280000000000003</v>
      </c>
      <c r="AX220" s="624">
        <v>41848</v>
      </c>
      <c r="AY220" s="355">
        <v>2.811E-2</v>
      </c>
      <c r="AZ220" s="624">
        <v>41848</v>
      </c>
      <c r="BA220" s="355">
        <v>1.15E-2</v>
      </c>
      <c r="BB220" s="624">
        <v>41848</v>
      </c>
      <c r="BC220" s="355">
        <v>0.32429999999999998</v>
      </c>
      <c r="BD220" s="624">
        <v>41848</v>
      </c>
      <c r="BE220" s="355">
        <v>9.7460000000000005E-2</v>
      </c>
      <c r="BF220" s="624">
        <v>41849</v>
      </c>
      <c r="BG220" s="355">
        <v>1.6598999999999999E-2</v>
      </c>
      <c r="BH220" s="624">
        <v>41848</v>
      </c>
      <c r="BI220" s="355">
        <v>8.6374000000000006E-2</v>
      </c>
      <c r="BJ220" s="624">
        <v>41848</v>
      </c>
      <c r="BK220" s="355">
        <v>3.1437E-2</v>
      </c>
    </row>
    <row r="221" spans="3:63">
      <c r="C221" s="624"/>
      <c r="D221" s="355">
        <v>3.4970000000000001E-2</v>
      </c>
      <c r="AV221" s="624">
        <v>41855</v>
      </c>
      <c r="AW221" s="355">
        <v>0.44259999999999999</v>
      </c>
      <c r="AX221" s="624">
        <v>41849</v>
      </c>
      <c r="AY221" s="355">
        <v>2.7969999999999998E-2</v>
      </c>
      <c r="AZ221" s="624">
        <v>41849</v>
      </c>
      <c r="BA221" s="355">
        <v>1.15E-2</v>
      </c>
      <c r="BB221" s="624">
        <v>41849</v>
      </c>
      <c r="BC221" s="355">
        <v>0.32290000000000002</v>
      </c>
      <c r="BD221" s="624">
        <v>41849</v>
      </c>
      <c r="BE221" s="355">
        <v>9.7430000000000003E-2</v>
      </c>
      <c r="BF221" s="624">
        <v>41850</v>
      </c>
      <c r="BG221" s="355">
        <v>1.6565E-2</v>
      </c>
      <c r="BH221" s="624">
        <v>41849</v>
      </c>
      <c r="BI221" s="355">
        <v>8.6374000000000006E-2</v>
      </c>
      <c r="BJ221" s="624">
        <v>41849</v>
      </c>
      <c r="BK221" s="355">
        <v>3.1407999999999998E-2</v>
      </c>
    </row>
    <row r="222" spans="3:63">
      <c r="C222" s="624"/>
      <c r="D222" s="355">
        <v>3.4979999999999997E-2</v>
      </c>
      <c r="AV222" s="624">
        <v>41856</v>
      </c>
      <c r="AW222" s="355">
        <v>0.438</v>
      </c>
      <c r="AX222" s="624">
        <v>41850</v>
      </c>
      <c r="AY222" s="355">
        <v>2.811E-2</v>
      </c>
      <c r="AZ222" s="624">
        <v>41850</v>
      </c>
      <c r="BA222" s="355">
        <v>1.15E-2</v>
      </c>
      <c r="BB222" s="624">
        <v>41850</v>
      </c>
      <c r="BC222" s="355">
        <v>0.32229999999999998</v>
      </c>
      <c r="BD222" s="624">
        <v>41850</v>
      </c>
      <c r="BE222" s="355">
        <v>9.7220000000000001E-2</v>
      </c>
      <c r="BF222" s="624">
        <v>41851</v>
      </c>
      <c r="BG222" s="355">
        <v>1.6414000000000002E-2</v>
      </c>
      <c r="BH222" s="624">
        <v>41850</v>
      </c>
      <c r="BI222" s="355">
        <v>8.6374000000000006E-2</v>
      </c>
      <c r="BJ222" s="624">
        <v>41850</v>
      </c>
      <c r="BK222" s="355">
        <v>3.1283999999999999E-2</v>
      </c>
    </row>
    <row r="223" spans="3:63">
      <c r="C223" s="624"/>
      <c r="D223" s="355">
        <v>3.5090000000000003E-2</v>
      </c>
      <c r="AV223" s="624">
        <v>41857</v>
      </c>
      <c r="AW223" s="355">
        <v>0.44</v>
      </c>
      <c r="AX223" s="624">
        <v>41851</v>
      </c>
      <c r="AY223" s="355">
        <v>2.7990000000000001E-2</v>
      </c>
      <c r="AZ223" s="624">
        <v>41851</v>
      </c>
      <c r="BA223" s="355">
        <v>1.15E-2</v>
      </c>
      <c r="BB223" s="624">
        <v>41851</v>
      </c>
      <c r="BC223" s="355">
        <v>0.32050000000000001</v>
      </c>
      <c r="BD223" s="624">
        <v>41851</v>
      </c>
      <c r="BE223" s="355">
        <v>9.6839999999999996E-2</v>
      </c>
      <c r="BF223" s="624">
        <v>41852</v>
      </c>
      <c r="BG223" s="355">
        <v>1.6448999999999998E-2</v>
      </c>
      <c r="BH223" s="624">
        <v>41851</v>
      </c>
      <c r="BI223" s="355">
        <v>8.6374000000000006E-2</v>
      </c>
      <c r="BJ223" s="624">
        <v>41851</v>
      </c>
      <c r="BK223" s="355">
        <v>3.1063E-2</v>
      </c>
    </row>
    <row r="224" spans="3:63">
      <c r="C224" s="624"/>
      <c r="D224" s="355">
        <v>3.5189999999999999E-2</v>
      </c>
      <c r="AV224" s="624">
        <v>41858</v>
      </c>
      <c r="AW224" s="355">
        <v>0.43580000000000002</v>
      </c>
      <c r="AX224" s="624">
        <v>41852</v>
      </c>
      <c r="AY224" s="355">
        <v>2.7969999999999998E-2</v>
      </c>
      <c r="AZ224" s="624">
        <v>41852</v>
      </c>
      <c r="BA224" s="355">
        <v>1.15E-2</v>
      </c>
      <c r="BB224" s="624">
        <v>41852</v>
      </c>
      <c r="BC224" s="355">
        <v>0.32090000000000002</v>
      </c>
      <c r="BD224" s="624">
        <v>41852</v>
      </c>
      <c r="BE224" s="355">
        <v>9.6960000000000005E-2</v>
      </c>
      <c r="BF224" s="624">
        <v>41855</v>
      </c>
      <c r="BG224" s="355">
        <v>1.6419E-2</v>
      </c>
      <c r="BH224" s="624">
        <v>41852</v>
      </c>
      <c r="BI224" s="355">
        <v>8.4567000000000003E-2</v>
      </c>
      <c r="BJ224" s="624">
        <v>41852</v>
      </c>
      <c r="BK224" s="355">
        <v>3.1113999999999999E-2</v>
      </c>
    </row>
    <row r="225" spans="3:63">
      <c r="C225" s="624"/>
      <c r="D225" s="355">
        <v>3.517E-2</v>
      </c>
      <c r="AV225" s="624">
        <v>41859</v>
      </c>
      <c r="AW225" s="355">
        <v>0.43809999999999999</v>
      </c>
      <c r="AX225" s="624">
        <v>41855</v>
      </c>
      <c r="AY225" s="355">
        <v>2.7859999999999999E-2</v>
      </c>
      <c r="AZ225" s="624">
        <v>41855</v>
      </c>
      <c r="BA225" s="355">
        <v>1.15E-2</v>
      </c>
      <c r="BB225" s="624">
        <v>41855</v>
      </c>
      <c r="BC225" s="355">
        <v>0.3216</v>
      </c>
      <c r="BD225" s="624">
        <v>41855</v>
      </c>
      <c r="BE225" s="355">
        <v>9.6799999999999997E-2</v>
      </c>
      <c r="BF225" s="624">
        <v>41856</v>
      </c>
      <c r="BG225" s="355">
        <v>1.6369000000000002E-2</v>
      </c>
      <c r="BH225" s="624">
        <v>41855</v>
      </c>
      <c r="BI225" s="355">
        <v>8.5033999999999998E-2</v>
      </c>
      <c r="BJ225" s="624">
        <v>41855</v>
      </c>
      <c r="BK225" s="355">
        <v>3.1104E-2</v>
      </c>
    </row>
    <row r="226" spans="3:63">
      <c r="C226" s="624"/>
      <c r="D226" s="355">
        <v>3.5209999999999998E-2</v>
      </c>
      <c r="AV226" s="624">
        <v>41862</v>
      </c>
      <c r="AW226" s="355">
        <v>0.43959999999999999</v>
      </c>
      <c r="AX226" s="624">
        <v>41856</v>
      </c>
      <c r="AY226" s="355">
        <v>2.7709999999999999E-2</v>
      </c>
      <c r="AZ226" s="624">
        <v>41856</v>
      </c>
      <c r="BA226" s="355">
        <v>1.14E-2</v>
      </c>
      <c r="BB226" s="624">
        <v>41856</v>
      </c>
      <c r="BC226" s="355">
        <v>0.31940000000000002</v>
      </c>
      <c r="BD226" s="624">
        <v>41856</v>
      </c>
      <c r="BE226" s="355">
        <v>9.6579999999999999E-2</v>
      </c>
      <c r="BF226" s="624">
        <v>41857</v>
      </c>
      <c r="BG226" s="355">
        <v>1.6330999999999998E-2</v>
      </c>
      <c r="BH226" s="624">
        <v>41856</v>
      </c>
      <c r="BI226" s="355">
        <v>8.5415000000000005E-2</v>
      </c>
      <c r="BJ226" s="624">
        <v>41856</v>
      </c>
      <c r="BK226" s="355">
        <v>3.1050000000000001E-2</v>
      </c>
    </row>
    <row r="227" spans="3:63">
      <c r="C227" s="624"/>
      <c r="D227" s="355">
        <v>3.5209999999999998E-2</v>
      </c>
      <c r="AV227" s="624">
        <v>41863</v>
      </c>
      <c r="AW227" s="355">
        <v>0.43980000000000002</v>
      </c>
      <c r="AX227" s="624">
        <v>41857</v>
      </c>
      <c r="AY227" s="355">
        <v>2.7629999999999998E-2</v>
      </c>
      <c r="AZ227" s="624">
        <v>41857</v>
      </c>
      <c r="BA227" s="355">
        <v>1.14E-2</v>
      </c>
      <c r="BB227" s="624">
        <v>41857</v>
      </c>
      <c r="BC227" s="355">
        <v>0.31850000000000001</v>
      </c>
      <c r="BD227" s="624">
        <v>41857</v>
      </c>
      <c r="BE227" s="355">
        <v>9.6729999999999997E-2</v>
      </c>
      <c r="BF227" s="624">
        <v>41858</v>
      </c>
      <c r="BG227" s="355">
        <v>1.626E-2</v>
      </c>
      <c r="BH227" s="624">
        <v>41857</v>
      </c>
      <c r="BI227" s="355">
        <v>8.5214999999999999E-2</v>
      </c>
      <c r="BJ227" s="624">
        <v>41857</v>
      </c>
      <c r="BK227" s="355">
        <v>3.1067999999999998E-2</v>
      </c>
    </row>
    <row r="228" spans="3:63">
      <c r="C228" s="624"/>
      <c r="D228" s="355">
        <v>3.5220000000000001E-2</v>
      </c>
      <c r="AV228" s="624">
        <v>41864</v>
      </c>
      <c r="AW228" s="355">
        <v>0.43840000000000001</v>
      </c>
      <c r="AX228" s="624">
        <v>41858</v>
      </c>
      <c r="AY228" s="355">
        <v>2.7550000000000002E-2</v>
      </c>
      <c r="AZ228" s="624">
        <v>41858</v>
      </c>
      <c r="BA228" s="355">
        <v>1.14E-2</v>
      </c>
      <c r="BB228" s="624">
        <v>41858</v>
      </c>
      <c r="BC228" s="355">
        <v>0.317</v>
      </c>
      <c r="BD228" s="624">
        <v>41858</v>
      </c>
      <c r="BE228" s="355">
        <v>9.6439999999999998E-2</v>
      </c>
      <c r="BF228" s="624">
        <v>41859</v>
      </c>
      <c r="BG228" s="355">
        <v>1.6361000000000001E-2</v>
      </c>
      <c r="BH228" s="624">
        <v>41858</v>
      </c>
      <c r="BI228" s="355">
        <v>8.4735000000000005E-2</v>
      </c>
      <c r="BJ228" s="624">
        <v>41858</v>
      </c>
      <c r="BK228" s="355">
        <v>3.1014E-2</v>
      </c>
    </row>
    <row r="229" spans="3:63">
      <c r="C229" s="624"/>
      <c r="D229" s="355">
        <v>3.5279999999999999E-2</v>
      </c>
      <c r="AV229" s="624">
        <v>41865</v>
      </c>
      <c r="AW229" s="355">
        <v>0.44109999999999999</v>
      </c>
      <c r="AX229" s="624">
        <v>41859</v>
      </c>
      <c r="AY229" s="355">
        <v>2.7650000000000001E-2</v>
      </c>
      <c r="AZ229" s="624">
        <v>41859</v>
      </c>
      <c r="BA229" s="355">
        <v>1.14E-2</v>
      </c>
      <c r="BB229" s="624">
        <v>41859</v>
      </c>
      <c r="BC229" s="355">
        <v>0.31929999999999997</v>
      </c>
      <c r="BD229" s="624">
        <v>41859</v>
      </c>
      <c r="BE229" s="355">
        <v>9.6979999999999997E-2</v>
      </c>
      <c r="BF229" s="624">
        <v>41862</v>
      </c>
      <c r="BG229" s="355">
        <v>1.6358999999999999E-2</v>
      </c>
      <c r="BH229" s="624">
        <v>41859</v>
      </c>
      <c r="BI229" s="355">
        <v>8.4907999999999997E-2</v>
      </c>
      <c r="BJ229" s="624">
        <v>41859</v>
      </c>
      <c r="BK229" s="355">
        <v>3.1137000000000001E-2</v>
      </c>
    </row>
    <row r="230" spans="3:63">
      <c r="C230" s="624"/>
      <c r="D230" s="355">
        <v>3.5270000000000003E-2</v>
      </c>
      <c r="AV230" s="624">
        <v>41866</v>
      </c>
      <c r="AW230" s="355">
        <v>0.44230000000000003</v>
      </c>
      <c r="AX230" s="624">
        <v>41862</v>
      </c>
      <c r="AY230" s="355">
        <v>2.784E-2</v>
      </c>
      <c r="AZ230" s="624">
        <v>41862</v>
      </c>
      <c r="BA230" s="355">
        <v>1.14E-2</v>
      </c>
      <c r="BB230" s="624">
        <v>41862</v>
      </c>
      <c r="BC230" s="355">
        <v>0.31900000000000001</v>
      </c>
      <c r="BD230" s="624">
        <v>41862</v>
      </c>
      <c r="BE230" s="355">
        <v>9.7040000000000001E-2</v>
      </c>
      <c r="BF230" s="624">
        <v>41863</v>
      </c>
      <c r="BG230" s="355">
        <v>1.6327999999999999E-2</v>
      </c>
      <c r="BH230" s="624">
        <v>41862</v>
      </c>
      <c r="BI230" s="355">
        <v>8.5726999999999998E-2</v>
      </c>
      <c r="BJ230" s="624">
        <v>41862</v>
      </c>
      <c r="BK230" s="355">
        <v>3.1171000000000001E-2</v>
      </c>
    </row>
    <row r="231" spans="3:63">
      <c r="C231" s="624"/>
      <c r="D231" s="355">
        <v>3.5209999999999998E-2</v>
      </c>
      <c r="AV231" s="624">
        <v>41869</v>
      </c>
      <c r="AW231" s="355">
        <v>0.44259999999999999</v>
      </c>
      <c r="AX231" s="624">
        <v>41863</v>
      </c>
      <c r="AY231" s="355">
        <v>2.7640000000000001E-2</v>
      </c>
      <c r="AZ231" s="624">
        <v>41863</v>
      </c>
      <c r="BA231" s="355">
        <v>1.14E-2</v>
      </c>
      <c r="BB231" s="624">
        <v>41863</v>
      </c>
      <c r="BC231" s="355">
        <v>0.31830000000000003</v>
      </c>
      <c r="BD231" s="624">
        <v>41863</v>
      </c>
      <c r="BE231" s="355">
        <v>9.733E-2</v>
      </c>
      <c r="BF231" s="624">
        <v>41864</v>
      </c>
      <c r="BG231" s="355">
        <v>1.6362999999999999E-2</v>
      </c>
      <c r="BH231" s="624">
        <v>41863</v>
      </c>
      <c r="BI231" s="355">
        <v>8.5561999999999999E-2</v>
      </c>
      <c r="BJ231" s="624">
        <v>41863</v>
      </c>
      <c r="BK231" s="355">
        <v>3.1158000000000002E-2</v>
      </c>
    </row>
    <row r="232" spans="3:63">
      <c r="C232" s="624"/>
      <c r="D232" s="355">
        <v>3.5139999999999998E-2</v>
      </c>
      <c r="AV232" s="624">
        <v>41870</v>
      </c>
      <c r="AW232" s="355">
        <v>0.44450000000000001</v>
      </c>
      <c r="AX232" s="624">
        <v>41864</v>
      </c>
      <c r="AY232" s="355">
        <v>2.7779999999999999E-2</v>
      </c>
      <c r="AZ232" s="624">
        <v>41864</v>
      </c>
      <c r="BA232" s="355">
        <v>1.14E-2</v>
      </c>
      <c r="BB232" s="624">
        <v>41864</v>
      </c>
      <c r="BC232" s="355">
        <v>0.31909999999999999</v>
      </c>
      <c r="BD232" s="624">
        <v>41864</v>
      </c>
      <c r="BE232" s="355">
        <v>9.708E-2</v>
      </c>
      <c r="BF232" s="624">
        <v>41865</v>
      </c>
      <c r="BG232" s="355">
        <v>1.643E-2</v>
      </c>
      <c r="BH232" s="624">
        <v>41864</v>
      </c>
      <c r="BI232" s="355">
        <v>8.5536000000000001E-2</v>
      </c>
      <c r="BJ232" s="624">
        <v>41864</v>
      </c>
      <c r="BK232" s="355">
        <v>3.1304999999999999E-2</v>
      </c>
    </row>
    <row r="233" spans="3:63">
      <c r="C233" s="624"/>
      <c r="D233" s="355">
        <v>3.5110000000000002E-2</v>
      </c>
      <c r="AV233" s="624">
        <v>41871</v>
      </c>
      <c r="AW233" s="355">
        <v>0.442</v>
      </c>
      <c r="AX233" s="624">
        <v>41865</v>
      </c>
      <c r="AY233" s="355">
        <v>2.776E-2</v>
      </c>
      <c r="AZ233" s="624">
        <v>41865</v>
      </c>
      <c r="BA233" s="355">
        <v>1.14E-2</v>
      </c>
      <c r="BB233" s="624">
        <v>41865</v>
      </c>
      <c r="BC233" s="355">
        <v>0.31979999999999997</v>
      </c>
      <c r="BD233" s="624">
        <v>41865</v>
      </c>
      <c r="BE233" s="355">
        <v>9.8000000000000004E-2</v>
      </c>
      <c r="BF233" s="624">
        <v>41866</v>
      </c>
      <c r="BG233" s="355">
        <v>1.6413000000000001E-2</v>
      </c>
      <c r="BH233" s="624">
        <v>41865</v>
      </c>
      <c r="BI233" s="355">
        <v>8.5635000000000003E-2</v>
      </c>
      <c r="BJ233" s="624">
        <v>41865</v>
      </c>
      <c r="BK233" s="355">
        <v>3.1401999999999999E-2</v>
      </c>
    </row>
    <row r="234" spans="3:63">
      <c r="C234" s="624"/>
      <c r="D234" s="355">
        <v>3.499E-2</v>
      </c>
      <c r="AV234" s="624">
        <v>41872</v>
      </c>
      <c r="AW234" s="355">
        <v>0.44069999999999998</v>
      </c>
      <c r="AX234" s="624">
        <v>41866</v>
      </c>
      <c r="AY234" s="355">
        <v>2.7689999999999999E-2</v>
      </c>
      <c r="AZ234" s="624">
        <v>41866</v>
      </c>
      <c r="BA234" s="355">
        <v>1.15E-2</v>
      </c>
      <c r="BB234" s="624">
        <v>41866</v>
      </c>
      <c r="BC234" s="355">
        <v>0.31850000000000001</v>
      </c>
      <c r="BD234" s="624">
        <v>41866</v>
      </c>
      <c r="BE234" s="355">
        <v>9.826E-2</v>
      </c>
      <c r="BF234" s="624">
        <v>41869</v>
      </c>
      <c r="BG234" s="355">
        <v>1.6452999999999999E-2</v>
      </c>
      <c r="BH234" s="624">
        <v>41866</v>
      </c>
      <c r="BI234" s="355">
        <v>8.5664000000000004E-2</v>
      </c>
      <c r="BJ234" s="624">
        <v>41866</v>
      </c>
      <c r="BK234" s="355">
        <v>3.1372999999999998E-2</v>
      </c>
    </row>
    <row r="235" spans="3:63">
      <c r="C235" s="624"/>
      <c r="D235" s="355">
        <v>3.4950000000000002E-2</v>
      </c>
      <c r="AV235" s="624">
        <v>41873</v>
      </c>
      <c r="AW235" s="355">
        <v>0.43880000000000002</v>
      </c>
      <c r="AX235" s="624">
        <v>41869</v>
      </c>
      <c r="AY235" s="355">
        <v>2.7720000000000002E-2</v>
      </c>
      <c r="AZ235" s="624">
        <v>41869</v>
      </c>
      <c r="BA235" s="355">
        <v>1.14E-2</v>
      </c>
      <c r="BB235" s="624">
        <v>41869</v>
      </c>
      <c r="BC235" s="355">
        <v>0.31950000000000001</v>
      </c>
      <c r="BD235" s="624">
        <v>41869</v>
      </c>
      <c r="BE235" s="355">
        <v>9.8299999999999998E-2</v>
      </c>
      <c r="BF235" s="624">
        <v>41870</v>
      </c>
      <c r="BG235" s="355">
        <v>1.6465E-2</v>
      </c>
      <c r="BH235" s="624">
        <v>41869</v>
      </c>
      <c r="BI235" s="355">
        <v>8.5635000000000003E-2</v>
      </c>
      <c r="BJ235" s="624">
        <v>41869</v>
      </c>
      <c r="BK235" s="355">
        <v>3.1411000000000001E-2</v>
      </c>
    </row>
    <row r="236" spans="3:63">
      <c r="C236" s="624"/>
      <c r="D236" s="355">
        <v>3.5029999999999999E-2</v>
      </c>
      <c r="AV236" s="624">
        <v>41876</v>
      </c>
      <c r="AW236" s="355">
        <v>0.437</v>
      </c>
      <c r="AX236" s="624">
        <v>41870</v>
      </c>
      <c r="AY236" s="355">
        <v>2.7650000000000001E-2</v>
      </c>
      <c r="AZ236" s="624">
        <v>41870</v>
      </c>
      <c r="BA236" s="355">
        <v>1.1299999999999999E-2</v>
      </c>
      <c r="BB236" s="624">
        <v>41870</v>
      </c>
      <c r="BC236" s="355">
        <v>0.31840000000000002</v>
      </c>
      <c r="BD236" s="624">
        <v>41870</v>
      </c>
      <c r="BE236" s="355">
        <v>9.8030000000000006E-2</v>
      </c>
      <c r="BF236" s="624">
        <v>41871</v>
      </c>
      <c r="BG236" s="355">
        <v>1.6476000000000001E-2</v>
      </c>
      <c r="BH236" s="624">
        <v>41870</v>
      </c>
      <c r="BI236" s="355">
        <v>8.5624000000000006E-2</v>
      </c>
      <c r="BJ236" s="624">
        <v>41870</v>
      </c>
      <c r="BK236" s="355">
        <v>3.1341000000000001E-2</v>
      </c>
    </row>
    <row r="237" spans="3:63">
      <c r="C237" s="624"/>
      <c r="D237" s="355">
        <v>3.5009999999999999E-2</v>
      </c>
      <c r="AV237" s="624">
        <v>41877</v>
      </c>
      <c r="AW237" s="355">
        <v>0.442</v>
      </c>
      <c r="AX237" s="624">
        <v>41871</v>
      </c>
      <c r="AY237" s="355">
        <v>2.7539999999999999E-2</v>
      </c>
      <c r="AZ237" s="624">
        <v>41871</v>
      </c>
      <c r="BA237" s="355">
        <v>1.1299999999999999E-2</v>
      </c>
      <c r="BB237" s="624">
        <v>41871</v>
      </c>
      <c r="BC237" s="355">
        <v>0.3165</v>
      </c>
      <c r="BD237" s="624">
        <v>41871</v>
      </c>
      <c r="BE237" s="355">
        <v>9.7720000000000001E-2</v>
      </c>
      <c r="BF237" s="624">
        <v>41872</v>
      </c>
      <c r="BG237" s="355">
        <v>1.6513E-2</v>
      </c>
      <c r="BH237" s="624">
        <v>41871</v>
      </c>
      <c r="BI237" s="355">
        <v>8.5487999999999995E-2</v>
      </c>
      <c r="BJ237" s="624">
        <v>41871</v>
      </c>
      <c r="BK237" s="355">
        <v>3.124E-2</v>
      </c>
    </row>
    <row r="238" spans="3:63">
      <c r="C238" s="624"/>
      <c r="D238" s="355">
        <v>3.5090000000000003E-2</v>
      </c>
      <c r="AV238" s="624">
        <v>41878</v>
      </c>
      <c r="AW238" s="355">
        <v>0.44240000000000002</v>
      </c>
      <c r="AX238" s="624">
        <v>41872</v>
      </c>
      <c r="AY238" s="355">
        <v>2.777E-2</v>
      </c>
      <c r="AZ238" s="624">
        <v>41872</v>
      </c>
      <c r="BA238" s="355">
        <v>1.1299999999999999E-2</v>
      </c>
      <c r="BB238" s="624">
        <v>41872</v>
      </c>
      <c r="BC238" s="355">
        <v>0.31719999999999998</v>
      </c>
      <c r="BD238" s="624">
        <v>41872</v>
      </c>
      <c r="BE238" s="355">
        <v>9.7680000000000003E-2</v>
      </c>
      <c r="BF238" s="624">
        <v>41873</v>
      </c>
      <c r="BG238" s="355">
        <v>1.6549000000000001E-2</v>
      </c>
      <c r="BH238" s="624">
        <v>41872</v>
      </c>
      <c r="BI238" s="355">
        <v>8.5525000000000004E-2</v>
      </c>
      <c r="BJ238" s="624">
        <v>41872</v>
      </c>
      <c r="BK238" s="355">
        <v>3.1269999999999999E-2</v>
      </c>
    </row>
    <row r="239" spans="3:63">
      <c r="C239" s="624"/>
      <c r="D239" s="355">
        <v>3.5150000000000001E-2</v>
      </c>
      <c r="AV239" s="624">
        <v>41879</v>
      </c>
      <c r="AW239" s="355">
        <v>0.44629999999999997</v>
      </c>
      <c r="AX239" s="624">
        <v>41873</v>
      </c>
      <c r="AY239" s="355">
        <v>2.767E-2</v>
      </c>
      <c r="AZ239" s="624">
        <v>41873</v>
      </c>
      <c r="BA239" s="355">
        <v>1.1299999999999999E-2</v>
      </c>
      <c r="BB239" s="624">
        <v>41873</v>
      </c>
      <c r="BC239" s="355">
        <v>0.31590000000000001</v>
      </c>
      <c r="BD239" s="624">
        <v>41873</v>
      </c>
      <c r="BE239" s="355">
        <v>9.8199999999999996E-2</v>
      </c>
      <c r="BF239" s="624">
        <v>41876</v>
      </c>
      <c r="BG239" s="355">
        <v>1.6522999999999999E-2</v>
      </c>
      <c r="BH239" s="624">
        <v>41873</v>
      </c>
      <c r="BI239" s="355">
        <v>8.5605000000000001E-2</v>
      </c>
      <c r="BJ239" s="624">
        <v>41873</v>
      </c>
      <c r="BK239" s="355">
        <v>3.1310999999999999E-2</v>
      </c>
    </row>
    <row r="240" spans="3:63">
      <c r="C240" s="624"/>
      <c r="D240" s="355">
        <v>3.5139999999999998E-2</v>
      </c>
      <c r="AV240" s="624">
        <v>41880</v>
      </c>
      <c r="AW240" s="355">
        <v>0.44669999999999999</v>
      </c>
      <c r="AX240" s="624">
        <v>41876</v>
      </c>
      <c r="AY240" s="355">
        <v>2.7660000000000001E-2</v>
      </c>
      <c r="AZ240" s="624">
        <v>41876</v>
      </c>
      <c r="BA240" s="355">
        <v>1.1299999999999999E-2</v>
      </c>
      <c r="BB240" s="624">
        <v>41876</v>
      </c>
      <c r="BC240" s="355">
        <v>0.31519999999999998</v>
      </c>
      <c r="BD240" s="624">
        <v>41876</v>
      </c>
      <c r="BE240" s="355">
        <v>9.8030000000000006E-2</v>
      </c>
      <c r="BF240" s="624">
        <v>41877</v>
      </c>
      <c r="BG240" s="355">
        <v>1.6531000000000001E-2</v>
      </c>
      <c r="BH240" s="624">
        <v>41876</v>
      </c>
      <c r="BI240" s="355">
        <v>8.5349999999999995E-2</v>
      </c>
      <c r="BJ240" s="624">
        <v>41876</v>
      </c>
      <c r="BK240" s="355">
        <v>3.1281000000000003E-2</v>
      </c>
    </row>
    <row r="241" spans="3:63">
      <c r="C241" s="624"/>
      <c r="D241" s="355">
        <v>3.508E-2</v>
      </c>
      <c r="AV241" s="624">
        <v>41883</v>
      </c>
      <c r="AW241" s="355">
        <v>0.44519999999999998</v>
      </c>
      <c r="AX241" s="624">
        <v>41877</v>
      </c>
      <c r="AY241" s="355">
        <v>2.7660000000000001E-2</v>
      </c>
      <c r="AZ241" s="624">
        <v>41877</v>
      </c>
      <c r="BA241" s="355">
        <v>1.12E-2</v>
      </c>
      <c r="BB241" s="624">
        <v>41877</v>
      </c>
      <c r="BC241" s="355">
        <v>0.3145</v>
      </c>
      <c r="BD241" s="624">
        <v>41877</v>
      </c>
      <c r="BE241" s="355">
        <v>9.8390000000000005E-2</v>
      </c>
      <c r="BF241" s="624">
        <v>41878</v>
      </c>
      <c r="BG241" s="355">
        <v>1.6573000000000001E-2</v>
      </c>
      <c r="BH241" s="624">
        <v>41877</v>
      </c>
      <c r="BI241" s="355">
        <v>8.5378999999999997E-2</v>
      </c>
      <c r="BJ241" s="624">
        <v>41877</v>
      </c>
      <c r="BK241" s="355">
        <v>3.1320000000000001E-2</v>
      </c>
    </row>
    <row r="242" spans="3:63">
      <c r="C242" s="624"/>
      <c r="D242" s="355">
        <v>3.5000000000000003E-2</v>
      </c>
      <c r="AV242" s="624">
        <v>41884</v>
      </c>
      <c r="AW242" s="355">
        <v>0.44569999999999999</v>
      </c>
      <c r="AX242" s="624">
        <v>41878</v>
      </c>
      <c r="AY242" s="355">
        <v>2.7640000000000001E-2</v>
      </c>
      <c r="AZ242" s="624">
        <v>41878</v>
      </c>
      <c r="BA242" s="355">
        <v>1.12E-2</v>
      </c>
      <c r="BB242" s="624">
        <v>41878</v>
      </c>
      <c r="BC242" s="355">
        <v>0.31409999999999999</v>
      </c>
      <c r="BD242" s="624">
        <v>41878</v>
      </c>
      <c r="BE242" s="355">
        <v>9.8580000000000001E-2</v>
      </c>
      <c r="BF242" s="624">
        <v>41879</v>
      </c>
      <c r="BG242" s="355">
        <v>1.6490999999999999E-2</v>
      </c>
      <c r="BH242" s="624">
        <v>41878</v>
      </c>
      <c r="BI242" s="355">
        <v>8.5615999999999998E-2</v>
      </c>
      <c r="BJ242" s="624">
        <v>41878</v>
      </c>
      <c r="BK242" s="355">
        <v>3.134E-2</v>
      </c>
    </row>
    <row r="243" spans="3:63">
      <c r="C243" s="624"/>
      <c r="D243" s="355">
        <v>3.5110000000000002E-2</v>
      </c>
      <c r="AV243" s="624">
        <v>41885</v>
      </c>
      <c r="AW243" s="355">
        <v>0.4471</v>
      </c>
      <c r="AX243" s="624">
        <v>41879</v>
      </c>
      <c r="AY243" s="355">
        <v>2.7199999999999998E-2</v>
      </c>
      <c r="AZ243" s="624">
        <v>41879</v>
      </c>
      <c r="BA243" s="355">
        <v>1.12E-2</v>
      </c>
      <c r="BB243" s="624">
        <v>41879</v>
      </c>
      <c r="BC243" s="355">
        <v>0.31219999999999998</v>
      </c>
      <c r="BD243" s="624">
        <v>41879</v>
      </c>
      <c r="BE243" s="355">
        <v>9.8449999999999996E-2</v>
      </c>
      <c r="BF243" s="624">
        <v>41880</v>
      </c>
      <c r="BG243" s="355">
        <v>1.6497999999999999E-2</v>
      </c>
      <c r="BH243" s="624">
        <v>41879</v>
      </c>
      <c r="BI243" s="355">
        <v>8.5487999999999995E-2</v>
      </c>
      <c r="BJ243" s="624">
        <v>41879</v>
      </c>
      <c r="BK243" s="355">
        <v>3.1302000000000003E-2</v>
      </c>
    </row>
    <row r="244" spans="3:63">
      <c r="C244" s="624"/>
      <c r="D244" s="355">
        <v>3.5180000000000003E-2</v>
      </c>
      <c r="AV244" s="624">
        <v>41886</v>
      </c>
      <c r="AW244" s="355">
        <v>0.4461</v>
      </c>
      <c r="AX244" s="624">
        <v>41880</v>
      </c>
      <c r="AY244" s="355">
        <v>2.699E-2</v>
      </c>
      <c r="AZ244" s="624">
        <v>41880</v>
      </c>
      <c r="BA244" s="355">
        <v>1.11E-2</v>
      </c>
      <c r="BB244" s="624">
        <v>41880</v>
      </c>
      <c r="BC244" s="355">
        <v>0.31180000000000002</v>
      </c>
      <c r="BD244" s="624">
        <v>41880</v>
      </c>
      <c r="BE244" s="355">
        <v>9.8570000000000005E-2</v>
      </c>
      <c r="BF244" s="624">
        <v>41883</v>
      </c>
      <c r="BG244" s="355">
        <v>1.6521000000000001E-2</v>
      </c>
      <c r="BH244" s="624">
        <v>41880</v>
      </c>
      <c r="BI244" s="355">
        <v>8.5436999999999999E-2</v>
      </c>
      <c r="BJ244" s="624">
        <v>41880</v>
      </c>
      <c r="BK244" s="355">
        <v>3.1301000000000002E-2</v>
      </c>
    </row>
    <row r="245" spans="3:63">
      <c r="C245" s="624"/>
      <c r="D245" s="355">
        <v>3.5340000000000003E-2</v>
      </c>
      <c r="AV245" s="624">
        <v>41887</v>
      </c>
      <c r="AW245" s="355">
        <v>0.4456</v>
      </c>
      <c r="AX245" s="624">
        <v>41883</v>
      </c>
      <c r="AY245" s="355">
        <v>2.6790000000000001E-2</v>
      </c>
      <c r="AZ245" s="624">
        <v>41883</v>
      </c>
      <c r="BA245" s="355">
        <v>1.11E-2</v>
      </c>
      <c r="BB245" s="624">
        <v>41883</v>
      </c>
      <c r="BC245" s="355">
        <v>0.31230000000000002</v>
      </c>
      <c r="BD245" s="624">
        <v>41883</v>
      </c>
      <c r="BE245" s="355">
        <v>9.8699999999999996E-2</v>
      </c>
      <c r="BF245" s="624">
        <v>41884</v>
      </c>
      <c r="BG245" s="355">
        <v>1.6497999999999999E-2</v>
      </c>
      <c r="BH245" s="624">
        <v>41883</v>
      </c>
      <c r="BI245" s="355">
        <v>8.5397000000000001E-2</v>
      </c>
      <c r="BJ245" s="624">
        <v>41883</v>
      </c>
      <c r="BK245" s="355">
        <v>3.1272000000000001E-2</v>
      </c>
    </row>
    <row r="246" spans="3:63">
      <c r="C246" s="624"/>
      <c r="D246" s="355">
        <v>3.551E-2</v>
      </c>
      <c r="AV246" s="624">
        <v>41890</v>
      </c>
      <c r="AW246" s="355">
        <v>0.44090000000000001</v>
      </c>
      <c r="AX246" s="624">
        <v>41884</v>
      </c>
      <c r="AY246" s="355">
        <v>2.6710000000000001E-2</v>
      </c>
      <c r="AZ246" s="624">
        <v>41884</v>
      </c>
      <c r="BA246" s="355">
        <v>1.11E-2</v>
      </c>
      <c r="BB246" s="624">
        <v>41884</v>
      </c>
      <c r="BC246" s="355">
        <v>0.31209999999999999</v>
      </c>
      <c r="BD246" s="624">
        <v>41884</v>
      </c>
      <c r="BE246" s="355">
        <v>9.8250000000000004E-2</v>
      </c>
      <c r="BF246" s="624">
        <v>41885</v>
      </c>
      <c r="BG246" s="355">
        <v>1.6546999999999999E-2</v>
      </c>
      <c r="BH246" s="624">
        <v>41884</v>
      </c>
      <c r="BI246" s="355">
        <v>8.5283999999999999E-2</v>
      </c>
      <c r="BJ246" s="624">
        <v>41884</v>
      </c>
      <c r="BK246" s="355">
        <v>3.1119000000000001E-2</v>
      </c>
    </row>
    <row r="247" spans="3:63">
      <c r="C247" s="624"/>
      <c r="D247" s="355">
        <v>3.542E-2</v>
      </c>
      <c r="AV247" s="624">
        <v>41891</v>
      </c>
      <c r="AW247" s="355">
        <v>0.43759999999999999</v>
      </c>
      <c r="AX247" s="624">
        <v>41885</v>
      </c>
      <c r="AY247" s="355">
        <v>2.7140000000000001E-2</v>
      </c>
      <c r="AZ247" s="624">
        <v>41885</v>
      </c>
      <c r="BA247" s="355">
        <v>1.11E-2</v>
      </c>
      <c r="BB247" s="624">
        <v>41885</v>
      </c>
      <c r="BC247" s="355">
        <v>0.3135</v>
      </c>
      <c r="BD247" s="624">
        <v>41885</v>
      </c>
      <c r="BE247" s="355">
        <v>9.801E-2</v>
      </c>
      <c r="BF247" s="624">
        <v>41886</v>
      </c>
      <c r="BG247" s="355">
        <v>1.6531000000000001E-2</v>
      </c>
      <c r="BH247" s="624">
        <v>41885</v>
      </c>
      <c r="BI247" s="355">
        <v>8.4907999999999997E-2</v>
      </c>
      <c r="BJ247" s="624">
        <v>41885</v>
      </c>
      <c r="BK247" s="355">
        <v>3.1220999999999999E-2</v>
      </c>
    </row>
    <row r="248" spans="3:63">
      <c r="C248" s="624"/>
      <c r="D248" s="355">
        <v>3.5400000000000001E-2</v>
      </c>
      <c r="AV248" s="624">
        <v>41892</v>
      </c>
      <c r="AW248" s="355">
        <v>0.43569999999999998</v>
      </c>
      <c r="AX248" s="624">
        <v>41886</v>
      </c>
      <c r="AY248" s="355">
        <v>2.7040000000000002E-2</v>
      </c>
      <c r="AZ248" s="624">
        <v>41886</v>
      </c>
      <c r="BA248" s="355">
        <v>1.0999999999999999E-2</v>
      </c>
      <c r="BB248" s="624">
        <v>41886</v>
      </c>
      <c r="BC248" s="355">
        <v>0.30880000000000002</v>
      </c>
      <c r="BD248" s="624">
        <v>41886</v>
      </c>
      <c r="BE248" s="355">
        <v>9.7900000000000001E-2</v>
      </c>
      <c r="BF248" s="624">
        <v>41887</v>
      </c>
      <c r="BG248" s="355">
        <v>1.66E-2</v>
      </c>
      <c r="BH248" s="624">
        <v>41886</v>
      </c>
      <c r="BI248" s="355">
        <v>8.5004999999999997E-2</v>
      </c>
      <c r="BJ248" s="624">
        <v>41886</v>
      </c>
      <c r="BK248" s="355">
        <v>3.1171000000000001E-2</v>
      </c>
    </row>
    <row r="249" spans="3:63">
      <c r="C249" s="624"/>
      <c r="D249" s="355">
        <v>3.5340000000000003E-2</v>
      </c>
      <c r="AV249" s="624">
        <v>41893</v>
      </c>
      <c r="AW249" s="355">
        <v>0.43530000000000002</v>
      </c>
      <c r="AX249" s="624">
        <v>41887</v>
      </c>
      <c r="AY249" s="355">
        <v>2.707E-2</v>
      </c>
      <c r="AZ249" s="624">
        <v>41887</v>
      </c>
      <c r="BA249" s="355">
        <v>1.09E-2</v>
      </c>
      <c r="BB249" s="624">
        <v>41887</v>
      </c>
      <c r="BC249" s="355">
        <v>0.31</v>
      </c>
      <c r="BD249" s="624">
        <v>41887</v>
      </c>
      <c r="BE249" s="355">
        <v>9.7619999999999998E-2</v>
      </c>
      <c r="BF249" s="624">
        <v>41890</v>
      </c>
      <c r="BG249" s="355">
        <v>1.6541E-2</v>
      </c>
      <c r="BH249" s="624">
        <v>41887</v>
      </c>
      <c r="BI249" s="355">
        <v>8.5081000000000004E-2</v>
      </c>
      <c r="BJ249" s="624">
        <v>41887</v>
      </c>
      <c r="BK249" s="355">
        <v>3.1260000000000003E-2</v>
      </c>
    </row>
    <row r="250" spans="3:63">
      <c r="C250" s="624"/>
      <c r="D250" s="355">
        <v>3.5369999999999999E-2</v>
      </c>
      <c r="AV250" s="624">
        <v>41894</v>
      </c>
      <c r="AW250" s="355">
        <v>0.42759999999999998</v>
      </c>
      <c r="AX250" s="624">
        <v>41890</v>
      </c>
      <c r="AY250" s="355">
        <v>2.7E-2</v>
      </c>
      <c r="AZ250" s="624">
        <v>41890</v>
      </c>
      <c r="BA250" s="355">
        <v>1.09E-2</v>
      </c>
      <c r="BB250" s="624">
        <v>41890</v>
      </c>
      <c r="BC250" s="355">
        <v>0.3085</v>
      </c>
      <c r="BD250" s="624">
        <v>41890</v>
      </c>
      <c r="BE250" s="355">
        <v>9.7059999999999994E-2</v>
      </c>
      <c r="BF250" s="624">
        <v>41891</v>
      </c>
      <c r="BG250" s="355">
        <v>1.6431000000000001E-2</v>
      </c>
      <c r="BH250" s="624">
        <v>41890</v>
      </c>
      <c r="BI250" s="355">
        <v>8.5288000000000003E-2</v>
      </c>
      <c r="BJ250" s="624">
        <v>41890</v>
      </c>
      <c r="BK250" s="355">
        <v>3.1184E-2</v>
      </c>
    </row>
    <row r="251" spans="3:63">
      <c r="C251" s="624"/>
      <c r="D251" s="355">
        <v>3.5209999999999998E-2</v>
      </c>
      <c r="AV251" s="624">
        <v>41897</v>
      </c>
      <c r="AW251" s="355">
        <v>0.4274</v>
      </c>
      <c r="AX251" s="624">
        <v>41891</v>
      </c>
      <c r="AY251" s="355">
        <v>2.6960000000000001E-2</v>
      </c>
      <c r="AZ251" s="624">
        <v>41891</v>
      </c>
      <c r="BA251" s="355">
        <v>1.09E-2</v>
      </c>
      <c r="BB251" s="624">
        <v>41891</v>
      </c>
      <c r="BC251" s="355">
        <v>0.30780000000000002</v>
      </c>
      <c r="BD251" s="624">
        <v>41891</v>
      </c>
      <c r="BE251" s="355">
        <v>9.6600000000000005E-2</v>
      </c>
      <c r="BF251" s="624">
        <v>41892</v>
      </c>
      <c r="BG251" s="355">
        <v>1.6454E-2</v>
      </c>
      <c r="BH251" s="624">
        <v>41891</v>
      </c>
      <c r="BI251" s="355">
        <v>8.498E-2</v>
      </c>
      <c r="BJ251" s="624">
        <v>41891</v>
      </c>
      <c r="BK251" s="355">
        <v>3.1171999999999998E-2</v>
      </c>
    </row>
    <row r="252" spans="3:63">
      <c r="C252" s="624"/>
      <c r="D252" s="355">
        <v>3.5220000000000001E-2</v>
      </c>
      <c r="AV252" s="624">
        <v>41898</v>
      </c>
      <c r="AW252" s="355">
        <v>0.43</v>
      </c>
      <c r="AX252" s="624">
        <v>41892</v>
      </c>
      <c r="AY252" s="355">
        <v>2.681E-2</v>
      </c>
      <c r="AZ252" s="624">
        <v>41892</v>
      </c>
      <c r="BA252" s="355">
        <v>1.09E-2</v>
      </c>
      <c r="BB252" s="624">
        <v>41892</v>
      </c>
      <c r="BC252" s="355">
        <v>0.30790000000000001</v>
      </c>
      <c r="BD252" s="624">
        <v>41892</v>
      </c>
      <c r="BE252" s="355">
        <v>9.6839999999999996E-2</v>
      </c>
      <c r="BF252" s="624">
        <v>41893</v>
      </c>
      <c r="BG252" s="355">
        <v>1.6409E-2</v>
      </c>
      <c r="BH252" s="624">
        <v>41892</v>
      </c>
      <c r="BI252" s="355">
        <v>8.4655999999999995E-2</v>
      </c>
      <c r="BJ252" s="624">
        <v>41892</v>
      </c>
      <c r="BK252" s="355">
        <v>3.108E-2</v>
      </c>
    </row>
    <row r="253" spans="3:63">
      <c r="C253" s="624"/>
      <c r="D253" s="355">
        <v>3.5319999999999997E-2</v>
      </c>
      <c r="AV253" s="624">
        <v>41899</v>
      </c>
      <c r="AW253" s="355">
        <v>0.42420000000000002</v>
      </c>
      <c r="AX253" s="624">
        <v>41893</v>
      </c>
      <c r="AY253" s="355">
        <v>2.6630000000000001E-2</v>
      </c>
      <c r="AZ253" s="624">
        <v>41893</v>
      </c>
      <c r="BA253" s="355">
        <v>1.09E-2</v>
      </c>
      <c r="BB253" s="624">
        <v>41893</v>
      </c>
      <c r="BC253" s="355">
        <v>0.30790000000000001</v>
      </c>
      <c r="BD253" s="624">
        <v>41893</v>
      </c>
      <c r="BE253" s="355">
        <v>9.6449999999999994E-2</v>
      </c>
      <c r="BF253" s="624">
        <v>41894</v>
      </c>
      <c r="BG253" s="355">
        <v>1.6382000000000001E-2</v>
      </c>
      <c r="BH253" s="624">
        <v>41893</v>
      </c>
      <c r="BI253" s="355">
        <v>8.4533999999999998E-2</v>
      </c>
      <c r="BJ253" s="624">
        <v>41893</v>
      </c>
      <c r="BK253" s="355">
        <v>3.1060999999999998E-2</v>
      </c>
    </row>
    <row r="254" spans="3:63">
      <c r="C254" s="624"/>
      <c r="D254" s="355">
        <v>3.524E-2</v>
      </c>
      <c r="AV254" s="624">
        <v>41900</v>
      </c>
      <c r="AW254" s="355">
        <v>0.42280000000000001</v>
      </c>
      <c r="AX254" s="624">
        <v>41894</v>
      </c>
      <c r="AY254" s="355">
        <v>2.647E-2</v>
      </c>
      <c r="AZ254" s="624">
        <v>41894</v>
      </c>
      <c r="BA254" s="355">
        <v>1.09E-2</v>
      </c>
      <c r="BB254" s="624">
        <v>41894</v>
      </c>
      <c r="BC254" s="355">
        <v>0.30830000000000002</v>
      </c>
      <c r="BD254" s="624">
        <v>41894</v>
      </c>
      <c r="BE254" s="355">
        <v>9.6589999999999995E-2</v>
      </c>
      <c r="BF254" s="624">
        <v>41897</v>
      </c>
      <c r="BG254" s="355">
        <v>1.6358000000000001E-2</v>
      </c>
      <c r="BH254" s="624">
        <v>41894</v>
      </c>
      <c r="BI254" s="355">
        <v>8.4610000000000005E-2</v>
      </c>
      <c r="BJ254" s="624">
        <v>41894</v>
      </c>
      <c r="BK254" s="355">
        <v>3.1008000000000001E-2</v>
      </c>
    </row>
    <row r="255" spans="3:63">
      <c r="C255" s="624"/>
      <c r="D255" s="355">
        <v>3.5249999999999997E-2</v>
      </c>
      <c r="AV255" s="624">
        <v>41901</v>
      </c>
      <c r="AW255" s="355">
        <v>0.42230000000000001</v>
      </c>
      <c r="AX255" s="624">
        <v>41897</v>
      </c>
      <c r="AY255" s="355">
        <v>2.6069999999999999E-2</v>
      </c>
      <c r="AZ255" s="624">
        <v>41897</v>
      </c>
      <c r="BA255" s="355">
        <v>1.09E-2</v>
      </c>
      <c r="BB255" s="624">
        <v>41897</v>
      </c>
      <c r="BC255" s="355">
        <v>0.30840000000000001</v>
      </c>
      <c r="BD255" s="624">
        <v>41897</v>
      </c>
      <c r="BE255" s="355">
        <v>9.6299999999999997E-2</v>
      </c>
      <c r="BF255" s="624">
        <v>41898</v>
      </c>
      <c r="BG255" s="355">
        <v>1.6399E-2</v>
      </c>
      <c r="BH255" s="624">
        <v>41897</v>
      </c>
      <c r="BI255" s="355">
        <v>8.3839999999999998E-2</v>
      </c>
      <c r="BJ255" s="624">
        <v>41897</v>
      </c>
      <c r="BK255" s="355">
        <v>3.0977999999999999E-2</v>
      </c>
    </row>
    <row r="256" spans="3:63">
      <c r="C256" s="624"/>
      <c r="D256" s="355">
        <v>3.5159999999999997E-2</v>
      </c>
      <c r="AV256" s="624">
        <v>41904</v>
      </c>
      <c r="AW256" s="355">
        <v>0.41699999999999998</v>
      </c>
      <c r="AX256" s="624">
        <v>41898</v>
      </c>
      <c r="AY256" s="355">
        <v>2.6100000000000002E-2</v>
      </c>
      <c r="AZ256" s="624">
        <v>41898</v>
      </c>
      <c r="BA256" s="355">
        <v>1.09E-2</v>
      </c>
      <c r="BB256" s="624">
        <v>41898</v>
      </c>
      <c r="BC256" s="355">
        <v>0.3095</v>
      </c>
      <c r="BD256" s="624">
        <v>41898</v>
      </c>
      <c r="BE256" s="355">
        <v>9.6850000000000006E-2</v>
      </c>
      <c r="BF256" s="624">
        <v>41899</v>
      </c>
      <c r="BG256" s="355">
        <v>1.6382000000000001E-2</v>
      </c>
      <c r="BH256" s="624">
        <v>41898</v>
      </c>
      <c r="BI256" s="355">
        <v>8.3671999999999996E-2</v>
      </c>
      <c r="BJ256" s="624">
        <v>41898</v>
      </c>
      <c r="BK256" s="355">
        <v>3.1049E-2</v>
      </c>
    </row>
    <row r="257" spans="3:63">
      <c r="C257" s="624"/>
      <c r="D257" s="355">
        <v>3.5200000000000002E-2</v>
      </c>
      <c r="AV257" s="624">
        <v>41905</v>
      </c>
      <c r="AW257" s="355">
        <v>0.41460000000000002</v>
      </c>
      <c r="AX257" s="624">
        <v>41899</v>
      </c>
      <c r="AY257" s="355">
        <v>2.598E-2</v>
      </c>
      <c r="AZ257" s="624">
        <v>41899</v>
      </c>
      <c r="BA257" s="355">
        <v>1.0800000000000001E-2</v>
      </c>
      <c r="BB257" s="624">
        <v>41899</v>
      </c>
      <c r="BC257" s="355">
        <v>0.30719999999999997</v>
      </c>
      <c r="BD257" s="624">
        <v>41899</v>
      </c>
      <c r="BE257" s="355">
        <v>9.597E-2</v>
      </c>
      <c r="BF257" s="624">
        <v>41900</v>
      </c>
      <c r="BG257" s="355">
        <v>1.6455999999999998E-2</v>
      </c>
      <c r="BH257" s="624">
        <v>41899</v>
      </c>
      <c r="BI257" s="355">
        <v>8.3682000000000006E-2</v>
      </c>
      <c r="BJ257" s="624">
        <v>41899</v>
      </c>
      <c r="BK257" s="355">
        <v>3.0956999999999998E-2</v>
      </c>
    </row>
    <row r="258" spans="3:63">
      <c r="C258" s="624"/>
      <c r="D258" s="355">
        <v>3.526E-2</v>
      </c>
      <c r="AV258" s="624">
        <v>41906</v>
      </c>
      <c r="AW258" s="355">
        <v>0.41870000000000002</v>
      </c>
      <c r="AX258" s="624">
        <v>41900</v>
      </c>
      <c r="AY258" s="355">
        <v>2.6020000000000001E-2</v>
      </c>
      <c r="AZ258" s="624">
        <v>41900</v>
      </c>
      <c r="BA258" s="355">
        <v>1.09E-2</v>
      </c>
      <c r="BB258" s="624">
        <v>41900</v>
      </c>
      <c r="BC258" s="355">
        <v>0.30759999999999998</v>
      </c>
      <c r="BD258" s="624">
        <v>41900</v>
      </c>
      <c r="BE258" s="355">
        <v>9.5750000000000002E-2</v>
      </c>
      <c r="BF258" s="624">
        <v>41901</v>
      </c>
      <c r="BG258" s="355">
        <v>1.6416E-2</v>
      </c>
      <c r="BH258" s="624">
        <v>41900</v>
      </c>
      <c r="BI258" s="355">
        <v>8.3455000000000001E-2</v>
      </c>
      <c r="BJ258" s="624">
        <v>41900</v>
      </c>
      <c r="BK258" s="355">
        <v>3.1005999999999999E-2</v>
      </c>
    </row>
    <row r="259" spans="3:63">
      <c r="C259" s="624"/>
      <c r="D259" s="355">
        <v>3.517E-2</v>
      </c>
      <c r="AV259" s="624">
        <v>41907</v>
      </c>
      <c r="AW259" s="355">
        <v>0.4123</v>
      </c>
      <c r="AX259" s="624">
        <v>41901</v>
      </c>
      <c r="AY259" s="355">
        <v>2.6020000000000001E-2</v>
      </c>
      <c r="AZ259" s="624">
        <v>41901</v>
      </c>
      <c r="BA259" s="355">
        <v>1.0800000000000001E-2</v>
      </c>
      <c r="BB259" s="624">
        <v>41901</v>
      </c>
      <c r="BC259" s="355">
        <v>0.30659999999999998</v>
      </c>
      <c r="BD259" s="624">
        <v>41901</v>
      </c>
      <c r="BE259" s="355">
        <v>9.5769999999999994E-2</v>
      </c>
      <c r="BF259" s="624">
        <v>41904</v>
      </c>
      <c r="BG259" s="355">
        <v>1.6385E-2</v>
      </c>
      <c r="BH259" s="624">
        <v>41901</v>
      </c>
      <c r="BI259" s="355">
        <v>8.3553000000000002E-2</v>
      </c>
      <c r="BJ259" s="624">
        <v>41901</v>
      </c>
      <c r="BK259" s="355">
        <v>3.1057999999999999E-2</v>
      </c>
    </row>
    <row r="260" spans="3:63">
      <c r="C260" s="624"/>
      <c r="D260" s="355">
        <v>3.5139999999999998E-2</v>
      </c>
      <c r="AV260" s="624">
        <v>41908</v>
      </c>
      <c r="AW260" s="355">
        <v>0.4133</v>
      </c>
      <c r="AX260" s="624">
        <v>41904</v>
      </c>
      <c r="AY260" s="355">
        <v>2.5819999999999999E-2</v>
      </c>
      <c r="AZ260" s="624">
        <v>41904</v>
      </c>
      <c r="BA260" s="355">
        <v>1.09E-2</v>
      </c>
      <c r="BB260" s="624">
        <v>41904</v>
      </c>
      <c r="BC260" s="355">
        <v>0.30719999999999997</v>
      </c>
      <c r="BD260" s="624">
        <v>41904</v>
      </c>
      <c r="BE260" s="355">
        <v>9.6060000000000006E-2</v>
      </c>
      <c r="BF260" s="624">
        <v>41905</v>
      </c>
      <c r="BG260" s="355">
        <v>1.6376999999999999E-2</v>
      </c>
      <c r="BH260" s="624">
        <v>41904</v>
      </c>
      <c r="BI260" s="355">
        <v>8.3517999999999995E-2</v>
      </c>
      <c r="BJ260" s="624">
        <v>41904</v>
      </c>
      <c r="BK260" s="355">
        <v>3.0998000000000001E-2</v>
      </c>
    </row>
    <row r="261" spans="3:63">
      <c r="C261" s="624"/>
      <c r="D261" s="355">
        <v>3.5020000000000003E-2</v>
      </c>
      <c r="AV261" s="624">
        <v>41911</v>
      </c>
      <c r="AW261" s="355">
        <v>0.40799999999999997</v>
      </c>
      <c r="AX261" s="624">
        <v>41905</v>
      </c>
      <c r="AY261" s="355">
        <v>2.5909999999999999E-2</v>
      </c>
      <c r="AZ261" s="624">
        <v>41905</v>
      </c>
      <c r="BA261" s="355">
        <v>1.09E-2</v>
      </c>
      <c r="BB261" s="624">
        <v>41905</v>
      </c>
      <c r="BC261" s="355">
        <v>0.30780000000000002</v>
      </c>
      <c r="BD261" s="624">
        <v>41905</v>
      </c>
      <c r="BE261" s="355">
        <v>9.6140000000000003E-2</v>
      </c>
      <c r="BF261" s="624">
        <v>41906</v>
      </c>
      <c r="BG261" s="355">
        <v>1.6441999999999998E-2</v>
      </c>
      <c r="BH261" s="624">
        <v>41905</v>
      </c>
      <c r="BI261" s="355">
        <v>8.3551E-2</v>
      </c>
      <c r="BJ261" s="624">
        <v>41905</v>
      </c>
      <c r="BK261" s="355">
        <v>3.1008000000000001E-2</v>
      </c>
    </row>
    <row r="262" spans="3:63">
      <c r="C262" s="624"/>
      <c r="D262" s="355">
        <v>3.5029999999999999E-2</v>
      </c>
      <c r="AV262" s="624">
        <v>41912</v>
      </c>
      <c r="AW262" s="355">
        <v>0.40899999999999997</v>
      </c>
      <c r="AX262" s="624">
        <v>41906</v>
      </c>
      <c r="AY262" s="355">
        <v>2.6179999999999998E-2</v>
      </c>
      <c r="AZ262" s="624">
        <v>41906</v>
      </c>
      <c r="BA262" s="355">
        <v>1.0800000000000001E-2</v>
      </c>
      <c r="BB262" s="624">
        <v>41906</v>
      </c>
      <c r="BC262" s="355">
        <v>0.30620000000000003</v>
      </c>
      <c r="BD262" s="624">
        <v>41906</v>
      </c>
      <c r="BE262" s="355">
        <v>9.6170000000000005E-2</v>
      </c>
      <c r="BF262" s="624">
        <v>41907</v>
      </c>
      <c r="BG262" s="355">
        <v>1.6261999999999999E-2</v>
      </c>
      <c r="BH262" s="624">
        <v>41906</v>
      </c>
      <c r="BI262" s="355">
        <v>8.3755999999999997E-2</v>
      </c>
      <c r="BJ262" s="624">
        <v>41906</v>
      </c>
      <c r="BK262" s="355">
        <v>3.1033999999999999E-2</v>
      </c>
    </row>
    <row r="263" spans="3:63">
      <c r="C263" s="624"/>
      <c r="D263" s="355">
        <v>3.5020000000000003E-2</v>
      </c>
      <c r="AV263" s="624">
        <v>41913</v>
      </c>
      <c r="AW263" s="355">
        <v>0.40289999999999998</v>
      </c>
      <c r="AX263" s="624">
        <v>41907</v>
      </c>
      <c r="AY263" s="355">
        <v>2.5989999999999999E-2</v>
      </c>
      <c r="AZ263" s="624">
        <v>41907</v>
      </c>
      <c r="BA263" s="355">
        <v>1.0699999999999999E-2</v>
      </c>
      <c r="BB263" s="624">
        <v>41907</v>
      </c>
      <c r="BC263" s="355">
        <v>0.3049</v>
      </c>
      <c r="BD263" s="624">
        <v>41907</v>
      </c>
      <c r="BE263" s="355">
        <v>9.5810000000000006E-2</v>
      </c>
      <c r="BF263" s="624">
        <v>41908</v>
      </c>
      <c r="BG263" s="355">
        <v>1.6292000000000001E-2</v>
      </c>
      <c r="BH263" s="624">
        <v>41907</v>
      </c>
      <c r="BI263" s="355">
        <v>8.3228999999999997E-2</v>
      </c>
      <c r="BJ263" s="624">
        <v>41907</v>
      </c>
      <c r="BK263" s="355">
        <v>3.0973000000000001E-2</v>
      </c>
    </row>
    <row r="264" spans="3:63">
      <c r="C264" s="624"/>
      <c r="D264" s="355">
        <v>3.5040000000000002E-2</v>
      </c>
      <c r="AV264" s="624">
        <v>41914</v>
      </c>
      <c r="AW264" s="355">
        <v>0.4007</v>
      </c>
      <c r="AX264" s="624">
        <v>41908</v>
      </c>
      <c r="AY264" s="355">
        <v>2.554E-2</v>
      </c>
      <c r="AZ264" s="624">
        <v>41908</v>
      </c>
      <c r="BA264" s="355">
        <v>1.0699999999999999E-2</v>
      </c>
      <c r="BB264" s="624">
        <v>41908</v>
      </c>
      <c r="BC264" s="355">
        <v>0.30320000000000003</v>
      </c>
      <c r="BD264" s="624">
        <v>41908</v>
      </c>
      <c r="BE264" s="355">
        <v>9.5310000000000006E-2</v>
      </c>
      <c r="BF264" s="624">
        <v>41911</v>
      </c>
      <c r="BG264" s="355">
        <v>1.6216000000000001E-2</v>
      </c>
      <c r="BH264" s="624">
        <v>41908</v>
      </c>
      <c r="BI264" s="355">
        <v>8.2558999999999994E-2</v>
      </c>
      <c r="BJ264" s="624">
        <v>41908</v>
      </c>
      <c r="BK264" s="355">
        <v>3.0931E-2</v>
      </c>
    </row>
    <row r="265" spans="3:63">
      <c r="C265" s="624"/>
      <c r="D265" s="355">
        <v>3.5029999999999999E-2</v>
      </c>
      <c r="AV265" s="624">
        <v>41915</v>
      </c>
      <c r="AW265" s="355">
        <v>0.4042</v>
      </c>
      <c r="AX265" s="624">
        <v>41911</v>
      </c>
      <c r="AY265" s="355">
        <v>2.5340000000000001E-2</v>
      </c>
      <c r="AZ265" s="624">
        <v>41911</v>
      </c>
      <c r="BA265" s="355">
        <v>1.0699999999999999E-2</v>
      </c>
      <c r="BB265" s="624">
        <v>41911</v>
      </c>
      <c r="BC265" s="355">
        <v>0.30330000000000001</v>
      </c>
      <c r="BD265" s="624">
        <v>41911</v>
      </c>
      <c r="BE265" s="355">
        <v>9.468E-2</v>
      </c>
      <c r="BF265" s="624">
        <v>41912</v>
      </c>
      <c r="BG265" s="355">
        <v>1.6150999999999999E-2</v>
      </c>
      <c r="BH265" s="624">
        <v>41911</v>
      </c>
      <c r="BI265" s="355">
        <v>8.2405999999999993E-2</v>
      </c>
      <c r="BJ265" s="624">
        <v>41911</v>
      </c>
      <c r="BK265" s="355">
        <v>3.0863999999999999E-2</v>
      </c>
    </row>
    <row r="266" spans="3:63">
      <c r="C266" s="624"/>
      <c r="D266" s="355">
        <v>3.4869999999999998E-2</v>
      </c>
      <c r="AV266" s="624">
        <v>41918</v>
      </c>
      <c r="AW266" s="355">
        <v>0.41199999999999998</v>
      </c>
      <c r="AX266" s="624">
        <v>41912</v>
      </c>
      <c r="AY266" s="355">
        <v>2.5260000000000001E-2</v>
      </c>
      <c r="AZ266" s="624">
        <v>41912</v>
      </c>
      <c r="BA266" s="355">
        <v>1.0699999999999999E-2</v>
      </c>
      <c r="BB266" s="624">
        <v>41912</v>
      </c>
      <c r="BC266" s="355">
        <v>0.30199999999999999</v>
      </c>
      <c r="BD266" s="624">
        <v>41912</v>
      </c>
      <c r="BE266" s="355">
        <v>9.4469999999999998E-2</v>
      </c>
      <c r="BF266" s="624">
        <v>41913</v>
      </c>
      <c r="BG266" s="355">
        <v>1.6177E-2</v>
      </c>
      <c r="BH266" s="624">
        <v>41912</v>
      </c>
      <c r="BI266" s="355">
        <v>8.2020999999999997E-2</v>
      </c>
      <c r="BJ266" s="624">
        <v>41912</v>
      </c>
      <c r="BK266" s="355">
        <v>3.0838999999999998E-2</v>
      </c>
    </row>
    <row r="267" spans="3:63">
      <c r="C267" s="624"/>
      <c r="D267" s="355">
        <v>3.4930000000000003E-2</v>
      </c>
      <c r="AV267" s="624">
        <v>41919</v>
      </c>
      <c r="AW267" s="355">
        <v>0.41649999999999998</v>
      </c>
      <c r="AX267" s="624">
        <v>41913</v>
      </c>
      <c r="AY267" s="355">
        <v>2.52E-2</v>
      </c>
      <c r="AZ267" s="624">
        <v>41913</v>
      </c>
      <c r="BA267" s="355">
        <v>1.06E-2</v>
      </c>
      <c r="BB267" s="624">
        <v>41913</v>
      </c>
      <c r="BC267" s="355">
        <v>0.3024</v>
      </c>
      <c r="BD267" s="624">
        <v>41913</v>
      </c>
      <c r="BE267" s="355">
        <v>9.4149999999999998E-2</v>
      </c>
      <c r="BF267" s="624">
        <v>41915</v>
      </c>
      <c r="BG267" s="355">
        <v>1.6211E-2</v>
      </c>
      <c r="BH267" s="624">
        <v>41913</v>
      </c>
      <c r="BI267" s="355">
        <v>8.2185999999999995E-2</v>
      </c>
      <c r="BJ267" s="624">
        <v>41913</v>
      </c>
      <c r="BK267" s="355">
        <v>3.0842000000000001E-2</v>
      </c>
    </row>
    <row r="268" spans="3:63">
      <c r="C268" s="624"/>
      <c r="D268" s="355">
        <v>3.5009999999999999E-2</v>
      </c>
      <c r="AV268" s="624">
        <v>41920</v>
      </c>
      <c r="AW268" s="355">
        <v>0.41959999999999997</v>
      </c>
      <c r="AX268" s="624">
        <v>41914</v>
      </c>
      <c r="AY268" s="355">
        <v>2.528E-2</v>
      </c>
      <c r="AZ268" s="624">
        <v>41914</v>
      </c>
      <c r="BA268" s="355">
        <v>1.0699999999999999E-2</v>
      </c>
      <c r="BB268" s="624">
        <v>41914</v>
      </c>
      <c r="BC268" s="355">
        <v>0.30359999999999998</v>
      </c>
      <c r="BD268" s="624">
        <v>41914</v>
      </c>
      <c r="BE268" s="355">
        <v>9.4350000000000003E-2</v>
      </c>
      <c r="BF268" s="624">
        <v>41918</v>
      </c>
      <c r="BG268" s="355">
        <v>1.6317999999999999E-2</v>
      </c>
      <c r="BH268" s="624">
        <v>41914</v>
      </c>
      <c r="BI268" s="355">
        <v>8.2439999999999999E-2</v>
      </c>
      <c r="BJ268" s="624">
        <v>41914</v>
      </c>
      <c r="BK268" s="355">
        <v>3.0814000000000001E-2</v>
      </c>
    </row>
    <row r="269" spans="3:63">
      <c r="C269" s="624"/>
      <c r="D269" s="355">
        <v>3.5139999999999998E-2</v>
      </c>
      <c r="AV269" s="624">
        <v>41921</v>
      </c>
      <c r="AW269" s="355">
        <v>0.4173</v>
      </c>
      <c r="AX269" s="624">
        <v>41915</v>
      </c>
      <c r="AY269" s="355">
        <v>2.4920000000000001E-2</v>
      </c>
      <c r="AZ269" s="624">
        <v>41915</v>
      </c>
      <c r="BA269" s="355">
        <v>1.0500000000000001E-2</v>
      </c>
      <c r="BB269" s="624">
        <v>41915</v>
      </c>
      <c r="BC269" s="355">
        <v>0.29859999999999998</v>
      </c>
      <c r="BD269" s="624">
        <v>41915</v>
      </c>
      <c r="BE269" s="355">
        <v>9.3729999999999994E-2</v>
      </c>
      <c r="BF269" s="624">
        <v>41919</v>
      </c>
      <c r="BG269" s="355">
        <v>1.6306000000000001E-2</v>
      </c>
      <c r="BH269" s="624">
        <v>41915</v>
      </c>
      <c r="BI269" s="355">
        <v>8.2101999999999994E-2</v>
      </c>
      <c r="BJ269" s="624">
        <v>41915</v>
      </c>
      <c r="BK269" s="355">
        <v>3.0637000000000001E-2</v>
      </c>
    </row>
    <row r="270" spans="3:63">
      <c r="C270" s="624"/>
      <c r="D270" s="355">
        <v>3.508E-2</v>
      </c>
      <c r="AV270" s="624">
        <v>41922</v>
      </c>
      <c r="AW270" s="355">
        <v>0.41389999999999999</v>
      </c>
      <c r="AX270" s="624">
        <v>41918</v>
      </c>
      <c r="AY270" s="355">
        <v>2.5180000000000001E-2</v>
      </c>
      <c r="AZ270" s="624">
        <v>41918</v>
      </c>
      <c r="BA270" s="355">
        <v>1.06E-2</v>
      </c>
      <c r="BB270" s="624">
        <v>41918</v>
      </c>
      <c r="BC270" s="355">
        <v>0.30280000000000001</v>
      </c>
      <c r="BD270" s="624">
        <v>41918</v>
      </c>
      <c r="BE270" s="355">
        <v>9.393E-2</v>
      </c>
      <c r="BF270" s="624">
        <v>41920</v>
      </c>
      <c r="BG270" s="355">
        <v>1.6386999999999999E-2</v>
      </c>
      <c r="BH270" s="624">
        <v>41918</v>
      </c>
      <c r="BI270" s="355">
        <v>8.2202999999999998E-2</v>
      </c>
      <c r="BJ270" s="624">
        <v>41918</v>
      </c>
      <c r="BK270" s="355">
        <v>3.0693999999999999E-2</v>
      </c>
    </row>
    <row r="271" spans="3:63">
      <c r="C271" s="624"/>
      <c r="D271" s="355">
        <v>3.5020000000000003E-2</v>
      </c>
      <c r="AV271" s="624">
        <v>41925</v>
      </c>
      <c r="AW271" s="355">
        <v>0.41770000000000002</v>
      </c>
      <c r="AX271" s="624">
        <v>41919</v>
      </c>
      <c r="AY271" s="355">
        <v>2.5049999999999999E-2</v>
      </c>
      <c r="AZ271" s="624">
        <v>41919</v>
      </c>
      <c r="BA271" s="355">
        <v>1.06E-2</v>
      </c>
      <c r="BB271" s="624">
        <v>41919</v>
      </c>
      <c r="BC271" s="355">
        <v>0.30280000000000001</v>
      </c>
      <c r="BD271" s="624">
        <v>41919</v>
      </c>
      <c r="BE271" s="355">
        <v>9.375E-2</v>
      </c>
      <c r="BF271" s="624">
        <v>41921</v>
      </c>
      <c r="BG271" s="355">
        <v>1.6362000000000002E-2</v>
      </c>
      <c r="BH271" s="624">
        <v>41919</v>
      </c>
      <c r="BI271" s="355">
        <v>8.1997E-2</v>
      </c>
      <c r="BJ271" s="624">
        <v>41919</v>
      </c>
      <c r="BK271" s="355">
        <v>3.0689000000000001E-2</v>
      </c>
    </row>
    <row r="272" spans="3:63">
      <c r="C272" s="624"/>
      <c r="D272" s="355">
        <v>3.4970000000000001E-2</v>
      </c>
      <c r="AV272" s="624">
        <v>41926</v>
      </c>
      <c r="AW272" s="355">
        <v>0.41649999999999998</v>
      </c>
      <c r="AX272" s="624">
        <v>41920</v>
      </c>
      <c r="AY272" s="355">
        <v>2.5020000000000001E-2</v>
      </c>
      <c r="AZ272" s="624">
        <v>41920</v>
      </c>
      <c r="BA272" s="355">
        <v>1.0699999999999999E-2</v>
      </c>
      <c r="BB272" s="624">
        <v>41920</v>
      </c>
      <c r="BC272" s="355">
        <v>0.3049</v>
      </c>
      <c r="BD272" s="624">
        <v>41920</v>
      </c>
      <c r="BE272" s="355">
        <v>9.3560000000000004E-2</v>
      </c>
      <c r="BF272" s="624">
        <v>41922</v>
      </c>
      <c r="BG272" s="355">
        <v>1.6324999999999999E-2</v>
      </c>
      <c r="BH272" s="624">
        <v>41920</v>
      </c>
      <c r="BI272" s="355">
        <v>8.1958000000000003E-2</v>
      </c>
      <c r="BJ272" s="624">
        <v>41920</v>
      </c>
      <c r="BK272" s="355">
        <v>3.0731999999999999E-2</v>
      </c>
    </row>
    <row r="273" spans="3:63">
      <c r="C273" s="624"/>
      <c r="D273" s="355">
        <v>3.5009999999999999E-2</v>
      </c>
      <c r="AV273" s="624">
        <v>41927</v>
      </c>
      <c r="AW273" s="355">
        <v>0.40699999999999997</v>
      </c>
      <c r="AX273" s="624">
        <v>41921</v>
      </c>
      <c r="AY273" s="355">
        <v>2.4930000000000001E-2</v>
      </c>
      <c r="AZ273" s="624">
        <v>41921</v>
      </c>
      <c r="BA273" s="355">
        <v>1.06E-2</v>
      </c>
      <c r="BB273" s="624">
        <v>41921</v>
      </c>
      <c r="BC273" s="355">
        <v>0.3034</v>
      </c>
      <c r="BD273" s="624">
        <v>41921</v>
      </c>
      <c r="BE273" s="355">
        <v>9.3539999999999998E-2</v>
      </c>
      <c r="BF273" s="624">
        <v>41925</v>
      </c>
      <c r="BG273" s="355">
        <v>1.6386999999999999E-2</v>
      </c>
      <c r="BH273" s="624">
        <v>41921</v>
      </c>
      <c r="BI273" s="355">
        <v>8.2136000000000001E-2</v>
      </c>
      <c r="BJ273" s="624">
        <v>41921</v>
      </c>
      <c r="BK273" s="355">
        <v>3.0839999999999999E-2</v>
      </c>
    </row>
    <row r="274" spans="3:63">
      <c r="C274" s="624"/>
      <c r="D274" s="355">
        <v>3.5009999999999999E-2</v>
      </c>
      <c r="AV274" s="624">
        <v>41928</v>
      </c>
      <c r="AW274" s="355">
        <v>0.40450000000000003</v>
      </c>
      <c r="AX274" s="624">
        <v>41922</v>
      </c>
      <c r="AY274" s="355">
        <v>2.479E-2</v>
      </c>
      <c r="AZ274" s="624">
        <v>41922</v>
      </c>
      <c r="BA274" s="355">
        <v>1.06E-2</v>
      </c>
      <c r="BB274" s="624">
        <v>41922</v>
      </c>
      <c r="BC274" s="355">
        <v>0.30170000000000002</v>
      </c>
      <c r="BD274" s="624">
        <v>41922</v>
      </c>
      <c r="BE274" s="355">
        <v>9.3149999999999997E-2</v>
      </c>
      <c r="BF274" s="624">
        <v>41926</v>
      </c>
      <c r="BG274" s="355">
        <v>1.6292000000000001E-2</v>
      </c>
      <c r="BH274" s="624">
        <v>41922</v>
      </c>
      <c r="BI274" s="355">
        <v>8.1833000000000003E-2</v>
      </c>
      <c r="BJ274" s="624">
        <v>41922</v>
      </c>
      <c r="BK274" s="355">
        <v>3.0800000000000001E-2</v>
      </c>
    </row>
    <row r="275" spans="3:63">
      <c r="C275" s="624"/>
      <c r="D275" s="355">
        <v>3.5029999999999999E-2</v>
      </c>
      <c r="AV275" s="624">
        <v>41929</v>
      </c>
      <c r="AW275" s="355">
        <v>0.40970000000000001</v>
      </c>
      <c r="AX275" s="624">
        <v>41925</v>
      </c>
      <c r="AY275" s="355">
        <v>2.469E-2</v>
      </c>
      <c r="AZ275" s="624">
        <v>41925</v>
      </c>
      <c r="BA275" s="355">
        <v>1.0699999999999999E-2</v>
      </c>
      <c r="BB275" s="624">
        <v>41925</v>
      </c>
      <c r="BC275" s="355">
        <v>0.30420000000000003</v>
      </c>
      <c r="BD275" s="624">
        <v>41925</v>
      </c>
      <c r="BE275" s="355">
        <v>9.3710000000000002E-2</v>
      </c>
      <c r="BF275" s="624">
        <v>41927</v>
      </c>
      <c r="BG275" s="355">
        <v>1.6234999999999999E-2</v>
      </c>
      <c r="BH275" s="624">
        <v>41925</v>
      </c>
      <c r="BI275" s="355">
        <v>8.1900000000000001E-2</v>
      </c>
      <c r="BJ275" s="624">
        <v>41925</v>
      </c>
      <c r="BK275" s="355">
        <v>3.0863999999999999E-2</v>
      </c>
    </row>
    <row r="276" spans="3:63">
      <c r="C276" s="624"/>
      <c r="D276" s="355">
        <v>3.499E-2</v>
      </c>
      <c r="AV276" s="624">
        <v>41932</v>
      </c>
      <c r="AW276" s="355">
        <v>0.40570000000000001</v>
      </c>
      <c r="AX276" s="624">
        <v>41926</v>
      </c>
      <c r="AY276" s="355">
        <v>2.444E-2</v>
      </c>
      <c r="AZ276" s="624">
        <v>41926</v>
      </c>
      <c r="BA276" s="355">
        <v>1.06E-2</v>
      </c>
      <c r="BB276" s="624">
        <v>41926</v>
      </c>
      <c r="BC276" s="355">
        <v>0.30109999999999998</v>
      </c>
      <c r="BD276" s="624">
        <v>41926</v>
      </c>
      <c r="BE276" s="355">
        <v>9.3840000000000007E-2</v>
      </c>
      <c r="BF276" s="624">
        <v>41928</v>
      </c>
      <c r="BG276" s="355">
        <v>1.6225E-2</v>
      </c>
      <c r="BH276" s="624">
        <v>41926</v>
      </c>
      <c r="BI276" s="355">
        <v>8.1934000000000007E-2</v>
      </c>
      <c r="BJ276" s="624">
        <v>41926</v>
      </c>
      <c r="BK276" s="355">
        <v>3.0773999999999999E-2</v>
      </c>
    </row>
    <row r="277" spans="3:63">
      <c r="C277" s="624"/>
      <c r="D277" s="355">
        <v>3.4930000000000003E-2</v>
      </c>
      <c r="AV277" s="624">
        <v>41933</v>
      </c>
      <c r="AW277" s="355">
        <v>0.4032</v>
      </c>
      <c r="AX277" s="624">
        <v>41927</v>
      </c>
      <c r="AY277" s="355">
        <v>2.4760000000000001E-2</v>
      </c>
      <c r="AZ277" s="624">
        <v>41927</v>
      </c>
      <c r="BA277" s="355">
        <v>1.0800000000000001E-2</v>
      </c>
      <c r="BB277" s="624">
        <v>41927</v>
      </c>
      <c r="BC277" s="355">
        <v>0.30409999999999998</v>
      </c>
      <c r="BD277" s="624">
        <v>41927</v>
      </c>
      <c r="BE277" s="355">
        <v>9.425E-2</v>
      </c>
      <c r="BF277" s="624">
        <v>41929</v>
      </c>
      <c r="BG277" s="355">
        <v>1.6315E-2</v>
      </c>
      <c r="BH277" s="624">
        <v>41927</v>
      </c>
      <c r="BI277" s="355">
        <v>8.1766000000000005E-2</v>
      </c>
      <c r="BJ277" s="624">
        <v>41927</v>
      </c>
      <c r="BK277" s="355">
        <v>3.0839999999999999E-2</v>
      </c>
    </row>
    <row r="278" spans="3:63">
      <c r="C278" s="624"/>
      <c r="D278" s="355">
        <v>3.4970000000000001E-2</v>
      </c>
      <c r="AV278" s="624">
        <v>41934</v>
      </c>
      <c r="AW278" s="355">
        <v>0.4017</v>
      </c>
      <c r="AX278" s="624">
        <v>41928</v>
      </c>
      <c r="AY278" s="355">
        <v>2.4479999999999998E-2</v>
      </c>
      <c r="AZ278" s="624">
        <v>41928</v>
      </c>
      <c r="BA278" s="355">
        <v>1.0699999999999999E-2</v>
      </c>
      <c r="BB278" s="624">
        <v>41928</v>
      </c>
      <c r="BC278" s="355">
        <v>0.30280000000000001</v>
      </c>
      <c r="BD278" s="624">
        <v>41928</v>
      </c>
      <c r="BE278" s="355">
        <v>9.4240000000000004E-2</v>
      </c>
      <c r="BF278" s="624">
        <v>41932</v>
      </c>
      <c r="BG278" s="355">
        <v>1.6351999999999998E-2</v>
      </c>
      <c r="BH278" s="624">
        <v>41928</v>
      </c>
      <c r="BI278" s="355">
        <v>8.1666000000000002E-2</v>
      </c>
      <c r="BJ278" s="624">
        <v>41928</v>
      </c>
      <c r="BK278" s="355">
        <v>3.0845000000000001E-2</v>
      </c>
    </row>
    <row r="279" spans="3:63">
      <c r="C279" s="624"/>
      <c r="D279" s="355">
        <v>3.499E-2</v>
      </c>
      <c r="AV279" s="624">
        <v>41935</v>
      </c>
      <c r="AW279" s="355">
        <v>0.39810000000000001</v>
      </c>
      <c r="AX279" s="624">
        <v>41929</v>
      </c>
      <c r="AY279" s="355">
        <v>2.4549999999999999E-2</v>
      </c>
      <c r="AZ279" s="624">
        <v>41929</v>
      </c>
      <c r="BA279" s="355">
        <v>1.0699999999999999E-2</v>
      </c>
      <c r="BB279" s="624">
        <v>41929</v>
      </c>
      <c r="BC279" s="355">
        <v>0.30249999999999999</v>
      </c>
      <c r="BD279" s="624">
        <v>41929</v>
      </c>
      <c r="BE279" s="355">
        <v>9.4049999999999995E-2</v>
      </c>
      <c r="BF279" s="624">
        <v>41933</v>
      </c>
      <c r="BG279" s="355">
        <v>1.6367E-2</v>
      </c>
      <c r="BH279" s="624">
        <v>41929</v>
      </c>
      <c r="BI279" s="355">
        <v>8.2816000000000001E-2</v>
      </c>
      <c r="BJ279" s="624">
        <v>41929</v>
      </c>
      <c r="BK279" s="355">
        <v>3.0859000000000001E-2</v>
      </c>
    </row>
    <row r="280" spans="3:63">
      <c r="C280" s="624"/>
      <c r="D280" s="355">
        <v>3.4889999999999997E-2</v>
      </c>
      <c r="AV280" s="624">
        <v>41936</v>
      </c>
      <c r="AW280" s="355">
        <v>0.4052</v>
      </c>
      <c r="AX280" s="624">
        <v>41932</v>
      </c>
      <c r="AY280" s="355">
        <v>2.4369999999999999E-2</v>
      </c>
      <c r="AZ280" s="624">
        <v>41932</v>
      </c>
      <c r="BA280" s="355">
        <v>1.0699999999999999E-2</v>
      </c>
      <c r="BB280" s="624">
        <v>41932</v>
      </c>
      <c r="BC280" s="355">
        <v>0.30309999999999998</v>
      </c>
      <c r="BD280" s="624">
        <v>41932</v>
      </c>
      <c r="BE280" s="355">
        <v>9.4659999999999994E-2</v>
      </c>
      <c r="BF280" s="624">
        <v>41934</v>
      </c>
      <c r="BG280" s="355">
        <v>1.6341000000000001E-2</v>
      </c>
      <c r="BH280" s="624">
        <v>41932</v>
      </c>
      <c r="BI280" s="355">
        <v>8.3612000000000006E-2</v>
      </c>
      <c r="BJ280" s="624">
        <v>41932</v>
      </c>
      <c r="BK280" s="355">
        <v>3.0988999999999999E-2</v>
      </c>
    </row>
    <row r="281" spans="3:63">
      <c r="C281" s="624"/>
      <c r="D281" s="355">
        <v>3.4970000000000001E-2</v>
      </c>
      <c r="AV281" s="624">
        <v>41939</v>
      </c>
      <c r="AW281" s="355">
        <v>0.39650000000000002</v>
      </c>
      <c r="AX281" s="624">
        <v>41933</v>
      </c>
      <c r="AY281" s="355">
        <v>2.4420000000000001E-2</v>
      </c>
      <c r="AZ281" s="624">
        <v>41933</v>
      </c>
      <c r="BA281" s="355">
        <v>1.0699999999999999E-2</v>
      </c>
      <c r="BB281" s="624">
        <v>41933</v>
      </c>
      <c r="BC281" s="355">
        <v>0.30130000000000001</v>
      </c>
      <c r="BD281" s="624">
        <v>41933</v>
      </c>
      <c r="BE281" s="355">
        <v>9.4759999999999997E-2</v>
      </c>
      <c r="BF281" s="624">
        <v>41936</v>
      </c>
      <c r="BG281" s="355">
        <v>1.6364E-2</v>
      </c>
      <c r="BH281" s="624">
        <v>41933</v>
      </c>
      <c r="BI281" s="355">
        <v>8.3506999999999998E-2</v>
      </c>
      <c r="BJ281" s="624">
        <v>41933</v>
      </c>
      <c r="BK281" s="355">
        <v>3.0981999999999999E-2</v>
      </c>
    </row>
    <row r="282" spans="3:63">
      <c r="C282" s="624"/>
      <c r="D282" s="355">
        <v>3.5110000000000002E-2</v>
      </c>
      <c r="AV282" s="624">
        <v>41940</v>
      </c>
      <c r="AW282" s="355">
        <v>0.4032</v>
      </c>
      <c r="AX282" s="624">
        <v>41934</v>
      </c>
      <c r="AY282" s="355">
        <v>2.4170000000000001E-2</v>
      </c>
      <c r="AZ282" s="624">
        <v>41934</v>
      </c>
      <c r="BA282" s="355">
        <v>1.06E-2</v>
      </c>
      <c r="BB282" s="624">
        <v>41934</v>
      </c>
      <c r="BC282" s="355">
        <v>0.29880000000000001</v>
      </c>
      <c r="BD282" s="624">
        <v>41934</v>
      </c>
      <c r="BE282" s="355">
        <v>9.4899999999999998E-2</v>
      </c>
      <c r="BF282" s="624">
        <v>41939</v>
      </c>
      <c r="BG282" s="355">
        <v>1.6303999999999999E-2</v>
      </c>
      <c r="BH282" s="624">
        <v>41934</v>
      </c>
      <c r="BI282" s="355">
        <v>8.3264000000000005E-2</v>
      </c>
      <c r="BJ282" s="624">
        <v>41934</v>
      </c>
      <c r="BK282" s="355">
        <v>3.0917E-2</v>
      </c>
    </row>
    <row r="283" spans="3:63">
      <c r="C283" s="624"/>
      <c r="D283" s="355">
        <v>3.508E-2</v>
      </c>
      <c r="AV283" s="624">
        <v>41941</v>
      </c>
      <c r="AW283" s="355">
        <v>0.40749999999999997</v>
      </c>
      <c r="AX283" s="624">
        <v>41935</v>
      </c>
      <c r="AY283" s="355">
        <v>2.3980000000000001E-2</v>
      </c>
      <c r="AZ283" s="624">
        <v>41935</v>
      </c>
      <c r="BA283" s="355">
        <v>1.06E-2</v>
      </c>
      <c r="BB283" s="624">
        <v>41935</v>
      </c>
      <c r="BC283" s="355">
        <v>0.29909999999999998</v>
      </c>
      <c r="BD283" s="624">
        <v>41935</v>
      </c>
      <c r="BE283" s="355">
        <v>9.4329999999999997E-2</v>
      </c>
      <c r="BF283" s="624">
        <v>41940</v>
      </c>
      <c r="BG283" s="355">
        <v>1.6348000000000001E-2</v>
      </c>
      <c r="BH283" s="624">
        <v>41935</v>
      </c>
      <c r="BI283" s="355">
        <v>8.2970000000000002E-2</v>
      </c>
      <c r="BJ283" s="624">
        <v>41935</v>
      </c>
      <c r="BK283" s="355">
        <v>3.0901000000000001E-2</v>
      </c>
    </row>
    <row r="284" spans="3:63">
      <c r="C284" s="624"/>
      <c r="D284" s="355">
        <v>3.5159999999999997E-2</v>
      </c>
      <c r="AV284" s="624">
        <v>41942</v>
      </c>
      <c r="AW284" s="355">
        <v>0.41589999999999999</v>
      </c>
      <c r="AX284" s="624">
        <v>41936</v>
      </c>
      <c r="AY284" s="355">
        <v>2.3869999999999999E-2</v>
      </c>
      <c r="AZ284" s="624">
        <v>41936</v>
      </c>
      <c r="BA284" s="355">
        <v>1.06E-2</v>
      </c>
      <c r="BB284" s="624">
        <v>41936</v>
      </c>
      <c r="BC284" s="355">
        <v>0.30070000000000002</v>
      </c>
      <c r="BD284" s="624">
        <v>41936</v>
      </c>
      <c r="BE284" s="355">
        <v>9.4600000000000004E-2</v>
      </c>
      <c r="BF284" s="624">
        <v>41941</v>
      </c>
      <c r="BG284" s="355">
        <v>1.6261999999999999E-2</v>
      </c>
      <c r="BH284" s="624">
        <v>41936</v>
      </c>
      <c r="BI284" s="355">
        <v>8.2991999999999996E-2</v>
      </c>
      <c r="BJ284" s="624">
        <v>41936</v>
      </c>
      <c r="BK284" s="355">
        <v>3.0856000000000001E-2</v>
      </c>
    </row>
    <row r="285" spans="3:63">
      <c r="C285" s="624"/>
      <c r="D285" s="355">
        <v>3.5119999999999998E-2</v>
      </c>
      <c r="AV285" s="624">
        <v>41943</v>
      </c>
      <c r="AW285" s="355">
        <v>0.40489999999999998</v>
      </c>
      <c r="AX285" s="624">
        <v>41939</v>
      </c>
      <c r="AY285" s="355">
        <v>2.367E-2</v>
      </c>
      <c r="AZ285" s="624">
        <v>41939</v>
      </c>
      <c r="BA285" s="355">
        <v>1.06E-2</v>
      </c>
      <c r="BB285" s="624">
        <v>41939</v>
      </c>
      <c r="BC285" s="355">
        <v>0.30049999999999999</v>
      </c>
      <c r="BD285" s="624">
        <v>41939</v>
      </c>
      <c r="BE285" s="355">
        <v>9.5070000000000002E-2</v>
      </c>
      <c r="BF285" s="624">
        <v>41942</v>
      </c>
      <c r="BG285" s="355">
        <v>1.6303000000000002E-2</v>
      </c>
      <c r="BH285" s="624">
        <v>41939</v>
      </c>
      <c r="BI285" s="355">
        <v>8.2747000000000001E-2</v>
      </c>
      <c r="BJ285" s="624">
        <v>41939</v>
      </c>
      <c r="BK285" s="355">
        <v>3.083E-2</v>
      </c>
    </row>
    <row r="286" spans="3:63">
      <c r="C286" s="624"/>
      <c r="D286" s="355">
        <v>3.4979999999999997E-2</v>
      </c>
      <c r="AV286" s="624">
        <v>41946</v>
      </c>
      <c r="AW286" s="355">
        <v>0.40050000000000002</v>
      </c>
      <c r="AX286" s="624">
        <v>41940</v>
      </c>
      <c r="AY286" s="355">
        <v>2.3560000000000001E-2</v>
      </c>
      <c r="AZ286" s="624">
        <v>41940</v>
      </c>
      <c r="BA286" s="355">
        <v>1.0699999999999999E-2</v>
      </c>
      <c r="BB286" s="624">
        <v>41940</v>
      </c>
      <c r="BC286" s="355">
        <v>0.30209999999999998</v>
      </c>
      <c r="BD286" s="624">
        <v>41940</v>
      </c>
      <c r="BE286" s="355">
        <v>9.5420000000000005E-2</v>
      </c>
      <c r="BF286" s="624">
        <v>41943</v>
      </c>
      <c r="BG286" s="355">
        <v>1.6284E-2</v>
      </c>
      <c r="BH286" s="624">
        <v>41940</v>
      </c>
      <c r="BI286" s="355">
        <v>8.2152000000000003E-2</v>
      </c>
      <c r="BJ286" s="624">
        <v>41940</v>
      </c>
      <c r="BK286" s="355">
        <v>3.0828999999999999E-2</v>
      </c>
    </row>
    <row r="287" spans="3:63">
      <c r="C287" s="624"/>
      <c r="D287" s="355">
        <v>3.5000000000000003E-2</v>
      </c>
      <c r="AV287" s="624">
        <v>41947</v>
      </c>
      <c r="AW287" s="355">
        <v>0.39850000000000002</v>
      </c>
      <c r="AX287" s="624">
        <v>41941</v>
      </c>
      <c r="AY287" s="355">
        <v>2.316E-2</v>
      </c>
      <c r="AZ287" s="624">
        <v>41941</v>
      </c>
      <c r="BA287" s="355">
        <v>1.06E-2</v>
      </c>
      <c r="BB287" s="624">
        <v>41941</v>
      </c>
      <c r="BC287" s="355">
        <v>0.29899999999999999</v>
      </c>
      <c r="BD287" s="624">
        <v>41941</v>
      </c>
      <c r="BE287" s="355">
        <v>9.486E-2</v>
      </c>
      <c r="BF287" s="624">
        <v>41946</v>
      </c>
      <c r="BG287" s="355">
        <v>1.6277E-2</v>
      </c>
      <c r="BH287" s="624">
        <v>41941</v>
      </c>
      <c r="BI287" s="355">
        <v>8.2237000000000005E-2</v>
      </c>
      <c r="BJ287" s="624">
        <v>41941</v>
      </c>
      <c r="BK287" s="355">
        <v>3.0742999999999999E-2</v>
      </c>
    </row>
    <row r="288" spans="3:63">
      <c r="C288" s="624"/>
      <c r="D288" s="355">
        <v>3.5020000000000003E-2</v>
      </c>
      <c r="AV288" s="624">
        <v>41948</v>
      </c>
      <c r="AW288" s="355">
        <v>0.39900000000000002</v>
      </c>
      <c r="AX288" s="624">
        <v>41942</v>
      </c>
      <c r="AY288" s="355">
        <v>2.4049999999999998E-2</v>
      </c>
      <c r="AZ288" s="624">
        <v>41942</v>
      </c>
      <c r="BA288" s="355">
        <v>1.06E-2</v>
      </c>
      <c r="BB288" s="624">
        <v>41942</v>
      </c>
      <c r="BC288" s="355">
        <v>0.29949999999999999</v>
      </c>
      <c r="BD288" s="624">
        <v>41942</v>
      </c>
      <c r="BE288" s="355">
        <v>9.4820000000000002E-2</v>
      </c>
      <c r="BF288" s="624">
        <v>41947</v>
      </c>
      <c r="BG288" s="355">
        <v>1.6308E-2</v>
      </c>
      <c r="BH288" s="624">
        <v>41942</v>
      </c>
      <c r="BI288" s="355">
        <v>8.2542000000000004E-2</v>
      </c>
      <c r="BJ288" s="624">
        <v>41942</v>
      </c>
      <c r="BK288" s="355">
        <v>3.0723E-2</v>
      </c>
    </row>
    <row r="289" spans="3:63">
      <c r="C289" s="624"/>
      <c r="D289" s="355">
        <v>3.4970000000000001E-2</v>
      </c>
      <c r="AV289" s="624">
        <v>41949</v>
      </c>
      <c r="AW289" s="355">
        <v>0.3921</v>
      </c>
      <c r="AX289" s="624">
        <v>41943</v>
      </c>
      <c r="AY289" s="355">
        <v>2.325E-2</v>
      </c>
      <c r="AZ289" s="624">
        <v>41943</v>
      </c>
      <c r="BA289" s="355">
        <v>1.0500000000000001E-2</v>
      </c>
      <c r="BB289" s="624">
        <v>41943</v>
      </c>
      <c r="BC289" s="355">
        <v>0.2964</v>
      </c>
      <c r="BD289" s="624">
        <v>41943</v>
      </c>
      <c r="BE289" s="355">
        <v>9.3130000000000004E-2</v>
      </c>
      <c r="BF289" s="624">
        <v>41948</v>
      </c>
      <c r="BG289" s="355">
        <v>1.6285999999999998E-2</v>
      </c>
      <c r="BH289" s="624">
        <v>41943</v>
      </c>
      <c r="BI289" s="355">
        <v>8.2821000000000006E-2</v>
      </c>
      <c r="BJ289" s="624">
        <v>41943</v>
      </c>
      <c r="BK289" s="355">
        <v>3.0672999999999999E-2</v>
      </c>
    </row>
    <row r="290" spans="3:63">
      <c r="C290" s="624"/>
      <c r="D290" s="355">
        <v>3.499E-2</v>
      </c>
      <c r="AV290" s="624">
        <v>41950</v>
      </c>
      <c r="AW290" s="355">
        <v>0.39090000000000003</v>
      </c>
      <c r="AX290" s="624">
        <v>41946</v>
      </c>
      <c r="AY290" s="355">
        <v>2.2939999999999999E-2</v>
      </c>
      <c r="AZ290" s="624">
        <v>41946</v>
      </c>
      <c r="BA290" s="355">
        <v>1.0500000000000001E-2</v>
      </c>
      <c r="BB290" s="624">
        <v>41946</v>
      </c>
      <c r="BC290" s="355">
        <v>0.29549999999999998</v>
      </c>
      <c r="BD290" s="624">
        <v>41946</v>
      </c>
      <c r="BE290" s="355">
        <v>9.2270000000000005E-2</v>
      </c>
      <c r="BF290" s="624">
        <v>41949</v>
      </c>
      <c r="BG290" s="355">
        <v>1.6250000000000001E-2</v>
      </c>
      <c r="BH290" s="624">
        <v>41946</v>
      </c>
      <c r="BI290" s="355">
        <v>8.2474000000000006E-2</v>
      </c>
      <c r="BJ290" s="624">
        <v>41946</v>
      </c>
      <c r="BK290" s="355">
        <v>3.0571999999999998E-2</v>
      </c>
    </row>
    <row r="291" spans="3:63">
      <c r="C291" s="624"/>
      <c r="D291" s="355">
        <v>3.4750000000000003E-2</v>
      </c>
      <c r="AV291" s="624">
        <v>41953</v>
      </c>
      <c r="AW291" s="355">
        <v>0.3926</v>
      </c>
      <c r="AX291" s="624">
        <v>41947</v>
      </c>
      <c r="AY291" s="355">
        <v>2.2950000000000002E-2</v>
      </c>
      <c r="AZ291" s="624">
        <v>41947</v>
      </c>
      <c r="BA291" s="355">
        <v>1.0500000000000001E-2</v>
      </c>
      <c r="BB291" s="624">
        <v>41947</v>
      </c>
      <c r="BC291" s="355">
        <v>0.29680000000000001</v>
      </c>
      <c r="BD291" s="624">
        <v>41947</v>
      </c>
      <c r="BE291" s="355">
        <v>9.2740000000000003E-2</v>
      </c>
      <c r="BF291" s="624">
        <v>41950</v>
      </c>
      <c r="BG291" s="355">
        <v>1.6288E-2</v>
      </c>
      <c r="BH291" s="624">
        <v>41947</v>
      </c>
      <c r="BI291" s="355">
        <v>8.2712999999999995E-2</v>
      </c>
      <c r="BJ291" s="624">
        <v>41947</v>
      </c>
      <c r="BK291" s="355">
        <v>3.0601E-2</v>
      </c>
    </row>
    <row r="292" spans="3:63">
      <c r="C292" s="624"/>
      <c r="D292" s="355">
        <v>3.4669999999999999E-2</v>
      </c>
      <c r="AV292" s="624">
        <v>41954</v>
      </c>
      <c r="AW292" s="355">
        <v>0.39100000000000001</v>
      </c>
      <c r="AX292" s="624">
        <v>41948</v>
      </c>
      <c r="AY292" s="355">
        <v>2.2280000000000001E-2</v>
      </c>
      <c r="AZ292" s="624">
        <v>41948</v>
      </c>
      <c r="BA292" s="355">
        <v>1.0500000000000001E-2</v>
      </c>
      <c r="BB292" s="624">
        <v>41948</v>
      </c>
      <c r="BC292" s="355">
        <v>0.29530000000000001</v>
      </c>
      <c r="BD292" s="624">
        <v>41948</v>
      </c>
      <c r="BE292" s="355">
        <v>9.1700000000000004E-2</v>
      </c>
      <c r="BF292" s="624">
        <v>41953</v>
      </c>
      <c r="BG292" s="355">
        <v>1.6254000000000001E-2</v>
      </c>
      <c r="BH292" s="624">
        <v>41948</v>
      </c>
      <c r="BI292" s="355">
        <v>8.2101999999999994E-2</v>
      </c>
      <c r="BJ292" s="624">
        <v>41948</v>
      </c>
      <c r="BK292" s="355">
        <v>3.0519999999999999E-2</v>
      </c>
    </row>
    <row r="293" spans="3:63">
      <c r="C293" s="624"/>
      <c r="D293" s="355">
        <v>3.4700000000000002E-2</v>
      </c>
      <c r="AV293" s="624">
        <v>41955</v>
      </c>
      <c r="AW293" s="355">
        <v>0.39069999999999999</v>
      </c>
      <c r="AX293" s="624">
        <v>41949</v>
      </c>
      <c r="AY293" s="355">
        <v>2.137E-2</v>
      </c>
      <c r="AZ293" s="624">
        <v>41949</v>
      </c>
      <c r="BA293" s="355">
        <v>1.04E-2</v>
      </c>
      <c r="BB293" s="624">
        <v>41949</v>
      </c>
      <c r="BC293" s="355">
        <v>0.29320000000000002</v>
      </c>
      <c r="BD293" s="624">
        <v>41949</v>
      </c>
      <c r="BE293" s="355">
        <v>9.1539999999999996E-2</v>
      </c>
      <c r="BF293" s="624">
        <v>41954</v>
      </c>
      <c r="BG293" s="355">
        <v>1.6263E-2</v>
      </c>
      <c r="BH293" s="624">
        <v>41949</v>
      </c>
      <c r="BI293" s="355">
        <v>8.2033999999999996E-2</v>
      </c>
      <c r="BJ293" s="624">
        <v>41949</v>
      </c>
      <c r="BK293" s="355">
        <v>3.0484000000000001E-2</v>
      </c>
    </row>
    <row r="294" spans="3:63">
      <c r="C294" s="624"/>
      <c r="D294" s="355">
        <v>3.4660000000000003E-2</v>
      </c>
      <c r="AV294" s="624">
        <v>41956</v>
      </c>
      <c r="AW294" s="355">
        <v>0.3856</v>
      </c>
      <c r="AX294" s="624">
        <v>41950</v>
      </c>
      <c r="AY294" s="355">
        <v>2.1420000000000002E-2</v>
      </c>
      <c r="AZ294" s="624">
        <v>41950</v>
      </c>
      <c r="BA294" s="355">
        <v>1.04E-2</v>
      </c>
      <c r="BB294" s="624">
        <v>41950</v>
      </c>
      <c r="BC294" s="355">
        <v>0.29470000000000002</v>
      </c>
      <c r="BD294" s="624">
        <v>41950</v>
      </c>
      <c r="BE294" s="355">
        <v>9.1980000000000006E-2</v>
      </c>
      <c r="BF294" s="624">
        <v>41955</v>
      </c>
      <c r="BG294" s="355">
        <v>1.6288E-2</v>
      </c>
      <c r="BH294" s="624">
        <v>41950</v>
      </c>
      <c r="BI294" s="355">
        <v>8.2354999999999998E-2</v>
      </c>
      <c r="BJ294" s="624">
        <v>41950</v>
      </c>
      <c r="BK294" s="355">
        <v>3.0511E-2</v>
      </c>
    </row>
    <row r="295" spans="3:63">
      <c r="C295" s="624"/>
      <c r="D295" s="355">
        <v>3.4660000000000003E-2</v>
      </c>
      <c r="AV295" s="624">
        <v>41957</v>
      </c>
      <c r="AW295" s="355">
        <v>0.38440000000000002</v>
      </c>
      <c r="AX295" s="624">
        <v>41953</v>
      </c>
      <c r="AY295" s="355">
        <v>2.18E-2</v>
      </c>
      <c r="AZ295" s="624">
        <v>41953</v>
      </c>
      <c r="BA295" s="355">
        <v>1.03E-2</v>
      </c>
      <c r="BB295" s="624">
        <v>41953</v>
      </c>
      <c r="BC295" s="355">
        <v>0.2944</v>
      </c>
      <c r="BD295" s="624">
        <v>41953</v>
      </c>
      <c r="BE295" s="355">
        <v>9.1700000000000004E-2</v>
      </c>
      <c r="BF295" s="624">
        <v>41956</v>
      </c>
      <c r="BG295" s="355">
        <v>1.6265000000000002E-2</v>
      </c>
      <c r="BH295" s="624">
        <v>41953</v>
      </c>
      <c r="BI295" s="355">
        <v>8.2270999999999997E-2</v>
      </c>
      <c r="BJ295" s="624">
        <v>41953</v>
      </c>
      <c r="BK295" s="355">
        <v>3.0499999999999999E-2</v>
      </c>
    </row>
    <row r="296" spans="3:63">
      <c r="C296" s="624"/>
      <c r="D296" s="355">
        <v>3.4639999999999997E-2</v>
      </c>
      <c r="AV296" s="624">
        <v>41960</v>
      </c>
      <c r="AW296" s="355">
        <v>0.38340000000000002</v>
      </c>
      <c r="AX296" s="624">
        <v>41954</v>
      </c>
      <c r="AY296" s="355">
        <v>2.1579999999999998E-2</v>
      </c>
      <c r="AZ296" s="624">
        <v>41954</v>
      </c>
      <c r="BA296" s="355">
        <v>1.04E-2</v>
      </c>
      <c r="BB296" s="624">
        <v>41954</v>
      </c>
      <c r="BC296" s="355">
        <v>0.29570000000000002</v>
      </c>
      <c r="BD296" s="624">
        <v>41954</v>
      </c>
      <c r="BE296" s="355">
        <v>9.1329999999999995E-2</v>
      </c>
      <c r="BF296" s="624">
        <v>41957</v>
      </c>
      <c r="BG296" s="355">
        <v>1.6219000000000001E-2</v>
      </c>
      <c r="BH296" s="624">
        <v>41954</v>
      </c>
      <c r="BI296" s="355">
        <v>8.1934000000000007E-2</v>
      </c>
      <c r="BJ296" s="624">
        <v>41954</v>
      </c>
      <c r="BK296" s="355">
        <v>3.0432000000000001E-2</v>
      </c>
    </row>
    <row r="297" spans="3:63">
      <c r="C297" s="624"/>
      <c r="D297" s="355">
        <v>3.4700000000000002E-2</v>
      </c>
      <c r="AV297" s="624">
        <v>41961</v>
      </c>
      <c r="AW297" s="355">
        <v>0.38690000000000002</v>
      </c>
      <c r="AX297" s="624">
        <v>41955</v>
      </c>
      <c r="AY297" s="355">
        <v>2.2179999999999998E-2</v>
      </c>
      <c r="AZ297" s="624">
        <v>41955</v>
      </c>
      <c r="BA297" s="355">
        <v>1.03E-2</v>
      </c>
      <c r="BB297" s="624">
        <v>41955</v>
      </c>
      <c r="BC297" s="355">
        <v>0.2949</v>
      </c>
      <c r="BD297" s="624">
        <v>41955</v>
      </c>
      <c r="BE297" s="355">
        <v>9.1350000000000001E-2</v>
      </c>
      <c r="BF297" s="624">
        <v>41960</v>
      </c>
      <c r="BG297" s="355">
        <v>1.6182999999999999E-2</v>
      </c>
      <c r="BH297" s="624">
        <v>41955</v>
      </c>
      <c r="BI297" s="355">
        <v>8.2020999999999997E-2</v>
      </c>
      <c r="BJ297" s="624">
        <v>41955</v>
      </c>
      <c r="BK297" s="355">
        <v>3.0442E-2</v>
      </c>
    </row>
    <row r="298" spans="3:63">
      <c r="C298" s="624"/>
      <c r="D298" s="355">
        <v>3.465E-2</v>
      </c>
      <c r="AV298" s="624">
        <v>41962</v>
      </c>
      <c r="AW298" s="355">
        <v>0.38869999999999999</v>
      </c>
      <c r="AX298" s="624">
        <v>41956</v>
      </c>
      <c r="AY298" s="355">
        <v>2.138E-2</v>
      </c>
      <c r="AZ298" s="624">
        <v>41956</v>
      </c>
      <c r="BA298" s="355">
        <v>1.04E-2</v>
      </c>
      <c r="BB298" s="624">
        <v>41956</v>
      </c>
      <c r="BC298" s="355">
        <v>0.2944</v>
      </c>
      <c r="BD298" s="624">
        <v>41956</v>
      </c>
      <c r="BE298" s="355">
        <v>9.1179999999999997E-2</v>
      </c>
      <c r="BF298" s="624">
        <v>41961</v>
      </c>
      <c r="BG298" s="355">
        <v>1.6195999999999999E-2</v>
      </c>
      <c r="BH298" s="624">
        <v>41956</v>
      </c>
      <c r="BI298" s="355">
        <v>8.2001000000000004E-2</v>
      </c>
      <c r="BJ298" s="624">
        <v>41956</v>
      </c>
      <c r="BK298" s="355">
        <v>3.0488000000000001E-2</v>
      </c>
    </row>
    <row r="299" spans="3:63">
      <c r="C299" s="624"/>
      <c r="D299" s="355">
        <v>3.4729999999999997E-2</v>
      </c>
      <c r="AV299" s="624">
        <v>41963</v>
      </c>
      <c r="AW299" s="355">
        <v>0.3886</v>
      </c>
      <c r="AX299" s="624">
        <v>41957</v>
      </c>
      <c r="AY299" s="355">
        <v>2.1190000000000001E-2</v>
      </c>
      <c r="AZ299" s="624">
        <v>41957</v>
      </c>
      <c r="BA299" s="355">
        <v>1.04E-2</v>
      </c>
      <c r="BB299" s="624">
        <v>41957</v>
      </c>
      <c r="BC299" s="355">
        <v>0.29609999999999997</v>
      </c>
      <c r="BD299" s="624">
        <v>41957</v>
      </c>
      <c r="BE299" s="355">
        <v>9.0840000000000004E-2</v>
      </c>
      <c r="BF299" s="624">
        <v>41962</v>
      </c>
      <c r="BG299" s="355">
        <v>1.6111E-2</v>
      </c>
      <c r="BH299" s="624">
        <v>41957</v>
      </c>
      <c r="BI299" s="355">
        <v>8.2202999999999998E-2</v>
      </c>
      <c r="BJ299" s="624">
        <v>41957</v>
      </c>
      <c r="BK299" s="355">
        <v>3.0485000000000002E-2</v>
      </c>
    </row>
    <row r="300" spans="3:63">
      <c r="C300" s="624"/>
      <c r="D300" s="355">
        <v>3.4779999999999998E-2</v>
      </c>
      <c r="AV300" s="624">
        <v>41964</v>
      </c>
      <c r="AW300" s="355">
        <v>0.39760000000000001</v>
      </c>
      <c r="AX300" s="624">
        <v>41960</v>
      </c>
      <c r="AY300" s="355">
        <v>2.1190000000000001E-2</v>
      </c>
      <c r="AZ300" s="624">
        <v>41960</v>
      </c>
      <c r="BA300" s="355">
        <v>1.04E-2</v>
      </c>
      <c r="BB300" s="624">
        <v>41960</v>
      </c>
      <c r="BC300" s="355">
        <v>0.2949</v>
      </c>
      <c r="BD300" s="624">
        <v>41960</v>
      </c>
      <c r="BE300" s="355">
        <v>9.0819999999999998E-2</v>
      </c>
      <c r="BF300" s="624">
        <v>41963</v>
      </c>
      <c r="BG300" s="355">
        <v>1.6150999999999999E-2</v>
      </c>
      <c r="BH300" s="624">
        <v>41960</v>
      </c>
      <c r="BI300" s="355">
        <v>8.2435999999999995E-2</v>
      </c>
      <c r="BJ300" s="624">
        <v>41960</v>
      </c>
      <c r="BK300" s="355">
        <v>3.0491999999999998E-2</v>
      </c>
    </row>
    <row r="301" spans="3:63">
      <c r="C301" s="624"/>
      <c r="D301" s="355">
        <v>3.4700000000000002E-2</v>
      </c>
      <c r="AV301" s="624">
        <v>41967</v>
      </c>
      <c r="AW301" s="355">
        <v>0.39219999999999999</v>
      </c>
      <c r="AX301" s="624">
        <v>41961</v>
      </c>
      <c r="AY301" s="355">
        <v>2.1319999999999999E-2</v>
      </c>
      <c r="AZ301" s="624">
        <v>41961</v>
      </c>
      <c r="BA301" s="355">
        <v>1.04E-2</v>
      </c>
      <c r="BB301" s="624">
        <v>41961</v>
      </c>
      <c r="BC301" s="355">
        <v>0.29730000000000001</v>
      </c>
      <c r="BD301" s="624">
        <v>41961</v>
      </c>
      <c r="BE301" s="355">
        <v>9.0829999999999994E-2</v>
      </c>
      <c r="BF301" s="624">
        <v>41964</v>
      </c>
      <c r="BG301" s="355">
        <v>1.6209000000000001E-2</v>
      </c>
      <c r="BH301" s="624">
        <v>41961</v>
      </c>
      <c r="BI301" s="355">
        <v>8.2897999999999999E-2</v>
      </c>
      <c r="BJ301" s="624">
        <v>41961</v>
      </c>
      <c r="BK301" s="355">
        <v>3.0526999999999999E-2</v>
      </c>
    </row>
    <row r="302" spans="3:63">
      <c r="C302" s="624"/>
      <c r="D302" s="355">
        <v>3.483E-2</v>
      </c>
      <c r="AV302" s="624">
        <v>41968</v>
      </c>
      <c r="AW302" s="355">
        <v>0.39500000000000002</v>
      </c>
      <c r="AX302" s="624">
        <v>41962</v>
      </c>
      <c r="AY302" s="355">
        <v>2.1340000000000001E-2</v>
      </c>
      <c r="AZ302" s="624">
        <v>41962</v>
      </c>
      <c r="BA302" s="355">
        <v>1.04E-2</v>
      </c>
      <c r="BB302" s="624">
        <v>41962</v>
      </c>
      <c r="BC302" s="355">
        <v>0.29749999999999999</v>
      </c>
      <c r="BD302" s="624">
        <v>41962</v>
      </c>
      <c r="BE302" s="355">
        <v>8.9789999999999995E-2</v>
      </c>
      <c r="BF302" s="624">
        <v>41967</v>
      </c>
      <c r="BG302" s="355">
        <v>1.6161999999999999E-2</v>
      </c>
      <c r="BH302" s="624">
        <v>41962</v>
      </c>
      <c r="BI302" s="355">
        <v>8.2507999999999998E-2</v>
      </c>
      <c r="BJ302" s="624">
        <v>41962</v>
      </c>
      <c r="BK302" s="355">
        <v>3.0453000000000001E-2</v>
      </c>
    </row>
    <row r="303" spans="3:63">
      <c r="C303" s="624"/>
      <c r="D303" s="355">
        <v>3.4799999999999998E-2</v>
      </c>
      <c r="AV303" s="624">
        <v>41969</v>
      </c>
      <c r="AW303" s="355">
        <v>0.39979999999999999</v>
      </c>
      <c r="AX303" s="624">
        <v>41963</v>
      </c>
      <c r="AY303" s="355">
        <v>2.1669999999999998E-2</v>
      </c>
      <c r="AZ303" s="624">
        <v>41963</v>
      </c>
      <c r="BA303" s="355">
        <v>1.0500000000000001E-2</v>
      </c>
      <c r="BB303" s="624">
        <v>41963</v>
      </c>
      <c r="BC303" s="355">
        <v>0.29759999999999998</v>
      </c>
      <c r="BD303" s="624">
        <v>41963</v>
      </c>
      <c r="BE303" s="355">
        <v>8.9950000000000002E-2</v>
      </c>
      <c r="BF303" s="624">
        <v>41968</v>
      </c>
      <c r="BG303" s="355">
        <v>1.6174999999999998E-2</v>
      </c>
      <c r="BH303" s="624">
        <v>41963</v>
      </c>
      <c r="BI303" s="355">
        <v>8.2305000000000003E-2</v>
      </c>
      <c r="BJ303" s="624">
        <v>41963</v>
      </c>
      <c r="BK303" s="355">
        <v>3.049E-2</v>
      </c>
    </row>
    <row r="304" spans="3:63">
      <c r="C304" s="624"/>
      <c r="D304" s="355">
        <v>3.4759999999999999E-2</v>
      </c>
      <c r="AV304" s="624">
        <v>41970</v>
      </c>
      <c r="AW304" s="355">
        <v>0.39479999999999998</v>
      </c>
      <c r="AX304" s="624">
        <v>41964</v>
      </c>
      <c r="AY304" s="355">
        <v>2.188E-2</v>
      </c>
      <c r="AZ304" s="624">
        <v>41964</v>
      </c>
      <c r="BA304" s="355">
        <v>1.03E-2</v>
      </c>
      <c r="BB304" s="624">
        <v>41964</v>
      </c>
      <c r="BC304" s="355">
        <v>0.29499999999999998</v>
      </c>
      <c r="BD304" s="624">
        <v>41964</v>
      </c>
      <c r="BE304" s="355">
        <v>8.9969999999999994E-2</v>
      </c>
      <c r="BF304" s="624">
        <v>41969</v>
      </c>
      <c r="BG304" s="355">
        <v>1.6185000000000001E-2</v>
      </c>
      <c r="BH304" s="624">
        <v>41964</v>
      </c>
      <c r="BI304" s="355">
        <v>8.2542000000000004E-2</v>
      </c>
      <c r="BJ304" s="624">
        <v>41964</v>
      </c>
      <c r="BK304" s="355">
        <v>3.0504E-2</v>
      </c>
    </row>
    <row r="305" spans="3:63">
      <c r="C305" s="624"/>
      <c r="D305" s="355">
        <v>3.465E-2</v>
      </c>
      <c r="AV305" s="624">
        <v>41971</v>
      </c>
      <c r="AW305" s="355">
        <v>0.38979999999999998</v>
      </c>
      <c r="AX305" s="624">
        <v>41967</v>
      </c>
      <c r="AY305" s="355">
        <v>2.223E-2</v>
      </c>
      <c r="AZ305" s="624">
        <v>41967</v>
      </c>
      <c r="BA305" s="355">
        <v>1.03E-2</v>
      </c>
      <c r="BB305" s="624">
        <v>41967</v>
      </c>
      <c r="BC305" s="355">
        <v>0.29649999999999999</v>
      </c>
      <c r="BD305" s="624">
        <v>41967</v>
      </c>
      <c r="BE305" s="355">
        <v>8.9770000000000003E-2</v>
      </c>
      <c r="BF305" s="624">
        <v>41970</v>
      </c>
      <c r="BG305" s="355">
        <v>1.6168999999999999E-2</v>
      </c>
      <c r="BH305" s="624">
        <v>41967</v>
      </c>
      <c r="BI305" s="355">
        <v>8.2337999999999995E-2</v>
      </c>
      <c r="BJ305" s="624">
        <v>41967</v>
      </c>
      <c r="BK305" s="355">
        <v>3.0461999999999999E-2</v>
      </c>
    </row>
    <row r="306" spans="3:63">
      <c r="C306" s="624"/>
      <c r="D306" s="355">
        <v>3.4869999999999998E-2</v>
      </c>
      <c r="AV306" s="624">
        <v>41974</v>
      </c>
      <c r="AW306" s="355">
        <v>0.39119999999999999</v>
      </c>
      <c r="AX306" s="624">
        <v>41968</v>
      </c>
      <c r="AY306" s="355">
        <v>2.1610000000000001E-2</v>
      </c>
      <c r="AZ306" s="624">
        <v>41968</v>
      </c>
      <c r="BA306" s="355">
        <v>1.04E-2</v>
      </c>
      <c r="BB306" s="624">
        <v>41968</v>
      </c>
      <c r="BC306" s="355">
        <v>0.29870000000000002</v>
      </c>
      <c r="BD306" s="624">
        <v>41968</v>
      </c>
      <c r="BE306" s="355">
        <v>9.0050000000000005E-2</v>
      </c>
      <c r="BF306" s="624">
        <v>41971</v>
      </c>
      <c r="BG306" s="355">
        <v>1.6064999999999999E-2</v>
      </c>
      <c r="BH306" s="624">
        <v>41968</v>
      </c>
      <c r="BI306" s="355">
        <v>8.2304000000000002E-2</v>
      </c>
      <c r="BJ306" s="624">
        <v>41968</v>
      </c>
      <c r="BK306" s="355">
        <v>3.0504E-2</v>
      </c>
    </row>
    <row r="307" spans="3:63">
      <c r="C307" s="624"/>
      <c r="D307" s="355">
        <v>3.4770000000000002E-2</v>
      </c>
      <c r="AV307" s="624">
        <v>41975</v>
      </c>
      <c r="AW307" s="355">
        <v>0.3891</v>
      </c>
      <c r="AX307" s="624">
        <v>41969</v>
      </c>
      <c r="AY307" s="355">
        <v>2.1090000000000001E-2</v>
      </c>
      <c r="AZ307" s="624">
        <v>41969</v>
      </c>
      <c r="BA307" s="355">
        <v>1.04E-2</v>
      </c>
      <c r="BB307" s="624">
        <v>41969</v>
      </c>
      <c r="BC307" s="355">
        <v>0.29930000000000001</v>
      </c>
      <c r="BD307" s="624">
        <v>41969</v>
      </c>
      <c r="BE307" s="355">
        <v>9.06E-2</v>
      </c>
      <c r="BF307" s="624">
        <v>41974</v>
      </c>
      <c r="BG307" s="355">
        <v>1.6150000000000001E-2</v>
      </c>
      <c r="BH307" s="624">
        <v>41969</v>
      </c>
      <c r="BI307" s="355">
        <v>8.2197999999999993E-2</v>
      </c>
      <c r="BJ307" s="624">
        <v>41969</v>
      </c>
      <c r="BK307" s="355">
        <v>3.0526999999999999E-2</v>
      </c>
    </row>
    <row r="308" spans="3:63">
      <c r="C308" s="624"/>
      <c r="D308" s="355">
        <v>3.4720000000000001E-2</v>
      </c>
      <c r="AV308" s="624">
        <v>41976</v>
      </c>
      <c r="AW308" s="355">
        <v>0.39169999999999999</v>
      </c>
      <c r="AX308" s="624">
        <v>41970</v>
      </c>
      <c r="AY308" s="355">
        <v>2.0559999999999998E-2</v>
      </c>
      <c r="AZ308" s="624">
        <v>41970</v>
      </c>
      <c r="BA308" s="355">
        <v>1.03E-2</v>
      </c>
      <c r="BB308" s="624">
        <v>41970</v>
      </c>
      <c r="BC308" s="355">
        <v>0.2984</v>
      </c>
      <c r="BD308" s="624">
        <v>41970</v>
      </c>
      <c r="BE308" s="355">
        <v>9.0880000000000002E-2</v>
      </c>
      <c r="BF308" s="624">
        <v>41975</v>
      </c>
      <c r="BG308" s="355">
        <v>1.6173E-2</v>
      </c>
      <c r="BH308" s="624">
        <v>41970</v>
      </c>
      <c r="BI308" s="355">
        <v>8.2324999999999995E-2</v>
      </c>
      <c r="BJ308" s="624">
        <v>41970</v>
      </c>
      <c r="BK308" s="355">
        <v>3.0519000000000001E-2</v>
      </c>
    </row>
    <row r="309" spans="3:63">
      <c r="C309" s="624"/>
      <c r="D309" s="355">
        <v>3.4639999999999997E-2</v>
      </c>
      <c r="AV309" s="624">
        <v>41977</v>
      </c>
      <c r="AW309" s="355">
        <v>0.38600000000000001</v>
      </c>
      <c r="AX309" s="624">
        <v>41971</v>
      </c>
      <c r="AY309" s="355">
        <v>1.983E-2</v>
      </c>
      <c r="AZ309" s="624">
        <v>41971</v>
      </c>
      <c r="BA309" s="355">
        <v>1.03E-2</v>
      </c>
      <c r="BB309" s="624">
        <v>41971</v>
      </c>
      <c r="BC309" s="355">
        <v>0.29759999999999998</v>
      </c>
      <c r="BD309" s="624">
        <v>41971</v>
      </c>
      <c r="BE309" s="355">
        <v>8.9829999999999993E-2</v>
      </c>
      <c r="BF309" s="624">
        <v>41976</v>
      </c>
      <c r="BG309" s="355">
        <v>1.6143000000000001E-2</v>
      </c>
      <c r="BH309" s="624">
        <v>41971</v>
      </c>
      <c r="BI309" s="355">
        <v>8.1953999999999999E-2</v>
      </c>
      <c r="BJ309" s="624">
        <v>41971</v>
      </c>
      <c r="BK309" s="355">
        <v>3.0440999999999999E-2</v>
      </c>
    </row>
    <row r="310" spans="3:63">
      <c r="C310" s="624"/>
      <c r="D310" s="355">
        <v>3.4520000000000002E-2</v>
      </c>
      <c r="AV310" s="624">
        <v>41978</v>
      </c>
      <c r="AW310" s="355">
        <v>0.38619999999999999</v>
      </c>
      <c r="AX310" s="624">
        <v>41974</v>
      </c>
      <c r="AY310" s="355">
        <v>1.9539999999999998E-2</v>
      </c>
      <c r="AZ310" s="624">
        <v>41974</v>
      </c>
      <c r="BA310" s="355">
        <v>1.03E-2</v>
      </c>
      <c r="BB310" s="624">
        <v>41974</v>
      </c>
      <c r="BC310" s="355">
        <v>0.29849999999999999</v>
      </c>
      <c r="BD310" s="624">
        <v>41974</v>
      </c>
      <c r="BE310" s="355">
        <v>9.0109999999999996E-2</v>
      </c>
      <c r="BF310" s="624">
        <v>41977</v>
      </c>
      <c r="BG310" s="355">
        <v>1.6232E-2</v>
      </c>
      <c r="BH310" s="624">
        <v>41974</v>
      </c>
      <c r="BI310" s="355">
        <v>8.1466999999999998E-2</v>
      </c>
      <c r="BJ310" s="624">
        <v>41974</v>
      </c>
      <c r="BK310" s="355">
        <v>3.0499999999999999E-2</v>
      </c>
    </row>
    <row r="311" spans="3:63">
      <c r="C311" s="624"/>
      <c r="D311" s="355">
        <v>3.4599999999999999E-2</v>
      </c>
      <c r="AV311" s="624">
        <v>41981</v>
      </c>
      <c r="AW311" s="355">
        <v>0.3846</v>
      </c>
      <c r="AX311" s="624">
        <v>41975</v>
      </c>
      <c r="AY311" s="355">
        <v>1.856E-2</v>
      </c>
      <c r="AZ311" s="624">
        <v>41975</v>
      </c>
      <c r="BA311" s="355">
        <v>1.03E-2</v>
      </c>
      <c r="BB311" s="624">
        <v>41975</v>
      </c>
      <c r="BC311" s="355">
        <v>0.2974</v>
      </c>
      <c r="BD311" s="624">
        <v>41975</v>
      </c>
      <c r="BE311" s="355">
        <v>8.9660000000000004E-2</v>
      </c>
      <c r="BF311" s="624">
        <v>41978</v>
      </c>
      <c r="BG311" s="355">
        <v>1.6132000000000001E-2</v>
      </c>
      <c r="BH311" s="624">
        <v>41975</v>
      </c>
      <c r="BI311" s="355">
        <v>8.1500000000000003E-2</v>
      </c>
      <c r="BJ311" s="624">
        <v>41975</v>
      </c>
      <c r="BK311" s="355">
        <v>3.0414E-2</v>
      </c>
    </row>
    <row r="312" spans="3:63">
      <c r="C312" s="624"/>
      <c r="D312" s="355">
        <v>3.4610000000000002E-2</v>
      </c>
      <c r="AV312" s="624">
        <v>41982</v>
      </c>
      <c r="AW312" s="355">
        <v>0.38569999999999999</v>
      </c>
      <c r="AX312" s="624">
        <v>41976</v>
      </c>
      <c r="AY312" s="355">
        <v>1.8780000000000002E-2</v>
      </c>
      <c r="AZ312" s="624">
        <v>41976</v>
      </c>
      <c r="BA312" s="355">
        <v>1.0200000000000001E-2</v>
      </c>
      <c r="BB312" s="624">
        <v>41976</v>
      </c>
      <c r="BC312" s="355">
        <v>0.2964</v>
      </c>
      <c r="BD312" s="624">
        <v>41976</v>
      </c>
      <c r="BE312" s="355">
        <v>8.9599999999999999E-2</v>
      </c>
      <c r="BF312" s="624">
        <v>41981</v>
      </c>
      <c r="BG312" s="355">
        <v>1.6171000000000001E-2</v>
      </c>
      <c r="BH312" s="624">
        <v>41976</v>
      </c>
      <c r="BI312" s="355">
        <v>8.1254999999999994E-2</v>
      </c>
      <c r="BJ312" s="624">
        <v>41976</v>
      </c>
      <c r="BK312" s="355">
        <v>3.0418000000000001E-2</v>
      </c>
    </row>
    <row r="313" spans="3:63">
      <c r="C313" s="624"/>
      <c r="D313" s="355">
        <v>3.4500000000000003E-2</v>
      </c>
      <c r="AV313" s="624">
        <v>41983</v>
      </c>
      <c r="AW313" s="355">
        <v>0.38219999999999998</v>
      </c>
      <c r="AX313" s="624">
        <v>41977</v>
      </c>
      <c r="AY313" s="355">
        <v>1.839E-2</v>
      </c>
      <c r="AZ313" s="624">
        <v>41977</v>
      </c>
      <c r="BA313" s="355">
        <v>1.0200000000000001E-2</v>
      </c>
      <c r="BB313" s="624">
        <v>41977</v>
      </c>
      <c r="BC313" s="355">
        <v>0.29780000000000001</v>
      </c>
      <c r="BD313" s="624">
        <v>41977</v>
      </c>
      <c r="BE313" s="355">
        <v>8.9899999999999994E-2</v>
      </c>
      <c r="BF313" s="624">
        <v>41982</v>
      </c>
      <c r="BG313" s="355">
        <v>1.6115999999999998E-2</v>
      </c>
      <c r="BH313" s="624">
        <v>41977</v>
      </c>
      <c r="BI313" s="355">
        <v>8.1350000000000006E-2</v>
      </c>
      <c r="BJ313" s="624">
        <v>41977</v>
      </c>
      <c r="BK313" s="355">
        <v>3.0393E-2</v>
      </c>
    </row>
    <row r="314" spans="3:63">
      <c r="C314" s="624"/>
      <c r="D314" s="355">
        <v>3.4540000000000001E-2</v>
      </c>
      <c r="AV314" s="624">
        <v>41984</v>
      </c>
      <c r="AW314" s="355">
        <v>0.37740000000000001</v>
      </c>
      <c r="AX314" s="624">
        <v>41978</v>
      </c>
      <c r="AY314" s="355">
        <v>1.898E-2</v>
      </c>
      <c r="AZ314" s="624">
        <v>41978</v>
      </c>
      <c r="BA314" s="355">
        <v>1.01E-2</v>
      </c>
      <c r="BB314" s="624">
        <v>41978</v>
      </c>
      <c r="BC314" s="355">
        <v>0.2954</v>
      </c>
      <c r="BD314" s="624">
        <v>41978</v>
      </c>
      <c r="BE314" s="355">
        <v>8.9149999999999993E-2</v>
      </c>
      <c r="BF314" s="624">
        <v>41983</v>
      </c>
      <c r="BG314" s="355">
        <v>1.6064999999999999E-2</v>
      </c>
      <c r="BH314" s="624">
        <v>41978</v>
      </c>
      <c r="BI314" s="355">
        <v>8.0750000000000002E-2</v>
      </c>
      <c r="BJ314" s="624">
        <v>41978</v>
      </c>
      <c r="BK314" s="355">
        <v>3.0280000000000001E-2</v>
      </c>
    </row>
    <row r="315" spans="3:63">
      <c r="C315" s="624"/>
      <c r="D315" s="355">
        <v>3.4639999999999997E-2</v>
      </c>
      <c r="AV315" s="624">
        <v>41985</v>
      </c>
      <c r="AW315" s="355">
        <v>0.37669999999999998</v>
      </c>
      <c r="AX315" s="624">
        <v>41981</v>
      </c>
      <c r="AY315" s="355">
        <v>1.8610000000000002E-2</v>
      </c>
      <c r="AZ315" s="624">
        <v>41981</v>
      </c>
      <c r="BA315" s="355">
        <v>1.01E-2</v>
      </c>
      <c r="BB315" s="624">
        <v>41981</v>
      </c>
      <c r="BC315" s="355">
        <v>0.29599999999999999</v>
      </c>
      <c r="BD315" s="624">
        <v>41981</v>
      </c>
      <c r="BE315" s="355">
        <v>8.9889999999999998E-2</v>
      </c>
      <c r="BF315" s="624">
        <v>41984</v>
      </c>
      <c r="BG315" s="355">
        <v>1.5990999999999998E-2</v>
      </c>
      <c r="BH315" s="624">
        <v>41981</v>
      </c>
      <c r="BI315" s="355">
        <v>8.0823999999999993E-2</v>
      </c>
      <c r="BJ315" s="624">
        <v>41981</v>
      </c>
      <c r="BK315" s="355">
        <v>3.0296E-2</v>
      </c>
    </row>
    <row r="316" spans="3:63">
      <c r="C316" s="624"/>
      <c r="D316" s="355">
        <v>3.4810000000000001E-2</v>
      </c>
      <c r="AV316" s="624">
        <v>41988</v>
      </c>
      <c r="AW316" s="355">
        <v>0.37109999999999999</v>
      </c>
      <c r="AX316" s="624">
        <v>41982</v>
      </c>
      <c r="AY316" s="355">
        <v>1.8499999999999999E-2</v>
      </c>
      <c r="AZ316" s="624">
        <v>41982</v>
      </c>
      <c r="BA316" s="355">
        <v>1.0200000000000001E-2</v>
      </c>
      <c r="BB316" s="624">
        <v>41982</v>
      </c>
      <c r="BC316" s="355">
        <v>0.29759999999999998</v>
      </c>
      <c r="BD316" s="624">
        <v>41982</v>
      </c>
      <c r="BE316" s="355">
        <v>9.0509999999999993E-2</v>
      </c>
      <c r="BF316" s="624">
        <v>41985</v>
      </c>
      <c r="BG316" s="355">
        <v>1.5966000000000001E-2</v>
      </c>
      <c r="BH316" s="624">
        <v>41982</v>
      </c>
      <c r="BI316" s="355">
        <v>8.0775E-2</v>
      </c>
      <c r="BJ316" s="624">
        <v>41982</v>
      </c>
      <c r="BK316" s="355">
        <v>3.0457000000000001E-2</v>
      </c>
    </row>
    <row r="317" spans="3:63">
      <c r="C317" s="624"/>
      <c r="D317" s="355">
        <v>3.4819999999999997E-2</v>
      </c>
      <c r="AV317" s="624">
        <v>41989</v>
      </c>
      <c r="AW317" s="355">
        <v>0.36530000000000001</v>
      </c>
      <c r="AX317" s="624">
        <v>41983</v>
      </c>
      <c r="AY317" s="355">
        <v>1.822E-2</v>
      </c>
      <c r="AZ317" s="624">
        <v>41983</v>
      </c>
      <c r="BA317" s="355">
        <v>1.0200000000000001E-2</v>
      </c>
      <c r="BB317" s="624">
        <v>41983</v>
      </c>
      <c r="BC317" s="355">
        <v>0.29799999999999999</v>
      </c>
      <c r="BD317" s="624">
        <v>41983</v>
      </c>
      <c r="BE317" s="355">
        <v>9.0749999999999997E-2</v>
      </c>
      <c r="BF317" s="624">
        <v>41988</v>
      </c>
      <c r="BG317" s="355">
        <v>1.5723000000000001E-2</v>
      </c>
      <c r="BH317" s="624">
        <v>41983</v>
      </c>
      <c r="BI317" s="355">
        <v>8.1049999999999997E-2</v>
      </c>
      <c r="BJ317" s="624">
        <v>41983</v>
      </c>
      <c r="BK317" s="355">
        <v>3.0509000000000001E-2</v>
      </c>
    </row>
    <row r="318" spans="3:63">
      <c r="C318" s="624"/>
      <c r="D318" s="355">
        <v>3.4880000000000001E-2</v>
      </c>
      <c r="AV318" s="624">
        <v>41990</v>
      </c>
      <c r="AW318" s="355">
        <v>0.36919999999999997</v>
      </c>
      <c r="AX318" s="624">
        <v>41984</v>
      </c>
      <c r="AY318" s="355">
        <v>1.772E-2</v>
      </c>
      <c r="AZ318" s="624">
        <v>41984</v>
      </c>
      <c r="BA318" s="355">
        <v>1.0200000000000001E-2</v>
      </c>
      <c r="BB318" s="624">
        <v>41984</v>
      </c>
      <c r="BC318" s="355">
        <v>0.2974</v>
      </c>
      <c r="BD318" s="624">
        <v>41984</v>
      </c>
      <c r="BE318" s="355">
        <v>9.0670000000000001E-2</v>
      </c>
      <c r="BF318" s="624">
        <v>41989</v>
      </c>
      <c r="BG318" s="355">
        <v>1.567E-2</v>
      </c>
      <c r="BH318" s="624">
        <v>41984</v>
      </c>
      <c r="BI318" s="355">
        <v>8.0321000000000004E-2</v>
      </c>
      <c r="BJ318" s="624">
        <v>41984</v>
      </c>
      <c r="BK318" s="355">
        <v>3.0464999999999999E-2</v>
      </c>
    </row>
    <row r="319" spans="3:63">
      <c r="C319" s="624"/>
      <c r="D319" s="355">
        <v>3.4840000000000003E-2</v>
      </c>
      <c r="AV319" s="624">
        <v>41991</v>
      </c>
      <c r="AW319" s="355">
        <v>0.3765</v>
      </c>
      <c r="AX319" s="624">
        <v>41985</v>
      </c>
      <c r="AY319" s="355">
        <v>1.7180000000000001E-2</v>
      </c>
      <c r="AZ319" s="624">
        <v>41985</v>
      </c>
      <c r="BA319" s="355">
        <v>1.0200000000000001E-2</v>
      </c>
      <c r="BB319" s="624">
        <v>41985</v>
      </c>
      <c r="BC319" s="355">
        <v>0.29780000000000001</v>
      </c>
      <c r="BD319" s="624">
        <v>41985</v>
      </c>
      <c r="BE319" s="355">
        <v>9.0550000000000005E-2</v>
      </c>
      <c r="BF319" s="624">
        <v>41990</v>
      </c>
      <c r="BG319" s="355">
        <v>1.5788E-2</v>
      </c>
      <c r="BH319" s="624">
        <v>41985</v>
      </c>
      <c r="BI319" s="355">
        <v>7.9334000000000002E-2</v>
      </c>
      <c r="BJ319" s="624">
        <v>41985</v>
      </c>
      <c r="BK319" s="355">
        <v>3.0401000000000001E-2</v>
      </c>
    </row>
    <row r="320" spans="3:63">
      <c r="C320" s="624"/>
      <c r="D320" s="355">
        <v>3.4909999999999997E-2</v>
      </c>
      <c r="AV320" s="624">
        <v>41992</v>
      </c>
      <c r="AW320" s="355">
        <v>0.376</v>
      </c>
      <c r="AX320" s="624">
        <v>41988</v>
      </c>
      <c r="AY320" s="355">
        <v>1.528E-2</v>
      </c>
      <c r="AZ320" s="624">
        <v>41988</v>
      </c>
      <c r="BA320" s="355">
        <v>1.0200000000000001E-2</v>
      </c>
      <c r="BB320" s="624">
        <v>41988</v>
      </c>
      <c r="BC320" s="355">
        <v>0.29709999999999998</v>
      </c>
      <c r="BD320" s="624">
        <v>41988</v>
      </c>
      <c r="BE320" s="355">
        <v>9.1109999999999997E-2</v>
      </c>
      <c r="BF320" s="624">
        <v>41991</v>
      </c>
      <c r="BG320" s="355">
        <v>1.5872000000000001E-2</v>
      </c>
      <c r="BH320" s="624">
        <v>41988</v>
      </c>
      <c r="BI320" s="355">
        <v>7.7280000000000001E-2</v>
      </c>
      <c r="BJ320" s="624">
        <v>41988</v>
      </c>
      <c r="BK320" s="355">
        <v>3.0327E-2</v>
      </c>
    </row>
    <row r="321" spans="3:63">
      <c r="C321" s="624"/>
      <c r="D321" s="355">
        <v>3.4909999999999997E-2</v>
      </c>
      <c r="AV321" s="624">
        <v>41995</v>
      </c>
      <c r="AW321" s="355">
        <v>0.37530000000000002</v>
      </c>
      <c r="AX321" s="624">
        <v>41989</v>
      </c>
      <c r="AY321" s="355">
        <v>1.465E-2</v>
      </c>
      <c r="AZ321" s="624">
        <v>41989</v>
      </c>
      <c r="BA321" s="355">
        <v>1.0200000000000001E-2</v>
      </c>
      <c r="BB321" s="624">
        <v>41989</v>
      </c>
      <c r="BC321" s="355">
        <v>0.29680000000000001</v>
      </c>
      <c r="BD321" s="624">
        <v>41989</v>
      </c>
      <c r="BE321" s="355">
        <v>9.2509999999999995E-2</v>
      </c>
      <c r="BF321" s="624">
        <v>41992</v>
      </c>
      <c r="BG321" s="355">
        <v>1.5782999999999998E-2</v>
      </c>
      <c r="BH321" s="624">
        <v>41989</v>
      </c>
      <c r="BI321" s="355">
        <v>7.8548000000000007E-2</v>
      </c>
      <c r="BJ321" s="624">
        <v>41989</v>
      </c>
      <c r="BK321" s="355">
        <v>3.0322000000000002E-2</v>
      </c>
    </row>
    <row r="322" spans="3:63">
      <c r="C322" s="624"/>
      <c r="D322" s="355">
        <v>3.4750000000000003E-2</v>
      </c>
      <c r="AV322" s="624">
        <v>41996</v>
      </c>
      <c r="AW322" s="355">
        <v>0.36959999999999998</v>
      </c>
      <c r="AX322" s="624">
        <v>41990</v>
      </c>
      <c r="AY322" s="355">
        <v>1.651E-2</v>
      </c>
      <c r="AZ322" s="624">
        <v>41990</v>
      </c>
      <c r="BA322" s="355">
        <v>1.01E-2</v>
      </c>
      <c r="BB322" s="624">
        <v>41990</v>
      </c>
      <c r="BC322" s="355">
        <v>0.29160000000000003</v>
      </c>
      <c r="BD322" s="624">
        <v>41990</v>
      </c>
      <c r="BE322" s="355">
        <v>9.1090000000000004E-2</v>
      </c>
      <c r="BF322" s="624">
        <v>41995</v>
      </c>
      <c r="BG322" s="355">
        <v>1.5806000000000001E-2</v>
      </c>
      <c r="BH322" s="624">
        <v>41990</v>
      </c>
      <c r="BI322" s="355">
        <v>7.8601000000000004E-2</v>
      </c>
      <c r="BJ322" s="624">
        <v>41990</v>
      </c>
      <c r="BK322" s="355">
        <v>3.0367999999999999E-2</v>
      </c>
    </row>
    <row r="323" spans="3:63">
      <c r="C323" s="624"/>
      <c r="D323" s="355">
        <v>3.4709999999999998E-2</v>
      </c>
      <c r="AV323" s="624">
        <v>41997</v>
      </c>
      <c r="AW323" s="355">
        <v>0.37109999999999999</v>
      </c>
      <c r="AX323" s="624">
        <v>41991</v>
      </c>
      <c r="AY323" s="355">
        <v>1.6140000000000002E-2</v>
      </c>
      <c r="AZ323" s="624">
        <v>41991</v>
      </c>
      <c r="BA323" s="355">
        <v>0.01</v>
      </c>
      <c r="BB323" s="624">
        <v>41991</v>
      </c>
      <c r="BC323" s="355">
        <v>0.28910000000000002</v>
      </c>
      <c r="BD323" s="624">
        <v>41991</v>
      </c>
      <c r="BE323" s="355">
        <v>9.0969999999999995E-2</v>
      </c>
      <c r="BF323" s="624">
        <v>41996</v>
      </c>
      <c r="BG323" s="355">
        <v>1.5762000000000002E-2</v>
      </c>
      <c r="BH323" s="624">
        <v>41991</v>
      </c>
      <c r="BI323" s="355">
        <v>8.0007999999999996E-2</v>
      </c>
      <c r="BJ323" s="624">
        <v>41991</v>
      </c>
      <c r="BK323" s="355">
        <v>3.0384999999999999E-2</v>
      </c>
    </row>
    <row r="324" spans="3:63">
      <c r="C324" s="624"/>
      <c r="D324" s="355">
        <v>3.474E-2</v>
      </c>
      <c r="AV324" s="624">
        <v>41999</v>
      </c>
      <c r="AW324" s="355">
        <v>0.37469999999999998</v>
      </c>
      <c r="AX324" s="624">
        <v>41992</v>
      </c>
      <c r="AY324" s="355">
        <v>1.6799999999999999E-2</v>
      </c>
      <c r="AZ324" s="624">
        <v>41992</v>
      </c>
      <c r="BA324" s="355">
        <v>0.01</v>
      </c>
      <c r="BB324" s="624">
        <v>41992</v>
      </c>
      <c r="BC324" s="355">
        <v>0.2868</v>
      </c>
      <c r="BD324" s="624">
        <v>41992</v>
      </c>
      <c r="BE324" s="355">
        <v>9.0920000000000001E-2</v>
      </c>
      <c r="BF324" s="624">
        <v>41997</v>
      </c>
      <c r="BG324" s="355">
        <v>1.5741999999999999E-2</v>
      </c>
      <c r="BH324" s="624">
        <v>41992</v>
      </c>
      <c r="BI324" s="355">
        <v>8.0633999999999997E-2</v>
      </c>
      <c r="BJ324" s="624">
        <v>41992</v>
      </c>
      <c r="BK324" s="355">
        <v>3.0429000000000001E-2</v>
      </c>
    </row>
    <row r="325" spans="3:63">
      <c r="C325" s="624"/>
      <c r="D325" s="355">
        <v>3.4759999999999999E-2</v>
      </c>
      <c r="AV325" s="624">
        <v>42002</v>
      </c>
      <c r="AW325" s="355">
        <v>0.37</v>
      </c>
      <c r="AX325" s="624">
        <v>41995</v>
      </c>
      <c r="AY325" s="355">
        <v>1.7919999999999998E-2</v>
      </c>
      <c r="AZ325" s="624">
        <v>41995</v>
      </c>
      <c r="BA325" s="355">
        <v>1.01E-2</v>
      </c>
      <c r="BB325" s="624">
        <v>41995</v>
      </c>
      <c r="BC325" s="355">
        <v>0.28699999999999998</v>
      </c>
      <c r="BD325" s="624">
        <v>41995</v>
      </c>
      <c r="BE325" s="355">
        <v>9.0899999999999995E-2</v>
      </c>
      <c r="BF325" s="624">
        <v>41999</v>
      </c>
      <c r="BG325" s="355">
        <v>1.5708E-2</v>
      </c>
      <c r="BH325" s="624">
        <v>41995</v>
      </c>
      <c r="BI325" s="355">
        <v>8.0172999999999994E-2</v>
      </c>
      <c r="BJ325" s="624">
        <v>41995</v>
      </c>
      <c r="BK325" s="355">
        <v>3.0393E-2</v>
      </c>
    </row>
    <row r="326" spans="3:63">
      <c r="C326" s="624"/>
      <c r="D326" s="355">
        <v>3.474E-2</v>
      </c>
      <c r="AV326" s="624">
        <v>42003</v>
      </c>
      <c r="AW326" s="355">
        <v>0.37780000000000002</v>
      </c>
      <c r="AX326" s="624">
        <v>41996</v>
      </c>
      <c r="AY326" s="355">
        <v>1.83E-2</v>
      </c>
      <c r="AZ326" s="624">
        <v>41996</v>
      </c>
      <c r="BA326" s="355">
        <v>0.01</v>
      </c>
      <c r="BB326" s="624">
        <v>41996</v>
      </c>
      <c r="BC326" s="355">
        <v>0.28299999999999997</v>
      </c>
      <c r="BD326" s="624">
        <v>41996</v>
      </c>
      <c r="BE326" s="355">
        <v>9.0359999999999996E-2</v>
      </c>
      <c r="BF326" s="624">
        <v>42002</v>
      </c>
      <c r="BG326" s="355">
        <v>1.5706999999999999E-2</v>
      </c>
      <c r="BH326" s="624">
        <v>41996</v>
      </c>
      <c r="BI326" s="355">
        <v>7.9751000000000002E-2</v>
      </c>
      <c r="BJ326" s="624">
        <v>41996</v>
      </c>
      <c r="BK326" s="355">
        <v>3.0391000000000001E-2</v>
      </c>
    </row>
    <row r="327" spans="3:63">
      <c r="C327" s="624"/>
      <c r="D327" s="355">
        <v>3.4689999999999999E-2</v>
      </c>
      <c r="AV327" s="624">
        <v>42004</v>
      </c>
      <c r="AW327" s="355">
        <v>0.37730000000000002</v>
      </c>
      <c r="AX327" s="624">
        <v>41997</v>
      </c>
      <c r="AY327" s="355">
        <v>1.8759999999999999E-2</v>
      </c>
      <c r="AZ327" s="624">
        <v>41997</v>
      </c>
      <c r="BA327" s="355">
        <v>0.01</v>
      </c>
      <c r="BB327" s="624">
        <v>41997</v>
      </c>
      <c r="BC327" s="355">
        <v>0.28079999999999999</v>
      </c>
      <c r="BD327" s="624">
        <v>41997</v>
      </c>
      <c r="BE327" s="355">
        <v>9.0499999999999997E-2</v>
      </c>
      <c r="BF327" s="624">
        <v>42003</v>
      </c>
      <c r="BG327" s="355">
        <v>1.5789000000000001E-2</v>
      </c>
      <c r="BH327" s="624">
        <v>41997</v>
      </c>
      <c r="BI327" s="355">
        <v>8.0366000000000007E-2</v>
      </c>
      <c r="BJ327" s="624">
        <v>41997</v>
      </c>
      <c r="BK327" s="355">
        <v>3.0412000000000002E-2</v>
      </c>
    </row>
    <row r="328" spans="3:63">
      <c r="C328" s="624"/>
      <c r="D328" s="355">
        <v>3.4700000000000002E-2</v>
      </c>
      <c r="AV328" s="624">
        <v>42005</v>
      </c>
      <c r="AW328" s="355">
        <v>0.37780000000000002</v>
      </c>
      <c r="AX328" s="624">
        <v>41998</v>
      </c>
      <c r="AY328" s="355">
        <v>1.8890000000000001E-2</v>
      </c>
      <c r="AZ328" s="624">
        <v>41998</v>
      </c>
      <c r="BA328" s="355">
        <v>1.01E-2</v>
      </c>
      <c r="BB328" s="624">
        <v>41998</v>
      </c>
      <c r="BC328" s="355">
        <v>0.28170000000000001</v>
      </c>
      <c r="BD328" s="624">
        <v>41998</v>
      </c>
      <c r="BE328" s="355">
        <v>9.0759999999999993E-2</v>
      </c>
      <c r="BF328" s="624">
        <v>42004</v>
      </c>
      <c r="BG328" s="355">
        <v>1.5813000000000001E-2</v>
      </c>
      <c r="BH328" s="624">
        <v>41998</v>
      </c>
      <c r="BI328" s="355">
        <v>8.0191999999999999E-2</v>
      </c>
      <c r="BJ328" s="624">
        <v>41998</v>
      </c>
      <c r="BK328" s="355">
        <v>3.0429999999999999E-2</v>
      </c>
    </row>
    <row r="329" spans="3:63">
      <c r="C329" s="624"/>
      <c r="D329" s="355">
        <v>3.4720000000000001E-2</v>
      </c>
      <c r="AV329" s="624">
        <v>42006</v>
      </c>
      <c r="AW329" s="355">
        <v>0.371</v>
      </c>
      <c r="AX329" s="624">
        <v>41999</v>
      </c>
      <c r="AY329" s="355">
        <v>1.8519999999999998E-2</v>
      </c>
      <c r="AZ329" s="624">
        <v>41999</v>
      </c>
      <c r="BA329" s="355">
        <v>1.01E-2</v>
      </c>
      <c r="BB329" s="624">
        <v>41999</v>
      </c>
      <c r="BC329" s="355">
        <v>0.2777</v>
      </c>
      <c r="BD329" s="624">
        <v>41999</v>
      </c>
      <c r="BE329" s="355">
        <v>9.0410000000000004E-2</v>
      </c>
      <c r="BF329" s="624">
        <v>42005</v>
      </c>
      <c r="BG329" s="355">
        <v>1.583E-2</v>
      </c>
      <c r="BH329" s="624">
        <v>41999</v>
      </c>
      <c r="BI329" s="355">
        <v>8.0436999999999995E-2</v>
      </c>
      <c r="BJ329" s="624">
        <v>41999</v>
      </c>
      <c r="BK329" s="355">
        <v>3.0388999999999999E-2</v>
      </c>
    </row>
    <row r="330" spans="3:63">
      <c r="C330" s="624"/>
      <c r="D330" s="355">
        <v>3.4759999999999999E-2</v>
      </c>
      <c r="AV330" s="624">
        <v>42009</v>
      </c>
      <c r="AW330" s="355">
        <v>0.3669</v>
      </c>
      <c r="AX330" s="624">
        <v>42002</v>
      </c>
      <c r="AY330" s="355">
        <v>1.6930000000000001E-2</v>
      </c>
      <c r="AZ330" s="624">
        <v>42002</v>
      </c>
      <c r="BA330" s="355">
        <v>0.01</v>
      </c>
      <c r="BB330" s="624">
        <v>42002</v>
      </c>
      <c r="BC330" s="355">
        <v>0.28189999999999998</v>
      </c>
      <c r="BD330" s="624">
        <v>42002</v>
      </c>
      <c r="BE330" s="355">
        <v>9.0880000000000002E-2</v>
      </c>
      <c r="BF330" s="624">
        <v>42006</v>
      </c>
      <c r="BG330" s="355">
        <v>1.5817000000000001E-2</v>
      </c>
      <c r="BH330" s="624">
        <v>42002</v>
      </c>
      <c r="BI330" s="355">
        <v>8.0463000000000007E-2</v>
      </c>
      <c r="BJ330" s="624">
        <v>42002</v>
      </c>
      <c r="BK330" s="355">
        <v>3.0348E-2</v>
      </c>
    </row>
    <row r="331" spans="3:63">
      <c r="C331" s="624"/>
      <c r="D331" s="355">
        <v>3.4790000000000001E-2</v>
      </c>
      <c r="AV331" s="624">
        <v>42010</v>
      </c>
      <c r="AW331" s="355">
        <v>0.37069999999999997</v>
      </c>
      <c r="AX331" s="624">
        <v>42003</v>
      </c>
      <c r="AY331" s="355">
        <v>1.8030000000000001E-2</v>
      </c>
      <c r="AZ331" s="624">
        <v>42003</v>
      </c>
      <c r="BA331" s="355">
        <v>1.01E-2</v>
      </c>
      <c r="BB331" s="624">
        <v>42003</v>
      </c>
      <c r="BC331" s="355">
        <v>0.28420000000000001</v>
      </c>
      <c r="BD331" s="624">
        <v>42003</v>
      </c>
      <c r="BE331" s="355">
        <v>9.1170000000000001E-2</v>
      </c>
      <c r="BF331" s="624">
        <v>42009</v>
      </c>
      <c r="BG331" s="355">
        <v>1.5755000000000002E-2</v>
      </c>
      <c r="BH331" s="624">
        <v>42003</v>
      </c>
      <c r="BI331" s="355">
        <v>8.0561999999999995E-2</v>
      </c>
      <c r="BJ331" s="624">
        <v>42003</v>
      </c>
      <c r="BK331" s="355">
        <v>3.0426999999999999E-2</v>
      </c>
    </row>
    <row r="332" spans="3:63">
      <c r="C332" s="624"/>
      <c r="D332" s="355">
        <v>3.4790000000000001E-2</v>
      </c>
      <c r="AV332" s="624">
        <v>42011</v>
      </c>
      <c r="AW332" s="355">
        <v>0.37119999999999997</v>
      </c>
      <c r="AX332" s="624">
        <v>42004</v>
      </c>
      <c r="AY332" s="355">
        <v>1.7229999999999999E-2</v>
      </c>
      <c r="AZ332" s="624">
        <v>42004</v>
      </c>
      <c r="BA332" s="355">
        <v>0.01</v>
      </c>
      <c r="BB332" s="624">
        <v>42004</v>
      </c>
      <c r="BC332" s="355">
        <v>0.2823</v>
      </c>
      <c r="BD332" s="624">
        <v>42004</v>
      </c>
      <c r="BE332" s="355">
        <v>9.1410000000000005E-2</v>
      </c>
      <c r="BF332" s="624">
        <v>42010</v>
      </c>
      <c r="BG332" s="355">
        <v>1.5758999999999999E-2</v>
      </c>
      <c r="BH332" s="624">
        <v>42004</v>
      </c>
      <c r="BI332" s="355">
        <v>8.0421000000000006E-2</v>
      </c>
      <c r="BJ332" s="624">
        <v>42004</v>
      </c>
      <c r="BK332" s="355">
        <v>3.0391000000000001E-2</v>
      </c>
    </row>
    <row r="333" spans="3:63">
      <c r="C333" s="624"/>
      <c r="D333" s="355">
        <v>3.4790000000000001E-2</v>
      </c>
      <c r="AV333" s="624">
        <v>42012</v>
      </c>
      <c r="AW333" s="355">
        <v>0.37459999999999999</v>
      </c>
      <c r="AX333" s="624">
        <v>42005</v>
      </c>
      <c r="AY333" s="355">
        <v>1.7229999999999999E-2</v>
      </c>
      <c r="AZ333" s="624">
        <v>42005</v>
      </c>
      <c r="BA333" s="355">
        <v>0.01</v>
      </c>
      <c r="BB333" s="624">
        <v>42005</v>
      </c>
      <c r="BC333" s="355">
        <v>0.28249999999999997</v>
      </c>
      <c r="BD333" s="624">
        <v>42005</v>
      </c>
      <c r="BE333" s="355">
        <v>9.1469999999999996E-2</v>
      </c>
      <c r="BF333" s="624">
        <v>42011</v>
      </c>
      <c r="BG333" s="355">
        <v>1.5833E-2</v>
      </c>
      <c r="BH333" s="624">
        <v>42005</v>
      </c>
      <c r="BI333" s="355">
        <v>8.0411999999999997E-2</v>
      </c>
      <c r="BJ333" s="624">
        <v>42005</v>
      </c>
      <c r="BK333" s="355">
        <v>3.0379E-2</v>
      </c>
    </row>
    <row r="334" spans="3:63">
      <c r="C334" s="624"/>
      <c r="D334" s="355">
        <v>3.4869999999999998E-2</v>
      </c>
      <c r="AV334" s="624">
        <v>42013</v>
      </c>
      <c r="AW334" s="355">
        <v>0.37919999999999998</v>
      </c>
      <c r="AX334" s="624">
        <v>42006</v>
      </c>
      <c r="AY334" s="355">
        <v>1.6969999999999999E-2</v>
      </c>
      <c r="AZ334" s="624">
        <v>42006</v>
      </c>
      <c r="BA334" s="355">
        <v>9.9000000000000008E-3</v>
      </c>
      <c r="BB334" s="624">
        <v>42006</v>
      </c>
      <c r="BC334" s="355">
        <v>0.27879999999999999</v>
      </c>
      <c r="BD334" s="624">
        <v>42006</v>
      </c>
      <c r="BE334" s="355">
        <v>9.0319999999999998E-2</v>
      </c>
      <c r="BF334" s="624">
        <v>42012</v>
      </c>
      <c r="BG334" s="355">
        <v>1.6007E-2</v>
      </c>
      <c r="BH334" s="624">
        <v>42006</v>
      </c>
      <c r="BI334" s="355">
        <v>7.9834000000000002E-2</v>
      </c>
      <c r="BJ334" s="624">
        <v>42006</v>
      </c>
      <c r="BK334" s="355">
        <v>3.0339999999999999E-2</v>
      </c>
    </row>
    <row r="335" spans="3:63">
      <c r="C335" s="624"/>
      <c r="D335" s="355">
        <v>3.4869999999999998E-2</v>
      </c>
      <c r="AV335" s="624">
        <v>42016</v>
      </c>
      <c r="AW335" s="355">
        <v>0.37509999999999999</v>
      </c>
      <c r="AX335" s="624">
        <v>42009</v>
      </c>
      <c r="AY335" s="355">
        <v>1.652E-2</v>
      </c>
      <c r="AZ335" s="624">
        <v>42009</v>
      </c>
      <c r="BA335" s="355">
        <v>9.7999999999999997E-3</v>
      </c>
      <c r="BB335" s="624">
        <v>42009</v>
      </c>
      <c r="BC335" s="355">
        <v>0.2782</v>
      </c>
      <c r="BD335" s="624">
        <v>42009</v>
      </c>
      <c r="BE335" s="355">
        <v>9.01E-2</v>
      </c>
      <c r="BF335" s="624">
        <v>42013</v>
      </c>
      <c r="BG335" s="355">
        <v>1.6108999999999998E-2</v>
      </c>
      <c r="BH335" s="624">
        <v>42009</v>
      </c>
      <c r="BI335" s="355">
        <v>7.9228999999999994E-2</v>
      </c>
      <c r="BJ335" s="624">
        <v>42009</v>
      </c>
      <c r="BK335" s="355">
        <v>3.0332000000000001E-2</v>
      </c>
    </row>
    <row r="336" spans="3:63">
      <c r="C336" s="624"/>
      <c r="D336" s="355">
        <v>3.4880000000000001E-2</v>
      </c>
      <c r="AV336" s="624">
        <v>42017</v>
      </c>
      <c r="AW336" s="355">
        <v>0.37859999999999999</v>
      </c>
      <c r="AX336" s="624">
        <v>42010</v>
      </c>
      <c r="AY336" s="355">
        <v>1.584E-2</v>
      </c>
      <c r="AZ336" s="624">
        <v>42010</v>
      </c>
      <c r="BA336" s="355">
        <v>9.7000000000000003E-3</v>
      </c>
      <c r="BB336" s="624">
        <v>42010</v>
      </c>
      <c r="BC336" s="355">
        <v>0.27529999999999999</v>
      </c>
      <c r="BD336" s="624">
        <v>42010</v>
      </c>
      <c r="BE336" s="355">
        <v>9.0980000000000005E-2</v>
      </c>
      <c r="BF336" s="624">
        <v>42016</v>
      </c>
      <c r="BG336" s="355">
        <v>1.6111E-2</v>
      </c>
      <c r="BH336" s="624">
        <v>42010</v>
      </c>
      <c r="BI336" s="355">
        <v>7.9036999999999996E-2</v>
      </c>
      <c r="BJ336" s="624">
        <v>42010</v>
      </c>
      <c r="BK336" s="355">
        <v>3.0425000000000001E-2</v>
      </c>
    </row>
    <row r="337" spans="3:63">
      <c r="C337" s="624"/>
      <c r="D337" s="355">
        <v>3.508E-2</v>
      </c>
      <c r="AV337" s="624">
        <v>42018</v>
      </c>
      <c r="AW337" s="355">
        <v>0.38229999999999997</v>
      </c>
      <c r="AX337" s="624">
        <v>42011</v>
      </c>
      <c r="AY337" s="355">
        <v>1.5939999999999999E-2</v>
      </c>
      <c r="AZ337" s="624">
        <v>42011</v>
      </c>
      <c r="BA337" s="355">
        <v>9.7000000000000003E-3</v>
      </c>
      <c r="BB337" s="624">
        <v>42011</v>
      </c>
      <c r="BC337" s="355">
        <v>0.2757</v>
      </c>
      <c r="BD337" s="624">
        <v>42011</v>
      </c>
      <c r="BE337" s="355">
        <v>9.1020000000000004E-2</v>
      </c>
      <c r="BF337" s="624">
        <v>42017</v>
      </c>
      <c r="BG337" s="355">
        <v>1.6136000000000001E-2</v>
      </c>
      <c r="BH337" s="624">
        <v>42011</v>
      </c>
      <c r="BI337" s="355">
        <v>7.8864000000000004E-2</v>
      </c>
      <c r="BJ337" s="624">
        <v>42011</v>
      </c>
      <c r="BK337" s="355">
        <v>3.0432000000000001E-2</v>
      </c>
    </row>
    <row r="338" spans="3:63">
      <c r="C338" s="624"/>
      <c r="D338" s="355">
        <v>3.517E-2</v>
      </c>
      <c r="AV338" s="624">
        <v>42019</v>
      </c>
      <c r="AW338" s="355">
        <v>0.37909999999999999</v>
      </c>
      <c r="AX338" s="624">
        <v>42012</v>
      </c>
      <c r="AY338" s="355">
        <v>1.661E-2</v>
      </c>
      <c r="AZ338" s="624">
        <v>42012</v>
      </c>
      <c r="BA338" s="355">
        <v>9.5999999999999992E-3</v>
      </c>
      <c r="BB338" s="624">
        <v>42012</v>
      </c>
      <c r="BC338" s="355">
        <v>0.27539999999999998</v>
      </c>
      <c r="BD338" s="624">
        <v>42012</v>
      </c>
      <c r="BE338" s="355">
        <v>9.128E-2</v>
      </c>
      <c r="BF338" s="624">
        <v>42018</v>
      </c>
      <c r="BG338" s="355">
        <v>1.6081999999999999E-2</v>
      </c>
      <c r="BH338" s="624">
        <v>42012</v>
      </c>
      <c r="BI338" s="355">
        <v>7.8958E-2</v>
      </c>
      <c r="BJ338" s="624">
        <v>42012</v>
      </c>
      <c r="BK338" s="355">
        <v>3.0425000000000001E-2</v>
      </c>
    </row>
    <row r="339" spans="3:63">
      <c r="C339" s="624"/>
      <c r="D339" s="355">
        <v>3.508E-2</v>
      </c>
      <c r="AV339" s="624">
        <v>42020</v>
      </c>
      <c r="AW339" s="355">
        <v>0.38150000000000001</v>
      </c>
      <c r="AX339" s="624">
        <v>42013</v>
      </c>
      <c r="AY339" s="355">
        <v>1.6140000000000002E-2</v>
      </c>
      <c r="AZ339" s="624">
        <v>42013</v>
      </c>
      <c r="BA339" s="355">
        <v>9.5999999999999992E-3</v>
      </c>
      <c r="BB339" s="624">
        <v>42013</v>
      </c>
      <c r="BC339" s="355">
        <v>0.27760000000000001</v>
      </c>
      <c r="BD339" s="624">
        <v>42013</v>
      </c>
      <c r="BE339" s="355">
        <v>9.214E-2</v>
      </c>
      <c r="BF339" s="624">
        <v>42019</v>
      </c>
      <c r="BG339" s="355">
        <v>1.6149E-2</v>
      </c>
      <c r="BH339" s="624">
        <v>42013</v>
      </c>
      <c r="BI339" s="355">
        <v>7.9468999999999998E-2</v>
      </c>
      <c r="BJ339" s="624">
        <v>42013</v>
      </c>
      <c r="BK339" s="355">
        <v>3.0414E-2</v>
      </c>
    </row>
    <row r="340" spans="3:63">
      <c r="C340" s="624"/>
      <c r="D340" s="355">
        <v>3.5200000000000002E-2</v>
      </c>
      <c r="AV340" s="624">
        <v>42023</v>
      </c>
      <c r="AW340" s="355">
        <v>0.377</v>
      </c>
      <c r="AX340" s="624">
        <v>42016</v>
      </c>
      <c r="AY340" s="355">
        <v>1.584E-2</v>
      </c>
      <c r="AZ340" s="624">
        <v>42016</v>
      </c>
      <c r="BA340" s="355">
        <v>9.5999999999999992E-3</v>
      </c>
      <c r="BB340" s="624">
        <v>42016</v>
      </c>
      <c r="BC340" s="355">
        <v>0.27679999999999999</v>
      </c>
      <c r="BD340" s="624">
        <v>42016</v>
      </c>
      <c r="BE340" s="355">
        <v>9.2359999999999998E-2</v>
      </c>
      <c r="BF340" s="624">
        <v>42020</v>
      </c>
      <c r="BG340" s="355">
        <v>1.6227999999999999E-2</v>
      </c>
      <c r="BH340" s="624">
        <v>42016</v>
      </c>
      <c r="BI340" s="355">
        <v>7.9566999999999999E-2</v>
      </c>
      <c r="BJ340" s="624">
        <v>42016</v>
      </c>
      <c r="BK340" s="355">
        <v>3.0415999999999999E-2</v>
      </c>
    </row>
    <row r="341" spans="3:63">
      <c r="C341" s="624"/>
      <c r="D341" s="355">
        <v>3.5349999999999999E-2</v>
      </c>
      <c r="AV341" s="624">
        <v>42024</v>
      </c>
      <c r="AW341" s="355">
        <v>0.38250000000000001</v>
      </c>
      <c r="AX341" s="624">
        <v>42017</v>
      </c>
      <c r="AY341" s="355">
        <v>1.529E-2</v>
      </c>
      <c r="AZ341" s="624">
        <v>42017</v>
      </c>
      <c r="BA341" s="355">
        <v>9.5999999999999992E-3</v>
      </c>
      <c r="BB341" s="624">
        <v>42017</v>
      </c>
      <c r="BC341" s="355">
        <v>0.27479999999999999</v>
      </c>
      <c r="BD341" s="624">
        <v>42017</v>
      </c>
      <c r="BE341" s="355">
        <v>9.2689999999999995E-2</v>
      </c>
      <c r="BF341" s="624">
        <v>42023</v>
      </c>
      <c r="BG341" s="355">
        <v>1.6212000000000001E-2</v>
      </c>
      <c r="BH341" s="624">
        <v>42017</v>
      </c>
      <c r="BI341" s="355">
        <v>7.9289999999999999E-2</v>
      </c>
      <c r="BJ341" s="624">
        <v>42017</v>
      </c>
      <c r="BK341" s="355">
        <v>3.0476E-2</v>
      </c>
    </row>
    <row r="342" spans="3:63">
      <c r="C342" s="624"/>
      <c r="D342" s="355">
        <v>3.5279999999999999E-2</v>
      </c>
      <c r="AV342" s="624">
        <v>42025</v>
      </c>
      <c r="AW342" s="355">
        <v>0.38329999999999997</v>
      </c>
      <c r="AX342" s="624">
        <v>42018</v>
      </c>
      <c r="AY342" s="355">
        <v>1.5469999999999999E-2</v>
      </c>
      <c r="AZ342" s="624">
        <v>42018</v>
      </c>
      <c r="BA342" s="355">
        <v>9.5999999999999992E-3</v>
      </c>
      <c r="BB342" s="624">
        <v>42018</v>
      </c>
      <c r="BC342" s="355">
        <v>0.27689999999999998</v>
      </c>
      <c r="BD342" s="624">
        <v>42018</v>
      </c>
      <c r="BE342" s="355">
        <v>9.2329999999999995E-2</v>
      </c>
      <c r="BF342" s="624">
        <v>42024</v>
      </c>
      <c r="BG342" s="355">
        <v>1.6199000000000002E-2</v>
      </c>
      <c r="BH342" s="624">
        <v>42018</v>
      </c>
      <c r="BI342" s="355">
        <v>7.9485E-2</v>
      </c>
      <c r="BJ342" s="624">
        <v>42018</v>
      </c>
      <c r="BK342" s="355">
        <v>3.0525E-2</v>
      </c>
    </row>
    <row r="343" spans="3:63">
      <c r="C343" s="624"/>
      <c r="D343" s="355">
        <v>3.5319999999999997E-2</v>
      </c>
      <c r="AV343" s="624">
        <v>42026</v>
      </c>
      <c r="AW343" s="355">
        <v>0.38929999999999998</v>
      </c>
      <c r="AX343" s="624">
        <v>42019</v>
      </c>
      <c r="AY343" s="355">
        <v>1.533E-2</v>
      </c>
      <c r="AZ343" s="624">
        <v>42019</v>
      </c>
      <c r="BA343" s="355">
        <v>9.4999999999999998E-3</v>
      </c>
      <c r="BB343" s="624">
        <v>42019</v>
      </c>
      <c r="BC343" s="355">
        <v>0.26960000000000001</v>
      </c>
      <c r="BD343" s="624">
        <v>42019</v>
      </c>
      <c r="BE343" s="355">
        <v>9.2960000000000001E-2</v>
      </c>
      <c r="BF343" s="624">
        <v>42025</v>
      </c>
      <c r="BG343" s="355">
        <v>1.6251000000000002E-2</v>
      </c>
      <c r="BH343" s="624">
        <v>42019</v>
      </c>
      <c r="BI343" s="355">
        <v>7.9757999999999996E-2</v>
      </c>
      <c r="BJ343" s="624">
        <v>42019</v>
      </c>
      <c r="BK343" s="355">
        <v>3.0543000000000001E-2</v>
      </c>
    </row>
    <row r="344" spans="3:63">
      <c r="C344" s="624"/>
      <c r="D344" s="355">
        <v>3.5369999999999999E-2</v>
      </c>
      <c r="AV344" s="624">
        <v>42027</v>
      </c>
      <c r="AW344" s="355">
        <v>0.38719999999999999</v>
      </c>
      <c r="AX344" s="624">
        <v>42020</v>
      </c>
      <c r="AY344" s="355">
        <v>1.532E-2</v>
      </c>
      <c r="AZ344" s="624">
        <v>42020</v>
      </c>
      <c r="BA344" s="355">
        <v>9.4999999999999998E-3</v>
      </c>
      <c r="BB344" s="624">
        <v>42020</v>
      </c>
      <c r="BC344" s="355">
        <v>0.26869999999999999</v>
      </c>
      <c r="BD344" s="624">
        <v>42020</v>
      </c>
      <c r="BE344" s="355">
        <v>9.2619999999999994E-2</v>
      </c>
      <c r="BF344" s="624">
        <v>42026</v>
      </c>
      <c r="BG344" s="355">
        <v>1.6288E-2</v>
      </c>
      <c r="BH344" s="624">
        <v>42020</v>
      </c>
      <c r="BI344" s="355">
        <v>7.9346E-2</v>
      </c>
      <c r="BJ344" s="624">
        <v>42020</v>
      </c>
      <c r="BK344" s="355">
        <v>3.0713000000000001E-2</v>
      </c>
    </row>
    <row r="345" spans="3:63">
      <c r="C345" s="624"/>
      <c r="D345" s="355">
        <v>3.5389999999999998E-2</v>
      </c>
      <c r="AV345" s="624">
        <v>42030</v>
      </c>
      <c r="AW345" s="355">
        <v>0.38690000000000002</v>
      </c>
      <c r="AX345" s="624">
        <v>42023</v>
      </c>
      <c r="AY345" s="355">
        <v>1.54E-2</v>
      </c>
      <c r="AZ345" s="624">
        <v>42023</v>
      </c>
      <c r="BA345" s="355">
        <v>9.4999999999999998E-3</v>
      </c>
      <c r="BB345" s="624">
        <v>42023</v>
      </c>
      <c r="BC345" s="355">
        <v>0.2681</v>
      </c>
      <c r="BD345" s="624">
        <v>42023</v>
      </c>
      <c r="BE345" s="355">
        <v>9.2649999999999996E-2</v>
      </c>
      <c r="BF345" s="624">
        <v>42027</v>
      </c>
      <c r="BG345" s="355">
        <v>1.6277E-2</v>
      </c>
      <c r="BH345" s="624">
        <v>42023</v>
      </c>
      <c r="BI345" s="355">
        <v>7.9089000000000007E-2</v>
      </c>
      <c r="BJ345" s="624">
        <v>42023</v>
      </c>
      <c r="BK345" s="355">
        <v>3.0692000000000001E-2</v>
      </c>
    </row>
    <row r="346" spans="3:63">
      <c r="C346" s="624"/>
      <c r="D346" s="355">
        <v>3.5729999999999998E-2</v>
      </c>
      <c r="AV346" s="624">
        <v>42031</v>
      </c>
      <c r="AW346" s="355">
        <v>0.3886</v>
      </c>
      <c r="AX346" s="624">
        <v>42024</v>
      </c>
      <c r="AY346" s="355">
        <v>1.533E-2</v>
      </c>
      <c r="AZ346" s="624">
        <v>42024</v>
      </c>
      <c r="BA346" s="355">
        <v>9.4000000000000004E-3</v>
      </c>
      <c r="BB346" s="624">
        <v>42024</v>
      </c>
      <c r="BC346" s="355">
        <v>0.26669999999999999</v>
      </c>
      <c r="BD346" s="624">
        <v>42024</v>
      </c>
      <c r="BE346" s="355">
        <v>9.1920000000000002E-2</v>
      </c>
      <c r="BF346" s="624">
        <v>42030</v>
      </c>
      <c r="BG346" s="355">
        <v>1.6279999999999999E-2</v>
      </c>
      <c r="BH346" s="624">
        <v>42024</v>
      </c>
      <c r="BI346" s="355">
        <v>7.9504000000000005E-2</v>
      </c>
      <c r="BJ346" s="624">
        <v>42024</v>
      </c>
      <c r="BK346" s="355">
        <v>3.0575999999999999E-2</v>
      </c>
    </row>
    <row r="347" spans="3:63">
      <c r="C347" s="624"/>
      <c r="D347" s="355">
        <v>3.5740000000000001E-2</v>
      </c>
      <c r="AV347" s="624">
        <v>42032</v>
      </c>
      <c r="AW347" s="355">
        <v>0.38800000000000001</v>
      </c>
      <c r="AX347" s="624">
        <v>42025</v>
      </c>
      <c r="AY347" s="355">
        <v>1.5339999999999999E-2</v>
      </c>
      <c r="AZ347" s="624">
        <v>42025</v>
      </c>
      <c r="BA347" s="355">
        <v>9.4999999999999998E-3</v>
      </c>
      <c r="BB347" s="624">
        <v>42025</v>
      </c>
      <c r="BC347" s="355">
        <v>0.27</v>
      </c>
      <c r="BD347" s="624">
        <v>42025</v>
      </c>
      <c r="BE347" s="355">
        <v>9.2399999999999996E-2</v>
      </c>
      <c r="BF347" s="624">
        <v>42031</v>
      </c>
      <c r="BG347" s="355">
        <v>1.6271999999999998E-2</v>
      </c>
      <c r="BH347" s="624">
        <v>42025</v>
      </c>
      <c r="BI347" s="355">
        <v>8.0180000000000001E-2</v>
      </c>
      <c r="BJ347" s="624">
        <v>42025</v>
      </c>
      <c r="BK347" s="355">
        <v>3.0686000000000001E-2</v>
      </c>
    </row>
    <row r="348" spans="3:63">
      <c r="C348" s="624"/>
      <c r="D348" s="355">
        <v>3.576E-2</v>
      </c>
      <c r="AV348" s="624">
        <v>42033</v>
      </c>
      <c r="AW348" s="355">
        <v>0.38350000000000001</v>
      </c>
      <c r="AX348" s="624">
        <v>42026</v>
      </c>
      <c r="AY348" s="355">
        <v>1.5570000000000001E-2</v>
      </c>
      <c r="AZ348" s="624">
        <v>42026</v>
      </c>
      <c r="BA348" s="355">
        <v>9.2999999999999992E-3</v>
      </c>
      <c r="BB348" s="624">
        <v>42026</v>
      </c>
      <c r="BC348" s="355">
        <v>0.2671</v>
      </c>
      <c r="BD348" s="624">
        <v>42026</v>
      </c>
      <c r="BE348" s="355">
        <v>9.2149999999999996E-2</v>
      </c>
      <c r="BF348" s="624">
        <v>42032</v>
      </c>
      <c r="BG348" s="355">
        <v>1.6295E-2</v>
      </c>
      <c r="BH348" s="624">
        <v>42026</v>
      </c>
      <c r="BI348" s="355">
        <v>8.0574000000000007E-2</v>
      </c>
      <c r="BJ348" s="624">
        <v>42026</v>
      </c>
      <c r="BK348" s="355">
        <v>3.0669999999999999E-2</v>
      </c>
    </row>
    <row r="349" spans="3:63">
      <c r="C349" s="624"/>
      <c r="D349" s="355">
        <v>3.5729999999999998E-2</v>
      </c>
      <c r="AV349" s="624">
        <v>42034</v>
      </c>
      <c r="AW349" s="355">
        <v>0.37280000000000002</v>
      </c>
      <c r="AX349" s="624">
        <v>42027</v>
      </c>
      <c r="AY349" s="355">
        <v>1.545E-2</v>
      </c>
      <c r="AZ349" s="624">
        <v>42027</v>
      </c>
      <c r="BA349" s="355">
        <v>9.1000000000000004E-3</v>
      </c>
      <c r="BB349" s="624">
        <v>42027</v>
      </c>
      <c r="BC349" s="355">
        <v>0.26640000000000003</v>
      </c>
      <c r="BD349" s="624">
        <v>42027</v>
      </c>
      <c r="BE349" s="355">
        <v>9.2799999999999994E-2</v>
      </c>
      <c r="BF349" s="624">
        <v>42033</v>
      </c>
      <c r="BG349" s="355">
        <v>1.6181000000000001E-2</v>
      </c>
      <c r="BH349" s="624">
        <v>42027</v>
      </c>
      <c r="BI349" s="355">
        <v>8.0227999999999994E-2</v>
      </c>
      <c r="BJ349" s="624">
        <v>42027</v>
      </c>
      <c r="BK349" s="355">
        <v>3.0721999999999999E-2</v>
      </c>
    </row>
    <row r="350" spans="3:63">
      <c r="C350" s="624"/>
      <c r="D350" s="355">
        <v>3.56E-2</v>
      </c>
      <c r="AV350" s="624">
        <v>42037</v>
      </c>
      <c r="AW350" s="355">
        <v>0.36680000000000001</v>
      </c>
      <c r="AX350" s="624">
        <v>42030</v>
      </c>
      <c r="AY350" s="355">
        <v>1.5089999999999999E-2</v>
      </c>
      <c r="AZ350" s="624">
        <v>42030</v>
      </c>
      <c r="BA350" s="355">
        <v>9.1000000000000004E-3</v>
      </c>
      <c r="BB350" s="624">
        <v>42030</v>
      </c>
      <c r="BC350" s="355">
        <v>0.2666</v>
      </c>
      <c r="BD350" s="624">
        <v>42030</v>
      </c>
      <c r="BE350" s="355">
        <v>9.2530000000000001E-2</v>
      </c>
      <c r="BF350" s="624">
        <v>42034</v>
      </c>
      <c r="BG350" s="355">
        <v>1.6095999999999999E-2</v>
      </c>
      <c r="BH350" s="624">
        <v>42030</v>
      </c>
      <c r="BI350" s="355">
        <v>8.0037999999999998E-2</v>
      </c>
      <c r="BJ350" s="624">
        <v>42030</v>
      </c>
      <c r="BK350" s="355">
        <v>3.0713000000000001E-2</v>
      </c>
    </row>
    <row r="351" spans="3:63">
      <c r="C351" s="624"/>
      <c r="D351" s="355">
        <v>3.5529999999999999E-2</v>
      </c>
      <c r="AV351" s="624">
        <v>42038</v>
      </c>
      <c r="AW351" s="355">
        <v>0.37109999999999999</v>
      </c>
      <c r="AX351" s="624">
        <v>42031</v>
      </c>
      <c r="AY351" s="355">
        <v>1.477E-2</v>
      </c>
      <c r="AZ351" s="624">
        <v>42031</v>
      </c>
      <c r="BA351" s="355">
        <v>9.1999999999999998E-3</v>
      </c>
      <c r="BB351" s="624">
        <v>42031</v>
      </c>
      <c r="BC351" s="355">
        <v>0.26840000000000003</v>
      </c>
      <c r="BD351" s="624">
        <v>42031</v>
      </c>
      <c r="BE351" s="355">
        <v>9.2759999999999995E-2</v>
      </c>
      <c r="BF351" s="624">
        <v>42037</v>
      </c>
      <c r="BG351" s="355">
        <v>1.6208E-2</v>
      </c>
      <c r="BH351" s="624">
        <v>42031</v>
      </c>
      <c r="BI351" s="355">
        <v>8.0217999999999998E-2</v>
      </c>
      <c r="BJ351" s="624">
        <v>42031</v>
      </c>
      <c r="BK351" s="355">
        <v>3.0765000000000001E-2</v>
      </c>
    </row>
    <row r="352" spans="3:63">
      <c r="C352" s="624"/>
      <c r="D352" s="355">
        <v>3.5560000000000001E-2</v>
      </c>
      <c r="AV352" s="624">
        <v>42039</v>
      </c>
      <c r="AW352" s="355">
        <v>0.3644</v>
      </c>
      <c r="AX352" s="624">
        <v>42032</v>
      </c>
      <c r="AY352" s="355">
        <v>1.4749999999999999E-2</v>
      </c>
      <c r="AZ352" s="624">
        <v>42032</v>
      </c>
      <c r="BA352" s="355">
        <v>9.1000000000000004E-3</v>
      </c>
      <c r="BB352" s="624">
        <v>42032</v>
      </c>
      <c r="BC352" s="355">
        <v>0.26579999999999998</v>
      </c>
      <c r="BD352" s="624">
        <v>42032</v>
      </c>
      <c r="BE352" s="355">
        <v>9.2090000000000005E-2</v>
      </c>
      <c r="BF352" s="624">
        <v>42038</v>
      </c>
      <c r="BG352" s="355">
        <v>1.6232E-2</v>
      </c>
      <c r="BH352" s="624">
        <v>42032</v>
      </c>
      <c r="BI352" s="355">
        <v>7.9930000000000001E-2</v>
      </c>
      <c r="BJ352" s="624">
        <v>42032</v>
      </c>
      <c r="BK352" s="355">
        <v>3.0707999999999999E-2</v>
      </c>
    </row>
    <row r="353" spans="3:63">
      <c r="C353" s="624"/>
      <c r="D353" s="355">
        <v>3.5499999999999997E-2</v>
      </c>
      <c r="AV353" s="624">
        <v>42040</v>
      </c>
      <c r="AW353" s="355">
        <v>0.36480000000000001</v>
      </c>
      <c r="AX353" s="624">
        <v>42033</v>
      </c>
      <c r="AY353" s="355">
        <v>1.453E-2</v>
      </c>
      <c r="AZ353" s="624">
        <v>42033</v>
      </c>
      <c r="BA353" s="355">
        <v>9.1999999999999998E-3</v>
      </c>
      <c r="BB353" s="624">
        <v>42033</v>
      </c>
      <c r="BC353" s="355">
        <v>0.26860000000000001</v>
      </c>
      <c r="BD353" s="624">
        <v>42033</v>
      </c>
      <c r="BE353" s="355">
        <v>9.0910000000000005E-2</v>
      </c>
      <c r="BF353" s="624">
        <v>42039</v>
      </c>
      <c r="BG353" s="355">
        <v>1.6173E-2</v>
      </c>
      <c r="BH353" s="624">
        <v>42033</v>
      </c>
      <c r="BI353" s="355">
        <v>7.9201999999999995E-2</v>
      </c>
      <c r="BJ353" s="624">
        <v>42033</v>
      </c>
      <c r="BK353" s="355">
        <v>3.0509000000000001E-2</v>
      </c>
    </row>
    <row r="354" spans="3:63">
      <c r="C354" s="624"/>
      <c r="D354" s="355">
        <v>3.5520000000000003E-2</v>
      </c>
      <c r="AV354" s="624">
        <v>42041</v>
      </c>
      <c r="AW354" s="355">
        <v>0.3599</v>
      </c>
      <c r="AX354" s="624">
        <v>42034</v>
      </c>
      <c r="AY354" s="355">
        <v>1.4420000000000001E-2</v>
      </c>
      <c r="AZ354" s="624">
        <v>42034</v>
      </c>
      <c r="BA354" s="355">
        <v>9.1999999999999998E-3</v>
      </c>
      <c r="BB354" s="624">
        <v>42034</v>
      </c>
      <c r="BC354" s="355">
        <v>0.26960000000000001</v>
      </c>
      <c r="BD354" s="624">
        <v>42034</v>
      </c>
      <c r="BE354" s="355">
        <v>9.0700000000000003E-2</v>
      </c>
      <c r="BF354" s="624">
        <v>42040</v>
      </c>
      <c r="BG354" s="355">
        <v>1.6201E-2</v>
      </c>
      <c r="BH354" s="624">
        <v>42034</v>
      </c>
      <c r="BI354" s="355">
        <v>7.8498999999999999E-2</v>
      </c>
      <c r="BJ354" s="624">
        <v>42034</v>
      </c>
      <c r="BK354" s="355">
        <v>3.0589000000000002E-2</v>
      </c>
    </row>
    <row r="355" spans="3:63">
      <c r="C355" s="624"/>
      <c r="D355" s="355">
        <v>3.542E-2</v>
      </c>
      <c r="AV355" s="624">
        <v>42044</v>
      </c>
      <c r="AW355" s="355">
        <v>0.3609</v>
      </c>
      <c r="AX355" s="624">
        <v>42037</v>
      </c>
      <c r="AY355" s="355">
        <v>1.464E-2</v>
      </c>
      <c r="AZ355" s="624">
        <v>42037</v>
      </c>
      <c r="BA355" s="355">
        <v>9.2999999999999992E-3</v>
      </c>
      <c r="BB355" s="624">
        <v>42037</v>
      </c>
      <c r="BC355" s="355">
        <v>0.27060000000000001</v>
      </c>
      <c r="BD355" s="624">
        <v>42037</v>
      </c>
      <c r="BE355" s="355">
        <v>9.0950000000000003E-2</v>
      </c>
      <c r="BF355" s="624">
        <v>42041</v>
      </c>
      <c r="BG355" s="355">
        <v>1.6129000000000001E-2</v>
      </c>
      <c r="BH355" s="624">
        <v>42037</v>
      </c>
      <c r="BI355" s="355">
        <v>7.8920000000000004E-2</v>
      </c>
      <c r="BJ355" s="624">
        <v>42037</v>
      </c>
      <c r="BK355" s="355">
        <v>3.0693999999999999E-2</v>
      </c>
    </row>
    <row r="356" spans="3:63">
      <c r="C356" s="624"/>
      <c r="D356" s="355">
        <v>3.5369999999999999E-2</v>
      </c>
      <c r="AV356" s="624">
        <v>42045</v>
      </c>
      <c r="AW356" s="355">
        <v>0.3528</v>
      </c>
      <c r="AX356" s="624">
        <v>42038</v>
      </c>
      <c r="AY356" s="355">
        <v>1.5339999999999999E-2</v>
      </c>
      <c r="AZ356" s="624">
        <v>42038</v>
      </c>
      <c r="BA356" s="355">
        <v>9.4000000000000004E-3</v>
      </c>
      <c r="BB356" s="624">
        <v>42038</v>
      </c>
      <c r="BC356" s="355">
        <v>0.27510000000000001</v>
      </c>
      <c r="BD356" s="624">
        <v>42038</v>
      </c>
      <c r="BE356" s="355">
        <v>9.1490000000000002E-2</v>
      </c>
      <c r="BF356" s="624">
        <v>42044</v>
      </c>
      <c r="BG356" s="355">
        <v>1.6093E-2</v>
      </c>
      <c r="BH356" s="624">
        <v>42038</v>
      </c>
      <c r="BI356" s="355">
        <v>7.9465999999999995E-2</v>
      </c>
      <c r="BJ356" s="624">
        <v>42038</v>
      </c>
      <c r="BK356" s="355">
        <v>3.0678E-2</v>
      </c>
    </row>
    <row r="357" spans="3:63">
      <c r="C357" s="624"/>
      <c r="D357" s="355">
        <v>3.5369999999999999E-2</v>
      </c>
      <c r="AV357" s="624">
        <v>42046</v>
      </c>
      <c r="AW357" s="355">
        <v>0.34849999999999998</v>
      </c>
      <c r="AX357" s="624">
        <v>42039</v>
      </c>
      <c r="AY357" s="355">
        <v>1.468E-2</v>
      </c>
      <c r="AZ357" s="624">
        <v>42039</v>
      </c>
      <c r="BA357" s="355">
        <v>9.2999999999999992E-3</v>
      </c>
      <c r="BB357" s="624">
        <v>42039</v>
      </c>
      <c r="BC357" s="355">
        <v>0.27189999999999998</v>
      </c>
      <c r="BD357" s="624">
        <v>42039</v>
      </c>
      <c r="BE357" s="355">
        <v>9.1929999999999998E-2</v>
      </c>
      <c r="BF357" s="624">
        <v>42045</v>
      </c>
      <c r="BG357" s="355">
        <v>1.6043999999999999E-2</v>
      </c>
      <c r="BH357" s="624">
        <v>42039</v>
      </c>
      <c r="BI357" s="355">
        <v>7.9114000000000004E-2</v>
      </c>
      <c r="BJ357" s="624">
        <v>42039</v>
      </c>
      <c r="BK357" s="355">
        <v>3.0630000000000001E-2</v>
      </c>
    </row>
    <row r="358" spans="3:63">
      <c r="C358" s="624"/>
      <c r="D358" s="355">
        <v>3.5349999999999999E-2</v>
      </c>
      <c r="AV358" s="624">
        <v>42047</v>
      </c>
      <c r="AW358" s="355">
        <v>0.35439999999999999</v>
      </c>
      <c r="AX358" s="624">
        <v>42040</v>
      </c>
      <c r="AY358" s="355">
        <v>1.502E-2</v>
      </c>
      <c r="AZ358" s="624">
        <v>42040</v>
      </c>
      <c r="BA358" s="355">
        <v>9.4000000000000004E-3</v>
      </c>
      <c r="BB358" s="624">
        <v>42040</v>
      </c>
      <c r="BC358" s="355">
        <v>0.27539999999999998</v>
      </c>
      <c r="BD358" s="624">
        <v>42040</v>
      </c>
      <c r="BE358" s="355">
        <v>9.2020000000000005E-2</v>
      </c>
      <c r="BF358" s="624">
        <v>42046</v>
      </c>
      <c r="BG358" s="355">
        <v>1.6029999999999999E-2</v>
      </c>
      <c r="BH358" s="624">
        <v>42040</v>
      </c>
      <c r="BI358" s="355">
        <v>7.9416E-2</v>
      </c>
      <c r="BJ358" s="624">
        <v>42040</v>
      </c>
      <c r="BK358" s="355">
        <v>3.0675000000000001E-2</v>
      </c>
    </row>
    <row r="359" spans="3:63">
      <c r="C359" s="624"/>
      <c r="D359" s="355">
        <v>3.5389999999999998E-2</v>
      </c>
      <c r="AV359" s="624">
        <v>42048</v>
      </c>
      <c r="AW359" s="355">
        <v>0.3528</v>
      </c>
      <c r="AX359" s="624">
        <v>42041</v>
      </c>
      <c r="AY359" s="355">
        <v>1.5010000000000001E-2</v>
      </c>
      <c r="AZ359" s="624">
        <v>42041</v>
      </c>
      <c r="BA359" s="355">
        <v>9.2999999999999992E-3</v>
      </c>
      <c r="BB359" s="624">
        <v>42041</v>
      </c>
      <c r="BC359" s="355">
        <v>0.2722</v>
      </c>
      <c r="BD359" s="624">
        <v>42041</v>
      </c>
      <c r="BE359" s="355">
        <v>9.1079999999999994E-2</v>
      </c>
      <c r="BF359" s="624">
        <v>42047</v>
      </c>
      <c r="BG359" s="355">
        <v>1.609E-2</v>
      </c>
      <c r="BH359" s="624">
        <v>42041</v>
      </c>
      <c r="BI359" s="355">
        <v>7.9050999999999996E-2</v>
      </c>
      <c r="BJ359" s="624">
        <v>42041</v>
      </c>
      <c r="BK359" s="355">
        <v>3.0623999999999998E-2</v>
      </c>
    </row>
    <row r="360" spans="3:63">
      <c r="C360" s="624"/>
      <c r="D360" s="355">
        <v>3.5340000000000003E-2</v>
      </c>
      <c r="AV360" s="624">
        <v>42053</v>
      </c>
      <c r="AW360" s="355">
        <v>0.35239999999999999</v>
      </c>
      <c r="AX360" s="624">
        <v>42044</v>
      </c>
      <c r="AY360" s="355">
        <v>1.521E-2</v>
      </c>
      <c r="AZ360" s="624">
        <v>42044</v>
      </c>
      <c r="BA360" s="355">
        <v>9.2999999999999992E-3</v>
      </c>
      <c r="BB360" s="624">
        <v>42044</v>
      </c>
      <c r="BC360" s="355">
        <v>0.2707</v>
      </c>
      <c r="BD360" s="624">
        <v>42044</v>
      </c>
      <c r="BE360" s="355">
        <v>9.1310000000000002E-2</v>
      </c>
      <c r="BF360" s="624">
        <v>42048</v>
      </c>
      <c r="BG360" s="355">
        <v>1.6107E-2</v>
      </c>
      <c r="BH360" s="624">
        <v>42044</v>
      </c>
      <c r="BI360" s="355">
        <v>7.8865000000000005E-2</v>
      </c>
      <c r="BJ360" s="624">
        <v>42044</v>
      </c>
      <c r="BK360" s="355">
        <v>3.0689000000000001E-2</v>
      </c>
    </row>
    <row r="361" spans="3:63">
      <c r="C361" s="624"/>
      <c r="D361" s="355">
        <v>3.5459999999999998E-2</v>
      </c>
      <c r="AV361" s="624">
        <v>42054</v>
      </c>
      <c r="AW361" s="355">
        <v>0.34889999999999999</v>
      </c>
      <c r="AX361" s="624">
        <v>42045</v>
      </c>
      <c r="AY361" s="355">
        <v>1.528E-2</v>
      </c>
      <c r="AZ361" s="624">
        <v>42045</v>
      </c>
      <c r="BA361" s="355">
        <v>9.2999999999999992E-3</v>
      </c>
      <c r="BB361" s="624">
        <v>42045</v>
      </c>
      <c r="BC361" s="355">
        <v>0.26950000000000002</v>
      </c>
      <c r="BD361" s="624">
        <v>42045</v>
      </c>
      <c r="BE361" s="355">
        <v>9.0959999999999999E-2</v>
      </c>
      <c r="BF361" s="624">
        <v>42051</v>
      </c>
      <c r="BG361" s="355">
        <v>1.6079E-2</v>
      </c>
      <c r="BH361" s="624">
        <v>42045</v>
      </c>
      <c r="BI361" s="355">
        <v>7.8529000000000002E-2</v>
      </c>
      <c r="BJ361" s="624">
        <v>42045</v>
      </c>
      <c r="BK361" s="355">
        <v>3.0639E-2</v>
      </c>
    </row>
    <row r="362" spans="3:63">
      <c r="C362" s="624"/>
      <c r="D362" s="355">
        <v>3.5450000000000002E-2</v>
      </c>
      <c r="AV362" s="624">
        <v>42055</v>
      </c>
      <c r="AW362" s="355">
        <v>0.34870000000000001</v>
      </c>
      <c r="AX362" s="624">
        <v>42046</v>
      </c>
      <c r="AY362" s="355">
        <v>1.533E-2</v>
      </c>
      <c r="AZ362" s="624">
        <v>42046</v>
      </c>
      <c r="BA362" s="355">
        <v>9.2999999999999992E-3</v>
      </c>
      <c r="BB362" s="624">
        <v>42046</v>
      </c>
      <c r="BC362" s="355">
        <v>0.26929999999999998</v>
      </c>
      <c r="BD362" s="624">
        <v>42046</v>
      </c>
      <c r="BE362" s="355">
        <v>9.0240000000000001E-2</v>
      </c>
      <c r="BF362" s="624">
        <v>42052</v>
      </c>
      <c r="BG362" s="355">
        <v>1.6084999999999999E-2</v>
      </c>
      <c r="BH362" s="624">
        <v>42046</v>
      </c>
      <c r="BI362" s="355">
        <v>7.7760999999999997E-2</v>
      </c>
      <c r="BJ362" s="624">
        <v>42046</v>
      </c>
      <c r="BK362" s="355">
        <v>3.0626E-2</v>
      </c>
    </row>
    <row r="363" spans="3:63">
      <c r="C363" s="624"/>
      <c r="D363" s="355">
        <v>3.5430000000000003E-2</v>
      </c>
      <c r="AV363" s="624">
        <v>42058</v>
      </c>
      <c r="AW363" s="355">
        <v>0.3473</v>
      </c>
      <c r="AX363" s="624">
        <v>42047</v>
      </c>
      <c r="AY363" s="355">
        <v>1.532E-2</v>
      </c>
      <c r="AZ363" s="624">
        <v>42047</v>
      </c>
      <c r="BA363" s="355">
        <v>9.4000000000000004E-3</v>
      </c>
      <c r="BB363" s="624">
        <v>42047</v>
      </c>
      <c r="BC363" s="355">
        <v>0.2737</v>
      </c>
      <c r="BD363" s="624">
        <v>42047</v>
      </c>
      <c r="BE363" s="355">
        <v>9.078E-2</v>
      </c>
      <c r="BF363" s="624">
        <v>42053</v>
      </c>
      <c r="BG363" s="355">
        <v>1.6074000000000001E-2</v>
      </c>
      <c r="BH363" s="624">
        <v>42047</v>
      </c>
      <c r="BI363" s="355">
        <v>7.8523999999999997E-2</v>
      </c>
      <c r="BJ363" s="624">
        <v>42047</v>
      </c>
      <c r="BK363" s="355">
        <v>3.0665999999999999E-2</v>
      </c>
    </row>
    <row r="364" spans="3:63">
      <c r="C364" s="624"/>
      <c r="D364" s="355">
        <v>3.542E-2</v>
      </c>
      <c r="AV364" s="624">
        <v>42059</v>
      </c>
      <c r="AW364" s="355">
        <v>0.35299999999999998</v>
      </c>
      <c r="AX364" s="624">
        <v>42048</v>
      </c>
      <c r="AY364" s="355">
        <v>1.5949999999999999E-2</v>
      </c>
      <c r="AZ364" s="624">
        <v>42048</v>
      </c>
      <c r="BA364" s="355">
        <v>9.4000000000000004E-3</v>
      </c>
      <c r="BB364" s="624">
        <v>42048</v>
      </c>
      <c r="BC364" s="355">
        <v>0.27200000000000002</v>
      </c>
      <c r="BD364" s="624">
        <v>42048</v>
      </c>
      <c r="BE364" s="355">
        <v>9.1050000000000006E-2</v>
      </c>
      <c r="BF364" s="624">
        <v>42054</v>
      </c>
      <c r="BG364" s="355">
        <v>1.6093E-2</v>
      </c>
      <c r="BH364" s="624">
        <v>42048</v>
      </c>
      <c r="BI364" s="355">
        <v>7.8529000000000002E-2</v>
      </c>
      <c r="BJ364" s="624">
        <v>42048</v>
      </c>
      <c r="BK364" s="355">
        <v>3.0676999999999999E-2</v>
      </c>
    </row>
    <row r="365" spans="3:63">
      <c r="C365" s="624"/>
      <c r="D365" s="355">
        <v>3.5459999999999998E-2</v>
      </c>
      <c r="AV365" s="624">
        <v>42060</v>
      </c>
      <c r="AW365" s="355">
        <v>0.3478</v>
      </c>
      <c r="AX365" s="624">
        <v>42051</v>
      </c>
      <c r="AY365" s="355">
        <v>1.583E-2</v>
      </c>
      <c r="AZ365" s="624">
        <v>42051</v>
      </c>
      <c r="BA365" s="355">
        <v>9.4000000000000004E-3</v>
      </c>
      <c r="BB365" s="624">
        <v>42051</v>
      </c>
      <c r="BC365" s="355">
        <v>0.27200000000000002</v>
      </c>
      <c r="BD365" s="624">
        <v>42051</v>
      </c>
      <c r="BE365" s="355">
        <v>9.0759999999999993E-2</v>
      </c>
      <c r="BF365" s="624">
        <v>42055</v>
      </c>
      <c r="BG365" s="355">
        <v>1.6060000000000001E-2</v>
      </c>
      <c r="BH365" s="624">
        <v>42051</v>
      </c>
      <c r="BI365" s="355">
        <v>7.8387999999999999E-2</v>
      </c>
      <c r="BJ365" s="624">
        <v>42051</v>
      </c>
      <c r="BK365" s="355">
        <v>3.0683999999999999E-2</v>
      </c>
    </row>
    <row r="366" spans="3:63">
      <c r="C366" s="624"/>
      <c r="D366" s="355">
        <v>3.551E-2</v>
      </c>
      <c r="AV366" s="624">
        <v>42061</v>
      </c>
      <c r="AW366" s="355">
        <v>0.34389999999999998</v>
      </c>
      <c r="AX366" s="624">
        <v>42052</v>
      </c>
      <c r="AY366" s="355">
        <v>1.6E-2</v>
      </c>
      <c r="AZ366" s="624">
        <v>42052</v>
      </c>
      <c r="BA366" s="355">
        <v>9.4000000000000004E-3</v>
      </c>
      <c r="BB366" s="624">
        <v>42052</v>
      </c>
      <c r="BC366" s="355">
        <v>0.27229999999999999</v>
      </c>
      <c r="BD366" s="624">
        <v>42052</v>
      </c>
      <c r="BE366" s="355">
        <v>9.0179999999999996E-2</v>
      </c>
      <c r="BF366" s="624">
        <v>42058</v>
      </c>
      <c r="BG366" s="355">
        <v>1.6087000000000001E-2</v>
      </c>
      <c r="BH366" s="624">
        <v>42052</v>
      </c>
      <c r="BI366" s="355">
        <v>7.8125E-2</v>
      </c>
      <c r="BJ366" s="624">
        <v>42052</v>
      </c>
      <c r="BK366" s="355">
        <v>3.0683999999999999E-2</v>
      </c>
    </row>
    <row r="367" spans="3:63">
      <c r="C367" s="624"/>
      <c r="D367" s="355">
        <v>3.5470000000000002E-2</v>
      </c>
      <c r="AV367" s="624">
        <v>42062</v>
      </c>
      <c r="AW367" s="355">
        <v>0.35020000000000001</v>
      </c>
      <c r="AX367" s="624">
        <v>42053</v>
      </c>
      <c r="AY367" s="355">
        <v>1.6240000000000001E-2</v>
      </c>
      <c r="AZ367" s="624">
        <v>42053</v>
      </c>
      <c r="BA367" s="355">
        <v>9.4000000000000004E-3</v>
      </c>
      <c r="BB367" s="624">
        <v>42053</v>
      </c>
      <c r="BC367" s="355">
        <v>0.27239999999999998</v>
      </c>
      <c r="BD367" s="624">
        <v>42053</v>
      </c>
      <c r="BE367" s="355">
        <v>9.0200000000000002E-2</v>
      </c>
      <c r="BF367" s="624">
        <v>42059</v>
      </c>
      <c r="BG367" s="355">
        <v>1.6152E-2</v>
      </c>
      <c r="BH367" s="624">
        <v>42053</v>
      </c>
      <c r="BI367" s="355">
        <v>7.7772999999999995E-2</v>
      </c>
      <c r="BJ367" s="624">
        <v>42053</v>
      </c>
      <c r="BK367" s="355">
        <v>3.0698E-2</v>
      </c>
    </row>
    <row r="368" spans="3:63">
      <c r="C368" s="624"/>
      <c r="D368" s="355">
        <v>3.5430000000000003E-2</v>
      </c>
      <c r="AV368" s="624">
        <v>42065</v>
      </c>
      <c r="AW368" s="355">
        <v>0.3453</v>
      </c>
      <c r="AX368" s="624">
        <v>42054</v>
      </c>
      <c r="AY368" s="355">
        <v>1.6160000000000001E-2</v>
      </c>
      <c r="AZ368" s="624">
        <v>42054</v>
      </c>
      <c r="BA368" s="355">
        <v>9.4000000000000004E-3</v>
      </c>
      <c r="BB368" s="624">
        <v>42054</v>
      </c>
      <c r="BC368" s="355">
        <v>0.27250000000000002</v>
      </c>
      <c r="BD368" s="624">
        <v>42054</v>
      </c>
      <c r="BE368" s="355">
        <v>8.9940000000000006E-2</v>
      </c>
      <c r="BF368" s="624">
        <v>42060</v>
      </c>
      <c r="BG368" s="355">
        <v>1.6164999999999999E-2</v>
      </c>
      <c r="BH368" s="624">
        <v>42054</v>
      </c>
      <c r="BI368" s="355">
        <v>7.7687999999999993E-2</v>
      </c>
      <c r="BJ368" s="624">
        <v>42054</v>
      </c>
      <c r="BK368" s="355">
        <v>3.0714000000000002E-2</v>
      </c>
    </row>
    <row r="369" spans="3:63">
      <c r="C369" s="624"/>
      <c r="D369" s="355">
        <v>3.5459999999999998E-2</v>
      </c>
      <c r="AV369" s="624">
        <v>42066</v>
      </c>
      <c r="AW369" s="355">
        <v>0.3412</v>
      </c>
      <c r="AX369" s="624">
        <v>42055</v>
      </c>
      <c r="AY369" s="355">
        <v>1.6049999999999998E-2</v>
      </c>
      <c r="AZ369" s="624">
        <v>42055</v>
      </c>
      <c r="BA369" s="355">
        <v>9.4999999999999998E-3</v>
      </c>
      <c r="BB369" s="624">
        <v>42055</v>
      </c>
      <c r="BC369" s="355">
        <v>0.27310000000000001</v>
      </c>
      <c r="BD369" s="624">
        <v>42055</v>
      </c>
      <c r="BE369" s="355">
        <v>9.0039999999999995E-2</v>
      </c>
      <c r="BF369" s="624">
        <v>42061</v>
      </c>
      <c r="BG369" s="355">
        <v>1.6197E-2</v>
      </c>
      <c r="BH369" s="624">
        <v>42055</v>
      </c>
      <c r="BI369" s="355">
        <v>7.7882000000000007E-2</v>
      </c>
      <c r="BJ369" s="624">
        <v>42055</v>
      </c>
      <c r="BK369" s="355">
        <v>3.0721999999999999E-2</v>
      </c>
    </row>
    <row r="370" spans="3:63">
      <c r="C370" s="624"/>
      <c r="D370" s="355">
        <v>3.5450000000000002E-2</v>
      </c>
      <c r="AV370" s="624">
        <v>42067</v>
      </c>
      <c r="AW370" s="355">
        <v>0.33529999999999999</v>
      </c>
      <c r="AX370" s="624">
        <v>42058</v>
      </c>
      <c r="AY370" s="355">
        <v>1.5689999999999999E-2</v>
      </c>
      <c r="AZ370" s="624">
        <v>42058</v>
      </c>
      <c r="BA370" s="355">
        <v>9.4000000000000004E-3</v>
      </c>
      <c r="BB370" s="624">
        <v>42058</v>
      </c>
      <c r="BC370" s="355">
        <v>0.2712</v>
      </c>
      <c r="BD370" s="624">
        <v>42058</v>
      </c>
      <c r="BE370" s="355">
        <v>9.0209999999999999E-2</v>
      </c>
      <c r="BF370" s="624">
        <v>42062</v>
      </c>
      <c r="BG370" s="355">
        <v>1.6234999999999999E-2</v>
      </c>
      <c r="BH370" s="624">
        <v>42058</v>
      </c>
      <c r="BI370" s="355">
        <v>7.7501E-2</v>
      </c>
      <c r="BJ370" s="624">
        <v>42058</v>
      </c>
      <c r="BK370" s="355">
        <v>3.0721999999999999E-2</v>
      </c>
    </row>
    <row r="371" spans="3:63">
      <c r="C371" s="624"/>
      <c r="D371" s="355">
        <v>3.5580000000000001E-2</v>
      </c>
      <c r="AV371" s="624">
        <v>42068</v>
      </c>
      <c r="AW371" s="355">
        <v>0.33289999999999997</v>
      </c>
      <c r="AX371" s="624">
        <v>42059</v>
      </c>
      <c r="AY371" s="355">
        <v>1.593E-2</v>
      </c>
      <c r="AZ371" s="624">
        <v>42059</v>
      </c>
      <c r="BA371" s="355">
        <v>9.4000000000000004E-3</v>
      </c>
      <c r="BB371" s="624">
        <v>42059</v>
      </c>
      <c r="BC371" s="355">
        <v>0.27279999999999999</v>
      </c>
      <c r="BD371" s="624">
        <v>42059</v>
      </c>
      <c r="BE371" s="355">
        <v>9.0469999999999995E-2</v>
      </c>
      <c r="BF371" s="624">
        <v>42065</v>
      </c>
      <c r="BG371" s="355">
        <v>1.6164999999999999E-2</v>
      </c>
      <c r="BH371" s="624">
        <v>42059</v>
      </c>
      <c r="BI371" s="355">
        <v>7.7663999999999997E-2</v>
      </c>
      <c r="BJ371" s="624">
        <v>42059</v>
      </c>
      <c r="BK371" s="355">
        <v>3.0734000000000001E-2</v>
      </c>
    </row>
    <row r="372" spans="3:63">
      <c r="C372" s="624"/>
      <c r="D372" s="355">
        <v>3.569E-2</v>
      </c>
      <c r="AV372" s="624">
        <v>42069</v>
      </c>
      <c r="AW372" s="355">
        <v>0.3266</v>
      </c>
      <c r="AX372" s="624">
        <v>42060</v>
      </c>
      <c r="AY372" s="355">
        <v>1.6289999999999999E-2</v>
      </c>
      <c r="AZ372" s="624">
        <v>42060</v>
      </c>
      <c r="BA372" s="355">
        <v>9.4000000000000004E-3</v>
      </c>
      <c r="BB372" s="624">
        <v>42060</v>
      </c>
      <c r="BC372" s="355">
        <v>0.2732</v>
      </c>
      <c r="BD372" s="624">
        <v>42060</v>
      </c>
      <c r="BE372" s="355">
        <v>9.085E-2</v>
      </c>
      <c r="BF372" s="624">
        <v>42066</v>
      </c>
      <c r="BG372" s="355">
        <v>1.6173E-2</v>
      </c>
      <c r="BH372" s="624">
        <v>42060</v>
      </c>
      <c r="BI372" s="355">
        <v>7.7675999999999995E-2</v>
      </c>
      <c r="BJ372" s="624">
        <v>42060</v>
      </c>
      <c r="BK372" s="355">
        <v>3.075E-2</v>
      </c>
    </row>
    <row r="373" spans="3:63">
      <c r="C373" s="624"/>
      <c r="D373" s="355">
        <v>3.5650000000000001E-2</v>
      </c>
      <c r="AV373" s="624">
        <v>42072</v>
      </c>
      <c r="AW373" s="355">
        <v>0.32029999999999997</v>
      </c>
      <c r="AX373" s="624">
        <v>42061</v>
      </c>
      <c r="AY373" s="355">
        <v>1.6369999999999999E-2</v>
      </c>
      <c r="AZ373" s="624">
        <v>42061</v>
      </c>
      <c r="BA373" s="355">
        <v>9.2999999999999992E-3</v>
      </c>
      <c r="BB373" s="624">
        <v>42061</v>
      </c>
      <c r="BC373" s="355">
        <v>0.26979999999999998</v>
      </c>
      <c r="BD373" s="624">
        <v>42061</v>
      </c>
      <c r="BE373" s="355">
        <v>9.0670000000000001E-2</v>
      </c>
      <c r="BF373" s="624">
        <v>42067</v>
      </c>
      <c r="BG373" s="355">
        <v>1.6049000000000001E-2</v>
      </c>
      <c r="BH373" s="624">
        <v>42061</v>
      </c>
      <c r="BI373" s="355">
        <v>7.7682000000000001E-2</v>
      </c>
      <c r="BJ373" s="624">
        <v>42061</v>
      </c>
      <c r="BK373" s="355">
        <v>3.0873999999999999E-2</v>
      </c>
    </row>
    <row r="374" spans="3:63">
      <c r="C374" s="624"/>
      <c r="D374" s="355">
        <v>3.569E-2</v>
      </c>
      <c r="AV374" s="624">
        <v>42073</v>
      </c>
      <c r="AW374" s="355">
        <v>0.32229999999999998</v>
      </c>
      <c r="AX374" s="624">
        <v>42062</v>
      </c>
      <c r="AY374" s="355">
        <v>1.5859999999999999E-2</v>
      </c>
      <c r="AZ374" s="624">
        <v>42062</v>
      </c>
      <c r="BA374" s="355">
        <v>9.2999999999999992E-3</v>
      </c>
      <c r="BB374" s="624">
        <v>42062</v>
      </c>
      <c r="BC374" s="355">
        <v>0.2697</v>
      </c>
      <c r="BD374" s="624">
        <v>42062</v>
      </c>
      <c r="BE374" s="355">
        <v>9.0789999999999996E-2</v>
      </c>
      <c r="BF374" s="624">
        <v>42068</v>
      </c>
      <c r="BG374" s="355">
        <v>1.6025999999999999E-2</v>
      </c>
      <c r="BH374" s="624">
        <v>42062</v>
      </c>
      <c r="BI374" s="355">
        <v>7.6920000000000002E-2</v>
      </c>
      <c r="BJ374" s="624">
        <v>42062</v>
      </c>
      <c r="BK374" s="355">
        <v>3.0901999999999999E-2</v>
      </c>
    </row>
    <row r="375" spans="3:63">
      <c r="C375" s="624"/>
      <c r="D375" s="355">
        <v>3.5889999999999998E-2</v>
      </c>
      <c r="AV375" s="624">
        <v>42074</v>
      </c>
      <c r="AW375" s="355">
        <v>0.31969999999999998</v>
      </c>
      <c r="AX375" s="624">
        <v>42065</v>
      </c>
      <c r="AY375" s="355">
        <v>1.601E-2</v>
      </c>
      <c r="AZ375" s="624">
        <v>42065</v>
      </c>
      <c r="BA375" s="355">
        <v>9.2999999999999992E-3</v>
      </c>
      <c r="BB375" s="624">
        <v>42065</v>
      </c>
      <c r="BC375" s="355">
        <v>0.26889999999999997</v>
      </c>
      <c r="BD375" s="624">
        <v>42065</v>
      </c>
      <c r="BE375" s="355">
        <v>9.0620000000000006E-2</v>
      </c>
      <c r="BF375" s="624">
        <v>42069</v>
      </c>
      <c r="BG375" s="355">
        <v>1.5925999999999999E-2</v>
      </c>
      <c r="BH375" s="624">
        <v>42065</v>
      </c>
      <c r="BI375" s="355">
        <v>7.6935000000000003E-2</v>
      </c>
      <c r="BJ375" s="624">
        <v>42065</v>
      </c>
      <c r="BK375" s="355">
        <v>3.0908999999999999E-2</v>
      </c>
    </row>
    <row r="376" spans="3:63">
      <c r="C376" s="624"/>
      <c r="D376" s="355">
        <v>3.5779999999999999E-2</v>
      </c>
      <c r="AV376" s="624">
        <v>42075</v>
      </c>
      <c r="AW376" s="355">
        <v>0.31590000000000001</v>
      </c>
      <c r="AX376" s="624">
        <v>42066</v>
      </c>
      <c r="AY376" s="355">
        <v>1.6160000000000001E-2</v>
      </c>
      <c r="AZ376" s="624">
        <v>42066</v>
      </c>
      <c r="BA376" s="355">
        <v>9.1999999999999998E-3</v>
      </c>
      <c r="BB376" s="624">
        <v>42066</v>
      </c>
      <c r="BC376" s="355">
        <v>0.26829999999999998</v>
      </c>
      <c r="BD376" s="624">
        <v>42066</v>
      </c>
      <c r="BE376" s="355">
        <v>9.1160000000000005E-2</v>
      </c>
      <c r="BF376" s="624">
        <v>42072</v>
      </c>
      <c r="BG376" s="355">
        <v>1.5966000000000001E-2</v>
      </c>
      <c r="BH376" s="624">
        <v>42066</v>
      </c>
      <c r="BI376" s="355">
        <v>7.6994000000000007E-2</v>
      </c>
      <c r="BJ376" s="624">
        <v>42066</v>
      </c>
      <c r="BK376" s="355">
        <v>3.0907E-2</v>
      </c>
    </row>
    <row r="377" spans="3:63">
      <c r="C377" s="624"/>
      <c r="D377" s="355">
        <v>3.56E-2</v>
      </c>
      <c r="AV377" s="624">
        <v>42076</v>
      </c>
      <c r="AW377" s="355">
        <v>0.30780000000000002</v>
      </c>
      <c r="AX377" s="624">
        <v>42067</v>
      </c>
      <c r="AY377" s="355">
        <v>1.6160000000000001E-2</v>
      </c>
      <c r="AZ377" s="624">
        <v>42067</v>
      </c>
      <c r="BA377" s="355">
        <v>9.1999999999999998E-3</v>
      </c>
      <c r="BB377" s="624">
        <v>42067</v>
      </c>
      <c r="BC377" s="355">
        <v>0.26690000000000003</v>
      </c>
      <c r="BD377" s="624">
        <v>42067</v>
      </c>
      <c r="BE377" s="355">
        <v>9.0770000000000003E-2</v>
      </c>
      <c r="BF377" s="624">
        <v>42073</v>
      </c>
      <c r="BG377" s="355">
        <v>1.5913E-2</v>
      </c>
      <c r="BH377" s="624">
        <v>42067</v>
      </c>
      <c r="BI377" s="355">
        <v>7.6752000000000001E-2</v>
      </c>
      <c r="BJ377" s="624">
        <v>42067</v>
      </c>
      <c r="BK377" s="355">
        <v>3.0859999999999999E-2</v>
      </c>
    </row>
    <row r="378" spans="3:63">
      <c r="C378" s="624"/>
      <c r="D378" s="355">
        <v>3.5650000000000001E-2</v>
      </c>
      <c r="AV378" s="624">
        <v>42079</v>
      </c>
      <c r="AW378" s="355">
        <v>0.30809999999999998</v>
      </c>
      <c r="AX378" s="624">
        <v>42068</v>
      </c>
      <c r="AY378" s="355">
        <v>1.6400000000000001E-2</v>
      </c>
      <c r="AZ378" s="624">
        <v>42068</v>
      </c>
      <c r="BA378" s="355">
        <v>9.1000000000000004E-3</v>
      </c>
      <c r="BB378" s="624">
        <v>42068</v>
      </c>
      <c r="BC378" s="355">
        <v>0.2661</v>
      </c>
      <c r="BD378" s="624">
        <v>42068</v>
      </c>
      <c r="BE378" s="355">
        <v>9.0719999999999995E-2</v>
      </c>
      <c r="BF378" s="624">
        <v>42074</v>
      </c>
      <c r="BG378" s="355">
        <v>1.5928999999999999E-2</v>
      </c>
      <c r="BH378" s="624">
        <v>42068</v>
      </c>
      <c r="BI378" s="355">
        <v>7.6733999999999997E-2</v>
      </c>
      <c r="BJ378" s="624">
        <v>42068</v>
      </c>
      <c r="BK378" s="355">
        <v>3.0838000000000001E-2</v>
      </c>
    </row>
    <row r="379" spans="3:63">
      <c r="C379" s="624"/>
      <c r="D379" s="355">
        <v>3.567E-2</v>
      </c>
      <c r="AV379" s="624">
        <v>42080</v>
      </c>
      <c r="AW379" s="355">
        <v>0.30859999999999999</v>
      </c>
      <c r="AX379" s="624">
        <v>42069</v>
      </c>
      <c r="AY379" s="355">
        <v>1.6570000000000001E-2</v>
      </c>
      <c r="AZ379" s="624">
        <v>42069</v>
      </c>
      <c r="BA379" s="355">
        <v>8.9999999999999993E-3</v>
      </c>
      <c r="BB379" s="624">
        <v>42069</v>
      </c>
      <c r="BC379" s="355">
        <v>0.26250000000000001</v>
      </c>
      <c r="BD379" s="624">
        <v>42069</v>
      </c>
      <c r="BE379" s="355">
        <v>8.9990000000000001E-2</v>
      </c>
      <c r="BF379" s="624">
        <v>42075</v>
      </c>
      <c r="BG379" s="355">
        <v>1.6004000000000001E-2</v>
      </c>
      <c r="BH379" s="624">
        <v>42069</v>
      </c>
      <c r="BI379" s="355">
        <v>7.6337000000000002E-2</v>
      </c>
      <c r="BJ379" s="624">
        <v>42069</v>
      </c>
      <c r="BK379" s="355">
        <v>3.0693999999999999E-2</v>
      </c>
    </row>
    <row r="380" spans="3:63">
      <c r="C380" s="624"/>
      <c r="D380" s="355">
        <v>3.5659999999999997E-2</v>
      </c>
      <c r="AV380" s="624">
        <v>42081</v>
      </c>
      <c r="AW380" s="355">
        <v>0.31140000000000001</v>
      </c>
      <c r="AX380" s="624">
        <v>42072</v>
      </c>
      <c r="AY380" s="355">
        <v>1.652E-2</v>
      </c>
      <c r="AZ380" s="624">
        <v>42072</v>
      </c>
      <c r="BA380" s="355">
        <v>8.9999999999999993E-3</v>
      </c>
      <c r="BB380" s="624">
        <v>42072</v>
      </c>
      <c r="BC380" s="355">
        <v>0.26369999999999999</v>
      </c>
      <c r="BD380" s="624">
        <v>42072</v>
      </c>
      <c r="BE380" s="355">
        <v>8.9719999999999994E-2</v>
      </c>
      <c r="BF380" s="624">
        <v>42076</v>
      </c>
      <c r="BG380" s="355">
        <v>1.5852999999999999E-2</v>
      </c>
      <c r="BH380" s="624">
        <v>42072</v>
      </c>
      <c r="BI380" s="355">
        <v>7.6395000000000005E-2</v>
      </c>
      <c r="BJ380" s="624">
        <v>42072</v>
      </c>
      <c r="BK380" s="355">
        <v>3.0689000000000001E-2</v>
      </c>
    </row>
    <row r="381" spans="3:63">
      <c r="C381" s="624"/>
      <c r="D381" s="355">
        <v>3.569E-2</v>
      </c>
      <c r="AV381" s="624">
        <v>42082</v>
      </c>
      <c r="AW381" s="355">
        <v>0.30380000000000001</v>
      </c>
      <c r="AX381" s="624">
        <v>42073</v>
      </c>
      <c r="AY381" s="355">
        <v>1.6070000000000001E-2</v>
      </c>
      <c r="AZ381" s="624">
        <v>42073</v>
      </c>
      <c r="BA381" s="355">
        <v>8.8000000000000005E-3</v>
      </c>
      <c r="BB381" s="624">
        <v>42073</v>
      </c>
      <c r="BC381" s="355">
        <v>0.2571</v>
      </c>
      <c r="BD381" s="624">
        <v>42073</v>
      </c>
      <c r="BE381" s="355">
        <v>8.8700000000000001E-2</v>
      </c>
      <c r="BF381" s="624">
        <v>42079</v>
      </c>
      <c r="BG381" s="355">
        <v>1.5928999999999999E-2</v>
      </c>
      <c r="BH381" s="624">
        <v>42073</v>
      </c>
      <c r="BI381" s="355">
        <v>7.5383000000000006E-2</v>
      </c>
      <c r="BJ381" s="624">
        <v>42073</v>
      </c>
      <c r="BK381" s="355">
        <v>3.0571000000000001E-2</v>
      </c>
    </row>
    <row r="382" spans="3:63">
      <c r="C382" s="624"/>
      <c r="D382" s="355">
        <v>3.576E-2</v>
      </c>
      <c r="AV382" s="624">
        <v>42083</v>
      </c>
      <c r="AW382" s="355">
        <v>0.3095</v>
      </c>
      <c r="AX382" s="624">
        <v>42074</v>
      </c>
      <c r="AY382" s="355">
        <v>1.6279999999999999E-2</v>
      </c>
      <c r="AZ382" s="624">
        <v>42074</v>
      </c>
      <c r="BA382" s="355">
        <v>8.8999999999999999E-3</v>
      </c>
      <c r="BB382" s="624">
        <v>42074</v>
      </c>
      <c r="BC382" s="355">
        <v>0.25580000000000003</v>
      </c>
      <c r="BD382" s="624">
        <v>42074</v>
      </c>
      <c r="BE382" s="355">
        <v>8.8330000000000006E-2</v>
      </c>
      <c r="BF382" s="624">
        <v>42080</v>
      </c>
      <c r="BG382" s="355">
        <v>1.5966000000000001E-2</v>
      </c>
      <c r="BH382" s="624">
        <v>42074</v>
      </c>
      <c r="BI382" s="355">
        <v>7.5843999999999995E-2</v>
      </c>
      <c r="BJ382" s="624">
        <v>42074</v>
      </c>
      <c r="BK382" s="355">
        <v>3.0439999999999998E-2</v>
      </c>
    </row>
    <row r="383" spans="3:63">
      <c r="C383" s="624"/>
      <c r="D383" s="355">
        <v>3.5950000000000003E-2</v>
      </c>
      <c r="AV383" s="624">
        <v>42086</v>
      </c>
      <c r="AW383" s="355">
        <v>0.31919999999999998</v>
      </c>
      <c r="AX383" s="624">
        <v>42075</v>
      </c>
      <c r="AY383" s="355">
        <v>1.636E-2</v>
      </c>
      <c r="AZ383" s="624">
        <v>42075</v>
      </c>
      <c r="BA383" s="355">
        <v>8.8000000000000005E-3</v>
      </c>
      <c r="BB383" s="624">
        <v>42075</v>
      </c>
      <c r="BC383" s="355">
        <v>0.25679999999999997</v>
      </c>
      <c r="BD383" s="624">
        <v>42075</v>
      </c>
      <c r="BE383" s="355">
        <v>8.8840000000000002E-2</v>
      </c>
      <c r="BF383" s="624">
        <v>42081</v>
      </c>
      <c r="BG383" s="355">
        <v>1.6074000000000001E-2</v>
      </c>
      <c r="BH383" s="624">
        <v>42075</v>
      </c>
      <c r="BI383" s="355">
        <v>7.5786000000000006E-2</v>
      </c>
      <c r="BJ383" s="624">
        <v>42075</v>
      </c>
      <c r="BK383" s="355">
        <v>3.0439000000000001E-2</v>
      </c>
    </row>
    <row r="384" spans="3:63">
      <c r="C384" s="624"/>
      <c r="D384" s="355">
        <v>3.61E-2</v>
      </c>
      <c r="AV384" s="624">
        <v>42087</v>
      </c>
      <c r="AW384" s="355">
        <v>0.31859999999999999</v>
      </c>
      <c r="AX384" s="624">
        <v>42076</v>
      </c>
      <c r="AY384" s="355">
        <v>1.61E-2</v>
      </c>
      <c r="AZ384" s="624">
        <v>42076</v>
      </c>
      <c r="BA384" s="355">
        <v>8.6999999999999994E-3</v>
      </c>
      <c r="BB384" s="624">
        <v>42076</v>
      </c>
      <c r="BC384" s="355">
        <v>0.25290000000000001</v>
      </c>
      <c r="BD384" s="624">
        <v>42076</v>
      </c>
      <c r="BE384" s="355">
        <v>8.7859999999999994E-2</v>
      </c>
      <c r="BF384" s="624">
        <v>42082</v>
      </c>
      <c r="BG384" s="355">
        <v>1.6004000000000001E-2</v>
      </c>
      <c r="BH384" s="624">
        <v>42076</v>
      </c>
      <c r="BI384" s="355">
        <v>7.5393000000000002E-2</v>
      </c>
      <c r="BJ384" s="624">
        <v>42076</v>
      </c>
      <c r="BK384" s="355">
        <v>3.0321000000000001E-2</v>
      </c>
    </row>
    <row r="385" spans="3:63">
      <c r="C385" s="624"/>
      <c r="D385" s="355">
        <v>3.6159999999999998E-2</v>
      </c>
      <c r="AV385" s="624">
        <v>42088</v>
      </c>
      <c r="AW385" s="355">
        <v>0.31240000000000001</v>
      </c>
      <c r="AX385" s="624">
        <v>42079</v>
      </c>
      <c r="AY385" s="355">
        <v>1.6049999999999998E-2</v>
      </c>
      <c r="AZ385" s="624">
        <v>42079</v>
      </c>
      <c r="BA385" s="355">
        <v>8.8000000000000005E-3</v>
      </c>
      <c r="BB385" s="624">
        <v>42079</v>
      </c>
      <c r="BC385" s="355">
        <v>0.25590000000000002</v>
      </c>
      <c r="BD385" s="624">
        <v>42079</v>
      </c>
      <c r="BE385" s="355">
        <v>8.8349999999999998E-2</v>
      </c>
      <c r="BF385" s="624">
        <v>42083</v>
      </c>
      <c r="BG385" s="355">
        <v>1.6049999999999998E-2</v>
      </c>
      <c r="BH385" s="624">
        <v>42079</v>
      </c>
      <c r="BI385" s="355">
        <v>7.5791999999999998E-2</v>
      </c>
      <c r="BJ385" s="624">
        <v>42079</v>
      </c>
      <c r="BK385" s="355">
        <v>3.039E-2</v>
      </c>
    </row>
    <row r="386" spans="3:63">
      <c r="C386" s="624"/>
      <c r="D386" s="355">
        <v>3.6139999999999999E-2</v>
      </c>
      <c r="AV386" s="624">
        <v>42089</v>
      </c>
      <c r="AW386" s="355">
        <v>0.314</v>
      </c>
      <c r="AX386" s="624">
        <v>42080</v>
      </c>
      <c r="AY386" s="355">
        <v>1.6289999999999999E-2</v>
      </c>
      <c r="AZ386" s="624">
        <v>42080</v>
      </c>
      <c r="BA386" s="355">
        <v>8.8000000000000005E-3</v>
      </c>
      <c r="BB386" s="624">
        <v>42080</v>
      </c>
      <c r="BC386" s="355">
        <v>0.25619999999999998</v>
      </c>
      <c r="BD386" s="624">
        <v>42080</v>
      </c>
      <c r="BE386" s="355">
        <v>8.8550000000000004E-2</v>
      </c>
      <c r="BF386" s="624">
        <v>42086</v>
      </c>
      <c r="BG386" s="355">
        <v>1.6087000000000001E-2</v>
      </c>
      <c r="BH386" s="624">
        <v>42080</v>
      </c>
      <c r="BI386" s="355">
        <v>7.5953000000000007E-2</v>
      </c>
      <c r="BJ386" s="624">
        <v>42080</v>
      </c>
      <c r="BK386" s="355">
        <v>3.0370000000000001E-2</v>
      </c>
    </row>
    <row r="387" spans="3:63">
      <c r="C387" s="624"/>
      <c r="D387" s="355">
        <v>3.6049999999999999E-2</v>
      </c>
      <c r="AV387" s="624">
        <v>42090</v>
      </c>
      <c r="AW387" s="355">
        <v>0.30790000000000001</v>
      </c>
      <c r="AX387" s="624">
        <v>42081</v>
      </c>
      <c r="AY387" s="355">
        <v>1.6889999999999999E-2</v>
      </c>
      <c r="AZ387" s="624">
        <v>42081</v>
      </c>
      <c r="BA387" s="355">
        <v>9.1000000000000004E-3</v>
      </c>
      <c r="BB387" s="624">
        <v>42081</v>
      </c>
      <c r="BC387" s="355">
        <v>0.26290000000000002</v>
      </c>
      <c r="BD387" s="624">
        <v>42081</v>
      </c>
      <c r="BE387" s="355">
        <v>8.9950000000000002E-2</v>
      </c>
      <c r="BF387" s="624">
        <v>42087</v>
      </c>
      <c r="BG387" s="355">
        <v>1.6038E-2</v>
      </c>
      <c r="BH387" s="624">
        <v>42081</v>
      </c>
      <c r="BI387" s="355">
        <v>7.6370999999999994E-2</v>
      </c>
      <c r="BJ387" s="624">
        <v>42081</v>
      </c>
      <c r="BK387" s="355">
        <v>3.0594E-2</v>
      </c>
    </row>
    <row r="388" spans="3:63">
      <c r="C388" s="624"/>
      <c r="D388" s="355">
        <v>3.6040000000000003E-2</v>
      </c>
      <c r="AV388" s="624">
        <v>42093</v>
      </c>
      <c r="AW388" s="355">
        <v>0.30959999999999999</v>
      </c>
      <c r="AX388" s="624">
        <v>42082</v>
      </c>
      <c r="AY388" s="355">
        <v>1.6660000000000001E-2</v>
      </c>
      <c r="AZ388" s="624">
        <v>42082</v>
      </c>
      <c r="BA388" s="355">
        <v>8.8999999999999999E-3</v>
      </c>
      <c r="BB388" s="624">
        <v>42082</v>
      </c>
      <c r="BC388" s="355">
        <v>0.25800000000000001</v>
      </c>
      <c r="BD388" s="624">
        <v>42082</v>
      </c>
      <c r="BE388" s="355">
        <v>8.9130000000000001E-2</v>
      </c>
      <c r="BF388" s="624">
        <v>42088</v>
      </c>
      <c r="BG388" s="355">
        <v>1.6021000000000001E-2</v>
      </c>
      <c r="BH388" s="624">
        <v>42082</v>
      </c>
      <c r="BI388" s="355">
        <v>7.6517000000000002E-2</v>
      </c>
      <c r="BJ388" s="624">
        <v>42082</v>
      </c>
      <c r="BK388" s="355">
        <v>3.0544000000000002E-2</v>
      </c>
    </row>
    <row r="389" spans="3:63">
      <c r="C389" s="624"/>
      <c r="D389" s="355">
        <v>3.5920000000000001E-2</v>
      </c>
      <c r="AV389" s="624">
        <v>42094</v>
      </c>
      <c r="AW389" s="355">
        <v>0.31280000000000002</v>
      </c>
      <c r="AX389" s="624">
        <v>42083</v>
      </c>
      <c r="AY389" s="355">
        <v>1.686E-2</v>
      </c>
      <c r="AZ389" s="624">
        <v>42083</v>
      </c>
      <c r="BA389" s="355">
        <v>8.9999999999999993E-3</v>
      </c>
      <c r="BB389" s="624">
        <v>42083</v>
      </c>
      <c r="BC389" s="355">
        <v>0.26169999999999999</v>
      </c>
      <c r="BD389" s="624">
        <v>42083</v>
      </c>
      <c r="BE389" s="355">
        <v>8.9800000000000005E-2</v>
      </c>
      <c r="BF389" s="624">
        <v>42089</v>
      </c>
      <c r="BG389" s="355">
        <v>1.5892E-2</v>
      </c>
      <c r="BH389" s="624">
        <v>42083</v>
      </c>
      <c r="BI389" s="355">
        <v>7.6763999999999999E-2</v>
      </c>
      <c r="BJ389" s="624">
        <v>42083</v>
      </c>
      <c r="BK389" s="355">
        <v>3.0741999999999998E-2</v>
      </c>
    </row>
    <row r="390" spans="3:63">
      <c r="C390" s="624"/>
      <c r="D390" s="355">
        <v>3.5950000000000003E-2</v>
      </c>
      <c r="AV390" s="624">
        <v>42095</v>
      </c>
      <c r="AW390" s="355">
        <v>0.316</v>
      </c>
      <c r="AX390" s="624">
        <v>42086</v>
      </c>
      <c r="AY390" s="355">
        <v>1.703E-2</v>
      </c>
      <c r="AZ390" s="624">
        <v>42086</v>
      </c>
      <c r="BA390" s="355">
        <v>9.1000000000000004E-3</v>
      </c>
      <c r="BB390" s="624">
        <v>42086</v>
      </c>
      <c r="BC390" s="355">
        <v>0.26650000000000001</v>
      </c>
      <c r="BD390" s="624">
        <v>42086</v>
      </c>
      <c r="BE390" s="355">
        <v>9.0620000000000006E-2</v>
      </c>
      <c r="BF390" s="624">
        <v>42090</v>
      </c>
      <c r="BG390" s="355">
        <v>1.5984999999999999E-2</v>
      </c>
      <c r="BH390" s="624">
        <v>42086</v>
      </c>
      <c r="BI390" s="355">
        <v>7.6988000000000001E-2</v>
      </c>
      <c r="BJ390" s="624">
        <v>42086</v>
      </c>
      <c r="BK390" s="355">
        <v>3.0765000000000001E-2</v>
      </c>
    </row>
    <row r="391" spans="3:63">
      <c r="C391" s="624"/>
      <c r="D391" s="355">
        <v>3.5979999999999998E-2</v>
      </c>
      <c r="AV391" s="624">
        <v>42096</v>
      </c>
      <c r="AW391" s="355">
        <v>0.32</v>
      </c>
      <c r="AX391" s="624">
        <v>42087</v>
      </c>
      <c r="AY391" s="355">
        <v>1.7309999999999999E-2</v>
      </c>
      <c r="AZ391" s="624">
        <v>42087</v>
      </c>
      <c r="BA391" s="355">
        <v>9.1000000000000004E-3</v>
      </c>
      <c r="BB391" s="624">
        <v>42087</v>
      </c>
      <c r="BC391" s="355">
        <v>0.26700000000000002</v>
      </c>
      <c r="BD391" s="624">
        <v>42087</v>
      </c>
      <c r="BE391" s="355">
        <v>9.0609999999999996E-2</v>
      </c>
      <c r="BF391" s="624">
        <v>42093</v>
      </c>
      <c r="BG391" s="355">
        <v>1.5997999999999998E-2</v>
      </c>
      <c r="BH391" s="624">
        <v>42087</v>
      </c>
      <c r="BI391" s="355">
        <v>7.7340000000000006E-2</v>
      </c>
      <c r="BJ391" s="624">
        <v>42087</v>
      </c>
      <c r="BK391" s="355">
        <v>3.0769999999999999E-2</v>
      </c>
    </row>
    <row r="392" spans="3:63">
      <c r="C392" s="624"/>
      <c r="D392" s="355">
        <v>3.5979999999999998E-2</v>
      </c>
      <c r="AV392" s="624">
        <v>42097</v>
      </c>
      <c r="AW392" s="355">
        <v>0.32029999999999997</v>
      </c>
      <c r="AX392" s="624">
        <v>42088</v>
      </c>
      <c r="AY392" s="355">
        <v>1.7440000000000001E-2</v>
      </c>
      <c r="AZ392" s="624">
        <v>42088</v>
      </c>
      <c r="BA392" s="355">
        <v>9.1000000000000004E-3</v>
      </c>
      <c r="BB392" s="624">
        <v>42088</v>
      </c>
      <c r="BC392" s="355">
        <v>0.26850000000000002</v>
      </c>
      <c r="BD392" s="624">
        <v>42088</v>
      </c>
      <c r="BE392" s="355">
        <v>9.0819999999999998E-2</v>
      </c>
      <c r="BF392" s="624">
        <v>42094</v>
      </c>
      <c r="BG392" s="355">
        <v>1.6048E-2</v>
      </c>
      <c r="BH392" s="624">
        <v>42088</v>
      </c>
      <c r="BI392" s="355">
        <v>7.7048000000000005E-2</v>
      </c>
      <c r="BJ392" s="624">
        <v>42088</v>
      </c>
      <c r="BK392" s="355">
        <v>3.0735999999999999E-2</v>
      </c>
    </row>
    <row r="393" spans="3:63">
      <c r="C393" s="624"/>
      <c r="D393" s="355">
        <v>3.5979999999999998E-2</v>
      </c>
      <c r="AV393" s="624">
        <v>42100</v>
      </c>
      <c r="AW393" s="355">
        <v>0.31979999999999997</v>
      </c>
      <c r="AX393" s="624">
        <v>42089</v>
      </c>
      <c r="AY393" s="355">
        <v>1.745E-2</v>
      </c>
      <c r="AZ393" s="624">
        <v>42089</v>
      </c>
      <c r="BA393" s="355">
        <v>8.9999999999999993E-3</v>
      </c>
      <c r="BB393" s="624">
        <v>42089</v>
      </c>
      <c r="BC393" s="355">
        <v>0.26650000000000001</v>
      </c>
      <c r="BD393" s="624">
        <v>42089</v>
      </c>
      <c r="BE393" s="355">
        <v>9.0490000000000001E-2</v>
      </c>
      <c r="BF393" s="624">
        <v>42097</v>
      </c>
      <c r="BG393" s="355">
        <v>1.6138E-2</v>
      </c>
      <c r="BH393" s="624">
        <v>42089</v>
      </c>
      <c r="BI393" s="355">
        <v>7.6774999999999996E-2</v>
      </c>
      <c r="BJ393" s="624">
        <v>42089</v>
      </c>
      <c r="BK393" s="355">
        <v>3.0721999999999999E-2</v>
      </c>
    </row>
    <row r="394" spans="3:63">
      <c r="C394" s="624"/>
      <c r="D394" s="355">
        <v>3.61E-2</v>
      </c>
      <c r="AV394" s="624">
        <v>42101</v>
      </c>
      <c r="AW394" s="355">
        <v>0.31950000000000001</v>
      </c>
      <c r="AX394" s="624">
        <v>42090</v>
      </c>
      <c r="AY394" s="355">
        <v>1.729E-2</v>
      </c>
      <c r="AZ394" s="624">
        <v>42090</v>
      </c>
      <c r="BA394" s="355">
        <v>8.9999999999999993E-3</v>
      </c>
      <c r="BB394" s="624">
        <v>42090</v>
      </c>
      <c r="BC394" s="355">
        <v>0.26569999999999999</v>
      </c>
      <c r="BD394" s="624">
        <v>42090</v>
      </c>
      <c r="BE394" s="355">
        <v>9.06E-2</v>
      </c>
      <c r="BF394" s="624">
        <v>42100</v>
      </c>
      <c r="BG394" s="355">
        <v>1.6081000000000002E-2</v>
      </c>
      <c r="BH394" s="624">
        <v>42090</v>
      </c>
      <c r="BI394" s="355">
        <v>7.6510999999999996E-2</v>
      </c>
      <c r="BJ394" s="624">
        <v>42090</v>
      </c>
      <c r="BK394" s="355">
        <v>3.0713000000000001E-2</v>
      </c>
    </row>
    <row r="395" spans="3:63">
      <c r="C395" s="624"/>
      <c r="D395" s="355">
        <v>3.6110000000000003E-2</v>
      </c>
      <c r="AV395" s="624">
        <v>42102</v>
      </c>
      <c r="AW395" s="355">
        <v>0.32800000000000001</v>
      </c>
      <c r="AX395" s="624">
        <v>42093</v>
      </c>
      <c r="AY395" s="355">
        <v>1.736E-2</v>
      </c>
      <c r="AZ395" s="624">
        <v>42093</v>
      </c>
      <c r="BA395" s="355">
        <v>8.9999999999999993E-3</v>
      </c>
      <c r="BB395" s="624">
        <v>42093</v>
      </c>
      <c r="BC395" s="355">
        <v>0.2651</v>
      </c>
      <c r="BD395" s="624">
        <v>42093</v>
      </c>
      <c r="BE395" s="355">
        <v>9.0249999999999997E-2</v>
      </c>
      <c r="BF395" s="624">
        <v>42101</v>
      </c>
      <c r="BG395" s="355">
        <v>1.6052E-2</v>
      </c>
      <c r="BH395" s="624">
        <v>42093</v>
      </c>
      <c r="BI395" s="355">
        <v>7.6394000000000004E-2</v>
      </c>
      <c r="BJ395" s="624">
        <v>42093</v>
      </c>
      <c r="BK395" s="355">
        <v>3.0675000000000001E-2</v>
      </c>
    </row>
    <row r="396" spans="3:63">
      <c r="C396" s="624"/>
      <c r="D396" s="355">
        <v>3.6110000000000003E-2</v>
      </c>
      <c r="AV396" s="624">
        <v>42103</v>
      </c>
      <c r="AW396" s="355">
        <v>0.3271</v>
      </c>
      <c r="AX396" s="624">
        <v>42094</v>
      </c>
      <c r="AY396" s="355">
        <v>1.7180000000000001E-2</v>
      </c>
      <c r="AZ396" s="624">
        <v>42094</v>
      </c>
      <c r="BA396" s="355">
        <v>8.8999999999999999E-3</v>
      </c>
      <c r="BB396" s="624">
        <v>42094</v>
      </c>
      <c r="BC396" s="355">
        <v>0.26319999999999999</v>
      </c>
      <c r="BD396" s="624">
        <v>42094</v>
      </c>
      <c r="BE396" s="355">
        <v>9.0149999999999994E-2</v>
      </c>
      <c r="BF396" s="624">
        <v>42102</v>
      </c>
      <c r="BG396" s="355">
        <v>1.6074000000000001E-2</v>
      </c>
      <c r="BH396" s="624">
        <v>42094</v>
      </c>
      <c r="BI396" s="355">
        <v>7.6505000000000004E-2</v>
      </c>
      <c r="BJ396" s="624">
        <v>42094</v>
      </c>
      <c r="BK396" s="355">
        <v>3.0700000000000002E-2</v>
      </c>
    </row>
    <row r="397" spans="3:63">
      <c r="C397" s="624"/>
      <c r="D397" s="355">
        <v>3.628E-2</v>
      </c>
      <c r="AV397" s="624">
        <v>42104</v>
      </c>
      <c r="AW397" s="355">
        <v>0.3251</v>
      </c>
      <c r="AX397" s="624">
        <v>42095</v>
      </c>
      <c r="AY397" s="355">
        <v>1.736E-2</v>
      </c>
      <c r="AZ397" s="624">
        <v>42095</v>
      </c>
      <c r="BA397" s="355">
        <v>8.9999999999999993E-3</v>
      </c>
      <c r="BB397" s="624">
        <v>42095</v>
      </c>
      <c r="BC397" s="355">
        <v>0.26519999999999999</v>
      </c>
      <c r="BD397" s="624">
        <v>42095</v>
      </c>
      <c r="BE397" s="355">
        <v>9.1039999999999996E-2</v>
      </c>
      <c r="BF397" s="624">
        <v>42103</v>
      </c>
      <c r="BG397" s="355">
        <v>1.6049000000000001E-2</v>
      </c>
      <c r="BH397" s="624">
        <v>42095</v>
      </c>
      <c r="BI397" s="355">
        <v>7.7071000000000001E-2</v>
      </c>
      <c r="BJ397" s="624">
        <v>42095</v>
      </c>
      <c r="BK397" s="355">
        <v>3.0778E-2</v>
      </c>
    </row>
    <row r="398" spans="3:63">
      <c r="C398" s="624"/>
      <c r="D398" s="355">
        <v>3.6269999999999997E-2</v>
      </c>
      <c r="AV398" s="624">
        <v>42107</v>
      </c>
      <c r="AW398" s="355">
        <v>0.32029999999999997</v>
      </c>
      <c r="AX398" s="624">
        <v>42096</v>
      </c>
      <c r="AY398" s="355">
        <v>1.771E-2</v>
      </c>
      <c r="AZ398" s="624">
        <v>42096</v>
      </c>
      <c r="BA398" s="355">
        <v>9.1000000000000004E-3</v>
      </c>
      <c r="BB398" s="624">
        <v>42096</v>
      </c>
      <c r="BC398" s="355">
        <v>0.26719999999999999</v>
      </c>
      <c r="BD398" s="624">
        <v>42096</v>
      </c>
      <c r="BE398" s="355">
        <v>9.1630000000000003E-2</v>
      </c>
      <c r="BF398" s="624">
        <v>42104</v>
      </c>
      <c r="BG398" s="355">
        <v>1.6057999999999999E-2</v>
      </c>
      <c r="BH398" s="624">
        <v>42096</v>
      </c>
      <c r="BI398" s="355">
        <v>7.6739000000000002E-2</v>
      </c>
      <c r="BJ398" s="624">
        <v>42096</v>
      </c>
      <c r="BK398" s="355">
        <v>3.0807000000000001E-2</v>
      </c>
    </row>
    <row r="399" spans="3:63">
      <c r="C399" s="624"/>
      <c r="D399" s="355">
        <v>3.6249999999999998E-2</v>
      </c>
      <c r="AV399" s="624">
        <v>42108</v>
      </c>
      <c r="AW399" s="355">
        <v>0.32650000000000001</v>
      </c>
      <c r="AX399" s="624">
        <v>42097</v>
      </c>
      <c r="AY399" s="355">
        <v>1.7690000000000001E-2</v>
      </c>
      <c r="AZ399" s="624">
        <v>42097</v>
      </c>
      <c r="BA399" s="355">
        <v>9.1000000000000004E-3</v>
      </c>
      <c r="BB399" s="624">
        <v>42097</v>
      </c>
      <c r="BC399" s="355">
        <v>0.27050000000000002</v>
      </c>
      <c r="BD399" s="624">
        <v>42097</v>
      </c>
      <c r="BE399" s="355">
        <v>9.2009999999999995E-2</v>
      </c>
      <c r="BF399" s="624">
        <v>42107</v>
      </c>
      <c r="BG399" s="355">
        <v>1.6018999999999999E-2</v>
      </c>
      <c r="BH399" s="624">
        <v>42097</v>
      </c>
      <c r="BI399" s="355">
        <v>7.7214000000000005E-2</v>
      </c>
      <c r="BJ399" s="624">
        <v>42097</v>
      </c>
      <c r="BK399" s="355">
        <v>3.0918000000000001E-2</v>
      </c>
    </row>
    <row r="400" spans="3:63">
      <c r="C400" s="624"/>
      <c r="D400" s="355">
        <v>3.61E-2</v>
      </c>
      <c r="AV400" s="624">
        <v>42109</v>
      </c>
      <c r="AW400" s="355">
        <v>0.33019999999999999</v>
      </c>
      <c r="AX400" s="624">
        <v>42100</v>
      </c>
      <c r="AY400" s="355">
        <v>1.806E-2</v>
      </c>
      <c r="AZ400" s="624">
        <v>42100</v>
      </c>
      <c r="BA400" s="355">
        <v>9.1000000000000004E-3</v>
      </c>
      <c r="BB400" s="624">
        <v>42100</v>
      </c>
      <c r="BC400" s="355">
        <v>0.26800000000000002</v>
      </c>
      <c r="BD400" s="624">
        <v>42100</v>
      </c>
      <c r="BE400" s="355">
        <v>9.2069999999999999E-2</v>
      </c>
      <c r="BF400" s="624">
        <v>42108</v>
      </c>
      <c r="BG400" s="355">
        <v>1.6057999999999999E-2</v>
      </c>
      <c r="BH400" s="624">
        <v>42100</v>
      </c>
      <c r="BI400" s="355">
        <v>7.7219999999999997E-2</v>
      </c>
      <c r="BJ400" s="624">
        <v>42100</v>
      </c>
      <c r="BK400" s="355">
        <v>3.0821000000000001E-2</v>
      </c>
    </row>
    <row r="401" spans="3:63">
      <c r="C401" s="624"/>
      <c r="D401" s="355">
        <v>3.61E-2</v>
      </c>
      <c r="AV401" s="624">
        <v>42110</v>
      </c>
      <c r="AW401" s="355">
        <v>0.33110000000000001</v>
      </c>
      <c r="AX401" s="624">
        <v>42101</v>
      </c>
      <c r="AY401" s="355">
        <v>1.8169999999999999E-2</v>
      </c>
      <c r="AZ401" s="624">
        <v>42101</v>
      </c>
      <c r="BA401" s="355">
        <v>8.9999999999999993E-3</v>
      </c>
      <c r="BB401" s="624">
        <v>42101</v>
      </c>
      <c r="BC401" s="355">
        <v>0.2676</v>
      </c>
      <c r="BD401" s="624">
        <v>42101</v>
      </c>
      <c r="BE401" s="355">
        <v>9.128E-2</v>
      </c>
      <c r="BF401" s="624">
        <v>42109</v>
      </c>
      <c r="BG401" s="355">
        <v>1.6029999999999999E-2</v>
      </c>
      <c r="BH401" s="624">
        <v>42101</v>
      </c>
      <c r="BI401" s="355">
        <v>7.6940999999999996E-2</v>
      </c>
      <c r="BJ401" s="624">
        <v>42101</v>
      </c>
      <c r="BK401" s="355">
        <v>3.0707999999999999E-2</v>
      </c>
    </row>
    <row r="402" spans="3:63">
      <c r="C402" s="624"/>
      <c r="D402" s="355">
        <v>3.6159999999999998E-2</v>
      </c>
      <c r="AV402" s="624">
        <v>42111</v>
      </c>
      <c r="AW402" s="355">
        <v>0.32900000000000001</v>
      </c>
      <c r="AX402" s="624">
        <v>42102</v>
      </c>
      <c r="AY402" s="355">
        <v>1.864E-2</v>
      </c>
      <c r="AZ402" s="624">
        <v>42102</v>
      </c>
      <c r="BA402" s="355">
        <v>8.9999999999999993E-3</v>
      </c>
      <c r="BB402" s="624">
        <v>42102</v>
      </c>
      <c r="BC402" s="355">
        <v>0.26910000000000001</v>
      </c>
      <c r="BD402" s="624">
        <v>42102</v>
      </c>
      <c r="BE402" s="355">
        <v>9.1499999999999998E-2</v>
      </c>
      <c r="BF402" s="624">
        <v>42110</v>
      </c>
      <c r="BG402" s="355">
        <v>1.6046000000000001E-2</v>
      </c>
      <c r="BH402" s="624">
        <v>42102</v>
      </c>
      <c r="BI402" s="355">
        <v>7.7148999999999995E-2</v>
      </c>
      <c r="BJ402" s="624">
        <v>42102</v>
      </c>
      <c r="BK402" s="355">
        <v>3.0714999999999999E-2</v>
      </c>
    </row>
    <row r="403" spans="3:63">
      <c r="C403" s="624"/>
      <c r="D403" s="355">
        <v>3.61E-2</v>
      </c>
      <c r="AV403" s="624">
        <v>42114</v>
      </c>
      <c r="AW403" s="355">
        <v>0.32990000000000003</v>
      </c>
      <c r="AX403" s="624">
        <v>42103</v>
      </c>
      <c r="AY403" s="355">
        <v>1.9279999999999999E-2</v>
      </c>
      <c r="AZ403" s="624">
        <v>42103</v>
      </c>
      <c r="BA403" s="355">
        <v>8.8999999999999999E-3</v>
      </c>
      <c r="BB403" s="624">
        <v>42103</v>
      </c>
      <c r="BC403" s="355">
        <v>0.26469999999999999</v>
      </c>
      <c r="BD403" s="624">
        <v>42103</v>
      </c>
      <c r="BE403" s="355">
        <v>9.1179999999999997E-2</v>
      </c>
      <c r="BF403" s="624">
        <v>42111</v>
      </c>
      <c r="BG403" s="355">
        <v>1.5990000000000001E-2</v>
      </c>
      <c r="BH403" s="624">
        <v>42103</v>
      </c>
      <c r="BI403" s="355">
        <v>7.7113000000000001E-2</v>
      </c>
      <c r="BJ403" s="624">
        <v>42103</v>
      </c>
      <c r="BK403" s="355">
        <v>3.0696000000000001E-2</v>
      </c>
    </row>
    <row r="404" spans="3:63">
      <c r="C404" s="624"/>
      <c r="D404" s="355">
        <v>3.6069999999999998E-2</v>
      </c>
      <c r="AV404" s="624">
        <v>42115</v>
      </c>
      <c r="AW404" s="355">
        <v>0.32969999999999999</v>
      </c>
      <c r="AX404" s="624">
        <v>42104</v>
      </c>
      <c r="AY404" s="355">
        <v>1.866E-2</v>
      </c>
      <c r="AZ404" s="624">
        <v>42104</v>
      </c>
      <c r="BA404" s="355">
        <v>8.8000000000000005E-3</v>
      </c>
      <c r="BB404" s="624">
        <v>42104</v>
      </c>
      <c r="BC404" s="355">
        <v>0.26350000000000001</v>
      </c>
      <c r="BD404" s="624">
        <v>42104</v>
      </c>
      <c r="BE404" s="355">
        <v>9.146E-2</v>
      </c>
      <c r="BF404" s="624">
        <v>42114</v>
      </c>
      <c r="BG404" s="355">
        <v>1.5833E-2</v>
      </c>
      <c r="BH404" s="624">
        <v>42104</v>
      </c>
      <c r="BI404" s="355">
        <v>7.7405000000000002E-2</v>
      </c>
      <c r="BJ404" s="624">
        <v>42104</v>
      </c>
      <c r="BK404" s="355">
        <v>3.0731000000000001E-2</v>
      </c>
    </row>
    <row r="405" spans="3:63">
      <c r="C405" s="624"/>
      <c r="D405" s="355">
        <v>3.61E-2</v>
      </c>
      <c r="AV405" s="624">
        <v>42116</v>
      </c>
      <c r="AW405" s="355">
        <v>0.3322</v>
      </c>
      <c r="AX405" s="624">
        <v>42107</v>
      </c>
      <c r="AY405" s="355">
        <v>1.9179999999999999E-2</v>
      </c>
      <c r="AZ405" s="624">
        <v>42107</v>
      </c>
      <c r="BA405" s="355">
        <v>8.8000000000000005E-3</v>
      </c>
      <c r="BB405" s="624">
        <v>42107</v>
      </c>
      <c r="BC405" s="355">
        <v>0.26369999999999999</v>
      </c>
      <c r="BD405" s="624">
        <v>42107</v>
      </c>
      <c r="BE405" s="355">
        <v>9.0759999999999993E-2</v>
      </c>
      <c r="BF405" s="624">
        <v>42115</v>
      </c>
      <c r="BG405" s="355">
        <v>1.5906E-2</v>
      </c>
      <c r="BH405" s="624">
        <v>42107</v>
      </c>
      <c r="BI405" s="355">
        <v>7.6712000000000002E-2</v>
      </c>
      <c r="BJ405" s="624">
        <v>42107</v>
      </c>
      <c r="BK405" s="355">
        <v>3.0720000000000001E-2</v>
      </c>
    </row>
    <row r="406" spans="3:63">
      <c r="C406" s="624"/>
      <c r="D406" s="355">
        <v>3.6299999999999999E-2</v>
      </c>
      <c r="AV406" s="624">
        <v>42117</v>
      </c>
      <c r="AW406" s="355">
        <v>0.3367</v>
      </c>
      <c r="AX406" s="624">
        <v>42108</v>
      </c>
      <c r="AY406" s="355">
        <v>1.9619999999999999E-2</v>
      </c>
      <c r="AZ406" s="624">
        <v>42108</v>
      </c>
      <c r="BA406" s="355">
        <v>8.8999999999999999E-3</v>
      </c>
      <c r="BB406" s="624">
        <v>42108</v>
      </c>
      <c r="BC406" s="355">
        <v>0.26540000000000002</v>
      </c>
      <c r="BD406" s="624">
        <v>42108</v>
      </c>
      <c r="BE406" s="355">
        <v>9.1579999999999995E-2</v>
      </c>
      <c r="BF406" s="624">
        <v>42116</v>
      </c>
      <c r="BG406" s="355">
        <v>1.5875E-2</v>
      </c>
      <c r="BH406" s="624">
        <v>42108</v>
      </c>
      <c r="BI406" s="355">
        <v>7.7285999999999994E-2</v>
      </c>
      <c r="BJ406" s="624">
        <v>42108</v>
      </c>
      <c r="BK406" s="355">
        <v>3.0786000000000001E-2</v>
      </c>
    </row>
    <row r="407" spans="3:63">
      <c r="C407" s="624"/>
      <c r="D407" s="355">
        <v>3.6310000000000002E-2</v>
      </c>
      <c r="AV407" s="624">
        <v>42118</v>
      </c>
      <c r="AW407" s="355">
        <v>0.33889999999999998</v>
      </c>
      <c r="AX407" s="624">
        <v>42109</v>
      </c>
      <c r="AY407" s="355">
        <v>2.0150000000000001E-2</v>
      </c>
      <c r="AZ407" s="624">
        <v>42109</v>
      </c>
      <c r="BA407" s="355">
        <v>8.8999999999999999E-3</v>
      </c>
      <c r="BB407" s="624">
        <v>42109</v>
      </c>
      <c r="BC407" s="355">
        <v>0.26569999999999999</v>
      </c>
      <c r="BD407" s="624">
        <v>42109</v>
      </c>
      <c r="BE407" s="355">
        <v>9.1539999999999996E-2</v>
      </c>
      <c r="BF407" s="624">
        <v>42117</v>
      </c>
      <c r="BG407" s="355">
        <v>1.5803999999999999E-2</v>
      </c>
      <c r="BH407" s="624">
        <v>42109</v>
      </c>
      <c r="BI407" s="355">
        <v>7.7440999999999996E-2</v>
      </c>
      <c r="BJ407" s="624">
        <v>42109</v>
      </c>
      <c r="BK407" s="355">
        <v>3.0839999999999999E-2</v>
      </c>
    </row>
    <row r="408" spans="3:63">
      <c r="C408" s="624"/>
      <c r="D408" s="355">
        <v>3.6380000000000003E-2</v>
      </c>
      <c r="AV408" s="624">
        <v>42121</v>
      </c>
      <c r="AW408" s="355">
        <v>0.34279999999999999</v>
      </c>
      <c r="AX408" s="624">
        <v>42110</v>
      </c>
      <c r="AY408" s="355">
        <v>2.0080000000000001E-2</v>
      </c>
      <c r="AZ408" s="624">
        <v>42110</v>
      </c>
      <c r="BA408" s="355">
        <v>8.9999999999999993E-3</v>
      </c>
      <c r="BB408" s="624">
        <v>42110</v>
      </c>
      <c r="BC408" s="355">
        <v>0.26729999999999998</v>
      </c>
      <c r="BD408" s="624">
        <v>42110</v>
      </c>
      <c r="BE408" s="355">
        <v>9.221E-2</v>
      </c>
      <c r="BF408" s="624">
        <v>42118</v>
      </c>
      <c r="BG408" s="355">
        <v>1.5678000000000001E-2</v>
      </c>
      <c r="BH408" s="624">
        <v>42110</v>
      </c>
      <c r="BI408" s="355">
        <v>7.7923999999999993E-2</v>
      </c>
      <c r="BJ408" s="624">
        <v>42110</v>
      </c>
      <c r="BK408" s="355">
        <v>3.0869000000000001E-2</v>
      </c>
    </row>
    <row r="409" spans="3:63">
      <c r="C409" s="624"/>
      <c r="D409" s="355">
        <v>3.6389999999999999E-2</v>
      </c>
      <c r="AV409" s="624">
        <v>42122</v>
      </c>
      <c r="AW409" s="355">
        <v>0.3402</v>
      </c>
      <c r="AX409" s="624">
        <v>42111</v>
      </c>
      <c r="AY409" s="355">
        <v>1.925E-2</v>
      </c>
      <c r="AZ409" s="624">
        <v>42111</v>
      </c>
      <c r="BA409" s="355">
        <v>8.9999999999999993E-3</v>
      </c>
      <c r="BB409" s="624">
        <v>42111</v>
      </c>
      <c r="BC409" s="355">
        <v>0.26840000000000003</v>
      </c>
      <c r="BD409" s="624">
        <v>42111</v>
      </c>
      <c r="BE409" s="355">
        <v>9.2270000000000005E-2</v>
      </c>
      <c r="BF409" s="624">
        <v>42121</v>
      </c>
      <c r="BG409" s="355">
        <v>1.5802E-2</v>
      </c>
      <c r="BH409" s="624">
        <v>42111</v>
      </c>
      <c r="BI409" s="355">
        <v>7.7896000000000007E-2</v>
      </c>
      <c r="BJ409" s="624">
        <v>42111</v>
      </c>
      <c r="BK409" s="355">
        <v>3.0911999999999999E-2</v>
      </c>
    </row>
    <row r="410" spans="3:63">
      <c r="C410" s="624"/>
      <c r="D410" s="355">
        <v>3.6400000000000002E-2</v>
      </c>
      <c r="AV410" s="624">
        <v>42123</v>
      </c>
      <c r="AW410" s="355">
        <v>0.3377</v>
      </c>
      <c r="AX410" s="624">
        <v>42114</v>
      </c>
      <c r="AY410" s="355">
        <v>1.8749999999999999E-2</v>
      </c>
      <c r="AZ410" s="624">
        <v>42114</v>
      </c>
      <c r="BA410" s="355">
        <v>8.9999999999999993E-3</v>
      </c>
      <c r="BB410" s="624">
        <v>42114</v>
      </c>
      <c r="BC410" s="355">
        <v>0.26910000000000001</v>
      </c>
      <c r="BD410" s="624">
        <v>42114</v>
      </c>
      <c r="BE410" s="355">
        <v>9.2310000000000003E-2</v>
      </c>
      <c r="BF410" s="624">
        <v>42122</v>
      </c>
      <c r="BG410" s="355">
        <v>1.5859000000000002E-2</v>
      </c>
      <c r="BH410" s="624">
        <v>42114</v>
      </c>
      <c r="BI410" s="355">
        <v>7.6887999999999998E-2</v>
      </c>
      <c r="BJ410" s="624">
        <v>42114</v>
      </c>
      <c r="BK410" s="355">
        <v>3.0856999999999999E-2</v>
      </c>
    </row>
    <row r="411" spans="3:63">
      <c r="C411" s="624"/>
      <c r="D411" s="355">
        <v>3.644E-2</v>
      </c>
      <c r="AV411" s="624">
        <v>42124</v>
      </c>
      <c r="AW411" s="355">
        <v>0.33160000000000001</v>
      </c>
      <c r="AX411" s="624">
        <v>42115</v>
      </c>
      <c r="AY411" s="355">
        <v>1.8599999999999998E-2</v>
      </c>
      <c r="AZ411" s="624">
        <v>42115</v>
      </c>
      <c r="BA411" s="355">
        <v>8.9999999999999993E-3</v>
      </c>
      <c r="BB411" s="624">
        <v>42115</v>
      </c>
      <c r="BC411" s="355">
        <v>0.26929999999999998</v>
      </c>
      <c r="BD411" s="624">
        <v>42115</v>
      </c>
      <c r="BE411" s="355">
        <v>9.2340000000000005E-2</v>
      </c>
      <c r="BF411" s="624">
        <v>42123</v>
      </c>
      <c r="BG411" s="355">
        <v>1.5757E-2</v>
      </c>
      <c r="BH411" s="624">
        <v>42115</v>
      </c>
      <c r="BI411" s="355">
        <v>7.7202000000000007E-2</v>
      </c>
      <c r="BJ411" s="624">
        <v>42115</v>
      </c>
      <c r="BK411" s="355">
        <v>3.0886E-2</v>
      </c>
    </row>
    <row r="412" spans="3:63">
      <c r="C412" s="624"/>
      <c r="D412" s="355">
        <v>3.6510000000000001E-2</v>
      </c>
      <c r="AV412" s="624">
        <v>42125</v>
      </c>
      <c r="AW412" s="355">
        <v>0.33179999999999998</v>
      </c>
      <c r="AX412" s="624">
        <v>42116</v>
      </c>
      <c r="AY412" s="355">
        <v>1.9199999999999998E-2</v>
      </c>
      <c r="AZ412" s="624">
        <v>42116</v>
      </c>
      <c r="BA412" s="355">
        <v>8.8999999999999999E-3</v>
      </c>
      <c r="BB412" s="624">
        <v>42116</v>
      </c>
      <c r="BC412" s="355">
        <v>0.26889999999999997</v>
      </c>
      <c r="BD412" s="624">
        <v>42116</v>
      </c>
      <c r="BE412" s="355">
        <v>9.2249999999999999E-2</v>
      </c>
      <c r="BF412" s="624">
        <v>42124</v>
      </c>
      <c r="BG412" s="355">
        <v>1.5740000000000001E-2</v>
      </c>
      <c r="BH412" s="624">
        <v>42116</v>
      </c>
      <c r="BI412" s="355">
        <v>7.7341999999999994E-2</v>
      </c>
      <c r="BJ412" s="624">
        <v>42116</v>
      </c>
      <c r="BK412" s="355">
        <v>3.0886E-2</v>
      </c>
    </row>
    <row r="413" spans="3:63">
      <c r="C413" s="624"/>
      <c r="D413" s="355">
        <v>3.6549999999999999E-2</v>
      </c>
      <c r="AV413" s="624">
        <v>42128</v>
      </c>
      <c r="AW413" s="355">
        <v>0.3241</v>
      </c>
      <c r="AX413" s="624">
        <v>42117</v>
      </c>
      <c r="AY413" s="355">
        <v>1.9699999999999999E-2</v>
      </c>
      <c r="AZ413" s="624">
        <v>42117</v>
      </c>
      <c r="BA413" s="355">
        <v>8.9999999999999993E-3</v>
      </c>
      <c r="BB413" s="624">
        <v>42117</v>
      </c>
      <c r="BC413" s="355">
        <v>0.27050000000000002</v>
      </c>
      <c r="BD413" s="624">
        <v>42117</v>
      </c>
      <c r="BE413" s="355">
        <v>9.2499999999999999E-2</v>
      </c>
      <c r="BF413" s="624">
        <v>42125</v>
      </c>
      <c r="BG413" s="355">
        <v>1.5692000000000001E-2</v>
      </c>
      <c r="BH413" s="624">
        <v>42117</v>
      </c>
      <c r="BI413" s="355">
        <v>7.7310000000000004E-2</v>
      </c>
      <c r="BJ413" s="624">
        <v>42117</v>
      </c>
      <c r="BK413" s="355">
        <v>3.0817000000000001E-2</v>
      </c>
    </row>
    <row r="414" spans="3:63">
      <c r="C414" s="624"/>
      <c r="D414" s="355">
        <v>3.6630000000000003E-2</v>
      </c>
      <c r="AV414" s="624">
        <v>42129</v>
      </c>
      <c r="AW414" s="355">
        <v>0.3271</v>
      </c>
      <c r="AX414" s="624">
        <v>42118</v>
      </c>
      <c r="AY414" s="355">
        <v>1.9650000000000001E-2</v>
      </c>
      <c r="AZ414" s="624">
        <v>42118</v>
      </c>
      <c r="BA414" s="355">
        <v>8.9999999999999993E-3</v>
      </c>
      <c r="BB414" s="624">
        <v>42118</v>
      </c>
      <c r="BC414" s="355">
        <v>0.26950000000000002</v>
      </c>
      <c r="BD414" s="624">
        <v>42118</v>
      </c>
      <c r="BE414" s="355">
        <v>9.2899999999999996E-2</v>
      </c>
      <c r="BF414" s="624">
        <v>42128</v>
      </c>
      <c r="BG414" s="355">
        <v>1.5717999999999999E-2</v>
      </c>
      <c r="BH414" s="624">
        <v>42118</v>
      </c>
      <c r="BI414" s="355">
        <v>7.7200000000000005E-2</v>
      </c>
      <c r="BJ414" s="624">
        <v>42118</v>
      </c>
      <c r="BK414" s="355">
        <v>3.0713000000000001E-2</v>
      </c>
    </row>
    <row r="415" spans="3:63">
      <c r="C415" s="624"/>
      <c r="D415" s="355">
        <v>3.6799999999999999E-2</v>
      </c>
      <c r="AV415" s="624">
        <v>42130</v>
      </c>
      <c r="AW415" s="355">
        <v>0.3296</v>
      </c>
      <c r="AX415" s="624">
        <v>42121</v>
      </c>
      <c r="AY415" s="355">
        <v>1.9279999999999999E-2</v>
      </c>
      <c r="AZ415" s="624">
        <v>42121</v>
      </c>
      <c r="BA415" s="355">
        <v>8.9999999999999993E-3</v>
      </c>
      <c r="BB415" s="624">
        <v>42121</v>
      </c>
      <c r="BC415" s="355">
        <v>0.27300000000000002</v>
      </c>
      <c r="BD415" s="624">
        <v>42121</v>
      </c>
      <c r="BE415" s="355">
        <v>9.3560000000000004E-2</v>
      </c>
      <c r="BF415" s="624">
        <v>42129</v>
      </c>
      <c r="BG415" s="355">
        <v>1.5785E-2</v>
      </c>
      <c r="BH415" s="624">
        <v>42121</v>
      </c>
      <c r="BI415" s="355">
        <v>7.7223E-2</v>
      </c>
      <c r="BJ415" s="624">
        <v>42121</v>
      </c>
      <c r="BK415" s="355">
        <v>3.0676999999999999E-2</v>
      </c>
    </row>
    <row r="416" spans="3:63">
      <c r="C416" s="624"/>
      <c r="D416" s="355">
        <v>3.6700000000000003E-2</v>
      </c>
      <c r="AV416" s="624">
        <v>42131</v>
      </c>
      <c r="AW416" s="355">
        <v>0.3306</v>
      </c>
      <c r="AX416" s="624">
        <v>42122</v>
      </c>
      <c r="AY416" s="355">
        <v>1.9470000000000001E-2</v>
      </c>
      <c r="AZ416" s="624">
        <v>42122</v>
      </c>
      <c r="BA416" s="355">
        <v>9.1000000000000004E-3</v>
      </c>
      <c r="BB416" s="624">
        <v>42122</v>
      </c>
      <c r="BC416" s="355">
        <v>0.27500000000000002</v>
      </c>
      <c r="BD416" s="624">
        <v>42122</v>
      </c>
      <c r="BE416" s="355">
        <v>9.393E-2</v>
      </c>
      <c r="BF416" s="624">
        <v>42130</v>
      </c>
      <c r="BG416" s="355">
        <v>1.5727000000000001E-2</v>
      </c>
      <c r="BH416" s="624">
        <v>42122</v>
      </c>
      <c r="BI416" s="355">
        <v>7.7273999999999995E-2</v>
      </c>
      <c r="BJ416" s="624">
        <v>42122</v>
      </c>
      <c r="BK416" s="355">
        <v>3.0636E-2</v>
      </c>
    </row>
    <row r="417" spans="3:63">
      <c r="C417" s="624"/>
      <c r="D417" s="355">
        <v>3.6790000000000003E-2</v>
      </c>
      <c r="AV417" s="624">
        <v>42132</v>
      </c>
      <c r="AW417" s="355">
        <v>0.33610000000000001</v>
      </c>
      <c r="AX417" s="624">
        <v>42123</v>
      </c>
      <c r="AY417" s="355">
        <v>1.9599999999999999E-2</v>
      </c>
      <c r="AZ417" s="624">
        <v>42123</v>
      </c>
      <c r="BA417" s="355">
        <v>9.1999999999999998E-3</v>
      </c>
      <c r="BB417" s="624">
        <v>42123</v>
      </c>
      <c r="BC417" s="355">
        <v>0.27739999999999998</v>
      </c>
      <c r="BD417" s="624">
        <v>42123</v>
      </c>
      <c r="BE417" s="355">
        <v>9.3429999999999999E-2</v>
      </c>
      <c r="BF417" s="624">
        <v>42131</v>
      </c>
      <c r="BG417" s="355">
        <v>1.5589E-2</v>
      </c>
      <c r="BH417" s="624">
        <v>42123</v>
      </c>
      <c r="BI417" s="355">
        <v>7.7386999999999997E-2</v>
      </c>
      <c r="BJ417" s="624">
        <v>42123</v>
      </c>
      <c r="BK417" s="355">
        <v>3.0454999999999999E-2</v>
      </c>
    </row>
    <row r="418" spans="3:63">
      <c r="C418" s="624"/>
      <c r="D418" s="355">
        <v>3.6810000000000002E-2</v>
      </c>
      <c r="AV418" s="624">
        <v>42135</v>
      </c>
      <c r="AW418" s="355">
        <v>0.32669999999999999</v>
      </c>
      <c r="AX418" s="624">
        <v>42124</v>
      </c>
      <c r="AY418" s="355">
        <v>1.9369999999999998E-2</v>
      </c>
      <c r="AZ418" s="624">
        <v>42124</v>
      </c>
      <c r="BA418" s="355">
        <v>9.2999999999999992E-3</v>
      </c>
      <c r="BB418" s="624">
        <v>42124</v>
      </c>
      <c r="BC418" s="355">
        <v>0.27750000000000002</v>
      </c>
      <c r="BD418" s="624">
        <v>42124</v>
      </c>
      <c r="BE418" s="355">
        <v>9.282E-2</v>
      </c>
      <c r="BF418" s="624">
        <v>42132</v>
      </c>
      <c r="BG418" s="355">
        <v>1.5703999999999999E-2</v>
      </c>
      <c r="BH418" s="624">
        <v>42124</v>
      </c>
      <c r="BI418" s="355">
        <v>7.7106999999999995E-2</v>
      </c>
      <c r="BJ418" s="624">
        <v>42124</v>
      </c>
      <c r="BK418" s="355">
        <v>3.0283000000000001E-2</v>
      </c>
    </row>
    <row r="419" spans="3:63">
      <c r="C419" s="624"/>
      <c r="D419" s="355">
        <v>3.6880000000000003E-2</v>
      </c>
      <c r="AV419" s="624">
        <v>42136</v>
      </c>
      <c r="AW419" s="355">
        <v>0.33119999999999999</v>
      </c>
      <c r="AX419" s="624">
        <v>42125</v>
      </c>
      <c r="AY419" s="355">
        <v>1.9269999999999999E-2</v>
      </c>
      <c r="AZ419" s="624">
        <v>42125</v>
      </c>
      <c r="BA419" s="355">
        <v>9.2999999999999992E-3</v>
      </c>
      <c r="BB419" s="624">
        <v>42125</v>
      </c>
      <c r="BC419" s="355">
        <v>0.27510000000000001</v>
      </c>
      <c r="BD419" s="624">
        <v>42125</v>
      </c>
      <c r="BE419" s="355">
        <v>9.2530000000000001E-2</v>
      </c>
      <c r="BF419" s="624">
        <v>42135</v>
      </c>
      <c r="BG419" s="355">
        <v>1.5606999999999999E-2</v>
      </c>
      <c r="BH419" s="624">
        <v>42125</v>
      </c>
      <c r="BI419" s="355">
        <v>7.6869999999999994E-2</v>
      </c>
      <c r="BJ419" s="624">
        <v>42125</v>
      </c>
      <c r="BK419" s="355">
        <v>3.0089000000000001E-2</v>
      </c>
    </row>
    <row r="420" spans="3:63">
      <c r="C420" s="624"/>
      <c r="D420" s="355">
        <v>3.6929999999999998E-2</v>
      </c>
      <c r="AV420" s="624">
        <v>42137</v>
      </c>
      <c r="AW420" s="355">
        <v>0.32900000000000001</v>
      </c>
      <c r="AX420" s="624">
        <v>42128</v>
      </c>
      <c r="AY420" s="355">
        <v>1.9189999999999999E-2</v>
      </c>
      <c r="AZ420" s="624">
        <v>42128</v>
      </c>
      <c r="BA420" s="355">
        <v>9.1999999999999998E-3</v>
      </c>
      <c r="BB420" s="624">
        <v>42128</v>
      </c>
      <c r="BC420" s="355">
        <v>0.2767</v>
      </c>
      <c r="BD420" s="624">
        <v>42128</v>
      </c>
      <c r="BE420" s="355">
        <v>9.2450000000000004E-2</v>
      </c>
      <c r="BF420" s="624">
        <v>42136</v>
      </c>
      <c r="BG420" s="355">
        <v>1.5566E-2</v>
      </c>
      <c r="BH420" s="624">
        <v>42128</v>
      </c>
      <c r="BI420" s="355">
        <v>7.7172000000000004E-2</v>
      </c>
      <c r="BJ420" s="624">
        <v>42128</v>
      </c>
      <c r="BK420" s="355">
        <v>2.9994E-2</v>
      </c>
    </row>
    <row r="421" spans="3:63">
      <c r="C421" s="624"/>
      <c r="D421" s="355">
        <v>3.6889999999999999E-2</v>
      </c>
      <c r="AV421" s="624">
        <v>42138</v>
      </c>
      <c r="AW421" s="355">
        <v>0.33400000000000002</v>
      </c>
      <c r="AX421" s="624">
        <v>42129</v>
      </c>
      <c r="AY421" s="355">
        <v>1.9789999999999999E-2</v>
      </c>
      <c r="AZ421" s="624">
        <v>42129</v>
      </c>
      <c r="BA421" s="355">
        <v>9.2999999999999992E-3</v>
      </c>
      <c r="BB421" s="624">
        <v>42129</v>
      </c>
      <c r="BC421" s="355">
        <v>0.27760000000000001</v>
      </c>
      <c r="BD421" s="624">
        <v>42129</v>
      </c>
      <c r="BE421" s="355">
        <v>9.2539999999999997E-2</v>
      </c>
      <c r="BF421" s="624">
        <v>42137</v>
      </c>
      <c r="BG421" s="355">
        <v>1.562E-2</v>
      </c>
      <c r="BH421" s="624">
        <v>42129</v>
      </c>
      <c r="BI421" s="355">
        <v>7.6770000000000005E-2</v>
      </c>
      <c r="BJ421" s="624">
        <v>42129</v>
      </c>
      <c r="BK421" s="355">
        <v>2.9989999999999999E-2</v>
      </c>
    </row>
    <row r="422" spans="3:63">
      <c r="C422" s="624"/>
      <c r="D422" s="355">
        <v>3.696E-2</v>
      </c>
      <c r="AV422" s="624">
        <v>42139</v>
      </c>
      <c r="AW422" s="355">
        <v>0.3337</v>
      </c>
      <c r="AX422" s="624">
        <v>42130</v>
      </c>
      <c r="AY422" s="355">
        <v>1.9730000000000001E-2</v>
      </c>
      <c r="AZ422" s="624">
        <v>42130</v>
      </c>
      <c r="BA422" s="355">
        <v>9.4000000000000004E-3</v>
      </c>
      <c r="BB422" s="624">
        <v>42130</v>
      </c>
      <c r="BC422" s="355">
        <v>0.28050000000000003</v>
      </c>
      <c r="BD422" s="624">
        <v>42130</v>
      </c>
      <c r="BE422" s="355">
        <v>9.2560000000000003E-2</v>
      </c>
      <c r="BF422" s="624">
        <v>42138</v>
      </c>
      <c r="BG422" s="355">
        <v>1.5764E-2</v>
      </c>
      <c r="BH422" s="624">
        <v>42130</v>
      </c>
      <c r="BI422" s="355">
        <v>7.6842999999999995E-2</v>
      </c>
      <c r="BJ422" s="624">
        <v>42130</v>
      </c>
      <c r="BK422" s="355">
        <v>3.0062999999999999E-2</v>
      </c>
    </row>
    <row r="423" spans="3:63">
      <c r="C423" s="624"/>
      <c r="D423" s="355">
        <v>3.6999999999999998E-2</v>
      </c>
      <c r="AV423" s="624">
        <v>42142</v>
      </c>
      <c r="AW423" s="355">
        <v>0.33260000000000001</v>
      </c>
      <c r="AX423" s="624">
        <v>42131</v>
      </c>
      <c r="AY423" s="355">
        <v>1.9910000000000001E-2</v>
      </c>
      <c r="AZ423" s="624">
        <v>42131</v>
      </c>
      <c r="BA423" s="355">
        <v>9.2999999999999992E-3</v>
      </c>
      <c r="BB423" s="624">
        <v>42131</v>
      </c>
      <c r="BC423" s="355">
        <v>0.27850000000000003</v>
      </c>
      <c r="BD423" s="624">
        <v>42131</v>
      </c>
      <c r="BE423" s="355">
        <v>9.1370000000000007E-2</v>
      </c>
      <c r="BF423" s="624">
        <v>42139</v>
      </c>
      <c r="BG423" s="355">
        <v>1.5762999999999999E-2</v>
      </c>
      <c r="BH423" s="624">
        <v>42131</v>
      </c>
      <c r="BI423" s="355">
        <v>7.6188000000000006E-2</v>
      </c>
      <c r="BJ423" s="624">
        <v>42131</v>
      </c>
      <c r="BK423" s="355">
        <v>2.9838E-2</v>
      </c>
    </row>
    <row r="424" spans="3:63">
      <c r="C424" s="624"/>
      <c r="D424" s="355">
        <v>3.7060000000000003E-2</v>
      </c>
      <c r="AV424" s="624">
        <v>42143</v>
      </c>
      <c r="AW424" s="355">
        <v>0.3291</v>
      </c>
      <c r="AX424" s="624">
        <v>42132</v>
      </c>
      <c r="AY424" s="355">
        <v>1.959E-2</v>
      </c>
      <c r="AZ424" s="624">
        <v>42132</v>
      </c>
      <c r="BA424" s="355">
        <v>9.2999999999999992E-3</v>
      </c>
      <c r="BB424" s="624">
        <v>42132</v>
      </c>
      <c r="BC424" s="355">
        <v>0.27689999999999998</v>
      </c>
      <c r="BD424" s="624">
        <v>42132</v>
      </c>
      <c r="BE424" s="355">
        <v>9.1920000000000002E-2</v>
      </c>
      <c r="BF424" s="624">
        <v>42142</v>
      </c>
      <c r="BG424" s="355">
        <v>1.5689000000000002E-2</v>
      </c>
      <c r="BH424" s="624">
        <v>42132</v>
      </c>
      <c r="BI424" s="355">
        <v>7.6672000000000004E-2</v>
      </c>
      <c r="BJ424" s="624">
        <v>42132</v>
      </c>
      <c r="BK424" s="355">
        <v>2.9805000000000002E-2</v>
      </c>
    </row>
    <row r="425" spans="3:63">
      <c r="C425" s="624"/>
      <c r="D425" s="355">
        <v>3.7170000000000002E-2</v>
      </c>
      <c r="AV425" s="624">
        <v>42144</v>
      </c>
      <c r="AW425" s="355">
        <v>0.33310000000000001</v>
      </c>
      <c r="AX425" s="624">
        <v>42135</v>
      </c>
      <c r="AY425" s="355">
        <v>1.95E-2</v>
      </c>
      <c r="AZ425" s="624">
        <v>42135</v>
      </c>
      <c r="BA425" s="355">
        <v>9.1999999999999998E-3</v>
      </c>
      <c r="BB425" s="624">
        <v>42135</v>
      </c>
      <c r="BC425" s="355">
        <v>0.27329999999999999</v>
      </c>
      <c r="BD425" s="624">
        <v>42135</v>
      </c>
      <c r="BE425" s="355">
        <v>9.1149999999999995E-2</v>
      </c>
      <c r="BF425" s="624">
        <v>42143</v>
      </c>
      <c r="BG425" s="355">
        <v>1.5682999999999999E-2</v>
      </c>
      <c r="BH425" s="624">
        <v>42135</v>
      </c>
      <c r="BI425" s="355">
        <v>7.5896000000000005E-2</v>
      </c>
      <c r="BJ425" s="624">
        <v>42135</v>
      </c>
      <c r="BK425" s="355">
        <v>2.9645999999999999E-2</v>
      </c>
    </row>
    <row r="426" spans="3:63">
      <c r="C426" s="624"/>
      <c r="D426" s="355">
        <v>3.6979999999999999E-2</v>
      </c>
      <c r="AV426" s="624">
        <v>42145</v>
      </c>
      <c r="AW426" s="355">
        <v>0.3291</v>
      </c>
      <c r="AX426" s="624">
        <v>42136</v>
      </c>
      <c r="AY426" s="355">
        <v>2.002E-2</v>
      </c>
      <c r="AZ426" s="624">
        <v>42136</v>
      </c>
      <c r="BA426" s="355">
        <v>9.2999999999999992E-3</v>
      </c>
      <c r="BB426" s="624">
        <v>42136</v>
      </c>
      <c r="BC426" s="355">
        <v>0.27339999999999998</v>
      </c>
      <c r="BD426" s="624">
        <v>42136</v>
      </c>
      <c r="BE426" s="355">
        <v>9.1469999999999996E-2</v>
      </c>
      <c r="BF426" s="624">
        <v>42144</v>
      </c>
      <c r="BG426" s="355">
        <v>1.5723000000000001E-2</v>
      </c>
      <c r="BH426" s="624">
        <v>42136</v>
      </c>
      <c r="BI426" s="355">
        <v>7.5994000000000006E-2</v>
      </c>
      <c r="BJ426" s="624">
        <v>42136</v>
      </c>
      <c r="BK426" s="355">
        <v>2.9648000000000001E-2</v>
      </c>
    </row>
    <row r="427" spans="3:63">
      <c r="C427" s="624"/>
      <c r="D427" s="355">
        <v>3.705E-2</v>
      </c>
      <c r="AV427" s="624">
        <v>42146</v>
      </c>
      <c r="AW427" s="355">
        <v>0.32329999999999998</v>
      </c>
      <c r="AX427" s="624">
        <v>42137</v>
      </c>
      <c r="AY427" s="355">
        <v>2.0279999999999999E-2</v>
      </c>
      <c r="AZ427" s="624">
        <v>42137</v>
      </c>
      <c r="BA427" s="355">
        <v>9.4000000000000004E-3</v>
      </c>
      <c r="BB427" s="624">
        <v>42137</v>
      </c>
      <c r="BC427" s="355">
        <v>0.2772</v>
      </c>
      <c r="BD427" s="624">
        <v>42137</v>
      </c>
      <c r="BE427" s="355">
        <v>9.1490000000000002E-2</v>
      </c>
      <c r="BF427" s="624">
        <v>42145</v>
      </c>
      <c r="BG427" s="355">
        <v>1.5720999999999999E-2</v>
      </c>
      <c r="BH427" s="624">
        <v>42137</v>
      </c>
      <c r="BI427" s="355">
        <v>7.6300999999999994E-2</v>
      </c>
      <c r="BJ427" s="624">
        <v>42137</v>
      </c>
      <c r="BK427" s="355">
        <v>2.9838E-2</v>
      </c>
    </row>
    <row r="428" spans="3:63">
      <c r="C428" s="624"/>
      <c r="D428" s="355">
        <v>3.6949999999999997E-2</v>
      </c>
      <c r="AV428" s="624">
        <v>42149</v>
      </c>
      <c r="AW428" s="355">
        <v>0.32269999999999999</v>
      </c>
      <c r="AX428" s="624">
        <v>42138</v>
      </c>
      <c r="AY428" s="355">
        <v>0.02</v>
      </c>
      <c r="AZ428" s="624">
        <v>42138</v>
      </c>
      <c r="BA428" s="355">
        <v>9.4999999999999998E-3</v>
      </c>
      <c r="BB428" s="624">
        <v>42138</v>
      </c>
      <c r="BC428" s="355">
        <v>0.28050000000000003</v>
      </c>
      <c r="BD428" s="624">
        <v>42138</v>
      </c>
      <c r="BE428" s="355">
        <v>9.1859999999999997E-2</v>
      </c>
      <c r="BF428" s="624">
        <v>42146</v>
      </c>
      <c r="BG428" s="355">
        <v>1.5737999999999999E-2</v>
      </c>
      <c r="BH428" s="624">
        <v>42138</v>
      </c>
      <c r="BI428" s="355">
        <v>7.6793E-2</v>
      </c>
      <c r="BJ428" s="624">
        <v>42138</v>
      </c>
      <c r="BK428" s="355">
        <v>2.9878999999999999E-2</v>
      </c>
    </row>
    <row r="429" spans="3:63">
      <c r="C429" s="624"/>
      <c r="D429" s="355">
        <v>3.7080000000000002E-2</v>
      </c>
      <c r="AV429" s="624">
        <v>42150</v>
      </c>
      <c r="AW429" s="355">
        <v>0.31709999999999999</v>
      </c>
      <c r="AX429" s="624">
        <v>42139</v>
      </c>
      <c r="AY429" s="355">
        <v>2.0199999999999999E-2</v>
      </c>
      <c r="AZ429" s="624">
        <v>42139</v>
      </c>
      <c r="BA429" s="355">
        <v>9.4999999999999998E-3</v>
      </c>
      <c r="BB429" s="624">
        <v>42139</v>
      </c>
      <c r="BC429" s="355">
        <v>0.28349999999999997</v>
      </c>
      <c r="BD429" s="624">
        <v>42139</v>
      </c>
      <c r="BE429" s="355">
        <v>9.2219999999999996E-2</v>
      </c>
      <c r="BF429" s="624">
        <v>42149</v>
      </c>
      <c r="BG429" s="355">
        <v>1.5723000000000001E-2</v>
      </c>
      <c r="BH429" s="624">
        <v>42139</v>
      </c>
      <c r="BI429" s="355">
        <v>7.6535000000000006E-2</v>
      </c>
      <c r="BJ429" s="624">
        <v>42139</v>
      </c>
      <c r="BK429" s="355">
        <v>2.9863000000000001E-2</v>
      </c>
    </row>
    <row r="430" spans="3:63">
      <c r="C430" s="624"/>
      <c r="D430" s="355">
        <v>3.6940000000000001E-2</v>
      </c>
      <c r="AV430" s="624">
        <v>42151</v>
      </c>
      <c r="AW430" s="355">
        <v>0.31850000000000001</v>
      </c>
      <c r="AX430" s="624">
        <v>42142</v>
      </c>
      <c r="AY430" s="355">
        <v>2.035E-2</v>
      </c>
      <c r="AZ430" s="624">
        <v>42142</v>
      </c>
      <c r="BA430" s="355">
        <v>9.4000000000000004E-3</v>
      </c>
      <c r="BB430" s="624">
        <v>42142</v>
      </c>
      <c r="BC430" s="355">
        <v>0.27760000000000001</v>
      </c>
      <c r="BD430" s="624">
        <v>42142</v>
      </c>
      <c r="BE430" s="355">
        <v>9.171E-2</v>
      </c>
      <c r="BF430" s="624">
        <v>42150</v>
      </c>
      <c r="BG430" s="355">
        <v>1.5632E-2</v>
      </c>
      <c r="BH430" s="624">
        <v>42142</v>
      </c>
      <c r="BI430" s="355">
        <v>7.5843999999999995E-2</v>
      </c>
      <c r="BJ430" s="624">
        <v>42142</v>
      </c>
      <c r="BK430" s="355">
        <v>2.9936999999999998E-2</v>
      </c>
    </row>
    <row r="431" spans="3:63">
      <c r="C431" s="624"/>
      <c r="D431" s="355">
        <v>3.7060000000000003E-2</v>
      </c>
      <c r="AV431" s="624">
        <v>42152</v>
      </c>
      <c r="AW431" s="355">
        <v>0.31619999999999998</v>
      </c>
      <c r="AX431" s="624">
        <v>42143</v>
      </c>
      <c r="AY431" s="355">
        <v>2.018E-2</v>
      </c>
      <c r="AZ431" s="624">
        <v>42143</v>
      </c>
      <c r="BA431" s="355">
        <v>9.1999999999999998E-3</v>
      </c>
      <c r="BB431" s="624">
        <v>42143</v>
      </c>
      <c r="BC431" s="355">
        <v>0.2752</v>
      </c>
      <c r="BD431" s="624">
        <v>42143</v>
      </c>
      <c r="BE431" s="355">
        <v>9.1289999999999996E-2</v>
      </c>
      <c r="BF431" s="624">
        <v>42151</v>
      </c>
      <c r="BG431" s="355">
        <v>1.5646E-2</v>
      </c>
      <c r="BH431" s="624">
        <v>42143</v>
      </c>
      <c r="BI431" s="355">
        <v>7.5850000000000001E-2</v>
      </c>
      <c r="BJ431" s="624">
        <v>42143</v>
      </c>
      <c r="BK431" s="355">
        <v>2.9839000000000001E-2</v>
      </c>
    </row>
    <row r="432" spans="3:63">
      <c r="C432" s="624"/>
      <c r="D432" s="355">
        <v>3.7069999999999999E-2</v>
      </c>
      <c r="AV432" s="624">
        <v>42153</v>
      </c>
      <c r="AW432" s="355">
        <v>0.3145</v>
      </c>
      <c r="AX432" s="624">
        <v>42144</v>
      </c>
      <c r="AY432" s="355">
        <v>2.0109999999999999E-2</v>
      </c>
      <c r="AZ432" s="624">
        <v>42144</v>
      </c>
      <c r="BA432" s="355">
        <v>9.1999999999999998E-3</v>
      </c>
      <c r="BB432" s="624">
        <v>42144</v>
      </c>
      <c r="BC432" s="355">
        <v>0.27210000000000001</v>
      </c>
      <c r="BD432" s="624">
        <v>42144</v>
      </c>
      <c r="BE432" s="355">
        <v>9.11E-2</v>
      </c>
      <c r="BF432" s="624">
        <v>42152</v>
      </c>
      <c r="BG432" s="355">
        <v>1.5679999999999999E-2</v>
      </c>
      <c r="BH432" s="624">
        <v>42144</v>
      </c>
      <c r="BI432" s="355">
        <v>7.6377E-2</v>
      </c>
      <c r="BJ432" s="624">
        <v>42144</v>
      </c>
      <c r="BK432" s="355">
        <v>2.9766999999999998E-2</v>
      </c>
    </row>
    <row r="433" spans="3:63">
      <c r="C433" s="624"/>
      <c r="D433" s="355">
        <v>3.7019999999999997E-2</v>
      </c>
      <c r="AV433" s="624">
        <v>42156</v>
      </c>
      <c r="AW433" s="355">
        <v>0.31540000000000001</v>
      </c>
      <c r="AX433" s="624">
        <v>42145</v>
      </c>
      <c r="AY433" s="355">
        <v>2.001E-2</v>
      </c>
      <c r="AZ433" s="624">
        <v>42145</v>
      </c>
      <c r="BA433" s="355">
        <v>9.1999999999999998E-3</v>
      </c>
      <c r="BB433" s="624">
        <v>42145</v>
      </c>
      <c r="BC433" s="355">
        <v>0.2712</v>
      </c>
      <c r="BD433" s="624">
        <v>42145</v>
      </c>
      <c r="BE433" s="355">
        <v>9.1420000000000001E-2</v>
      </c>
      <c r="BF433" s="624">
        <v>42153</v>
      </c>
      <c r="BG433" s="355">
        <v>1.5677E-2</v>
      </c>
      <c r="BH433" s="624">
        <v>42145</v>
      </c>
      <c r="BI433" s="355">
        <v>7.6219999999999996E-2</v>
      </c>
      <c r="BJ433" s="624">
        <v>42145</v>
      </c>
      <c r="BK433" s="355">
        <v>2.9925E-2</v>
      </c>
    </row>
    <row r="434" spans="3:63">
      <c r="C434" s="624"/>
      <c r="D434" s="355">
        <v>3.6979999999999999E-2</v>
      </c>
      <c r="AV434" s="624">
        <v>42157</v>
      </c>
      <c r="AW434" s="355">
        <v>0.31940000000000002</v>
      </c>
      <c r="AX434" s="624">
        <v>42146</v>
      </c>
      <c r="AY434" s="355">
        <v>0.02</v>
      </c>
      <c r="AZ434" s="624">
        <v>42146</v>
      </c>
      <c r="BA434" s="355">
        <v>9.1000000000000004E-3</v>
      </c>
      <c r="BB434" s="624">
        <v>42146</v>
      </c>
      <c r="BC434" s="355">
        <v>0.26800000000000002</v>
      </c>
      <c r="BD434" s="624">
        <v>42146</v>
      </c>
      <c r="BE434" s="355">
        <v>9.1179999999999997E-2</v>
      </c>
      <c r="BF434" s="624">
        <v>42156</v>
      </c>
      <c r="BG434" s="355">
        <v>1.5723000000000001E-2</v>
      </c>
      <c r="BH434" s="624">
        <v>42146</v>
      </c>
      <c r="BI434" s="355">
        <v>7.6075000000000004E-2</v>
      </c>
      <c r="BJ434" s="624">
        <v>42146</v>
      </c>
      <c r="BK434" s="355">
        <v>2.9977E-2</v>
      </c>
    </row>
    <row r="435" spans="3:63">
      <c r="C435" s="624"/>
      <c r="D435" s="355">
        <v>3.6929999999999998E-2</v>
      </c>
      <c r="AV435" s="624">
        <v>42158</v>
      </c>
      <c r="AW435" s="355">
        <v>0.31890000000000002</v>
      </c>
      <c r="AX435" s="624">
        <v>42149</v>
      </c>
      <c r="AY435" s="355">
        <v>2.002E-2</v>
      </c>
      <c r="AZ435" s="624">
        <v>42149</v>
      </c>
      <c r="BA435" s="355">
        <v>9.1000000000000004E-3</v>
      </c>
      <c r="BB435" s="624">
        <v>42149</v>
      </c>
      <c r="BC435" s="355">
        <v>0.26740000000000003</v>
      </c>
      <c r="BD435" s="624">
        <v>42149</v>
      </c>
      <c r="BE435" s="355">
        <v>9.1160000000000005E-2</v>
      </c>
      <c r="BF435" s="624">
        <v>42157</v>
      </c>
      <c r="BG435" s="355">
        <v>1.5702000000000001E-2</v>
      </c>
      <c r="BH435" s="624">
        <v>42149</v>
      </c>
      <c r="BI435" s="355">
        <v>7.5827000000000006E-2</v>
      </c>
      <c r="BJ435" s="624">
        <v>42149</v>
      </c>
      <c r="BK435" s="355">
        <v>2.9767999999999999E-2</v>
      </c>
    </row>
    <row r="436" spans="3:63">
      <c r="C436" s="624"/>
      <c r="D436" s="355">
        <v>3.705E-2</v>
      </c>
      <c r="AV436" s="624">
        <v>42160</v>
      </c>
      <c r="AW436" s="355">
        <v>0.3175</v>
      </c>
      <c r="AX436" s="624">
        <v>42150</v>
      </c>
      <c r="AY436" s="355">
        <v>1.9640000000000001E-2</v>
      </c>
      <c r="AZ436" s="624">
        <v>42150</v>
      </c>
      <c r="BA436" s="355">
        <v>8.9999999999999993E-3</v>
      </c>
      <c r="BB436" s="624">
        <v>42150</v>
      </c>
      <c r="BC436" s="355">
        <v>0.2621</v>
      </c>
      <c r="BD436" s="624">
        <v>42150</v>
      </c>
      <c r="BE436" s="355">
        <v>9.0230000000000005E-2</v>
      </c>
      <c r="BF436" s="624">
        <v>42158</v>
      </c>
      <c r="BG436" s="355">
        <v>1.5622E-2</v>
      </c>
      <c r="BH436" s="624">
        <v>42150</v>
      </c>
      <c r="BI436" s="355">
        <v>7.5603000000000004E-2</v>
      </c>
      <c r="BJ436" s="624">
        <v>42150</v>
      </c>
      <c r="BK436" s="355">
        <v>2.9647E-2</v>
      </c>
    </row>
    <row r="437" spans="3:63">
      <c r="C437" s="624"/>
      <c r="D437" s="355">
        <v>3.7089999999999998E-2</v>
      </c>
      <c r="AV437" s="624">
        <v>42163</v>
      </c>
      <c r="AW437" s="355">
        <v>0.32119999999999999</v>
      </c>
      <c r="AX437" s="624">
        <v>42151</v>
      </c>
      <c r="AY437" s="355">
        <v>1.932E-2</v>
      </c>
      <c r="AZ437" s="624">
        <v>42151</v>
      </c>
      <c r="BA437" s="355">
        <v>8.9999999999999993E-3</v>
      </c>
      <c r="BB437" s="624">
        <v>42151</v>
      </c>
      <c r="BC437" s="355">
        <v>0.26419999999999999</v>
      </c>
      <c r="BD437" s="624">
        <v>42151</v>
      </c>
      <c r="BE437" s="355">
        <v>9.0139999999999998E-2</v>
      </c>
      <c r="BF437" s="624">
        <v>42159</v>
      </c>
      <c r="BG437" s="355">
        <v>1.5630999999999999E-2</v>
      </c>
      <c r="BH437" s="624">
        <v>42151</v>
      </c>
      <c r="BI437" s="355">
        <v>7.5867000000000004E-2</v>
      </c>
      <c r="BJ437" s="624">
        <v>42151</v>
      </c>
      <c r="BK437" s="355">
        <v>2.9631000000000001E-2</v>
      </c>
    </row>
    <row r="438" spans="3:63">
      <c r="C438" s="624"/>
      <c r="D438" s="355">
        <v>3.7019999999999997E-2</v>
      </c>
      <c r="AV438" s="624">
        <v>42164</v>
      </c>
      <c r="AW438" s="355">
        <v>0.32290000000000002</v>
      </c>
      <c r="AX438" s="624">
        <v>42152</v>
      </c>
      <c r="AY438" s="355">
        <v>1.899E-2</v>
      </c>
      <c r="AZ438" s="624">
        <v>42152</v>
      </c>
      <c r="BA438" s="355">
        <v>9.1000000000000004E-3</v>
      </c>
      <c r="BB438" s="624">
        <v>42152</v>
      </c>
      <c r="BC438" s="355">
        <v>0.26429999999999998</v>
      </c>
      <c r="BD438" s="624">
        <v>42152</v>
      </c>
      <c r="BE438" s="355">
        <v>9.0200000000000002E-2</v>
      </c>
      <c r="BF438" s="624">
        <v>42160</v>
      </c>
      <c r="BG438" s="355">
        <v>1.5594E-2</v>
      </c>
      <c r="BH438" s="624">
        <v>42152</v>
      </c>
      <c r="BI438" s="355">
        <v>7.5774999999999995E-2</v>
      </c>
      <c r="BJ438" s="624">
        <v>42152</v>
      </c>
      <c r="BK438" s="355">
        <v>2.9607999999999999E-2</v>
      </c>
    </row>
    <row r="439" spans="3:63">
      <c r="C439" s="624"/>
      <c r="D439" s="355">
        <v>3.6999999999999998E-2</v>
      </c>
      <c r="AV439" s="624">
        <v>42165</v>
      </c>
      <c r="AW439" s="355">
        <v>0.32069999999999999</v>
      </c>
      <c r="AX439" s="624">
        <v>42153</v>
      </c>
      <c r="AY439" s="355">
        <v>1.9109999999999999E-2</v>
      </c>
      <c r="AZ439" s="624">
        <v>42153</v>
      </c>
      <c r="BA439" s="355">
        <v>9.1000000000000004E-3</v>
      </c>
      <c r="BB439" s="624">
        <v>42153</v>
      </c>
      <c r="BC439" s="355">
        <v>0.26729999999999998</v>
      </c>
      <c r="BD439" s="624">
        <v>42153</v>
      </c>
      <c r="BE439" s="355">
        <v>8.9749999999999996E-2</v>
      </c>
      <c r="BF439" s="624">
        <v>42163</v>
      </c>
      <c r="BG439" s="355">
        <v>1.5639E-2</v>
      </c>
      <c r="BH439" s="624">
        <v>42153</v>
      </c>
      <c r="BI439" s="355">
        <v>7.5700000000000003E-2</v>
      </c>
      <c r="BJ439" s="624">
        <v>42153</v>
      </c>
      <c r="BK439" s="355">
        <v>2.9676000000000001E-2</v>
      </c>
    </row>
    <row r="440" spans="3:63">
      <c r="C440" s="624"/>
      <c r="D440" s="355">
        <v>3.7350000000000001E-2</v>
      </c>
      <c r="AV440" s="624">
        <v>42166</v>
      </c>
      <c r="AW440" s="355">
        <v>0.32369999999999999</v>
      </c>
      <c r="AX440" s="624">
        <v>42156</v>
      </c>
      <c r="AY440" s="355">
        <v>1.8669999999999999E-2</v>
      </c>
      <c r="AZ440" s="624">
        <v>42156</v>
      </c>
      <c r="BA440" s="355">
        <v>9.1000000000000004E-3</v>
      </c>
      <c r="BB440" s="624">
        <v>42156</v>
      </c>
      <c r="BC440" s="355">
        <v>0.26550000000000001</v>
      </c>
      <c r="BD440" s="624">
        <v>42156</v>
      </c>
      <c r="BE440" s="355">
        <v>8.9590000000000003E-2</v>
      </c>
      <c r="BF440" s="624">
        <v>42164</v>
      </c>
      <c r="BG440" s="355">
        <v>1.5618999999999999E-2</v>
      </c>
      <c r="BH440" s="624">
        <v>42156</v>
      </c>
      <c r="BI440" s="355">
        <v>7.5643000000000002E-2</v>
      </c>
      <c r="BJ440" s="624">
        <v>42156</v>
      </c>
      <c r="BK440" s="355">
        <v>2.9676000000000001E-2</v>
      </c>
    </row>
    <row r="441" spans="3:63">
      <c r="C441" s="624"/>
      <c r="D441" s="355">
        <v>3.7409999999999999E-2</v>
      </c>
      <c r="AV441" s="624">
        <v>42167</v>
      </c>
      <c r="AW441" s="355">
        <v>0.3206</v>
      </c>
      <c r="AX441" s="624">
        <v>42157</v>
      </c>
      <c r="AY441" s="355">
        <v>1.8939999999999999E-2</v>
      </c>
      <c r="AZ441" s="624">
        <v>42157</v>
      </c>
      <c r="BA441" s="355">
        <v>9.1999999999999998E-3</v>
      </c>
      <c r="BB441" s="624">
        <v>42157</v>
      </c>
      <c r="BC441" s="355">
        <v>0.2707</v>
      </c>
      <c r="BD441" s="624">
        <v>42157</v>
      </c>
      <c r="BE441" s="355">
        <v>9.0319999999999998E-2</v>
      </c>
      <c r="BF441" s="624">
        <v>42165</v>
      </c>
      <c r="BG441" s="355">
        <v>1.5678999999999998E-2</v>
      </c>
      <c r="BH441" s="624">
        <v>42157</v>
      </c>
      <c r="BI441" s="355">
        <v>7.5684000000000001E-2</v>
      </c>
      <c r="BJ441" s="624">
        <v>42157</v>
      </c>
      <c r="BK441" s="355">
        <v>2.9670999999999999E-2</v>
      </c>
    </row>
    <row r="442" spans="3:63">
      <c r="C442" s="624"/>
      <c r="D442" s="355">
        <v>3.7269999999999998E-2</v>
      </c>
      <c r="AV442" s="624">
        <v>42170</v>
      </c>
      <c r="AW442" s="355">
        <v>0.31990000000000002</v>
      </c>
      <c r="AX442" s="624">
        <v>42158</v>
      </c>
      <c r="AY442" s="355">
        <v>1.8409999999999999E-2</v>
      </c>
      <c r="AZ442" s="624">
        <v>42158</v>
      </c>
      <c r="BA442" s="355">
        <v>9.2999999999999992E-3</v>
      </c>
      <c r="BB442" s="624">
        <v>42158</v>
      </c>
      <c r="BC442" s="355">
        <v>0.27089999999999997</v>
      </c>
      <c r="BD442" s="624">
        <v>42158</v>
      </c>
      <c r="BE442" s="355">
        <v>9.0289999999999995E-2</v>
      </c>
      <c r="BF442" s="624">
        <v>42166</v>
      </c>
      <c r="BG442" s="355">
        <v>1.5633000000000001E-2</v>
      </c>
      <c r="BH442" s="624">
        <v>42158</v>
      </c>
      <c r="BI442" s="355">
        <v>7.5485999999999998E-2</v>
      </c>
      <c r="BJ442" s="624">
        <v>42158</v>
      </c>
      <c r="BK442" s="355">
        <v>2.9725000000000001E-2</v>
      </c>
    </row>
    <row r="443" spans="3:63">
      <c r="C443" s="624"/>
      <c r="D443" s="355">
        <v>3.7229999999999999E-2</v>
      </c>
      <c r="AV443" s="624">
        <v>42171</v>
      </c>
      <c r="AW443" s="355">
        <v>0.32369999999999999</v>
      </c>
      <c r="AX443" s="624">
        <v>42159</v>
      </c>
      <c r="AY443" s="355">
        <v>1.7739999999999999E-2</v>
      </c>
      <c r="AZ443" s="624">
        <v>42159</v>
      </c>
      <c r="BA443" s="355">
        <v>9.2999999999999992E-3</v>
      </c>
      <c r="BB443" s="624">
        <v>42159</v>
      </c>
      <c r="BC443" s="355">
        <v>0.26950000000000002</v>
      </c>
      <c r="BD443" s="624">
        <v>42159</v>
      </c>
      <c r="BE443" s="355">
        <v>8.9770000000000003E-2</v>
      </c>
      <c r="BF443" s="624">
        <v>42167</v>
      </c>
      <c r="BG443" s="355">
        <v>1.5594999999999999E-2</v>
      </c>
      <c r="BH443" s="624">
        <v>42159</v>
      </c>
      <c r="BI443" s="355">
        <v>7.5317999999999996E-2</v>
      </c>
      <c r="BJ443" s="624">
        <v>42159</v>
      </c>
      <c r="BK443" s="355">
        <v>2.9652000000000001E-2</v>
      </c>
    </row>
    <row r="444" spans="3:63">
      <c r="C444" s="624"/>
      <c r="D444" s="355">
        <v>3.7010000000000001E-2</v>
      </c>
      <c r="AV444" s="624">
        <v>42172</v>
      </c>
      <c r="AW444" s="355">
        <v>0.32750000000000001</v>
      </c>
      <c r="AX444" s="624">
        <v>42160</v>
      </c>
      <c r="AY444" s="355">
        <v>1.7780000000000001E-2</v>
      </c>
      <c r="AZ444" s="624">
        <v>42160</v>
      </c>
      <c r="BA444" s="355">
        <v>9.1999999999999998E-3</v>
      </c>
      <c r="BB444" s="624">
        <v>42160</v>
      </c>
      <c r="BC444" s="355">
        <v>0.26719999999999999</v>
      </c>
      <c r="BD444" s="624">
        <v>42160</v>
      </c>
      <c r="BE444" s="355">
        <v>8.8940000000000005E-2</v>
      </c>
      <c r="BF444" s="624">
        <v>42170</v>
      </c>
      <c r="BG444" s="355">
        <v>1.5604E-2</v>
      </c>
      <c r="BH444" s="624">
        <v>42160</v>
      </c>
      <c r="BI444" s="355">
        <v>7.4803999999999995E-2</v>
      </c>
      <c r="BJ444" s="624">
        <v>42160</v>
      </c>
      <c r="BK444" s="355">
        <v>2.9506999999999999E-2</v>
      </c>
    </row>
    <row r="445" spans="3:63">
      <c r="C445" s="624"/>
      <c r="D445" s="355">
        <v>3.7010000000000001E-2</v>
      </c>
      <c r="AV445" s="624">
        <v>42173</v>
      </c>
      <c r="AW445" s="355">
        <v>0.32690000000000002</v>
      </c>
      <c r="AX445" s="624">
        <v>42163</v>
      </c>
      <c r="AY445" s="355">
        <v>1.7919999999999998E-2</v>
      </c>
      <c r="AZ445" s="624">
        <v>42163</v>
      </c>
      <c r="BA445" s="355">
        <v>9.4000000000000004E-3</v>
      </c>
      <c r="BB445" s="624">
        <v>42163</v>
      </c>
      <c r="BC445" s="355">
        <v>0.27050000000000002</v>
      </c>
      <c r="BD445" s="624">
        <v>42163</v>
      </c>
      <c r="BE445" s="355">
        <v>8.9410000000000003E-2</v>
      </c>
      <c r="BF445" s="624">
        <v>42171</v>
      </c>
      <c r="BG445" s="355">
        <v>1.5573E-2</v>
      </c>
      <c r="BH445" s="624">
        <v>42163</v>
      </c>
      <c r="BI445" s="355">
        <v>7.4912000000000006E-2</v>
      </c>
      <c r="BJ445" s="624">
        <v>42163</v>
      </c>
      <c r="BK445" s="355">
        <v>2.9634000000000001E-2</v>
      </c>
    </row>
    <row r="446" spans="3:63">
      <c r="C446" s="624"/>
      <c r="D446" s="355">
        <v>3.6970000000000003E-2</v>
      </c>
      <c r="AV446" s="624">
        <v>42174</v>
      </c>
      <c r="AW446" s="355">
        <v>0.32279999999999998</v>
      </c>
      <c r="AX446" s="624">
        <v>42164</v>
      </c>
      <c r="AY446" s="355">
        <v>1.804E-2</v>
      </c>
      <c r="AZ446" s="624">
        <v>42164</v>
      </c>
      <c r="BA446" s="355">
        <v>9.2999999999999992E-3</v>
      </c>
      <c r="BB446" s="624">
        <v>42164</v>
      </c>
      <c r="BC446" s="355">
        <v>0.27010000000000001</v>
      </c>
      <c r="BD446" s="624">
        <v>42164</v>
      </c>
      <c r="BE446" s="355">
        <v>8.9160000000000003E-2</v>
      </c>
      <c r="BF446" s="624">
        <v>42172</v>
      </c>
      <c r="BG446" s="355">
        <v>1.5646E-2</v>
      </c>
      <c r="BH446" s="624">
        <v>42164</v>
      </c>
      <c r="BI446" s="355">
        <v>7.4931999999999999E-2</v>
      </c>
      <c r="BJ446" s="624">
        <v>42164</v>
      </c>
      <c r="BK446" s="355">
        <v>2.9665E-2</v>
      </c>
    </row>
    <row r="447" spans="3:63">
      <c r="C447" s="624"/>
      <c r="D447" s="355">
        <v>3.6889999999999999E-2</v>
      </c>
      <c r="AV447" s="624">
        <v>42177</v>
      </c>
      <c r="AW447" s="355">
        <v>0.3246</v>
      </c>
      <c r="AX447" s="624">
        <v>42165</v>
      </c>
      <c r="AY447" s="355">
        <v>1.8419999999999999E-2</v>
      </c>
      <c r="AZ447" s="624">
        <v>42165</v>
      </c>
      <c r="BA447" s="355">
        <v>9.4000000000000004E-3</v>
      </c>
      <c r="BB447" s="624">
        <v>42165</v>
      </c>
      <c r="BC447" s="355">
        <v>0.27339999999999998</v>
      </c>
      <c r="BD447" s="624">
        <v>42165</v>
      </c>
      <c r="BE447" s="355">
        <v>9.0020000000000003E-2</v>
      </c>
      <c r="BF447" s="624">
        <v>42173</v>
      </c>
      <c r="BG447" s="355">
        <v>1.5709999999999998E-2</v>
      </c>
      <c r="BH447" s="624">
        <v>42165</v>
      </c>
      <c r="BI447" s="355">
        <v>7.5643000000000002E-2</v>
      </c>
      <c r="BJ447" s="624">
        <v>42165</v>
      </c>
      <c r="BK447" s="355">
        <v>2.9763999999999999E-2</v>
      </c>
    </row>
    <row r="448" spans="3:63">
      <c r="C448" s="624"/>
      <c r="D448" s="355">
        <v>3.6970000000000003E-2</v>
      </c>
      <c r="AV448" s="624">
        <v>42178</v>
      </c>
      <c r="AW448" s="355">
        <v>0.3251</v>
      </c>
      <c r="AX448" s="624">
        <v>42166</v>
      </c>
      <c r="AY448" s="355">
        <v>1.8280000000000001E-2</v>
      </c>
      <c r="AZ448" s="624">
        <v>42166</v>
      </c>
      <c r="BA448" s="355">
        <v>9.2999999999999992E-3</v>
      </c>
      <c r="BB448" s="624">
        <v>42166</v>
      </c>
      <c r="BC448" s="355">
        <v>0.27239999999999998</v>
      </c>
      <c r="BD448" s="624">
        <v>42166</v>
      </c>
      <c r="BE448" s="355">
        <v>8.9810000000000001E-2</v>
      </c>
      <c r="BF448" s="624">
        <v>42174</v>
      </c>
      <c r="BG448" s="355">
        <v>1.5747000000000001E-2</v>
      </c>
      <c r="BH448" s="624">
        <v>42166</v>
      </c>
      <c r="BI448" s="355">
        <v>7.5289999999999996E-2</v>
      </c>
      <c r="BJ448" s="624">
        <v>42166</v>
      </c>
      <c r="BK448" s="355">
        <v>2.9658E-2</v>
      </c>
    </row>
    <row r="449" spans="3:63">
      <c r="C449" s="624"/>
      <c r="D449" s="355">
        <v>3.6979999999999999E-2</v>
      </c>
      <c r="AV449" s="624">
        <v>42179</v>
      </c>
      <c r="AW449" s="355">
        <v>0.32290000000000002</v>
      </c>
      <c r="AX449" s="624">
        <v>42167</v>
      </c>
      <c r="AY449" s="355">
        <v>1.8120000000000001E-2</v>
      </c>
      <c r="AZ449" s="624">
        <v>42167</v>
      </c>
      <c r="BA449" s="355">
        <v>9.4000000000000004E-3</v>
      </c>
      <c r="BB449" s="624">
        <v>42167</v>
      </c>
      <c r="BC449" s="355">
        <v>0.27200000000000002</v>
      </c>
      <c r="BD449" s="624">
        <v>42167</v>
      </c>
      <c r="BE449" s="355">
        <v>8.9940000000000006E-2</v>
      </c>
      <c r="BF449" s="624">
        <v>42177</v>
      </c>
      <c r="BG449" s="355">
        <v>1.5741999999999999E-2</v>
      </c>
      <c r="BH449" s="624">
        <v>42167</v>
      </c>
      <c r="BI449" s="355">
        <v>7.5015999999999999E-2</v>
      </c>
      <c r="BJ449" s="624">
        <v>42167</v>
      </c>
      <c r="BK449" s="355">
        <v>2.9718000000000001E-2</v>
      </c>
    </row>
    <row r="450" spans="3:63">
      <c r="C450" s="624"/>
      <c r="D450" s="355">
        <v>3.7139999999999999E-2</v>
      </c>
      <c r="AV450" s="624">
        <v>42180</v>
      </c>
      <c r="AW450" s="355">
        <v>0.31969999999999998</v>
      </c>
      <c r="AX450" s="624">
        <v>42170</v>
      </c>
      <c r="AY450" s="355">
        <v>1.8339999999999999E-2</v>
      </c>
      <c r="AZ450" s="624">
        <v>42170</v>
      </c>
      <c r="BA450" s="355">
        <v>9.4000000000000004E-3</v>
      </c>
      <c r="BB450" s="624">
        <v>42170</v>
      </c>
      <c r="BC450" s="355">
        <v>0.27160000000000001</v>
      </c>
      <c r="BD450" s="624">
        <v>42170</v>
      </c>
      <c r="BE450" s="355">
        <v>8.9539999999999995E-2</v>
      </c>
      <c r="BF450" s="624">
        <v>42178</v>
      </c>
      <c r="BG450" s="355">
        <v>1.5722E-2</v>
      </c>
      <c r="BH450" s="624">
        <v>42170</v>
      </c>
      <c r="BI450" s="355">
        <v>7.5029999999999999E-2</v>
      </c>
      <c r="BJ450" s="624">
        <v>42170</v>
      </c>
      <c r="BK450" s="355">
        <v>2.9692E-2</v>
      </c>
    </row>
    <row r="451" spans="3:63">
      <c r="C451" s="624"/>
      <c r="D451" s="355">
        <v>3.6970000000000003E-2</v>
      </c>
      <c r="AV451" s="624">
        <v>42181</v>
      </c>
      <c r="AW451" s="355">
        <v>0.3196</v>
      </c>
      <c r="AX451" s="624">
        <v>42171</v>
      </c>
      <c r="AY451" s="355">
        <v>1.856E-2</v>
      </c>
      <c r="AZ451" s="624">
        <v>42171</v>
      </c>
      <c r="BA451" s="355">
        <v>9.2999999999999992E-3</v>
      </c>
      <c r="BB451" s="624">
        <v>42171</v>
      </c>
      <c r="BC451" s="355">
        <v>0.27139999999999997</v>
      </c>
      <c r="BD451" s="624">
        <v>42171</v>
      </c>
      <c r="BE451" s="355">
        <v>8.9389999999999997E-2</v>
      </c>
      <c r="BF451" s="624">
        <v>42179</v>
      </c>
      <c r="BG451" s="355">
        <v>1.5741999999999999E-2</v>
      </c>
      <c r="BH451" s="624">
        <v>42171</v>
      </c>
      <c r="BI451" s="355">
        <v>7.4940000000000007E-2</v>
      </c>
      <c r="BJ451" s="624">
        <v>42171</v>
      </c>
      <c r="BK451" s="355">
        <v>2.9670999999999999E-2</v>
      </c>
    </row>
    <row r="452" spans="3:63">
      <c r="C452" s="624"/>
      <c r="D452" s="355">
        <v>3.6929999999999998E-2</v>
      </c>
      <c r="AV452" s="624">
        <v>42184</v>
      </c>
      <c r="AW452" s="355">
        <v>0.32079999999999997</v>
      </c>
      <c r="AX452" s="624">
        <v>42172</v>
      </c>
      <c r="AY452" s="355">
        <v>1.864E-2</v>
      </c>
      <c r="AZ452" s="624">
        <v>42172</v>
      </c>
      <c r="BA452" s="355">
        <v>9.4000000000000004E-3</v>
      </c>
      <c r="BB452" s="624">
        <v>42172</v>
      </c>
      <c r="BC452" s="355">
        <v>0.27289999999999998</v>
      </c>
      <c r="BD452" s="624">
        <v>42172</v>
      </c>
      <c r="BE452" s="355">
        <v>8.9649999999999994E-2</v>
      </c>
      <c r="BF452" s="624">
        <v>42180</v>
      </c>
      <c r="BG452" s="355">
        <v>1.5734999999999999E-2</v>
      </c>
      <c r="BH452" s="624">
        <v>42172</v>
      </c>
      <c r="BI452" s="355">
        <v>7.5136999999999995E-2</v>
      </c>
      <c r="BJ452" s="624">
        <v>42172</v>
      </c>
      <c r="BK452" s="355">
        <v>2.9753000000000002E-2</v>
      </c>
    </row>
    <row r="453" spans="3:63">
      <c r="C453" s="624"/>
      <c r="D453" s="355">
        <v>3.7069999999999999E-2</v>
      </c>
      <c r="AV453" s="624">
        <v>42185</v>
      </c>
      <c r="AW453" s="355">
        <v>0.32219999999999999</v>
      </c>
      <c r="AX453" s="624">
        <v>42173</v>
      </c>
      <c r="AY453" s="355">
        <v>1.8710000000000001E-2</v>
      </c>
      <c r="AZ453" s="624">
        <v>42173</v>
      </c>
      <c r="BA453" s="355">
        <v>9.4000000000000004E-3</v>
      </c>
      <c r="BB453" s="624">
        <v>42173</v>
      </c>
      <c r="BC453" s="355">
        <v>0.27229999999999999</v>
      </c>
      <c r="BD453" s="624">
        <v>42173</v>
      </c>
      <c r="BE453" s="355">
        <v>9.0450000000000003E-2</v>
      </c>
      <c r="BF453" s="624">
        <v>42181</v>
      </c>
      <c r="BG453" s="355">
        <v>1.576E-2</v>
      </c>
      <c r="BH453" s="624">
        <v>42173</v>
      </c>
      <c r="BI453" s="355">
        <v>7.5008000000000005E-2</v>
      </c>
      <c r="BJ453" s="624">
        <v>42173</v>
      </c>
      <c r="BK453" s="355">
        <v>2.9724E-2</v>
      </c>
    </row>
    <row r="454" spans="3:63">
      <c r="C454" s="624"/>
      <c r="D454" s="355">
        <v>3.6970000000000003E-2</v>
      </c>
      <c r="AV454" s="624">
        <v>42186</v>
      </c>
      <c r="AW454" s="355">
        <v>0.31759999999999999</v>
      </c>
      <c r="AX454" s="624">
        <v>42174</v>
      </c>
      <c r="AY454" s="355">
        <v>1.848E-2</v>
      </c>
      <c r="AZ454" s="624">
        <v>42174</v>
      </c>
      <c r="BA454" s="355">
        <v>9.4000000000000004E-3</v>
      </c>
      <c r="BB454" s="624">
        <v>42174</v>
      </c>
      <c r="BC454" s="355">
        <v>0.27160000000000001</v>
      </c>
      <c r="BD454" s="624">
        <v>42174</v>
      </c>
      <c r="BE454" s="355">
        <v>9.0649999999999994E-2</v>
      </c>
      <c r="BF454" s="624">
        <v>42184</v>
      </c>
      <c r="BG454" s="355">
        <v>1.5698E-2</v>
      </c>
      <c r="BH454" s="624">
        <v>42174</v>
      </c>
      <c r="BI454" s="355">
        <v>7.5052999999999995E-2</v>
      </c>
      <c r="BJ454" s="624">
        <v>42174</v>
      </c>
      <c r="BK454" s="355">
        <v>2.9731E-2</v>
      </c>
    </row>
    <row r="455" spans="3:63">
      <c r="C455" s="624"/>
      <c r="D455" s="355">
        <v>3.6889999999999999E-2</v>
      </c>
      <c r="AV455" s="624">
        <v>42187</v>
      </c>
      <c r="AW455" s="355">
        <v>0.32269999999999999</v>
      </c>
      <c r="AX455" s="624">
        <v>42177</v>
      </c>
      <c r="AY455" s="355">
        <v>1.8540000000000001E-2</v>
      </c>
      <c r="AZ455" s="624">
        <v>42177</v>
      </c>
      <c r="BA455" s="355">
        <v>9.4000000000000004E-3</v>
      </c>
      <c r="BB455" s="624">
        <v>42177</v>
      </c>
      <c r="BC455" s="355">
        <v>0.2722</v>
      </c>
      <c r="BD455" s="624">
        <v>42177</v>
      </c>
      <c r="BE455" s="355">
        <v>9.0800000000000006E-2</v>
      </c>
      <c r="BF455" s="624">
        <v>42185</v>
      </c>
      <c r="BG455" s="355">
        <v>1.5722E-2</v>
      </c>
      <c r="BH455" s="624">
        <v>42177</v>
      </c>
      <c r="BI455" s="355">
        <v>7.5153999999999999E-2</v>
      </c>
      <c r="BJ455" s="624">
        <v>42177</v>
      </c>
      <c r="BK455" s="355">
        <v>2.9678E-2</v>
      </c>
    </row>
    <row r="456" spans="3:63">
      <c r="C456" s="624"/>
      <c r="D456" s="355">
        <v>3.696E-2</v>
      </c>
      <c r="AV456" s="624">
        <v>42188</v>
      </c>
      <c r="AW456" s="355">
        <v>0.31900000000000001</v>
      </c>
      <c r="AX456" s="624">
        <v>42178</v>
      </c>
      <c r="AY456" s="355">
        <v>1.8579999999999999E-2</v>
      </c>
      <c r="AZ456" s="624">
        <v>42178</v>
      </c>
      <c r="BA456" s="355">
        <v>9.2999999999999992E-3</v>
      </c>
      <c r="BB456" s="624">
        <v>42178</v>
      </c>
      <c r="BC456" s="355">
        <v>0.26829999999999998</v>
      </c>
      <c r="BD456" s="624">
        <v>42178</v>
      </c>
      <c r="BE456" s="355">
        <v>9.0359999999999996E-2</v>
      </c>
      <c r="BF456" s="624">
        <v>42186</v>
      </c>
      <c r="BG456" s="355">
        <v>1.5734000000000001E-2</v>
      </c>
      <c r="BH456" s="624">
        <v>42178</v>
      </c>
      <c r="BI456" s="355">
        <v>7.5281000000000001E-2</v>
      </c>
      <c r="BJ456" s="624">
        <v>42178</v>
      </c>
      <c r="BK456" s="355">
        <v>2.9616E-2</v>
      </c>
    </row>
    <row r="457" spans="3:63">
      <c r="C457" s="624"/>
      <c r="D457" s="355">
        <v>3.6970000000000003E-2</v>
      </c>
      <c r="AV457" s="624">
        <v>42191</v>
      </c>
      <c r="AW457" s="355">
        <v>0.31879999999999997</v>
      </c>
      <c r="AX457" s="624">
        <v>42179</v>
      </c>
      <c r="AY457" s="355">
        <v>1.8360000000000001E-2</v>
      </c>
      <c r="AZ457" s="624">
        <v>42179</v>
      </c>
      <c r="BA457" s="355">
        <v>9.2999999999999992E-3</v>
      </c>
      <c r="BB457" s="624">
        <v>42179</v>
      </c>
      <c r="BC457" s="355">
        <v>0.26860000000000001</v>
      </c>
      <c r="BD457" s="624">
        <v>42179</v>
      </c>
      <c r="BE457" s="355">
        <v>9.0079999999999993E-2</v>
      </c>
      <c r="BF457" s="624">
        <v>42187</v>
      </c>
      <c r="BG457" s="355">
        <v>1.5796000000000001E-2</v>
      </c>
      <c r="BH457" s="624">
        <v>42179</v>
      </c>
      <c r="BI457" s="355">
        <v>7.5160000000000005E-2</v>
      </c>
      <c r="BJ457" s="624">
        <v>42179</v>
      </c>
      <c r="BK457" s="355">
        <v>2.9614000000000001E-2</v>
      </c>
    </row>
    <row r="458" spans="3:63">
      <c r="C458" s="624"/>
      <c r="D458" s="355">
        <v>3.6940000000000001E-2</v>
      </c>
      <c r="AV458" s="624">
        <v>42192</v>
      </c>
      <c r="AW458" s="355">
        <v>0.31390000000000001</v>
      </c>
      <c r="AX458" s="624">
        <v>42180</v>
      </c>
      <c r="AY458" s="355">
        <v>1.8270000000000002E-2</v>
      </c>
      <c r="AZ458" s="624">
        <v>42180</v>
      </c>
      <c r="BA458" s="355">
        <v>9.2999999999999992E-3</v>
      </c>
      <c r="BB458" s="624">
        <v>42180</v>
      </c>
      <c r="BC458" s="355">
        <v>0.26860000000000001</v>
      </c>
      <c r="BD458" s="624">
        <v>42180</v>
      </c>
      <c r="BE458" s="355">
        <v>8.9929999999999996E-2</v>
      </c>
      <c r="BF458" s="624">
        <v>42188</v>
      </c>
      <c r="BG458" s="355">
        <v>1.5768999999999998E-2</v>
      </c>
      <c r="BH458" s="624">
        <v>42180</v>
      </c>
      <c r="BI458" s="355">
        <v>7.5115000000000001E-2</v>
      </c>
      <c r="BJ458" s="624">
        <v>42180</v>
      </c>
      <c r="BK458" s="355">
        <v>2.9616E-2</v>
      </c>
    </row>
    <row r="459" spans="3:63">
      <c r="C459" s="624"/>
      <c r="D459" s="355">
        <v>3.7019999999999997E-2</v>
      </c>
      <c r="AV459" s="624">
        <v>42193</v>
      </c>
      <c r="AW459" s="355">
        <v>0.30890000000000001</v>
      </c>
      <c r="AX459" s="624">
        <v>42181</v>
      </c>
      <c r="AY459" s="355">
        <v>1.8249999999999999E-2</v>
      </c>
      <c r="AZ459" s="624">
        <v>42181</v>
      </c>
      <c r="BA459" s="355">
        <v>9.2999999999999992E-3</v>
      </c>
      <c r="BB459" s="624">
        <v>42181</v>
      </c>
      <c r="BC459" s="355">
        <v>0.26769999999999999</v>
      </c>
      <c r="BD459" s="624">
        <v>42181</v>
      </c>
      <c r="BE459" s="355">
        <v>8.9050000000000004E-2</v>
      </c>
      <c r="BF459" s="624">
        <v>42191</v>
      </c>
      <c r="BG459" s="355">
        <v>1.5807000000000002E-2</v>
      </c>
      <c r="BH459" s="624">
        <v>42181</v>
      </c>
      <c r="BI459" s="355">
        <v>7.4991000000000002E-2</v>
      </c>
      <c r="BJ459" s="624">
        <v>42181</v>
      </c>
      <c r="BK459" s="355">
        <v>2.9586999999999999E-2</v>
      </c>
    </row>
    <row r="460" spans="3:63">
      <c r="C460" s="624"/>
      <c r="D460" s="355">
        <v>3.7249999999999998E-2</v>
      </c>
      <c r="AV460" s="624">
        <v>42194</v>
      </c>
      <c r="AW460" s="355">
        <v>0.3105</v>
      </c>
      <c r="AX460" s="624">
        <v>42184</v>
      </c>
      <c r="AY460" s="355">
        <v>1.796E-2</v>
      </c>
      <c r="AZ460" s="624">
        <v>42184</v>
      </c>
      <c r="BA460" s="355">
        <v>9.2999999999999992E-3</v>
      </c>
      <c r="BB460" s="624">
        <v>42184</v>
      </c>
      <c r="BC460" s="355">
        <v>0.26779999999999998</v>
      </c>
      <c r="BD460" s="624">
        <v>42184</v>
      </c>
      <c r="BE460" s="355">
        <v>8.9270000000000002E-2</v>
      </c>
      <c r="BF460" s="624">
        <v>42192</v>
      </c>
      <c r="BG460" s="355">
        <v>1.5753E-2</v>
      </c>
      <c r="BH460" s="624">
        <v>42184</v>
      </c>
      <c r="BI460" s="355">
        <v>7.4961E-2</v>
      </c>
      <c r="BJ460" s="624">
        <v>42184</v>
      </c>
      <c r="BK460" s="355">
        <v>2.9654E-2</v>
      </c>
    </row>
    <row r="461" spans="3:63">
      <c r="C461" s="624"/>
      <c r="D461" s="355">
        <v>3.7240000000000002E-2</v>
      </c>
      <c r="AV461" s="624">
        <v>42195</v>
      </c>
      <c r="AW461" s="355">
        <v>0.31659999999999999</v>
      </c>
      <c r="AX461" s="624">
        <v>42185</v>
      </c>
      <c r="AY461" s="355">
        <v>1.8069999999999999E-2</v>
      </c>
      <c r="AZ461" s="624">
        <v>42185</v>
      </c>
      <c r="BA461" s="355">
        <v>9.2999999999999992E-3</v>
      </c>
      <c r="BB461" s="624">
        <v>42185</v>
      </c>
      <c r="BC461" s="355">
        <v>0.26579999999999998</v>
      </c>
      <c r="BD461" s="624">
        <v>42185</v>
      </c>
      <c r="BE461" s="355">
        <v>8.9279999999999998E-2</v>
      </c>
      <c r="BF461" s="624">
        <v>42193</v>
      </c>
      <c r="BG461" s="355">
        <v>1.5758000000000001E-2</v>
      </c>
      <c r="BH461" s="624">
        <v>42185</v>
      </c>
      <c r="BI461" s="355">
        <v>7.4900999999999995E-2</v>
      </c>
      <c r="BJ461" s="624">
        <v>42185</v>
      </c>
      <c r="BK461" s="355">
        <v>2.9588E-2</v>
      </c>
    </row>
    <row r="462" spans="3:63">
      <c r="C462" s="624"/>
      <c r="D462" s="355">
        <v>3.7249999999999998E-2</v>
      </c>
      <c r="AV462" s="624">
        <v>42198</v>
      </c>
      <c r="AW462" s="355">
        <v>0.31909999999999999</v>
      </c>
      <c r="AX462" s="624">
        <v>42186</v>
      </c>
      <c r="AY462" s="355">
        <v>1.7909999999999999E-2</v>
      </c>
      <c r="AZ462" s="624">
        <v>42186</v>
      </c>
      <c r="BA462" s="355">
        <v>9.1999999999999998E-3</v>
      </c>
      <c r="BB462" s="624">
        <v>42186</v>
      </c>
      <c r="BC462" s="355">
        <v>0.26390000000000002</v>
      </c>
      <c r="BD462" s="624">
        <v>42186</v>
      </c>
      <c r="BE462" s="355">
        <v>8.8870000000000005E-2</v>
      </c>
      <c r="BF462" s="624">
        <v>42194</v>
      </c>
      <c r="BG462" s="355">
        <v>1.5792E-2</v>
      </c>
      <c r="BH462" s="624">
        <v>42186</v>
      </c>
      <c r="BI462" s="355">
        <v>7.4979000000000004E-2</v>
      </c>
      <c r="BJ462" s="624">
        <v>42186</v>
      </c>
      <c r="BK462" s="355">
        <v>2.9562000000000001E-2</v>
      </c>
    </row>
    <row r="463" spans="3:63">
      <c r="C463" s="624"/>
      <c r="D463" s="355">
        <v>3.7159999999999999E-2</v>
      </c>
      <c r="AV463" s="624">
        <v>42199</v>
      </c>
      <c r="AW463" s="355">
        <v>0.31850000000000001</v>
      </c>
      <c r="AX463" s="624">
        <v>42187</v>
      </c>
      <c r="AY463" s="355">
        <v>1.8020000000000001E-2</v>
      </c>
      <c r="AZ463" s="624">
        <v>42187</v>
      </c>
      <c r="BA463" s="355">
        <v>9.1999999999999998E-3</v>
      </c>
      <c r="BB463" s="624">
        <v>42187</v>
      </c>
      <c r="BC463" s="355">
        <v>0.26440000000000002</v>
      </c>
      <c r="BD463" s="624">
        <v>42187</v>
      </c>
      <c r="BE463" s="355">
        <v>8.9010000000000006E-2</v>
      </c>
      <c r="BF463" s="624">
        <v>42195</v>
      </c>
      <c r="BG463" s="355">
        <v>1.5785E-2</v>
      </c>
      <c r="BH463" s="624">
        <v>42187</v>
      </c>
      <c r="BI463" s="355">
        <v>7.5261999999999996E-2</v>
      </c>
      <c r="BJ463" s="624">
        <v>42187</v>
      </c>
      <c r="BK463" s="355">
        <v>2.9609E-2</v>
      </c>
    </row>
    <row r="464" spans="3:63">
      <c r="C464" s="624"/>
      <c r="D464" s="355">
        <v>3.7179999999999998E-2</v>
      </c>
      <c r="AV464" s="624">
        <v>42200</v>
      </c>
      <c r="AW464" s="355">
        <v>0.31850000000000001</v>
      </c>
      <c r="AX464" s="624">
        <v>42188</v>
      </c>
      <c r="AY464" s="355">
        <v>1.787E-2</v>
      </c>
      <c r="AZ464" s="624">
        <v>42188</v>
      </c>
      <c r="BA464" s="355">
        <v>9.1999999999999998E-3</v>
      </c>
      <c r="BB464" s="624">
        <v>42188</v>
      </c>
      <c r="BC464" s="355">
        <v>0.26500000000000001</v>
      </c>
      <c r="BD464" s="624">
        <v>42188</v>
      </c>
      <c r="BE464" s="355">
        <v>8.9069999999999996E-2</v>
      </c>
      <c r="BF464" s="624">
        <v>42198</v>
      </c>
      <c r="BG464" s="355">
        <v>1.5761000000000001E-2</v>
      </c>
      <c r="BH464" s="624">
        <v>42188</v>
      </c>
      <c r="BI464" s="355">
        <v>7.4912000000000006E-2</v>
      </c>
      <c r="BJ464" s="624">
        <v>42188</v>
      </c>
      <c r="BK464" s="355">
        <v>2.9616E-2</v>
      </c>
    </row>
    <row r="465" spans="3:63">
      <c r="C465" s="624"/>
      <c r="D465" s="355">
        <v>3.7249999999999998E-2</v>
      </c>
      <c r="AV465" s="624">
        <v>42201</v>
      </c>
      <c r="AW465" s="355">
        <v>0.31680000000000003</v>
      </c>
      <c r="AX465" s="624">
        <v>42191</v>
      </c>
      <c r="AY465" s="355">
        <v>1.7590000000000001E-2</v>
      </c>
      <c r="AZ465" s="624">
        <v>42191</v>
      </c>
      <c r="BA465" s="355">
        <v>9.1999999999999998E-3</v>
      </c>
      <c r="BB465" s="624">
        <v>42191</v>
      </c>
      <c r="BC465" s="355">
        <v>0.26300000000000001</v>
      </c>
      <c r="BD465" s="624">
        <v>42191</v>
      </c>
      <c r="BE465" s="355">
        <v>8.8800000000000004E-2</v>
      </c>
      <c r="BF465" s="624">
        <v>42199</v>
      </c>
      <c r="BG465" s="355">
        <v>1.5803000000000001E-2</v>
      </c>
      <c r="BH465" s="624">
        <v>42191</v>
      </c>
      <c r="BI465" s="355">
        <v>7.5239E-2</v>
      </c>
      <c r="BJ465" s="624">
        <v>42191</v>
      </c>
      <c r="BK465" s="355">
        <v>2.9545999999999999E-2</v>
      </c>
    </row>
    <row r="466" spans="3:63">
      <c r="C466" s="624"/>
      <c r="D466" s="355">
        <v>3.7170000000000002E-2</v>
      </c>
      <c r="AV466" s="624">
        <v>42202</v>
      </c>
      <c r="AW466" s="355">
        <v>0.31359999999999999</v>
      </c>
      <c r="AX466" s="624">
        <v>42192</v>
      </c>
      <c r="AY466" s="355">
        <v>1.7639999999999999E-2</v>
      </c>
      <c r="AZ466" s="624">
        <v>42192</v>
      </c>
      <c r="BA466" s="355">
        <v>9.1000000000000004E-3</v>
      </c>
      <c r="BB466" s="624">
        <v>42192</v>
      </c>
      <c r="BC466" s="355">
        <v>0.26169999999999999</v>
      </c>
      <c r="BD466" s="624">
        <v>42192</v>
      </c>
      <c r="BE466" s="355">
        <v>8.8109999999999994E-2</v>
      </c>
      <c r="BF466" s="624">
        <v>42200</v>
      </c>
      <c r="BG466" s="355">
        <v>1.5746E-2</v>
      </c>
      <c r="BH466" s="624">
        <v>42192</v>
      </c>
      <c r="BI466" s="355">
        <v>7.4991000000000002E-2</v>
      </c>
      <c r="BJ466" s="624">
        <v>42192</v>
      </c>
      <c r="BK466" s="355">
        <v>2.9425E-2</v>
      </c>
    </row>
    <row r="467" spans="3:63">
      <c r="C467" s="624"/>
      <c r="D467" s="355">
        <v>3.7190000000000001E-2</v>
      </c>
      <c r="AV467" s="624">
        <v>42205</v>
      </c>
      <c r="AW467" s="355">
        <v>0.31280000000000002</v>
      </c>
      <c r="AX467" s="624">
        <v>42193</v>
      </c>
      <c r="AY467" s="355">
        <v>1.7409999999999998E-2</v>
      </c>
      <c r="AZ467" s="624">
        <v>42193</v>
      </c>
      <c r="BA467" s="355">
        <v>9.1999999999999998E-3</v>
      </c>
      <c r="BB467" s="624">
        <v>42193</v>
      </c>
      <c r="BC467" s="355">
        <v>0.26140000000000002</v>
      </c>
      <c r="BD467" s="624">
        <v>42193</v>
      </c>
      <c r="BE467" s="355">
        <v>8.8059999999999999E-2</v>
      </c>
      <c r="BF467" s="624">
        <v>42201</v>
      </c>
      <c r="BG467" s="355">
        <v>1.5753E-2</v>
      </c>
      <c r="BH467" s="624">
        <v>42193</v>
      </c>
      <c r="BI467" s="355">
        <v>7.4746999999999994E-2</v>
      </c>
      <c r="BJ467" s="624">
        <v>42193</v>
      </c>
      <c r="BK467" s="355">
        <v>2.9456E-2</v>
      </c>
    </row>
    <row r="468" spans="3:63">
      <c r="C468" s="624"/>
      <c r="D468" s="355">
        <v>3.7130000000000003E-2</v>
      </c>
      <c r="AV468" s="624">
        <v>42206</v>
      </c>
      <c r="AW468" s="355">
        <v>0.31530000000000002</v>
      </c>
      <c r="AX468" s="624">
        <v>42194</v>
      </c>
      <c r="AY468" s="355">
        <v>1.7500000000000002E-2</v>
      </c>
      <c r="AZ468" s="624">
        <v>42194</v>
      </c>
      <c r="BA468" s="355">
        <v>9.1999999999999998E-3</v>
      </c>
      <c r="BB468" s="624">
        <v>42194</v>
      </c>
      <c r="BC468" s="355">
        <v>0.26179999999999998</v>
      </c>
      <c r="BD468" s="624">
        <v>42194</v>
      </c>
      <c r="BE468" s="355">
        <v>8.8319999999999996E-2</v>
      </c>
      <c r="BF468" s="624">
        <v>42202</v>
      </c>
      <c r="BG468" s="355">
        <v>1.5755000000000002E-2</v>
      </c>
      <c r="BH468" s="624">
        <v>42194</v>
      </c>
      <c r="BI468" s="355">
        <v>7.5108999999999995E-2</v>
      </c>
      <c r="BJ468" s="624">
        <v>42194</v>
      </c>
      <c r="BK468" s="355">
        <v>2.9461999999999999E-2</v>
      </c>
    </row>
    <row r="469" spans="3:63">
      <c r="C469" s="624"/>
      <c r="D469" s="355">
        <v>3.7139999999999999E-2</v>
      </c>
      <c r="AV469" s="624">
        <v>42207</v>
      </c>
      <c r="AW469" s="355">
        <v>0.31019999999999998</v>
      </c>
      <c r="AX469" s="624">
        <v>42195</v>
      </c>
      <c r="AY469" s="355">
        <v>1.7749999999999998E-2</v>
      </c>
      <c r="AZ469" s="624">
        <v>42195</v>
      </c>
      <c r="BA469" s="355">
        <v>9.2999999999999992E-3</v>
      </c>
      <c r="BB469" s="624">
        <v>42195</v>
      </c>
      <c r="BC469" s="355">
        <v>0.26679999999999998</v>
      </c>
      <c r="BD469" s="624">
        <v>42195</v>
      </c>
      <c r="BE469" s="355">
        <v>8.8400000000000006E-2</v>
      </c>
      <c r="BF469" s="624">
        <v>42205</v>
      </c>
      <c r="BG469" s="355">
        <v>1.5713000000000001E-2</v>
      </c>
      <c r="BH469" s="624">
        <v>42195</v>
      </c>
      <c r="BI469" s="355">
        <v>7.5188000000000005E-2</v>
      </c>
      <c r="BJ469" s="624">
        <v>42195</v>
      </c>
      <c r="BK469" s="355">
        <v>2.9472000000000002E-2</v>
      </c>
    </row>
    <row r="470" spans="3:63">
      <c r="C470" s="624"/>
      <c r="D470" s="355">
        <v>3.7060000000000003E-2</v>
      </c>
      <c r="AV470" s="624">
        <v>42208</v>
      </c>
      <c r="AW470" s="355">
        <v>0.30430000000000001</v>
      </c>
      <c r="AX470" s="624">
        <v>42198</v>
      </c>
      <c r="AY470" s="355">
        <v>1.7680000000000001E-2</v>
      </c>
      <c r="AZ470" s="624">
        <v>42198</v>
      </c>
      <c r="BA470" s="355">
        <v>9.1999999999999998E-3</v>
      </c>
      <c r="BB470" s="624">
        <v>42198</v>
      </c>
      <c r="BC470" s="355">
        <v>0.26590000000000003</v>
      </c>
      <c r="BD470" s="624">
        <v>42198</v>
      </c>
      <c r="BE470" s="355">
        <v>8.8029999999999997E-2</v>
      </c>
      <c r="BF470" s="624">
        <v>42206</v>
      </c>
      <c r="BG470" s="355">
        <v>1.5727999999999999E-2</v>
      </c>
      <c r="BH470" s="624">
        <v>42198</v>
      </c>
      <c r="BI470" s="355">
        <v>7.5402999999999998E-2</v>
      </c>
      <c r="BJ470" s="624">
        <v>42198</v>
      </c>
      <c r="BK470" s="355">
        <v>2.9384E-2</v>
      </c>
    </row>
    <row r="471" spans="3:63">
      <c r="C471" s="624"/>
      <c r="D471" s="355">
        <v>3.7010000000000001E-2</v>
      </c>
      <c r="AV471" s="624">
        <v>42209</v>
      </c>
      <c r="AW471" s="355">
        <v>0.29820000000000002</v>
      </c>
      <c r="AX471" s="624">
        <v>42199</v>
      </c>
      <c r="AY471" s="355">
        <v>1.7729999999999999E-2</v>
      </c>
      <c r="AZ471" s="624">
        <v>42199</v>
      </c>
      <c r="BA471" s="355">
        <v>9.1999999999999998E-3</v>
      </c>
      <c r="BB471" s="624">
        <v>42199</v>
      </c>
      <c r="BC471" s="355">
        <v>0.2666</v>
      </c>
      <c r="BD471" s="624">
        <v>42199</v>
      </c>
      <c r="BE471" s="355">
        <v>8.7470000000000006E-2</v>
      </c>
      <c r="BF471" s="624">
        <v>42207</v>
      </c>
      <c r="BG471" s="355">
        <v>1.5730000000000001E-2</v>
      </c>
      <c r="BH471" s="624">
        <v>42199</v>
      </c>
      <c r="BI471" s="355">
        <v>7.5078000000000006E-2</v>
      </c>
      <c r="BJ471" s="624">
        <v>42199</v>
      </c>
      <c r="BK471" s="355">
        <v>2.9374999999999998E-2</v>
      </c>
    </row>
    <row r="472" spans="3:63">
      <c r="C472" s="624"/>
      <c r="D472" s="355">
        <v>3.696E-2</v>
      </c>
      <c r="AV472" s="624">
        <v>42212</v>
      </c>
      <c r="AW472" s="355">
        <v>0.29730000000000001</v>
      </c>
      <c r="AX472" s="624">
        <v>42200</v>
      </c>
      <c r="AY472" s="355">
        <v>1.7579999999999998E-2</v>
      </c>
      <c r="AZ472" s="624">
        <v>42200</v>
      </c>
      <c r="BA472" s="355">
        <v>9.1000000000000004E-3</v>
      </c>
      <c r="BB472" s="624">
        <v>42200</v>
      </c>
      <c r="BC472" s="355">
        <v>0.26519999999999999</v>
      </c>
      <c r="BD472" s="624">
        <v>42200</v>
      </c>
      <c r="BE472" s="355">
        <v>8.7150000000000005E-2</v>
      </c>
      <c r="BF472" s="624">
        <v>42208</v>
      </c>
      <c r="BG472" s="355">
        <v>1.5644999999999999E-2</v>
      </c>
      <c r="BH472" s="624">
        <v>42200</v>
      </c>
      <c r="BI472" s="355">
        <v>7.4907000000000001E-2</v>
      </c>
      <c r="BJ472" s="624">
        <v>42200</v>
      </c>
      <c r="BK472" s="355">
        <v>2.9253000000000001E-2</v>
      </c>
    </row>
    <row r="473" spans="3:63">
      <c r="C473" s="624"/>
      <c r="D473" s="355">
        <v>3.7100000000000001E-2</v>
      </c>
      <c r="AV473" s="624">
        <v>42213</v>
      </c>
      <c r="AW473" s="355">
        <v>0.2979</v>
      </c>
      <c r="AX473" s="624">
        <v>42201</v>
      </c>
      <c r="AY473" s="355">
        <v>1.7559999999999999E-2</v>
      </c>
      <c r="AZ473" s="624">
        <v>42201</v>
      </c>
      <c r="BA473" s="355">
        <v>9.1000000000000004E-3</v>
      </c>
      <c r="BB473" s="624">
        <v>42201</v>
      </c>
      <c r="BC473" s="355">
        <v>0.26450000000000001</v>
      </c>
      <c r="BD473" s="624">
        <v>42201</v>
      </c>
      <c r="BE473" s="355">
        <v>8.72E-2</v>
      </c>
      <c r="BF473" s="624">
        <v>42209</v>
      </c>
      <c r="BG473" s="355">
        <v>1.5592999999999999E-2</v>
      </c>
      <c r="BH473" s="624">
        <v>42201</v>
      </c>
      <c r="BI473" s="355">
        <v>7.4743000000000004E-2</v>
      </c>
      <c r="BJ473" s="624">
        <v>42201</v>
      </c>
      <c r="BK473" s="355">
        <v>2.9250000000000002E-2</v>
      </c>
    </row>
    <row r="474" spans="3:63">
      <c r="C474" s="624"/>
      <c r="D474" s="355">
        <v>3.7170000000000002E-2</v>
      </c>
      <c r="AV474" s="624">
        <v>42214</v>
      </c>
      <c r="AW474" s="355">
        <v>0.30020000000000002</v>
      </c>
      <c r="AX474" s="624">
        <v>42202</v>
      </c>
      <c r="AY474" s="355">
        <v>1.755E-2</v>
      </c>
      <c r="AZ474" s="624">
        <v>42202</v>
      </c>
      <c r="BA474" s="355">
        <v>8.9999999999999993E-3</v>
      </c>
      <c r="BB474" s="624">
        <v>42202</v>
      </c>
      <c r="BC474" s="355">
        <v>0.26369999999999999</v>
      </c>
      <c r="BD474" s="624">
        <v>42202</v>
      </c>
      <c r="BE474" s="355">
        <v>8.6919999999999997E-2</v>
      </c>
      <c r="BF474" s="624">
        <v>42212</v>
      </c>
      <c r="BG474" s="355">
        <v>1.5576E-2</v>
      </c>
      <c r="BH474" s="624">
        <v>42202</v>
      </c>
      <c r="BI474" s="355">
        <v>7.4880000000000002E-2</v>
      </c>
      <c r="BJ474" s="624">
        <v>42202</v>
      </c>
      <c r="BK474" s="355">
        <v>2.9222999999999999E-2</v>
      </c>
    </row>
    <row r="475" spans="3:63">
      <c r="C475" s="624"/>
      <c r="D475" s="355">
        <v>3.721E-2</v>
      </c>
      <c r="AV475" s="624">
        <v>42215</v>
      </c>
      <c r="AW475" s="355">
        <v>0.29649999999999999</v>
      </c>
      <c r="AX475" s="624">
        <v>42205</v>
      </c>
      <c r="AY475" s="355">
        <v>1.754E-2</v>
      </c>
      <c r="AZ475" s="624">
        <v>42205</v>
      </c>
      <c r="BA475" s="355">
        <v>8.9999999999999993E-3</v>
      </c>
      <c r="BB475" s="624">
        <v>42205</v>
      </c>
      <c r="BC475" s="355">
        <v>0.26250000000000001</v>
      </c>
      <c r="BD475" s="624">
        <v>42205</v>
      </c>
      <c r="BE475" s="355">
        <v>8.6459999999999995E-2</v>
      </c>
      <c r="BF475" s="624">
        <v>42213</v>
      </c>
      <c r="BG475" s="355">
        <v>1.5672999999999999E-2</v>
      </c>
      <c r="BH475" s="624">
        <v>42205</v>
      </c>
      <c r="BI475" s="355">
        <v>7.4459999999999998E-2</v>
      </c>
      <c r="BJ475" s="624">
        <v>42205</v>
      </c>
      <c r="BK475" s="355">
        <v>2.9014000000000002E-2</v>
      </c>
    </row>
    <row r="476" spans="3:63">
      <c r="C476" s="624"/>
      <c r="D476" s="355">
        <v>3.7130000000000003E-2</v>
      </c>
      <c r="AV476" s="624">
        <v>42216</v>
      </c>
      <c r="AW476" s="355">
        <v>0.2923</v>
      </c>
      <c r="AX476" s="624">
        <v>42206</v>
      </c>
      <c r="AY476" s="355">
        <v>1.755E-2</v>
      </c>
      <c r="AZ476" s="624">
        <v>42206</v>
      </c>
      <c r="BA476" s="355">
        <v>9.1000000000000004E-3</v>
      </c>
      <c r="BB476" s="624">
        <v>42206</v>
      </c>
      <c r="BC476" s="355">
        <v>0.2646</v>
      </c>
      <c r="BD476" s="624">
        <v>42206</v>
      </c>
      <c r="BE476" s="355">
        <v>8.7050000000000002E-2</v>
      </c>
      <c r="BF476" s="624">
        <v>42214</v>
      </c>
      <c r="BG476" s="355">
        <v>1.5667E-2</v>
      </c>
      <c r="BH476" s="624">
        <v>42206</v>
      </c>
      <c r="BI476" s="355">
        <v>7.4805999999999997E-2</v>
      </c>
      <c r="BJ476" s="624">
        <v>42206</v>
      </c>
      <c r="BK476" s="355">
        <v>2.9051E-2</v>
      </c>
    </row>
    <row r="477" spans="3:63">
      <c r="C477" s="624"/>
      <c r="D477" s="355">
        <v>3.7080000000000002E-2</v>
      </c>
      <c r="AV477" s="624">
        <v>42219</v>
      </c>
      <c r="AW477" s="355">
        <v>0.2898</v>
      </c>
      <c r="AX477" s="624">
        <v>42207</v>
      </c>
      <c r="AY477" s="355">
        <v>1.7409999999999998E-2</v>
      </c>
      <c r="AZ477" s="624">
        <v>42207</v>
      </c>
      <c r="BA477" s="355">
        <v>9.1000000000000004E-3</v>
      </c>
      <c r="BB477" s="624">
        <v>42207</v>
      </c>
      <c r="BC477" s="355">
        <v>0.26540000000000002</v>
      </c>
      <c r="BD477" s="624">
        <v>42207</v>
      </c>
      <c r="BE477" s="355">
        <v>8.6430000000000007E-2</v>
      </c>
      <c r="BF477" s="624">
        <v>42215</v>
      </c>
      <c r="BG477" s="355">
        <v>1.559E-2</v>
      </c>
      <c r="BH477" s="624">
        <v>42207</v>
      </c>
      <c r="BI477" s="355">
        <v>7.4537999999999993E-2</v>
      </c>
      <c r="BJ477" s="624">
        <v>42207</v>
      </c>
      <c r="BK477" s="355">
        <v>2.8795999999999999E-2</v>
      </c>
    </row>
    <row r="478" spans="3:63">
      <c r="C478" s="624"/>
      <c r="D478" s="355">
        <v>3.7139999999999999E-2</v>
      </c>
      <c r="AV478" s="624">
        <v>42220</v>
      </c>
      <c r="AW478" s="355">
        <v>0.28810000000000002</v>
      </c>
      <c r="AX478" s="624">
        <v>42208</v>
      </c>
      <c r="AY478" s="355">
        <v>1.7309999999999999E-2</v>
      </c>
      <c r="AZ478" s="624">
        <v>42208</v>
      </c>
      <c r="BA478" s="355">
        <v>9.1000000000000004E-3</v>
      </c>
      <c r="BB478" s="624">
        <v>42208</v>
      </c>
      <c r="BC478" s="355">
        <v>0.26650000000000001</v>
      </c>
      <c r="BD478" s="624">
        <v>42208</v>
      </c>
      <c r="BE478" s="355">
        <v>8.6050000000000001E-2</v>
      </c>
      <c r="BF478" s="624">
        <v>42216</v>
      </c>
      <c r="BG478" s="355">
        <v>1.5611E-2</v>
      </c>
      <c r="BH478" s="624">
        <v>42208</v>
      </c>
      <c r="BI478" s="355">
        <v>7.4429999999999996E-2</v>
      </c>
      <c r="BJ478" s="624">
        <v>42208</v>
      </c>
      <c r="BK478" s="355">
        <v>2.8733999999999999E-2</v>
      </c>
    </row>
    <row r="479" spans="3:63">
      <c r="C479" s="624"/>
      <c r="D479" s="355">
        <v>3.721E-2</v>
      </c>
      <c r="AV479" s="624">
        <v>42221</v>
      </c>
      <c r="AW479" s="355">
        <v>0.28689999999999999</v>
      </c>
      <c r="AX479" s="624">
        <v>42209</v>
      </c>
      <c r="AY479" s="355">
        <v>1.711E-2</v>
      </c>
      <c r="AZ479" s="624">
        <v>42209</v>
      </c>
      <c r="BA479" s="355">
        <v>9.1000000000000004E-3</v>
      </c>
      <c r="BB479" s="624">
        <v>42209</v>
      </c>
      <c r="BC479" s="355">
        <v>0.26479999999999998</v>
      </c>
      <c r="BD479" s="624">
        <v>42209</v>
      </c>
      <c r="BE479" s="355">
        <v>8.5430000000000006E-2</v>
      </c>
      <c r="BF479" s="624">
        <v>42219</v>
      </c>
      <c r="BG479" s="355">
        <v>1.5582E-2</v>
      </c>
      <c r="BH479" s="624">
        <v>42209</v>
      </c>
      <c r="BI479" s="355">
        <v>7.4286000000000005E-2</v>
      </c>
      <c r="BJ479" s="624">
        <v>42209</v>
      </c>
      <c r="BK479" s="355">
        <v>2.8655E-2</v>
      </c>
    </row>
    <row r="480" spans="3:63">
      <c r="C480" s="624"/>
      <c r="D480" s="355">
        <v>3.73E-2</v>
      </c>
      <c r="AV480" s="624">
        <v>42222</v>
      </c>
      <c r="AW480" s="355">
        <v>0.2828</v>
      </c>
      <c r="AX480" s="624">
        <v>42212</v>
      </c>
      <c r="AY480" s="355">
        <v>1.668E-2</v>
      </c>
      <c r="AZ480" s="624">
        <v>42212</v>
      </c>
      <c r="BA480" s="355">
        <v>9.1999999999999998E-3</v>
      </c>
      <c r="BB480" s="624">
        <v>42212</v>
      </c>
      <c r="BC480" s="355">
        <v>0.26910000000000001</v>
      </c>
      <c r="BD480" s="624">
        <v>42212</v>
      </c>
      <c r="BE480" s="355">
        <v>8.5650000000000004E-2</v>
      </c>
      <c r="BF480" s="624">
        <v>42220</v>
      </c>
      <c r="BG480" s="355">
        <v>1.5674E-2</v>
      </c>
      <c r="BH480" s="624">
        <v>42212</v>
      </c>
      <c r="BI480" s="355">
        <v>7.4142E-2</v>
      </c>
      <c r="BJ480" s="624">
        <v>42212</v>
      </c>
      <c r="BK480" s="355">
        <v>2.8684999999999999E-2</v>
      </c>
    </row>
    <row r="481" spans="3:63">
      <c r="C481" s="624"/>
      <c r="D481" s="355">
        <v>3.7289999999999997E-2</v>
      </c>
      <c r="AV481" s="624">
        <v>42223</v>
      </c>
      <c r="AW481" s="355">
        <v>0.28510000000000002</v>
      </c>
      <c r="AX481" s="624">
        <v>42213</v>
      </c>
      <c r="AY481" s="355">
        <v>1.669E-2</v>
      </c>
      <c r="AZ481" s="624">
        <v>42213</v>
      </c>
      <c r="BA481" s="355">
        <v>9.1999999999999998E-3</v>
      </c>
      <c r="BB481" s="624">
        <v>42213</v>
      </c>
      <c r="BC481" s="355">
        <v>0.26860000000000001</v>
      </c>
      <c r="BD481" s="624">
        <v>42213</v>
      </c>
      <c r="BE481" s="355">
        <v>8.6169999999999997E-2</v>
      </c>
      <c r="BF481" s="624">
        <v>42221</v>
      </c>
      <c r="BG481" s="355">
        <v>1.5701E-2</v>
      </c>
      <c r="BH481" s="624">
        <v>42213</v>
      </c>
      <c r="BI481" s="355">
        <v>7.4509000000000006E-2</v>
      </c>
      <c r="BJ481" s="624">
        <v>42213</v>
      </c>
      <c r="BK481" s="355">
        <v>2.8698999999999999E-2</v>
      </c>
    </row>
    <row r="482" spans="3:63">
      <c r="C482" s="624"/>
      <c r="D482" s="355">
        <v>3.7350000000000001E-2</v>
      </c>
      <c r="AV482" s="624">
        <v>42226</v>
      </c>
      <c r="AW482" s="355">
        <v>0.29099999999999998</v>
      </c>
      <c r="AX482" s="624">
        <v>42214</v>
      </c>
      <c r="AY482" s="355">
        <v>1.7049999999999999E-2</v>
      </c>
      <c r="AZ482" s="624">
        <v>42214</v>
      </c>
      <c r="BA482" s="355">
        <v>9.1000000000000004E-3</v>
      </c>
      <c r="BB482" s="624">
        <v>42214</v>
      </c>
      <c r="BC482" s="355">
        <v>0.26600000000000001</v>
      </c>
      <c r="BD482" s="624">
        <v>42214</v>
      </c>
      <c r="BE482" s="355">
        <v>8.6059999999999998E-2</v>
      </c>
      <c r="BF482" s="624">
        <v>42222</v>
      </c>
      <c r="BG482" s="355">
        <v>1.5692999999999999E-2</v>
      </c>
      <c r="BH482" s="624">
        <v>42214</v>
      </c>
      <c r="BI482" s="355">
        <v>7.4180999999999997E-2</v>
      </c>
      <c r="BJ482" s="624">
        <v>42214</v>
      </c>
      <c r="BK482" s="355">
        <v>2.8594000000000001E-2</v>
      </c>
    </row>
    <row r="483" spans="3:63">
      <c r="C483" s="624"/>
      <c r="D483" s="355">
        <v>3.7350000000000001E-2</v>
      </c>
      <c r="AV483" s="624">
        <v>42227</v>
      </c>
      <c r="AW483" s="355">
        <v>0.28789999999999999</v>
      </c>
      <c r="AX483" s="624">
        <v>42215</v>
      </c>
      <c r="AY483" s="355">
        <v>1.6719999999999999E-2</v>
      </c>
      <c r="AZ483" s="624">
        <v>42215</v>
      </c>
      <c r="BA483" s="355">
        <v>9.1000000000000004E-3</v>
      </c>
      <c r="BB483" s="624">
        <v>42215</v>
      </c>
      <c r="BC483" s="355">
        <v>0.26379999999999998</v>
      </c>
      <c r="BD483" s="624">
        <v>42215</v>
      </c>
      <c r="BE483" s="355">
        <v>8.5239999999999996E-2</v>
      </c>
      <c r="BF483" s="624">
        <v>42223</v>
      </c>
      <c r="BG483" s="355">
        <v>1.5678999999999998E-2</v>
      </c>
      <c r="BH483" s="624">
        <v>42215</v>
      </c>
      <c r="BI483" s="355">
        <v>7.4047000000000002E-2</v>
      </c>
      <c r="BJ483" s="624">
        <v>42215</v>
      </c>
      <c r="BK483" s="355">
        <v>2.8466000000000002E-2</v>
      </c>
    </row>
    <row r="484" spans="3:63">
      <c r="C484" s="624"/>
      <c r="D484" s="355">
        <v>3.737E-2</v>
      </c>
      <c r="AV484" s="624">
        <v>42228</v>
      </c>
      <c r="AW484" s="355">
        <v>0.2873</v>
      </c>
      <c r="AX484" s="624">
        <v>42216</v>
      </c>
      <c r="AY484" s="355">
        <v>1.6199999999999999E-2</v>
      </c>
      <c r="AZ484" s="624">
        <v>42216</v>
      </c>
      <c r="BA484" s="355">
        <v>9.1000000000000004E-3</v>
      </c>
      <c r="BB484" s="624">
        <v>42216</v>
      </c>
      <c r="BC484" s="355">
        <v>0.26519999999999999</v>
      </c>
      <c r="BD484" s="624">
        <v>42216</v>
      </c>
      <c r="BE484" s="355">
        <v>8.5699999999999998E-2</v>
      </c>
      <c r="BF484" s="624">
        <v>42226</v>
      </c>
      <c r="BG484" s="355">
        <v>1.5679999999999999E-2</v>
      </c>
      <c r="BH484" s="624">
        <v>42216</v>
      </c>
      <c r="BI484" s="355">
        <v>7.4130000000000001E-2</v>
      </c>
      <c r="BJ484" s="624">
        <v>42216</v>
      </c>
      <c r="BK484" s="355">
        <v>2.8569000000000001E-2</v>
      </c>
    </row>
    <row r="485" spans="3:63">
      <c r="C485" s="624"/>
      <c r="D485" s="355">
        <v>3.7470000000000003E-2</v>
      </c>
      <c r="AV485" s="624">
        <v>42229</v>
      </c>
      <c r="AW485" s="355">
        <v>0.28410000000000002</v>
      </c>
      <c r="AX485" s="624">
        <v>42219</v>
      </c>
      <c r="AY485" s="355">
        <v>1.5740000000000001E-2</v>
      </c>
      <c r="AZ485" s="624">
        <v>42219</v>
      </c>
      <c r="BA485" s="355">
        <v>9.1000000000000004E-3</v>
      </c>
      <c r="BB485" s="624">
        <v>42219</v>
      </c>
      <c r="BC485" s="355">
        <v>0.26419999999999999</v>
      </c>
      <c r="BD485" s="624">
        <v>42219</v>
      </c>
      <c r="BE485" s="355">
        <v>8.5389999999999994E-2</v>
      </c>
      <c r="BF485" s="624">
        <v>42227</v>
      </c>
      <c r="BG485" s="355">
        <v>1.5544000000000001E-2</v>
      </c>
      <c r="BH485" s="624">
        <v>42219</v>
      </c>
      <c r="BI485" s="355">
        <v>7.4208999999999997E-2</v>
      </c>
      <c r="BJ485" s="624">
        <v>42219</v>
      </c>
      <c r="BK485" s="355">
        <v>2.8511000000000002E-2</v>
      </c>
    </row>
    <row r="486" spans="3:63">
      <c r="C486" s="624"/>
      <c r="D486" s="355">
        <v>3.7429999999999998E-2</v>
      </c>
      <c r="AV486" s="624">
        <v>42230</v>
      </c>
      <c r="AW486" s="355">
        <v>0.28710000000000002</v>
      </c>
      <c r="AX486" s="624">
        <v>42220</v>
      </c>
      <c r="AY486" s="355">
        <v>1.5869999999999999E-2</v>
      </c>
      <c r="AZ486" s="624">
        <v>42220</v>
      </c>
      <c r="BA486" s="355">
        <v>9.1000000000000004E-3</v>
      </c>
      <c r="BB486" s="624">
        <v>42220</v>
      </c>
      <c r="BC486" s="355">
        <v>0.26019999999999999</v>
      </c>
      <c r="BD486" s="624">
        <v>42220</v>
      </c>
      <c r="BE486" s="355">
        <v>8.5519999999999999E-2</v>
      </c>
      <c r="BF486" s="624">
        <v>42228</v>
      </c>
      <c r="BG486" s="355">
        <v>1.5398E-2</v>
      </c>
      <c r="BH486" s="624">
        <v>42220</v>
      </c>
      <c r="BI486" s="355">
        <v>7.4054999999999996E-2</v>
      </c>
      <c r="BJ486" s="624">
        <v>42220</v>
      </c>
      <c r="BK486" s="355">
        <v>2.8483999999999999E-2</v>
      </c>
    </row>
    <row r="487" spans="3:63">
      <c r="C487" s="624"/>
      <c r="D487" s="355">
        <v>3.7449999999999997E-2</v>
      </c>
      <c r="AV487" s="624">
        <v>42233</v>
      </c>
      <c r="AW487" s="355">
        <v>0.2873</v>
      </c>
      <c r="AX487" s="624">
        <v>42221</v>
      </c>
      <c r="AY487" s="355">
        <v>1.575E-2</v>
      </c>
      <c r="AZ487" s="624">
        <v>42221</v>
      </c>
      <c r="BA487" s="355">
        <v>9.1000000000000004E-3</v>
      </c>
      <c r="BB487" s="624">
        <v>42221</v>
      </c>
      <c r="BC487" s="355">
        <v>0.26119999999999999</v>
      </c>
      <c r="BD487" s="624">
        <v>42221</v>
      </c>
      <c r="BE487" s="355">
        <v>8.5190000000000002E-2</v>
      </c>
      <c r="BF487" s="624">
        <v>42229</v>
      </c>
      <c r="BG487" s="355">
        <v>1.5335E-2</v>
      </c>
      <c r="BH487" s="624">
        <v>42221</v>
      </c>
      <c r="BI487" s="355">
        <v>7.3948E-2</v>
      </c>
      <c r="BJ487" s="624">
        <v>42221</v>
      </c>
      <c r="BK487" s="355">
        <v>2.8412E-2</v>
      </c>
    </row>
    <row r="488" spans="3:63">
      <c r="C488" s="624"/>
      <c r="D488" s="355">
        <v>3.7449999999999997E-2</v>
      </c>
      <c r="AV488" s="624">
        <v>42234</v>
      </c>
      <c r="AW488" s="355">
        <v>0.28839999999999999</v>
      </c>
      <c r="AX488" s="624">
        <v>42222</v>
      </c>
      <c r="AY488" s="355">
        <v>1.5509999999999999E-2</v>
      </c>
      <c r="AZ488" s="624">
        <v>42222</v>
      </c>
      <c r="BA488" s="355">
        <v>9.1000000000000004E-3</v>
      </c>
      <c r="BB488" s="624">
        <v>42222</v>
      </c>
      <c r="BC488" s="355">
        <v>0.26079999999999998</v>
      </c>
      <c r="BD488" s="624">
        <v>42222</v>
      </c>
      <c r="BE488" s="355">
        <v>8.591E-2</v>
      </c>
      <c r="BF488" s="624">
        <v>42230</v>
      </c>
      <c r="BG488" s="355">
        <v>1.5365E-2</v>
      </c>
      <c r="BH488" s="624">
        <v>42222</v>
      </c>
      <c r="BI488" s="355">
        <v>7.4052999999999994E-2</v>
      </c>
      <c r="BJ488" s="624">
        <v>42222</v>
      </c>
      <c r="BK488" s="355">
        <v>2.8489E-2</v>
      </c>
    </row>
    <row r="489" spans="3:63">
      <c r="C489" s="624"/>
      <c r="D489" s="355">
        <v>3.7379999999999997E-2</v>
      </c>
      <c r="AV489" s="624">
        <v>42235</v>
      </c>
      <c r="AW489" s="355">
        <v>0.2863</v>
      </c>
      <c r="AX489" s="624">
        <v>42223</v>
      </c>
      <c r="AY489" s="355">
        <v>1.562E-2</v>
      </c>
      <c r="AZ489" s="624">
        <v>42223</v>
      </c>
      <c r="BA489" s="355">
        <v>9.1000000000000004E-3</v>
      </c>
      <c r="BB489" s="624">
        <v>42223</v>
      </c>
      <c r="BC489" s="355">
        <v>0.2621</v>
      </c>
      <c r="BD489" s="624">
        <v>42223</v>
      </c>
      <c r="BE489" s="355">
        <v>8.5860000000000006E-2</v>
      </c>
      <c r="BF489" s="624">
        <v>42233</v>
      </c>
      <c r="BG489" s="355">
        <v>1.5288E-2</v>
      </c>
      <c r="BH489" s="624">
        <v>42223</v>
      </c>
      <c r="BI489" s="355">
        <v>7.3942999999999995E-2</v>
      </c>
      <c r="BJ489" s="624">
        <v>42223</v>
      </c>
      <c r="BK489" s="355">
        <v>2.8466000000000002E-2</v>
      </c>
    </row>
    <row r="490" spans="3:63">
      <c r="C490" s="624"/>
      <c r="D490" s="355">
        <v>3.7269999999999998E-2</v>
      </c>
      <c r="AV490" s="624">
        <v>42236</v>
      </c>
      <c r="AW490" s="355">
        <v>0.28889999999999999</v>
      </c>
      <c r="AX490" s="624">
        <v>42226</v>
      </c>
      <c r="AY490" s="355">
        <v>1.5879999999999998E-2</v>
      </c>
      <c r="AZ490" s="624">
        <v>42226</v>
      </c>
      <c r="BA490" s="355">
        <v>9.1999999999999998E-3</v>
      </c>
      <c r="BB490" s="624">
        <v>42226</v>
      </c>
      <c r="BC490" s="355">
        <v>0.26240000000000002</v>
      </c>
      <c r="BD490" s="624">
        <v>42226</v>
      </c>
      <c r="BE490" s="355">
        <v>8.6269999999999999E-2</v>
      </c>
      <c r="BF490" s="624">
        <v>42234</v>
      </c>
      <c r="BG490" s="355">
        <v>1.5262E-2</v>
      </c>
      <c r="BH490" s="624">
        <v>42226</v>
      </c>
      <c r="BI490" s="355">
        <v>7.3940000000000006E-2</v>
      </c>
      <c r="BJ490" s="624">
        <v>42226</v>
      </c>
      <c r="BK490" s="355">
        <v>2.8504999999999999E-2</v>
      </c>
    </row>
    <row r="491" spans="3:63">
      <c r="C491" s="624"/>
      <c r="D491" s="355">
        <v>3.7260000000000001E-2</v>
      </c>
      <c r="AV491" s="624">
        <v>42237</v>
      </c>
      <c r="AW491" s="355">
        <v>0.28560000000000002</v>
      </c>
      <c r="AX491" s="624">
        <v>42227</v>
      </c>
      <c r="AY491" s="355">
        <v>1.5559999999999999E-2</v>
      </c>
      <c r="AZ491" s="624">
        <v>42227</v>
      </c>
      <c r="BA491" s="355">
        <v>9.1999999999999998E-3</v>
      </c>
      <c r="BB491" s="624">
        <v>42227</v>
      </c>
      <c r="BC491" s="355">
        <v>0.26329999999999998</v>
      </c>
      <c r="BD491" s="624">
        <v>42227</v>
      </c>
      <c r="BE491" s="355">
        <v>8.48E-2</v>
      </c>
      <c r="BF491" s="624">
        <v>42235</v>
      </c>
      <c r="BG491" s="355">
        <v>1.5369000000000001E-2</v>
      </c>
      <c r="BH491" s="624">
        <v>42227</v>
      </c>
      <c r="BI491" s="355">
        <v>7.2875999999999996E-2</v>
      </c>
      <c r="BJ491" s="624">
        <v>42227</v>
      </c>
      <c r="BK491" s="355">
        <v>2.8296000000000002E-2</v>
      </c>
    </row>
    <row r="492" spans="3:63">
      <c r="C492" s="624"/>
      <c r="D492" s="355">
        <v>3.7339999999999998E-2</v>
      </c>
      <c r="AV492" s="624">
        <v>42240</v>
      </c>
      <c r="AW492" s="355">
        <v>0.28139999999999998</v>
      </c>
      <c r="AX492" s="624">
        <v>42228</v>
      </c>
      <c r="AY492" s="355">
        <v>1.5570000000000001E-2</v>
      </c>
      <c r="AZ492" s="624">
        <v>42228</v>
      </c>
      <c r="BA492" s="355">
        <v>9.2999999999999992E-3</v>
      </c>
      <c r="BB492" s="624">
        <v>42228</v>
      </c>
      <c r="BC492" s="355">
        <v>0.2666</v>
      </c>
      <c r="BD492" s="624">
        <v>42228</v>
      </c>
      <c r="BE492" s="355">
        <v>8.5209999999999994E-2</v>
      </c>
      <c r="BF492" s="624">
        <v>42236</v>
      </c>
      <c r="BG492" s="355">
        <v>1.5283E-2</v>
      </c>
      <c r="BH492" s="624">
        <v>42228</v>
      </c>
      <c r="BI492" s="355">
        <v>7.1920999999999999E-2</v>
      </c>
      <c r="BJ492" s="624">
        <v>42228</v>
      </c>
      <c r="BK492" s="355">
        <v>2.8367E-2</v>
      </c>
    </row>
    <row r="493" spans="3:63">
      <c r="C493" s="624"/>
      <c r="D493" s="355">
        <v>3.7400000000000003E-2</v>
      </c>
      <c r="AV493" s="624">
        <v>42241</v>
      </c>
      <c r="AW493" s="355">
        <v>0.27650000000000002</v>
      </c>
      <c r="AX493" s="624">
        <v>42229</v>
      </c>
      <c r="AY493" s="355">
        <v>1.546E-2</v>
      </c>
      <c r="AZ493" s="624">
        <v>42229</v>
      </c>
      <c r="BA493" s="355">
        <v>9.2999999999999992E-3</v>
      </c>
      <c r="BB493" s="624">
        <v>42229</v>
      </c>
      <c r="BC493" s="355">
        <v>0.26679999999999998</v>
      </c>
      <c r="BD493" s="624">
        <v>42229</v>
      </c>
      <c r="BE493" s="355">
        <v>8.4849999999999995E-2</v>
      </c>
      <c r="BF493" s="624">
        <v>42237</v>
      </c>
      <c r="BG493" s="355">
        <v>1.5101E-2</v>
      </c>
      <c r="BH493" s="624">
        <v>42229</v>
      </c>
      <c r="BI493" s="355">
        <v>7.2569999999999996E-2</v>
      </c>
      <c r="BJ493" s="624">
        <v>42229</v>
      </c>
      <c r="BK493" s="355">
        <v>2.8443E-2</v>
      </c>
    </row>
    <row r="494" spans="3:63">
      <c r="C494" s="624"/>
      <c r="D494" s="355">
        <v>3.737E-2</v>
      </c>
      <c r="AV494" s="624">
        <v>42242</v>
      </c>
      <c r="AW494" s="355">
        <v>0.27810000000000001</v>
      </c>
      <c r="AX494" s="624">
        <v>42230</v>
      </c>
      <c r="AY494" s="355">
        <v>1.541E-2</v>
      </c>
      <c r="AZ494" s="624">
        <v>42230</v>
      </c>
      <c r="BA494" s="355">
        <v>9.2999999999999992E-3</v>
      </c>
      <c r="BB494" s="624">
        <v>42230</v>
      </c>
      <c r="BC494" s="355">
        <v>0.26569999999999999</v>
      </c>
      <c r="BD494" s="624">
        <v>42230</v>
      </c>
      <c r="BE494" s="355">
        <v>8.4809999999999997E-2</v>
      </c>
      <c r="BF494" s="624">
        <v>42240</v>
      </c>
      <c r="BG494" s="355">
        <v>1.4921E-2</v>
      </c>
      <c r="BH494" s="624">
        <v>42230</v>
      </c>
      <c r="BI494" s="355">
        <v>7.2442000000000006E-2</v>
      </c>
      <c r="BJ494" s="624">
        <v>42230</v>
      </c>
      <c r="BK494" s="355">
        <v>2.8362999999999999E-2</v>
      </c>
    </row>
    <row r="495" spans="3:63">
      <c r="C495" s="624"/>
      <c r="D495" s="355">
        <v>3.739E-2</v>
      </c>
      <c r="AV495" s="624">
        <v>42243</v>
      </c>
      <c r="AW495" s="355">
        <v>0.28139999999999998</v>
      </c>
      <c r="AX495" s="624">
        <v>42233</v>
      </c>
      <c r="AY495" s="355">
        <v>1.529E-2</v>
      </c>
      <c r="AZ495" s="624">
        <v>42233</v>
      </c>
      <c r="BA495" s="355">
        <v>9.1999999999999998E-3</v>
      </c>
      <c r="BB495" s="624">
        <v>42233</v>
      </c>
      <c r="BC495" s="355">
        <v>0.26590000000000003</v>
      </c>
      <c r="BD495" s="624">
        <v>42233</v>
      </c>
      <c r="BE495" s="355">
        <v>8.4510000000000002E-2</v>
      </c>
      <c r="BF495" s="624">
        <v>42241</v>
      </c>
      <c r="BG495" s="355">
        <v>1.5077E-2</v>
      </c>
      <c r="BH495" s="624">
        <v>42233</v>
      </c>
      <c r="BI495" s="355">
        <v>7.2174000000000002E-2</v>
      </c>
      <c r="BJ495" s="624">
        <v>42233</v>
      </c>
      <c r="BK495" s="355">
        <v>2.8135E-2</v>
      </c>
    </row>
    <row r="496" spans="3:63">
      <c r="C496" s="624"/>
      <c r="D496" s="355">
        <v>3.7530000000000001E-2</v>
      </c>
      <c r="AV496" s="624">
        <v>42244</v>
      </c>
      <c r="AW496" s="355">
        <v>0.27929999999999999</v>
      </c>
      <c r="AX496" s="624">
        <v>42234</v>
      </c>
      <c r="AY496" s="355">
        <v>1.5180000000000001E-2</v>
      </c>
      <c r="AZ496" s="624">
        <v>42234</v>
      </c>
      <c r="BA496" s="355">
        <v>9.1999999999999998E-3</v>
      </c>
      <c r="BB496" s="624">
        <v>42234</v>
      </c>
      <c r="BC496" s="355">
        <v>0.26479999999999998</v>
      </c>
      <c r="BD496" s="624">
        <v>42234</v>
      </c>
      <c r="BE496" s="355">
        <v>8.4309999999999996E-2</v>
      </c>
      <c r="BF496" s="624">
        <v>42242</v>
      </c>
      <c r="BG496" s="355">
        <v>1.5148999999999999E-2</v>
      </c>
      <c r="BH496" s="624">
        <v>42234</v>
      </c>
      <c r="BI496" s="355">
        <v>7.2350999999999999E-2</v>
      </c>
      <c r="BJ496" s="624">
        <v>42234</v>
      </c>
      <c r="BK496" s="355">
        <v>2.8132000000000001E-2</v>
      </c>
    </row>
    <row r="497" spans="3:63">
      <c r="C497" s="624"/>
      <c r="D497" s="355">
        <v>3.7359999999999997E-2</v>
      </c>
      <c r="AV497" s="624">
        <v>42247</v>
      </c>
      <c r="AW497" s="355">
        <v>0.27610000000000001</v>
      </c>
      <c r="AX497" s="624">
        <v>42235</v>
      </c>
      <c r="AY497" s="355">
        <v>1.502E-2</v>
      </c>
      <c r="AZ497" s="624">
        <v>42235</v>
      </c>
      <c r="BA497" s="355">
        <v>9.2999999999999992E-3</v>
      </c>
      <c r="BB497" s="624">
        <v>42235</v>
      </c>
      <c r="BC497" s="355">
        <v>0.26629999999999998</v>
      </c>
      <c r="BD497" s="624">
        <v>42235</v>
      </c>
      <c r="BE497" s="355">
        <v>8.4449999999999997E-2</v>
      </c>
      <c r="BF497" s="624">
        <v>42243</v>
      </c>
      <c r="BG497" s="355">
        <v>1.5159000000000001E-2</v>
      </c>
      <c r="BH497" s="624">
        <v>42235</v>
      </c>
      <c r="BI497" s="355">
        <v>7.2482000000000005E-2</v>
      </c>
      <c r="BJ497" s="624">
        <v>42235</v>
      </c>
      <c r="BK497" s="355">
        <v>2.8138E-2</v>
      </c>
    </row>
    <row r="498" spans="3:63">
      <c r="C498" s="624"/>
      <c r="D498" s="355">
        <v>3.7359999999999997E-2</v>
      </c>
      <c r="AV498" s="624">
        <v>42248</v>
      </c>
      <c r="AW498" s="355">
        <v>0.27010000000000001</v>
      </c>
      <c r="AX498" s="624">
        <v>42236</v>
      </c>
      <c r="AY498" s="355">
        <v>1.47E-2</v>
      </c>
      <c r="AZ498" s="624">
        <v>42236</v>
      </c>
      <c r="BA498" s="355">
        <v>9.4000000000000004E-3</v>
      </c>
      <c r="BB498" s="624">
        <v>42236</v>
      </c>
      <c r="BC498" s="355">
        <v>0.26829999999999998</v>
      </c>
      <c r="BD498" s="624">
        <v>42236</v>
      </c>
      <c r="BE498" s="355">
        <v>8.4390000000000007E-2</v>
      </c>
      <c r="BF498" s="624">
        <v>42244</v>
      </c>
      <c r="BG498" s="355">
        <v>1.5117E-2</v>
      </c>
      <c r="BH498" s="624">
        <v>42236</v>
      </c>
      <c r="BI498" s="355">
        <v>7.2021000000000002E-2</v>
      </c>
      <c r="BJ498" s="624">
        <v>42236</v>
      </c>
      <c r="BK498" s="355">
        <v>2.8097E-2</v>
      </c>
    </row>
    <row r="499" spans="3:63">
      <c r="C499" s="624"/>
      <c r="D499" s="355">
        <v>3.7319999999999999E-2</v>
      </c>
      <c r="AV499" s="624">
        <v>42249</v>
      </c>
      <c r="AW499" s="355">
        <v>0.2661</v>
      </c>
      <c r="AX499" s="624">
        <v>42237</v>
      </c>
      <c r="AY499" s="355">
        <v>1.448E-2</v>
      </c>
      <c r="AZ499" s="624">
        <v>42237</v>
      </c>
      <c r="BA499" s="355">
        <v>9.4999999999999998E-3</v>
      </c>
      <c r="BB499" s="624">
        <v>42237</v>
      </c>
      <c r="BC499" s="355">
        <v>0.26919999999999999</v>
      </c>
      <c r="BD499" s="624">
        <v>42237</v>
      </c>
      <c r="BE499" s="355">
        <v>8.3589999999999998E-2</v>
      </c>
      <c r="BF499" s="624">
        <v>42247</v>
      </c>
      <c r="BG499" s="355">
        <v>1.5056999999999999E-2</v>
      </c>
      <c r="BH499" s="624">
        <v>42237</v>
      </c>
      <c r="BI499" s="355">
        <v>7.1322999999999998E-2</v>
      </c>
      <c r="BJ499" s="624">
        <v>42237</v>
      </c>
      <c r="BK499" s="355">
        <v>2.8080999999999998E-2</v>
      </c>
    </row>
    <row r="500" spans="3:63">
      <c r="C500" s="624"/>
      <c r="D500" s="355">
        <v>3.7280000000000001E-2</v>
      </c>
      <c r="AV500" s="624">
        <v>42250</v>
      </c>
      <c r="AW500" s="355">
        <v>0.26740000000000003</v>
      </c>
      <c r="AX500" s="624">
        <v>42240</v>
      </c>
      <c r="AY500" s="355">
        <v>1.4109999999999999E-2</v>
      </c>
      <c r="AZ500" s="624">
        <v>42240</v>
      </c>
      <c r="BA500" s="355">
        <v>9.5999999999999992E-3</v>
      </c>
      <c r="BB500" s="624">
        <v>42240</v>
      </c>
      <c r="BC500" s="355">
        <v>0.27279999999999999</v>
      </c>
      <c r="BD500" s="624">
        <v>42240</v>
      </c>
      <c r="BE500" s="355">
        <v>8.3970000000000003E-2</v>
      </c>
      <c r="BF500" s="624">
        <v>42248</v>
      </c>
      <c r="BG500" s="355">
        <v>1.5063999999999999E-2</v>
      </c>
      <c r="BH500" s="624">
        <v>42240</v>
      </c>
      <c r="BI500" s="355">
        <v>7.0800000000000002E-2</v>
      </c>
      <c r="BJ500" s="624">
        <v>42240</v>
      </c>
      <c r="BK500" s="355">
        <v>2.8072E-2</v>
      </c>
    </row>
    <row r="501" spans="3:63">
      <c r="C501" s="624"/>
      <c r="D501" s="355">
        <v>3.737E-2</v>
      </c>
      <c r="AV501" s="624">
        <v>42251</v>
      </c>
      <c r="AW501" s="355">
        <v>0.26019999999999999</v>
      </c>
      <c r="AX501" s="624">
        <v>42241</v>
      </c>
      <c r="AY501" s="355">
        <v>1.448E-2</v>
      </c>
      <c r="AZ501" s="624">
        <v>42241</v>
      </c>
      <c r="BA501" s="355">
        <v>9.4999999999999998E-3</v>
      </c>
      <c r="BB501" s="624">
        <v>42241</v>
      </c>
      <c r="BC501" s="355">
        <v>0.2707</v>
      </c>
      <c r="BD501" s="624">
        <v>42241</v>
      </c>
      <c r="BE501" s="355">
        <v>8.3970000000000003E-2</v>
      </c>
      <c r="BF501" s="624">
        <v>42249</v>
      </c>
      <c r="BG501" s="355">
        <v>1.5105E-2</v>
      </c>
      <c r="BH501" s="624">
        <v>42241</v>
      </c>
      <c r="BI501" s="355">
        <v>7.0921999999999999E-2</v>
      </c>
      <c r="BJ501" s="624">
        <v>42241</v>
      </c>
      <c r="BK501" s="355">
        <v>2.8108000000000001E-2</v>
      </c>
    </row>
    <row r="502" spans="3:63">
      <c r="C502" s="624"/>
      <c r="D502" s="355">
        <v>3.739E-2</v>
      </c>
      <c r="AV502" s="624">
        <v>42255</v>
      </c>
      <c r="AW502" s="355">
        <v>0.26179999999999998</v>
      </c>
      <c r="AX502" s="624">
        <v>42242</v>
      </c>
      <c r="AY502" s="355">
        <v>1.451E-2</v>
      </c>
      <c r="AZ502" s="624">
        <v>42242</v>
      </c>
      <c r="BA502" s="355">
        <v>9.4000000000000004E-3</v>
      </c>
      <c r="BB502" s="624">
        <v>42242</v>
      </c>
      <c r="BC502" s="355">
        <v>0.26729999999999998</v>
      </c>
      <c r="BD502" s="624">
        <v>42242</v>
      </c>
      <c r="BE502" s="355">
        <v>8.4519999999999998E-2</v>
      </c>
      <c r="BF502" s="624">
        <v>42250</v>
      </c>
      <c r="BG502" s="355">
        <v>1.5125E-2</v>
      </c>
      <c r="BH502" s="624">
        <v>42242</v>
      </c>
      <c r="BI502" s="355">
        <v>7.1276000000000006E-2</v>
      </c>
      <c r="BJ502" s="624">
        <v>42242</v>
      </c>
      <c r="BK502" s="355">
        <v>2.8011999999999999E-2</v>
      </c>
    </row>
    <row r="503" spans="3:63">
      <c r="C503" s="624"/>
      <c r="D503" s="355">
        <v>3.7400000000000003E-2</v>
      </c>
      <c r="AV503" s="624">
        <v>42256</v>
      </c>
      <c r="AW503" s="355">
        <v>0.26440000000000002</v>
      </c>
      <c r="AX503" s="624">
        <v>42243</v>
      </c>
      <c r="AY503" s="355">
        <v>1.512E-2</v>
      </c>
      <c r="AZ503" s="624">
        <v>42243</v>
      </c>
      <c r="BA503" s="355">
        <v>9.2999999999999992E-3</v>
      </c>
      <c r="BB503" s="624">
        <v>42243</v>
      </c>
      <c r="BC503" s="355">
        <v>0.26569999999999999</v>
      </c>
      <c r="BD503" s="624">
        <v>42243</v>
      </c>
      <c r="BE503" s="355">
        <v>8.5169999999999996E-2</v>
      </c>
      <c r="BF503" s="624">
        <v>42251</v>
      </c>
      <c r="BG503" s="355">
        <v>1.4985999999999999E-2</v>
      </c>
      <c r="BH503" s="624">
        <v>42243</v>
      </c>
      <c r="BI503" s="355">
        <v>7.1402999999999994E-2</v>
      </c>
      <c r="BJ503" s="624">
        <v>42243</v>
      </c>
      <c r="BK503" s="355">
        <v>2.8042999999999998E-2</v>
      </c>
    </row>
    <row r="504" spans="3:63">
      <c r="C504" s="624"/>
      <c r="D504" s="355">
        <v>3.7359999999999997E-2</v>
      </c>
      <c r="AV504" s="624">
        <v>42257</v>
      </c>
      <c r="AW504" s="355">
        <v>0.25969999999999999</v>
      </c>
      <c r="AX504" s="624">
        <v>42244</v>
      </c>
      <c r="AY504" s="355">
        <v>1.528E-2</v>
      </c>
      <c r="AZ504" s="624">
        <v>42244</v>
      </c>
      <c r="BA504" s="355">
        <v>9.2999999999999992E-3</v>
      </c>
      <c r="BB504" s="624">
        <v>42244</v>
      </c>
      <c r="BC504" s="355">
        <v>0.26540000000000002</v>
      </c>
      <c r="BD504" s="624">
        <v>42244</v>
      </c>
      <c r="BE504" s="355">
        <v>8.4769999999999998E-2</v>
      </c>
      <c r="BF504" s="624">
        <v>42254</v>
      </c>
      <c r="BG504" s="355">
        <v>1.495E-2</v>
      </c>
      <c r="BH504" s="624">
        <v>42244</v>
      </c>
      <c r="BI504" s="355">
        <v>7.1370000000000003E-2</v>
      </c>
      <c r="BJ504" s="624">
        <v>42244</v>
      </c>
      <c r="BK504" s="355">
        <v>2.7896000000000001E-2</v>
      </c>
    </row>
    <row r="505" spans="3:63">
      <c r="C505" s="624"/>
      <c r="D505" s="355">
        <v>3.7409999999999999E-2</v>
      </c>
      <c r="AV505" s="624">
        <v>42258</v>
      </c>
      <c r="AW505" s="355">
        <v>0.25840000000000002</v>
      </c>
      <c r="AX505" s="624">
        <v>42247</v>
      </c>
      <c r="AY505" s="355">
        <v>1.559E-2</v>
      </c>
      <c r="AZ505" s="624">
        <v>42247</v>
      </c>
      <c r="BA505" s="355">
        <v>9.2999999999999992E-3</v>
      </c>
      <c r="BB505" s="624">
        <v>42247</v>
      </c>
      <c r="BC505" s="355">
        <v>0.26490000000000002</v>
      </c>
      <c r="BD505" s="624">
        <v>42247</v>
      </c>
      <c r="BE505" s="355">
        <v>8.4519999999999998E-2</v>
      </c>
      <c r="BF505" s="624">
        <v>42255</v>
      </c>
      <c r="BG505" s="355">
        <v>1.5086E-2</v>
      </c>
      <c r="BH505" s="624">
        <v>42247</v>
      </c>
      <c r="BI505" s="355">
        <v>7.0948999999999998E-2</v>
      </c>
      <c r="BJ505" s="624">
        <v>42247</v>
      </c>
      <c r="BK505" s="355">
        <v>2.7906E-2</v>
      </c>
    </row>
    <row r="506" spans="3:63">
      <c r="C506" s="624"/>
      <c r="D506" s="355">
        <v>3.7449999999999997E-2</v>
      </c>
      <c r="AV506" s="624">
        <v>42261</v>
      </c>
      <c r="AW506" s="355">
        <v>0.26200000000000001</v>
      </c>
      <c r="AX506" s="624">
        <v>42248</v>
      </c>
      <c r="AY506" s="355">
        <v>1.498E-2</v>
      </c>
      <c r="AZ506" s="624">
        <v>42248</v>
      </c>
      <c r="BA506" s="355">
        <v>9.4000000000000004E-3</v>
      </c>
      <c r="BB506" s="624">
        <v>42248</v>
      </c>
      <c r="BC506" s="355">
        <v>0.2661</v>
      </c>
      <c r="BD506" s="624">
        <v>42248</v>
      </c>
      <c r="BE506" s="355">
        <v>8.4739999999999996E-2</v>
      </c>
      <c r="BF506" s="624">
        <v>42256</v>
      </c>
      <c r="BG506" s="355">
        <v>1.5011E-2</v>
      </c>
      <c r="BH506" s="624">
        <v>42248</v>
      </c>
      <c r="BI506" s="355">
        <v>7.0866999999999999E-2</v>
      </c>
      <c r="BJ506" s="624">
        <v>42248</v>
      </c>
      <c r="BK506" s="355">
        <v>2.7992E-2</v>
      </c>
    </row>
    <row r="507" spans="3:63">
      <c r="C507" s="624"/>
      <c r="D507" s="355">
        <v>3.7479999999999999E-2</v>
      </c>
      <c r="AV507" s="624">
        <v>42262</v>
      </c>
      <c r="AW507" s="355">
        <v>0.25890000000000002</v>
      </c>
      <c r="AX507" s="624">
        <v>42249</v>
      </c>
      <c r="AY507" s="355">
        <v>1.4919999999999999E-2</v>
      </c>
      <c r="AZ507" s="624">
        <v>42249</v>
      </c>
      <c r="BA507" s="355">
        <v>9.2999999999999992E-3</v>
      </c>
      <c r="BB507" s="624">
        <v>42249</v>
      </c>
      <c r="BC507" s="355">
        <v>0.26490000000000002</v>
      </c>
      <c r="BD507" s="624">
        <v>42249</v>
      </c>
      <c r="BE507" s="355">
        <v>8.4449999999999997E-2</v>
      </c>
      <c r="BF507" s="624">
        <v>42257</v>
      </c>
      <c r="BG507" s="355">
        <v>1.5088000000000001E-2</v>
      </c>
      <c r="BH507" s="624">
        <v>42249</v>
      </c>
      <c r="BI507" s="355">
        <v>7.0680999999999994E-2</v>
      </c>
      <c r="BJ507" s="624">
        <v>42249</v>
      </c>
      <c r="BK507" s="355">
        <v>2.7965E-2</v>
      </c>
    </row>
    <row r="508" spans="3:63">
      <c r="C508" s="624"/>
      <c r="D508" s="355">
        <v>3.7479999999999999E-2</v>
      </c>
      <c r="AV508" s="624">
        <v>42263</v>
      </c>
      <c r="AW508" s="355">
        <v>0.26100000000000001</v>
      </c>
      <c r="AX508" s="624">
        <v>42250</v>
      </c>
      <c r="AY508" s="355">
        <v>1.503E-2</v>
      </c>
      <c r="AZ508" s="624">
        <v>42250</v>
      </c>
      <c r="BA508" s="355">
        <v>9.1999999999999998E-3</v>
      </c>
      <c r="BB508" s="624">
        <v>42250</v>
      </c>
      <c r="BC508" s="355">
        <v>0.26390000000000002</v>
      </c>
      <c r="BD508" s="624">
        <v>42250</v>
      </c>
      <c r="BE508" s="355">
        <v>8.3960000000000007E-2</v>
      </c>
      <c r="BF508" s="624">
        <v>42258</v>
      </c>
      <c r="BG508" s="355">
        <v>1.5096E-2</v>
      </c>
      <c r="BH508" s="624">
        <v>42250</v>
      </c>
      <c r="BI508" s="355">
        <v>7.0669999999999997E-2</v>
      </c>
      <c r="BJ508" s="624">
        <v>42250</v>
      </c>
      <c r="BK508" s="355">
        <v>2.7879999999999999E-2</v>
      </c>
    </row>
    <row r="509" spans="3:63">
      <c r="C509" s="624"/>
      <c r="D509" s="355">
        <v>3.7420000000000002E-2</v>
      </c>
      <c r="AV509" s="624">
        <v>42264</v>
      </c>
      <c r="AW509" s="355">
        <v>0.25650000000000001</v>
      </c>
      <c r="AX509" s="624">
        <v>42251</v>
      </c>
      <c r="AY509" s="355">
        <v>1.46E-2</v>
      </c>
      <c r="AZ509" s="624">
        <v>42251</v>
      </c>
      <c r="BA509" s="355">
        <v>9.2999999999999992E-3</v>
      </c>
      <c r="BB509" s="624">
        <v>42251</v>
      </c>
      <c r="BC509" s="355">
        <v>0.26350000000000001</v>
      </c>
      <c r="BD509" s="624">
        <v>42251</v>
      </c>
      <c r="BE509" s="355">
        <v>8.3239999999999995E-2</v>
      </c>
      <c r="BF509" s="624">
        <v>42261</v>
      </c>
      <c r="BG509" s="355">
        <v>1.5082999999999999E-2</v>
      </c>
      <c r="BH509" s="624">
        <v>42251</v>
      </c>
      <c r="BI509" s="355">
        <v>6.9874000000000006E-2</v>
      </c>
      <c r="BJ509" s="624">
        <v>42251</v>
      </c>
      <c r="BK509" s="355">
        <v>2.7786999999999999E-2</v>
      </c>
    </row>
    <row r="510" spans="3:63">
      <c r="C510" s="624"/>
      <c r="D510" s="355">
        <v>3.7310000000000003E-2</v>
      </c>
      <c r="AV510" s="624">
        <v>42265</v>
      </c>
      <c r="AW510" s="355">
        <v>0.2535</v>
      </c>
      <c r="AX510" s="624">
        <v>42254</v>
      </c>
      <c r="AY510" s="355">
        <v>1.447E-2</v>
      </c>
      <c r="AZ510" s="624">
        <v>42254</v>
      </c>
      <c r="BA510" s="355">
        <v>9.2999999999999992E-3</v>
      </c>
      <c r="BB510" s="624">
        <v>42254</v>
      </c>
      <c r="BC510" s="355">
        <v>0.26369999999999999</v>
      </c>
      <c r="BD510" s="624">
        <v>42254</v>
      </c>
      <c r="BE510" s="355">
        <v>8.3099999999999993E-2</v>
      </c>
      <c r="BF510" s="624">
        <v>42262</v>
      </c>
      <c r="BG510" s="355">
        <v>1.5049E-2</v>
      </c>
      <c r="BH510" s="624">
        <v>42254</v>
      </c>
      <c r="BI510" s="355">
        <v>6.9807999999999995E-2</v>
      </c>
      <c r="BJ510" s="624">
        <v>42254</v>
      </c>
      <c r="BK510" s="355">
        <v>2.7684E-2</v>
      </c>
    </row>
    <row r="511" spans="3:63">
      <c r="C511" s="624"/>
      <c r="D511" s="355">
        <v>3.7310000000000003E-2</v>
      </c>
      <c r="AV511" s="624">
        <v>42268</v>
      </c>
      <c r="AW511" s="355">
        <v>0.25090000000000001</v>
      </c>
      <c r="AX511" s="624">
        <v>42255</v>
      </c>
      <c r="AY511" s="355">
        <v>1.47E-2</v>
      </c>
      <c r="AZ511" s="624">
        <v>42255</v>
      </c>
      <c r="BA511" s="355">
        <v>9.2999999999999992E-3</v>
      </c>
      <c r="BB511" s="624">
        <v>42255</v>
      </c>
      <c r="BC511" s="355">
        <v>0.26500000000000001</v>
      </c>
      <c r="BD511" s="624">
        <v>42255</v>
      </c>
      <c r="BE511" s="355">
        <v>8.3680000000000004E-2</v>
      </c>
      <c r="BF511" s="624">
        <v>42263</v>
      </c>
      <c r="BG511" s="355">
        <v>1.5094E-2</v>
      </c>
      <c r="BH511" s="624">
        <v>42255</v>
      </c>
      <c r="BI511" s="355">
        <v>7.0426000000000002E-2</v>
      </c>
      <c r="BJ511" s="624">
        <v>42255</v>
      </c>
      <c r="BK511" s="355">
        <v>2.7725E-2</v>
      </c>
    </row>
    <row r="512" spans="3:63">
      <c r="C512" s="624"/>
      <c r="D512" s="355">
        <v>3.7319999999999999E-2</v>
      </c>
      <c r="AV512" s="624">
        <v>42269</v>
      </c>
      <c r="AW512" s="355">
        <v>0.247</v>
      </c>
      <c r="AX512" s="624">
        <v>42256</v>
      </c>
      <c r="AY512" s="355">
        <v>1.461E-2</v>
      </c>
      <c r="AZ512" s="624">
        <v>42256</v>
      </c>
      <c r="BA512" s="355">
        <v>9.2999999999999992E-3</v>
      </c>
      <c r="BB512" s="624">
        <v>42256</v>
      </c>
      <c r="BC512" s="355">
        <v>0.26590000000000003</v>
      </c>
      <c r="BD512" s="624">
        <v>42256</v>
      </c>
      <c r="BE512" s="355">
        <v>8.3930000000000005E-2</v>
      </c>
      <c r="BF512" s="624">
        <v>42264</v>
      </c>
      <c r="BG512" s="355">
        <v>1.5134999999999999E-2</v>
      </c>
      <c r="BH512" s="624">
        <v>42256</v>
      </c>
      <c r="BI512" s="355">
        <v>7.0119000000000001E-2</v>
      </c>
      <c r="BJ512" s="624">
        <v>42256</v>
      </c>
      <c r="BK512" s="355">
        <v>2.7588999999999999E-2</v>
      </c>
    </row>
    <row r="513" spans="3:63">
      <c r="C513" s="624"/>
      <c r="D513" s="355">
        <v>3.7330000000000002E-2</v>
      </c>
      <c r="AV513" s="624">
        <v>42270</v>
      </c>
      <c r="AW513" s="355">
        <v>0.23930000000000001</v>
      </c>
      <c r="AX513" s="624">
        <v>42257</v>
      </c>
      <c r="AY513" s="355">
        <v>1.4760000000000001E-2</v>
      </c>
      <c r="AZ513" s="624">
        <v>42257</v>
      </c>
      <c r="BA513" s="355">
        <v>9.4000000000000004E-3</v>
      </c>
      <c r="BB513" s="624">
        <v>42257</v>
      </c>
      <c r="BC513" s="355">
        <v>0.26779999999999998</v>
      </c>
      <c r="BD513" s="624">
        <v>42257</v>
      </c>
      <c r="BE513" s="355">
        <v>8.4570000000000006E-2</v>
      </c>
      <c r="BF513" s="624">
        <v>42265</v>
      </c>
      <c r="BG513" s="355">
        <v>1.5180000000000001E-2</v>
      </c>
      <c r="BH513" s="624">
        <v>42257</v>
      </c>
      <c r="BI513" s="355">
        <v>7.0077E-2</v>
      </c>
      <c r="BJ513" s="624">
        <v>42257</v>
      </c>
      <c r="BK513" s="355">
        <v>2.7734000000000002E-2</v>
      </c>
    </row>
    <row r="514" spans="3:63">
      <c r="C514" s="624"/>
      <c r="D514" s="355">
        <v>3.7350000000000001E-2</v>
      </c>
      <c r="AV514" s="624">
        <v>42271</v>
      </c>
      <c r="AW514" s="355">
        <v>0.25219999999999998</v>
      </c>
      <c r="AX514" s="624">
        <v>42258</v>
      </c>
      <c r="AY514" s="355">
        <v>1.4749999999999999E-2</v>
      </c>
      <c r="AZ514" s="624">
        <v>42258</v>
      </c>
      <c r="BA514" s="355">
        <v>9.4000000000000004E-3</v>
      </c>
      <c r="BB514" s="624">
        <v>42258</v>
      </c>
      <c r="BC514" s="355">
        <v>0.26939999999999997</v>
      </c>
      <c r="BD514" s="624">
        <v>42258</v>
      </c>
      <c r="BE514" s="355">
        <v>8.455E-2</v>
      </c>
      <c r="BF514" s="624">
        <v>42268</v>
      </c>
      <c r="BG514" s="355">
        <v>1.5221E-2</v>
      </c>
      <c r="BH514" s="624">
        <v>42258</v>
      </c>
      <c r="BI514" s="355">
        <v>6.9882E-2</v>
      </c>
      <c r="BJ514" s="624">
        <v>42258</v>
      </c>
      <c r="BK514" s="355">
        <v>2.7751000000000001E-2</v>
      </c>
    </row>
    <row r="515" spans="3:63">
      <c r="C515" s="624"/>
      <c r="D515" s="355">
        <v>3.7319999999999999E-2</v>
      </c>
      <c r="AV515" s="624">
        <v>42272</v>
      </c>
      <c r="AW515" s="355">
        <v>0.25169999999999998</v>
      </c>
      <c r="AX515" s="624">
        <v>42261</v>
      </c>
      <c r="AY515" s="355">
        <v>1.477E-2</v>
      </c>
      <c r="AZ515" s="624">
        <v>42261</v>
      </c>
      <c r="BA515" s="355">
        <v>9.4000000000000004E-3</v>
      </c>
      <c r="BB515" s="624">
        <v>42261</v>
      </c>
      <c r="BC515" s="355">
        <v>0.26889999999999997</v>
      </c>
      <c r="BD515" s="624">
        <v>42261</v>
      </c>
      <c r="BE515" s="355">
        <v>8.4540000000000004E-2</v>
      </c>
      <c r="BF515" s="624">
        <v>42269</v>
      </c>
      <c r="BG515" s="355">
        <v>1.5174999999999999E-2</v>
      </c>
      <c r="BH515" s="624">
        <v>42261</v>
      </c>
      <c r="BI515" s="355">
        <v>6.9788000000000003E-2</v>
      </c>
      <c r="BJ515" s="624">
        <v>42261</v>
      </c>
      <c r="BK515" s="355">
        <v>2.7758999999999999E-2</v>
      </c>
    </row>
    <row r="516" spans="3:63">
      <c r="C516" s="624"/>
      <c r="D516" s="355">
        <v>3.7330000000000002E-2</v>
      </c>
      <c r="AV516" s="624">
        <v>42275</v>
      </c>
      <c r="AW516" s="355">
        <v>0.24329999999999999</v>
      </c>
      <c r="AX516" s="624">
        <v>42262</v>
      </c>
      <c r="AY516" s="355">
        <v>1.4970000000000001E-2</v>
      </c>
      <c r="AZ516" s="624">
        <v>42262</v>
      </c>
      <c r="BA516" s="355">
        <v>9.4000000000000004E-3</v>
      </c>
      <c r="BB516" s="624">
        <v>42262</v>
      </c>
      <c r="BC516" s="355">
        <v>0.26819999999999999</v>
      </c>
      <c r="BD516" s="624">
        <v>42262</v>
      </c>
      <c r="BE516" s="355">
        <v>8.4809999999999997E-2</v>
      </c>
      <c r="BF516" s="624">
        <v>42270</v>
      </c>
      <c r="BG516" s="355">
        <v>1.5086E-2</v>
      </c>
      <c r="BH516" s="624">
        <v>42262</v>
      </c>
      <c r="BI516" s="355">
        <v>6.9432999999999995E-2</v>
      </c>
      <c r="BJ516" s="624">
        <v>42262</v>
      </c>
      <c r="BK516" s="355">
        <v>2.7837000000000001E-2</v>
      </c>
    </row>
    <row r="517" spans="3:63">
      <c r="C517" s="624"/>
      <c r="D517" s="355">
        <v>3.7330000000000002E-2</v>
      </c>
      <c r="AV517" s="624">
        <v>42276</v>
      </c>
      <c r="AW517" s="355">
        <v>0.24610000000000001</v>
      </c>
      <c r="AX517" s="624">
        <v>42263</v>
      </c>
      <c r="AY517" s="355">
        <v>1.5270000000000001E-2</v>
      </c>
      <c r="AZ517" s="624">
        <v>42263</v>
      </c>
      <c r="BA517" s="355">
        <v>9.4000000000000004E-3</v>
      </c>
      <c r="BB517" s="624">
        <v>42263</v>
      </c>
      <c r="BC517" s="355">
        <v>0.26840000000000003</v>
      </c>
      <c r="BD517" s="624">
        <v>42263</v>
      </c>
      <c r="BE517" s="355">
        <v>8.548E-2</v>
      </c>
      <c r="BF517" s="624">
        <v>42271</v>
      </c>
      <c r="BG517" s="355">
        <v>1.5102000000000001E-2</v>
      </c>
      <c r="BH517" s="624">
        <v>42263</v>
      </c>
      <c r="BI517" s="355">
        <v>6.9492999999999999E-2</v>
      </c>
      <c r="BJ517" s="624">
        <v>42263</v>
      </c>
      <c r="BK517" s="355">
        <v>2.7882000000000001E-2</v>
      </c>
    </row>
    <row r="518" spans="3:63">
      <c r="C518" s="624"/>
      <c r="D518" s="355">
        <v>3.7330000000000002E-2</v>
      </c>
      <c r="AV518" s="624">
        <v>42277</v>
      </c>
      <c r="AW518" s="355">
        <v>0.25330000000000003</v>
      </c>
      <c r="AX518" s="624">
        <v>42264</v>
      </c>
      <c r="AY518" s="355">
        <v>1.528E-2</v>
      </c>
      <c r="AZ518" s="624">
        <v>42264</v>
      </c>
      <c r="BA518" s="355">
        <v>9.4999999999999998E-3</v>
      </c>
      <c r="BB518" s="624">
        <v>42264</v>
      </c>
      <c r="BC518" s="355">
        <v>0.27179999999999999</v>
      </c>
      <c r="BD518" s="624">
        <v>42264</v>
      </c>
      <c r="BE518" s="355">
        <v>8.5669999999999996E-2</v>
      </c>
      <c r="BF518" s="624">
        <v>42272</v>
      </c>
      <c r="BG518" s="355">
        <v>1.5114000000000001E-2</v>
      </c>
      <c r="BH518" s="624">
        <v>42264</v>
      </c>
      <c r="BI518" s="355">
        <v>6.9513000000000005E-2</v>
      </c>
      <c r="BJ518" s="624">
        <v>42264</v>
      </c>
      <c r="BK518" s="355">
        <v>2.7897999999999999E-2</v>
      </c>
    </row>
    <row r="519" spans="3:63">
      <c r="C519" s="624"/>
      <c r="D519" s="355">
        <v>3.7479999999999999E-2</v>
      </c>
      <c r="AV519" s="624">
        <v>42278</v>
      </c>
      <c r="AW519" s="355">
        <v>0.24940000000000001</v>
      </c>
      <c r="AX519" s="624">
        <v>42265</v>
      </c>
      <c r="AY519" s="355">
        <v>1.504E-2</v>
      </c>
      <c r="AZ519" s="624">
        <v>42265</v>
      </c>
      <c r="BA519" s="355">
        <v>9.4000000000000004E-3</v>
      </c>
      <c r="BB519" s="624">
        <v>42265</v>
      </c>
      <c r="BC519" s="355">
        <v>0.26889999999999997</v>
      </c>
      <c r="BD519" s="624">
        <v>42265</v>
      </c>
      <c r="BE519" s="355">
        <v>8.5290000000000005E-2</v>
      </c>
      <c r="BF519" s="624">
        <v>42275</v>
      </c>
      <c r="BG519" s="355">
        <v>1.5063E-2</v>
      </c>
      <c r="BH519" s="624">
        <v>42265</v>
      </c>
      <c r="BI519" s="355">
        <v>6.9457000000000005E-2</v>
      </c>
      <c r="BJ519" s="624">
        <v>42265</v>
      </c>
      <c r="BK519" s="355">
        <v>2.8042999999999998E-2</v>
      </c>
    </row>
    <row r="520" spans="3:63">
      <c r="C520" s="624"/>
      <c r="D520" s="355">
        <v>3.7490000000000002E-2</v>
      </c>
      <c r="AV520" s="624">
        <v>42279</v>
      </c>
      <c r="AW520" s="355">
        <v>0.25430000000000003</v>
      </c>
      <c r="AX520" s="624">
        <v>42268</v>
      </c>
      <c r="AY520" s="355">
        <v>1.508E-2</v>
      </c>
      <c r="AZ520" s="624">
        <v>42268</v>
      </c>
      <c r="BA520" s="355">
        <v>9.2999999999999992E-3</v>
      </c>
      <c r="BB520" s="624">
        <v>42268</v>
      </c>
      <c r="BC520" s="355">
        <v>0.26729999999999998</v>
      </c>
      <c r="BD520" s="624">
        <v>42268</v>
      </c>
      <c r="BE520" s="355">
        <v>8.4860000000000005E-2</v>
      </c>
      <c r="BF520" s="624">
        <v>42276</v>
      </c>
      <c r="BG520" s="355">
        <v>1.5167E-2</v>
      </c>
      <c r="BH520" s="624">
        <v>42268</v>
      </c>
      <c r="BI520" s="355">
        <v>6.9042999999999993E-2</v>
      </c>
      <c r="BJ520" s="624">
        <v>42268</v>
      </c>
      <c r="BK520" s="355">
        <v>2.7925999999999999E-2</v>
      </c>
    </row>
    <row r="521" spans="3:63">
      <c r="C521" s="624"/>
      <c r="D521" s="355">
        <v>3.7420000000000002E-2</v>
      </c>
      <c r="AV521" s="624">
        <v>42282</v>
      </c>
      <c r="AW521" s="355">
        <v>0.25559999999999999</v>
      </c>
      <c r="AX521" s="624">
        <v>42269</v>
      </c>
      <c r="AY521" s="355">
        <v>1.515E-2</v>
      </c>
      <c r="AZ521" s="624">
        <v>42269</v>
      </c>
      <c r="BA521" s="355">
        <v>9.2999999999999992E-3</v>
      </c>
      <c r="BB521" s="624">
        <v>42269</v>
      </c>
      <c r="BC521" s="355">
        <v>0.26450000000000001</v>
      </c>
      <c r="BD521" s="624">
        <v>42269</v>
      </c>
      <c r="BE521" s="355">
        <v>8.4360000000000004E-2</v>
      </c>
      <c r="BF521" s="624">
        <v>42277</v>
      </c>
      <c r="BG521" s="355">
        <v>1.5252999999999999E-2</v>
      </c>
      <c r="BH521" s="624">
        <v>42269</v>
      </c>
      <c r="BI521" s="355">
        <v>6.8210000000000007E-2</v>
      </c>
      <c r="BJ521" s="624">
        <v>42269</v>
      </c>
      <c r="BK521" s="355">
        <v>2.7727999999999999E-2</v>
      </c>
    </row>
    <row r="522" spans="3:63">
      <c r="C522" s="624"/>
      <c r="D522" s="355">
        <v>3.7330000000000002E-2</v>
      </c>
      <c r="AV522" s="624">
        <v>42283</v>
      </c>
      <c r="AW522" s="355">
        <v>0.25950000000000001</v>
      </c>
      <c r="AX522" s="624">
        <v>42270</v>
      </c>
      <c r="AY522" s="355">
        <v>1.508E-2</v>
      </c>
      <c r="AZ522" s="624">
        <v>42270</v>
      </c>
      <c r="BA522" s="355">
        <v>9.2999999999999992E-3</v>
      </c>
      <c r="BB522" s="624">
        <v>42270</v>
      </c>
      <c r="BC522" s="355">
        <v>0.26490000000000002</v>
      </c>
      <c r="BD522" s="624">
        <v>42270</v>
      </c>
      <c r="BE522" s="355">
        <v>8.3690000000000001E-2</v>
      </c>
      <c r="BF522" s="624">
        <v>42278</v>
      </c>
      <c r="BG522" s="355">
        <v>1.5240999999999999E-2</v>
      </c>
      <c r="BH522" s="624">
        <v>42270</v>
      </c>
      <c r="BI522" s="355">
        <v>6.812E-2</v>
      </c>
      <c r="BJ522" s="624">
        <v>42270</v>
      </c>
      <c r="BK522" s="355">
        <v>2.7573E-2</v>
      </c>
    </row>
    <row r="523" spans="3:63">
      <c r="C523" s="624"/>
      <c r="D523" s="355">
        <v>3.7350000000000001E-2</v>
      </c>
      <c r="AV523" s="624">
        <v>42284</v>
      </c>
      <c r="AW523" s="355">
        <v>0.25729999999999997</v>
      </c>
      <c r="AX523" s="624">
        <v>42271</v>
      </c>
      <c r="AY523" s="355">
        <v>1.5129999999999999E-2</v>
      </c>
      <c r="AZ523" s="624">
        <v>42271</v>
      </c>
      <c r="BA523" s="355">
        <v>9.4000000000000004E-3</v>
      </c>
      <c r="BB523" s="624">
        <v>42271</v>
      </c>
      <c r="BC523" s="355">
        <v>0.2661</v>
      </c>
      <c r="BD523" s="624">
        <v>42271</v>
      </c>
      <c r="BE523" s="355">
        <v>8.3979999999999999E-2</v>
      </c>
      <c r="BF523" s="624">
        <v>42279</v>
      </c>
      <c r="BG523" s="355">
        <v>1.5337999999999999E-2</v>
      </c>
      <c r="BH523" s="624">
        <v>42271</v>
      </c>
      <c r="BI523" s="355">
        <v>6.7866999999999997E-2</v>
      </c>
      <c r="BJ523" s="624">
        <v>42271</v>
      </c>
      <c r="BK523" s="355">
        <v>2.7569E-2</v>
      </c>
    </row>
    <row r="524" spans="3:63">
      <c r="C524" s="624"/>
      <c r="D524" s="355">
        <v>3.737E-2</v>
      </c>
      <c r="AV524" s="624">
        <v>42285</v>
      </c>
      <c r="AW524" s="355">
        <v>0.26429999999999998</v>
      </c>
      <c r="AX524" s="624">
        <v>42272</v>
      </c>
      <c r="AY524" s="355">
        <v>1.5270000000000001E-2</v>
      </c>
      <c r="AZ524" s="624">
        <v>42272</v>
      </c>
      <c r="BA524" s="355">
        <v>9.2999999999999992E-3</v>
      </c>
      <c r="BB524" s="624">
        <v>42272</v>
      </c>
      <c r="BC524" s="355">
        <v>0.26500000000000001</v>
      </c>
      <c r="BD524" s="624">
        <v>42272</v>
      </c>
      <c r="BE524" s="355">
        <v>8.3830000000000002E-2</v>
      </c>
      <c r="BF524" s="624">
        <v>42282</v>
      </c>
      <c r="BG524" s="355">
        <v>1.5351E-2</v>
      </c>
      <c r="BH524" s="624">
        <v>42272</v>
      </c>
      <c r="BI524" s="355">
        <v>6.8288000000000001E-2</v>
      </c>
      <c r="BJ524" s="624">
        <v>42272</v>
      </c>
      <c r="BK524" s="355">
        <v>2.7636999999999998E-2</v>
      </c>
    </row>
    <row r="525" spans="3:63">
      <c r="C525" s="624"/>
      <c r="D525" s="355">
        <v>3.7319999999999999E-2</v>
      </c>
      <c r="AV525" s="624">
        <v>42286</v>
      </c>
      <c r="AW525" s="355">
        <v>0.26579999999999998</v>
      </c>
      <c r="AX525" s="624">
        <v>42275</v>
      </c>
      <c r="AY525" s="355">
        <v>1.5049999999999999E-2</v>
      </c>
      <c r="AZ525" s="624">
        <v>42275</v>
      </c>
      <c r="BA525" s="355">
        <v>9.4000000000000004E-3</v>
      </c>
      <c r="BB525" s="624">
        <v>42275</v>
      </c>
      <c r="BC525" s="355">
        <v>0.26500000000000001</v>
      </c>
      <c r="BD525" s="624">
        <v>42275</v>
      </c>
      <c r="BE525" s="355">
        <v>8.3610000000000004E-2</v>
      </c>
      <c r="BF525" s="624">
        <v>42283</v>
      </c>
      <c r="BG525" s="355">
        <v>1.5353E-2</v>
      </c>
      <c r="BH525" s="624">
        <v>42275</v>
      </c>
      <c r="BI525" s="355">
        <v>6.7835999999999994E-2</v>
      </c>
      <c r="BJ525" s="624">
        <v>42275</v>
      </c>
      <c r="BK525" s="355">
        <v>2.7466999999999998E-2</v>
      </c>
    </row>
    <row r="526" spans="3:63">
      <c r="C526" s="624"/>
      <c r="D526" s="355">
        <v>3.739E-2</v>
      </c>
      <c r="AV526" s="624">
        <v>42290</v>
      </c>
      <c r="AW526" s="355">
        <v>0.25690000000000002</v>
      </c>
      <c r="AX526" s="624">
        <v>42276</v>
      </c>
      <c r="AY526" s="355">
        <v>1.52E-2</v>
      </c>
      <c r="AZ526" s="624">
        <v>42276</v>
      </c>
      <c r="BA526" s="355">
        <v>9.4000000000000004E-3</v>
      </c>
      <c r="BB526" s="624">
        <v>42276</v>
      </c>
      <c r="BC526" s="355">
        <v>0.2656</v>
      </c>
      <c r="BD526" s="624">
        <v>42276</v>
      </c>
      <c r="BE526" s="355">
        <v>8.3610000000000004E-2</v>
      </c>
      <c r="BF526" s="624">
        <v>42284</v>
      </c>
      <c r="BG526" s="355">
        <v>1.5407000000000001E-2</v>
      </c>
      <c r="BH526" s="624">
        <v>42276</v>
      </c>
      <c r="BI526" s="355">
        <v>6.812E-2</v>
      </c>
      <c r="BJ526" s="624">
        <v>42276</v>
      </c>
      <c r="BK526" s="355">
        <v>2.7449999999999999E-2</v>
      </c>
    </row>
    <row r="527" spans="3:63">
      <c r="C527" s="624"/>
      <c r="D527" s="355">
        <v>3.7350000000000001E-2</v>
      </c>
      <c r="AV527" s="624">
        <v>42291</v>
      </c>
      <c r="AW527" s="355">
        <v>0.26240000000000002</v>
      </c>
      <c r="AX527" s="624">
        <v>42277</v>
      </c>
      <c r="AY527" s="355">
        <v>1.529E-2</v>
      </c>
      <c r="AZ527" s="624">
        <v>42277</v>
      </c>
      <c r="BA527" s="355">
        <v>9.2999999999999992E-3</v>
      </c>
      <c r="BB527" s="624">
        <v>42277</v>
      </c>
      <c r="BC527" s="355">
        <v>0.26319999999999999</v>
      </c>
      <c r="BD527" s="624">
        <v>42277</v>
      </c>
      <c r="BE527" s="355">
        <v>8.4370000000000001E-2</v>
      </c>
      <c r="BF527" s="624">
        <v>42285</v>
      </c>
      <c r="BG527" s="355">
        <v>1.5428000000000001E-2</v>
      </c>
      <c r="BH527" s="624">
        <v>42277</v>
      </c>
      <c r="BI527" s="355">
        <v>6.8481E-2</v>
      </c>
      <c r="BJ527" s="624">
        <v>42277</v>
      </c>
      <c r="BK527" s="355">
        <v>2.7491000000000002E-2</v>
      </c>
    </row>
    <row r="528" spans="3:63">
      <c r="C528" s="624"/>
      <c r="D528" s="355">
        <v>3.7350000000000001E-2</v>
      </c>
      <c r="AV528" s="624">
        <v>42292</v>
      </c>
      <c r="AW528" s="355">
        <v>0.2631</v>
      </c>
      <c r="AX528" s="624">
        <v>42278</v>
      </c>
      <c r="AY528" s="355">
        <v>1.5219999999999999E-2</v>
      </c>
      <c r="AZ528" s="624">
        <v>42278</v>
      </c>
      <c r="BA528" s="355">
        <v>9.4000000000000004E-3</v>
      </c>
      <c r="BB528" s="624">
        <v>42278</v>
      </c>
      <c r="BC528" s="355">
        <v>0.26340000000000002</v>
      </c>
      <c r="BD528" s="624">
        <v>42278</v>
      </c>
      <c r="BE528" s="355">
        <v>8.4830000000000003E-2</v>
      </c>
      <c r="BF528" s="624">
        <v>42286</v>
      </c>
      <c r="BG528" s="355">
        <v>1.5436999999999999E-2</v>
      </c>
      <c r="BH528" s="624">
        <v>42278</v>
      </c>
      <c r="BI528" s="355">
        <v>6.7863999999999994E-2</v>
      </c>
      <c r="BJ528" s="624">
        <v>42278</v>
      </c>
      <c r="BK528" s="355">
        <v>2.7394000000000002E-2</v>
      </c>
    </row>
    <row r="529" spans="3:63">
      <c r="C529" s="624"/>
      <c r="D529" s="355">
        <v>3.73E-2</v>
      </c>
      <c r="AV529" s="624">
        <v>42293</v>
      </c>
      <c r="AW529" s="355">
        <v>0.25480000000000003</v>
      </c>
      <c r="AX529" s="624">
        <v>42279</v>
      </c>
      <c r="AY529" s="355">
        <v>1.5129999999999999E-2</v>
      </c>
      <c r="AZ529" s="624">
        <v>42279</v>
      </c>
      <c r="BA529" s="355">
        <v>9.4000000000000004E-3</v>
      </c>
      <c r="BB529" s="624">
        <v>42279</v>
      </c>
      <c r="BC529" s="355">
        <v>0.26400000000000001</v>
      </c>
      <c r="BD529" s="624">
        <v>42279</v>
      </c>
      <c r="BE529" s="355">
        <v>8.5239999999999996E-2</v>
      </c>
      <c r="BF529" s="624">
        <v>42289</v>
      </c>
      <c r="BG529" s="355">
        <v>1.5448999999999999E-2</v>
      </c>
      <c r="BH529" s="624">
        <v>42279</v>
      </c>
      <c r="BI529" s="355">
        <v>6.8307000000000007E-2</v>
      </c>
      <c r="BJ529" s="624">
        <v>42279</v>
      </c>
      <c r="BK529" s="355">
        <v>2.7465E-2</v>
      </c>
    </row>
    <row r="530" spans="3:63">
      <c r="C530" s="624"/>
      <c r="D530" s="355">
        <v>3.7190000000000001E-2</v>
      </c>
      <c r="AV530" s="624">
        <v>42296</v>
      </c>
      <c r="AW530" s="355">
        <v>0.25729999999999997</v>
      </c>
      <c r="AX530" s="624">
        <v>42282</v>
      </c>
      <c r="AY530" s="355">
        <v>1.546E-2</v>
      </c>
      <c r="AZ530" s="624">
        <v>42282</v>
      </c>
      <c r="BA530" s="355">
        <v>9.2999999999999992E-3</v>
      </c>
      <c r="BB530" s="624">
        <v>42282</v>
      </c>
      <c r="BC530" s="355">
        <v>0.26369999999999999</v>
      </c>
      <c r="BD530" s="624">
        <v>42282</v>
      </c>
      <c r="BE530" s="355">
        <v>8.6080000000000004E-2</v>
      </c>
      <c r="BF530" s="624">
        <v>42290</v>
      </c>
      <c r="BG530" s="355">
        <v>1.536E-2</v>
      </c>
      <c r="BH530" s="624">
        <v>42282</v>
      </c>
      <c r="BI530" s="355">
        <v>6.9179000000000004E-2</v>
      </c>
      <c r="BJ530" s="624">
        <v>42282</v>
      </c>
      <c r="BK530" s="355">
        <v>2.7556000000000001E-2</v>
      </c>
    </row>
    <row r="531" spans="3:63">
      <c r="C531" s="624"/>
      <c r="D531" s="355">
        <v>3.7199999999999997E-2</v>
      </c>
      <c r="AV531" s="624">
        <v>42297</v>
      </c>
      <c r="AW531" s="355">
        <v>0.25590000000000002</v>
      </c>
      <c r="AX531" s="624">
        <v>42283</v>
      </c>
      <c r="AY531" s="355">
        <v>1.576E-2</v>
      </c>
      <c r="AZ531" s="624">
        <v>42283</v>
      </c>
      <c r="BA531" s="355">
        <v>9.4000000000000004E-3</v>
      </c>
      <c r="BB531" s="624">
        <v>42283</v>
      </c>
      <c r="BC531" s="355">
        <v>0.26590000000000003</v>
      </c>
      <c r="BD531" s="624">
        <v>42283</v>
      </c>
      <c r="BE531" s="355">
        <v>8.6099999999999996E-2</v>
      </c>
      <c r="BF531" s="624">
        <v>42291</v>
      </c>
      <c r="BG531" s="355">
        <v>1.5429999999999999E-2</v>
      </c>
      <c r="BH531" s="624">
        <v>42283</v>
      </c>
      <c r="BI531" s="355">
        <v>7.0571999999999996E-2</v>
      </c>
      <c r="BJ531" s="624">
        <v>42283</v>
      </c>
      <c r="BK531" s="355">
        <v>2.7595999999999999E-2</v>
      </c>
    </row>
    <row r="532" spans="3:63">
      <c r="C532" s="624"/>
      <c r="D532" s="355">
        <v>3.7100000000000001E-2</v>
      </c>
      <c r="AV532" s="624">
        <v>42298</v>
      </c>
      <c r="AW532" s="355">
        <v>0.25369999999999998</v>
      </c>
      <c r="AX532" s="624">
        <v>42284</v>
      </c>
      <c r="AY532" s="355">
        <v>1.5970000000000002E-2</v>
      </c>
      <c r="AZ532" s="624">
        <v>42284</v>
      </c>
      <c r="BA532" s="355">
        <v>9.4000000000000004E-3</v>
      </c>
      <c r="BB532" s="624">
        <v>42284</v>
      </c>
      <c r="BC532" s="355">
        <v>0.26529999999999998</v>
      </c>
      <c r="BD532" s="624">
        <v>42284</v>
      </c>
      <c r="BE532" s="355">
        <v>8.6300000000000002E-2</v>
      </c>
      <c r="BF532" s="624">
        <v>42292</v>
      </c>
      <c r="BG532" s="355">
        <v>1.5436999999999999E-2</v>
      </c>
      <c r="BH532" s="624">
        <v>42284</v>
      </c>
      <c r="BI532" s="355">
        <v>7.1831000000000006E-2</v>
      </c>
      <c r="BJ532" s="624">
        <v>42284</v>
      </c>
      <c r="BK532" s="355">
        <v>2.7855999999999999E-2</v>
      </c>
    </row>
    <row r="533" spans="3:63">
      <c r="C533" s="624"/>
      <c r="D533" s="355">
        <v>3.7089999999999998E-2</v>
      </c>
      <c r="AV533" s="624">
        <v>42299</v>
      </c>
      <c r="AW533" s="355">
        <v>0.25580000000000003</v>
      </c>
      <c r="AX533" s="624">
        <v>42285</v>
      </c>
      <c r="AY533" s="355">
        <v>1.6279999999999999E-2</v>
      </c>
      <c r="AZ533" s="624">
        <v>42285</v>
      </c>
      <c r="BA533" s="355">
        <v>9.4000000000000004E-3</v>
      </c>
      <c r="BB533" s="624">
        <v>42285</v>
      </c>
      <c r="BC533" s="355">
        <v>0.26700000000000002</v>
      </c>
      <c r="BD533" s="624">
        <v>42285</v>
      </c>
      <c r="BE533" s="355">
        <v>8.6739999999999998E-2</v>
      </c>
      <c r="BF533" s="624">
        <v>42293</v>
      </c>
      <c r="BG533" s="355">
        <v>1.5454000000000001E-2</v>
      </c>
      <c r="BH533" s="624">
        <v>42285</v>
      </c>
      <c r="BI533" s="355">
        <v>7.3856000000000005E-2</v>
      </c>
      <c r="BJ533" s="624">
        <v>42285</v>
      </c>
      <c r="BK533" s="355">
        <v>2.7949999999999999E-2</v>
      </c>
    </row>
    <row r="534" spans="3:63">
      <c r="C534" s="624"/>
      <c r="D534" s="355">
        <v>3.7130000000000003E-2</v>
      </c>
      <c r="AV534" s="624">
        <v>42300</v>
      </c>
      <c r="AW534" s="355">
        <v>0.25769999999999998</v>
      </c>
      <c r="AX534" s="624">
        <v>42286</v>
      </c>
      <c r="AY534" s="355">
        <v>1.618E-2</v>
      </c>
      <c r="AZ534" s="624">
        <v>42286</v>
      </c>
      <c r="BA534" s="355">
        <v>9.4999999999999998E-3</v>
      </c>
      <c r="BB534" s="624">
        <v>42286</v>
      </c>
      <c r="BC534" s="355">
        <v>0.26900000000000002</v>
      </c>
      <c r="BD534" s="624">
        <v>42286</v>
      </c>
      <c r="BE534" s="355">
        <v>8.7099999999999997E-2</v>
      </c>
      <c r="BF534" s="624">
        <v>42296</v>
      </c>
      <c r="BG534" s="355">
        <v>1.5403999999999999E-2</v>
      </c>
      <c r="BH534" s="624">
        <v>42286</v>
      </c>
      <c r="BI534" s="355">
        <v>7.4311000000000002E-2</v>
      </c>
      <c r="BJ534" s="624">
        <v>42286</v>
      </c>
      <c r="BK534" s="355">
        <v>2.8149E-2</v>
      </c>
    </row>
    <row r="535" spans="3:63">
      <c r="C535" s="624"/>
      <c r="D535" s="355">
        <v>3.7060000000000003E-2</v>
      </c>
      <c r="AV535" s="624">
        <v>42303</v>
      </c>
      <c r="AW535" s="355">
        <v>0.25600000000000001</v>
      </c>
      <c r="AX535" s="624">
        <v>42289</v>
      </c>
      <c r="AY535" s="355">
        <v>1.6060000000000001E-2</v>
      </c>
      <c r="AZ535" s="624">
        <v>42289</v>
      </c>
      <c r="BA535" s="355">
        <v>9.4999999999999998E-3</v>
      </c>
      <c r="BB535" s="624">
        <v>42289</v>
      </c>
      <c r="BC535" s="355">
        <v>0.26879999999999998</v>
      </c>
      <c r="BD535" s="624">
        <v>42289</v>
      </c>
      <c r="BE535" s="355">
        <v>8.7400000000000005E-2</v>
      </c>
      <c r="BF535" s="624">
        <v>42297</v>
      </c>
      <c r="BG535" s="355">
        <v>1.5379E-2</v>
      </c>
      <c r="BH535" s="624">
        <v>42289</v>
      </c>
      <c r="BI535" s="355">
        <v>7.3982000000000006E-2</v>
      </c>
      <c r="BJ535" s="624">
        <v>42289</v>
      </c>
      <c r="BK535" s="355">
        <v>2.8278999999999999E-2</v>
      </c>
    </row>
    <row r="536" spans="3:63">
      <c r="C536" s="624"/>
      <c r="D536" s="355">
        <v>3.7100000000000001E-2</v>
      </c>
      <c r="AV536" s="624">
        <v>42304</v>
      </c>
      <c r="AW536" s="355">
        <v>0.25719999999999998</v>
      </c>
      <c r="AX536" s="624">
        <v>42290</v>
      </c>
      <c r="AY536" s="355">
        <v>1.5859999999999999E-2</v>
      </c>
      <c r="AZ536" s="624">
        <v>42290</v>
      </c>
      <c r="BA536" s="355">
        <v>9.4999999999999998E-3</v>
      </c>
      <c r="BB536" s="624">
        <v>42290</v>
      </c>
      <c r="BC536" s="355">
        <v>0.26889999999999997</v>
      </c>
      <c r="BD536" s="624">
        <v>42290</v>
      </c>
      <c r="BE536" s="355">
        <v>8.6940000000000003E-2</v>
      </c>
      <c r="BF536" s="624">
        <v>42298</v>
      </c>
      <c r="BG536" s="355">
        <v>1.5353E-2</v>
      </c>
      <c r="BH536" s="624">
        <v>42290</v>
      </c>
      <c r="BI536" s="355">
        <v>7.3260000000000006E-2</v>
      </c>
      <c r="BJ536" s="624">
        <v>42290</v>
      </c>
      <c r="BK536" s="355">
        <v>2.8045E-2</v>
      </c>
    </row>
    <row r="537" spans="3:63">
      <c r="C537" s="624"/>
      <c r="D537" s="355">
        <v>3.7130000000000003E-2</v>
      </c>
      <c r="AV537" s="624">
        <v>42305</v>
      </c>
      <c r="AW537" s="355">
        <v>0.25580000000000003</v>
      </c>
      <c r="AX537" s="624">
        <v>42291</v>
      </c>
      <c r="AY537" s="355">
        <v>1.5970000000000002E-2</v>
      </c>
      <c r="AZ537" s="624">
        <v>42291</v>
      </c>
      <c r="BA537" s="355">
        <v>9.5999999999999992E-3</v>
      </c>
      <c r="BB537" s="624">
        <v>42291</v>
      </c>
      <c r="BC537" s="355">
        <v>0.2712</v>
      </c>
      <c r="BD537" s="624">
        <v>42291</v>
      </c>
      <c r="BE537" s="355">
        <v>8.7940000000000004E-2</v>
      </c>
      <c r="BF537" s="624">
        <v>42299</v>
      </c>
      <c r="BG537" s="355">
        <v>1.5417999999999999E-2</v>
      </c>
      <c r="BH537" s="624">
        <v>42291</v>
      </c>
      <c r="BI537" s="355">
        <v>7.4299000000000004E-2</v>
      </c>
      <c r="BJ537" s="624">
        <v>42291</v>
      </c>
      <c r="BK537" s="355">
        <v>2.8273E-2</v>
      </c>
    </row>
    <row r="538" spans="3:63">
      <c r="C538" s="624"/>
      <c r="D538" s="355">
        <v>3.7109999999999997E-2</v>
      </c>
      <c r="AV538" s="624">
        <v>42306</v>
      </c>
      <c r="AW538" s="355">
        <v>0.25969999999999999</v>
      </c>
      <c r="AX538" s="624">
        <v>42292</v>
      </c>
      <c r="AY538" s="355">
        <v>1.6279999999999999E-2</v>
      </c>
      <c r="AZ538" s="624">
        <v>42292</v>
      </c>
      <c r="BA538" s="355">
        <v>9.4999999999999998E-3</v>
      </c>
      <c r="BB538" s="624">
        <v>42292</v>
      </c>
      <c r="BC538" s="355">
        <v>0.26889999999999997</v>
      </c>
      <c r="BD538" s="624">
        <v>42292</v>
      </c>
      <c r="BE538" s="355">
        <v>8.9039999999999994E-2</v>
      </c>
      <c r="BF538" s="624">
        <v>42300</v>
      </c>
      <c r="BG538" s="355">
        <v>1.5379E-2</v>
      </c>
      <c r="BH538" s="624">
        <v>42292</v>
      </c>
      <c r="BI538" s="355">
        <v>7.4066999999999994E-2</v>
      </c>
      <c r="BJ538" s="624">
        <v>42292</v>
      </c>
      <c r="BK538" s="355">
        <v>2.8424000000000001E-2</v>
      </c>
    </row>
    <row r="539" spans="3:63">
      <c r="C539" s="624"/>
      <c r="D539" s="355">
        <v>3.7240000000000002E-2</v>
      </c>
      <c r="AV539" s="624">
        <v>42307</v>
      </c>
      <c r="AW539" s="355">
        <v>0.25929999999999997</v>
      </c>
      <c r="AX539" s="624">
        <v>42293</v>
      </c>
      <c r="AY539" s="355">
        <v>1.6320000000000001E-2</v>
      </c>
      <c r="AZ539" s="624">
        <v>42293</v>
      </c>
      <c r="BA539" s="355">
        <v>9.4999999999999998E-3</v>
      </c>
      <c r="BB539" s="624">
        <v>42293</v>
      </c>
      <c r="BC539" s="355">
        <v>0.26790000000000003</v>
      </c>
      <c r="BD539" s="624">
        <v>42293</v>
      </c>
      <c r="BE539" s="355">
        <v>8.8450000000000001E-2</v>
      </c>
      <c r="BF539" s="624">
        <v>42303</v>
      </c>
      <c r="BG539" s="355">
        <v>1.5403E-2</v>
      </c>
      <c r="BH539" s="624">
        <v>42293</v>
      </c>
      <c r="BI539" s="355">
        <v>7.4056999999999998E-2</v>
      </c>
      <c r="BJ539" s="624">
        <v>42293</v>
      </c>
      <c r="BK539" s="355">
        <v>2.8361000000000001E-2</v>
      </c>
    </row>
    <row r="540" spans="3:63">
      <c r="C540" s="624"/>
      <c r="D540" s="355">
        <v>3.721E-2</v>
      </c>
      <c r="AV540" s="624">
        <v>42311</v>
      </c>
      <c r="AW540" s="355">
        <v>0.26519999999999999</v>
      </c>
      <c r="AX540" s="624">
        <v>42296</v>
      </c>
      <c r="AY540" s="355">
        <v>1.6039999999999999E-2</v>
      </c>
      <c r="AZ540" s="624">
        <v>42296</v>
      </c>
      <c r="BA540" s="355">
        <v>9.4999999999999998E-3</v>
      </c>
      <c r="BB540" s="624">
        <v>42296</v>
      </c>
      <c r="BC540" s="355">
        <v>0.26669999999999999</v>
      </c>
      <c r="BD540" s="624">
        <v>42296</v>
      </c>
      <c r="BE540" s="355">
        <v>8.8340000000000002E-2</v>
      </c>
      <c r="BF540" s="624">
        <v>42304</v>
      </c>
      <c r="BG540" s="355">
        <v>1.5358E-2</v>
      </c>
      <c r="BH540" s="624">
        <v>42296</v>
      </c>
      <c r="BI540" s="355">
        <v>7.2831000000000007E-2</v>
      </c>
      <c r="BJ540" s="624">
        <v>42296</v>
      </c>
      <c r="BK540" s="355">
        <v>2.8202000000000001E-2</v>
      </c>
    </row>
    <row r="541" spans="3:63">
      <c r="C541" s="624"/>
      <c r="D541" s="355">
        <v>3.7159999999999999E-2</v>
      </c>
      <c r="AV541" s="624">
        <v>42312</v>
      </c>
      <c r="AW541" s="355">
        <v>0.2631</v>
      </c>
      <c r="AX541" s="624">
        <v>42297</v>
      </c>
      <c r="AY541" s="355">
        <v>1.6119999999999999E-2</v>
      </c>
      <c r="AZ541" s="624">
        <v>42297</v>
      </c>
      <c r="BA541" s="355">
        <v>9.4999999999999998E-3</v>
      </c>
      <c r="BB541" s="624">
        <v>42297</v>
      </c>
      <c r="BC541" s="355">
        <v>0.26629999999999998</v>
      </c>
      <c r="BD541" s="624">
        <v>42297</v>
      </c>
      <c r="BE541" s="355">
        <v>8.8359999999999994E-2</v>
      </c>
      <c r="BF541" s="624">
        <v>42305</v>
      </c>
      <c r="BG541" s="355">
        <v>1.5344E-2</v>
      </c>
      <c r="BH541" s="624">
        <v>42297</v>
      </c>
      <c r="BI541" s="355">
        <v>7.2775999999999993E-2</v>
      </c>
      <c r="BJ541" s="624">
        <v>42297</v>
      </c>
      <c r="BK541" s="355">
        <v>2.8225E-2</v>
      </c>
    </row>
    <row r="542" spans="3:63">
      <c r="C542" s="624"/>
      <c r="D542" s="355">
        <v>3.7170000000000002E-2</v>
      </c>
      <c r="AV542" s="624">
        <v>42313</v>
      </c>
      <c r="AW542" s="355">
        <v>0.2646</v>
      </c>
      <c r="AX542" s="624">
        <v>42298</v>
      </c>
      <c r="AY542" s="355">
        <v>1.5970000000000002E-2</v>
      </c>
      <c r="AZ542" s="624">
        <v>42298</v>
      </c>
      <c r="BA542" s="355">
        <v>9.4999999999999998E-3</v>
      </c>
      <c r="BB542" s="624">
        <v>42298</v>
      </c>
      <c r="BC542" s="355">
        <v>0.26419999999999999</v>
      </c>
      <c r="BD542" s="624">
        <v>42298</v>
      </c>
      <c r="BE542" s="355">
        <v>8.7709999999999996E-2</v>
      </c>
      <c r="BF542" s="624">
        <v>42306</v>
      </c>
      <c r="BG542" s="355">
        <v>1.5284000000000001E-2</v>
      </c>
      <c r="BH542" s="624">
        <v>42298</v>
      </c>
      <c r="BI542" s="355">
        <v>7.2383000000000003E-2</v>
      </c>
      <c r="BJ542" s="624">
        <v>42298</v>
      </c>
      <c r="BK542" s="355">
        <v>2.8032000000000001E-2</v>
      </c>
    </row>
    <row r="543" spans="3:63">
      <c r="C543" s="624"/>
      <c r="D543" s="355">
        <v>3.7229999999999999E-2</v>
      </c>
      <c r="AV543" s="624">
        <v>42314</v>
      </c>
      <c r="AW543" s="355">
        <v>0.26519999999999999</v>
      </c>
      <c r="AX543" s="624">
        <v>42299</v>
      </c>
      <c r="AY543" s="355">
        <v>1.5959999999999998E-2</v>
      </c>
      <c r="AZ543" s="624">
        <v>42299</v>
      </c>
      <c r="BA543" s="355">
        <v>9.1999999999999998E-3</v>
      </c>
      <c r="BB543" s="624">
        <v>42299</v>
      </c>
      <c r="BC543" s="355">
        <v>0.26129999999999998</v>
      </c>
      <c r="BD543" s="624">
        <v>42299</v>
      </c>
      <c r="BE543" s="355">
        <v>8.8469999999999993E-2</v>
      </c>
      <c r="BF543" s="624">
        <v>42307</v>
      </c>
      <c r="BG543" s="355">
        <v>1.5285E-2</v>
      </c>
      <c r="BH543" s="624">
        <v>42299</v>
      </c>
      <c r="BI543" s="355">
        <v>7.4020000000000002E-2</v>
      </c>
      <c r="BJ543" s="624">
        <v>42299</v>
      </c>
      <c r="BK543" s="355">
        <v>2.8125000000000001E-2</v>
      </c>
    </row>
    <row r="544" spans="3:63">
      <c r="C544" s="624"/>
      <c r="D544" s="355">
        <v>3.7350000000000001E-2</v>
      </c>
      <c r="AV544" s="624">
        <v>42317</v>
      </c>
      <c r="AW544" s="355">
        <v>0.26319999999999999</v>
      </c>
      <c r="AX544" s="624">
        <v>42300</v>
      </c>
      <c r="AY544" s="355">
        <v>1.6039999999999999E-2</v>
      </c>
      <c r="AZ544" s="624">
        <v>42300</v>
      </c>
      <c r="BA544" s="355">
        <v>9.1999999999999998E-3</v>
      </c>
      <c r="BB544" s="624">
        <v>42300</v>
      </c>
      <c r="BC544" s="355">
        <v>0.25919999999999999</v>
      </c>
      <c r="BD544" s="624">
        <v>42300</v>
      </c>
      <c r="BE544" s="355">
        <v>8.8029999999999997E-2</v>
      </c>
      <c r="BF544" s="624">
        <v>42310</v>
      </c>
      <c r="BG544" s="355">
        <v>1.5252E-2</v>
      </c>
      <c r="BH544" s="624">
        <v>42300</v>
      </c>
      <c r="BI544" s="355">
        <v>7.3465000000000003E-2</v>
      </c>
      <c r="BJ544" s="624">
        <v>42300</v>
      </c>
      <c r="BK544" s="355">
        <v>2.8118000000000001E-2</v>
      </c>
    </row>
    <row r="545" spans="3:63">
      <c r="C545" s="624"/>
      <c r="D545" s="355">
        <v>3.7409999999999999E-2</v>
      </c>
      <c r="AV545" s="624">
        <v>42318</v>
      </c>
      <c r="AW545" s="355">
        <v>0.2666</v>
      </c>
      <c r="AX545" s="624">
        <v>42303</v>
      </c>
      <c r="AY545" s="355">
        <v>1.5859999999999999E-2</v>
      </c>
      <c r="AZ545" s="624">
        <v>42303</v>
      </c>
      <c r="BA545" s="355">
        <v>9.1999999999999998E-3</v>
      </c>
      <c r="BB545" s="624">
        <v>42303</v>
      </c>
      <c r="BC545" s="355">
        <v>0.2586</v>
      </c>
      <c r="BD545" s="624">
        <v>42303</v>
      </c>
      <c r="BE545" s="355">
        <v>8.8520000000000001E-2</v>
      </c>
      <c r="BF545" s="624">
        <v>42311</v>
      </c>
      <c r="BG545" s="355">
        <v>1.525E-2</v>
      </c>
      <c r="BH545" s="624">
        <v>42303</v>
      </c>
      <c r="BI545" s="355">
        <v>7.3650999999999994E-2</v>
      </c>
      <c r="BJ545" s="624">
        <v>42303</v>
      </c>
      <c r="BK545" s="355">
        <v>2.8185999999999999E-2</v>
      </c>
    </row>
    <row r="546" spans="3:63">
      <c r="C546" s="624"/>
      <c r="D546" s="355">
        <v>3.739E-2</v>
      </c>
      <c r="AV546" s="624">
        <v>42319</v>
      </c>
      <c r="AW546" s="355">
        <v>0.26569999999999999</v>
      </c>
      <c r="AX546" s="624">
        <v>42304</v>
      </c>
      <c r="AY546" s="355">
        <v>1.528E-2</v>
      </c>
      <c r="AZ546" s="624">
        <v>42304</v>
      </c>
      <c r="BA546" s="355">
        <v>9.1999999999999998E-3</v>
      </c>
      <c r="BB546" s="624">
        <v>42304</v>
      </c>
      <c r="BC546" s="355">
        <v>0.25790000000000002</v>
      </c>
      <c r="BD546" s="624">
        <v>42304</v>
      </c>
      <c r="BE546" s="355">
        <v>8.8020000000000001E-2</v>
      </c>
      <c r="BF546" s="624">
        <v>42312</v>
      </c>
      <c r="BG546" s="355">
        <v>1.5240999999999999E-2</v>
      </c>
      <c r="BH546" s="624">
        <v>42304</v>
      </c>
      <c r="BI546" s="355">
        <v>7.3152999999999996E-2</v>
      </c>
      <c r="BJ546" s="624">
        <v>42304</v>
      </c>
      <c r="BK546" s="355">
        <v>2.8164999999999999E-2</v>
      </c>
    </row>
    <row r="547" spans="3:63">
      <c r="C547" s="624"/>
      <c r="D547" s="355">
        <v>3.7440000000000001E-2</v>
      </c>
      <c r="AV547" s="624">
        <v>42320</v>
      </c>
      <c r="AW547" s="355">
        <v>0.26519999999999999</v>
      </c>
      <c r="AX547" s="624">
        <v>42305</v>
      </c>
      <c r="AY547" s="355">
        <v>1.5640000000000001E-2</v>
      </c>
      <c r="AZ547" s="624">
        <v>42305</v>
      </c>
      <c r="BA547" s="355">
        <v>9.1000000000000004E-3</v>
      </c>
      <c r="BB547" s="624">
        <v>42305</v>
      </c>
      <c r="BC547" s="355">
        <v>0.255</v>
      </c>
      <c r="BD547" s="624">
        <v>42305</v>
      </c>
      <c r="BE547" s="355">
        <v>8.7330000000000005E-2</v>
      </c>
      <c r="BF547" s="624">
        <v>42313</v>
      </c>
      <c r="BG547" s="355">
        <v>1.5177E-2</v>
      </c>
      <c r="BH547" s="624">
        <v>42305</v>
      </c>
      <c r="BI547" s="355">
        <v>7.2789999999999994E-2</v>
      </c>
      <c r="BJ547" s="624">
        <v>42305</v>
      </c>
      <c r="BK547" s="355">
        <v>2.8046000000000001E-2</v>
      </c>
    </row>
    <row r="548" spans="3:63">
      <c r="C548" s="624"/>
      <c r="D548" s="355">
        <v>3.7440000000000001E-2</v>
      </c>
      <c r="AV548" s="624">
        <v>42321</v>
      </c>
      <c r="AW548" s="355">
        <v>0.26</v>
      </c>
      <c r="AX548" s="624">
        <v>42306</v>
      </c>
      <c r="AY548" s="355">
        <v>1.553E-2</v>
      </c>
      <c r="AZ548" s="624">
        <v>42306</v>
      </c>
      <c r="BA548" s="355">
        <v>9.1000000000000004E-3</v>
      </c>
      <c r="BB548" s="624">
        <v>42306</v>
      </c>
      <c r="BC548" s="355">
        <v>0.25650000000000001</v>
      </c>
      <c r="BD548" s="624">
        <v>42306</v>
      </c>
      <c r="BE548" s="355">
        <v>8.7550000000000003E-2</v>
      </c>
      <c r="BF548" s="624">
        <v>42314</v>
      </c>
      <c r="BG548" s="355">
        <v>1.5133000000000001E-2</v>
      </c>
      <c r="BH548" s="624">
        <v>42306</v>
      </c>
      <c r="BI548" s="355">
        <v>7.3383000000000004E-2</v>
      </c>
      <c r="BJ548" s="624">
        <v>42306</v>
      </c>
      <c r="BK548" s="355">
        <v>2.8028000000000001E-2</v>
      </c>
    </row>
    <row r="549" spans="3:63">
      <c r="C549" s="624"/>
      <c r="D549" s="355">
        <v>3.7449999999999997E-2</v>
      </c>
      <c r="AV549" s="624">
        <v>42324</v>
      </c>
      <c r="AW549" s="355">
        <v>0.26179999999999998</v>
      </c>
      <c r="AX549" s="624">
        <v>42307</v>
      </c>
      <c r="AY549" s="355">
        <v>1.5610000000000001E-2</v>
      </c>
      <c r="AZ549" s="624">
        <v>42307</v>
      </c>
      <c r="BA549" s="355">
        <v>9.1000000000000004E-3</v>
      </c>
      <c r="BB549" s="624">
        <v>42307</v>
      </c>
      <c r="BC549" s="355">
        <v>0.25900000000000001</v>
      </c>
      <c r="BD549" s="624">
        <v>42307</v>
      </c>
      <c r="BE549" s="355">
        <v>8.7620000000000003E-2</v>
      </c>
      <c r="BF549" s="624">
        <v>42317</v>
      </c>
      <c r="BG549" s="355">
        <v>1.5054E-2</v>
      </c>
      <c r="BH549" s="624">
        <v>42307</v>
      </c>
      <c r="BI549" s="355">
        <v>7.3049000000000003E-2</v>
      </c>
      <c r="BJ549" s="624">
        <v>42307</v>
      </c>
      <c r="BK549" s="355">
        <v>2.8072E-2</v>
      </c>
    </row>
    <row r="550" spans="3:63">
      <c r="C550" s="624"/>
      <c r="D550" s="355">
        <v>3.739E-2</v>
      </c>
      <c r="AV550" s="624">
        <v>42325</v>
      </c>
      <c r="AW550" s="355">
        <v>0.26250000000000001</v>
      </c>
      <c r="AX550" s="624">
        <v>42310</v>
      </c>
      <c r="AY550" s="355">
        <v>1.5709999999999998E-2</v>
      </c>
      <c r="AZ550" s="624">
        <v>42310</v>
      </c>
      <c r="BA550" s="355">
        <v>9.1999999999999998E-3</v>
      </c>
      <c r="BB550" s="624">
        <v>42310</v>
      </c>
      <c r="BC550" s="355">
        <v>0.2586</v>
      </c>
      <c r="BD550" s="624">
        <v>42310</v>
      </c>
      <c r="BE550" s="355">
        <v>8.7859999999999994E-2</v>
      </c>
      <c r="BF550" s="624">
        <v>42318</v>
      </c>
      <c r="BG550" s="355">
        <v>1.5101E-2</v>
      </c>
      <c r="BH550" s="624">
        <v>42310</v>
      </c>
      <c r="BI550" s="355">
        <v>7.3613999999999999E-2</v>
      </c>
      <c r="BJ550" s="624">
        <v>42310</v>
      </c>
      <c r="BK550" s="355">
        <v>2.8108000000000001E-2</v>
      </c>
    </row>
    <row r="551" spans="3:63">
      <c r="C551" s="624"/>
      <c r="D551" s="355">
        <v>3.739E-2</v>
      </c>
      <c r="AV551" s="624">
        <v>42326</v>
      </c>
      <c r="AW551" s="355">
        <v>0.26550000000000001</v>
      </c>
      <c r="AX551" s="624">
        <v>42311</v>
      </c>
      <c r="AY551" s="355">
        <v>1.5980000000000001E-2</v>
      </c>
      <c r="AZ551" s="624">
        <v>42311</v>
      </c>
      <c r="BA551" s="355">
        <v>9.1000000000000004E-3</v>
      </c>
      <c r="BB551" s="624">
        <v>42311</v>
      </c>
      <c r="BC551" s="355">
        <v>0.25790000000000002</v>
      </c>
      <c r="BD551" s="624">
        <v>42311</v>
      </c>
      <c r="BE551" s="355">
        <v>8.8499999999999995E-2</v>
      </c>
      <c r="BF551" s="624">
        <v>42320</v>
      </c>
      <c r="BG551" s="355">
        <v>1.5138E-2</v>
      </c>
      <c r="BH551" s="624">
        <v>42311</v>
      </c>
      <c r="BI551" s="355">
        <v>7.4136999999999995E-2</v>
      </c>
      <c r="BJ551" s="624">
        <v>42311</v>
      </c>
      <c r="BK551" s="355">
        <v>2.8115999999999999E-2</v>
      </c>
    </row>
    <row r="552" spans="3:63">
      <c r="C552" s="624"/>
      <c r="D552" s="355">
        <v>3.746E-2</v>
      </c>
      <c r="AV552" s="624">
        <v>42327</v>
      </c>
      <c r="AW552" s="355">
        <v>0.26889999999999997</v>
      </c>
      <c r="AX552" s="624">
        <v>42312</v>
      </c>
      <c r="AY552" s="355">
        <v>1.583E-2</v>
      </c>
      <c r="AZ552" s="624">
        <v>42312</v>
      </c>
      <c r="BA552" s="355">
        <v>8.9999999999999993E-3</v>
      </c>
      <c r="BB552" s="624">
        <v>42312</v>
      </c>
      <c r="BC552" s="355">
        <v>0.25600000000000001</v>
      </c>
      <c r="BD552" s="624">
        <v>42312</v>
      </c>
      <c r="BE552" s="355">
        <v>8.8099999999999998E-2</v>
      </c>
      <c r="BF552" s="624">
        <v>42321</v>
      </c>
      <c r="BG552" s="355">
        <v>1.5129E-2</v>
      </c>
      <c r="BH552" s="624">
        <v>42312</v>
      </c>
      <c r="BI552" s="355">
        <v>7.3936000000000002E-2</v>
      </c>
      <c r="BJ552" s="624">
        <v>42312</v>
      </c>
      <c r="BK552" s="355">
        <v>2.8145E-2</v>
      </c>
    </row>
    <row r="553" spans="3:63">
      <c r="C553" s="624"/>
      <c r="D553" s="355">
        <v>3.746E-2</v>
      </c>
      <c r="AV553" s="624">
        <v>42328</v>
      </c>
      <c r="AW553" s="355">
        <v>0.26989999999999997</v>
      </c>
      <c r="AX553" s="624">
        <v>42313</v>
      </c>
      <c r="AY553" s="355">
        <v>1.5789999999999998E-2</v>
      </c>
      <c r="AZ553" s="624">
        <v>42313</v>
      </c>
      <c r="BA553" s="355">
        <v>8.9999999999999993E-3</v>
      </c>
      <c r="BB553" s="624">
        <v>42313</v>
      </c>
      <c r="BC553" s="355">
        <v>0.25600000000000001</v>
      </c>
      <c r="BD553" s="624">
        <v>42313</v>
      </c>
      <c r="BE553" s="355">
        <v>8.788E-2</v>
      </c>
      <c r="BF553" s="624">
        <v>42324</v>
      </c>
      <c r="BG553" s="355">
        <v>1.5164E-2</v>
      </c>
      <c r="BH553" s="624">
        <v>42313</v>
      </c>
      <c r="BI553" s="355">
        <v>7.3973999999999998E-2</v>
      </c>
      <c r="BJ553" s="624">
        <v>42313</v>
      </c>
      <c r="BK553" s="355">
        <v>2.8121E-2</v>
      </c>
    </row>
    <row r="554" spans="3:63">
      <c r="C554" s="624"/>
      <c r="D554" s="355">
        <v>3.7519999999999998E-2</v>
      </c>
      <c r="AV554" s="624">
        <v>42331</v>
      </c>
      <c r="AW554" s="355">
        <v>0.26790000000000003</v>
      </c>
      <c r="AX554" s="624">
        <v>42314</v>
      </c>
      <c r="AY554" s="355">
        <v>1.55E-2</v>
      </c>
      <c r="AZ554" s="624">
        <v>42314</v>
      </c>
      <c r="BA554" s="355">
        <v>8.8999999999999999E-3</v>
      </c>
      <c r="BB554" s="624">
        <v>42314</v>
      </c>
      <c r="BC554" s="355">
        <v>0.2515</v>
      </c>
      <c r="BD554" s="624">
        <v>42314</v>
      </c>
      <c r="BE554" s="355">
        <v>8.677E-2</v>
      </c>
      <c r="BF554" s="624">
        <v>42325</v>
      </c>
      <c r="BG554" s="355">
        <v>1.5148E-2</v>
      </c>
      <c r="BH554" s="624">
        <v>42314</v>
      </c>
      <c r="BI554" s="355">
        <v>7.2900999999999994E-2</v>
      </c>
      <c r="BJ554" s="624">
        <v>42314</v>
      </c>
      <c r="BK554" s="355">
        <v>2.7910000000000001E-2</v>
      </c>
    </row>
    <row r="555" spans="3:63">
      <c r="C555" s="624"/>
      <c r="D555" s="355">
        <v>3.755E-2</v>
      </c>
      <c r="AV555" s="624">
        <v>42332</v>
      </c>
      <c r="AW555" s="355">
        <v>0.2702</v>
      </c>
      <c r="AX555" s="624">
        <v>42317</v>
      </c>
      <c r="AY555" s="355">
        <v>1.5480000000000001E-2</v>
      </c>
      <c r="AZ555" s="624">
        <v>42317</v>
      </c>
      <c r="BA555" s="355">
        <v>8.8999999999999999E-3</v>
      </c>
      <c r="BB555" s="624">
        <v>42317</v>
      </c>
      <c r="BC555" s="355">
        <v>0.25259999999999999</v>
      </c>
      <c r="BD555" s="624">
        <v>42317</v>
      </c>
      <c r="BE555" s="355">
        <v>8.6330000000000004E-2</v>
      </c>
      <c r="BF555" s="624">
        <v>42326</v>
      </c>
      <c r="BG555" s="355">
        <v>1.5148999999999999E-2</v>
      </c>
      <c r="BH555" s="624">
        <v>42317</v>
      </c>
      <c r="BI555" s="355">
        <v>7.3163000000000006E-2</v>
      </c>
      <c r="BJ555" s="624">
        <v>42317</v>
      </c>
      <c r="BK555" s="355">
        <v>2.7845000000000002E-2</v>
      </c>
    </row>
    <row r="556" spans="3:63">
      <c r="C556" s="624"/>
      <c r="D556" s="355">
        <v>3.7499999999999999E-2</v>
      </c>
      <c r="AV556" s="624">
        <v>42333</v>
      </c>
      <c r="AW556" s="355">
        <v>0.2671</v>
      </c>
      <c r="AX556" s="624">
        <v>42318</v>
      </c>
      <c r="AY556" s="355">
        <v>1.55E-2</v>
      </c>
      <c r="AZ556" s="624">
        <v>42318</v>
      </c>
      <c r="BA556" s="355">
        <v>8.8999999999999999E-3</v>
      </c>
      <c r="BB556" s="624">
        <v>42318</v>
      </c>
      <c r="BC556" s="355">
        <v>0.25309999999999999</v>
      </c>
      <c r="BD556" s="624">
        <v>42318</v>
      </c>
      <c r="BE556" s="355">
        <v>8.6290000000000006E-2</v>
      </c>
      <c r="BF556" s="624">
        <v>42327</v>
      </c>
      <c r="BG556" s="355">
        <v>1.5128000000000001E-2</v>
      </c>
      <c r="BH556" s="624">
        <v>42318</v>
      </c>
      <c r="BI556" s="355">
        <v>7.3598999999999998E-2</v>
      </c>
      <c r="BJ556" s="624">
        <v>42318</v>
      </c>
      <c r="BK556" s="355">
        <v>2.7871E-2</v>
      </c>
    </row>
    <row r="557" spans="3:63">
      <c r="C557" s="624"/>
      <c r="D557" s="355">
        <v>3.7499999999999999E-2</v>
      </c>
      <c r="AV557" s="624">
        <v>42334</v>
      </c>
      <c r="AW557" s="355">
        <v>0.26719999999999999</v>
      </c>
      <c r="AX557" s="624">
        <v>42319</v>
      </c>
      <c r="AY557" s="355">
        <v>1.528E-2</v>
      </c>
      <c r="AZ557" s="624">
        <v>42319</v>
      </c>
      <c r="BA557" s="355">
        <v>8.8999999999999999E-3</v>
      </c>
      <c r="BB557" s="624">
        <v>42319</v>
      </c>
      <c r="BC557" s="355">
        <v>0.25490000000000002</v>
      </c>
      <c r="BD557" s="624">
        <v>42319</v>
      </c>
      <c r="BE557" s="355">
        <v>8.6559999999999998E-2</v>
      </c>
      <c r="BF557" s="624">
        <v>42328</v>
      </c>
      <c r="BG557" s="355">
        <v>1.5127E-2</v>
      </c>
      <c r="BH557" s="624">
        <v>42319</v>
      </c>
      <c r="BI557" s="355">
        <v>7.3638999999999996E-2</v>
      </c>
      <c r="BJ557" s="624">
        <v>42319</v>
      </c>
      <c r="BK557" s="355">
        <v>2.7893000000000001E-2</v>
      </c>
    </row>
    <row r="558" spans="3:63">
      <c r="C558" s="624"/>
      <c r="D558" s="355">
        <v>3.7519999999999998E-2</v>
      </c>
      <c r="AV558" s="624">
        <v>42335</v>
      </c>
      <c r="AW558" s="355">
        <v>0.26</v>
      </c>
      <c r="AX558" s="624">
        <v>42320</v>
      </c>
      <c r="AY558" s="355">
        <v>1.4970000000000001E-2</v>
      </c>
      <c r="AZ558" s="624">
        <v>42320</v>
      </c>
      <c r="BA558" s="355">
        <v>8.9999999999999993E-3</v>
      </c>
      <c r="BB558" s="624">
        <v>42320</v>
      </c>
      <c r="BC558" s="355">
        <v>0.25540000000000002</v>
      </c>
      <c r="BD558" s="624">
        <v>42320</v>
      </c>
      <c r="BE558" s="355">
        <v>8.6260000000000003E-2</v>
      </c>
      <c r="BF558" s="624">
        <v>42331</v>
      </c>
      <c r="BG558" s="355">
        <v>1.506E-2</v>
      </c>
      <c r="BH558" s="624">
        <v>42320</v>
      </c>
      <c r="BI558" s="355">
        <v>7.3398000000000005E-2</v>
      </c>
      <c r="BJ558" s="624">
        <v>42320</v>
      </c>
      <c r="BK558" s="355">
        <v>2.7892E-2</v>
      </c>
    </row>
    <row r="559" spans="3:63">
      <c r="C559" s="624"/>
      <c r="D559" s="355">
        <v>3.7490000000000002E-2</v>
      </c>
      <c r="AV559" s="624">
        <v>42338</v>
      </c>
      <c r="AW559" s="355">
        <v>0.25850000000000001</v>
      </c>
      <c r="AX559" s="624">
        <v>42321</v>
      </c>
      <c r="AY559" s="355">
        <v>1.498E-2</v>
      </c>
      <c r="AZ559" s="624">
        <v>42321</v>
      </c>
      <c r="BA559" s="355">
        <v>8.8999999999999999E-3</v>
      </c>
      <c r="BB559" s="624">
        <v>42321</v>
      </c>
      <c r="BC559" s="355">
        <v>0.25380000000000003</v>
      </c>
      <c r="BD559" s="624">
        <v>42321</v>
      </c>
      <c r="BE559" s="355">
        <v>8.5440000000000002E-2</v>
      </c>
      <c r="BF559" s="624">
        <v>42332</v>
      </c>
      <c r="BG559" s="355">
        <v>1.5082999999999999E-2</v>
      </c>
      <c r="BH559" s="624">
        <v>42321</v>
      </c>
      <c r="BI559" s="355">
        <v>7.2558999999999998E-2</v>
      </c>
      <c r="BJ559" s="624">
        <v>42321</v>
      </c>
      <c r="BK559" s="355">
        <v>2.7852999999999999E-2</v>
      </c>
    </row>
    <row r="560" spans="3:63">
      <c r="C560" s="624"/>
      <c r="D560" s="355">
        <v>3.7519999999999998E-2</v>
      </c>
      <c r="AV560" s="624">
        <v>42339</v>
      </c>
      <c r="AW560" s="355">
        <v>0.25919999999999999</v>
      </c>
      <c r="AX560" s="624">
        <v>42324</v>
      </c>
      <c r="AY560" s="355">
        <v>1.5310000000000001E-2</v>
      </c>
      <c r="AZ560" s="624">
        <v>42324</v>
      </c>
      <c r="BA560" s="355">
        <v>8.8999999999999999E-3</v>
      </c>
      <c r="BB560" s="624">
        <v>42324</v>
      </c>
      <c r="BC560" s="355">
        <v>0.25180000000000002</v>
      </c>
      <c r="BD560" s="624">
        <v>42324</v>
      </c>
      <c r="BE560" s="355">
        <v>8.5500000000000007E-2</v>
      </c>
      <c r="BF560" s="624">
        <v>42333</v>
      </c>
      <c r="BG560" s="355">
        <v>1.5068E-2</v>
      </c>
      <c r="BH560" s="624">
        <v>42324</v>
      </c>
      <c r="BI560" s="355">
        <v>7.2778999999999996E-2</v>
      </c>
      <c r="BJ560" s="624">
        <v>42324</v>
      </c>
      <c r="BK560" s="355">
        <v>2.7802E-2</v>
      </c>
    </row>
    <row r="561" spans="3:63">
      <c r="C561" s="624"/>
      <c r="D561" s="355">
        <v>3.7490000000000002E-2</v>
      </c>
      <c r="AV561" s="624">
        <v>42340</v>
      </c>
      <c r="AW561" s="355">
        <v>0.26079999999999998</v>
      </c>
      <c r="AX561" s="624">
        <v>42325</v>
      </c>
      <c r="AY561" s="355">
        <v>1.5339999999999999E-2</v>
      </c>
      <c r="AZ561" s="624">
        <v>42325</v>
      </c>
      <c r="BA561" s="355">
        <v>8.8000000000000005E-3</v>
      </c>
      <c r="BB561" s="624">
        <v>42325</v>
      </c>
      <c r="BC561" s="355">
        <v>0.25069999999999998</v>
      </c>
      <c r="BD561" s="624">
        <v>42325</v>
      </c>
      <c r="BE561" s="355">
        <v>8.5489999999999997E-2</v>
      </c>
      <c r="BF561" s="624">
        <v>42334</v>
      </c>
      <c r="BG561" s="355">
        <v>1.5008000000000001E-2</v>
      </c>
      <c r="BH561" s="624">
        <v>42325</v>
      </c>
      <c r="BI561" s="355">
        <v>7.2721999999999995E-2</v>
      </c>
      <c r="BJ561" s="624">
        <v>42325</v>
      </c>
      <c r="BK561" s="355">
        <v>2.7779999999999999E-2</v>
      </c>
    </row>
    <row r="562" spans="3:63">
      <c r="C562" s="624"/>
      <c r="D562" s="355">
        <v>3.755E-2</v>
      </c>
      <c r="AV562" s="624">
        <v>42341</v>
      </c>
      <c r="AW562" s="355">
        <v>0.26600000000000001</v>
      </c>
      <c r="AX562" s="624">
        <v>42326</v>
      </c>
      <c r="AY562" s="355">
        <v>1.5429999999999999E-2</v>
      </c>
      <c r="AZ562" s="624">
        <v>42326</v>
      </c>
      <c r="BA562" s="355">
        <v>8.8000000000000005E-3</v>
      </c>
      <c r="BB562" s="624">
        <v>42326</v>
      </c>
      <c r="BC562" s="355">
        <v>0.251</v>
      </c>
      <c r="BD562" s="624">
        <v>42326</v>
      </c>
      <c r="BE562" s="355">
        <v>8.5709999999999995E-2</v>
      </c>
      <c r="BF562" s="624">
        <v>42335</v>
      </c>
      <c r="BG562" s="355">
        <v>1.4959E-2</v>
      </c>
      <c r="BH562" s="624">
        <v>42326</v>
      </c>
      <c r="BI562" s="355">
        <v>7.2521000000000002E-2</v>
      </c>
      <c r="BJ562" s="624">
        <v>42326</v>
      </c>
      <c r="BK562" s="355">
        <v>2.7791E-2</v>
      </c>
    </row>
    <row r="563" spans="3:63">
      <c r="C563" s="624"/>
      <c r="D563" s="355">
        <v>3.7670000000000002E-2</v>
      </c>
      <c r="AV563" s="624">
        <v>42342</v>
      </c>
      <c r="AW563" s="355">
        <v>0.26650000000000001</v>
      </c>
      <c r="AX563" s="624">
        <v>42327</v>
      </c>
      <c r="AY563" s="355">
        <v>1.55E-2</v>
      </c>
      <c r="AZ563" s="624">
        <v>42327</v>
      </c>
      <c r="BA563" s="355">
        <v>8.8999999999999999E-3</v>
      </c>
      <c r="BB563" s="624">
        <v>42327</v>
      </c>
      <c r="BC563" s="355">
        <v>0.25240000000000001</v>
      </c>
      <c r="BD563" s="624">
        <v>42327</v>
      </c>
      <c r="BE563" s="355">
        <v>8.6529999999999996E-2</v>
      </c>
      <c r="BF563" s="624">
        <v>42338</v>
      </c>
      <c r="BG563" s="355">
        <v>1.5034E-2</v>
      </c>
      <c r="BH563" s="624">
        <v>42327</v>
      </c>
      <c r="BI563" s="355">
        <v>7.3201000000000002E-2</v>
      </c>
      <c r="BJ563" s="624">
        <v>42327</v>
      </c>
      <c r="BK563" s="355">
        <v>2.7966000000000001E-2</v>
      </c>
    </row>
    <row r="564" spans="3:63">
      <c r="C564" s="624"/>
      <c r="D564" s="355">
        <v>3.7650000000000003E-2</v>
      </c>
      <c r="AV564" s="624">
        <v>42345</v>
      </c>
      <c r="AW564" s="355">
        <v>0.26540000000000002</v>
      </c>
      <c r="AX564" s="624">
        <v>42328</v>
      </c>
      <c r="AY564" s="355">
        <v>1.546E-2</v>
      </c>
      <c r="AZ564" s="624">
        <v>42328</v>
      </c>
      <c r="BA564" s="355">
        <v>8.8000000000000005E-3</v>
      </c>
      <c r="BB564" s="624">
        <v>42328</v>
      </c>
      <c r="BC564" s="355">
        <v>0.25119999999999998</v>
      </c>
      <c r="BD564" s="624">
        <v>42328</v>
      </c>
      <c r="BE564" s="355">
        <v>8.6610000000000006E-2</v>
      </c>
      <c r="BF564" s="624">
        <v>42339</v>
      </c>
      <c r="BG564" s="355">
        <v>1.5051E-2</v>
      </c>
      <c r="BH564" s="624">
        <v>42328</v>
      </c>
      <c r="BI564" s="355">
        <v>7.3271000000000003E-2</v>
      </c>
      <c r="BJ564" s="624">
        <v>42328</v>
      </c>
      <c r="BK564" s="355">
        <v>2.7987999999999999E-2</v>
      </c>
    </row>
    <row r="565" spans="3:63">
      <c r="C565" s="624"/>
      <c r="D565" s="355">
        <v>3.7850000000000002E-2</v>
      </c>
      <c r="AV565" s="624">
        <v>42346</v>
      </c>
      <c r="AW565" s="355">
        <v>0.26340000000000002</v>
      </c>
      <c r="AX565" s="624">
        <v>42331</v>
      </c>
      <c r="AY565" s="355">
        <v>1.519E-2</v>
      </c>
      <c r="AZ565" s="624">
        <v>42331</v>
      </c>
      <c r="BA565" s="355">
        <v>8.8000000000000005E-3</v>
      </c>
      <c r="BB565" s="624">
        <v>42331</v>
      </c>
      <c r="BC565" s="355">
        <v>0.25009999999999999</v>
      </c>
      <c r="BD565" s="624">
        <v>42331</v>
      </c>
      <c r="BE565" s="355">
        <v>8.6290000000000006E-2</v>
      </c>
      <c r="BF565" s="624">
        <v>42340</v>
      </c>
      <c r="BG565" s="355">
        <v>1.5018999999999999E-2</v>
      </c>
      <c r="BH565" s="624">
        <v>42331</v>
      </c>
      <c r="BI565" s="355">
        <v>7.3088E-2</v>
      </c>
      <c r="BJ565" s="624">
        <v>42331</v>
      </c>
      <c r="BK565" s="355">
        <v>2.7904999999999999E-2</v>
      </c>
    </row>
    <row r="566" spans="3:63">
      <c r="C566" s="624"/>
      <c r="D566" s="355">
        <v>3.7940000000000002E-2</v>
      </c>
      <c r="AV566" s="624">
        <v>42347</v>
      </c>
      <c r="AW566" s="355">
        <v>0.26669999999999999</v>
      </c>
      <c r="AX566" s="624">
        <v>42332</v>
      </c>
      <c r="AY566" s="355">
        <v>1.528E-2</v>
      </c>
      <c r="AZ566" s="624">
        <v>42332</v>
      </c>
      <c r="BA566" s="355">
        <v>8.8000000000000005E-3</v>
      </c>
      <c r="BB566" s="624">
        <v>42332</v>
      </c>
      <c r="BC566" s="355">
        <v>0.24970000000000001</v>
      </c>
      <c r="BD566" s="624">
        <v>42332</v>
      </c>
      <c r="BE566" s="355">
        <v>8.72E-2</v>
      </c>
      <c r="BF566" s="624">
        <v>42341</v>
      </c>
      <c r="BG566" s="355">
        <v>1.4968E-2</v>
      </c>
      <c r="BH566" s="624">
        <v>42332</v>
      </c>
      <c r="BI566" s="355">
        <v>7.3341000000000003E-2</v>
      </c>
      <c r="BJ566" s="624">
        <v>42332</v>
      </c>
      <c r="BK566" s="355">
        <v>2.7975E-2</v>
      </c>
    </row>
    <row r="567" spans="3:63">
      <c r="C567" s="624"/>
      <c r="D567" s="355">
        <v>3.8030000000000001E-2</v>
      </c>
      <c r="AV567" s="624">
        <v>42348</v>
      </c>
      <c r="AW567" s="355">
        <v>0.26229999999999998</v>
      </c>
      <c r="AX567" s="624">
        <v>42333</v>
      </c>
      <c r="AY567" s="355">
        <v>1.525E-2</v>
      </c>
      <c r="AZ567" s="624">
        <v>42333</v>
      </c>
      <c r="BA567" s="355">
        <v>8.8000000000000005E-3</v>
      </c>
      <c r="BB567" s="624">
        <v>42333</v>
      </c>
      <c r="BC567" s="355">
        <v>0.24879999999999999</v>
      </c>
      <c r="BD567" s="624">
        <v>42333</v>
      </c>
      <c r="BE567" s="355">
        <v>8.7400000000000005E-2</v>
      </c>
      <c r="BF567" s="624">
        <v>42342</v>
      </c>
      <c r="BG567" s="355">
        <v>1.4999E-2</v>
      </c>
      <c r="BH567" s="624">
        <v>42333</v>
      </c>
      <c r="BI567" s="355">
        <v>7.2705000000000006E-2</v>
      </c>
      <c r="BJ567" s="624">
        <v>42333</v>
      </c>
      <c r="BK567" s="355">
        <v>2.8022999999999999E-2</v>
      </c>
    </row>
    <row r="568" spans="3:63">
      <c r="C568" s="624"/>
      <c r="D568" s="355">
        <v>3.7969999999999997E-2</v>
      </c>
      <c r="AV568" s="624">
        <v>42349</v>
      </c>
      <c r="AW568" s="355">
        <v>0.25819999999999999</v>
      </c>
      <c r="AX568" s="624">
        <v>42334</v>
      </c>
      <c r="AY568" s="355">
        <v>1.5180000000000001E-2</v>
      </c>
      <c r="AZ568" s="624">
        <v>42334</v>
      </c>
      <c r="BA568" s="355">
        <v>8.8000000000000005E-3</v>
      </c>
      <c r="BB568" s="624">
        <v>42334</v>
      </c>
      <c r="BC568" s="355">
        <v>0.24829999999999999</v>
      </c>
      <c r="BD568" s="624">
        <v>42334</v>
      </c>
      <c r="BE568" s="355">
        <v>8.7040000000000006E-2</v>
      </c>
      <c r="BF568" s="624">
        <v>42345</v>
      </c>
      <c r="BG568" s="355">
        <v>1.4976E-2</v>
      </c>
      <c r="BH568" s="624">
        <v>42334</v>
      </c>
      <c r="BI568" s="355">
        <v>7.2474999999999998E-2</v>
      </c>
      <c r="BJ568" s="624">
        <v>42334</v>
      </c>
      <c r="BK568" s="355">
        <v>2.8014000000000001E-2</v>
      </c>
    </row>
    <row r="569" spans="3:63">
      <c r="C569" s="624"/>
      <c r="D569" s="355">
        <v>3.8080000000000003E-2</v>
      </c>
      <c r="AV569" s="624">
        <v>42352</v>
      </c>
      <c r="AW569" s="355">
        <v>0.25790000000000002</v>
      </c>
      <c r="AX569" s="624">
        <v>42335</v>
      </c>
      <c r="AY569" s="355">
        <v>1.5049999999999999E-2</v>
      </c>
      <c r="AZ569" s="624">
        <v>42335</v>
      </c>
      <c r="BA569" s="355">
        <v>8.6999999999999994E-3</v>
      </c>
      <c r="BB569" s="624">
        <v>42335</v>
      </c>
      <c r="BC569" s="355">
        <v>0.248</v>
      </c>
      <c r="BD569" s="624">
        <v>42335</v>
      </c>
      <c r="BE569" s="355">
        <v>8.6449999999999999E-2</v>
      </c>
      <c r="BF569" s="624">
        <v>42346</v>
      </c>
      <c r="BG569" s="355">
        <v>1.4957E-2</v>
      </c>
      <c r="BH569" s="624">
        <v>42335</v>
      </c>
      <c r="BI569" s="355">
        <v>7.2314000000000003E-2</v>
      </c>
      <c r="BJ569" s="624">
        <v>42335</v>
      </c>
      <c r="BK569" s="355">
        <v>2.7866999999999999E-2</v>
      </c>
    </row>
    <row r="570" spans="3:63">
      <c r="C570" s="624"/>
      <c r="D570" s="355">
        <v>3.8190000000000002E-2</v>
      </c>
      <c r="AV570" s="624">
        <v>42353</v>
      </c>
      <c r="AW570" s="355">
        <v>0.25819999999999999</v>
      </c>
      <c r="AX570" s="624">
        <v>42338</v>
      </c>
      <c r="AY570" s="355">
        <v>1.506E-2</v>
      </c>
      <c r="AZ570" s="624">
        <v>42338</v>
      </c>
      <c r="BA570" s="355">
        <v>8.6999999999999994E-3</v>
      </c>
      <c r="BB570" s="624">
        <v>42338</v>
      </c>
      <c r="BC570" s="355">
        <v>0.24740000000000001</v>
      </c>
      <c r="BD570" s="624">
        <v>42338</v>
      </c>
      <c r="BE570" s="355">
        <v>8.6220000000000005E-2</v>
      </c>
      <c r="BF570" s="624">
        <v>42347</v>
      </c>
      <c r="BG570" s="355">
        <v>1.4956000000000001E-2</v>
      </c>
      <c r="BH570" s="624">
        <v>42338</v>
      </c>
      <c r="BI570" s="355">
        <v>7.2150000000000006E-2</v>
      </c>
      <c r="BJ570" s="624">
        <v>42338</v>
      </c>
      <c r="BK570" s="355">
        <v>2.7923E-2</v>
      </c>
    </row>
    <row r="571" spans="3:63">
      <c r="C571" s="624"/>
      <c r="D571" s="355">
        <v>3.8190000000000002E-2</v>
      </c>
      <c r="AV571" s="624">
        <v>42354</v>
      </c>
      <c r="AW571" s="355">
        <v>0.25740000000000002</v>
      </c>
      <c r="AX571" s="624">
        <v>42339</v>
      </c>
      <c r="AY571" s="355">
        <v>1.498E-2</v>
      </c>
      <c r="AZ571" s="624">
        <v>42339</v>
      </c>
      <c r="BA571" s="355">
        <v>8.8000000000000005E-3</v>
      </c>
      <c r="BB571" s="624">
        <v>42339</v>
      </c>
      <c r="BC571" s="355">
        <v>0.24840000000000001</v>
      </c>
      <c r="BD571" s="624">
        <v>42339</v>
      </c>
      <c r="BE571" s="355">
        <v>8.6529999999999996E-2</v>
      </c>
      <c r="BF571" s="624">
        <v>42348</v>
      </c>
      <c r="BG571" s="355">
        <v>1.4978E-2</v>
      </c>
      <c r="BH571" s="624">
        <v>42339</v>
      </c>
      <c r="BI571" s="355">
        <v>7.2475999999999999E-2</v>
      </c>
      <c r="BJ571" s="624">
        <v>42339</v>
      </c>
      <c r="BK571" s="355">
        <v>2.7966000000000001E-2</v>
      </c>
    </row>
    <row r="572" spans="3:63">
      <c r="C572" s="624"/>
      <c r="D572" s="355">
        <v>3.8199999999999998E-2</v>
      </c>
      <c r="AV572" s="624">
        <v>42355</v>
      </c>
      <c r="AW572" s="355">
        <v>0.25779999999999997</v>
      </c>
      <c r="AX572" s="624">
        <v>42340</v>
      </c>
      <c r="AY572" s="355">
        <v>1.4840000000000001E-2</v>
      </c>
      <c r="AZ572" s="624">
        <v>42340</v>
      </c>
      <c r="BA572" s="355">
        <v>8.6999999999999994E-3</v>
      </c>
      <c r="BB572" s="624">
        <v>42340</v>
      </c>
      <c r="BC572" s="355">
        <v>0.24809999999999999</v>
      </c>
      <c r="BD572" s="624">
        <v>42340</v>
      </c>
      <c r="BE572" s="355">
        <v>8.5980000000000001E-2</v>
      </c>
      <c r="BF572" s="624">
        <v>42349</v>
      </c>
      <c r="BG572" s="355">
        <v>1.4891E-2</v>
      </c>
      <c r="BH572" s="624">
        <v>42340</v>
      </c>
      <c r="BI572" s="355">
        <v>7.2303000000000006E-2</v>
      </c>
      <c r="BJ572" s="624">
        <v>42340</v>
      </c>
      <c r="BK572" s="355">
        <v>2.7878E-2</v>
      </c>
    </row>
    <row r="573" spans="3:63">
      <c r="C573" s="624"/>
      <c r="D573" s="355">
        <v>3.8179999999999999E-2</v>
      </c>
      <c r="AV573" s="624">
        <v>42356</v>
      </c>
      <c r="AW573" s="355">
        <v>0.25109999999999999</v>
      </c>
      <c r="AX573" s="624">
        <v>42341</v>
      </c>
      <c r="AY573" s="355">
        <v>1.4800000000000001E-2</v>
      </c>
      <c r="AZ573" s="624">
        <v>42341</v>
      </c>
      <c r="BA573" s="355">
        <v>8.9999999999999993E-3</v>
      </c>
      <c r="BB573" s="624">
        <v>42341</v>
      </c>
      <c r="BC573" s="355">
        <v>0.2525</v>
      </c>
      <c r="BD573" s="624">
        <v>42341</v>
      </c>
      <c r="BE573" s="355">
        <v>8.6650000000000005E-2</v>
      </c>
      <c r="BF573" s="624">
        <v>42352</v>
      </c>
      <c r="BG573" s="355">
        <v>1.4907999999999999E-2</v>
      </c>
      <c r="BH573" s="624">
        <v>42341</v>
      </c>
      <c r="BI573" s="355">
        <v>7.2409000000000001E-2</v>
      </c>
      <c r="BJ573" s="624">
        <v>42341</v>
      </c>
      <c r="BK573" s="355">
        <v>2.7904000000000002E-2</v>
      </c>
    </row>
    <row r="574" spans="3:63">
      <c r="C574" s="624"/>
      <c r="D574" s="355">
        <v>3.8129999999999997E-2</v>
      </c>
      <c r="AV574" s="624">
        <v>42359</v>
      </c>
      <c r="AW574" s="355">
        <v>0.2492</v>
      </c>
      <c r="AX574" s="624">
        <v>42342</v>
      </c>
      <c r="AY574" s="355">
        <v>1.468E-2</v>
      </c>
      <c r="AZ574" s="624">
        <v>42342</v>
      </c>
      <c r="BA574" s="355">
        <v>8.8999999999999999E-3</v>
      </c>
      <c r="BB574" s="624">
        <v>42342</v>
      </c>
      <c r="BC574" s="355">
        <v>0.25209999999999999</v>
      </c>
      <c r="BD574" s="624">
        <v>42342</v>
      </c>
      <c r="BE574" s="355">
        <v>8.5930000000000006E-2</v>
      </c>
      <c r="BF574" s="624">
        <v>42353</v>
      </c>
      <c r="BG574" s="355">
        <v>1.4956000000000001E-2</v>
      </c>
      <c r="BH574" s="624">
        <v>42342</v>
      </c>
      <c r="BI574" s="355">
        <v>7.2419999999999998E-2</v>
      </c>
      <c r="BJ574" s="624">
        <v>42342</v>
      </c>
      <c r="BK574" s="355">
        <v>2.7972E-2</v>
      </c>
    </row>
    <row r="575" spans="3:63">
      <c r="C575" s="624"/>
      <c r="D575" s="355">
        <v>3.8030000000000001E-2</v>
      </c>
      <c r="AV575" s="624">
        <v>42360</v>
      </c>
      <c r="AW575" s="355">
        <v>0.25059999999999999</v>
      </c>
      <c r="AX575" s="624">
        <v>42345</v>
      </c>
      <c r="AY575" s="355">
        <v>1.4449999999999999E-2</v>
      </c>
      <c r="AZ575" s="624">
        <v>42345</v>
      </c>
      <c r="BA575" s="355">
        <v>8.8999999999999999E-3</v>
      </c>
      <c r="BB575" s="624">
        <v>42345</v>
      </c>
      <c r="BC575" s="355">
        <v>0.25069999999999998</v>
      </c>
      <c r="BD575" s="624">
        <v>42345</v>
      </c>
      <c r="BE575" s="355">
        <v>8.5010000000000002E-2</v>
      </c>
      <c r="BF575" s="624">
        <v>42354</v>
      </c>
      <c r="BG575" s="355">
        <v>1.5056999999999999E-2</v>
      </c>
      <c r="BH575" s="624">
        <v>42345</v>
      </c>
      <c r="BI575" s="355">
        <v>7.2033E-2</v>
      </c>
      <c r="BJ575" s="624">
        <v>42345</v>
      </c>
      <c r="BK575" s="355">
        <v>2.7862999999999999E-2</v>
      </c>
    </row>
    <row r="576" spans="3:63">
      <c r="C576" s="624"/>
      <c r="D576" s="355">
        <v>3.8100000000000002E-2</v>
      </c>
      <c r="AV576" s="624">
        <v>42361</v>
      </c>
      <c r="AW576" s="355">
        <v>0.25369999999999998</v>
      </c>
      <c r="AX576" s="624">
        <v>42346</v>
      </c>
      <c r="AY576" s="355">
        <v>1.4420000000000001E-2</v>
      </c>
      <c r="AZ576" s="624">
        <v>42346</v>
      </c>
      <c r="BA576" s="355">
        <v>8.8999999999999999E-3</v>
      </c>
      <c r="BB576" s="624">
        <v>42346</v>
      </c>
      <c r="BC576" s="355">
        <v>0.25080000000000002</v>
      </c>
      <c r="BD576" s="624">
        <v>42346</v>
      </c>
      <c r="BE576" s="355">
        <v>8.4739999999999996E-2</v>
      </c>
      <c r="BF576" s="624">
        <v>42355</v>
      </c>
      <c r="BG576" s="355">
        <v>1.5055000000000001E-2</v>
      </c>
      <c r="BH576" s="624">
        <v>42346</v>
      </c>
      <c r="BI576" s="355">
        <v>7.1425000000000002E-2</v>
      </c>
      <c r="BJ576" s="624">
        <v>42346</v>
      </c>
      <c r="BK576" s="355">
        <v>2.7822E-2</v>
      </c>
    </row>
    <row r="577" spans="3:63">
      <c r="C577" s="624"/>
      <c r="D577" s="355">
        <v>3.814E-2</v>
      </c>
      <c r="AV577" s="624">
        <v>42362</v>
      </c>
      <c r="AW577" s="355">
        <v>0.2535</v>
      </c>
      <c r="AX577" s="624">
        <v>42347</v>
      </c>
      <c r="AY577" s="355">
        <v>1.435E-2</v>
      </c>
      <c r="AZ577" s="624">
        <v>42347</v>
      </c>
      <c r="BA577" s="355">
        <v>8.9999999999999993E-3</v>
      </c>
      <c r="BB577" s="624">
        <v>42347</v>
      </c>
      <c r="BC577" s="355">
        <v>0.25359999999999999</v>
      </c>
      <c r="BD577" s="624">
        <v>42347</v>
      </c>
      <c r="BE577" s="355">
        <v>8.4620000000000001E-2</v>
      </c>
      <c r="BF577" s="624">
        <v>42356</v>
      </c>
      <c r="BG577" s="355">
        <v>1.5075E-2</v>
      </c>
      <c r="BH577" s="624">
        <v>42347</v>
      </c>
      <c r="BI577" s="355">
        <v>7.1614999999999998E-2</v>
      </c>
      <c r="BJ577" s="624">
        <v>42347</v>
      </c>
      <c r="BK577" s="355">
        <v>2.7788E-2</v>
      </c>
    </row>
    <row r="578" spans="3:63">
      <c r="C578" s="624"/>
      <c r="D578" s="355">
        <v>3.8059999999999997E-2</v>
      </c>
      <c r="AV578" s="624">
        <v>42366</v>
      </c>
      <c r="AW578" s="355">
        <v>0.25919999999999999</v>
      </c>
      <c r="AX578" s="624">
        <v>42348</v>
      </c>
      <c r="AY578" s="355">
        <v>1.453E-2</v>
      </c>
      <c r="AZ578" s="624">
        <v>42348</v>
      </c>
      <c r="BA578" s="355">
        <v>8.8999999999999999E-3</v>
      </c>
      <c r="BB578" s="624">
        <v>42348</v>
      </c>
      <c r="BC578" s="355">
        <v>0.25169999999999998</v>
      </c>
      <c r="BD578" s="624">
        <v>42348</v>
      </c>
      <c r="BE578" s="355">
        <v>8.4820000000000007E-2</v>
      </c>
      <c r="BF578" s="624">
        <v>42359</v>
      </c>
      <c r="BG578" s="355">
        <v>1.5091E-2</v>
      </c>
      <c r="BH578" s="624">
        <v>42348</v>
      </c>
      <c r="BI578" s="355">
        <v>7.1651999999999993E-2</v>
      </c>
      <c r="BJ578" s="624">
        <v>42348</v>
      </c>
      <c r="BK578" s="355">
        <v>2.7730999999999999E-2</v>
      </c>
    </row>
    <row r="579" spans="3:63">
      <c r="C579" s="624"/>
      <c r="D579" s="355">
        <v>3.7960000000000001E-2</v>
      </c>
      <c r="AV579" s="624">
        <v>42367</v>
      </c>
      <c r="AW579" s="355">
        <v>0.25869999999999999</v>
      </c>
      <c r="AX579" s="624">
        <v>42349</v>
      </c>
      <c r="AY579" s="355">
        <v>1.421E-2</v>
      </c>
      <c r="AZ579" s="624">
        <v>42349</v>
      </c>
      <c r="BA579" s="355">
        <v>8.9999999999999993E-3</v>
      </c>
      <c r="BB579" s="624">
        <v>42349</v>
      </c>
      <c r="BC579" s="355">
        <v>0.25169999999999998</v>
      </c>
      <c r="BD579" s="624">
        <v>42349</v>
      </c>
      <c r="BE579" s="355">
        <v>8.4209999999999993E-2</v>
      </c>
      <c r="BF579" s="624">
        <v>42360</v>
      </c>
      <c r="BG579" s="355">
        <v>1.5095000000000001E-2</v>
      </c>
      <c r="BH579" s="624">
        <v>42349</v>
      </c>
      <c r="BI579" s="355">
        <v>7.0720000000000005E-2</v>
      </c>
      <c r="BJ579" s="624">
        <v>42349</v>
      </c>
      <c r="BK579" s="355">
        <v>2.7678000000000001E-2</v>
      </c>
    </row>
    <row r="580" spans="3:63">
      <c r="C580" s="624"/>
      <c r="D580" s="355">
        <v>3.7909999999999999E-2</v>
      </c>
      <c r="AV580" s="624">
        <v>42368</v>
      </c>
      <c r="AW580" s="355">
        <v>0.2525</v>
      </c>
      <c r="AX580" s="624">
        <v>42352</v>
      </c>
      <c r="AY580" s="355">
        <v>1.417E-2</v>
      </c>
      <c r="AZ580" s="624">
        <v>42352</v>
      </c>
      <c r="BA580" s="355">
        <v>8.9999999999999993E-3</v>
      </c>
      <c r="BB580" s="624">
        <v>42352</v>
      </c>
      <c r="BC580" s="355">
        <v>0.25180000000000002</v>
      </c>
      <c r="BD580" s="624">
        <v>42352</v>
      </c>
      <c r="BE580" s="355">
        <v>8.4449999999999997E-2</v>
      </c>
      <c r="BF580" s="624">
        <v>42361</v>
      </c>
      <c r="BG580" s="355">
        <v>1.5134E-2</v>
      </c>
      <c r="BH580" s="624">
        <v>42352</v>
      </c>
      <c r="BI580" s="355">
        <v>7.0930999999999994E-2</v>
      </c>
      <c r="BJ580" s="624">
        <v>42352</v>
      </c>
      <c r="BK580" s="355">
        <v>2.7681000000000001E-2</v>
      </c>
    </row>
    <row r="581" spans="3:63">
      <c r="C581" s="624"/>
      <c r="D581" s="355">
        <v>3.7879999999999997E-2</v>
      </c>
      <c r="AV581" s="624">
        <v>42369</v>
      </c>
      <c r="AW581" s="355">
        <v>0.2525</v>
      </c>
      <c r="AX581" s="624">
        <v>42353</v>
      </c>
      <c r="AY581" s="355">
        <v>1.43E-2</v>
      </c>
      <c r="AZ581" s="624">
        <v>42353</v>
      </c>
      <c r="BA581" s="355">
        <v>8.8999999999999999E-3</v>
      </c>
      <c r="BB581" s="624">
        <v>42353</v>
      </c>
      <c r="BC581" s="355">
        <v>0.25340000000000001</v>
      </c>
      <c r="BD581" s="624">
        <v>42353</v>
      </c>
      <c r="BE581" s="355">
        <v>8.5129999999999997E-2</v>
      </c>
      <c r="BF581" s="624">
        <v>42366</v>
      </c>
      <c r="BG581" s="355">
        <v>1.5119E-2</v>
      </c>
      <c r="BH581" s="624">
        <v>42353</v>
      </c>
      <c r="BI581" s="355">
        <v>7.1063000000000001E-2</v>
      </c>
      <c r="BJ581" s="624">
        <v>42353</v>
      </c>
      <c r="BK581" s="355">
        <v>2.7823000000000001E-2</v>
      </c>
    </row>
    <row r="582" spans="3:63">
      <c r="C582" s="624"/>
      <c r="D582" s="355">
        <v>3.8010000000000002E-2</v>
      </c>
      <c r="AV582" s="624">
        <v>42373</v>
      </c>
      <c r="AW582" s="355">
        <v>0.2475</v>
      </c>
      <c r="AX582" s="624">
        <v>42354</v>
      </c>
      <c r="AY582" s="355">
        <v>1.421E-2</v>
      </c>
      <c r="AZ582" s="624">
        <v>42354</v>
      </c>
      <c r="BA582" s="355">
        <v>8.8999999999999999E-3</v>
      </c>
      <c r="BB582" s="624">
        <v>42354</v>
      </c>
      <c r="BC582" s="355">
        <v>0.25369999999999998</v>
      </c>
      <c r="BD582" s="624">
        <v>42354</v>
      </c>
      <c r="BE582" s="355">
        <v>8.5260000000000002E-2</v>
      </c>
      <c r="BF582" s="624">
        <v>42367</v>
      </c>
      <c r="BG582" s="355">
        <v>1.5096E-2</v>
      </c>
      <c r="BH582" s="624">
        <v>42354</v>
      </c>
      <c r="BI582" s="355">
        <v>7.1848999999999996E-2</v>
      </c>
      <c r="BJ582" s="624">
        <v>42354</v>
      </c>
      <c r="BK582" s="355">
        <v>2.7844000000000001E-2</v>
      </c>
    </row>
    <row r="583" spans="3:63">
      <c r="C583" s="624"/>
      <c r="D583" s="355">
        <v>3.8010000000000002E-2</v>
      </c>
      <c r="AV583" s="624">
        <v>42374</v>
      </c>
      <c r="AW583" s="355">
        <v>0.2495</v>
      </c>
      <c r="AX583" s="624">
        <v>42355</v>
      </c>
      <c r="AY583" s="355">
        <v>1.404E-2</v>
      </c>
      <c r="AZ583" s="624">
        <v>42355</v>
      </c>
      <c r="BA583" s="355">
        <v>8.8999999999999999E-3</v>
      </c>
      <c r="BB583" s="624">
        <v>42355</v>
      </c>
      <c r="BC583" s="355">
        <v>0.25169999999999998</v>
      </c>
      <c r="BD583" s="624">
        <v>42355</v>
      </c>
      <c r="BE583" s="355">
        <v>8.4390000000000007E-2</v>
      </c>
      <c r="BF583" s="624">
        <v>42368</v>
      </c>
      <c r="BG583" s="355">
        <v>1.5042E-2</v>
      </c>
      <c r="BH583" s="624">
        <v>42355</v>
      </c>
      <c r="BI583" s="355">
        <v>7.1278999999999995E-2</v>
      </c>
      <c r="BJ583" s="624">
        <v>42355</v>
      </c>
      <c r="BK583" s="355">
        <v>2.7643000000000001E-2</v>
      </c>
    </row>
    <row r="584" spans="3:63">
      <c r="C584" s="624"/>
      <c r="D584" s="355">
        <v>3.7990000000000003E-2</v>
      </c>
      <c r="AV584" s="624">
        <v>42375</v>
      </c>
      <c r="AW584" s="355">
        <v>0.2485</v>
      </c>
      <c r="AX584" s="624">
        <v>42356</v>
      </c>
      <c r="AY584" s="355">
        <v>1.409E-2</v>
      </c>
      <c r="AZ584" s="624">
        <v>42356</v>
      </c>
      <c r="BA584" s="355">
        <v>8.8999999999999999E-3</v>
      </c>
      <c r="BB584" s="624">
        <v>42356</v>
      </c>
      <c r="BC584" s="355">
        <v>0.25440000000000002</v>
      </c>
      <c r="BD584" s="624">
        <v>42356</v>
      </c>
      <c r="BE584" s="355">
        <v>8.455E-2</v>
      </c>
      <c r="BF584" s="624">
        <v>42369</v>
      </c>
      <c r="BG584" s="355">
        <v>1.5102000000000001E-2</v>
      </c>
      <c r="BH584" s="624">
        <v>42356</v>
      </c>
      <c r="BI584" s="355">
        <v>7.2135000000000005E-2</v>
      </c>
      <c r="BJ584" s="624">
        <v>42356</v>
      </c>
      <c r="BK584" s="355">
        <v>2.7706999999999999E-2</v>
      </c>
    </row>
    <row r="585" spans="3:63">
      <c r="C585" s="624"/>
      <c r="D585" s="355">
        <v>3.7990000000000003E-2</v>
      </c>
      <c r="AV585" s="624">
        <v>42376</v>
      </c>
      <c r="AW585" s="355">
        <v>0.24709999999999999</v>
      </c>
      <c r="AX585" s="624">
        <v>42359</v>
      </c>
      <c r="AY585" s="355">
        <v>1.404E-2</v>
      </c>
      <c r="AZ585" s="624">
        <v>42359</v>
      </c>
      <c r="BA585" s="355">
        <v>8.9999999999999993E-3</v>
      </c>
      <c r="BB585" s="624">
        <v>42359</v>
      </c>
      <c r="BC585" s="355">
        <v>0.25659999999999999</v>
      </c>
      <c r="BD585" s="624">
        <v>42359</v>
      </c>
      <c r="BE585" s="355">
        <v>8.5139999999999993E-2</v>
      </c>
      <c r="BF585" s="624">
        <v>42370</v>
      </c>
      <c r="BG585" s="355">
        <v>1.5096E-2</v>
      </c>
      <c r="BH585" s="624">
        <v>42359</v>
      </c>
      <c r="BI585" s="355">
        <v>7.2731000000000004E-2</v>
      </c>
      <c r="BJ585" s="624">
        <v>42359</v>
      </c>
      <c r="BK585" s="355">
        <v>2.7681999999999998E-2</v>
      </c>
    </row>
    <row r="586" spans="3:63">
      <c r="C586" s="624"/>
      <c r="D586" s="355">
        <v>3.7920000000000002E-2</v>
      </c>
      <c r="AV586" s="624">
        <v>42377</v>
      </c>
      <c r="AW586" s="355">
        <v>0.24840000000000001</v>
      </c>
      <c r="AX586" s="624">
        <v>42360</v>
      </c>
      <c r="AY586" s="355">
        <v>1.404E-2</v>
      </c>
      <c r="AZ586" s="624">
        <v>42360</v>
      </c>
      <c r="BA586" s="355">
        <v>8.9999999999999993E-3</v>
      </c>
      <c r="BB586" s="624">
        <v>42360</v>
      </c>
      <c r="BC586" s="355">
        <v>0.25769999999999998</v>
      </c>
      <c r="BD586" s="624">
        <v>42360</v>
      </c>
      <c r="BE586" s="355">
        <v>8.5349999999999995E-2</v>
      </c>
      <c r="BF586" s="624">
        <v>42373</v>
      </c>
      <c r="BG586" s="355">
        <v>1.502E-2</v>
      </c>
      <c r="BH586" s="624">
        <v>42360</v>
      </c>
      <c r="BI586" s="355">
        <v>7.3296E-2</v>
      </c>
      <c r="BJ586" s="624">
        <v>42360</v>
      </c>
      <c r="BK586" s="355">
        <v>2.7709999999999999E-2</v>
      </c>
    </row>
    <row r="587" spans="3:63">
      <c r="C587" s="624"/>
      <c r="D587" s="355">
        <v>3.789E-2</v>
      </c>
      <c r="AV587" s="624">
        <v>42380</v>
      </c>
      <c r="AW587" s="355">
        <v>0.2467</v>
      </c>
      <c r="AX587" s="624">
        <v>42361</v>
      </c>
      <c r="AY587" s="355">
        <v>1.434E-2</v>
      </c>
      <c r="AZ587" s="624">
        <v>42361</v>
      </c>
      <c r="BA587" s="355">
        <v>8.9999999999999993E-3</v>
      </c>
      <c r="BB587" s="624">
        <v>42361</v>
      </c>
      <c r="BC587" s="355">
        <v>0.2571</v>
      </c>
      <c r="BD587" s="624">
        <v>42361</v>
      </c>
      <c r="BE587" s="355">
        <v>8.5180000000000006E-2</v>
      </c>
      <c r="BF587" s="624">
        <v>42374</v>
      </c>
      <c r="BG587" s="355">
        <v>1.5041000000000001E-2</v>
      </c>
      <c r="BH587" s="624">
        <v>42361</v>
      </c>
      <c r="BI587" s="355">
        <v>7.3389999999999997E-2</v>
      </c>
      <c r="BJ587" s="624">
        <v>42361</v>
      </c>
      <c r="BK587" s="355">
        <v>2.7722E-2</v>
      </c>
    </row>
    <row r="588" spans="3:63">
      <c r="C588" s="624"/>
      <c r="D588" s="355">
        <v>3.7900000000000003E-2</v>
      </c>
      <c r="AV588" s="624">
        <v>42381</v>
      </c>
      <c r="AW588" s="355">
        <v>0.2482</v>
      </c>
      <c r="AX588" s="624">
        <v>42362</v>
      </c>
      <c r="AY588" s="355">
        <v>1.422E-2</v>
      </c>
      <c r="AZ588" s="624">
        <v>42362</v>
      </c>
      <c r="BA588" s="355">
        <v>8.9999999999999993E-3</v>
      </c>
      <c r="BB588" s="624">
        <v>42362</v>
      </c>
      <c r="BC588" s="355">
        <v>0.25869999999999999</v>
      </c>
      <c r="BD588" s="624">
        <v>42362</v>
      </c>
      <c r="BE588" s="355">
        <v>8.5459999999999994E-2</v>
      </c>
      <c r="BF588" s="624">
        <v>42375</v>
      </c>
      <c r="BG588" s="355">
        <v>1.4992999999999999E-2</v>
      </c>
      <c r="BH588" s="624">
        <v>42362</v>
      </c>
      <c r="BI588" s="355">
        <v>7.3449E-2</v>
      </c>
      <c r="BJ588" s="624">
        <v>42362</v>
      </c>
      <c r="BK588" s="355">
        <v>2.7739E-2</v>
      </c>
    </row>
    <row r="589" spans="3:63">
      <c r="C589" s="624"/>
      <c r="D589" s="355">
        <v>3.7929999999999998E-2</v>
      </c>
      <c r="AV589" s="624">
        <v>42382</v>
      </c>
      <c r="AW589" s="355">
        <v>0.249</v>
      </c>
      <c r="AX589" s="624">
        <v>42363</v>
      </c>
      <c r="AY589" s="355">
        <v>1.421E-2</v>
      </c>
      <c r="AZ589" s="624">
        <v>42363</v>
      </c>
      <c r="BA589" s="355">
        <v>8.9999999999999993E-3</v>
      </c>
      <c r="BB589" s="624">
        <v>42363</v>
      </c>
      <c r="BC589" s="355">
        <v>0.25900000000000001</v>
      </c>
      <c r="BD589" s="624">
        <v>42363</v>
      </c>
      <c r="BE589" s="355">
        <v>8.5569999999999993E-2</v>
      </c>
      <c r="BF589" s="624">
        <v>42376</v>
      </c>
      <c r="BG589" s="355">
        <v>1.4947999999999999E-2</v>
      </c>
      <c r="BH589" s="624">
        <v>42363</v>
      </c>
      <c r="BI589" s="355">
        <v>7.3359999999999995E-2</v>
      </c>
      <c r="BJ589" s="624">
        <v>42363</v>
      </c>
      <c r="BK589" s="355">
        <v>2.7726000000000001E-2</v>
      </c>
    </row>
    <row r="590" spans="3:63">
      <c r="C590" s="624"/>
      <c r="D590" s="355">
        <v>3.798E-2</v>
      </c>
      <c r="AV590" s="624">
        <v>42383</v>
      </c>
      <c r="AW590" s="355">
        <v>0.25</v>
      </c>
      <c r="AX590" s="624">
        <v>42366</v>
      </c>
      <c r="AY590" s="355">
        <v>1.3820000000000001E-2</v>
      </c>
      <c r="AZ590" s="624">
        <v>42366</v>
      </c>
      <c r="BA590" s="355">
        <v>8.9999999999999993E-3</v>
      </c>
      <c r="BB590" s="624">
        <v>42366</v>
      </c>
      <c r="BC590" s="355">
        <v>0.25840000000000002</v>
      </c>
      <c r="BD590" s="624">
        <v>42366</v>
      </c>
      <c r="BE590" s="355">
        <v>8.5550000000000001E-2</v>
      </c>
      <c r="BF590" s="624">
        <v>42377</v>
      </c>
      <c r="BG590" s="355">
        <v>1.4956000000000001E-2</v>
      </c>
      <c r="BH590" s="624">
        <v>42366</v>
      </c>
      <c r="BI590" s="355">
        <v>7.3400999999999994E-2</v>
      </c>
      <c r="BJ590" s="624">
        <v>42366</v>
      </c>
      <c r="BK590" s="355">
        <v>2.7711E-2</v>
      </c>
    </row>
    <row r="591" spans="3:63">
      <c r="C591" s="624"/>
      <c r="D591" s="355">
        <v>3.7990000000000003E-2</v>
      </c>
      <c r="AV591" s="624">
        <v>42384</v>
      </c>
      <c r="AW591" s="355">
        <v>0.247</v>
      </c>
      <c r="AX591" s="624">
        <v>42367</v>
      </c>
      <c r="AY591" s="355">
        <v>1.383E-2</v>
      </c>
      <c r="AZ591" s="624">
        <v>42367</v>
      </c>
      <c r="BA591" s="355">
        <v>8.9999999999999993E-3</v>
      </c>
      <c r="BB591" s="624">
        <v>42367</v>
      </c>
      <c r="BC591" s="355">
        <v>0.2581</v>
      </c>
      <c r="BD591" s="624">
        <v>42367</v>
      </c>
      <c r="BE591" s="355">
        <v>8.5360000000000005E-2</v>
      </c>
      <c r="BF591" s="624">
        <v>42380</v>
      </c>
      <c r="BG591" s="355">
        <v>1.4975E-2</v>
      </c>
      <c r="BH591" s="624">
        <v>42367</v>
      </c>
      <c r="BI591" s="355">
        <v>7.3051000000000005E-2</v>
      </c>
      <c r="BJ591" s="624">
        <v>42367</v>
      </c>
      <c r="BK591" s="355">
        <v>2.7709000000000001E-2</v>
      </c>
    </row>
    <row r="592" spans="3:63">
      <c r="C592" s="624"/>
      <c r="D592" s="355">
        <v>3.8010000000000002E-2</v>
      </c>
      <c r="AV592" s="624">
        <v>42387</v>
      </c>
      <c r="AW592" s="355">
        <v>0.24660000000000001</v>
      </c>
      <c r="AX592" s="624">
        <v>42368</v>
      </c>
      <c r="AY592" s="355">
        <v>1.359E-2</v>
      </c>
      <c r="AZ592" s="624">
        <v>42368</v>
      </c>
      <c r="BA592" s="355">
        <v>8.9999999999999993E-3</v>
      </c>
      <c r="BB592" s="624">
        <v>42368</v>
      </c>
      <c r="BC592" s="355">
        <v>0.25679999999999997</v>
      </c>
      <c r="BD592" s="624">
        <v>42368</v>
      </c>
      <c r="BE592" s="355">
        <v>8.4930000000000005E-2</v>
      </c>
      <c r="BF592" s="624">
        <v>42381</v>
      </c>
      <c r="BG592" s="355">
        <v>1.4937000000000001E-2</v>
      </c>
      <c r="BH592" s="624">
        <v>42368</v>
      </c>
      <c r="BI592" s="355">
        <v>7.2203000000000003E-2</v>
      </c>
      <c r="BJ592" s="624">
        <v>42368</v>
      </c>
      <c r="BK592" s="355">
        <v>2.7685000000000001E-2</v>
      </c>
    </row>
    <row r="593" spans="3:63">
      <c r="C593" s="624"/>
      <c r="D593" s="355">
        <v>3.7999999999999999E-2</v>
      </c>
      <c r="AV593" s="624">
        <v>42388</v>
      </c>
      <c r="AW593" s="355">
        <v>0.24610000000000001</v>
      </c>
      <c r="AX593" s="624">
        <v>42369</v>
      </c>
      <c r="AY593" s="355">
        <v>1.37E-2</v>
      </c>
      <c r="AZ593" s="624">
        <v>42369</v>
      </c>
      <c r="BA593" s="355">
        <v>8.8999999999999999E-3</v>
      </c>
      <c r="BB593" s="624">
        <v>42369</v>
      </c>
      <c r="BC593" s="355">
        <v>0.25480000000000003</v>
      </c>
      <c r="BD593" s="624">
        <v>42369</v>
      </c>
      <c r="BE593" s="355">
        <v>8.5010000000000002E-2</v>
      </c>
      <c r="BF593" s="624">
        <v>42382</v>
      </c>
      <c r="BG593" s="355">
        <v>1.4944000000000001E-2</v>
      </c>
      <c r="BH593" s="624">
        <v>42369</v>
      </c>
      <c r="BI593" s="355">
        <v>7.2165999999999994E-2</v>
      </c>
      <c r="BJ593" s="624">
        <v>42369</v>
      </c>
      <c r="BK593" s="355">
        <v>2.7754999999999998E-2</v>
      </c>
    </row>
    <row r="594" spans="3:63">
      <c r="C594" s="624"/>
      <c r="D594" s="355">
        <v>3.7900000000000003E-2</v>
      </c>
      <c r="AV594" s="624">
        <v>42389</v>
      </c>
      <c r="AW594" s="355">
        <v>0.24410000000000001</v>
      </c>
      <c r="AX594" s="624">
        <v>42370</v>
      </c>
      <c r="AY594" s="355">
        <v>1.3780000000000001E-2</v>
      </c>
      <c r="AZ594" s="624">
        <v>42370</v>
      </c>
      <c r="BA594" s="355">
        <v>8.8999999999999999E-3</v>
      </c>
      <c r="BB594" s="624">
        <v>42370</v>
      </c>
      <c r="BC594" s="355">
        <v>0.2535</v>
      </c>
      <c r="BD594" s="624">
        <v>42370</v>
      </c>
      <c r="BE594" s="355">
        <v>8.5059999999999997E-2</v>
      </c>
      <c r="BF594" s="624">
        <v>42383</v>
      </c>
      <c r="BG594" s="355">
        <v>1.4853999999999999E-2</v>
      </c>
      <c r="BH594" s="624">
        <v>42370</v>
      </c>
      <c r="BI594" s="355">
        <v>7.2151000000000007E-2</v>
      </c>
      <c r="BJ594" s="624">
        <v>42370</v>
      </c>
      <c r="BK594" s="355">
        <v>2.7778000000000001E-2</v>
      </c>
    </row>
    <row r="595" spans="3:63">
      <c r="C595" s="624"/>
      <c r="D595" s="355">
        <v>3.7810000000000003E-2</v>
      </c>
      <c r="AV595" s="624">
        <v>42390</v>
      </c>
      <c r="AW595" s="355">
        <v>0.24049999999999999</v>
      </c>
      <c r="AX595" s="624">
        <v>42373</v>
      </c>
      <c r="AY595" s="355">
        <v>1.3729999999999999E-2</v>
      </c>
      <c r="AZ595" s="624">
        <v>42373</v>
      </c>
      <c r="BA595" s="355">
        <v>8.8999999999999999E-3</v>
      </c>
      <c r="BB595" s="624">
        <v>42373</v>
      </c>
      <c r="BC595" s="355">
        <v>0.252</v>
      </c>
      <c r="BD595" s="624">
        <v>42373</v>
      </c>
      <c r="BE595" s="355">
        <v>8.4010000000000001E-2</v>
      </c>
      <c r="BF595" s="624">
        <v>42384</v>
      </c>
      <c r="BG595" s="355">
        <v>1.4753E-2</v>
      </c>
      <c r="BH595" s="624">
        <v>42373</v>
      </c>
      <c r="BI595" s="355">
        <v>7.1539000000000005E-2</v>
      </c>
      <c r="BJ595" s="624">
        <v>42373</v>
      </c>
      <c r="BK595" s="355">
        <v>2.767E-2</v>
      </c>
    </row>
    <row r="596" spans="3:63">
      <c r="C596" s="624"/>
      <c r="D596" s="355">
        <v>3.7760000000000002E-2</v>
      </c>
      <c r="AV596" s="624">
        <v>42391</v>
      </c>
      <c r="AW596" s="355">
        <v>0.2442</v>
      </c>
      <c r="AX596" s="624">
        <v>42374</v>
      </c>
      <c r="AY596" s="355">
        <v>1.363E-2</v>
      </c>
      <c r="AZ596" s="624">
        <v>42374</v>
      </c>
      <c r="BA596" s="355">
        <v>8.8000000000000005E-3</v>
      </c>
      <c r="BB596" s="624">
        <v>42374</v>
      </c>
      <c r="BC596" s="355">
        <v>0.2495</v>
      </c>
      <c r="BD596" s="624">
        <v>42374</v>
      </c>
      <c r="BE596" s="355">
        <v>8.4029999999999994E-2</v>
      </c>
      <c r="BF596" s="624">
        <v>42387</v>
      </c>
      <c r="BG596" s="355">
        <v>1.4777999999999999E-2</v>
      </c>
      <c r="BH596" s="624">
        <v>42374</v>
      </c>
      <c r="BI596" s="355">
        <v>7.2150000000000006E-2</v>
      </c>
      <c r="BJ596" s="624">
        <v>42374</v>
      </c>
      <c r="BK596" s="355">
        <v>2.7684E-2</v>
      </c>
    </row>
    <row r="597" spans="3:63">
      <c r="C597" s="624"/>
      <c r="D597" s="355">
        <v>3.7760000000000002E-2</v>
      </c>
      <c r="AV597" s="624">
        <v>42394</v>
      </c>
      <c r="AW597" s="355">
        <v>0.2445</v>
      </c>
      <c r="AX597" s="624">
        <v>42375</v>
      </c>
      <c r="AY597" s="355">
        <v>1.337E-2</v>
      </c>
      <c r="AZ597" s="624">
        <v>42375</v>
      </c>
      <c r="BA597" s="355">
        <v>8.8000000000000005E-3</v>
      </c>
      <c r="BB597" s="624">
        <v>42375</v>
      </c>
      <c r="BC597" s="355">
        <v>0.2477</v>
      </c>
      <c r="BD597" s="624">
        <v>42375</v>
      </c>
      <c r="BE597" s="355">
        <v>8.3339999999999997E-2</v>
      </c>
      <c r="BF597" s="624">
        <v>42388</v>
      </c>
      <c r="BG597" s="355">
        <v>1.4763E-2</v>
      </c>
      <c r="BH597" s="624">
        <v>42375</v>
      </c>
      <c r="BI597" s="355">
        <v>7.1928000000000006E-2</v>
      </c>
      <c r="BJ597" s="624">
        <v>42375</v>
      </c>
      <c r="BK597" s="355">
        <v>2.7597E-2</v>
      </c>
    </row>
    <row r="598" spans="3:63">
      <c r="C598" s="624"/>
      <c r="D598" s="355">
        <v>3.7670000000000002E-2</v>
      </c>
      <c r="AV598" s="624">
        <v>42395</v>
      </c>
      <c r="AW598" s="355">
        <v>0.24679999999999999</v>
      </c>
      <c r="AX598" s="624">
        <v>42376</v>
      </c>
      <c r="AY598" s="355">
        <v>1.336E-2</v>
      </c>
      <c r="AZ598" s="624">
        <v>42376</v>
      </c>
      <c r="BA598" s="355">
        <v>8.9999999999999993E-3</v>
      </c>
      <c r="BB598" s="624">
        <v>42376</v>
      </c>
      <c r="BC598" s="355">
        <v>0.2515</v>
      </c>
      <c r="BD598" s="624">
        <v>42376</v>
      </c>
      <c r="BE598" s="355">
        <v>8.3519999999999997E-2</v>
      </c>
      <c r="BF598" s="624">
        <v>42389</v>
      </c>
      <c r="BG598" s="355">
        <v>1.4710000000000001E-2</v>
      </c>
      <c r="BH598" s="624">
        <v>42376</v>
      </c>
      <c r="BI598" s="355">
        <v>7.1686E-2</v>
      </c>
      <c r="BJ598" s="624">
        <v>42376</v>
      </c>
      <c r="BK598" s="355">
        <v>2.7573E-2</v>
      </c>
    </row>
    <row r="599" spans="3:63">
      <c r="C599" s="624"/>
      <c r="D599" s="355">
        <v>3.7589999999999998E-2</v>
      </c>
      <c r="AV599" s="624">
        <v>42396</v>
      </c>
      <c r="AW599" s="355">
        <v>0.24340000000000001</v>
      </c>
      <c r="AX599" s="624">
        <v>42377</v>
      </c>
      <c r="AY599" s="355">
        <v>1.337E-2</v>
      </c>
      <c r="AZ599" s="624">
        <v>42377</v>
      </c>
      <c r="BA599" s="355">
        <v>8.9999999999999993E-3</v>
      </c>
      <c r="BB599" s="624">
        <v>42377</v>
      </c>
      <c r="BC599" s="355">
        <v>0.25019999999999998</v>
      </c>
      <c r="BD599" s="624">
        <v>42377</v>
      </c>
      <c r="BE599" s="355">
        <v>8.2790000000000002E-2</v>
      </c>
      <c r="BF599" s="624">
        <v>42390</v>
      </c>
      <c r="BG599" s="355">
        <v>1.4748000000000001E-2</v>
      </c>
      <c r="BH599" s="624">
        <v>42377</v>
      </c>
      <c r="BI599" s="355">
        <v>7.177E-2</v>
      </c>
      <c r="BJ599" s="624">
        <v>42377</v>
      </c>
      <c r="BK599" s="355">
        <v>2.7528E-2</v>
      </c>
    </row>
    <row r="600" spans="3:63">
      <c r="C600" s="624"/>
      <c r="D600" s="355">
        <v>3.7609999999999998E-2</v>
      </c>
      <c r="AV600" s="624">
        <v>42397</v>
      </c>
      <c r="AW600" s="355">
        <v>0.2457</v>
      </c>
      <c r="AX600" s="624">
        <v>42380</v>
      </c>
      <c r="AY600" s="355">
        <v>1.3129999999999999E-2</v>
      </c>
      <c r="AZ600" s="624">
        <v>42380</v>
      </c>
      <c r="BA600" s="355">
        <v>8.8999999999999999E-3</v>
      </c>
      <c r="BB600" s="624">
        <v>42380</v>
      </c>
      <c r="BC600" s="355">
        <v>0.2495</v>
      </c>
      <c r="BD600" s="624">
        <v>42380</v>
      </c>
      <c r="BE600" s="355">
        <v>8.3000000000000004E-2</v>
      </c>
      <c r="BF600" s="624">
        <v>42391</v>
      </c>
      <c r="BG600" s="355">
        <v>1.4798E-2</v>
      </c>
      <c r="BH600" s="624">
        <v>42380</v>
      </c>
      <c r="BI600" s="355">
        <v>7.2317999999999993E-2</v>
      </c>
      <c r="BJ600" s="624">
        <v>42380</v>
      </c>
      <c r="BK600" s="355">
        <v>2.7584000000000001E-2</v>
      </c>
    </row>
    <row r="601" spans="3:63">
      <c r="C601" s="624"/>
      <c r="D601" s="355">
        <v>3.764E-2</v>
      </c>
      <c r="AV601" s="624">
        <v>42398</v>
      </c>
      <c r="AW601" s="355">
        <v>0.25</v>
      </c>
      <c r="AX601" s="624">
        <v>42381</v>
      </c>
      <c r="AY601" s="355">
        <v>1.299E-2</v>
      </c>
      <c r="AZ601" s="624">
        <v>42381</v>
      </c>
      <c r="BA601" s="355">
        <v>8.8999999999999999E-3</v>
      </c>
      <c r="BB601" s="624">
        <v>42381</v>
      </c>
      <c r="BC601" s="355">
        <v>0.24909999999999999</v>
      </c>
      <c r="BD601" s="624">
        <v>42381</v>
      </c>
      <c r="BE601" s="355">
        <v>8.2619999999999999E-2</v>
      </c>
      <c r="BF601" s="624">
        <v>42394</v>
      </c>
      <c r="BG601" s="355">
        <v>1.4765E-2</v>
      </c>
      <c r="BH601" s="624">
        <v>42381</v>
      </c>
      <c r="BI601" s="355">
        <v>7.2281999999999999E-2</v>
      </c>
      <c r="BJ601" s="624">
        <v>42381</v>
      </c>
      <c r="BK601" s="355">
        <v>2.7536000000000001E-2</v>
      </c>
    </row>
    <row r="602" spans="3:63">
      <c r="C602" s="624"/>
      <c r="D602" s="355">
        <v>3.7629999999999997E-2</v>
      </c>
      <c r="AV602" s="624">
        <v>42401</v>
      </c>
      <c r="AW602" s="355">
        <v>0.25240000000000001</v>
      </c>
      <c r="AX602" s="624">
        <v>42382</v>
      </c>
      <c r="AY602" s="355">
        <v>1.3050000000000001E-2</v>
      </c>
      <c r="AZ602" s="624">
        <v>42382</v>
      </c>
      <c r="BA602" s="355">
        <v>8.8999999999999999E-3</v>
      </c>
      <c r="BB602" s="624">
        <v>42382</v>
      </c>
      <c r="BC602" s="355">
        <v>0.25</v>
      </c>
      <c r="BD602" s="624">
        <v>42382</v>
      </c>
      <c r="BE602" s="355">
        <v>8.2669999999999993E-2</v>
      </c>
      <c r="BF602" s="624">
        <v>42395</v>
      </c>
      <c r="BG602" s="355">
        <v>1.4760000000000001E-2</v>
      </c>
      <c r="BH602" s="624">
        <v>42382</v>
      </c>
      <c r="BI602" s="355">
        <v>7.2085999999999997E-2</v>
      </c>
      <c r="BJ602" s="624">
        <v>42382</v>
      </c>
      <c r="BK602" s="355">
        <v>2.7563000000000001E-2</v>
      </c>
    </row>
    <row r="603" spans="3:63">
      <c r="C603" s="624"/>
      <c r="D603" s="355">
        <v>3.764E-2</v>
      </c>
      <c r="AV603" s="624">
        <v>42402</v>
      </c>
      <c r="AW603" s="355">
        <v>0.25080000000000002</v>
      </c>
      <c r="AX603" s="624">
        <v>42383</v>
      </c>
      <c r="AY603" s="355">
        <v>1.3129999999999999E-2</v>
      </c>
      <c r="AZ603" s="624">
        <v>42383</v>
      </c>
      <c r="BA603" s="355">
        <v>8.8999999999999999E-3</v>
      </c>
      <c r="BB603" s="624">
        <v>42383</v>
      </c>
      <c r="BC603" s="355">
        <v>0.24729999999999999</v>
      </c>
      <c r="BD603" s="624">
        <v>42383</v>
      </c>
      <c r="BE603" s="355">
        <v>8.2799999999999999E-2</v>
      </c>
      <c r="BF603" s="624">
        <v>42396</v>
      </c>
      <c r="BG603" s="355">
        <v>1.4674E-2</v>
      </c>
      <c r="BH603" s="624">
        <v>42383</v>
      </c>
      <c r="BI603" s="355">
        <v>7.2071999999999997E-2</v>
      </c>
      <c r="BJ603" s="624">
        <v>42383</v>
      </c>
      <c r="BK603" s="355">
        <v>2.751E-2</v>
      </c>
    </row>
    <row r="604" spans="3:63">
      <c r="C604" s="624"/>
      <c r="D604" s="355">
        <v>3.771E-2</v>
      </c>
      <c r="AV604" s="624">
        <v>42403</v>
      </c>
      <c r="AW604" s="355">
        <v>0.25669999999999998</v>
      </c>
      <c r="AX604" s="624">
        <v>42384</v>
      </c>
      <c r="AY604" s="355">
        <v>1.286E-2</v>
      </c>
      <c r="AZ604" s="624">
        <v>42384</v>
      </c>
      <c r="BA604" s="355">
        <v>8.8999999999999999E-3</v>
      </c>
      <c r="BB604" s="624">
        <v>42384</v>
      </c>
      <c r="BC604" s="355">
        <v>0.24360000000000001</v>
      </c>
      <c r="BD604" s="624">
        <v>42384</v>
      </c>
      <c r="BE604" s="355">
        <v>8.2390000000000005E-2</v>
      </c>
      <c r="BF604" s="624">
        <v>42397</v>
      </c>
      <c r="BG604" s="355">
        <v>1.4692999999999999E-2</v>
      </c>
      <c r="BH604" s="624">
        <v>42384</v>
      </c>
      <c r="BI604" s="355">
        <v>7.1504999999999999E-2</v>
      </c>
      <c r="BJ604" s="624">
        <v>42384</v>
      </c>
      <c r="BK604" s="355">
        <v>2.7504000000000001E-2</v>
      </c>
    </row>
    <row r="605" spans="3:63">
      <c r="C605" s="624"/>
      <c r="D605" s="355">
        <v>3.7690000000000001E-2</v>
      </c>
      <c r="AV605" s="624">
        <v>42404</v>
      </c>
      <c r="AW605" s="355">
        <v>0.25719999999999998</v>
      </c>
      <c r="AX605" s="624">
        <v>42387</v>
      </c>
      <c r="AY605" s="355">
        <v>1.26E-2</v>
      </c>
      <c r="AZ605" s="624">
        <v>42387</v>
      </c>
      <c r="BA605" s="355">
        <v>8.8999999999999999E-3</v>
      </c>
      <c r="BB605" s="624">
        <v>42387</v>
      </c>
      <c r="BC605" s="355">
        <v>0.24429999999999999</v>
      </c>
      <c r="BD605" s="624">
        <v>42387</v>
      </c>
      <c r="BE605" s="355">
        <v>8.2540000000000002E-2</v>
      </c>
      <c r="BF605" s="624">
        <v>42398</v>
      </c>
      <c r="BG605" s="355">
        <v>1.4732E-2</v>
      </c>
      <c r="BH605" s="624">
        <v>42387</v>
      </c>
      <c r="BI605" s="355">
        <v>7.1884000000000003E-2</v>
      </c>
      <c r="BJ605" s="624">
        <v>42387</v>
      </c>
      <c r="BK605" s="355">
        <v>2.7546999999999999E-2</v>
      </c>
    </row>
    <row r="606" spans="3:63">
      <c r="C606" s="624"/>
      <c r="D606" s="355">
        <v>3.7670000000000002E-2</v>
      </c>
      <c r="AV606" s="624">
        <v>42405</v>
      </c>
      <c r="AW606" s="355">
        <v>0.25619999999999998</v>
      </c>
      <c r="AX606" s="624">
        <v>42388</v>
      </c>
      <c r="AY606" s="355">
        <v>1.2699999999999999E-2</v>
      </c>
      <c r="AZ606" s="624">
        <v>42388</v>
      </c>
      <c r="BA606" s="355">
        <v>8.8999999999999999E-3</v>
      </c>
      <c r="BB606" s="624">
        <v>42388</v>
      </c>
      <c r="BC606" s="355">
        <v>0.2452</v>
      </c>
      <c r="BD606" s="624">
        <v>42388</v>
      </c>
      <c r="BE606" s="355">
        <v>8.2820000000000005E-2</v>
      </c>
      <c r="BF606" s="624">
        <v>42401</v>
      </c>
      <c r="BG606" s="355">
        <v>1.4742999999999999E-2</v>
      </c>
      <c r="BH606" s="624">
        <v>42388</v>
      </c>
      <c r="BI606" s="355">
        <v>7.2202000000000002E-2</v>
      </c>
      <c r="BJ606" s="624">
        <v>42388</v>
      </c>
      <c r="BK606" s="355">
        <v>2.7552E-2</v>
      </c>
    </row>
    <row r="607" spans="3:63">
      <c r="C607" s="624"/>
      <c r="D607" s="355">
        <v>3.7760000000000002E-2</v>
      </c>
      <c r="AV607" s="624">
        <v>42410</v>
      </c>
      <c r="AW607" s="355">
        <v>0.25459999999999999</v>
      </c>
      <c r="AX607" s="624">
        <v>42389</v>
      </c>
      <c r="AY607" s="355">
        <v>1.2290000000000001E-2</v>
      </c>
      <c r="AZ607" s="624">
        <v>42389</v>
      </c>
      <c r="BA607" s="355">
        <v>8.8999999999999999E-3</v>
      </c>
      <c r="BB607" s="624">
        <v>42389</v>
      </c>
      <c r="BC607" s="355">
        <v>0.24260000000000001</v>
      </c>
      <c r="BD607" s="624">
        <v>42389</v>
      </c>
      <c r="BE607" s="355">
        <v>8.269E-2</v>
      </c>
      <c r="BF607" s="624">
        <v>42402</v>
      </c>
      <c r="BG607" s="355">
        <v>1.4710000000000001E-2</v>
      </c>
      <c r="BH607" s="624">
        <v>42389</v>
      </c>
      <c r="BI607" s="355">
        <v>7.1923000000000001E-2</v>
      </c>
      <c r="BJ607" s="624">
        <v>42389</v>
      </c>
      <c r="BK607" s="355">
        <v>2.7570000000000001E-2</v>
      </c>
    </row>
    <row r="608" spans="3:63">
      <c r="C608" s="624"/>
      <c r="D608" s="355">
        <v>3.771E-2</v>
      </c>
      <c r="AV608" s="624">
        <v>42411</v>
      </c>
      <c r="AW608" s="355">
        <v>0.25030000000000002</v>
      </c>
      <c r="AX608" s="624">
        <v>42390</v>
      </c>
      <c r="AY608" s="355">
        <v>1.214E-2</v>
      </c>
      <c r="AZ608" s="624">
        <v>42390</v>
      </c>
      <c r="BA608" s="355">
        <v>8.8999999999999999E-3</v>
      </c>
      <c r="BB608" s="624">
        <v>42390</v>
      </c>
      <c r="BC608" s="355">
        <v>0.24210000000000001</v>
      </c>
      <c r="BD608" s="624">
        <v>42390</v>
      </c>
      <c r="BE608" s="355">
        <v>8.3059999999999995E-2</v>
      </c>
      <c r="BF608" s="624">
        <v>42403</v>
      </c>
      <c r="BG608" s="355">
        <v>1.4759E-2</v>
      </c>
      <c r="BH608" s="624">
        <v>42390</v>
      </c>
      <c r="BI608" s="355">
        <v>7.2329000000000004E-2</v>
      </c>
      <c r="BJ608" s="624">
        <v>42390</v>
      </c>
      <c r="BK608" s="355">
        <v>2.7609000000000002E-2</v>
      </c>
    </row>
    <row r="609" spans="3:63">
      <c r="C609" s="624"/>
      <c r="D609" s="355">
        <v>3.7659999999999999E-2</v>
      </c>
      <c r="AV609" s="624">
        <v>42412</v>
      </c>
      <c r="AW609" s="355">
        <v>0.24979999999999999</v>
      </c>
      <c r="AX609" s="624">
        <v>42391</v>
      </c>
      <c r="AY609" s="355">
        <v>1.282E-2</v>
      </c>
      <c r="AZ609" s="624">
        <v>42391</v>
      </c>
      <c r="BA609" s="355">
        <v>8.8000000000000005E-3</v>
      </c>
      <c r="BB609" s="624">
        <v>42391</v>
      </c>
      <c r="BC609" s="355">
        <v>0.24210000000000001</v>
      </c>
      <c r="BD609" s="624">
        <v>42391</v>
      </c>
      <c r="BE609" s="355">
        <v>8.344E-2</v>
      </c>
      <c r="BF609" s="624">
        <v>42404</v>
      </c>
      <c r="BG609" s="355">
        <v>1.4803999999999999E-2</v>
      </c>
      <c r="BH609" s="624">
        <v>42391</v>
      </c>
      <c r="BI609" s="355">
        <v>7.2473999999999997E-2</v>
      </c>
      <c r="BJ609" s="624">
        <v>42391</v>
      </c>
      <c r="BK609" s="355">
        <v>2.777E-2</v>
      </c>
    </row>
    <row r="610" spans="3:63">
      <c r="C610" s="624"/>
      <c r="D610" s="355">
        <v>3.7620000000000001E-2</v>
      </c>
      <c r="AV610" s="624">
        <v>42415</v>
      </c>
      <c r="AW610" s="355">
        <v>0.24959999999999999</v>
      </c>
      <c r="AX610" s="624">
        <v>42394</v>
      </c>
      <c r="AY610" s="355">
        <v>1.2489999999999999E-2</v>
      </c>
      <c r="AZ610" s="624">
        <v>42394</v>
      </c>
      <c r="BA610" s="355">
        <v>8.8000000000000005E-3</v>
      </c>
      <c r="BB610" s="624">
        <v>42394</v>
      </c>
      <c r="BC610" s="355">
        <v>0.2424</v>
      </c>
      <c r="BD610" s="624">
        <v>42394</v>
      </c>
      <c r="BE610" s="355">
        <v>8.3339999999999997E-2</v>
      </c>
      <c r="BF610" s="624">
        <v>42405</v>
      </c>
      <c r="BG610" s="355">
        <v>1.4732E-2</v>
      </c>
      <c r="BH610" s="624">
        <v>42394</v>
      </c>
      <c r="BI610" s="355">
        <v>7.2097999999999995E-2</v>
      </c>
      <c r="BJ610" s="624">
        <v>42394</v>
      </c>
      <c r="BK610" s="355">
        <v>2.7847E-2</v>
      </c>
    </row>
    <row r="611" spans="3:63">
      <c r="C611" s="624"/>
      <c r="D611" s="355">
        <v>3.7679999999999998E-2</v>
      </c>
      <c r="AV611" s="624">
        <v>42416</v>
      </c>
      <c r="AW611" s="355">
        <v>0.2457</v>
      </c>
      <c r="AX611" s="624">
        <v>42395</v>
      </c>
      <c r="AY611" s="355">
        <v>1.269E-2</v>
      </c>
      <c r="AZ611" s="624">
        <v>42395</v>
      </c>
      <c r="BA611" s="355">
        <v>8.8000000000000005E-3</v>
      </c>
      <c r="BB611" s="624">
        <v>42395</v>
      </c>
      <c r="BC611" s="355">
        <v>0.24429999999999999</v>
      </c>
      <c r="BD611" s="624">
        <v>42395</v>
      </c>
      <c r="BE611" s="355">
        <v>8.3449999999999996E-2</v>
      </c>
      <c r="BF611" s="624">
        <v>42408</v>
      </c>
      <c r="BG611" s="355">
        <v>1.4697E-2</v>
      </c>
      <c r="BH611" s="624">
        <v>42395</v>
      </c>
      <c r="BI611" s="355">
        <v>7.2376999999999997E-2</v>
      </c>
      <c r="BJ611" s="624">
        <v>42395</v>
      </c>
      <c r="BK611" s="355">
        <v>2.7862000000000001E-2</v>
      </c>
    </row>
    <row r="612" spans="3:63">
      <c r="C612" s="624"/>
      <c r="D612" s="355">
        <v>3.7679999999999998E-2</v>
      </c>
      <c r="AV612" s="624">
        <v>42417</v>
      </c>
      <c r="AW612" s="355">
        <v>0.25090000000000001</v>
      </c>
      <c r="AX612" s="624">
        <v>42396</v>
      </c>
      <c r="AY612" s="355">
        <v>1.282E-2</v>
      </c>
      <c r="AZ612" s="624">
        <v>42396</v>
      </c>
      <c r="BA612" s="355">
        <v>8.8000000000000005E-3</v>
      </c>
      <c r="BB612" s="624">
        <v>42396</v>
      </c>
      <c r="BC612" s="355">
        <v>0.24329999999999999</v>
      </c>
      <c r="BD612" s="624">
        <v>42396</v>
      </c>
      <c r="BE612" s="355">
        <v>8.276E-2</v>
      </c>
      <c r="BF612" s="624">
        <v>42409</v>
      </c>
      <c r="BG612" s="355">
        <v>1.4726E-2</v>
      </c>
      <c r="BH612" s="624">
        <v>42396</v>
      </c>
      <c r="BI612" s="355">
        <v>7.1918999999999997E-2</v>
      </c>
      <c r="BJ612" s="624">
        <v>42396</v>
      </c>
      <c r="BK612" s="355">
        <v>2.7910000000000001E-2</v>
      </c>
    </row>
    <row r="613" spans="3:63">
      <c r="C613" s="624"/>
      <c r="D613" s="355">
        <v>3.7780000000000001E-2</v>
      </c>
      <c r="AV613" s="624">
        <v>42418</v>
      </c>
      <c r="AW613" s="355">
        <v>0.24829999999999999</v>
      </c>
      <c r="AX613" s="624">
        <v>42397</v>
      </c>
      <c r="AY613" s="355">
        <v>1.3089999999999999E-2</v>
      </c>
      <c r="AZ613" s="624">
        <v>42397</v>
      </c>
      <c r="BA613" s="355">
        <v>8.8999999999999999E-3</v>
      </c>
      <c r="BB613" s="624">
        <v>42397</v>
      </c>
      <c r="BC613" s="355">
        <v>0.24529999999999999</v>
      </c>
      <c r="BD613" s="624">
        <v>42397</v>
      </c>
      <c r="BE613" s="355">
        <v>8.2830000000000001E-2</v>
      </c>
      <c r="BF613" s="624">
        <v>42410</v>
      </c>
      <c r="BG613" s="355">
        <v>1.4735E-2</v>
      </c>
      <c r="BH613" s="624">
        <v>42397</v>
      </c>
      <c r="BI613" s="355">
        <v>7.2406999999999999E-2</v>
      </c>
      <c r="BJ613" s="624">
        <v>42397</v>
      </c>
      <c r="BK613" s="355">
        <v>2.7921999999999999E-2</v>
      </c>
    </row>
    <row r="614" spans="3:63">
      <c r="C614" s="624"/>
      <c r="D614" s="355">
        <v>3.7749999999999999E-2</v>
      </c>
      <c r="AV614" s="624">
        <v>42419</v>
      </c>
      <c r="AW614" s="355">
        <v>0.24859999999999999</v>
      </c>
      <c r="AX614" s="624">
        <v>42398</v>
      </c>
      <c r="AY614" s="355">
        <v>1.321E-2</v>
      </c>
      <c r="AZ614" s="624">
        <v>42398</v>
      </c>
      <c r="BA614" s="355">
        <v>8.8000000000000005E-3</v>
      </c>
      <c r="BB614" s="624">
        <v>42398</v>
      </c>
      <c r="BC614" s="355">
        <v>0.245</v>
      </c>
      <c r="BD614" s="624">
        <v>42398</v>
      </c>
      <c r="BE614" s="355">
        <v>8.2809999999999995E-2</v>
      </c>
      <c r="BF614" s="624">
        <v>42411</v>
      </c>
      <c r="BG614" s="355">
        <v>1.4604000000000001E-2</v>
      </c>
      <c r="BH614" s="624">
        <v>42398</v>
      </c>
      <c r="BI614" s="355">
        <v>7.3157E-2</v>
      </c>
      <c r="BJ614" s="624">
        <v>42398</v>
      </c>
      <c r="BK614" s="355">
        <v>2.8014000000000001E-2</v>
      </c>
    </row>
    <row r="615" spans="3:63">
      <c r="C615" s="624"/>
      <c r="D615" s="355">
        <v>3.7719999999999997E-2</v>
      </c>
      <c r="AV615" s="624">
        <v>42422</v>
      </c>
      <c r="AW615" s="355">
        <v>0.25340000000000001</v>
      </c>
      <c r="AX615" s="624">
        <v>42401</v>
      </c>
      <c r="AY615" s="355">
        <v>1.2930000000000001E-2</v>
      </c>
      <c r="AZ615" s="624">
        <v>42401</v>
      </c>
      <c r="BA615" s="355">
        <v>8.8999999999999999E-3</v>
      </c>
      <c r="BB615" s="624">
        <v>42401</v>
      </c>
      <c r="BC615" s="355">
        <v>0.2475</v>
      </c>
      <c r="BD615" s="624">
        <v>42401</v>
      </c>
      <c r="BE615" s="355">
        <v>8.3169999999999994E-2</v>
      </c>
      <c r="BF615" s="624">
        <v>42412</v>
      </c>
      <c r="BG615" s="355">
        <v>1.4678999999999999E-2</v>
      </c>
      <c r="BH615" s="624">
        <v>42401</v>
      </c>
      <c r="BI615" s="355">
        <v>7.3505000000000001E-2</v>
      </c>
      <c r="BJ615" s="624">
        <v>42401</v>
      </c>
      <c r="BK615" s="355">
        <v>2.8088999999999999E-2</v>
      </c>
    </row>
    <row r="616" spans="3:63">
      <c r="C616" s="624"/>
      <c r="D616" s="355">
        <v>3.7670000000000002E-2</v>
      </c>
      <c r="AV616" s="624">
        <v>42423</v>
      </c>
      <c r="AW616" s="355">
        <v>0.25269999999999998</v>
      </c>
      <c r="AX616" s="624">
        <v>42402</v>
      </c>
      <c r="AY616" s="355">
        <v>1.2529999999999999E-2</v>
      </c>
      <c r="AZ616" s="624">
        <v>42402</v>
      </c>
      <c r="BA616" s="355">
        <v>8.8999999999999999E-3</v>
      </c>
      <c r="BB616" s="624">
        <v>42402</v>
      </c>
      <c r="BC616" s="355">
        <v>0.24779999999999999</v>
      </c>
      <c r="BD616" s="624">
        <v>42402</v>
      </c>
      <c r="BE616" s="355">
        <v>8.2519999999999996E-2</v>
      </c>
      <c r="BF616" s="624">
        <v>42415</v>
      </c>
      <c r="BG616" s="355">
        <v>1.4677000000000001E-2</v>
      </c>
      <c r="BH616" s="624">
        <v>42402</v>
      </c>
      <c r="BI616" s="355">
        <v>7.2608000000000006E-2</v>
      </c>
      <c r="BJ616" s="624">
        <v>42402</v>
      </c>
      <c r="BK616" s="355">
        <v>2.7900000000000001E-2</v>
      </c>
    </row>
    <row r="617" spans="3:63">
      <c r="C617" s="624"/>
      <c r="D617" s="355">
        <v>3.7719999999999997E-2</v>
      </c>
      <c r="AV617" s="624">
        <v>42424</v>
      </c>
      <c r="AW617" s="355">
        <v>0.25259999999999999</v>
      </c>
      <c r="AX617" s="624">
        <v>42403</v>
      </c>
      <c r="AY617" s="355">
        <v>1.303E-2</v>
      </c>
      <c r="AZ617" s="624">
        <v>42403</v>
      </c>
      <c r="BA617" s="355">
        <v>9.1000000000000004E-3</v>
      </c>
      <c r="BB617" s="624">
        <v>42403</v>
      </c>
      <c r="BC617" s="355">
        <v>0.251</v>
      </c>
      <c r="BD617" s="624">
        <v>42403</v>
      </c>
      <c r="BE617" s="355">
        <v>8.3309999999999995E-2</v>
      </c>
      <c r="BF617" s="624">
        <v>42416</v>
      </c>
      <c r="BG617" s="355">
        <v>1.4603E-2</v>
      </c>
      <c r="BH617" s="624">
        <v>42403</v>
      </c>
      <c r="BI617" s="355">
        <v>7.3136999999999994E-2</v>
      </c>
      <c r="BJ617" s="624">
        <v>42403</v>
      </c>
      <c r="BK617" s="355">
        <v>2.8003E-2</v>
      </c>
    </row>
    <row r="618" spans="3:63">
      <c r="C618" s="624"/>
      <c r="D618" s="355">
        <v>3.7760000000000002E-2</v>
      </c>
      <c r="AV618" s="624">
        <v>42425</v>
      </c>
      <c r="AW618" s="355">
        <v>0.25280000000000002</v>
      </c>
      <c r="AX618" s="624">
        <v>42404</v>
      </c>
      <c r="AY618" s="355">
        <v>1.302E-2</v>
      </c>
      <c r="AZ618" s="624">
        <v>42404</v>
      </c>
      <c r="BA618" s="355">
        <v>9.1999999999999998E-3</v>
      </c>
      <c r="BB618" s="624">
        <v>42404</v>
      </c>
      <c r="BC618" s="355">
        <v>0.2535</v>
      </c>
      <c r="BD618" s="624">
        <v>42404</v>
      </c>
      <c r="BE618" s="355">
        <v>8.3820000000000006E-2</v>
      </c>
      <c r="BF618" s="624">
        <v>42417</v>
      </c>
      <c r="BG618" s="355">
        <v>1.4635E-2</v>
      </c>
      <c r="BH618" s="624">
        <v>42404</v>
      </c>
      <c r="BI618" s="355">
        <v>7.3175000000000004E-2</v>
      </c>
      <c r="BJ618" s="624">
        <v>42404</v>
      </c>
      <c r="BK618" s="355">
        <v>2.8086E-2</v>
      </c>
    </row>
    <row r="619" spans="3:63">
      <c r="C619" s="624"/>
      <c r="D619" s="355">
        <v>3.7999999999999999E-2</v>
      </c>
      <c r="AV619" s="624">
        <v>42426</v>
      </c>
      <c r="AW619" s="355">
        <v>0.25030000000000002</v>
      </c>
      <c r="AX619" s="624">
        <v>42405</v>
      </c>
      <c r="AY619" s="355">
        <v>1.2999999999999999E-2</v>
      </c>
      <c r="AZ619" s="624">
        <v>42405</v>
      </c>
      <c r="BA619" s="355">
        <v>9.1000000000000004E-3</v>
      </c>
      <c r="BB619" s="624">
        <v>42405</v>
      </c>
      <c r="BC619" s="355">
        <v>0.25309999999999999</v>
      </c>
      <c r="BD619" s="624">
        <v>42405</v>
      </c>
      <c r="BE619" s="355">
        <v>8.2820000000000005E-2</v>
      </c>
      <c r="BF619" s="624">
        <v>42418</v>
      </c>
      <c r="BG619" s="355">
        <v>1.4592000000000001E-2</v>
      </c>
      <c r="BH619" s="624">
        <v>42405</v>
      </c>
      <c r="BI619" s="355">
        <v>7.3287000000000005E-2</v>
      </c>
      <c r="BJ619" s="624">
        <v>42405</v>
      </c>
      <c r="BK619" s="355">
        <v>2.8135E-2</v>
      </c>
    </row>
    <row r="620" spans="3:63">
      <c r="C620" s="624"/>
      <c r="D620" s="355">
        <v>3.7929999999999998E-2</v>
      </c>
      <c r="AV620" s="624">
        <v>42429</v>
      </c>
      <c r="AW620" s="355">
        <v>0.24890000000000001</v>
      </c>
      <c r="AX620" s="624">
        <v>42408</v>
      </c>
      <c r="AY620" s="355">
        <v>1.2829999999999999E-2</v>
      </c>
      <c r="AZ620" s="624">
        <v>42408</v>
      </c>
      <c r="BA620" s="355">
        <v>9.1000000000000004E-3</v>
      </c>
      <c r="BB620" s="624">
        <v>42408</v>
      </c>
      <c r="BC620" s="355">
        <v>0.25169999999999998</v>
      </c>
      <c r="BD620" s="624">
        <v>42408</v>
      </c>
      <c r="BE620" s="355">
        <v>8.3070000000000005E-2</v>
      </c>
      <c r="BF620" s="624">
        <v>42419</v>
      </c>
      <c r="BG620" s="355">
        <v>1.4546E-2</v>
      </c>
      <c r="BH620" s="624">
        <v>42408</v>
      </c>
      <c r="BI620" s="355">
        <v>7.3524000000000006E-2</v>
      </c>
      <c r="BJ620" s="624">
        <v>42408</v>
      </c>
      <c r="BK620" s="355">
        <v>2.8140999999999999E-2</v>
      </c>
    </row>
    <row r="621" spans="3:63">
      <c r="C621" s="624"/>
      <c r="D621" s="355">
        <v>3.789E-2</v>
      </c>
      <c r="AV621" s="624">
        <v>42430</v>
      </c>
      <c r="AW621" s="355">
        <v>0.25459999999999999</v>
      </c>
      <c r="AX621" s="624">
        <v>42409</v>
      </c>
      <c r="AY621" s="355">
        <v>1.255E-2</v>
      </c>
      <c r="AZ621" s="624">
        <v>42409</v>
      </c>
      <c r="BA621" s="355">
        <v>9.1999999999999998E-3</v>
      </c>
      <c r="BB621" s="624">
        <v>42409</v>
      </c>
      <c r="BC621" s="355">
        <v>0.25419999999999998</v>
      </c>
      <c r="BD621" s="624">
        <v>42409</v>
      </c>
      <c r="BE621" s="355">
        <v>8.3180000000000004E-2</v>
      </c>
      <c r="BF621" s="624">
        <v>42422</v>
      </c>
      <c r="BG621" s="355">
        <v>1.4589E-2</v>
      </c>
      <c r="BH621" s="624">
        <v>42409</v>
      </c>
      <c r="BI621" s="355">
        <v>7.3457999999999996E-2</v>
      </c>
      <c r="BJ621" s="624">
        <v>42409</v>
      </c>
      <c r="BK621" s="355">
        <v>2.8239E-2</v>
      </c>
    </row>
    <row r="622" spans="3:63">
      <c r="C622" s="624"/>
      <c r="D622" s="355">
        <v>3.7949999999999998E-2</v>
      </c>
      <c r="AV622" s="624">
        <v>42431</v>
      </c>
      <c r="AW622" s="355">
        <v>0.25690000000000002</v>
      </c>
      <c r="AX622" s="624">
        <v>42410</v>
      </c>
      <c r="AY622" s="355">
        <v>1.2710000000000001E-2</v>
      </c>
      <c r="AZ622" s="624">
        <v>42410</v>
      </c>
      <c r="BA622" s="355">
        <v>9.1999999999999998E-3</v>
      </c>
      <c r="BB622" s="624">
        <v>42410</v>
      </c>
      <c r="BC622" s="355">
        <v>0.25619999999999998</v>
      </c>
      <c r="BD622" s="624">
        <v>42410</v>
      </c>
      <c r="BE622" s="355">
        <v>8.4099999999999994E-2</v>
      </c>
      <c r="BF622" s="624">
        <v>42423</v>
      </c>
      <c r="BG622" s="355">
        <v>1.4584E-2</v>
      </c>
      <c r="BH622" s="624">
        <v>42410</v>
      </c>
      <c r="BI622" s="355">
        <v>7.4493000000000004E-2</v>
      </c>
      <c r="BJ622" s="624">
        <v>42410</v>
      </c>
      <c r="BK622" s="355">
        <v>2.8323999999999998E-2</v>
      </c>
    </row>
    <row r="623" spans="3:63">
      <c r="C623" s="624"/>
      <c r="D623" s="355">
        <v>3.8089999999999999E-2</v>
      </c>
      <c r="AV623" s="624">
        <v>42432</v>
      </c>
      <c r="AW623" s="355">
        <v>0.26319999999999999</v>
      </c>
      <c r="AX623" s="624">
        <v>42411</v>
      </c>
      <c r="AY623" s="355">
        <v>1.2540000000000001E-2</v>
      </c>
      <c r="AZ623" s="624">
        <v>42411</v>
      </c>
      <c r="BA623" s="355">
        <v>9.1999999999999998E-3</v>
      </c>
      <c r="BB623" s="624">
        <v>42411</v>
      </c>
      <c r="BC623" s="355">
        <v>0.25609999999999999</v>
      </c>
      <c r="BD623" s="624">
        <v>42411</v>
      </c>
      <c r="BE623" s="355">
        <v>8.3330000000000001E-2</v>
      </c>
      <c r="BF623" s="624">
        <v>42424</v>
      </c>
      <c r="BG623" s="355">
        <v>1.4612999999999999E-2</v>
      </c>
      <c r="BH623" s="624">
        <v>42411</v>
      </c>
      <c r="BI623" s="355">
        <v>7.4001999999999998E-2</v>
      </c>
      <c r="BJ623" s="624">
        <v>42411</v>
      </c>
      <c r="BK623" s="355">
        <v>2.8379000000000001E-2</v>
      </c>
    </row>
    <row r="624" spans="3:63">
      <c r="C624" s="624"/>
      <c r="D624" s="355">
        <v>3.814E-2</v>
      </c>
      <c r="AV624" s="624">
        <v>42433</v>
      </c>
      <c r="AW624" s="355">
        <v>0.26600000000000001</v>
      </c>
      <c r="AX624" s="624">
        <v>42412</v>
      </c>
      <c r="AY624" s="355">
        <v>1.273E-2</v>
      </c>
      <c r="AZ624" s="624">
        <v>42412</v>
      </c>
      <c r="BA624" s="355">
        <v>9.1000000000000004E-3</v>
      </c>
      <c r="BB624" s="624">
        <v>42412</v>
      </c>
      <c r="BC624" s="355">
        <v>0.25590000000000002</v>
      </c>
      <c r="BD624" s="624">
        <v>42412</v>
      </c>
      <c r="BE624" s="355">
        <v>8.2830000000000001E-2</v>
      </c>
      <c r="BF624" s="624">
        <v>42425</v>
      </c>
      <c r="BG624" s="355">
        <v>1.4546E-2</v>
      </c>
      <c r="BH624" s="624">
        <v>42412</v>
      </c>
      <c r="BI624" s="355">
        <v>7.4082999999999996E-2</v>
      </c>
      <c r="BJ624" s="624">
        <v>42412</v>
      </c>
      <c r="BK624" s="355">
        <v>2.8098000000000001E-2</v>
      </c>
    </row>
    <row r="625" spans="3:63">
      <c r="C625" s="624"/>
      <c r="D625" s="355">
        <v>3.8120000000000001E-2</v>
      </c>
      <c r="AV625" s="624">
        <v>42436</v>
      </c>
      <c r="AW625" s="355">
        <v>0.26429999999999998</v>
      </c>
      <c r="AX625" s="624">
        <v>42415</v>
      </c>
      <c r="AY625" s="355">
        <v>1.299E-2</v>
      </c>
      <c r="AZ625" s="624">
        <v>42415</v>
      </c>
      <c r="BA625" s="355">
        <v>9.1999999999999998E-3</v>
      </c>
      <c r="BB625" s="624">
        <v>42415</v>
      </c>
      <c r="BC625" s="355">
        <v>0.25369999999999998</v>
      </c>
      <c r="BD625" s="624">
        <v>42415</v>
      </c>
      <c r="BE625" s="355">
        <v>8.233E-2</v>
      </c>
      <c r="BF625" s="624">
        <v>42426</v>
      </c>
      <c r="BG625" s="355">
        <v>1.4545000000000001E-2</v>
      </c>
      <c r="BH625" s="624">
        <v>42415</v>
      </c>
      <c r="BI625" s="355">
        <v>7.4753E-2</v>
      </c>
      <c r="BJ625" s="624">
        <v>42415</v>
      </c>
      <c r="BK625" s="355">
        <v>2.8080000000000001E-2</v>
      </c>
    </row>
    <row r="626" spans="3:63">
      <c r="C626" s="624"/>
      <c r="D626" s="355">
        <v>3.8150000000000003E-2</v>
      </c>
      <c r="AV626" s="624">
        <v>42437</v>
      </c>
      <c r="AW626" s="355">
        <v>0.26629999999999998</v>
      </c>
      <c r="AX626" s="624">
        <v>42416</v>
      </c>
      <c r="AY626" s="355">
        <v>1.2840000000000001E-2</v>
      </c>
      <c r="AZ626" s="624">
        <v>42416</v>
      </c>
      <c r="BA626" s="355">
        <v>9.1999999999999998E-3</v>
      </c>
      <c r="BB626" s="624">
        <v>42416</v>
      </c>
      <c r="BC626" s="355">
        <v>0.25290000000000001</v>
      </c>
      <c r="BD626" s="624">
        <v>42416</v>
      </c>
      <c r="BE626" s="355">
        <v>8.2040000000000002E-2</v>
      </c>
      <c r="BF626" s="624">
        <v>42429</v>
      </c>
      <c r="BG626" s="355">
        <v>1.4664E-2</v>
      </c>
      <c r="BH626" s="624">
        <v>42416</v>
      </c>
      <c r="BI626" s="355">
        <v>7.4095999999999995E-2</v>
      </c>
      <c r="BJ626" s="624">
        <v>42416</v>
      </c>
      <c r="BK626" s="355">
        <v>2.8028999999999998E-2</v>
      </c>
    </row>
    <row r="627" spans="3:63">
      <c r="C627" s="624"/>
      <c r="D627" s="355">
        <v>3.8150000000000003E-2</v>
      </c>
      <c r="AV627" s="624">
        <v>42438</v>
      </c>
      <c r="AW627" s="355">
        <v>0.27139999999999997</v>
      </c>
      <c r="AX627" s="624">
        <v>42417</v>
      </c>
      <c r="AY627" s="355">
        <v>1.3310000000000001E-2</v>
      </c>
      <c r="AZ627" s="624">
        <v>42417</v>
      </c>
      <c r="BA627" s="355">
        <v>9.1000000000000004E-3</v>
      </c>
      <c r="BB627" s="624">
        <v>42417</v>
      </c>
      <c r="BC627" s="355">
        <v>0.253</v>
      </c>
      <c r="BD627" s="624">
        <v>42417</v>
      </c>
      <c r="BE627" s="355">
        <v>8.1670000000000006E-2</v>
      </c>
      <c r="BF627" s="624">
        <v>42430</v>
      </c>
      <c r="BG627" s="355">
        <v>1.4789999999999999E-2</v>
      </c>
      <c r="BH627" s="624">
        <v>42417</v>
      </c>
      <c r="BI627" s="355">
        <v>7.4442999999999995E-2</v>
      </c>
      <c r="BJ627" s="624">
        <v>42417</v>
      </c>
      <c r="BK627" s="355">
        <v>2.8094000000000001E-2</v>
      </c>
    </row>
    <row r="628" spans="3:63">
      <c r="C628" s="624"/>
      <c r="D628" s="355">
        <v>3.8129999999999997E-2</v>
      </c>
      <c r="AV628" s="624">
        <v>42439</v>
      </c>
      <c r="AW628" s="355">
        <v>0.27610000000000001</v>
      </c>
      <c r="AX628" s="624">
        <v>42418</v>
      </c>
      <c r="AY628" s="355">
        <v>1.3129999999999999E-2</v>
      </c>
      <c r="AZ628" s="624">
        <v>42418</v>
      </c>
      <c r="BA628" s="355">
        <v>8.9999999999999993E-3</v>
      </c>
      <c r="BB628" s="624">
        <v>42418</v>
      </c>
      <c r="BC628" s="355">
        <v>0.25280000000000002</v>
      </c>
      <c r="BD628" s="624">
        <v>42418</v>
      </c>
      <c r="BE628" s="355">
        <v>8.1369999999999998E-2</v>
      </c>
      <c r="BF628" s="624">
        <v>42431</v>
      </c>
      <c r="BG628" s="355">
        <v>1.4855999999999999E-2</v>
      </c>
      <c r="BH628" s="624">
        <v>42418</v>
      </c>
      <c r="BI628" s="355">
        <v>7.4124999999999996E-2</v>
      </c>
      <c r="BJ628" s="624">
        <v>42418</v>
      </c>
      <c r="BK628" s="355">
        <v>2.81E-2</v>
      </c>
    </row>
    <row r="629" spans="3:63">
      <c r="C629" s="624"/>
      <c r="D629" s="355">
        <v>3.814E-2</v>
      </c>
      <c r="AV629" s="624">
        <v>42440</v>
      </c>
      <c r="AW629" s="355">
        <v>0.27910000000000001</v>
      </c>
      <c r="AX629" s="624">
        <v>42419</v>
      </c>
      <c r="AY629" s="355">
        <v>1.299E-2</v>
      </c>
      <c r="AZ629" s="624">
        <v>42419</v>
      </c>
      <c r="BA629" s="355">
        <v>8.9999999999999993E-3</v>
      </c>
      <c r="BB629" s="624">
        <v>42419</v>
      </c>
      <c r="BC629" s="355">
        <v>0.25459999999999999</v>
      </c>
      <c r="BD629" s="624">
        <v>42419</v>
      </c>
      <c r="BE629" s="355">
        <v>8.1030000000000005E-2</v>
      </c>
      <c r="BF629" s="624">
        <v>42432</v>
      </c>
      <c r="BG629" s="355">
        <v>1.4897000000000001E-2</v>
      </c>
      <c r="BH629" s="624">
        <v>42419</v>
      </c>
      <c r="BI629" s="355">
        <v>7.4267E-2</v>
      </c>
      <c r="BJ629" s="624">
        <v>42419</v>
      </c>
      <c r="BK629" s="355">
        <v>2.7987999999999999E-2</v>
      </c>
    </row>
    <row r="630" spans="3:63">
      <c r="C630" s="624"/>
      <c r="D630" s="355">
        <v>3.8210000000000001E-2</v>
      </c>
      <c r="AV630" s="624">
        <v>42443</v>
      </c>
      <c r="AW630" s="355">
        <v>0.27329999999999999</v>
      </c>
      <c r="AX630" s="624">
        <v>42422</v>
      </c>
      <c r="AY630" s="355">
        <v>1.332E-2</v>
      </c>
      <c r="AZ630" s="624">
        <v>42422</v>
      </c>
      <c r="BA630" s="355">
        <v>8.8999999999999999E-3</v>
      </c>
      <c r="BB630" s="624">
        <v>42422</v>
      </c>
      <c r="BC630" s="355">
        <v>0.253</v>
      </c>
      <c r="BD630" s="624">
        <v>42422</v>
      </c>
      <c r="BE630" s="355">
        <v>8.1710000000000005E-2</v>
      </c>
      <c r="BF630" s="624">
        <v>42433</v>
      </c>
      <c r="BG630" s="355">
        <v>1.4933E-2</v>
      </c>
      <c r="BH630" s="624">
        <v>42422</v>
      </c>
      <c r="BI630" s="355">
        <v>7.4703000000000006E-2</v>
      </c>
      <c r="BJ630" s="624">
        <v>42422</v>
      </c>
      <c r="BK630" s="355">
        <v>2.7973000000000001E-2</v>
      </c>
    </row>
    <row r="631" spans="3:63">
      <c r="C631" s="624"/>
      <c r="D631" s="355">
        <v>3.823E-2</v>
      </c>
      <c r="AV631" s="624">
        <v>42444</v>
      </c>
      <c r="AW631" s="355">
        <v>0.26540000000000002</v>
      </c>
      <c r="AX631" s="624">
        <v>42423</v>
      </c>
      <c r="AY631" s="355">
        <v>1.3100000000000001E-2</v>
      </c>
      <c r="AZ631" s="624">
        <v>42423</v>
      </c>
      <c r="BA631" s="355">
        <v>8.8999999999999999E-3</v>
      </c>
      <c r="BB631" s="624">
        <v>42423</v>
      </c>
      <c r="BC631" s="355">
        <v>0.25159999999999999</v>
      </c>
      <c r="BD631" s="624">
        <v>42423</v>
      </c>
      <c r="BE631" s="355">
        <v>8.1189999999999998E-2</v>
      </c>
      <c r="BF631" s="624">
        <v>42436</v>
      </c>
      <c r="BG631" s="355">
        <v>1.4926999999999999E-2</v>
      </c>
      <c r="BH631" s="624">
        <v>42423</v>
      </c>
      <c r="BI631" s="355">
        <v>7.4432999999999999E-2</v>
      </c>
      <c r="BJ631" s="624">
        <v>42423</v>
      </c>
      <c r="BK631" s="355">
        <v>2.7993000000000001E-2</v>
      </c>
    </row>
    <row r="632" spans="3:63">
      <c r="C632" s="624"/>
      <c r="D632" s="355">
        <v>3.8300000000000001E-2</v>
      </c>
      <c r="AV632" s="624"/>
      <c r="AX632" s="624">
        <v>42424</v>
      </c>
      <c r="AY632" s="355">
        <v>1.319E-2</v>
      </c>
      <c r="AZ632" s="624">
        <v>42424</v>
      </c>
      <c r="BA632" s="355">
        <v>8.8999999999999999E-3</v>
      </c>
      <c r="BB632" s="624">
        <v>42424</v>
      </c>
      <c r="BC632" s="355">
        <v>0.25159999999999999</v>
      </c>
      <c r="BD632" s="624">
        <v>42424</v>
      </c>
      <c r="BE632" s="355">
        <v>8.1119999999999998E-2</v>
      </c>
      <c r="BF632" s="624">
        <v>42437</v>
      </c>
      <c r="BG632" s="355">
        <v>1.4853999999999999E-2</v>
      </c>
      <c r="BH632" s="624">
        <v>42424</v>
      </c>
      <c r="BI632" s="355">
        <v>7.4674000000000004E-2</v>
      </c>
      <c r="BJ632" s="624">
        <v>42424</v>
      </c>
      <c r="BK632" s="355">
        <v>2.8027E-2</v>
      </c>
    </row>
    <row r="633" spans="3:63">
      <c r="C633" s="624"/>
      <c r="D633" s="355">
        <v>3.8289999999999998E-2</v>
      </c>
      <c r="AV633" s="624"/>
      <c r="AX633" s="624">
        <v>42425</v>
      </c>
      <c r="AY633" s="355">
        <v>1.328E-2</v>
      </c>
      <c r="AZ633" s="624">
        <v>42425</v>
      </c>
      <c r="BA633" s="355">
        <v>8.8999999999999999E-3</v>
      </c>
      <c r="BB633" s="624">
        <v>42425</v>
      </c>
      <c r="BC633" s="355">
        <v>0.253</v>
      </c>
      <c r="BD633" s="624">
        <v>42425</v>
      </c>
      <c r="BE633" s="355">
        <v>8.0949999999999994E-2</v>
      </c>
      <c r="BF633" s="624">
        <v>42438</v>
      </c>
      <c r="BG633" s="355">
        <v>1.4883E-2</v>
      </c>
      <c r="BH633" s="624">
        <v>42425</v>
      </c>
      <c r="BI633" s="355">
        <v>7.4376999999999999E-2</v>
      </c>
      <c r="BJ633" s="624">
        <v>42425</v>
      </c>
      <c r="BK633" s="355">
        <v>2.8025000000000001E-2</v>
      </c>
    </row>
    <row r="634" spans="3:63">
      <c r="C634" s="624"/>
      <c r="D634" s="355">
        <v>3.823E-2</v>
      </c>
      <c r="AV634" s="624"/>
      <c r="AX634" s="624">
        <v>42426</v>
      </c>
      <c r="AY634" s="355">
        <v>1.311E-2</v>
      </c>
      <c r="AZ634" s="624">
        <v>42426</v>
      </c>
      <c r="BA634" s="355">
        <v>8.8999999999999999E-3</v>
      </c>
      <c r="BB634" s="624">
        <v>42426</v>
      </c>
      <c r="BC634" s="355">
        <v>0.24979999999999999</v>
      </c>
      <c r="BD634" s="624">
        <v>42426</v>
      </c>
      <c r="BE634" s="355">
        <v>8.0479999999999996E-2</v>
      </c>
      <c r="BF634" s="624">
        <v>42439</v>
      </c>
      <c r="BG634" s="355">
        <v>1.4858E-2</v>
      </c>
      <c r="BH634" s="624">
        <v>42426</v>
      </c>
      <c r="BI634" s="355">
        <v>7.4376999999999999E-2</v>
      </c>
      <c r="BJ634" s="624">
        <v>42426</v>
      </c>
      <c r="BK634" s="355">
        <v>2.7983000000000001E-2</v>
      </c>
    </row>
    <row r="635" spans="3:63">
      <c r="C635" s="624"/>
      <c r="D635" s="355">
        <v>3.8219999999999997E-2</v>
      </c>
      <c r="AV635" s="624"/>
      <c r="AX635" s="624">
        <v>42429</v>
      </c>
      <c r="AY635" s="355">
        <v>1.341E-2</v>
      </c>
      <c r="AZ635" s="624">
        <v>42429</v>
      </c>
      <c r="BA635" s="355">
        <v>8.8000000000000005E-3</v>
      </c>
      <c r="BB635" s="624">
        <v>42429</v>
      </c>
      <c r="BC635" s="355">
        <v>0.25009999999999999</v>
      </c>
      <c r="BD635" s="624">
        <v>42429</v>
      </c>
      <c r="BE635" s="355">
        <v>8.0750000000000002E-2</v>
      </c>
      <c r="BF635" s="624">
        <v>42440</v>
      </c>
      <c r="BG635" s="355">
        <v>1.4937000000000001E-2</v>
      </c>
      <c r="BH635" s="624">
        <v>42429</v>
      </c>
      <c r="BI635" s="355">
        <v>7.4871999999999994E-2</v>
      </c>
      <c r="BJ635" s="624">
        <v>42429</v>
      </c>
      <c r="BK635" s="355">
        <v>2.8070999999999999E-2</v>
      </c>
    </row>
    <row r="636" spans="3:63">
      <c r="C636" s="624"/>
      <c r="D636" s="355">
        <v>3.8080000000000003E-2</v>
      </c>
      <c r="AV636" s="624"/>
      <c r="AX636" s="624">
        <v>42430</v>
      </c>
      <c r="AY636" s="355">
        <v>1.3650000000000001E-2</v>
      </c>
      <c r="AZ636" s="624">
        <v>42430</v>
      </c>
      <c r="BA636" s="355">
        <v>8.8000000000000005E-3</v>
      </c>
      <c r="BB636" s="624">
        <v>42430</v>
      </c>
      <c r="BC636" s="355">
        <v>0.25090000000000001</v>
      </c>
      <c r="BD636" s="624">
        <v>42430</v>
      </c>
      <c r="BE636" s="355">
        <v>8.1360000000000002E-2</v>
      </c>
      <c r="BF636" s="624">
        <v>42443</v>
      </c>
      <c r="BG636" s="355">
        <v>1.4881E-2</v>
      </c>
      <c r="BH636" s="624">
        <v>42430</v>
      </c>
      <c r="BI636" s="355">
        <v>7.5315999999999994E-2</v>
      </c>
      <c r="BJ636" s="624">
        <v>42430</v>
      </c>
      <c r="BK636" s="355">
        <v>2.8101999999999999E-2</v>
      </c>
    </row>
    <row r="637" spans="3:63">
      <c r="C637" s="624"/>
      <c r="D637" s="355">
        <v>3.8120000000000001E-2</v>
      </c>
      <c r="AV637" s="624"/>
      <c r="AX637" s="624">
        <v>42431</v>
      </c>
      <c r="AY637" s="355">
        <v>1.363E-2</v>
      </c>
      <c r="AZ637" s="624">
        <v>42431</v>
      </c>
      <c r="BA637" s="355">
        <v>8.8000000000000005E-3</v>
      </c>
      <c r="BB637" s="624">
        <v>42431</v>
      </c>
      <c r="BC637" s="355">
        <v>0.2515</v>
      </c>
      <c r="BD637" s="624">
        <v>42431</v>
      </c>
      <c r="BE637" s="355">
        <v>8.1619999999999998E-2</v>
      </c>
      <c r="BF637" s="624">
        <v>42444</v>
      </c>
      <c r="BG637" s="355">
        <v>1.4841E-2</v>
      </c>
      <c r="BH637" s="624">
        <v>42431</v>
      </c>
      <c r="BI637" s="355">
        <v>7.5309000000000001E-2</v>
      </c>
      <c r="BJ637" s="624">
        <v>42431</v>
      </c>
      <c r="BK637" s="355">
        <v>2.8118000000000001E-2</v>
      </c>
    </row>
    <row r="638" spans="3:63">
      <c r="C638" s="624"/>
      <c r="D638" s="355">
        <v>3.8159999999999999E-2</v>
      </c>
      <c r="AV638" s="624"/>
      <c r="AX638" s="624">
        <v>42432</v>
      </c>
      <c r="AY638" s="355">
        <v>1.3690000000000001E-2</v>
      </c>
      <c r="AZ638" s="624">
        <v>42432</v>
      </c>
      <c r="BA638" s="355">
        <v>8.8999999999999999E-3</v>
      </c>
      <c r="BB638" s="624">
        <v>42432</v>
      </c>
      <c r="BC638" s="355">
        <v>0.25240000000000001</v>
      </c>
      <c r="BD638" s="624">
        <v>42432</v>
      </c>
      <c r="BE638" s="355">
        <v>8.2500000000000004E-2</v>
      </c>
      <c r="BF638" s="624">
        <v>39164</v>
      </c>
      <c r="BG638" s="355">
        <v>2.2952E-2</v>
      </c>
      <c r="BH638" s="624">
        <v>42432</v>
      </c>
      <c r="BI638" s="355">
        <v>7.5740000000000002E-2</v>
      </c>
      <c r="BJ638" s="624">
        <v>42432</v>
      </c>
      <c r="BK638" s="355">
        <v>2.8223000000000002E-2</v>
      </c>
    </row>
    <row r="639" spans="3:63">
      <c r="C639" s="624"/>
      <c r="D639" s="355">
        <v>3.814E-2</v>
      </c>
      <c r="AV639" s="624"/>
      <c r="AX639" s="624">
        <v>42433</v>
      </c>
      <c r="AY639" s="355">
        <v>1.391E-2</v>
      </c>
      <c r="AZ639" s="624">
        <v>42433</v>
      </c>
      <c r="BA639" s="355">
        <v>8.8999999999999999E-3</v>
      </c>
      <c r="BB639" s="624">
        <v>42433</v>
      </c>
      <c r="BC639" s="355">
        <v>0.25469999999999998</v>
      </c>
      <c r="BD639" s="624">
        <v>42433</v>
      </c>
      <c r="BE639" s="355">
        <v>8.3419999999999994E-2</v>
      </c>
      <c r="BF639" s="624">
        <v>39167</v>
      </c>
      <c r="BG639" s="355">
        <v>2.3096999999999999E-2</v>
      </c>
      <c r="BH639" s="624">
        <v>42433</v>
      </c>
      <c r="BI639" s="355">
        <v>7.6772999999999994E-2</v>
      </c>
      <c r="BJ639" s="624">
        <v>42433</v>
      </c>
      <c r="BK639" s="355">
        <v>2.8288000000000001E-2</v>
      </c>
    </row>
    <row r="640" spans="3:63">
      <c r="C640" s="624"/>
      <c r="D640" s="355">
        <v>3.8109999999999998E-2</v>
      </c>
      <c r="AV640" s="624"/>
      <c r="AX640" s="624">
        <v>42436</v>
      </c>
      <c r="AY640" s="355">
        <v>1.3990000000000001E-2</v>
      </c>
      <c r="AZ640" s="624">
        <v>42436</v>
      </c>
      <c r="BA640" s="355">
        <v>8.8999999999999999E-3</v>
      </c>
      <c r="BB640" s="624">
        <v>42436</v>
      </c>
      <c r="BC640" s="355">
        <v>0.25430000000000003</v>
      </c>
      <c r="BD640" s="624">
        <v>42436</v>
      </c>
      <c r="BE640" s="355">
        <v>8.3299999999999999E-2</v>
      </c>
      <c r="BF640" s="624">
        <v>39169</v>
      </c>
      <c r="BG640" s="355">
        <v>2.3234000000000001E-2</v>
      </c>
      <c r="BH640" s="624">
        <v>42436</v>
      </c>
      <c r="BI640" s="355">
        <v>7.6579999999999995E-2</v>
      </c>
      <c r="BJ640" s="624">
        <v>42436</v>
      </c>
      <c r="BK640" s="355">
        <v>2.8237999999999999E-2</v>
      </c>
    </row>
    <row r="641" spans="3:63">
      <c r="C641" s="624"/>
      <c r="D641" s="355">
        <v>3.8210000000000001E-2</v>
      </c>
      <c r="AV641" s="624"/>
      <c r="AX641" s="624">
        <v>42437</v>
      </c>
      <c r="AY641" s="355">
        <v>1.37E-2</v>
      </c>
      <c r="AZ641" s="624">
        <v>42437</v>
      </c>
      <c r="BA641" s="355">
        <v>8.8999999999999999E-3</v>
      </c>
      <c r="BB641" s="624">
        <v>42437</v>
      </c>
      <c r="BC641" s="355">
        <v>0.25469999999999998</v>
      </c>
      <c r="BD641" s="624">
        <v>42437</v>
      </c>
      <c r="BE641" s="355">
        <v>8.2629999999999995E-2</v>
      </c>
      <c r="BF641" s="624">
        <v>39170</v>
      </c>
      <c r="BG641" s="355">
        <v>2.2852000000000001E-2</v>
      </c>
      <c r="BH641" s="624">
        <v>42437</v>
      </c>
      <c r="BI641" s="355">
        <v>7.5757000000000005E-2</v>
      </c>
      <c r="BJ641" s="624">
        <v>42437</v>
      </c>
      <c r="BK641" s="355">
        <v>2.828E-2</v>
      </c>
    </row>
    <row r="642" spans="3:63">
      <c r="C642" s="624"/>
      <c r="D642" s="355">
        <v>3.8249999999999999E-2</v>
      </c>
      <c r="AV642" s="624"/>
      <c r="AX642" s="624">
        <v>42438</v>
      </c>
      <c r="AY642" s="355">
        <v>1.4069999999999999E-2</v>
      </c>
      <c r="AZ642" s="624">
        <v>42438</v>
      </c>
      <c r="BA642" s="355">
        <v>8.8999999999999999E-3</v>
      </c>
      <c r="BB642" s="624">
        <v>42438</v>
      </c>
      <c r="BC642" s="355">
        <v>0.25469999999999998</v>
      </c>
      <c r="BD642" s="624">
        <v>42438</v>
      </c>
      <c r="BE642" s="355">
        <v>8.269E-2</v>
      </c>
      <c r="BF642" s="624">
        <v>39171</v>
      </c>
      <c r="BG642" s="355">
        <v>2.2977999999999998E-2</v>
      </c>
      <c r="BH642" s="624">
        <v>42438</v>
      </c>
      <c r="BI642" s="355">
        <v>7.6240000000000002E-2</v>
      </c>
      <c r="BJ642" s="624">
        <v>42438</v>
      </c>
      <c r="BK642" s="355">
        <v>2.8337000000000001E-2</v>
      </c>
    </row>
    <row r="643" spans="3:63">
      <c r="C643" s="624"/>
      <c r="D643" s="355">
        <v>3.8269999999999998E-2</v>
      </c>
      <c r="AV643" s="624"/>
      <c r="AX643" s="624">
        <v>42439</v>
      </c>
      <c r="AY643" s="355">
        <v>1.404E-2</v>
      </c>
      <c r="AZ643" s="624">
        <v>42439</v>
      </c>
      <c r="BA643" s="355">
        <v>9.1000000000000004E-3</v>
      </c>
      <c r="BB643" s="624">
        <v>42439</v>
      </c>
      <c r="BC643" s="355">
        <v>0.25790000000000002</v>
      </c>
      <c r="BD643" s="624">
        <v>42439</v>
      </c>
      <c r="BE643" s="355">
        <v>8.3030000000000007E-2</v>
      </c>
      <c r="BF643" s="624">
        <v>39174</v>
      </c>
      <c r="BG643" s="355">
        <v>2.3099999999999999E-2</v>
      </c>
      <c r="BH643" s="624">
        <v>42439</v>
      </c>
      <c r="BI643" s="355">
        <v>7.5889999999999999E-2</v>
      </c>
      <c r="BJ643" s="624">
        <v>42439</v>
      </c>
      <c r="BK643" s="355">
        <v>2.8389000000000001E-2</v>
      </c>
    </row>
    <row r="644" spans="3:63">
      <c r="C644" s="624"/>
      <c r="D644" s="355">
        <v>3.8289999999999998E-2</v>
      </c>
      <c r="AV644" s="624"/>
      <c r="AX644" s="624">
        <v>42440</v>
      </c>
      <c r="AY644" s="355">
        <v>1.4279999999999999E-2</v>
      </c>
      <c r="AZ644" s="624">
        <v>42440</v>
      </c>
      <c r="BA644" s="355">
        <v>8.9999999999999993E-3</v>
      </c>
      <c r="BB644" s="624">
        <v>42440</v>
      </c>
      <c r="BC644" s="355">
        <v>0.25969999999999999</v>
      </c>
      <c r="BD644" s="624">
        <v>42440</v>
      </c>
      <c r="BE644" s="355">
        <v>8.4169999999999995E-2</v>
      </c>
      <c r="BF644" s="624">
        <v>39175</v>
      </c>
      <c r="BG644" s="355">
        <v>2.3215E-2</v>
      </c>
      <c r="BH644" s="624">
        <v>42440</v>
      </c>
      <c r="BI644" s="355">
        <v>7.7022999999999994E-2</v>
      </c>
      <c r="BJ644" s="624">
        <v>42440</v>
      </c>
      <c r="BK644" s="355">
        <v>2.8531000000000001E-2</v>
      </c>
    </row>
    <row r="645" spans="3:63">
      <c r="C645" s="624"/>
      <c r="D645" s="355">
        <v>3.8420000000000003E-2</v>
      </c>
      <c r="AV645" s="624"/>
      <c r="AX645" s="624">
        <v>42443</v>
      </c>
      <c r="AY645" s="355">
        <v>1.4290000000000001E-2</v>
      </c>
      <c r="AZ645" s="624">
        <v>42443</v>
      </c>
      <c r="BA645" s="355">
        <v>8.9999999999999993E-3</v>
      </c>
      <c r="BB645" s="624">
        <v>42443</v>
      </c>
      <c r="BC645" s="355">
        <v>0.2596</v>
      </c>
      <c r="BD645" s="624">
        <v>42443</v>
      </c>
      <c r="BE645" s="355">
        <v>8.4089999999999998E-2</v>
      </c>
      <c r="BF645" s="624">
        <v>39176</v>
      </c>
      <c r="BG645" s="355">
        <v>2.3219E-2</v>
      </c>
      <c r="BH645" s="624">
        <v>42443</v>
      </c>
      <c r="BI645" s="355">
        <v>7.6699000000000003E-2</v>
      </c>
      <c r="BJ645" s="624">
        <v>42443</v>
      </c>
      <c r="BK645" s="355">
        <v>2.8493999999999998E-2</v>
      </c>
    </row>
    <row r="646" spans="3:63">
      <c r="C646" s="624"/>
      <c r="D646" s="355">
        <v>3.8399999999999997E-2</v>
      </c>
      <c r="AV646" s="624"/>
      <c r="AX646" s="624">
        <v>42444</v>
      </c>
      <c r="AY646" s="355">
        <v>1.4120000000000001E-2</v>
      </c>
      <c r="AZ646" s="624">
        <v>42444</v>
      </c>
      <c r="BA646" s="355">
        <v>8.9999999999999993E-3</v>
      </c>
      <c r="BB646" s="624">
        <v>42444</v>
      </c>
      <c r="BC646" s="355">
        <v>0.25890000000000002</v>
      </c>
      <c r="BD646" s="624">
        <v>42444</v>
      </c>
      <c r="BE646" s="355">
        <v>8.3669999999999994E-2</v>
      </c>
      <c r="BF646" s="624">
        <v>39177</v>
      </c>
      <c r="BG646" s="355">
        <v>2.3299E-2</v>
      </c>
      <c r="BH646" s="624">
        <v>42444</v>
      </c>
      <c r="BI646" s="355">
        <v>7.5854000000000005E-2</v>
      </c>
      <c r="BJ646" s="624">
        <v>42444</v>
      </c>
      <c r="BK646" s="355">
        <v>2.8438000000000001E-2</v>
      </c>
    </row>
    <row r="647" spans="3:63">
      <c r="C647" s="624"/>
      <c r="D647" s="355">
        <v>3.8420000000000003E-2</v>
      </c>
      <c r="AV647" s="624"/>
      <c r="AX647" s="624">
        <v>39162</v>
      </c>
      <c r="AY647" s="355">
        <v>3.85E-2</v>
      </c>
      <c r="AZ647" s="624">
        <v>39225</v>
      </c>
      <c r="BA647" s="355">
        <v>1.66E-2</v>
      </c>
      <c r="BB647" s="624">
        <v>39160</v>
      </c>
      <c r="BC647" s="355">
        <v>0.34389999999999998</v>
      </c>
      <c r="BD647" s="624">
        <v>39161</v>
      </c>
      <c r="BE647" s="355">
        <v>0.10624</v>
      </c>
      <c r="BF647" s="624">
        <v>39181</v>
      </c>
      <c r="BG647" s="355">
        <v>2.3317000000000001E-2</v>
      </c>
      <c r="BH647" s="624">
        <v>39160</v>
      </c>
      <c r="BI647" s="355">
        <v>0.108436</v>
      </c>
      <c r="BJ647" s="624">
        <v>39160</v>
      </c>
      <c r="BK647" s="355">
        <v>3.0419000000000002E-2</v>
      </c>
    </row>
    <row r="648" spans="3:63">
      <c r="C648" s="624"/>
      <c r="D648" s="355">
        <v>3.85E-2</v>
      </c>
      <c r="AV648" s="624"/>
      <c r="AX648" s="624">
        <v>39163</v>
      </c>
      <c r="AY648" s="355">
        <v>3.8440000000000002E-2</v>
      </c>
      <c r="AZ648" s="624">
        <v>39226</v>
      </c>
      <c r="BA648" s="355">
        <v>1.6400000000000001E-2</v>
      </c>
      <c r="BB648" s="624">
        <v>39161</v>
      </c>
      <c r="BC648" s="355">
        <v>0.34360000000000002</v>
      </c>
      <c r="BD648" s="624">
        <v>39162</v>
      </c>
      <c r="BE648" s="355">
        <v>0.10662000000000001</v>
      </c>
      <c r="BF648" s="624">
        <v>39182</v>
      </c>
      <c r="BG648" s="355">
        <v>2.3334000000000001E-2</v>
      </c>
      <c r="BH648" s="624">
        <v>39161</v>
      </c>
      <c r="BI648" s="355">
        <v>0.10929</v>
      </c>
      <c r="BJ648" s="624">
        <v>39161</v>
      </c>
      <c r="BK648" s="355">
        <v>3.0516000000000001E-2</v>
      </c>
    </row>
    <row r="649" spans="3:63">
      <c r="C649" s="624"/>
      <c r="D649" s="355">
        <v>3.8440000000000002E-2</v>
      </c>
      <c r="AV649" s="624"/>
      <c r="AX649" s="624">
        <v>39164</v>
      </c>
      <c r="AY649" s="355">
        <v>3.8379999999999997E-2</v>
      </c>
      <c r="AZ649" s="624">
        <v>39227</v>
      </c>
      <c r="BA649" s="355">
        <v>1.6500000000000001E-2</v>
      </c>
      <c r="BB649" s="624">
        <v>39162</v>
      </c>
      <c r="BC649" s="355">
        <v>0.34660000000000002</v>
      </c>
      <c r="BD649" s="624">
        <v>39163</v>
      </c>
      <c r="BE649" s="355">
        <v>0.10662000000000001</v>
      </c>
      <c r="BF649" s="624">
        <v>39183</v>
      </c>
      <c r="BG649" s="355">
        <v>2.333E-2</v>
      </c>
      <c r="BH649" s="624">
        <v>39162</v>
      </c>
      <c r="BI649" s="355">
        <v>0.10950500000000001</v>
      </c>
      <c r="BJ649" s="624">
        <v>39162</v>
      </c>
      <c r="BK649" s="355">
        <v>3.1168000000000001E-2</v>
      </c>
    </row>
    <row r="650" spans="3:63">
      <c r="C650" s="624"/>
      <c r="D650" s="355">
        <v>3.8379999999999997E-2</v>
      </c>
      <c r="AV650" s="624"/>
      <c r="AX650" s="624">
        <v>39167</v>
      </c>
      <c r="AY650" s="355">
        <v>3.8440000000000002E-2</v>
      </c>
      <c r="AZ650" s="624">
        <v>39231</v>
      </c>
      <c r="BA650" s="355">
        <v>1.66E-2</v>
      </c>
      <c r="BB650" s="624">
        <v>39163</v>
      </c>
      <c r="BC650" s="355">
        <v>0.34439999999999998</v>
      </c>
      <c r="BD650" s="624">
        <v>39164</v>
      </c>
      <c r="BE650" s="355">
        <v>0.1066</v>
      </c>
      <c r="BF650" s="624">
        <v>39184</v>
      </c>
      <c r="BG650" s="355">
        <v>2.3354E-2</v>
      </c>
      <c r="BH650" s="624">
        <v>39163</v>
      </c>
      <c r="BI650" s="355">
        <v>0.10983</v>
      </c>
      <c r="BJ650" s="624">
        <v>39163</v>
      </c>
      <c r="BK650" s="355">
        <v>3.1260000000000003E-2</v>
      </c>
    </row>
    <row r="651" spans="3:63">
      <c r="C651" s="624"/>
      <c r="D651" s="355">
        <v>3.8440000000000002E-2</v>
      </c>
      <c r="AV651" s="624"/>
      <c r="AX651" s="624">
        <v>39168</v>
      </c>
      <c r="AY651" s="355">
        <v>3.8460000000000001E-2</v>
      </c>
      <c r="AZ651" s="624">
        <v>39232</v>
      </c>
      <c r="BA651" s="355">
        <v>1.6500000000000001E-2</v>
      </c>
      <c r="BB651" s="624">
        <v>39164</v>
      </c>
      <c r="BC651" s="355">
        <v>0.34329999999999999</v>
      </c>
      <c r="BD651" s="624">
        <v>39167</v>
      </c>
      <c r="BE651" s="355">
        <v>0.10659</v>
      </c>
      <c r="BF651" s="624">
        <v>39185</v>
      </c>
      <c r="BG651" s="355">
        <v>2.3524E-2</v>
      </c>
      <c r="BH651" s="624">
        <v>39164</v>
      </c>
      <c r="BI651" s="355">
        <v>0.10983</v>
      </c>
      <c r="BJ651" s="624">
        <v>39164</v>
      </c>
      <c r="BK651" s="355">
        <v>3.1363000000000002E-2</v>
      </c>
    </row>
    <row r="652" spans="3:63">
      <c r="C652" s="624"/>
      <c r="D652" s="355">
        <v>3.8460000000000001E-2</v>
      </c>
      <c r="AV652" s="624"/>
      <c r="AX652" s="624">
        <v>39169</v>
      </c>
      <c r="AY652" s="355">
        <v>3.8420000000000003E-2</v>
      </c>
      <c r="AZ652" s="624">
        <v>39233</v>
      </c>
      <c r="BA652" s="355">
        <v>1.66E-2</v>
      </c>
      <c r="BB652" s="624">
        <v>39167</v>
      </c>
      <c r="BC652" s="355">
        <v>0.34439999999999998</v>
      </c>
      <c r="BD652" s="624">
        <v>39168</v>
      </c>
      <c r="BE652" s="355">
        <v>0.10628</v>
      </c>
      <c r="BF652" s="624">
        <v>39188</v>
      </c>
      <c r="BG652" s="355">
        <v>2.3861E-2</v>
      </c>
      <c r="BH652" s="624">
        <v>39167</v>
      </c>
      <c r="BI652" s="355">
        <v>0.10986600000000001</v>
      </c>
      <c r="BJ652" s="624">
        <v>39167</v>
      </c>
      <c r="BK652" s="355">
        <v>3.0474000000000001E-2</v>
      </c>
    </row>
    <row r="653" spans="3:63">
      <c r="C653" s="624"/>
      <c r="D653" s="355">
        <v>3.8420000000000003E-2</v>
      </c>
      <c r="AV653" s="624"/>
      <c r="AX653" s="624">
        <v>39170</v>
      </c>
      <c r="AY653" s="355">
        <v>3.8449999999999998E-2</v>
      </c>
      <c r="AZ653" s="624">
        <v>39234</v>
      </c>
      <c r="BA653" s="355">
        <v>1.66E-2</v>
      </c>
      <c r="BB653" s="624">
        <v>39168</v>
      </c>
      <c r="BC653" s="355">
        <v>0.34489999999999998</v>
      </c>
      <c r="BD653" s="624">
        <v>39169</v>
      </c>
      <c r="BE653" s="355">
        <v>0.10637000000000001</v>
      </c>
      <c r="BF653" s="624">
        <v>39189</v>
      </c>
      <c r="BG653" s="355">
        <v>2.3814999999999999E-2</v>
      </c>
      <c r="BH653" s="624">
        <v>39168</v>
      </c>
      <c r="BI653" s="355">
        <v>0.10958900000000001</v>
      </c>
      <c r="BJ653" s="624">
        <v>39168</v>
      </c>
      <c r="BK653" s="355">
        <v>3.1123999999999999E-2</v>
      </c>
    </row>
    <row r="654" spans="3:63">
      <c r="C654" s="624"/>
      <c r="D654" s="355">
        <v>3.8449999999999998E-2</v>
      </c>
      <c r="AV654" s="624"/>
      <c r="AX654" s="624">
        <v>39171</v>
      </c>
      <c r="AY654" s="355">
        <v>3.848E-2</v>
      </c>
      <c r="AZ654" s="624">
        <v>39237</v>
      </c>
      <c r="BA654" s="355">
        <v>1.67E-2</v>
      </c>
      <c r="BB654" s="624">
        <v>39169</v>
      </c>
      <c r="BC654" s="355">
        <v>0.34289999999999998</v>
      </c>
      <c r="BD654" s="624">
        <v>39170</v>
      </c>
      <c r="BE654" s="355">
        <v>0.10632999999999999</v>
      </c>
      <c r="BF654" s="624">
        <v>39190</v>
      </c>
      <c r="BG654" s="355">
        <v>2.3803999999999999E-2</v>
      </c>
      <c r="BH654" s="624">
        <v>39169</v>
      </c>
      <c r="BI654" s="355">
        <v>0.10899200000000001</v>
      </c>
      <c r="BJ654" s="624">
        <v>39169</v>
      </c>
      <c r="BK654" s="355">
        <v>3.0998000000000001E-2</v>
      </c>
    </row>
    <row r="655" spans="3:63">
      <c r="C655" s="624"/>
      <c r="D655" s="355">
        <v>3.848E-2</v>
      </c>
      <c r="AV655" s="624"/>
      <c r="AX655" s="624">
        <v>39174</v>
      </c>
      <c r="AY655" s="355">
        <v>3.848E-2</v>
      </c>
      <c r="AZ655" s="624">
        <v>39238</v>
      </c>
      <c r="BA655" s="355">
        <v>1.66E-2</v>
      </c>
      <c r="BB655" s="624">
        <v>39170</v>
      </c>
      <c r="BC655" s="355">
        <v>0.34439999999999998</v>
      </c>
      <c r="BD655" s="624">
        <v>39171</v>
      </c>
      <c r="BE655" s="355">
        <v>0.1062</v>
      </c>
      <c r="BF655" s="624">
        <v>39191</v>
      </c>
      <c r="BG655" s="355">
        <v>2.3767E-2</v>
      </c>
      <c r="BH655" s="624">
        <v>39170</v>
      </c>
      <c r="BI655" s="355">
        <v>0.109595</v>
      </c>
      <c r="BJ655" s="624">
        <v>39170</v>
      </c>
      <c r="BK655" s="355">
        <v>3.0925999999999999E-2</v>
      </c>
    </row>
    <row r="656" spans="3:63">
      <c r="C656" s="624"/>
      <c r="D656" s="355">
        <v>3.848E-2</v>
      </c>
      <c r="AV656" s="624"/>
      <c r="AX656" s="624">
        <v>39175</v>
      </c>
      <c r="AY656" s="355">
        <v>3.8440000000000002E-2</v>
      </c>
      <c r="AZ656" s="624">
        <v>39239</v>
      </c>
      <c r="BA656" s="355">
        <v>1.6500000000000001E-2</v>
      </c>
      <c r="BB656" s="624">
        <v>39171</v>
      </c>
      <c r="BC656" s="355">
        <v>0.34539999999999998</v>
      </c>
      <c r="BD656" s="624">
        <v>39174</v>
      </c>
      <c r="BE656" s="355">
        <v>0.10668999999999999</v>
      </c>
      <c r="BF656" s="624">
        <v>39192</v>
      </c>
      <c r="BG656" s="355">
        <v>2.3911000000000002E-2</v>
      </c>
      <c r="BH656" s="624">
        <v>39171</v>
      </c>
      <c r="BI656" s="355">
        <v>0.109637</v>
      </c>
      <c r="BJ656" s="624">
        <v>39171</v>
      </c>
      <c r="BK656" s="355">
        <v>3.0787999999999999E-2</v>
      </c>
    </row>
    <row r="657" spans="3:63">
      <c r="C657" s="624"/>
      <c r="D657" s="355">
        <v>3.8440000000000002E-2</v>
      </c>
      <c r="AV657" s="624"/>
      <c r="AX657" s="624">
        <v>39176</v>
      </c>
      <c r="AY657" s="355">
        <v>3.8490000000000003E-2</v>
      </c>
      <c r="AZ657" s="624">
        <v>39240</v>
      </c>
      <c r="BA657" s="355">
        <v>1.6400000000000001E-2</v>
      </c>
      <c r="BB657" s="624">
        <v>39174</v>
      </c>
      <c r="BC657" s="355">
        <v>0.34660000000000002</v>
      </c>
      <c r="BD657" s="624">
        <v>39175</v>
      </c>
      <c r="BE657" s="355">
        <v>0.10677</v>
      </c>
      <c r="BF657" s="624">
        <v>39195</v>
      </c>
      <c r="BG657" s="355">
        <v>2.4001999999999999E-2</v>
      </c>
      <c r="BH657" s="624">
        <v>39174</v>
      </c>
      <c r="BI657" s="355">
        <v>0.109649</v>
      </c>
      <c r="BJ657" s="624">
        <v>39174</v>
      </c>
      <c r="BK657" s="355">
        <v>3.0884000000000002E-2</v>
      </c>
    </row>
    <row r="658" spans="3:63">
      <c r="C658" s="624"/>
      <c r="D658" s="355">
        <v>3.8490000000000003E-2</v>
      </c>
      <c r="AV658" s="624"/>
      <c r="AX658" s="624">
        <v>39177</v>
      </c>
      <c r="AY658" s="355">
        <v>3.8589999999999999E-2</v>
      </c>
      <c r="AZ658" s="624">
        <v>39241</v>
      </c>
      <c r="BA658" s="355">
        <v>1.6400000000000001E-2</v>
      </c>
      <c r="BB658" s="624">
        <v>39175</v>
      </c>
      <c r="BC658" s="355">
        <v>0.34660000000000002</v>
      </c>
      <c r="BD658" s="624">
        <v>39176</v>
      </c>
      <c r="BE658" s="355">
        <v>0.10680000000000001</v>
      </c>
      <c r="BF658" s="624">
        <v>39196</v>
      </c>
      <c r="BG658" s="355">
        <v>2.4306999999999999E-2</v>
      </c>
      <c r="BH658" s="624">
        <v>39175</v>
      </c>
      <c r="BI658" s="355">
        <v>0.110011</v>
      </c>
      <c r="BJ658" s="624">
        <v>39175</v>
      </c>
      <c r="BK658" s="355">
        <v>3.0627999999999999E-2</v>
      </c>
    </row>
    <row r="659" spans="3:63">
      <c r="C659" s="624"/>
      <c r="D659" s="355">
        <v>3.8589999999999999E-2</v>
      </c>
      <c r="AV659" s="624"/>
      <c r="AX659" s="624">
        <v>39178</v>
      </c>
      <c r="AY659" s="355">
        <v>3.8519999999999999E-2</v>
      </c>
      <c r="AZ659" s="624">
        <v>39244</v>
      </c>
      <c r="BA659" s="355">
        <v>1.6400000000000001E-2</v>
      </c>
      <c r="BB659" s="624">
        <v>39176</v>
      </c>
      <c r="BC659" s="355">
        <v>0.34760000000000002</v>
      </c>
      <c r="BD659" s="624">
        <v>39177</v>
      </c>
      <c r="BE659" s="355">
        <v>0.10718999999999999</v>
      </c>
      <c r="BF659" s="624">
        <v>39197</v>
      </c>
      <c r="BG659" s="355">
        <v>2.4410999999999999E-2</v>
      </c>
      <c r="BH659" s="624">
        <v>39176</v>
      </c>
      <c r="BI659" s="355">
        <v>0.109637</v>
      </c>
      <c r="BJ659" s="624">
        <v>39176</v>
      </c>
      <c r="BK659" s="355">
        <v>3.0693999999999999E-2</v>
      </c>
    </row>
    <row r="660" spans="3:63">
      <c r="C660" s="624"/>
      <c r="D660" s="355">
        <v>3.8519999999999999E-2</v>
      </c>
      <c r="AV660" s="624"/>
      <c r="AX660" s="624">
        <v>39181</v>
      </c>
      <c r="AY660" s="355">
        <v>3.848E-2</v>
      </c>
      <c r="AZ660" s="624">
        <v>39245</v>
      </c>
      <c r="BA660" s="355">
        <v>1.6299999999999999E-2</v>
      </c>
      <c r="BB660" s="624">
        <v>39177</v>
      </c>
      <c r="BC660" s="355">
        <v>0.35</v>
      </c>
      <c r="BD660" s="624">
        <v>39178</v>
      </c>
      <c r="BE660" s="355">
        <v>0.1072</v>
      </c>
      <c r="BF660" s="624">
        <v>39198</v>
      </c>
      <c r="BG660" s="355">
        <v>2.4447E-2</v>
      </c>
      <c r="BH660" s="624">
        <v>39177</v>
      </c>
      <c r="BI660" s="355">
        <v>0.10995099999999999</v>
      </c>
      <c r="BJ660" s="624">
        <v>39177</v>
      </c>
      <c r="BK660" s="355">
        <v>3.0821000000000001E-2</v>
      </c>
    </row>
    <row r="661" spans="3:63">
      <c r="C661" s="624"/>
      <c r="D661" s="355">
        <v>3.848E-2</v>
      </c>
      <c r="AV661" s="624"/>
      <c r="AX661" s="624">
        <v>39182</v>
      </c>
      <c r="AY661" s="355">
        <v>3.8609999999999998E-2</v>
      </c>
      <c r="AZ661" s="624">
        <v>39246</v>
      </c>
      <c r="BA661" s="355">
        <v>1.6299999999999999E-2</v>
      </c>
      <c r="BB661" s="624">
        <v>39178</v>
      </c>
      <c r="BC661" s="355">
        <v>0.34839999999999999</v>
      </c>
      <c r="BD661" s="624">
        <v>39181</v>
      </c>
      <c r="BE661" s="355">
        <v>0.10717</v>
      </c>
      <c r="BF661" s="624">
        <v>39199</v>
      </c>
      <c r="BG661" s="355">
        <v>2.4334000000000001E-2</v>
      </c>
      <c r="BH661" s="624">
        <v>39178</v>
      </c>
      <c r="BI661" s="355">
        <v>0.10976900000000001</v>
      </c>
      <c r="BJ661" s="624">
        <v>39178</v>
      </c>
      <c r="BK661" s="355">
        <v>3.0751000000000001E-2</v>
      </c>
    </row>
    <row r="662" spans="3:63">
      <c r="C662" s="624"/>
      <c r="D662" s="355">
        <v>3.8609999999999998E-2</v>
      </c>
      <c r="AV662" s="624"/>
      <c r="AX662" s="624">
        <v>39183</v>
      </c>
      <c r="AY662" s="355">
        <v>3.857E-2</v>
      </c>
      <c r="AZ662" s="624">
        <v>39247</v>
      </c>
      <c r="BA662" s="355">
        <v>1.6299999999999999E-2</v>
      </c>
      <c r="BB662" s="624">
        <v>39181</v>
      </c>
      <c r="BC662" s="355">
        <v>0.34810000000000002</v>
      </c>
      <c r="BD662" s="624">
        <v>39182</v>
      </c>
      <c r="BE662" s="355">
        <v>0.10707999999999999</v>
      </c>
      <c r="BF662" s="624">
        <v>39202</v>
      </c>
      <c r="BG662" s="355">
        <v>2.4278000000000001E-2</v>
      </c>
      <c r="BH662" s="624">
        <v>39181</v>
      </c>
      <c r="BI662" s="355">
        <v>0.109981</v>
      </c>
      <c r="BJ662" s="624">
        <v>39181</v>
      </c>
      <c r="BK662" s="355">
        <v>3.0865E-2</v>
      </c>
    </row>
    <row r="663" spans="3:63">
      <c r="C663" s="624"/>
      <c r="D663" s="355">
        <v>3.857E-2</v>
      </c>
      <c r="AV663" s="624"/>
      <c r="AX663" s="624">
        <v>39184</v>
      </c>
      <c r="AY663" s="355">
        <v>3.8679999999999999E-2</v>
      </c>
      <c r="AZ663" s="624">
        <v>39248</v>
      </c>
      <c r="BA663" s="355">
        <v>1.6400000000000001E-2</v>
      </c>
      <c r="BB663" s="624">
        <v>39182</v>
      </c>
      <c r="BC663" s="355">
        <v>0.35060000000000002</v>
      </c>
      <c r="BD663" s="624">
        <v>39183</v>
      </c>
      <c r="BE663" s="355">
        <v>0.10717</v>
      </c>
      <c r="BF663" s="624">
        <v>39205</v>
      </c>
      <c r="BG663" s="355">
        <v>2.4317999999999999E-2</v>
      </c>
      <c r="BH663" s="624">
        <v>39182</v>
      </c>
      <c r="BI663" s="355">
        <v>0.109878</v>
      </c>
      <c r="BJ663" s="624">
        <v>39182</v>
      </c>
      <c r="BK663" s="355">
        <v>3.0637999999999999E-2</v>
      </c>
    </row>
    <row r="664" spans="3:63">
      <c r="C664" s="624"/>
      <c r="D664" s="355">
        <v>3.8679999999999999E-2</v>
      </c>
      <c r="AV664" s="624"/>
      <c r="AX664" s="624">
        <v>39185</v>
      </c>
      <c r="AY664" s="355">
        <v>3.875E-2</v>
      </c>
      <c r="AZ664" s="624">
        <v>39251</v>
      </c>
      <c r="BA664" s="355">
        <v>1.6400000000000001E-2</v>
      </c>
      <c r="BB664" s="624">
        <v>39183</v>
      </c>
      <c r="BC664" s="355">
        <v>0.35060000000000002</v>
      </c>
      <c r="BD664" s="624">
        <v>39184</v>
      </c>
      <c r="BE664" s="355">
        <v>0.10728</v>
      </c>
      <c r="BF664" s="624">
        <v>39206</v>
      </c>
      <c r="BG664" s="355">
        <v>2.4451000000000001E-2</v>
      </c>
      <c r="BH664" s="624">
        <v>39183</v>
      </c>
      <c r="BI664" s="355">
        <v>0.10995099999999999</v>
      </c>
      <c r="BJ664" s="624">
        <v>39183</v>
      </c>
      <c r="BK664" s="355">
        <v>3.0865E-2</v>
      </c>
    </row>
    <row r="665" spans="3:63">
      <c r="C665" s="624"/>
      <c r="D665" s="355">
        <v>3.875E-2</v>
      </c>
      <c r="AV665" s="624"/>
      <c r="AX665" s="624">
        <v>39188</v>
      </c>
      <c r="AY665" s="355">
        <v>3.875E-2</v>
      </c>
      <c r="AZ665" s="624">
        <v>39252</v>
      </c>
      <c r="BA665" s="355">
        <v>1.6400000000000001E-2</v>
      </c>
      <c r="BB665" s="624">
        <v>39184</v>
      </c>
      <c r="BC665" s="355">
        <v>0.35139999999999999</v>
      </c>
      <c r="BD665" s="624">
        <v>39185</v>
      </c>
      <c r="BE665" s="355">
        <v>0.1076</v>
      </c>
      <c r="BF665" s="624">
        <v>39209</v>
      </c>
      <c r="BG665" s="355">
        <v>2.4468E-2</v>
      </c>
      <c r="BH665" s="624">
        <v>39184</v>
      </c>
      <c r="BI665" s="355">
        <v>0.109721</v>
      </c>
      <c r="BJ665" s="624">
        <v>39184</v>
      </c>
      <c r="BK665" s="355">
        <v>3.0887999999999999E-2</v>
      </c>
    </row>
    <row r="666" spans="3:63">
      <c r="C666" s="624"/>
      <c r="D666" s="355">
        <v>3.875E-2</v>
      </c>
      <c r="AV666" s="624"/>
      <c r="AX666" s="624">
        <v>39189</v>
      </c>
      <c r="AY666" s="355">
        <v>3.8809999999999997E-2</v>
      </c>
      <c r="AZ666" s="624">
        <v>39253</v>
      </c>
      <c r="BA666" s="355">
        <v>1.6500000000000001E-2</v>
      </c>
      <c r="BB666" s="624">
        <v>39185</v>
      </c>
      <c r="BC666" s="355">
        <v>0.3538</v>
      </c>
      <c r="BD666" s="624">
        <v>39188</v>
      </c>
      <c r="BE666" s="355">
        <v>0.10734</v>
      </c>
      <c r="BF666" s="624">
        <v>39210</v>
      </c>
      <c r="BG666" s="355">
        <v>2.4486000000000001E-2</v>
      </c>
      <c r="BH666" s="624">
        <v>39185</v>
      </c>
      <c r="BI666" s="355">
        <v>0.110011</v>
      </c>
      <c r="BJ666" s="624">
        <v>39185</v>
      </c>
      <c r="BK666" s="355">
        <v>3.0613999999999999E-2</v>
      </c>
    </row>
    <row r="667" spans="3:63">
      <c r="C667" s="624"/>
      <c r="D667" s="355">
        <v>3.8809999999999997E-2</v>
      </c>
      <c r="AV667" s="624"/>
      <c r="AX667" s="624">
        <v>39190</v>
      </c>
      <c r="AY667" s="355">
        <v>3.8859999999999999E-2</v>
      </c>
      <c r="AZ667" s="624">
        <v>39254</v>
      </c>
      <c r="BA667" s="355">
        <v>1.6400000000000001E-2</v>
      </c>
      <c r="BB667" s="624">
        <v>39188</v>
      </c>
      <c r="BC667" s="355">
        <v>0.35470000000000002</v>
      </c>
      <c r="BD667" s="624">
        <v>39189</v>
      </c>
      <c r="BE667" s="355">
        <v>0.10763</v>
      </c>
      <c r="BF667" s="624">
        <v>39211</v>
      </c>
      <c r="BG667" s="355">
        <v>2.4486000000000001E-2</v>
      </c>
      <c r="BH667" s="624">
        <v>39188</v>
      </c>
      <c r="BI667" s="355">
        <v>0.109987</v>
      </c>
      <c r="BJ667" s="624">
        <v>39188</v>
      </c>
      <c r="BK667" s="355">
        <v>3.0675000000000001E-2</v>
      </c>
    </row>
    <row r="668" spans="3:63">
      <c r="C668" s="624"/>
      <c r="D668" s="355">
        <v>3.8859999999999999E-2</v>
      </c>
      <c r="AV668" s="624"/>
      <c r="AX668" s="624">
        <v>39191</v>
      </c>
      <c r="AY668" s="355">
        <v>3.8859999999999999E-2</v>
      </c>
      <c r="AZ668" s="624">
        <v>39255</v>
      </c>
      <c r="BA668" s="355">
        <v>1.6500000000000001E-2</v>
      </c>
      <c r="BB668" s="624">
        <v>39189</v>
      </c>
      <c r="BC668" s="355">
        <v>0.35670000000000002</v>
      </c>
      <c r="BD668" s="624">
        <v>39190</v>
      </c>
      <c r="BE668" s="355">
        <v>0.10768999999999999</v>
      </c>
      <c r="BF668" s="624">
        <v>39212</v>
      </c>
      <c r="BG668" s="355">
        <v>2.4125000000000001E-2</v>
      </c>
      <c r="BH668" s="624">
        <v>39189</v>
      </c>
      <c r="BI668" s="355">
        <v>0.10989</v>
      </c>
      <c r="BJ668" s="624">
        <v>39189</v>
      </c>
      <c r="BK668" s="355">
        <v>3.0669999999999999E-2</v>
      </c>
    </row>
    <row r="669" spans="3:63">
      <c r="C669" s="624"/>
      <c r="D669" s="355">
        <v>3.8859999999999999E-2</v>
      </c>
      <c r="AV669" s="624"/>
      <c r="AX669" s="624">
        <v>39192</v>
      </c>
      <c r="AY669" s="355">
        <v>3.8830000000000003E-2</v>
      </c>
      <c r="AZ669" s="624">
        <v>39258</v>
      </c>
      <c r="BA669" s="355">
        <v>1.6799999999999999E-2</v>
      </c>
      <c r="BB669" s="624">
        <v>39190</v>
      </c>
      <c r="BC669" s="355">
        <v>0.35759999999999997</v>
      </c>
      <c r="BD669" s="624">
        <v>39191</v>
      </c>
      <c r="BE669" s="355">
        <v>0.10764</v>
      </c>
      <c r="BF669" s="624">
        <v>39213</v>
      </c>
      <c r="BG669" s="355">
        <v>2.4351999999999999E-2</v>
      </c>
      <c r="BH669" s="624">
        <v>39190</v>
      </c>
      <c r="BI669" s="355">
        <v>0.110059</v>
      </c>
      <c r="BJ669" s="624">
        <v>39190</v>
      </c>
      <c r="BK669" s="355">
        <v>3.0841E-2</v>
      </c>
    </row>
    <row r="670" spans="3:63">
      <c r="C670" s="624"/>
      <c r="D670" s="355">
        <v>3.8830000000000003E-2</v>
      </c>
      <c r="AV670" s="624"/>
      <c r="AX670" s="624">
        <v>39195</v>
      </c>
      <c r="AY670" s="355">
        <v>3.8809999999999997E-2</v>
      </c>
      <c r="AZ670" s="624">
        <v>39259</v>
      </c>
      <c r="BA670" s="355">
        <v>1.6899999999999998E-2</v>
      </c>
      <c r="BB670" s="624">
        <v>39191</v>
      </c>
      <c r="BC670" s="355">
        <v>0.35709999999999997</v>
      </c>
      <c r="BD670" s="624">
        <v>39192</v>
      </c>
      <c r="BE670" s="355">
        <v>0.10785</v>
      </c>
      <c r="BF670" s="624">
        <v>39216</v>
      </c>
      <c r="BG670" s="355">
        <v>2.4433E-2</v>
      </c>
      <c r="BH670" s="624">
        <v>39191</v>
      </c>
      <c r="BI670" s="355">
        <v>0.10985399999999999</v>
      </c>
      <c r="BJ670" s="624">
        <v>39191</v>
      </c>
      <c r="BK670" s="355">
        <v>3.0769000000000001E-2</v>
      </c>
    </row>
    <row r="671" spans="3:63">
      <c r="C671" s="624"/>
      <c r="D671" s="355">
        <v>3.8809999999999997E-2</v>
      </c>
      <c r="AV671" s="624"/>
      <c r="AX671" s="624">
        <v>39196</v>
      </c>
      <c r="AY671" s="355">
        <v>3.891E-2</v>
      </c>
      <c r="AZ671" s="624">
        <v>39260</v>
      </c>
      <c r="BA671" s="355">
        <v>1.6899999999999998E-2</v>
      </c>
      <c r="BB671" s="624">
        <v>39192</v>
      </c>
      <c r="BC671" s="355">
        <v>0.35920000000000002</v>
      </c>
      <c r="BD671" s="624">
        <v>39195</v>
      </c>
      <c r="BE671" s="355">
        <v>0.108</v>
      </c>
      <c r="BF671" s="624">
        <v>39217</v>
      </c>
      <c r="BG671" s="355">
        <v>2.4417000000000001E-2</v>
      </c>
      <c r="BH671" s="624">
        <v>39192</v>
      </c>
      <c r="BI671" s="355">
        <v>0.10995099999999999</v>
      </c>
      <c r="BJ671" s="624">
        <v>39192</v>
      </c>
      <c r="BK671" s="355">
        <v>3.0769000000000001E-2</v>
      </c>
    </row>
    <row r="672" spans="3:63">
      <c r="C672" s="624"/>
      <c r="D672" s="355">
        <v>3.891E-2</v>
      </c>
      <c r="AV672" s="624"/>
      <c r="AX672" s="624">
        <v>39197</v>
      </c>
      <c r="AY672" s="355">
        <v>3.891E-2</v>
      </c>
      <c r="AZ672" s="624">
        <v>39261</v>
      </c>
      <c r="BA672" s="355">
        <v>1.7100000000000001E-2</v>
      </c>
      <c r="BB672" s="624">
        <v>39195</v>
      </c>
      <c r="BC672" s="355">
        <v>0.35880000000000001</v>
      </c>
      <c r="BD672" s="624">
        <v>39196</v>
      </c>
      <c r="BE672" s="355">
        <v>0.10783</v>
      </c>
      <c r="BF672" s="624">
        <v>39218</v>
      </c>
      <c r="BG672" s="355">
        <v>2.4539999999999999E-2</v>
      </c>
      <c r="BH672" s="624">
        <v>39195</v>
      </c>
      <c r="BI672" s="355">
        <v>0.110023</v>
      </c>
      <c r="BJ672" s="624">
        <v>39195</v>
      </c>
      <c r="BK672" s="355">
        <v>3.0765000000000001E-2</v>
      </c>
    </row>
    <row r="673" spans="3:63">
      <c r="C673" s="624"/>
      <c r="D673" s="355">
        <v>3.891E-2</v>
      </c>
      <c r="AV673" s="624"/>
      <c r="AX673" s="624">
        <v>39198</v>
      </c>
      <c r="AY673" s="355">
        <v>3.8859999999999999E-2</v>
      </c>
      <c r="AZ673" s="624">
        <v>39262</v>
      </c>
      <c r="BA673" s="355">
        <v>1.72E-2</v>
      </c>
      <c r="BB673" s="624">
        <v>39196</v>
      </c>
      <c r="BC673" s="355">
        <v>0.36059999999999998</v>
      </c>
      <c r="BD673" s="624">
        <v>39197</v>
      </c>
      <c r="BE673" s="355">
        <v>0.10783</v>
      </c>
      <c r="BF673" s="624">
        <v>39219</v>
      </c>
      <c r="BG673" s="355">
        <v>2.4473999999999999E-2</v>
      </c>
      <c r="BH673" s="624">
        <v>39196</v>
      </c>
      <c r="BI673" s="355">
        <v>0.11003499999999999</v>
      </c>
      <c r="BJ673" s="624">
        <v>39196</v>
      </c>
      <c r="BK673" s="355">
        <v>3.0675000000000001E-2</v>
      </c>
    </row>
    <row r="674" spans="3:63">
      <c r="C674" s="624"/>
      <c r="D674" s="355">
        <v>3.8859999999999999E-2</v>
      </c>
      <c r="AV674" s="624"/>
      <c r="AX674" s="624">
        <v>39199</v>
      </c>
      <c r="AY674" s="355">
        <v>3.8929999999999999E-2</v>
      </c>
      <c r="AZ674" s="624">
        <v>39265</v>
      </c>
      <c r="BA674" s="355">
        <v>1.7100000000000001E-2</v>
      </c>
      <c r="BB674" s="624">
        <v>39197</v>
      </c>
      <c r="BC674" s="355">
        <v>0.3614</v>
      </c>
      <c r="BD674" s="624">
        <v>39198</v>
      </c>
      <c r="BE674" s="355">
        <v>0.10765</v>
      </c>
      <c r="BF674" s="624">
        <v>39220</v>
      </c>
      <c r="BG674" s="355">
        <v>2.4566999999999999E-2</v>
      </c>
      <c r="BH674" s="624">
        <v>39197</v>
      </c>
      <c r="BI674" s="355">
        <v>0.110072</v>
      </c>
      <c r="BJ674" s="624">
        <v>39197</v>
      </c>
      <c r="BK674" s="355">
        <v>3.0946000000000001E-2</v>
      </c>
    </row>
    <row r="675" spans="3:63">
      <c r="C675" s="624"/>
      <c r="D675" s="355">
        <v>3.8929999999999999E-2</v>
      </c>
      <c r="AV675" s="624"/>
      <c r="AX675" s="624">
        <v>39202</v>
      </c>
      <c r="AY675" s="355">
        <v>3.8920000000000003E-2</v>
      </c>
      <c r="AZ675" s="624">
        <v>39266</v>
      </c>
      <c r="BA675" s="355">
        <v>1.6899999999999998E-2</v>
      </c>
      <c r="BB675" s="624">
        <v>39198</v>
      </c>
      <c r="BC675" s="355">
        <v>0.36020000000000002</v>
      </c>
      <c r="BD675" s="624">
        <v>39199</v>
      </c>
      <c r="BE675" s="355">
        <v>0.10758</v>
      </c>
      <c r="BF675" s="624">
        <v>39223</v>
      </c>
      <c r="BG675" s="355">
        <v>2.46E-2</v>
      </c>
      <c r="BH675" s="624">
        <v>39198</v>
      </c>
      <c r="BI675" s="355">
        <v>0.110138</v>
      </c>
      <c r="BJ675" s="624">
        <v>39198</v>
      </c>
      <c r="BK675" s="355">
        <v>3.0869000000000001E-2</v>
      </c>
    </row>
    <row r="676" spans="3:63">
      <c r="C676" s="624"/>
      <c r="D676" s="355">
        <v>3.8920000000000003E-2</v>
      </c>
      <c r="AV676" s="624"/>
      <c r="AX676" s="624">
        <v>39203</v>
      </c>
      <c r="AY676" s="355">
        <v>3.8850000000000003E-2</v>
      </c>
      <c r="AZ676" s="624">
        <v>39267</v>
      </c>
      <c r="BA676" s="355">
        <v>1.67E-2</v>
      </c>
      <c r="BB676" s="624">
        <v>39199</v>
      </c>
      <c r="BC676" s="355">
        <v>0.36199999999999999</v>
      </c>
      <c r="BD676" s="624">
        <v>39202</v>
      </c>
      <c r="BE676" s="355">
        <v>0.10738</v>
      </c>
      <c r="BF676" s="624">
        <v>39224</v>
      </c>
      <c r="BG676" s="355">
        <v>2.4639999999999999E-2</v>
      </c>
      <c r="BH676" s="624">
        <v>39199</v>
      </c>
      <c r="BI676" s="355">
        <v>0.110169</v>
      </c>
      <c r="BJ676" s="624">
        <v>39199</v>
      </c>
      <c r="BK676" s="355">
        <v>3.0440999999999999E-2</v>
      </c>
    </row>
    <row r="677" spans="3:63">
      <c r="C677" s="624"/>
      <c r="D677" s="355">
        <v>3.8850000000000003E-2</v>
      </c>
      <c r="AV677" s="624"/>
      <c r="AX677" s="624">
        <v>39204</v>
      </c>
      <c r="AY677" s="355">
        <v>3.884E-2</v>
      </c>
      <c r="AZ677" s="624">
        <v>39268</v>
      </c>
      <c r="BA677" s="355">
        <v>1.66E-2</v>
      </c>
      <c r="BB677" s="624">
        <v>39202</v>
      </c>
      <c r="BC677" s="355">
        <v>0.36020000000000002</v>
      </c>
      <c r="BD677" s="624">
        <v>39203</v>
      </c>
      <c r="BE677" s="355">
        <v>0.10742</v>
      </c>
      <c r="BF677" s="624">
        <v>39225</v>
      </c>
      <c r="BG677" s="355">
        <v>2.4653999999999999E-2</v>
      </c>
      <c r="BH677" s="624">
        <v>39202</v>
      </c>
      <c r="BI677" s="355">
        <v>0.110078</v>
      </c>
      <c r="BJ677" s="624">
        <v>39202</v>
      </c>
      <c r="BK677" s="355">
        <v>3.0483E-2</v>
      </c>
    </row>
    <row r="678" spans="3:63">
      <c r="C678" s="624"/>
      <c r="D678" s="355">
        <v>3.884E-2</v>
      </c>
      <c r="AV678" s="624"/>
      <c r="AX678" s="624">
        <v>39205</v>
      </c>
      <c r="AY678" s="355">
        <v>3.8780000000000002E-2</v>
      </c>
      <c r="AZ678" s="624">
        <v>39269</v>
      </c>
      <c r="BA678" s="355">
        <v>1.66E-2</v>
      </c>
      <c r="BB678" s="624">
        <v>39203</v>
      </c>
      <c r="BC678" s="355">
        <v>0.35970000000000002</v>
      </c>
      <c r="BD678" s="624">
        <v>39204</v>
      </c>
      <c r="BE678" s="355">
        <v>0.10753</v>
      </c>
      <c r="BF678" s="624">
        <v>39226</v>
      </c>
      <c r="BG678" s="355">
        <v>2.4635000000000001E-2</v>
      </c>
      <c r="BH678" s="624">
        <v>39203</v>
      </c>
      <c r="BI678" s="355">
        <v>0.110217</v>
      </c>
      <c r="BJ678" s="624">
        <v>39203</v>
      </c>
      <c r="BK678" s="355">
        <v>3.0488999999999999E-2</v>
      </c>
    </row>
    <row r="679" spans="3:63">
      <c r="C679" s="624"/>
      <c r="D679" s="355">
        <v>3.8780000000000002E-2</v>
      </c>
      <c r="AV679" s="624"/>
      <c r="AX679" s="624">
        <v>39206</v>
      </c>
      <c r="AY679" s="355">
        <v>3.884E-2</v>
      </c>
      <c r="AZ679" s="624">
        <v>39272</v>
      </c>
      <c r="BA679" s="355">
        <v>1.67E-2</v>
      </c>
      <c r="BB679" s="624">
        <v>39204</v>
      </c>
      <c r="BC679" s="355">
        <v>0.3614</v>
      </c>
      <c r="BD679" s="624">
        <v>39205</v>
      </c>
      <c r="BE679" s="355">
        <v>0.10782</v>
      </c>
      <c r="BF679" s="624">
        <v>39227</v>
      </c>
      <c r="BG679" s="355">
        <v>2.4641E-2</v>
      </c>
      <c r="BH679" s="624">
        <v>39204</v>
      </c>
      <c r="BI679" s="355">
        <v>0.11022899999999999</v>
      </c>
      <c r="BJ679" s="624">
        <v>39204</v>
      </c>
      <c r="BK679" s="355">
        <v>3.0623000000000001E-2</v>
      </c>
    </row>
    <row r="680" spans="3:63">
      <c r="C680" s="624"/>
      <c r="D680" s="355">
        <v>3.884E-2</v>
      </c>
      <c r="AV680" s="624"/>
      <c r="AX680" s="624">
        <v>39209</v>
      </c>
      <c r="AY680" s="355">
        <v>3.8859999999999999E-2</v>
      </c>
      <c r="AZ680" s="624">
        <v>39273</v>
      </c>
      <c r="BA680" s="355">
        <v>1.6799999999999999E-2</v>
      </c>
      <c r="BB680" s="624">
        <v>39205</v>
      </c>
      <c r="BC680" s="355">
        <v>0.36109999999999998</v>
      </c>
      <c r="BD680" s="624">
        <v>39206</v>
      </c>
      <c r="BE680" s="355">
        <v>0.10785</v>
      </c>
      <c r="BF680" s="624">
        <v>39230</v>
      </c>
      <c r="BG680" s="355">
        <v>2.4681999999999999E-2</v>
      </c>
      <c r="BH680" s="624">
        <v>39205</v>
      </c>
      <c r="BI680" s="355">
        <v>0.110583</v>
      </c>
      <c r="BJ680" s="624">
        <v>39205</v>
      </c>
      <c r="BK680" s="355">
        <v>3.0443000000000001E-2</v>
      </c>
    </row>
    <row r="681" spans="3:63">
      <c r="C681" s="624"/>
      <c r="D681" s="355">
        <v>3.8859999999999999E-2</v>
      </c>
      <c r="AV681" s="624"/>
      <c r="AX681" s="624">
        <v>39210</v>
      </c>
      <c r="AY681" s="355">
        <v>3.8769999999999999E-2</v>
      </c>
      <c r="AZ681" s="624">
        <v>39274</v>
      </c>
      <c r="BA681" s="355">
        <v>1.6899999999999998E-2</v>
      </c>
      <c r="BB681" s="624">
        <v>39206</v>
      </c>
      <c r="BC681" s="355">
        <v>0.36309999999999998</v>
      </c>
      <c r="BD681" s="624">
        <v>39209</v>
      </c>
      <c r="BE681" s="355">
        <v>0.1084</v>
      </c>
      <c r="BF681" s="624">
        <v>39231</v>
      </c>
      <c r="BG681" s="355">
        <v>2.4671999999999999E-2</v>
      </c>
      <c r="BH681" s="624">
        <v>39206</v>
      </c>
      <c r="BI681" s="355">
        <v>0.111483</v>
      </c>
      <c r="BJ681" s="624">
        <v>39206</v>
      </c>
      <c r="BK681" s="355">
        <v>3.0655999999999999E-2</v>
      </c>
    </row>
    <row r="682" spans="3:63">
      <c r="C682" s="624"/>
      <c r="D682" s="355">
        <v>3.8769999999999999E-2</v>
      </c>
      <c r="AV682" s="624"/>
      <c r="AX682" s="624">
        <v>39211</v>
      </c>
      <c r="AY682" s="355">
        <v>3.8730000000000001E-2</v>
      </c>
      <c r="AZ682" s="624">
        <v>39275</v>
      </c>
      <c r="BA682" s="355">
        <v>1.6899999999999998E-2</v>
      </c>
      <c r="BB682" s="624">
        <v>39209</v>
      </c>
      <c r="BC682" s="355">
        <v>0.36259999999999998</v>
      </c>
      <c r="BD682" s="624">
        <v>39210</v>
      </c>
      <c r="BE682" s="355">
        <v>0.10811999999999999</v>
      </c>
      <c r="BF682" s="624">
        <v>39232</v>
      </c>
      <c r="BG682" s="355">
        <v>2.4479999999999998E-2</v>
      </c>
      <c r="BH682" s="624">
        <v>39209</v>
      </c>
      <c r="BI682" s="355">
        <v>0.112486</v>
      </c>
      <c r="BJ682" s="624">
        <v>39209</v>
      </c>
      <c r="BK682" s="355">
        <v>3.0627999999999999E-2</v>
      </c>
    </row>
    <row r="683" spans="3:63">
      <c r="C683" s="624"/>
      <c r="D683" s="355">
        <v>3.8730000000000001E-2</v>
      </c>
      <c r="AV683" s="624"/>
      <c r="AX683" s="624">
        <v>39212</v>
      </c>
      <c r="AY683" s="355">
        <v>3.8679999999999999E-2</v>
      </c>
      <c r="AZ683" s="624">
        <v>39276</v>
      </c>
      <c r="BA683" s="355">
        <v>1.6899999999999998E-2</v>
      </c>
      <c r="BB683" s="624">
        <v>39210</v>
      </c>
      <c r="BC683" s="355">
        <v>0.36080000000000001</v>
      </c>
      <c r="BD683" s="624">
        <v>39211</v>
      </c>
      <c r="BE683" s="355">
        <v>0.10821</v>
      </c>
      <c r="BF683" s="624">
        <v>39233</v>
      </c>
      <c r="BG683" s="355">
        <v>2.4618000000000001E-2</v>
      </c>
      <c r="BH683" s="624">
        <v>39210</v>
      </c>
      <c r="BI683" s="355">
        <v>0.112524</v>
      </c>
      <c r="BJ683" s="624">
        <v>39210</v>
      </c>
      <c r="BK683" s="355">
        <v>3.0630000000000001E-2</v>
      </c>
    </row>
    <row r="684" spans="3:63">
      <c r="C684" s="624"/>
      <c r="D684" s="355">
        <v>3.8679999999999999E-2</v>
      </c>
      <c r="AV684" s="624"/>
      <c r="AX684" s="624">
        <v>39213</v>
      </c>
      <c r="AY684" s="355">
        <v>3.8730000000000001E-2</v>
      </c>
      <c r="AZ684" s="624">
        <v>39279</v>
      </c>
      <c r="BA684" s="355">
        <v>1.7000000000000001E-2</v>
      </c>
      <c r="BB684" s="624">
        <v>39211</v>
      </c>
      <c r="BC684" s="355">
        <v>0.36149999999999999</v>
      </c>
      <c r="BD684" s="624">
        <v>39212</v>
      </c>
      <c r="BE684" s="355">
        <v>0.10797</v>
      </c>
      <c r="BF684" s="624">
        <v>39234</v>
      </c>
      <c r="BG684" s="355">
        <v>2.4669E-2</v>
      </c>
      <c r="BH684" s="624">
        <v>39211</v>
      </c>
      <c r="BI684" s="355">
        <v>0.113314</v>
      </c>
      <c r="BJ684" s="624">
        <v>39211</v>
      </c>
      <c r="BK684" s="355">
        <v>3.0521E-2</v>
      </c>
    </row>
    <row r="685" spans="3:63">
      <c r="C685" s="624"/>
      <c r="D685" s="355">
        <v>3.8730000000000001E-2</v>
      </c>
      <c r="AV685" s="624"/>
      <c r="AX685" s="624">
        <v>39216</v>
      </c>
      <c r="AY685" s="355">
        <v>3.8769999999999999E-2</v>
      </c>
      <c r="AZ685" s="624">
        <v>39280</v>
      </c>
      <c r="BA685" s="355">
        <v>1.72E-2</v>
      </c>
      <c r="BB685" s="624">
        <v>39212</v>
      </c>
      <c r="BC685" s="355">
        <v>0.3574</v>
      </c>
      <c r="BD685" s="624">
        <v>39213</v>
      </c>
      <c r="BE685" s="355">
        <v>0.1079</v>
      </c>
      <c r="BF685" s="624">
        <v>39237</v>
      </c>
      <c r="BG685" s="355">
        <v>2.4677999999999999E-2</v>
      </c>
      <c r="BH685" s="624">
        <v>39212</v>
      </c>
      <c r="BI685" s="355">
        <v>0.112931</v>
      </c>
      <c r="BJ685" s="624">
        <v>39212</v>
      </c>
      <c r="BK685" s="355">
        <v>3.0741000000000001E-2</v>
      </c>
    </row>
    <row r="686" spans="3:63">
      <c r="C686" s="624"/>
      <c r="D686" s="355">
        <v>3.8769999999999999E-2</v>
      </c>
      <c r="AV686" s="624"/>
      <c r="AX686" s="624">
        <v>39217</v>
      </c>
      <c r="AY686" s="355">
        <v>3.8830000000000003E-2</v>
      </c>
      <c r="AZ686" s="624">
        <v>39281</v>
      </c>
      <c r="BA686" s="355">
        <v>1.7299999999999999E-2</v>
      </c>
      <c r="BB686" s="624">
        <v>39213</v>
      </c>
      <c r="BC686" s="355">
        <v>0.35949999999999999</v>
      </c>
      <c r="BD686" s="624">
        <v>39216</v>
      </c>
      <c r="BE686" s="355">
        <v>0.10825</v>
      </c>
      <c r="BF686" s="624">
        <v>39238</v>
      </c>
      <c r="BG686" s="355">
        <v>2.4674000000000001E-2</v>
      </c>
      <c r="BH686" s="624">
        <v>39213</v>
      </c>
      <c r="BI686" s="355">
        <v>0.11274000000000001</v>
      </c>
      <c r="BJ686" s="624">
        <v>39213</v>
      </c>
      <c r="BK686" s="355">
        <v>3.0372E-2</v>
      </c>
    </row>
    <row r="687" spans="3:63">
      <c r="C687" s="624"/>
      <c r="D687" s="355">
        <v>3.8830000000000003E-2</v>
      </c>
      <c r="AV687" s="624"/>
      <c r="AX687" s="624">
        <v>39218</v>
      </c>
      <c r="AY687" s="355">
        <v>3.8730000000000001E-2</v>
      </c>
      <c r="AZ687" s="624">
        <v>39282</v>
      </c>
      <c r="BA687" s="355">
        <v>1.7100000000000001E-2</v>
      </c>
      <c r="BB687" s="624">
        <v>39216</v>
      </c>
      <c r="BC687" s="355">
        <v>0.35959999999999998</v>
      </c>
      <c r="BD687" s="624">
        <v>39217</v>
      </c>
      <c r="BE687" s="355">
        <v>0.10818999999999999</v>
      </c>
      <c r="BF687" s="624">
        <v>39239</v>
      </c>
      <c r="BG687" s="355">
        <v>2.4590000000000001E-2</v>
      </c>
      <c r="BH687" s="624">
        <v>39216</v>
      </c>
      <c r="BI687" s="355">
        <v>0.113701</v>
      </c>
      <c r="BJ687" s="624">
        <v>39216</v>
      </c>
      <c r="BK687" s="355">
        <v>2.9942E-2</v>
      </c>
    </row>
    <row r="688" spans="3:63">
      <c r="C688" s="624"/>
      <c r="D688" s="355">
        <v>3.8730000000000001E-2</v>
      </c>
      <c r="AV688" s="624"/>
      <c r="AX688" s="624">
        <v>39219</v>
      </c>
      <c r="AY688" s="355">
        <v>3.8690000000000002E-2</v>
      </c>
      <c r="AZ688" s="624">
        <v>39283</v>
      </c>
      <c r="BA688" s="355">
        <v>1.7000000000000001E-2</v>
      </c>
      <c r="BB688" s="624">
        <v>39217</v>
      </c>
      <c r="BC688" s="355">
        <v>0.35899999999999999</v>
      </c>
      <c r="BD688" s="624">
        <v>39218</v>
      </c>
      <c r="BE688" s="355">
        <v>0.10806</v>
      </c>
      <c r="BF688" s="624">
        <v>39240</v>
      </c>
      <c r="BG688" s="355">
        <v>2.4556000000000001E-2</v>
      </c>
      <c r="BH688" s="624">
        <v>39217</v>
      </c>
      <c r="BI688" s="355">
        <v>0.11337899999999999</v>
      </c>
      <c r="BJ688" s="624">
        <v>39217</v>
      </c>
      <c r="BK688" s="355">
        <v>3.0077E-2</v>
      </c>
    </row>
    <row r="689" spans="3:63">
      <c r="C689" s="624"/>
      <c r="D689" s="355">
        <v>3.8690000000000002E-2</v>
      </c>
      <c r="AV689" s="624"/>
      <c r="AX689" s="624">
        <v>39220</v>
      </c>
      <c r="AY689" s="355">
        <v>3.8710000000000001E-2</v>
      </c>
      <c r="AZ689" s="624">
        <v>39286</v>
      </c>
      <c r="BA689" s="355">
        <v>1.7100000000000001E-2</v>
      </c>
      <c r="BB689" s="624">
        <v>39218</v>
      </c>
      <c r="BC689" s="355">
        <v>0.35599999999999998</v>
      </c>
      <c r="BD689" s="624">
        <v>39219</v>
      </c>
      <c r="BE689" s="355">
        <v>0.10754</v>
      </c>
      <c r="BF689" s="624">
        <v>39241</v>
      </c>
      <c r="BG689" s="355">
        <v>2.4322E-2</v>
      </c>
      <c r="BH689" s="624">
        <v>39218</v>
      </c>
      <c r="BI689" s="355">
        <v>0.113507</v>
      </c>
      <c r="BJ689" s="624">
        <v>39218</v>
      </c>
      <c r="BK689" s="355">
        <v>3.0124999999999999E-2</v>
      </c>
    </row>
    <row r="690" spans="3:63">
      <c r="C690" s="624"/>
      <c r="D690" s="355">
        <v>3.8710000000000001E-2</v>
      </c>
      <c r="AV690" s="624"/>
      <c r="AX690" s="624">
        <v>39223</v>
      </c>
      <c r="AY690" s="355">
        <v>3.8640000000000001E-2</v>
      </c>
      <c r="AZ690" s="624">
        <v>39287</v>
      </c>
      <c r="BA690" s="355">
        <v>1.72E-2</v>
      </c>
      <c r="BB690" s="624">
        <v>39219</v>
      </c>
      <c r="BC690" s="355">
        <v>0.35670000000000002</v>
      </c>
      <c r="BD690" s="624">
        <v>39220</v>
      </c>
      <c r="BE690" s="355">
        <v>0.10705000000000001</v>
      </c>
      <c r="BF690" s="624">
        <v>39244</v>
      </c>
      <c r="BG690" s="355">
        <v>2.4507000000000001E-2</v>
      </c>
      <c r="BH690" s="624">
        <v>39219</v>
      </c>
      <c r="BI690" s="355">
        <v>0.113507</v>
      </c>
      <c r="BJ690" s="624">
        <v>39219</v>
      </c>
      <c r="BK690" s="355">
        <v>2.9770999999999999E-2</v>
      </c>
    </row>
    <row r="691" spans="3:63">
      <c r="C691" s="624"/>
      <c r="D691" s="355">
        <v>3.8640000000000001E-2</v>
      </c>
      <c r="AV691" s="624"/>
      <c r="AX691" s="624">
        <v>39224</v>
      </c>
      <c r="AY691" s="355">
        <v>3.8609999999999998E-2</v>
      </c>
      <c r="AZ691" s="624">
        <v>39288</v>
      </c>
      <c r="BA691" s="355">
        <v>1.72E-2</v>
      </c>
      <c r="BB691" s="624">
        <v>39220</v>
      </c>
      <c r="BC691" s="355">
        <v>0.35659999999999997</v>
      </c>
      <c r="BD691" s="624">
        <v>39223</v>
      </c>
      <c r="BE691" s="355">
        <v>0.10748000000000001</v>
      </c>
      <c r="BF691" s="624">
        <v>39245</v>
      </c>
      <c r="BG691" s="355">
        <v>2.4516E-2</v>
      </c>
      <c r="BH691" s="624">
        <v>39220</v>
      </c>
      <c r="BI691" s="355">
        <v>0.11337899999999999</v>
      </c>
      <c r="BJ691" s="624">
        <v>39220</v>
      </c>
      <c r="BK691" s="355">
        <v>3.0452E-2</v>
      </c>
    </row>
    <row r="692" spans="3:63">
      <c r="C692" s="624"/>
      <c r="D692" s="355">
        <v>3.8609999999999998E-2</v>
      </c>
      <c r="AV692" s="624"/>
      <c r="AX692" s="624">
        <v>39225</v>
      </c>
      <c r="AY692" s="355">
        <v>3.8629999999999998E-2</v>
      </c>
      <c r="AZ692" s="624">
        <v>39289</v>
      </c>
      <c r="BA692" s="355">
        <v>1.72E-2</v>
      </c>
      <c r="BB692" s="624">
        <v>39223</v>
      </c>
      <c r="BC692" s="355">
        <v>0.35659999999999997</v>
      </c>
      <c r="BD692" s="624">
        <v>39224</v>
      </c>
      <c r="BE692" s="355">
        <v>0.10732999999999999</v>
      </c>
      <c r="BF692" s="624">
        <v>39246</v>
      </c>
      <c r="BG692" s="355">
        <v>2.4405E-2</v>
      </c>
      <c r="BH692" s="624">
        <v>39223</v>
      </c>
      <c r="BI692" s="355">
        <v>0.114097</v>
      </c>
      <c r="BJ692" s="624">
        <v>39223</v>
      </c>
      <c r="BK692" s="355">
        <v>3.0256999999999999E-2</v>
      </c>
    </row>
    <row r="693" spans="3:63">
      <c r="C693" s="624"/>
      <c r="D693" s="355">
        <v>3.8629999999999998E-2</v>
      </c>
      <c r="AV693" s="624"/>
      <c r="AX693" s="624">
        <v>39226</v>
      </c>
      <c r="AY693" s="355">
        <v>3.8589999999999999E-2</v>
      </c>
      <c r="AZ693" s="624">
        <v>39290</v>
      </c>
      <c r="BA693" s="355">
        <v>1.72E-2</v>
      </c>
      <c r="BB693" s="624">
        <v>39224</v>
      </c>
      <c r="BC693" s="355">
        <v>0.3553</v>
      </c>
      <c r="BD693" s="624">
        <v>39225</v>
      </c>
      <c r="BE693" s="355">
        <v>0.10732999999999999</v>
      </c>
      <c r="BF693" s="624">
        <v>39247</v>
      </c>
      <c r="BG693" s="355">
        <v>2.4417000000000001E-2</v>
      </c>
      <c r="BH693" s="624">
        <v>39224</v>
      </c>
      <c r="BI693" s="355">
        <v>0.11534</v>
      </c>
      <c r="BJ693" s="624">
        <v>39224</v>
      </c>
      <c r="BK693" s="355">
        <v>3.0530000000000002E-2</v>
      </c>
    </row>
    <row r="694" spans="3:63">
      <c r="C694" s="624"/>
      <c r="D694" s="355">
        <v>3.8589999999999999E-2</v>
      </c>
      <c r="AV694" s="624"/>
      <c r="AX694" s="624">
        <v>39227</v>
      </c>
      <c r="AY694" s="355">
        <v>3.8609999999999998E-2</v>
      </c>
      <c r="AZ694" s="624">
        <v>39293</v>
      </c>
      <c r="BA694" s="355">
        <v>1.72E-2</v>
      </c>
      <c r="BB694" s="624">
        <v>39225</v>
      </c>
      <c r="BC694" s="355">
        <v>0.35510000000000003</v>
      </c>
      <c r="BD694" s="624">
        <v>39226</v>
      </c>
      <c r="BE694" s="355">
        <v>0.10718</v>
      </c>
      <c r="BF694" s="624">
        <v>39248</v>
      </c>
      <c r="BG694" s="355">
        <v>2.4473999999999999E-2</v>
      </c>
      <c r="BH694" s="624">
        <v>39225</v>
      </c>
      <c r="BI694" s="355">
        <v>0.11487700000000001</v>
      </c>
      <c r="BJ694" s="624">
        <v>39225</v>
      </c>
      <c r="BK694" s="355">
        <v>3.0367999999999999E-2</v>
      </c>
    </row>
    <row r="695" spans="3:63">
      <c r="C695" s="624"/>
      <c r="D695" s="355">
        <v>3.8609999999999998E-2</v>
      </c>
      <c r="AV695" s="624"/>
      <c r="AX695" s="624">
        <v>39230</v>
      </c>
      <c r="AY695" s="355">
        <v>3.8629999999999998E-2</v>
      </c>
      <c r="AZ695" s="624">
        <v>39294</v>
      </c>
      <c r="BA695" s="355">
        <v>1.7100000000000001E-2</v>
      </c>
      <c r="BB695" s="624">
        <v>39226</v>
      </c>
      <c r="BC695" s="355">
        <v>0.35149999999999998</v>
      </c>
      <c r="BD695" s="624">
        <v>39227</v>
      </c>
      <c r="BE695" s="355">
        <v>0.10732999999999999</v>
      </c>
      <c r="BF695" s="624">
        <v>39251</v>
      </c>
      <c r="BG695" s="355">
        <v>2.4537E-2</v>
      </c>
      <c r="BH695" s="624">
        <v>39226</v>
      </c>
      <c r="BI695" s="355">
        <v>0.11376600000000001</v>
      </c>
      <c r="BJ695" s="624">
        <v>39226</v>
      </c>
      <c r="BK695" s="355">
        <v>3.0553E-2</v>
      </c>
    </row>
    <row r="696" spans="3:63">
      <c r="C696" s="624"/>
      <c r="D696" s="355">
        <v>3.8629999999999998E-2</v>
      </c>
      <c r="AV696" s="624"/>
      <c r="AX696" s="624">
        <v>39231</v>
      </c>
      <c r="AY696" s="355">
        <v>3.8620000000000002E-2</v>
      </c>
      <c r="AZ696" s="624">
        <v>39295</v>
      </c>
      <c r="BA696" s="355">
        <v>1.7000000000000001E-2</v>
      </c>
      <c r="BB696" s="624">
        <v>39227</v>
      </c>
      <c r="BC696" s="355">
        <v>0.3528</v>
      </c>
      <c r="BD696" s="624">
        <v>39230</v>
      </c>
      <c r="BE696" s="355">
        <v>0.10766000000000001</v>
      </c>
      <c r="BF696" s="624">
        <v>39252</v>
      </c>
      <c r="BG696" s="355">
        <v>2.4552000000000001E-2</v>
      </c>
      <c r="BH696" s="624">
        <v>39227</v>
      </c>
      <c r="BI696" s="355">
        <v>0.11435099999999999</v>
      </c>
      <c r="BJ696" s="624">
        <v>39227</v>
      </c>
      <c r="BK696" s="355">
        <v>3.0661000000000001E-2</v>
      </c>
    </row>
    <row r="697" spans="3:63">
      <c r="C697" s="624"/>
      <c r="D697" s="355">
        <v>3.8620000000000002E-2</v>
      </c>
      <c r="AV697" s="624"/>
      <c r="AX697" s="624">
        <v>39232</v>
      </c>
      <c r="AY697" s="355">
        <v>3.8580000000000003E-2</v>
      </c>
      <c r="AZ697" s="624">
        <v>39296</v>
      </c>
      <c r="BA697" s="355">
        <v>1.6899999999999998E-2</v>
      </c>
      <c r="BB697" s="624">
        <v>39230</v>
      </c>
      <c r="BC697" s="355">
        <v>0.35360000000000003</v>
      </c>
      <c r="BD697" s="624">
        <v>39231</v>
      </c>
      <c r="BE697" s="355">
        <v>0.10765</v>
      </c>
      <c r="BF697" s="624">
        <v>39253</v>
      </c>
      <c r="BG697" s="355">
        <v>2.4570000000000002E-2</v>
      </c>
      <c r="BH697" s="624">
        <v>39230</v>
      </c>
      <c r="BI697" s="355">
        <v>0.114416</v>
      </c>
      <c r="BJ697" s="624">
        <v>39230</v>
      </c>
      <c r="BK697" s="355">
        <v>3.0464999999999999E-2</v>
      </c>
    </row>
    <row r="698" spans="3:63">
      <c r="C698" s="624"/>
      <c r="D698" s="355">
        <v>3.8580000000000003E-2</v>
      </c>
      <c r="AV698" s="624"/>
      <c r="AX698" s="624">
        <v>39233</v>
      </c>
      <c r="AY698" s="355">
        <v>3.8640000000000001E-2</v>
      </c>
      <c r="AZ698" s="624">
        <v>39297</v>
      </c>
      <c r="BA698" s="355">
        <v>1.72E-2</v>
      </c>
      <c r="BB698" s="624">
        <v>39231</v>
      </c>
      <c r="BC698" s="355">
        <v>0.35139999999999999</v>
      </c>
      <c r="BD698" s="624">
        <v>39232</v>
      </c>
      <c r="BE698" s="355">
        <v>0.1076</v>
      </c>
      <c r="BF698" s="624">
        <v>39254</v>
      </c>
      <c r="BG698" s="355">
        <v>2.4555E-2</v>
      </c>
      <c r="BH698" s="624">
        <v>39231</v>
      </c>
      <c r="BI698" s="355">
        <v>0.113443</v>
      </c>
      <c r="BJ698" s="624">
        <v>39231</v>
      </c>
      <c r="BK698" s="355">
        <v>3.0474000000000001E-2</v>
      </c>
    </row>
    <row r="699" spans="3:63">
      <c r="C699" s="624"/>
      <c r="D699" s="355">
        <v>3.8640000000000001E-2</v>
      </c>
      <c r="AV699" s="624"/>
      <c r="AX699" s="624">
        <v>39234</v>
      </c>
      <c r="AY699" s="355">
        <v>3.8620000000000002E-2</v>
      </c>
      <c r="AZ699" s="624">
        <v>39300</v>
      </c>
      <c r="BA699" s="355">
        <v>1.72E-2</v>
      </c>
      <c r="BB699" s="624">
        <v>39232</v>
      </c>
      <c r="BC699" s="355">
        <v>0.35189999999999999</v>
      </c>
      <c r="BD699" s="624">
        <v>39233</v>
      </c>
      <c r="BE699" s="355">
        <v>0.10772</v>
      </c>
      <c r="BF699" s="624">
        <v>39255</v>
      </c>
      <c r="BG699" s="355">
        <v>2.4544E-2</v>
      </c>
      <c r="BH699" s="624">
        <v>39232</v>
      </c>
      <c r="BI699" s="355">
        <v>0.11305800000000001</v>
      </c>
      <c r="BJ699" s="624">
        <v>39232</v>
      </c>
      <c r="BK699" s="355">
        <v>3.0450999999999999E-2</v>
      </c>
    </row>
    <row r="700" spans="3:63">
      <c r="C700" s="624"/>
      <c r="D700" s="355">
        <v>3.8620000000000002E-2</v>
      </c>
      <c r="AV700" s="624"/>
      <c r="AX700" s="624">
        <v>39237</v>
      </c>
      <c r="AY700" s="355">
        <v>3.8670000000000003E-2</v>
      </c>
      <c r="AZ700" s="624">
        <v>39301</v>
      </c>
      <c r="BA700" s="355">
        <v>1.7100000000000001E-2</v>
      </c>
      <c r="BB700" s="624">
        <v>39233</v>
      </c>
      <c r="BC700" s="355">
        <v>0.35289999999999999</v>
      </c>
      <c r="BD700" s="624">
        <v>39234</v>
      </c>
      <c r="BE700" s="355">
        <v>0.10763</v>
      </c>
      <c r="BF700" s="624">
        <v>39258</v>
      </c>
      <c r="BG700" s="355">
        <v>2.4486999999999998E-2</v>
      </c>
      <c r="BH700" s="624">
        <v>39233</v>
      </c>
      <c r="BI700" s="355">
        <v>0.113314</v>
      </c>
      <c r="BJ700" s="624">
        <v>39233</v>
      </c>
      <c r="BK700" s="355">
        <v>3.0276000000000001E-2</v>
      </c>
    </row>
    <row r="701" spans="3:63">
      <c r="C701" s="624"/>
      <c r="D701" s="355">
        <v>3.8670000000000003E-2</v>
      </c>
      <c r="AV701" s="624"/>
      <c r="AX701" s="624">
        <v>39238</v>
      </c>
      <c r="AY701" s="355">
        <v>3.8710000000000001E-2</v>
      </c>
      <c r="AZ701" s="624">
        <v>39302</v>
      </c>
      <c r="BA701" s="355">
        <v>1.72E-2</v>
      </c>
      <c r="BB701" s="624">
        <v>39234</v>
      </c>
      <c r="BC701" s="355">
        <v>0.35410000000000003</v>
      </c>
      <c r="BD701" s="624">
        <v>39237</v>
      </c>
      <c r="BE701" s="355">
        <v>0.10777</v>
      </c>
      <c r="BF701" s="624">
        <v>39259</v>
      </c>
      <c r="BG701" s="355">
        <v>2.4426E-2</v>
      </c>
      <c r="BH701" s="624">
        <v>39234</v>
      </c>
      <c r="BI701" s="355">
        <v>0.113353</v>
      </c>
      <c r="BJ701" s="624">
        <v>39234</v>
      </c>
      <c r="BK701" s="355">
        <v>3.0349000000000001E-2</v>
      </c>
    </row>
    <row r="702" spans="3:63">
      <c r="C702" s="624"/>
      <c r="D702" s="355">
        <v>3.8710000000000001E-2</v>
      </c>
      <c r="AV702" s="624"/>
      <c r="AX702" s="624">
        <v>39239</v>
      </c>
      <c r="AY702" s="355">
        <v>3.8710000000000001E-2</v>
      </c>
      <c r="AZ702" s="624">
        <v>39303</v>
      </c>
      <c r="BA702" s="355">
        <v>1.7100000000000001E-2</v>
      </c>
      <c r="BB702" s="624">
        <v>39237</v>
      </c>
      <c r="BC702" s="355">
        <v>0.35470000000000002</v>
      </c>
      <c r="BD702" s="624">
        <v>39238</v>
      </c>
      <c r="BE702" s="355">
        <v>0.10779</v>
      </c>
      <c r="BF702" s="624">
        <v>39260</v>
      </c>
      <c r="BG702" s="355">
        <v>2.4402E-2</v>
      </c>
      <c r="BH702" s="624">
        <v>39237</v>
      </c>
      <c r="BI702" s="355">
        <v>0.113993</v>
      </c>
      <c r="BJ702" s="624">
        <v>39237</v>
      </c>
      <c r="BK702" s="355">
        <v>3.0422999999999999E-2</v>
      </c>
    </row>
    <row r="703" spans="3:63">
      <c r="C703" s="624"/>
      <c r="D703" s="355">
        <v>3.8710000000000001E-2</v>
      </c>
      <c r="AV703" s="624"/>
      <c r="AX703" s="624">
        <v>39240</v>
      </c>
      <c r="AY703" s="355">
        <v>3.8600000000000002E-2</v>
      </c>
      <c r="AZ703" s="624">
        <v>39304</v>
      </c>
      <c r="BA703" s="355">
        <v>1.7000000000000001E-2</v>
      </c>
      <c r="BB703" s="624">
        <v>39238</v>
      </c>
      <c r="BC703" s="355">
        <v>0.35320000000000001</v>
      </c>
      <c r="BD703" s="624">
        <v>39239</v>
      </c>
      <c r="BE703" s="355">
        <v>0.10772</v>
      </c>
      <c r="BF703" s="624">
        <v>39261</v>
      </c>
      <c r="BG703" s="355">
        <v>2.4479999999999998E-2</v>
      </c>
      <c r="BH703" s="624">
        <v>39238</v>
      </c>
      <c r="BI703" s="355">
        <v>0.11334</v>
      </c>
      <c r="BJ703" s="624">
        <v>39238</v>
      </c>
      <c r="BK703" s="355">
        <v>3.0440999999999999E-2</v>
      </c>
    </row>
    <row r="704" spans="3:63">
      <c r="C704" s="624"/>
      <c r="D704" s="355">
        <v>3.8600000000000002E-2</v>
      </c>
      <c r="AV704" s="624"/>
      <c r="AX704" s="624">
        <v>39241</v>
      </c>
      <c r="AY704" s="355">
        <v>3.8510000000000003E-2</v>
      </c>
      <c r="AZ704" s="624">
        <v>39307</v>
      </c>
      <c r="BA704" s="355">
        <v>1.6899999999999998E-2</v>
      </c>
      <c r="BB704" s="624">
        <v>39239</v>
      </c>
      <c r="BC704" s="355">
        <v>0.35260000000000002</v>
      </c>
      <c r="BD704" s="624">
        <v>39240</v>
      </c>
      <c r="BE704" s="355">
        <v>0.10767</v>
      </c>
      <c r="BF704" s="624">
        <v>39262</v>
      </c>
      <c r="BG704" s="355">
        <v>2.4563999999999999E-2</v>
      </c>
      <c r="BH704" s="624">
        <v>39239</v>
      </c>
      <c r="BI704" s="355">
        <v>0.11207</v>
      </c>
      <c r="BJ704" s="624">
        <v>39239</v>
      </c>
      <c r="BK704" s="355">
        <v>3.023E-2</v>
      </c>
    </row>
    <row r="705" spans="3:63">
      <c r="C705" s="624"/>
      <c r="D705" s="355">
        <v>3.8510000000000003E-2</v>
      </c>
      <c r="AV705" s="624"/>
      <c r="AX705" s="624">
        <v>39244</v>
      </c>
      <c r="AY705" s="355">
        <v>3.848E-2</v>
      </c>
      <c r="AZ705" s="624">
        <v>39308</v>
      </c>
      <c r="BA705" s="355">
        <v>1.6899999999999998E-2</v>
      </c>
      <c r="BB705" s="624">
        <v>39240</v>
      </c>
      <c r="BC705" s="355">
        <v>0.34949999999999998</v>
      </c>
      <c r="BD705" s="624">
        <v>39241</v>
      </c>
      <c r="BE705" s="355">
        <v>0.10724</v>
      </c>
      <c r="BF705" s="624">
        <v>39265</v>
      </c>
      <c r="BG705" s="355">
        <v>2.4605999999999999E-2</v>
      </c>
      <c r="BH705" s="624">
        <v>39240</v>
      </c>
      <c r="BI705" s="355">
        <v>0.110926</v>
      </c>
      <c r="BJ705" s="624">
        <v>39240</v>
      </c>
      <c r="BK705" s="355">
        <v>3.0627999999999999E-2</v>
      </c>
    </row>
    <row r="706" spans="3:63">
      <c r="C706" s="624"/>
      <c r="D706" s="355">
        <v>3.848E-2</v>
      </c>
      <c r="AV706" s="624"/>
      <c r="AX706" s="624">
        <v>39245</v>
      </c>
      <c r="AY706" s="355">
        <v>3.8420000000000003E-2</v>
      </c>
      <c r="AZ706" s="624">
        <v>39309</v>
      </c>
      <c r="BA706" s="355">
        <v>1.6899999999999998E-2</v>
      </c>
      <c r="BB706" s="624">
        <v>39241</v>
      </c>
      <c r="BC706" s="355">
        <v>0.34860000000000002</v>
      </c>
      <c r="BD706" s="624">
        <v>39244</v>
      </c>
      <c r="BE706" s="355">
        <v>0.10731</v>
      </c>
      <c r="BF706" s="624">
        <v>39266</v>
      </c>
      <c r="BG706" s="355">
        <v>2.4680000000000001E-2</v>
      </c>
      <c r="BH706" s="624">
        <v>39241</v>
      </c>
      <c r="BI706" s="355">
        <v>0.10989</v>
      </c>
      <c r="BJ706" s="624">
        <v>39241</v>
      </c>
      <c r="BK706" s="355">
        <v>3.0769000000000001E-2</v>
      </c>
    </row>
    <row r="707" spans="3:63">
      <c r="C707" s="624"/>
      <c r="D707" s="355">
        <v>3.8420000000000003E-2</v>
      </c>
      <c r="AV707" s="624"/>
      <c r="AX707" s="624">
        <v>39246</v>
      </c>
      <c r="AY707" s="355">
        <v>3.8399999999999997E-2</v>
      </c>
      <c r="AZ707" s="624">
        <v>39310</v>
      </c>
      <c r="BA707" s="355">
        <v>1.6799999999999999E-2</v>
      </c>
      <c r="BB707" s="624">
        <v>39244</v>
      </c>
      <c r="BC707" s="355">
        <v>0.3493</v>
      </c>
      <c r="BD707" s="624">
        <v>39245</v>
      </c>
      <c r="BE707" s="355">
        <v>0.10747</v>
      </c>
      <c r="BF707" s="624">
        <v>39267</v>
      </c>
      <c r="BG707" s="355">
        <v>2.4725E-2</v>
      </c>
      <c r="BH707" s="624">
        <v>39244</v>
      </c>
      <c r="BI707" s="355">
        <v>0.11108</v>
      </c>
      <c r="BJ707" s="624">
        <v>39244</v>
      </c>
      <c r="BK707" s="355">
        <v>3.0855E-2</v>
      </c>
    </row>
    <row r="708" spans="3:63">
      <c r="C708" s="624"/>
      <c r="D708" s="355">
        <v>3.8399999999999997E-2</v>
      </c>
      <c r="AV708" s="624"/>
      <c r="AX708" s="624">
        <v>39247</v>
      </c>
      <c r="AY708" s="355">
        <v>3.841E-2</v>
      </c>
      <c r="AZ708" s="624">
        <v>39311</v>
      </c>
      <c r="BA708" s="355">
        <v>1.6899999999999998E-2</v>
      </c>
      <c r="BB708" s="624">
        <v>39245</v>
      </c>
      <c r="BC708" s="355">
        <v>0.34649999999999997</v>
      </c>
      <c r="BD708" s="624">
        <v>39246</v>
      </c>
      <c r="BE708" s="355">
        <v>0.10732999999999999</v>
      </c>
      <c r="BF708" s="624">
        <v>39268</v>
      </c>
      <c r="BG708" s="355">
        <v>2.4704E-2</v>
      </c>
      <c r="BH708" s="624">
        <v>39245</v>
      </c>
      <c r="BI708" s="355">
        <v>0.11043600000000001</v>
      </c>
      <c r="BJ708" s="624">
        <v>39245</v>
      </c>
      <c r="BK708" s="355">
        <v>3.0769000000000001E-2</v>
      </c>
    </row>
    <row r="709" spans="3:63">
      <c r="C709" s="624"/>
      <c r="D709" s="355">
        <v>3.841E-2</v>
      </c>
      <c r="AV709" s="624"/>
      <c r="AX709" s="624">
        <v>39248</v>
      </c>
      <c r="AY709" s="355">
        <v>3.8510000000000003E-2</v>
      </c>
      <c r="AZ709" s="624">
        <v>39314</v>
      </c>
      <c r="BA709" s="355">
        <v>1.6799999999999999E-2</v>
      </c>
      <c r="BB709" s="624">
        <v>39246</v>
      </c>
      <c r="BC709" s="355">
        <v>0.34839999999999999</v>
      </c>
      <c r="BD709" s="624">
        <v>39247</v>
      </c>
      <c r="BE709" s="355">
        <v>0.10753</v>
      </c>
      <c r="BF709" s="624">
        <v>39269</v>
      </c>
      <c r="BG709" s="355">
        <v>2.4716999999999999E-2</v>
      </c>
      <c r="BH709" s="624">
        <v>39246</v>
      </c>
      <c r="BI709" s="355">
        <v>0.111111</v>
      </c>
      <c r="BJ709" s="624">
        <v>39246</v>
      </c>
      <c r="BK709" s="355">
        <v>3.0835999999999999E-2</v>
      </c>
    </row>
    <row r="710" spans="3:63">
      <c r="C710" s="624"/>
      <c r="D710" s="355">
        <v>3.8510000000000003E-2</v>
      </c>
      <c r="AV710" s="624"/>
      <c r="AX710" s="624">
        <v>39251</v>
      </c>
      <c r="AY710" s="355">
        <v>3.8550000000000001E-2</v>
      </c>
      <c r="AZ710" s="624">
        <v>39315</v>
      </c>
      <c r="BA710" s="355">
        <v>1.6799999999999999E-2</v>
      </c>
      <c r="BB710" s="624">
        <v>39247</v>
      </c>
      <c r="BC710" s="355">
        <v>0.3488</v>
      </c>
      <c r="BD710" s="624">
        <v>39248</v>
      </c>
      <c r="BE710" s="355">
        <v>0.1077</v>
      </c>
      <c r="BF710" s="624">
        <v>39272</v>
      </c>
      <c r="BG710" s="355">
        <v>2.4759E-2</v>
      </c>
      <c r="BH710" s="624">
        <v>39247</v>
      </c>
      <c r="BI710" s="355">
        <v>0.110522</v>
      </c>
      <c r="BJ710" s="624">
        <v>39247</v>
      </c>
      <c r="BK710" s="355">
        <v>3.0817000000000001E-2</v>
      </c>
    </row>
    <row r="711" spans="3:63">
      <c r="C711" s="624"/>
      <c r="D711" s="355">
        <v>3.8550000000000001E-2</v>
      </c>
      <c r="AV711" s="624"/>
      <c r="AX711" s="624">
        <v>39252</v>
      </c>
      <c r="AY711" s="355">
        <v>3.857E-2</v>
      </c>
      <c r="AZ711" s="624">
        <v>39316</v>
      </c>
      <c r="BA711" s="355">
        <v>1.6899999999999998E-2</v>
      </c>
      <c r="BB711" s="624">
        <v>39248</v>
      </c>
      <c r="BC711" s="355">
        <v>0.35260000000000002</v>
      </c>
      <c r="BD711" s="624">
        <v>39251</v>
      </c>
      <c r="BE711" s="355">
        <v>0.10767</v>
      </c>
      <c r="BF711" s="624">
        <v>39273</v>
      </c>
      <c r="BG711" s="355">
        <v>2.4752E-2</v>
      </c>
      <c r="BH711" s="624">
        <v>39248</v>
      </c>
      <c r="BI711" s="355">
        <v>0.110619</v>
      </c>
      <c r="BJ711" s="624">
        <v>39248</v>
      </c>
      <c r="BK711" s="355">
        <v>3.0825999999999999E-2</v>
      </c>
    </row>
    <row r="712" spans="3:63">
      <c r="C712" s="624"/>
      <c r="D712" s="355">
        <v>3.857E-2</v>
      </c>
      <c r="AV712" s="624"/>
      <c r="AX712" s="624">
        <v>39253</v>
      </c>
      <c r="AY712" s="355">
        <v>3.8530000000000002E-2</v>
      </c>
      <c r="AZ712" s="624">
        <v>39317</v>
      </c>
      <c r="BA712" s="355">
        <v>1.7000000000000001E-2</v>
      </c>
      <c r="BB712" s="624">
        <v>39251</v>
      </c>
      <c r="BC712" s="355">
        <v>0.35299999999999998</v>
      </c>
      <c r="BD712" s="624">
        <v>39252</v>
      </c>
      <c r="BE712" s="355">
        <v>0.10813</v>
      </c>
      <c r="BF712" s="624">
        <v>39274</v>
      </c>
      <c r="BG712" s="355">
        <v>2.4760000000000001E-2</v>
      </c>
      <c r="BH712" s="624">
        <v>39251</v>
      </c>
      <c r="BI712" s="355">
        <v>0.112423</v>
      </c>
      <c r="BJ712" s="624">
        <v>39251</v>
      </c>
      <c r="BK712" s="355">
        <v>3.0779000000000001E-2</v>
      </c>
    </row>
    <row r="713" spans="3:63">
      <c r="C713" s="624"/>
      <c r="D713" s="355">
        <v>3.8530000000000002E-2</v>
      </c>
      <c r="AV713" s="624"/>
      <c r="AX713" s="624">
        <v>39254</v>
      </c>
      <c r="AY713" s="355">
        <v>3.8519999999999999E-2</v>
      </c>
      <c r="AZ713" s="624">
        <v>39318</v>
      </c>
      <c r="BA713" s="355">
        <v>1.7100000000000001E-2</v>
      </c>
      <c r="BB713" s="624">
        <v>39252</v>
      </c>
      <c r="BC713" s="355">
        <v>0.3553</v>
      </c>
      <c r="BD713" s="624">
        <v>39253</v>
      </c>
      <c r="BE713" s="355">
        <v>0.10783</v>
      </c>
      <c r="BF713" s="624">
        <v>39275</v>
      </c>
      <c r="BG713" s="355">
        <v>2.4697E-2</v>
      </c>
      <c r="BH713" s="624">
        <v>39252</v>
      </c>
      <c r="BI713" s="355">
        <v>0.112108</v>
      </c>
      <c r="BJ713" s="624">
        <v>39252</v>
      </c>
      <c r="BK713" s="355">
        <v>3.1074999999999998E-2</v>
      </c>
    </row>
    <row r="714" spans="3:63">
      <c r="C714" s="624"/>
      <c r="D714" s="355">
        <v>3.8519999999999999E-2</v>
      </c>
      <c r="AV714" s="624"/>
      <c r="AX714" s="624">
        <v>39255</v>
      </c>
      <c r="AY714" s="355">
        <v>3.8580000000000003E-2</v>
      </c>
      <c r="AZ714" s="624">
        <v>39321</v>
      </c>
      <c r="BA714" s="355">
        <v>1.7000000000000001E-2</v>
      </c>
      <c r="BB714" s="624">
        <v>39253</v>
      </c>
      <c r="BC714" s="355">
        <v>0.35289999999999999</v>
      </c>
      <c r="BD714" s="624">
        <v>39254</v>
      </c>
      <c r="BE714" s="355">
        <v>0.10792</v>
      </c>
      <c r="BF714" s="624">
        <v>39276</v>
      </c>
      <c r="BG714" s="355">
        <v>2.4740000000000002E-2</v>
      </c>
      <c r="BH714" s="624">
        <v>39253</v>
      </c>
      <c r="BI714" s="355">
        <v>0.11101900000000001</v>
      </c>
      <c r="BJ714" s="624">
        <v>39253</v>
      </c>
      <c r="BK714" s="355">
        <v>3.0911999999999999E-2</v>
      </c>
    </row>
    <row r="715" spans="3:63">
      <c r="C715" s="624"/>
      <c r="D715" s="355">
        <v>3.8580000000000003E-2</v>
      </c>
      <c r="AV715" s="624"/>
      <c r="AX715" s="624">
        <v>39258</v>
      </c>
      <c r="AY715" s="355">
        <v>3.8640000000000001E-2</v>
      </c>
      <c r="AZ715" s="624">
        <v>39322</v>
      </c>
      <c r="BA715" s="355">
        <v>1.7000000000000001E-2</v>
      </c>
      <c r="BB715" s="624">
        <v>39254</v>
      </c>
      <c r="BC715" s="355">
        <v>0.35360000000000003</v>
      </c>
      <c r="BD715" s="624">
        <v>39255</v>
      </c>
      <c r="BE715" s="355">
        <v>0.10779</v>
      </c>
      <c r="BF715" s="624">
        <v>39279</v>
      </c>
      <c r="BG715" s="355">
        <v>2.4782999999999999E-2</v>
      </c>
      <c r="BH715" s="624">
        <v>39254</v>
      </c>
      <c r="BI715" s="355">
        <v>0.111328</v>
      </c>
      <c r="BJ715" s="624">
        <v>39254</v>
      </c>
      <c r="BK715" s="355">
        <v>3.1016999999999999E-2</v>
      </c>
    </row>
    <row r="716" spans="3:63">
      <c r="C716" s="624"/>
      <c r="D716" s="355">
        <v>3.8640000000000001E-2</v>
      </c>
      <c r="AV716" s="624"/>
      <c r="AX716" s="624">
        <v>39259</v>
      </c>
      <c r="AY716" s="355">
        <v>3.8760000000000003E-2</v>
      </c>
      <c r="AZ716" s="624">
        <v>39323</v>
      </c>
      <c r="BA716" s="355">
        <v>1.7100000000000001E-2</v>
      </c>
      <c r="BB716" s="624">
        <v>39255</v>
      </c>
      <c r="BC716" s="355">
        <v>0.35599999999999998</v>
      </c>
      <c r="BD716" s="624">
        <v>39258</v>
      </c>
      <c r="BE716" s="355">
        <v>0.10793</v>
      </c>
      <c r="BF716" s="624">
        <v>39280</v>
      </c>
      <c r="BG716" s="355">
        <v>2.4781000000000001E-2</v>
      </c>
      <c r="BH716" s="624">
        <v>39255</v>
      </c>
      <c r="BI716" s="355">
        <v>0.110619</v>
      </c>
      <c r="BJ716" s="624">
        <v>39255</v>
      </c>
      <c r="BK716" s="355">
        <v>3.0949999999999998E-2</v>
      </c>
    </row>
    <row r="717" spans="3:63">
      <c r="C717" s="624"/>
      <c r="D717" s="355">
        <v>3.8760000000000003E-2</v>
      </c>
      <c r="AV717" s="624"/>
      <c r="AX717" s="624">
        <v>39260</v>
      </c>
      <c r="AY717" s="355">
        <v>3.8699999999999998E-2</v>
      </c>
      <c r="AZ717" s="624">
        <v>39324</v>
      </c>
      <c r="BA717" s="355">
        <v>1.7000000000000001E-2</v>
      </c>
      <c r="BB717" s="624">
        <v>39258</v>
      </c>
      <c r="BC717" s="355">
        <v>0.35499999999999998</v>
      </c>
      <c r="BD717" s="624">
        <v>39259</v>
      </c>
      <c r="BE717" s="355">
        <v>0.10775</v>
      </c>
      <c r="BF717" s="624">
        <v>39281</v>
      </c>
      <c r="BG717" s="355">
        <v>2.4750999999999999E-2</v>
      </c>
      <c r="BH717" s="624">
        <v>39258</v>
      </c>
      <c r="BI717" s="355">
        <v>0.110711</v>
      </c>
      <c r="BJ717" s="624">
        <v>39258</v>
      </c>
      <c r="BK717" s="355">
        <v>3.1016999999999999E-2</v>
      </c>
    </row>
    <row r="718" spans="3:63">
      <c r="C718" s="624"/>
      <c r="D718" s="355">
        <v>3.8699999999999998E-2</v>
      </c>
      <c r="AV718" s="624"/>
      <c r="AX718" s="624">
        <v>39261</v>
      </c>
      <c r="AY718" s="355">
        <v>3.8739999999999997E-2</v>
      </c>
      <c r="AZ718" s="624">
        <v>39325</v>
      </c>
      <c r="BA718" s="355">
        <v>1.7100000000000001E-2</v>
      </c>
      <c r="BB718" s="624">
        <v>39259</v>
      </c>
      <c r="BC718" s="355">
        <v>0.35449999999999998</v>
      </c>
      <c r="BD718" s="624">
        <v>39260</v>
      </c>
      <c r="BE718" s="355">
        <v>0.10779</v>
      </c>
      <c r="BF718" s="624">
        <v>39282</v>
      </c>
      <c r="BG718" s="355">
        <v>2.4773E-2</v>
      </c>
      <c r="BH718" s="624">
        <v>39259</v>
      </c>
      <c r="BI718" s="355">
        <v>0.10995099999999999</v>
      </c>
      <c r="BJ718" s="624">
        <v>39259</v>
      </c>
      <c r="BK718" s="355">
        <v>3.1192000000000001E-2</v>
      </c>
    </row>
    <row r="719" spans="3:63">
      <c r="C719" s="624"/>
      <c r="D719" s="355">
        <v>3.8739999999999997E-2</v>
      </c>
      <c r="AV719" s="624"/>
      <c r="AX719" s="624">
        <v>39262</v>
      </c>
      <c r="AY719" s="355">
        <v>3.8830000000000003E-2</v>
      </c>
      <c r="AZ719" s="624">
        <v>39328</v>
      </c>
      <c r="BA719" s="355">
        <v>1.7000000000000001E-2</v>
      </c>
      <c r="BB719" s="624">
        <v>39260</v>
      </c>
      <c r="BC719" s="355">
        <v>0.35589999999999999</v>
      </c>
      <c r="BD719" s="624">
        <v>39261</v>
      </c>
      <c r="BE719" s="355">
        <v>0.10791000000000001</v>
      </c>
      <c r="BF719" s="624">
        <v>39283</v>
      </c>
      <c r="BG719" s="355">
        <v>2.4799999999999999E-2</v>
      </c>
      <c r="BH719" s="624">
        <v>39260</v>
      </c>
      <c r="BI719" s="355">
        <v>0.111272</v>
      </c>
      <c r="BJ719" s="624">
        <v>39260</v>
      </c>
      <c r="BK719" s="355">
        <v>3.1796999999999999E-2</v>
      </c>
    </row>
    <row r="720" spans="3:63">
      <c r="C720" s="624"/>
      <c r="D720" s="355">
        <v>3.8830000000000003E-2</v>
      </c>
      <c r="AV720" s="624"/>
      <c r="AX720" s="624">
        <v>39265</v>
      </c>
      <c r="AY720" s="355">
        <v>3.8969999999999998E-2</v>
      </c>
      <c r="AZ720" s="624">
        <v>39329</v>
      </c>
      <c r="BA720" s="355">
        <v>1.7000000000000001E-2</v>
      </c>
      <c r="BB720" s="624">
        <v>39261</v>
      </c>
      <c r="BC720" s="355">
        <v>0.35709999999999997</v>
      </c>
      <c r="BD720" s="624">
        <v>39262</v>
      </c>
      <c r="BE720" s="355">
        <v>0.10836999999999999</v>
      </c>
      <c r="BF720" s="624">
        <v>39286</v>
      </c>
      <c r="BG720" s="355">
        <v>2.4819999999999998E-2</v>
      </c>
      <c r="BH720" s="624">
        <v>39261</v>
      </c>
      <c r="BI720" s="355">
        <v>0.110497</v>
      </c>
      <c r="BJ720" s="624">
        <v>39261</v>
      </c>
      <c r="BK720" s="355">
        <v>3.1426999999999997E-2</v>
      </c>
    </row>
    <row r="721" spans="3:63">
      <c r="C721" s="624"/>
      <c r="D721" s="355">
        <v>3.8969999999999998E-2</v>
      </c>
      <c r="AV721" s="624"/>
      <c r="AX721" s="624">
        <v>39266</v>
      </c>
      <c r="AY721" s="355">
        <v>3.8940000000000002E-2</v>
      </c>
      <c r="AZ721" s="624">
        <v>39330</v>
      </c>
      <c r="BA721" s="355">
        <v>1.7100000000000001E-2</v>
      </c>
      <c r="BB721" s="624">
        <v>39262</v>
      </c>
      <c r="BC721" s="355">
        <v>0.35930000000000001</v>
      </c>
      <c r="BD721" s="624">
        <v>39265</v>
      </c>
      <c r="BE721" s="355">
        <v>0.10879999999999999</v>
      </c>
      <c r="BF721" s="624">
        <v>39287</v>
      </c>
      <c r="BG721" s="355">
        <v>2.4841999999999999E-2</v>
      </c>
      <c r="BH721" s="624">
        <v>39262</v>
      </c>
      <c r="BI721" s="355">
        <v>0.11074199999999999</v>
      </c>
      <c r="BJ721" s="624">
        <v>39262</v>
      </c>
      <c r="BK721" s="355">
        <v>3.1545999999999998E-2</v>
      </c>
    </row>
    <row r="722" spans="3:63">
      <c r="C722" s="624"/>
      <c r="D722" s="355">
        <v>3.8940000000000002E-2</v>
      </c>
      <c r="AV722" s="624"/>
      <c r="AX722" s="624">
        <v>39267</v>
      </c>
      <c r="AY722" s="355">
        <v>3.8960000000000002E-2</v>
      </c>
      <c r="AZ722" s="624">
        <v>39331</v>
      </c>
      <c r="BA722" s="355">
        <v>1.72E-2</v>
      </c>
      <c r="BB722" s="624">
        <v>39265</v>
      </c>
      <c r="BC722" s="355">
        <v>0.36280000000000001</v>
      </c>
      <c r="BD722" s="624">
        <v>39266</v>
      </c>
      <c r="BE722" s="355">
        <v>0.10893</v>
      </c>
      <c r="BF722" s="624">
        <v>39288</v>
      </c>
      <c r="BG722" s="355">
        <v>2.4802000000000001E-2</v>
      </c>
      <c r="BH722" s="624">
        <v>39265</v>
      </c>
      <c r="BI722" s="355">
        <v>0.110988</v>
      </c>
      <c r="BJ722" s="624">
        <v>39265</v>
      </c>
      <c r="BK722" s="355">
        <v>3.1516000000000002E-2</v>
      </c>
    </row>
    <row r="723" spans="3:63">
      <c r="C723" s="624"/>
      <c r="D723" s="355">
        <v>3.8960000000000002E-2</v>
      </c>
      <c r="AV723" s="624"/>
      <c r="AX723" s="624">
        <v>39268</v>
      </c>
      <c r="AY723" s="355">
        <v>3.8920000000000003E-2</v>
      </c>
      <c r="AZ723" s="624">
        <v>39332</v>
      </c>
      <c r="BA723" s="355">
        <v>1.72E-2</v>
      </c>
      <c r="BB723" s="624">
        <v>39266</v>
      </c>
      <c r="BC723" s="355">
        <v>0.36149999999999999</v>
      </c>
      <c r="BD723" s="624">
        <v>39267</v>
      </c>
      <c r="BE723" s="355">
        <v>0.10871</v>
      </c>
      <c r="BF723" s="624">
        <v>39289</v>
      </c>
      <c r="BG723" s="355">
        <v>2.4788000000000001E-2</v>
      </c>
      <c r="BH723" s="624">
        <v>39266</v>
      </c>
      <c r="BI723" s="355">
        <v>0.11104899999999999</v>
      </c>
      <c r="BJ723" s="624">
        <v>39266</v>
      </c>
      <c r="BK723" s="355">
        <v>3.1516000000000002E-2</v>
      </c>
    </row>
    <row r="724" spans="3:63">
      <c r="C724" s="624"/>
      <c r="D724" s="355">
        <v>3.8920000000000003E-2</v>
      </c>
      <c r="AV724" s="624"/>
      <c r="AX724" s="624">
        <v>39269</v>
      </c>
      <c r="AY724" s="355">
        <v>3.8890000000000001E-2</v>
      </c>
      <c r="AZ724" s="624">
        <v>39335</v>
      </c>
      <c r="BA724" s="355">
        <v>1.72E-2</v>
      </c>
      <c r="BB724" s="624">
        <v>39267</v>
      </c>
      <c r="BC724" s="355">
        <v>0.36230000000000001</v>
      </c>
      <c r="BD724" s="624">
        <v>39268</v>
      </c>
      <c r="BE724" s="355">
        <v>0.10847999999999999</v>
      </c>
      <c r="BF724" s="624">
        <v>39290</v>
      </c>
      <c r="BG724" s="355">
        <v>2.4631E-2</v>
      </c>
      <c r="BH724" s="624">
        <v>39267</v>
      </c>
      <c r="BI724" s="355">
        <v>0.110988</v>
      </c>
      <c r="BJ724" s="624">
        <v>39267</v>
      </c>
      <c r="BK724" s="355">
        <v>3.1696000000000002E-2</v>
      </c>
    </row>
    <row r="725" spans="3:63">
      <c r="C725" s="624"/>
      <c r="D725" s="355">
        <v>3.8890000000000001E-2</v>
      </c>
      <c r="AV725" s="624"/>
      <c r="AX725" s="624">
        <v>39272</v>
      </c>
      <c r="AY725" s="355">
        <v>3.8969999999999998E-2</v>
      </c>
      <c r="AZ725" s="624">
        <v>39336</v>
      </c>
      <c r="BA725" s="355">
        <v>1.7399999999999999E-2</v>
      </c>
      <c r="BB725" s="624">
        <v>39268</v>
      </c>
      <c r="BC725" s="355">
        <v>0.3604</v>
      </c>
      <c r="BD725" s="624">
        <v>39269</v>
      </c>
      <c r="BE725" s="355">
        <v>0.10876</v>
      </c>
      <c r="BF725" s="624">
        <v>39293</v>
      </c>
      <c r="BG725" s="355">
        <v>2.4673E-2</v>
      </c>
      <c r="BH725" s="624">
        <v>39268</v>
      </c>
      <c r="BI725" s="355">
        <v>0.11108</v>
      </c>
      <c r="BJ725" s="624">
        <v>39268</v>
      </c>
      <c r="BK725" s="355">
        <v>3.2103E-2</v>
      </c>
    </row>
    <row r="726" spans="3:63">
      <c r="C726" s="624"/>
      <c r="D726" s="355">
        <v>3.8969999999999998E-2</v>
      </c>
      <c r="AV726" s="624"/>
      <c r="AX726" s="624">
        <v>39273</v>
      </c>
      <c r="AY726" s="355">
        <v>3.9170000000000003E-2</v>
      </c>
      <c r="AZ726" s="624">
        <v>39337</v>
      </c>
      <c r="BA726" s="355">
        <v>1.7500000000000002E-2</v>
      </c>
      <c r="BB726" s="624">
        <v>39269</v>
      </c>
      <c r="BC726" s="355">
        <v>0.36249999999999999</v>
      </c>
      <c r="BD726" s="624">
        <v>39272</v>
      </c>
      <c r="BE726" s="355">
        <v>0.10858</v>
      </c>
      <c r="BF726" s="624">
        <v>39294</v>
      </c>
      <c r="BG726" s="355">
        <v>2.4728E-2</v>
      </c>
      <c r="BH726" s="624">
        <v>39269</v>
      </c>
      <c r="BI726" s="355">
        <v>0.110619</v>
      </c>
      <c r="BJ726" s="624">
        <v>39269</v>
      </c>
      <c r="BK726" s="355">
        <v>3.1807000000000002E-2</v>
      </c>
    </row>
    <row r="727" spans="3:63">
      <c r="C727" s="624"/>
      <c r="D727" s="355">
        <v>3.9170000000000003E-2</v>
      </c>
      <c r="AV727" s="624"/>
      <c r="AX727" s="624">
        <v>39274</v>
      </c>
      <c r="AY727" s="355">
        <v>3.916E-2</v>
      </c>
      <c r="AZ727" s="624">
        <v>39338</v>
      </c>
      <c r="BA727" s="355">
        <v>1.7399999999999999E-2</v>
      </c>
      <c r="BB727" s="624">
        <v>39272</v>
      </c>
      <c r="BC727" s="355">
        <v>0.36109999999999998</v>
      </c>
      <c r="BD727" s="624">
        <v>39273</v>
      </c>
      <c r="BE727" s="355">
        <v>0.10857</v>
      </c>
      <c r="BF727" s="624">
        <v>39295</v>
      </c>
      <c r="BG727" s="355">
        <v>2.47E-2</v>
      </c>
      <c r="BH727" s="624">
        <v>39272</v>
      </c>
      <c r="BI727" s="355">
        <v>0.11086500000000001</v>
      </c>
      <c r="BJ727" s="624">
        <v>39272</v>
      </c>
      <c r="BK727" s="355">
        <v>3.1576E-2</v>
      </c>
    </row>
    <row r="728" spans="3:63">
      <c r="C728" s="624"/>
      <c r="D728" s="355">
        <v>3.916E-2</v>
      </c>
      <c r="AV728" s="624"/>
      <c r="AX728" s="624">
        <v>39275</v>
      </c>
      <c r="AY728" s="355">
        <v>3.9210000000000002E-2</v>
      </c>
      <c r="AZ728" s="624">
        <v>39339</v>
      </c>
      <c r="BA728" s="355">
        <v>1.7399999999999999E-2</v>
      </c>
      <c r="BB728" s="624">
        <v>39273</v>
      </c>
      <c r="BC728" s="355">
        <v>0.36459999999999998</v>
      </c>
      <c r="BD728" s="624">
        <v>39274</v>
      </c>
      <c r="BE728" s="355">
        <v>0.10889</v>
      </c>
      <c r="BF728" s="624">
        <v>39296</v>
      </c>
      <c r="BG728" s="355">
        <v>2.4749E-2</v>
      </c>
      <c r="BH728" s="624">
        <v>39273</v>
      </c>
      <c r="BI728" s="355">
        <v>0.11104899999999999</v>
      </c>
      <c r="BJ728" s="624">
        <v>39273</v>
      </c>
      <c r="BK728" s="355">
        <v>3.1676000000000003E-2</v>
      </c>
    </row>
    <row r="729" spans="3:63">
      <c r="C729" s="624"/>
      <c r="D729" s="355">
        <v>3.9210000000000002E-2</v>
      </c>
      <c r="AV729" s="624"/>
      <c r="AX729" s="624">
        <v>39276</v>
      </c>
      <c r="AY729" s="355">
        <v>3.9280000000000002E-2</v>
      </c>
      <c r="AZ729" s="624">
        <v>39342</v>
      </c>
      <c r="BA729" s="355">
        <v>1.7399999999999999E-2</v>
      </c>
      <c r="BB729" s="624">
        <v>39274</v>
      </c>
      <c r="BC729" s="355">
        <v>0.36470000000000002</v>
      </c>
      <c r="BD729" s="624">
        <v>39275</v>
      </c>
      <c r="BE729" s="355">
        <v>0.1089</v>
      </c>
      <c r="BF729" s="624">
        <v>39297</v>
      </c>
      <c r="BG729" s="355">
        <v>2.4752E-2</v>
      </c>
      <c r="BH729" s="624">
        <v>39274</v>
      </c>
      <c r="BI729" s="355">
        <v>0.111508</v>
      </c>
      <c r="BJ729" s="624">
        <v>39274</v>
      </c>
      <c r="BK729" s="355">
        <v>3.2765000000000002E-2</v>
      </c>
    </row>
    <row r="730" spans="3:63">
      <c r="C730" s="624"/>
      <c r="D730" s="355">
        <v>3.9280000000000002E-2</v>
      </c>
      <c r="AV730" s="624"/>
      <c r="AX730" s="624">
        <v>39279</v>
      </c>
      <c r="AY730" s="355">
        <v>3.9260000000000003E-2</v>
      </c>
      <c r="AZ730" s="624">
        <v>39343</v>
      </c>
      <c r="BA730" s="355">
        <v>1.7500000000000002E-2</v>
      </c>
      <c r="BB730" s="624">
        <v>39275</v>
      </c>
      <c r="BC730" s="355">
        <v>0.3679</v>
      </c>
      <c r="BD730" s="624">
        <v>39276</v>
      </c>
      <c r="BE730" s="355">
        <v>0.10908</v>
      </c>
      <c r="BF730" s="624">
        <v>39300</v>
      </c>
      <c r="BG730" s="355">
        <v>2.4736999999999999E-2</v>
      </c>
      <c r="BH730" s="624">
        <v>39275</v>
      </c>
      <c r="BI730" s="355">
        <v>0.111235</v>
      </c>
      <c r="BJ730" s="624">
        <v>39275</v>
      </c>
      <c r="BK730" s="355">
        <v>3.2372999999999999E-2</v>
      </c>
    </row>
    <row r="731" spans="3:63">
      <c r="C731" s="624"/>
      <c r="D731" s="355">
        <v>3.9260000000000003E-2</v>
      </c>
      <c r="AV731" s="624"/>
      <c r="AX731" s="624">
        <v>39280</v>
      </c>
      <c r="AY731" s="355">
        <v>3.9269999999999999E-2</v>
      </c>
      <c r="AZ731" s="624">
        <v>39344</v>
      </c>
      <c r="BA731" s="355">
        <v>1.7600000000000001E-2</v>
      </c>
      <c r="BB731" s="624">
        <v>39276</v>
      </c>
      <c r="BC731" s="355">
        <v>0.36730000000000002</v>
      </c>
      <c r="BD731" s="624">
        <v>39279</v>
      </c>
      <c r="BE731" s="355">
        <v>0.1089</v>
      </c>
      <c r="BF731" s="624">
        <v>39301</v>
      </c>
      <c r="BG731" s="355">
        <v>2.4743999999999999E-2</v>
      </c>
      <c r="BH731" s="624">
        <v>39276</v>
      </c>
      <c r="BI731" s="355">
        <v>0.11105</v>
      </c>
      <c r="BJ731" s="624">
        <v>39276</v>
      </c>
      <c r="BK731" s="355">
        <v>3.2744000000000002E-2</v>
      </c>
    </row>
    <row r="732" spans="3:63">
      <c r="C732" s="624"/>
      <c r="D732" s="355">
        <v>3.9269999999999999E-2</v>
      </c>
      <c r="AV732" s="624"/>
      <c r="AX732" s="624">
        <v>39281</v>
      </c>
      <c r="AY732" s="355">
        <v>3.9309999999999998E-2</v>
      </c>
      <c r="AZ732" s="624">
        <v>39345</v>
      </c>
      <c r="BA732" s="355">
        <v>1.77E-2</v>
      </c>
      <c r="BB732" s="624">
        <v>39279</v>
      </c>
      <c r="BC732" s="355">
        <v>0.36759999999999998</v>
      </c>
      <c r="BD732" s="624">
        <v>39280</v>
      </c>
      <c r="BE732" s="355">
        <v>0.10891000000000001</v>
      </c>
      <c r="BF732" s="624">
        <v>39302</v>
      </c>
      <c r="BG732" s="355">
        <v>2.4697E-2</v>
      </c>
      <c r="BH732" s="624">
        <v>39279</v>
      </c>
      <c r="BI732" s="355">
        <v>0.110619</v>
      </c>
      <c r="BJ732" s="624">
        <v>39279</v>
      </c>
      <c r="BK732" s="355">
        <v>3.3703999999999998E-2</v>
      </c>
    </row>
    <row r="733" spans="3:63">
      <c r="C733" s="624"/>
      <c r="D733" s="355">
        <v>3.9309999999999998E-2</v>
      </c>
      <c r="AV733" s="624"/>
      <c r="AX733" s="624">
        <v>39282</v>
      </c>
      <c r="AY733" s="355">
        <v>3.9350000000000003E-2</v>
      </c>
      <c r="AZ733" s="624">
        <v>39346</v>
      </c>
      <c r="BA733" s="355">
        <v>1.77E-2</v>
      </c>
      <c r="BB733" s="624">
        <v>39280</v>
      </c>
      <c r="BC733" s="355">
        <v>0.36799999999999999</v>
      </c>
      <c r="BD733" s="624">
        <v>39281</v>
      </c>
      <c r="BE733" s="355">
        <v>0.10908</v>
      </c>
      <c r="BF733" s="624">
        <v>39303</v>
      </c>
      <c r="BG733" s="355">
        <v>2.4649000000000001E-2</v>
      </c>
      <c r="BH733" s="624">
        <v>39280</v>
      </c>
      <c r="BI733" s="355">
        <v>0.11065</v>
      </c>
      <c r="BJ733" s="624">
        <v>39280</v>
      </c>
      <c r="BK733" s="355">
        <v>3.2948999999999999E-2</v>
      </c>
    </row>
    <row r="734" spans="3:63">
      <c r="C734" s="624"/>
      <c r="D734" s="355">
        <v>3.9350000000000003E-2</v>
      </c>
      <c r="AV734" s="624"/>
      <c r="AX734" s="624">
        <v>39283</v>
      </c>
      <c r="AY734" s="355">
        <v>3.9370000000000002E-2</v>
      </c>
      <c r="AZ734" s="624">
        <v>39349</v>
      </c>
      <c r="BA734" s="355">
        <v>1.7999999999999999E-2</v>
      </c>
      <c r="BB734" s="624">
        <v>39281</v>
      </c>
      <c r="BC734" s="355">
        <v>0.36759999999999998</v>
      </c>
      <c r="BD734" s="624">
        <v>39282</v>
      </c>
      <c r="BE734" s="355">
        <v>0.10927000000000001</v>
      </c>
      <c r="BF734" s="624">
        <v>39304</v>
      </c>
      <c r="BG734" s="355">
        <v>2.4608999999999999E-2</v>
      </c>
      <c r="BH734" s="624">
        <v>39281</v>
      </c>
      <c r="BI734" s="355">
        <v>0.109607</v>
      </c>
      <c r="BJ734" s="624">
        <v>39281</v>
      </c>
      <c r="BK734" s="355">
        <v>3.3278000000000002E-2</v>
      </c>
    </row>
    <row r="735" spans="3:63">
      <c r="C735" s="624"/>
      <c r="D735" s="355">
        <v>3.9370000000000002E-2</v>
      </c>
      <c r="AV735" s="624"/>
      <c r="AX735" s="624">
        <v>39286</v>
      </c>
      <c r="AY735" s="355">
        <v>3.9359999999999999E-2</v>
      </c>
      <c r="AZ735" s="624">
        <v>39350</v>
      </c>
      <c r="BA735" s="355">
        <v>1.8100000000000002E-2</v>
      </c>
      <c r="BB735" s="624">
        <v>39282</v>
      </c>
      <c r="BC735" s="355">
        <v>0.36780000000000002</v>
      </c>
      <c r="BD735" s="624">
        <v>39283</v>
      </c>
      <c r="BE735" s="355">
        <v>0.10928</v>
      </c>
      <c r="BF735" s="624">
        <v>39307</v>
      </c>
      <c r="BG735" s="355">
        <v>2.4655E-2</v>
      </c>
      <c r="BH735" s="624">
        <v>39282</v>
      </c>
      <c r="BI735" s="355">
        <v>0.110375</v>
      </c>
      <c r="BJ735" s="624">
        <v>39282</v>
      </c>
      <c r="BK735" s="355">
        <v>3.3211999999999998E-2</v>
      </c>
    </row>
    <row r="736" spans="3:63">
      <c r="C736" s="624"/>
      <c r="D736" s="355">
        <v>3.9359999999999999E-2</v>
      </c>
      <c r="AV736" s="624"/>
      <c r="AX736" s="624">
        <v>39287</v>
      </c>
      <c r="AY736" s="355">
        <v>3.9379999999999998E-2</v>
      </c>
      <c r="AZ736" s="624">
        <v>39351</v>
      </c>
      <c r="BA736" s="355">
        <v>1.7999999999999999E-2</v>
      </c>
      <c r="BB736" s="624">
        <v>39283</v>
      </c>
      <c r="BC736" s="355">
        <v>0.36699999999999999</v>
      </c>
      <c r="BD736" s="624">
        <v>39286</v>
      </c>
      <c r="BE736" s="355">
        <v>0.10927000000000001</v>
      </c>
      <c r="BF736" s="624">
        <v>39308</v>
      </c>
      <c r="BG736" s="355">
        <v>2.4549000000000001E-2</v>
      </c>
      <c r="BH736" s="624">
        <v>39283</v>
      </c>
      <c r="BI736" s="355">
        <v>0.10989</v>
      </c>
      <c r="BJ736" s="624">
        <v>39283</v>
      </c>
      <c r="BK736" s="355">
        <v>3.3389000000000002E-2</v>
      </c>
    </row>
    <row r="737" spans="3:63">
      <c r="C737" s="624"/>
      <c r="D737" s="355">
        <v>3.9379999999999998E-2</v>
      </c>
      <c r="AV737" s="624"/>
      <c r="AX737" s="624">
        <v>39288</v>
      </c>
      <c r="AY737" s="355">
        <v>3.9230000000000001E-2</v>
      </c>
      <c r="AZ737" s="624">
        <v>39352</v>
      </c>
      <c r="BA737" s="355">
        <v>1.7999999999999999E-2</v>
      </c>
      <c r="BB737" s="624">
        <v>39286</v>
      </c>
      <c r="BC737" s="355">
        <v>0.36680000000000001</v>
      </c>
      <c r="BD737" s="624">
        <v>39287</v>
      </c>
      <c r="BE737" s="355">
        <v>0.10931</v>
      </c>
      <c r="BF737" s="624">
        <v>39309</v>
      </c>
      <c r="BG737" s="355">
        <v>2.4500999999999998E-2</v>
      </c>
      <c r="BH737" s="624">
        <v>39286</v>
      </c>
      <c r="BI737" s="355">
        <v>0.11013199999999999</v>
      </c>
      <c r="BJ737" s="624">
        <v>39286</v>
      </c>
      <c r="BK737" s="355">
        <v>3.4095E-2</v>
      </c>
    </row>
    <row r="738" spans="3:63">
      <c r="C738" s="624"/>
      <c r="D738" s="355">
        <v>3.9230000000000001E-2</v>
      </c>
      <c r="AV738" s="624"/>
      <c r="AX738" s="624">
        <v>39289</v>
      </c>
      <c r="AY738" s="355">
        <v>3.9260000000000003E-2</v>
      </c>
      <c r="AZ738" s="624">
        <v>39353</v>
      </c>
      <c r="BA738" s="355">
        <v>1.7999999999999999E-2</v>
      </c>
      <c r="BB738" s="624">
        <v>39287</v>
      </c>
      <c r="BC738" s="355">
        <v>0.3644</v>
      </c>
      <c r="BD738" s="624">
        <v>39288</v>
      </c>
      <c r="BE738" s="355">
        <v>0.10911</v>
      </c>
      <c r="BF738" s="624">
        <v>39310</v>
      </c>
      <c r="BG738" s="355">
        <v>2.4178000000000002E-2</v>
      </c>
      <c r="BH738" s="624">
        <v>39287</v>
      </c>
      <c r="BI738" s="355">
        <v>0.109975</v>
      </c>
      <c r="BJ738" s="624">
        <v>39287</v>
      </c>
      <c r="BK738" s="355">
        <v>3.2883999999999997E-2</v>
      </c>
    </row>
    <row r="739" spans="3:63">
      <c r="C739" s="624"/>
      <c r="D739" s="355">
        <v>3.9260000000000003E-2</v>
      </c>
      <c r="AV739" s="624"/>
      <c r="AX739" s="624">
        <v>39290</v>
      </c>
      <c r="AY739" s="355">
        <v>3.909E-2</v>
      </c>
      <c r="AZ739" s="624">
        <v>39356</v>
      </c>
      <c r="BA739" s="355">
        <v>1.8100000000000002E-2</v>
      </c>
      <c r="BB739" s="624">
        <v>39288</v>
      </c>
      <c r="BC739" s="355">
        <v>0.36180000000000001</v>
      </c>
      <c r="BD739" s="624">
        <v>39289</v>
      </c>
      <c r="BE739" s="355">
        <v>0.10847999999999999</v>
      </c>
      <c r="BF739" s="624">
        <v>39311</v>
      </c>
      <c r="BG739" s="355">
        <v>2.4192999999999999E-2</v>
      </c>
      <c r="BH739" s="624">
        <v>39288</v>
      </c>
      <c r="BI739" s="355">
        <v>0.10958900000000001</v>
      </c>
      <c r="BJ739" s="624">
        <v>39288</v>
      </c>
      <c r="BK739" s="355">
        <v>3.3522999999999997E-2</v>
      </c>
    </row>
    <row r="740" spans="3:63">
      <c r="C740" s="624"/>
      <c r="D740" s="355">
        <v>3.909E-2</v>
      </c>
      <c r="AV740" s="624"/>
      <c r="AX740" s="624">
        <v>39293</v>
      </c>
      <c r="AY740" s="355">
        <v>3.9129999999999998E-2</v>
      </c>
      <c r="AZ740" s="624">
        <v>39357</v>
      </c>
      <c r="BA740" s="355">
        <v>1.7999999999999999E-2</v>
      </c>
      <c r="BB740" s="624">
        <v>39289</v>
      </c>
      <c r="BC740" s="355">
        <v>0.35970000000000002</v>
      </c>
      <c r="BD740" s="624">
        <v>39290</v>
      </c>
      <c r="BE740" s="355">
        <v>0.10825</v>
      </c>
      <c r="BF740" s="624">
        <v>39314</v>
      </c>
      <c r="BG740" s="355">
        <v>2.4396000000000001E-2</v>
      </c>
      <c r="BH740" s="624">
        <v>39289</v>
      </c>
      <c r="BI740" s="355">
        <v>0.108108</v>
      </c>
      <c r="BJ740" s="624">
        <v>39289</v>
      </c>
      <c r="BK740" s="355">
        <v>3.3568000000000001E-2</v>
      </c>
    </row>
    <row r="741" spans="3:63">
      <c r="C741" s="624"/>
      <c r="D741" s="355">
        <v>3.9129999999999998E-2</v>
      </c>
      <c r="AV741" s="624"/>
      <c r="AX741" s="624">
        <v>39294</v>
      </c>
      <c r="AY741" s="355">
        <v>3.9129999999999998E-2</v>
      </c>
      <c r="AZ741" s="624">
        <v>39358</v>
      </c>
      <c r="BA741" s="355">
        <v>1.8100000000000002E-2</v>
      </c>
      <c r="BB741" s="624">
        <v>39290</v>
      </c>
      <c r="BC741" s="355">
        <v>0.35830000000000001</v>
      </c>
      <c r="BD741" s="624">
        <v>39293</v>
      </c>
      <c r="BE741" s="355">
        <v>0.10825</v>
      </c>
      <c r="BF741" s="624">
        <v>39315</v>
      </c>
      <c r="BG741" s="355">
        <v>2.4313000000000001E-2</v>
      </c>
      <c r="BH741" s="624">
        <v>39290</v>
      </c>
      <c r="BI741" s="355">
        <v>0.108225</v>
      </c>
      <c r="BJ741" s="624">
        <v>39290</v>
      </c>
      <c r="BK741" s="355">
        <v>3.4494999999999998E-2</v>
      </c>
    </row>
    <row r="742" spans="3:63">
      <c r="C742" s="624"/>
      <c r="D742" s="355">
        <v>3.9129999999999998E-2</v>
      </c>
      <c r="AV742" s="624"/>
      <c r="AX742" s="624">
        <v>39295</v>
      </c>
      <c r="AY742" s="355">
        <v>3.909E-2</v>
      </c>
      <c r="AZ742" s="624">
        <v>39359</v>
      </c>
      <c r="BA742" s="355">
        <v>1.8100000000000002E-2</v>
      </c>
      <c r="BB742" s="624">
        <v>39293</v>
      </c>
      <c r="BC742" s="355">
        <v>0.36180000000000001</v>
      </c>
      <c r="BD742" s="624">
        <v>39294</v>
      </c>
      <c r="BE742" s="355">
        <v>0.10857</v>
      </c>
      <c r="BF742" s="624">
        <v>39316</v>
      </c>
      <c r="BG742" s="355">
        <v>2.4438000000000001E-2</v>
      </c>
      <c r="BH742" s="624">
        <v>39293</v>
      </c>
      <c r="BI742" s="355">
        <v>0.108401</v>
      </c>
      <c r="BJ742" s="624">
        <v>39293</v>
      </c>
      <c r="BK742" s="355">
        <v>3.3478000000000001E-2</v>
      </c>
    </row>
    <row r="743" spans="3:63">
      <c r="C743" s="624"/>
      <c r="D743" s="355">
        <v>3.909E-2</v>
      </c>
      <c r="AV743" s="624"/>
      <c r="AX743" s="624">
        <v>39296</v>
      </c>
      <c r="AY743" s="355">
        <v>3.9109999999999999E-2</v>
      </c>
      <c r="AZ743" s="624">
        <v>39360</v>
      </c>
      <c r="BA743" s="355">
        <v>1.8200000000000001E-2</v>
      </c>
      <c r="BB743" s="624">
        <v>39294</v>
      </c>
      <c r="BC743" s="355">
        <v>0.36070000000000002</v>
      </c>
      <c r="BD743" s="624">
        <v>39295</v>
      </c>
      <c r="BE743" s="355">
        <v>0.10821</v>
      </c>
      <c r="BF743" s="624">
        <v>39317</v>
      </c>
      <c r="BG743" s="355">
        <v>2.4365999999999999E-2</v>
      </c>
      <c r="BH743" s="624">
        <v>39294</v>
      </c>
      <c r="BI743" s="355">
        <v>0.10834199999999999</v>
      </c>
      <c r="BJ743" s="624">
        <v>39294</v>
      </c>
      <c r="BK743" s="355">
        <v>3.3278000000000002E-2</v>
      </c>
    </row>
    <row r="744" spans="3:63">
      <c r="C744" s="624"/>
      <c r="D744" s="355">
        <v>3.9109999999999999E-2</v>
      </c>
      <c r="AV744" s="624"/>
      <c r="AX744" s="624">
        <v>39297</v>
      </c>
      <c r="AY744" s="355">
        <v>3.925E-2</v>
      </c>
      <c r="AZ744" s="624">
        <v>39363</v>
      </c>
      <c r="BA744" s="355">
        <v>1.7999999999999999E-2</v>
      </c>
      <c r="BB744" s="624">
        <v>39295</v>
      </c>
      <c r="BC744" s="355">
        <v>0.36049999999999999</v>
      </c>
      <c r="BD744" s="624">
        <v>39296</v>
      </c>
      <c r="BE744" s="355">
        <v>0.10842</v>
      </c>
      <c r="BF744" s="624">
        <v>39318</v>
      </c>
      <c r="BG744" s="355">
        <v>2.4343E-2</v>
      </c>
      <c r="BH744" s="624">
        <v>39295</v>
      </c>
      <c r="BI744" s="355">
        <v>0.10775899999999999</v>
      </c>
      <c r="BJ744" s="624">
        <v>39295</v>
      </c>
      <c r="BK744" s="355">
        <v>3.3501000000000003E-2</v>
      </c>
    </row>
    <row r="745" spans="3:63">
      <c r="C745" s="624"/>
      <c r="D745" s="355">
        <v>3.925E-2</v>
      </c>
      <c r="AV745" s="624"/>
      <c r="AX745" s="624">
        <v>39300</v>
      </c>
      <c r="AY745" s="355">
        <v>3.9239999999999997E-2</v>
      </c>
      <c r="AZ745" s="624">
        <v>39364</v>
      </c>
      <c r="BA745" s="355">
        <v>1.8100000000000002E-2</v>
      </c>
      <c r="BB745" s="624">
        <v>39296</v>
      </c>
      <c r="BC745" s="355">
        <v>0.36180000000000001</v>
      </c>
      <c r="BD745" s="624">
        <v>39297</v>
      </c>
      <c r="BE745" s="355">
        <v>0.10811</v>
      </c>
      <c r="BF745" s="624">
        <v>39321</v>
      </c>
      <c r="BG745" s="355">
        <v>2.4378E-2</v>
      </c>
      <c r="BH745" s="624">
        <v>39296</v>
      </c>
      <c r="BI745" s="355">
        <v>0.107527</v>
      </c>
      <c r="BJ745" s="624">
        <v>39296</v>
      </c>
      <c r="BK745" s="355">
        <v>3.3422E-2</v>
      </c>
    </row>
    <row r="746" spans="3:63">
      <c r="C746" s="624"/>
      <c r="D746" s="355">
        <v>3.9239999999999997E-2</v>
      </c>
      <c r="AV746" s="624"/>
      <c r="AX746" s="624">
        <v>39301</v>
      </c>
      <c r="AY746" s="355">
        <v>3.9260000000000003E-2</v>
      </c>
      <c r="AZ746" s="624">
        <v>39365</v>
      </c>
      <c r="BA746" s="355">
        <v>1.8100000000000002E-2</v>
      </c>
      <c r="BB746" s="624">
        <v>39297</v>
      </c>
      <c r="BC746" s="355">
        <v>0.36320000000000002</v>
      </c>
      <c r="BD746" s="624">
        <v>39300</v>
      </c>
      <c r="BE746" s="355">
        <v>0.1085</v>
      </c>
      <c r="BF746" s="624">
        <v>39322</v>
      </c>
      <c r="BG746" s="355">
        <v>2.4289999999999999E-2</v>
      </c>
      <c r="BH746" s="624">
        <v>39297</v>
      </c>
      <c r="BI746" s="355">
        <v>0.107124</v>
      </c>
      <c r="BJ746" s="624">
        <v>39297</v>
      </c>
      <c r="BK746" s="355">
        <v>3.3669999999999999E-2</v>
      </c>
    </row>
    <row r="747" spans="3:63">
      <c r="C747" s="624"/>
      <c r="D747" s="355">
        <v>3.9260000000000003E-2</v>
      </c>
      <c r="AV747" s="624"/>
      <c r="AX747" s="624">
        <v>39302</v>
      </c>
      <c r="AY747" s="355">
        <v>3.9309999999999998E-2</v>
      </c>
      <c r="AZ747" s="624">
        <v>39366</v>
      </c>
      <c r="BA747" s="355">
        <v>1.84E-2</v>
      </c>
      <c r="BB747" s="624">
        <v>39300</v>
      </c>
      <c r="BC747" s="355">
        <v>0.3644</v>
      </c>
      <c r="BD747" s="624">
        <v>39301</v>
      </c>
      <c r="BE747" s="355">
        <v>0.1082</v>
      </c>
      <c r="BF747" s="624">
        <v>39323</v>
      </c>
      <c r="BG747" s="355">
        <v>2.4327999999999999E-2</v>
      </c>
      <c r="BH747" s="624">
        <v>39300</v>
      </c>
      <c r="BI747" s="355">
        <v>0.107527</v>
      </c>
      <c r="BJ747" s="624">
        <v>39300</v>
      </c>
      <c r="BK747" s="355">
        <v>3.3501000000000003E-2</v>
      </c>
    </row>
    <row r="748" spans="3:63">
      <c r="C748" s="624"/>
      <c r="D748" s="355">
        <v>3.9309999999999998E-2</v>
      </c>
      <c r="AV748" s="624"/>
      <c r="AX748" s="624">
        <v>39303</v>
      </c>
      <c r="AY748" s="355">
        <v>3.9269999999999999E-2</v>
      </c>
      <c r="AZ748" s="624">
        <v>39367</v>
      </c>
      <c r="BA748" s="355">
        <v>1.83E-2</v>
      </c>
      <c r="BB748" s="624">
        <v>39301</v>
      </c>
      <c r="BC748" s="355">
        <v>0.36359999999999998</v>
      </c>
      <c r="BD748" s="624">
        <v>39302</v>
      </c>
      <c r="BE748" s="355">
        <v>0.10822</v>
      </c>
      <c r="BF748" s="624">
        <v>39324</v>
      </c>
      <c r="BG748" s="355">
        <v>2.4287E-2</v>
      </c>
      <c r="BH748" s="624">
        <v>39301</v>
      </c>
      <c r="BI748" s="355">
        <v>0.10700900000000001</v>
      </c>
      <c r="BJ748" s="624">
        <v>39301</v>
      </c>
      <c r="BK748" s="355">
        <v>3.3223000000000003E-2</v>
      </c>
    </row>
    <row r="749" spans="3:63">
      <c r="C749" s="624"/>
      <c r="D749" s="355">
        <v>3.9269999999999999E-2</v>
      </c>
      <c r="AV749" s="624"/>
      <c r="AX749" s="624">
        <v>39304</v>
      </c>
      <c r="AY749" s="355">
        <v>3.9280000000000002E-2</v>
      </c>
      <c r="AZ749" s="624">
        <v>39370</v>
      </c>
      <c r="BA749" s="355">
        <v>1.83E-2</v>
      </c>
      <c r="BB749" s="624">
        <v>39302</v>
      </c>
      <c r="BC749" s="355">
        <v>0.36670000000000003</v>
      </c>
      <c r="BD749" s="624">
        <v>39303</v>
      </c>
      <c r="BE749" s="355">
        <v>0.10803</v>
      </c>
      <c r="BF749" s="624">
        <v>39325</v>
      </c>
      <c r="BG749" s="355">
        <v>2.445E-2</v>
      </c>
      <c r="BH749" s="624">
        <v>39302</v>
      </c>
      <c r="BI749" s="355">
        <v>0.108225</v>
      </c>
      <c r="BJ749" s="624">
        <v>39302</v>
      </c>
      <c r="BK749" s="355">
        <v>3.2393999999999999E-2</v>
      </c>
    </row>
    <row r="750" spans="3:63">
      <c r="C750" s="624"/>
      <c r="D750" s="355">
        <v>3.9280000000000002E-2</v>
      </c>
      <c r="AV750" s="624"/>
      <c r="AX750" s="624">
        <v>39307</v>
      </c>
      <c r="AY750" s="355">
        <v>3.916E-2</v>
      </c>
      <c r="AZ750" s="624">
        <v>39371</v>
      </c>
      <c r="BA750" s="355">
        <v>1.83E-2</v>
      </c>
      <c r="BB750" s="624">
        <v>39303</v>
      </c>
      <c r="BC750" s="355">
        <v>0.36199999999999999</v>
      </c>
      <c r="BD750" s="624">
        <v>39304</v>
      </c>
      <c r="BE750" s="355">
        <v>0.10774</v>
      </c>
      <c r="BF750" s="624">
        <v>39328</v>
      </c>
      <c r="BG750" s="355">
        <v>2.4473999999999999E-2</v>
      </c>
      <c r="BH750" s="624">
        <v>39303</v>
      </c>
      <c r="BI750" s="355">
        <v>0.107067</v>
      </c>
      <c r="BJ750" s="624">
        <v>39303</v>
      </c>
      <c r="BK750" s="355">
        <v>3.2258000000000002E-2</v>
      </c>
    </row>
    <row r="751" spans="3:63">
      <c r="C751" s="624"/>
      <c r="D751" s="355">
        <v>3.916E-2</v>
      </c>
      <c r="AV751" s="624"/>
      <c r="AX751" s="624">
        <v>39308</v>
      </c>
      <c r="AY751" s="355">
        <v>3.9059999999999997E-2</v>
      </c>
      <c r="AZ751" s="624">
        <v>39372</v>
      </c>
      <c r="BA751" s="355">
        <v>1.8200000000000001E-2</v>
      </c>
      <c r="BB751" s="624">
        <v>39304</v>
      </c>
      <c r="BC751" s="355">
        <v>0.36280000000000001</v>
      </c>
      <c r="BD751" s="624">
        <v>39307</v>
      </c>
      <c r="BE751" s="355">
        <v>0.10759000000000001</v>
      </c>
      <c r="BF751" s="624">
        <v>39329</v>
      </c>
      <c r="BG751" s="355">
        <v>2.445E-2</v>
      </c>
      <c r="BH751" s="624">
        <v>39304</v>
      </c>
      <c r="BI751" s="355">
        <v>0.106576</v>
      </c>
      <c r="BJ751" s="624">
        <v>39304</v>
      </c>
      <c r="BK751" s="355">
        <v>3.2051000000000003E-2</v>
      </c>
    </row>
    <row r="752" spans="3:63">
      <c r="C752" s="624"/>
      <c r="D752" s="355">
        <v>3.9059999999999997E-2</v>
      </c>
      <c r="AV752" s="624"/>
      <c r="AX752" s="624">
        <v>39309</v>
      </c>
      <c r="AY752" s="355">
        <v>3.8890000000000001E-2</v>
      </c>
      <c r="AZ752" s="624">
        <v>39373</v>
      </c>
      <c r="BA752" s="355">
        <v>1.8499999999999999E-2</v>
      </c>
      <c r="BB752" s="624">
        <v>39307</v>
      </c>
      <c r="BC752" s="355">
        <v>0.36049999999999999</v>
      </c>
      <c r="BD752" s="624">
        <v>39308</v>
      </c>
      <c r="BE752" s="355">
        <v>0.10678</v>
      </c>
      <c r="BF752" s="624">
        <v>39330</v>
      </c>
      <c r="BG752" s="355">
        <v>2.4414000000000002E-2</v>
      </c>
      <c r="BH752" s="624">
        <v>39307</v>
      </c>
      <c r="BI752" s="355">
        <v>0.10706599999999999</v>
      </c>
      <c r="BJ752" s="624">
        <v>39307</v>
      </c>
      <c r="BK752" s="355">
        <v>3.1796999999999999E-2</v>
      </c>
    </row>
    <row r="753" spans="3:63">
      <c r="C753" s="624"/>
      <c r="D753" s="355">
        <v>3.8890000000000001E-2</v>
      </c>
      <c r="AV753" s="624"/>
      <c r="AX753" s="624">
        <v>39310</v>
      </c>
      <c r="AY753" s="355">
        <v>3.8809999999999997E-2</v>
      </c>
      <c r="AZ753" s="624">
        <v>39374</v>
      </c>
      <c r="BA753" s="355">
        <v>1.84E-2</v>
      </c>
      <c r="BB753" s="624">
        <v>39308</v>
      </c>
      <c r="BC753" s="355">
        <v>0.3553</v>
      </c>
      <c r="BD753" s="624">
        <v>39309</v>
      </c>
      <c r="BE753" s="355">
        <v>0.10655000000000001</v>
      </c>
      <c r="BF753" s="624">
        <v>39331</v>
      </c>
      <c r="BG753" s="355">
        <v>2.4517000000000001E-2</v>
      </c>
      <c r="BH753" s="624">
        <v>39308</v>
      </c>
      <c r="BI753" s="355">
        <v>0.106667</v>
      </c>
      <c r="BJ753" s="624">
        <v>39308</v>
      </c>
      <c r="BK753" s="355">
        <v>3.1516000000000002E-2</v>
      </c>
    </row>
    <row r="754" spans="3:63">
      <c r="C754" s="624"/>
      <c r="D754" s="355">
        <v>3.8809999999999997E-2</v>
      </c>
      <c r="AV754" s="624"/>
      <c r="AX754" s="624">
        <v>39311</v>
      </c>
      <c r="AY754" s="355">
        <v>3.8809999999999997E-2</v>
      </c>
      <c r="AZ754" s="624">
        <v>39377</v>
      </c>
      <c r="BA754" s="355">
        <v>1.83E-2</v>
      </c>
      <c r="BB754" s="624">
        <v>39309</v>
      </c>
      <c r="BC754" s="355">
        <v>0.3508</v>
      </c>
      <c r="BD754" s="624">
        <v>39310</v>
      </c>
      <c r="BE754" s="355">
        <v>0.10603</v>
      </c>
      <c r="BF754" s="624">
        <v>39332</v>
      </c>
      <c r="BG754" s="355">
        <v>2.4582E-2</v>
      </c>
      <c r="BH754" s="624">
        <v>39309</v>
      </c>
      <c r="BI754" s="355">
        <v>0.10627</v>
      </c>
      <c r="BJ754" s="624">
        <v>39309</v>
      </c>
      <c r="BK754" s="355">
        <v>3.0835999999999999E-2</v>
      </c>
    </row>
    <row r="755" spans="3:63">
      <c r="C755" s="624"/>
      <c r="D755" s="355">
        <v>3.8809999999999997E-2</v>
      </c>
      <c r="AV755" s="624"/>
      <c r="AX755" s="624">
        <v>39314</v>
      </c>
      <c r="AY755" s="355">
        <v>3.8780000000000002E-2</v>
      </c>
      <c r="AZ755" s="624">
        <v>39378</v>
      </c>
      <c r="BA755" s="355">
        <v>1.8499999999999999E-2</v>
      </c>
      <c r="BB755" s="624">
        <v>39310</v>
      </c>
      <c r="BC755" s="355">
        <v>0.3508</v>
      </c>
      <c r="BD755" s="624">
        <v>39311</v>
      </c>
      <c r="BE755" s="355">
        <v>0.10607999999999999</v>
      </c>
      <c r="BF755" s="624">
        <v>39335</v>
      </c>
      <c r="BG755" s="355">
        <v>2.46E-2</v>
      </c>
      <c r="BH755" s="624">
        <v>39310</v>
      </c>
      <c r="BI755" s="355">
        <v>0.104658</v>
      </c>
      <c r="BJ755" s="624">
        <v>39310</v>
      </c>
      <c r="BK755" s="355">
        <v>3.0303E-2</v>
      </c>
    </row>
    <row r="756" spans="3:63">
      <c r="C756" s="624"/>
      <c r="D756" s="355">
        <v>3.8780000000000002E-2</v>
      </c>
      <c r="AV756" s="624"/>
      <c r="AX756" s="624">
        <v>39315</v>
      </c>
      <c r="AY756" s="355">
        <v>3.8620000000000002E-2</v>
      </c>
      <c r="AZ756" s="624">
        <v>39379</v>
      </c>
      <c r="BA756" s="355">
        <v>1.8499999999999999E-2</v>
      </c>
      <c r="BB756" s="624">
        <v>39311</v>
      </c>
      <c r="BC756" s="355">
        <v>0.35260000000000002</v>
      </c>
      <c r="BD756" s="624">
        <v>39314</v>
      </c>
      <c r="BE756" s="355">
        <v>0.10584</v>
      </c>
      <c r="BF756" s="624">
        <v>39336</v>
      </c>
      <c r="BG756" s="355">
        <v>2.4657999999999999E-2</v>
      </c>
      <c r="BH756" s="624">
        <v>39311</v>
      </c>
      <c r="BI756" s="355">
        <v>0.105708</v>
      </c>
      <c r="BJ756" s="624">
        <v>39311</v>
      </c>
      <c r="BK756" s="355">
        <v>2.9940000000000001E-2</v>
      </c>
    </row>
    <row r="757" spans="3:63">
      <c r="C757" s="624"/>
      <c r="D757" s="355">
        <v>3.8620000000000002E-2</v>
      </c>
      <c r="AV757" s="624"/>
      <c r="AX757" s="624">
        <v>39316</v>
      </c>
      <c r="AY757" s="355">
        <v>3.882E-2</v>
      </c>
      <c r="AZ757" s="624">
        <v>39380</v>
      </c>
      <c r="BA757" s="355">
        <v>1.8700000000000001E-2</v>
      </c>
      <c r="BB757" s="624">
        <v>39314</v>
      </c>
      <c r="BC757" s="355">
        <v>0.35089999999999999</v>
      </c>
      <c r="BD757" s="624">
        <v>39315</v>
      </c>
      <c r="BE757" s="355">
        <v>0.10544000000000001</v>
      </c>
      <c r="BF757" s="624">
        <v>39337</v>
      </c>
      <c r="BG757" s="355">
        <v>2.4728E-2</v>
      </c>
      <c r="BH757" s="624">
        <v>39314</v>
      </c>
      <c r="BI757" s="355">
        <v>0.105932</v>
      </c>
      <c r="BJ757" s="624">
        <v>39314</v>
      </c>
      <c r="BK757" s="355">
        <v>3.0505999999999998E-2</v>
      </c>
    </row>
    <row r="758" spans="3:63">
      <c r="C758" s="624"/>
      <c r="D758" s="355">
        <v>3.882E-2</v>
      </c>
      <c r="AV758" s="624"/>
      <c r="AX758" s="624">
        <v>39317</v>
      </c>
      <c r="AY758" s="355">
        <v>3.8870000000000002E-2</v>
      </c>
      <c r="AZ758" s="624">
        <v>39381</v>
      </c>
      <c r="BA758" s="355">
        <v>1.8700000000000001E-2</v>
      </c>
      <c r="BB758" s="624">
        <v>39315</v>
      </c>
      <c r="BC758" s="355">
        <v>0.34970000000000001</v>
      </c>
      <c r="BD758" s="624">
        <v>39316</v>
      </c>
      <c r="BE758" s="355">
        <v>0.10609</v>
      </c>
      <c r="BF758" s="624">
        <v>39338</v>
      </c>
      <c r="BG758" s="355">
        <v>2.4728E-2</v>
      </c>
      <c r="BH758" s="624">
        <v>39315</v>
      </c>
      <c r="BI758" s="355">
        <v>0.105904</v>
      </c>
      <c r="BJ758" s="624">
        <v>39315</v>
      </c>
      <c r="BK758" s="355">
        <v>3.0404E-2</v>
      </c>
    </row>
    <row r="759" spans="3:63">
      <c r="C759" s="624"/>
      <c r="D759" s="355">
        <v>3.8870000000000002E-2</v>
      </c>
      <c r="AV759" s="624"/>
      <c r="AX759" s="624">
        <v>39318</v>
      </c>
      <c r="AY759" s="355">
        <v>3.8899999999999997E-2</v>
      </c>
      <c r="AZ759" s="624">
        <v>39384</v>
      </c>
      <c r="BA759" s="355">
        <v>1.8700000000000001E-2</v>
      </c>
      <c r="BB759" s="624">
        <v>39316</v>
      </c>
      <c r="BC759" s="355">
        <v>0.3528</v>
      </c>
      <c r="BD759" s="624">
        <v>39317</v>
      </c>
      <c r="BE759" s="355">
        <v>0.10614999999999999</v>
      </c>
      <c r="BF759" s="624">
        <v>39339</v>
      </c>
      <c r="BG759" s="355">
        <v>2.4729999999999999E-2</v>
      </c>
      <c r="BH759" s="624">
        <v>39316</v>
      </c>
      <c r="BI759" s="355">
        <v>0.10649599999999999</v>
      </c>
      <c r="BJ759" s="624">
        <v>39316</v>
      </c>
      <c r="BK759" s="355">
        <v>3.0863999999999999E-2</v>
      </c>
    </row>
    <row r="760" spans="3:63">
      <c r="C760" s="624"/>
      <c r="D760" s="355">
        <v>3.8899999999999997E-2</v>
      </c>
      <c r="AV760" s="624"/>
      <c r="AX760" s="624">
        <v>39321</v>
      </c>
      <c r="AY760" s="355">
        <v>3.8960000000000002E-2</v>
      </c>
      <c r="AZ760" s="624">
        <v>39385</v>
      </c>
      <c r="BA760" s="355">
        <v>1.8700000000000001E-2</v>
      </c>
      <c r="BB760" s="624">
        <v>39317</v>
      </c>
      <c r="BC760" s="355">
        <v>0.35310000000000002</v>
      </c>
      <c r="BD760" s="624">
        <v>39318</v>
      </c>
      <c r="BE760" s="355">
        <v>0.10619000000000001</v>
      </c>
      <c r="BF760" s="624">
        <v>39342</v>
      </c>
      <c r="BG760" s="355">
        <v>2.4660999999999999E-2</v>
      </c>
      <c r="BH760" s="624">
        <v>39317</v>
      </c>
      <c r="BI760" s="355">
        <v>0.106576</v>
      </c>
      <c r="BJ760" s="624">
        <v>39317</v>
      </c>
      <c r="BK760" s="355">
        <v>3.0693999999999999E-2</v>
      </c>
    </row>
    <row r="761" spans="3:63">
      <c r="C761" s="624"/>
      <c r="D761" s="355">
        <v>3.8960000000000002E-2</v>
      </c>
      <c r="AV761" s="624"/>
      <c r="AX761" s="624">
        <v>39322</v>
      </c>
      <c r="AY761" s="355">
        <v>3.884E-2</v>
      </c>
      <c r="AZ761" s="624">
        <v>39386</v>
      </c>
      <c r="BA761" s="355">
        <v>1.8700000000000001E-2</v>
      </c>
      <c r="BB761" s="624">
        <v>39318</v>
      </c>
      <c r="BC761" s="355">
        <v>0.35720000000000002</v>
      </c>
      <c r="BD761" s="624">
        <v>39321</v>
      </c>
      <c r="BE761" s="355">
        <v>0.10638</v>
      </c>
      <c r="BF761" s="624">
        <v>39343</v>
      </c>
      <c r="BG761" s="355">
        <v>2.4707E-2</v>
      </c>
      <c r="BH761" s="624">
        <v>39318</v>
      </c>
      <c r="BI761" s="355">
        <v>0.10627</v>
      </c>
      <c r="BJ761" s="624">
        <v>39318</v>
      </c>
      <c r="BK761" s="355">
        <v>3.023E-2</v>
      </c>
    </row>
    <row r="762" spans="3:63">
      <c r="C762" s="624"/>
      <c r="D762" s="355">
        <v>3.884E-2</v>
      </c>
      <c r="AV762" s="624"/>
      <c r="AX762" s="624">
        <v>39323</v>
      </c>
      <c r="AY762" s="355">
        <v>3.9019999999999999E-2</v>
      </c>
      <c r="AZ762" s="624">
        <v>39387</v>
      </c>
      <c r="BA762" s="355">
        <v>1.8700000000000001E-2</v>
      </c>
      <c r="BB762" s="624">
        <v>39321</v>
      </c>
      <c r="BC762" s="355">
        <v>0.35639999999999999</v>
      </c>
      <c r="BD762" s="624">
        <v>39322</v>
      </c>
      <c r="BE762" s="355">
        <v>0.10606</v>
      </c>
      <c r="BF762" s="624">
        <v>39344</v>
      </c>
      <c r="BG762" s="355">
        <v>2.4878999999999998E-2</v>
      </c>
      <c r="BH762" s="624">
        <v>39321</v>
      </c>
      <c r="BI762" s="355">
        <v>0.106667</v>
      </c>
      <c r="BJ762" s="624">
        <v>39321</v>
      </c>
      <c r="BK762" s="355">
        <v>3.0440999999999999E-2</v>
      </c>
    </row>
    <row r="763" spans="3:63">
      <c r="C763" s="624"/>
      <c r="D763" s="355">
        <v>3.9019999999999999E-2</v>
      </c>
      <c r="AV763" s="624"/>
      <c r="AX763" s="624">
        <v>39324</v>
      </c>
      <c r="AY763" s="355">
        <v>3.8980000000000001E-2</v>
      </c>
      <c r="AZ763" s="624">
        <v>39388</v>
      </c>
      <c r="BA763" s="355">
        <v>1.8700000000000001E-2</v>
      </c>
      <c r="BB763" s="624">
        <v>39322</v>
      </c>
      <c r="BC763" s="355">
        <v>0.35410000000000003</v>
      </c>
      <c r="BD763" s="624">
        <v>39323</v>
      </c>
      <c r="BE763" s="355">
        <v>0.10614</v>
      </c>
      <c r="BF763" s="624">
        <v>39345</v>
      </c>
      <c r="BG763" s="355">
        <v>2.5163999999999999E-2</v>
      </c>
      <c r="BH763" s="624">
        <v>39322</v>
      </c>
      <c r="BI763" s="355">
        <v>0.105988</v>
      </c>
      <c r="BJ763" s="624">
        <v>39322</v>
      </c>
      <c r="BK763" s="355">
        <v>3.0675000000000001E-2</v>
      </c>
    </row>
    <row r="764" spans="3:63">
      <c r="C764" s="624"/>
      <c r="D764" s="355">
        <v>3.8980000000000001E-2</v>
      </c>
      <c r="AV764" s="624"/>
      <c r="AX764" s="624">
        <v>39325</v>
      </c>
      <c r="AY764" s="355">
        <v>3.8980000000000001E-2</v>
      </c>
      <c r="AZ764" s="624">
        <v>39391</v>
      </c>
      <c r="BA764" s="355">
        <v>1.8800000000000001E-2</v>
      </c>
      <c r="BB764" s="624">
        <v>39323</v>
      </c>
      <c r="BC764" s="355">
        <v>0.35749999999999998</v>
      </c>
      <c r="BD764" s="624">
        <v>39324</v>
      </c>
      <c r="BE764" s="355">
        <v>0.10634</v>
      </c>
      <c r="BF764" s="624">
        <v>39346</v>
      </c>
      <c r="BG764" s="355">
        <v>2.5100000000000001E-2</v>
      </c>
      <c r="BH764" s="624">
        <v>39323</v>
      </c>
      <c r="BI764" s="355">
        <v>0.106491</v>
      </c>
      <c r="BJ764" s="624">
        <v>39323</v>
      </c>
      <c r="BK764" s="355">
        <v>3.0533999999999999E-2</v>
      </c>
    </row>
    <row r="765" spans="3:63">
      <c r="C765" s="624"/>
      <c r="D765" s="355">
        <v>3.8980000000000001E-2</v>
      </c>
      <c r="AV765" s="624"/>
      <c r="AX765" s="624">
        <v>39328</v>
      </c>
      <c r="AY765" s="355">
        <v>3.9070000000000001E-2</v>
      </c>
      <c r="AZ765" s="624">
        <v>39392</v>
      </c>
      <c r="BA765" s="355">
        <v>1.8800000000000001E-2</v>
      </c>
      <c r="BB765" s="624">
        <v>39324</v>
      </c>
      <c r="BC765" s="355">
        <v>0.35659999999999997</v>
      </c>
      <c r="BD765" s="624">
        <v>39325</v>
      </c>
      <c r="BE765" s="355">
        <v>0.10657</v>
      </c>
      <c r="BF765" s="624">
        <v>39349</v>
      </c>
      <c r="BG765" s="355">
        <v>2.5122999999999999E-2</v>
      </c>
      <c r="BH765" s="624">
        <v>39324</v>
      </c>
      <c r="BI765" s="355">
        <v>0.106214</v>
      </c>
      <c r="BJ765" s="624">
        <v>39324</v>
      </c>
      <c r="BK765" s="355">
        <v>3.0769000000000001E-2</v>
      </c>
    </row>
    <row r="766" spans="3:63">
      <c r="C766" s="624"/>
      <c r="D766" s="355">
        <v>3.9070000000000001E-2</v>
      </c>
      <c r="AV766" s="624"/>
      <c r="AX766" s="624">
        <v>39329</v>
      </c>
      <c r="AY766" s="355">
        <v>3.8949999999999999E-2</v>
      </c>
      <c r="AZ766" s="624">
        <v>39393</v>
      </c>
      <c r="BA766" s="355">
        <v>1.8700000000000001E-2</v>
      </c>
      <c r="BB766" s="624">
        <v>39325</v>
      </c>
      <c r="BC766" s="355">
        <v>0.35680000000000001</v>
      </c>
      <c r="BD766" s="624">
        <v>39328</v>
      </c>
      <c r="BE766" s="355">
        <v>0.10668999999999999</v>
      </c>
      <c r="BF766" s="624">
        <v>39350</v>
      </c>
      <c r="BG766" s="355">
        <v>2.5163999999999999E-2</v>
      </c>
      <c r="BH766" s="624">
        <v>39325</v>
      </c>
      <c r="BI766" s="355">
        <v>0.106457</v>
      </c>
      <c r="BJ766" s="624">
        <v>39325</v>
      </c>
      <c r="BK766" s="355">
        <v>3.0807000000000001E-2</v>
      </c>
    </row>
    <row r="767" spans="3:63">
      <c r="C767" s="624"/>
      <c r="D767" s="355">
        <v>3.8949999999999999E-2</v>
      </c>
      <c r="AV767" s="624"/>
      <c r="AX767" s="624">
        <v>39330</v>
      </c>
      <c r="AY767" s="355">
        <v>3.9010000000000003E-2</v>
      </c>
      <c r="AZ767" s="624">
        <v>39394</v>
      </c>
      <c r="BA767" s="355">
        <v>1.8800000000000001E-2</v>
      </c>
      <c r="BB767" s="624">
        <v>39328</v>
      </c>
      <c r="BC767" s="355">
        <v>0.3569</v>
      </c>
      <c r="BD767" s="624">
        <v>39329</v>
      </c>
      <c r="BE767" s="355">
        <v>0.10648000000000001</v>
      </c>
      <c r="BF767" s="624">
        <v>39351</v>
      </c>
      <c r="BG767" s="355">
        <v>2.5212999999999999E-2</v>
      </c>
      <c r="BH767" s="624">
        <v>39328</v>
      </c>
      <c r="BI767" s="355">
        <v>0.106502</v>
      </c>
      <c r="BJ767" s="624">
        <v>39328</v>
      </c>
      <c r="BK767" s="355">
        <v>3.0931E-2</v>
      </c>
    </row>
    <row r="768" spans="3:63">
      <c r="C768" s="624"/>
      <c r="D768" s="355">
        <v>3.9010000000000003E-2</v>
      </c>
      <c r="AV768" s="624"/>
      <c r="AX768" s="624">
        <v>39331</v>
      </c>
      <c r="AY768" s="355">
        <v>3.9019999999999999E-2</v>
      </c>
      <c r="AZ768" s="624">
        <v>39395</v>
      </c>
      <c r="BA768" s="355">
        <v>1.8800000000000001E-2</v>
      </c>
      <c r="BB768" s="624">
        <v>39329</v>
      </c>
      <c r="BC768" s="355">
        <v>0.35639999999999999</v>
      </c>
      <c r="BD768" s="624">
        <v>39330</v>
      </c>
      <c r="BE768" s="355">
        <v>0.10629</v>
      </c>
      <c r="BF768" s="624">
        <v>39352</v>
      </c>
      <c r="BG768" s="355">
        <v>2.5163999999999999E-2</v>
      </c>
      <c r="BH768" s="624">
        <v>39329</v>
      </c>
      <c r="BI768" s="355">
        <v>0.10695200000000001</v>
      </c>
      <c r="BJ768" s="624">
        <v>39329</v>
      </c>
      <c r="BK768" s="355">
        <v>3.0647000000000001E-2</v>
      </c>
    </row>
    <row r="769" spans="3:63">
      <c r="C769" s="624"/>
      <c r="D769" s="355">
        <v>3.9019999999999999E-2</v>
      </c>
      <c r="AV769" s="624"/>
      <c r="AX769" s="624">
        <v>39332</v>
      </c>
      <c r="AY769" s="355">
        <v>3.9109999999999999E-2</v>
      </c>
      <c r="AZ769" s="624">
        <v>39398</v>
      </c>
      <c r="BA769" s="355">
        <v>1.8700000000000001E-2</v>
      </c>
      <c r="BB769" s="624">
        <v>39330</v>
      </c>
      <c r="BC769" s="355">
        <v>0.35709999999999997</v>
      </c>
      <c r="BD769" s="624">
        <v>39331</v>
      </c>
      <c r="BE769" s="355">
        <v>0.10647</v>
      </c>
      <c r="BF769" s="624">
        <v>39353</v>
      </c>
      <c r="BG769" s="355">
        <v>2.5148E-2</v>
      </c>
      <c r="BH769" s="624">
        <v>39330</v>
      </c>
      <c r="BI769" s="355">
        <v>0.106304</v>
      </c>
      <c r="BJ769" s="624">
        <v>39330</v>
      </c>
      <c r="BK769" s="355">
        <v>3.0693999999999999E-2</v>
      </c>
    </row>
    <row r="770" spans="3:63">
      <c r="C770" s="624"/>
      <c r="D770" s="355">
        <v>3.9109999999999999E-2</v>
      </c>
      <c r="AV770" s="624"/>
      <c r="AX770" s="624">
        <v>39335</v>
      </c>
      <c r="AY770" s="355">
        <v>3.918E-2</v>
      </c>
      <c r="AZ770" s="624">
        <v>39399</v>
      </c>
      <c r="BA770" s="355">
        <v>1.8800000000000001E-2</v>
      </c>
      <c r="BB770" s="624">
        <v>39331</v>
      </c>
      <c r="BC770" s="355">
        <v>0.35909999999999997</v>
      </c>
      <c r="BD770" s="624">
        <v>39332</v>
      </c>
      <c r="BE770" s="355">
        <v>0.10634</v>
      </c>
      <c r="BF770" s="624">
        <v>39356</v>
      </c>
      <c r="BG770" s="355">
        <v>2.5087999999999999E-2</v>
      </c>
      <c r="BH770" s="624">
        <v>39331</v>
      </c>
      <c r="BI770" s="355">
        <v>0.10627</v>
      </c>
      <c r="BJ770" s="624">
        <v>39331</v>
      </c>
      <c r="BK770" s="355">
        <v>3.0721999999999999E-2</v>
      </c>
    </row>
    <row r="771" spans="3:63">
      <c r="C771" s="624"/>
      <c r="D771" s="355">
        <v>3.918E-2</v>
      </c>
      <c r="AV771" s="624"/>
      <c r="AX771" s="624">
        <v>39336</v>
      </c>
      <c r="AY771" s="355">
        <v>3.9289999999999999E-2</v>
      </c>
      <c r="AZ771" s="624">
        <v>39400</v>
      </c>
      <c r="BA771" s="355">
        <v>1.8800000000000001E-2</v>
      </c>
      <c r="BB771" s="624">
        <v>39332</v>
      </c>
      <c r="BC771" s="355">
        <v>0.36109999999999998</v>
      </c>
      <c r="BD771" s="624">
        <v>39335</v>
      </c>
      <c r="BE771" s="355">
        <v>0.10639</v>
      </c>
      <c r="BF771" s="624">
        <v>39357</v>
      </c>
      <c r="BG771" s="355">
        <v>2.5038000000000001E-2</v>
      </c>
      <c r="BH771" s="624">
        <v>39332</v>
      </c>
      <c r="BI771" s="355">
        <v>0.106157</v>
      </c>
      <c r="BJ771" s="624">
        <v>39332</v>
      </c>
      <c r="BK771" s="355">
        <v>3.0561999999999999E-2</v>
      </c>
    </row>
    <row r="772" spans="3:63">
      <c r="C772" s="624"/>
      <c r="D772" s="355">
        <v>3.9289999999999999E-2</v>
      </c>
      <c r="AV772" s="624"/>
      <c r="AX772" s="624">
        <v>39337</v>
      </c>
      <c r="AY772" s="355">
        <v>3.9419999999999997E-2</v>
      </c>
      <c r="AZ772" s="624">
        <v>39401</v>
      </c>
      <c r="BA772" s="355">
        <v>1.8800000000000001E-2</v>
      </c>
      <c r="BB772" s="624">
        <v>39335</v>
      </c>
      <c r="BC772" s="355">
        <v>0.36370000000000002</v>
      </c>
      <c r="BD772" s="624">
        <v>39336</v>
      </c>
      <c r="BE772" s="355">
        <v>0.10680000000000001</v>
      </c>
      <c r="BF772" s="624">
        <v>39358</v>
      </c>
      <c r="BG772" s="355">
        <v>2.5284000000000001E-2</v>
      </c>
      <c r="BH772" s="624">
        <v>39335</v>
      </c>
      <c r="BI772" s="355">
        <v>0.106045</v>
      </c>
      <c r="BJ772" s="624">
        <v>39335</v>
      </c>
      <c r="BK772" s="355">
        <v>3.0921000000000001E-2</v>
      </c>
    </row>
    <row r="773" spans="3:63">
      <c r="C773" s="624"/>
      <c r="D773" s="355">
        <v>3.9419999999999997E-2</v>
      </c>
      <c r="AV773" s="624"/>
      <c r="AX773" s="624">
        <v>39338</v>
      </c>
      <c r="AY773" s="355">
        <v>3.9440000000000003E-2</v>
      </c>
      <c r="AZ773" s="624">
        <v>39402</v>
      </c>
      <c r="BA773" s="355">
        <v>1.8800000000000001E-2</v>
      </c>
      <c r="BB773" s="624">
        <v>39336</v>
      </c>
      <c r="BC773" s="355">
        <v>0.36659999999999998</v>
      </c>
      <c r="BD773" s="624">
        <v>39337</v>
      </c>
      <c r="BE773" s="355">
        <v>0.10734</v>
      </c>
      <c r="BF773" s="624">
        <v>39359</v>
      </c>
      <c r="BG773" s="355">
        <v>2.5326000000000001E-2</v>
      </c>
      <c r="BH773" s="624">
        <v>39336</v>
      </c>
      <c r="BI773" s="355">
        <v>0.106326</v>
      </c>
      <c r="BJ773" s="624">
        <v>39336</v>
      </c>
      <c r="BK773" s="355">
        <v>3.1056E-2</v>
      </c>
    </row>
    <row r="774" spans="3:63">
      <c r="C774" s="624"/>
      <c r="D774" s="355">
        <v>3.9440000000000003E-2</v>
      </c>
      <c r="AV774" s="624"/>
      <c r="AX774" s="624">
        <v>39339</v>
      </c>
      <c r="AY774" s="355">
        <v>3.9460000000000002E-2</v>
      </c>
      <c r="AZ774" s="624">
        <v>39405</v>
      </c>
      <c r="BA774" s="355">
        <v>1.8700000000000001E-2</v>
      </c>
      <c r="BB774" s="624">
        <v>39337</v>
      </c>
      <c r="BC774" s="355">
        <v>0.36840000000000001</v>
      </c>
      <c r="BD774" s="624">
        <v>39338</v>
      </c>
      <c r="BE774" s="355">
        <v>0.10774</v>
      </c>
      <c r="BF774" s="624">
        <v>39360</v>
      </c>
      <c r="BG774" s="355">
        <v>2.5354999999999999E-2</v>
      </c>
      <c r="BH774" s="624">
        <v>39337</v>
      </c>
      <c r="BI774" s="355">
        <v>0.105932</v>
      </c>
      <c r="BJ774" s="624">
        <v>39337</v>
      </c>
      <c r="BK774" s="355">
        <v>3.1104E-2</v>
      </c>
    </row>
    <row r="775" spans="3:63">
      <c r="C775" s="624"/>
      <c r="D775" s="355">
        <v>3.9460000000000002E-2</v>
      </c>
      <c r="AV775" s="624"/>
      <c r="AX775" s="624">
        <v>39342</v>
      </c>
      <c r="AY775" s="355">
        <v>3.9489999999999997E-2</v>
      </c>
      <c r="AZ775" s="624">
        <v>39406</v>
      </c>
      <c r="BA775" s="355">
        <v>1.8499999999999999E-2</v>
      </c>
      <c r="BB775" s="624">
        <v>39338</v>
      </c>
      <c r="BC775" s="355">
        <v>0.36709999999999998</v>
      </c>
      <c r="BD775" s="624">
        <v>39339</v>
      </c>
      <c r="BE775" s="355">
        <v>0.10772</v>
      </c>
      <c r="BF775" s="624">
        <v>39363</v>
      </c>
      <c r="BG775" s="355">
        <v>2.5349E-2</v>
      </c>
      <c r="BH775" s="624">
        <v>39338</v>
      </c>
      <c r="BI775" s="355">
        <v>0.10638300000000001</v>
      </c>
      <c r="BJ775" s="624">
        <v>39338</v>
      </c>
      <c r="BK775" s="355">
        <v>3.1153E-2</v>
      </c>
    </row>
    <row r="776" spans="3:63">
      <c r="C776" s="624"/>
      <c r="D776" s="355">
        <v>3.9489999999999997E-2</v>
      </c>
      <c r="AV776" s="624"/>
      <c r="AX776" s="624">
        <v>39343</v>
      </c>
      <c r="AY776" s="355">
        <v>3.9620000000000002E-2</v>
      </c>
      <c r="AZ776" s="624">
        <v>39407</v>
      </c>
      <c r="BA776" s="355">
        <v>1.84E-2</v>
      </c>
      <c r="BB776" s="624">
        <v>39339</v>
      </c>
      <c r="BC776" s="355">
        <v>0.36759999999999998</v>
      </c>
      <c r="BD776" s="624">
        <v>39342</v>
      </c>
      <c r="BE776" s="355">
        <v>0.10753</v>
      </c>
      <c r="BF776" s="624">
        <v>39364</v>
      </c>
      <c r="BG776" s="355">
        <v>2.5354999999999999E-2</v>
      </c>
      <c r="BH776" s="624">
        <v>39339</v>
      </c>
      <c r="BI776" s="355">
        <v>0.106587</v>
      </c>
      <c r="BJ776" s="624">
        <v>39339</v>
      </c>
      <c r="BK776" s="355">
        <v>3.1299E-2</v>
      </c>
    </row>
    <row r="777" spans="3:63">
      <c r="C777" s="624"/>
      <c r="D777" s="355">
        <v>3.9620000000000002E-2</v>
      </c>
      <c r="AV777" s="624"/>
      <c r="AX777" s="624">
        <v>39344</v>
      </c>
      <c r="AY777" s="355">
        <v>3.9690000000000003E-2</v>
      </c>
      <c r="AZ777" s="624">
        <v>39408</v>
      </c>
      <c r="BA777" s="355">
        <v>1.83E-2</v>
      </c>
      <c r="BB777" s="624">
        <v>39342</v>
      </c>
      <c r="BC777" s="355">
        <v>0.36649999999999999</v>
      </c>
      <c r="BD777" s="624">
        <v>39343</v>
      </c>
      <c r="BE777" s="355">
        <v>0.10798000000000001</v>
      </c>
      <c r="BF777" s="624">
        <v>39365</v>
      </c>
      <c r="BG777" s="355">
        <v>2.5426000000000001E-2</v>
      </c>
      <c r="BH777" s="624">
        <v>39342</v>
      </c>
      <c r="BI777" s="355">
        <v>0.10652499999999999</v>
      </c>
      <c r="BJ777" s="624">
        <v>39342</v>
      </c>
      <c r="BK777" s="355">
        <v>3.1153E-2</v>
      </c>
    </row>
    <row r="778" spans="3:63">
      <c r="C778" s="624"/>
      <c r="D778" s="355">
        <v>3.9690000000000003E-2</v>
      </c>
      <c r="AV778" s="624"/>
      <c r="AX778" s="624">
        <v>39345</v>
      </c>
      <c r="AY778" s="355">
        <v>3.9870000000000003E-2</v>
      </c>
      <c r="AZ778" s="624">
        <v>39409</v>
      </c>
      <c r="BA778" s="355">
        <v>1.8200000000000001E-2</v>
      </c>
      <c r="BB778" s="624">
        <v>39343</v>
      </c>
      <c r="BC778" s="355">
        <v>0.37090000000000001</v>
      </c>
      <c r="BD778" s="624">
        <v>39344</v>
      </c>
      <c r="BE778" s="355">
        <v>0.10803</v>
      </c>
      <c r="BF778" s="624">
        <v>39366</v>
      </c>
      <c r="BG778" s="355">
        <v>2.5447000000000001E-2</v>
      </c>
      <c r="BH778" s="624">
        <v>39343</v>
      </c>
      <c r="BI778" s="355">
        <v>0.106667</v>
      </c>
      <c r="BJ778" s="624">
        <v>39343</v>
      </c>
      <c r="BK778" s="355">
        <v>3.1348000000000001E-2</v>
      </c>
    </row>
    <row r="779" spans="3:63">
      <c r="C779" s="624"/>
      <c r="D779" s="355">
        <v>3.9870000000000003E-2</v>
      </c>
      <c r="AV779" s="624"/>
      <c r="AX779" s="624">
        <v>39346</v>
      </c>
      <c r="AY779" s="355">
        <v>3.993E-2</v>
      </c>
      <c r="AZ779" s="624">
        <v>39412</v>
      </c>
      <c r="BA779" s="355">
        <v>1.8200000000000001E-2</v>
      </c>
      <c r="BB779" s="624">
        <v>39344</v>
      </c>
      <c r="BC779" s="355">
        <v>0.37009999999999998</v>
      </c>
      <c r="BD779" s="624">
        <v>39345</v>
      </c>
      <c r="BE779" s="355">
        <v>0.10859000000000001</v>
      </c>
      <c r="BF779" s="624">
        <v>39367</v>
      </c>
      <c r="BG779" s="355">
        <v>2.5409999999999999E-2</v>
      </c>
      <c r="BH779" s="624">
        <v>39344</v>
      </c>
      <c r="BI779" s="355">
        <v>0.10846</v>
      </c>
      <c r="BJ779" s="624">
        <v>39344</v>
      </c>
      <c r="BK779" s="355">
        <v>3.1269999999999999E-2</v>
      </c>
    </row>
    <row r="780" spans="3:63">
      <c r="C780" s="624"/>
      <c r="D780" s="355">
        <v>3.993E-2</v>
      </c>
      <c r="AV780" s="624"/>
      <c r="AX780" s="624">
        <v>39349</v>
      </c>
      <c r="AY780" s="355">
        <v>3.9980000000000002E-2</v>
      </c>
      <c r="AZ780" s="624">
        <v>39413</v>
      </c>
      <c r="BA780" s="355">
        <v>1.7999999999999999E-2</v>
      </c>
      <c r="BB780" s="624">
        <v>39345</v>
      </c>
      <c r="BC780" s="355">
        <v>0.373</v>
      </c>
      <c r="BD780" s="624">
        <v>39346</v>
      </c>
      <c r="BE780" s="355">
        <v>0.10854</v>
      </c>
      <c r="BF780" s="624">
        <v>39370</v>
      </c>
      <c r="BG780" s="355">
        <v>2.5451999999999999E-2</v>
      </c>
      <c r="BH780" s="624">
        <v>39345</v>
      </c>
      <c r="BI780" s="355">
        <v>0.10881399999999999</v>
      </c>
      <c r="BJ780" s="624">
        <v>39345</v>
      </c>
      <c r="BK780" s="355">
        <v>3.1348000000000001E-2</v>
      </c>
    </row>
    <row r="781" spans="3:63">
      <c r="C781" s="624"/>
      <c r="D781" s="355">
        <v>3.9980000000000002E-2</v>
      </c>
      <c r="AV781" s="624"/>
      <c r="AX781" s="624">
        <v>39350</v>
      </c>
      <c r="AY781" s="355">
        <v>4.0050000000000002E-2</v>
      </c>
      <c r="AZ781" s="624">
        <v>39415</v>
      </c>
      <c r="BA781" s="355">
        <v>1.7399999999999999E-2</v>
      </c>
      <c r="BB781" s="624">
        <v>39346</v>
      </c>
      <c r="BC781" s="355">
        <v>0.37469999999999998</v>
      </c>
      <c r="BD781" s="624">
        <v>39349</v>
      </c>
      <c r="BE781" s="355">
        <v>0.10875</v>
      </c>
      <c r="BF781" s="624">
        <v>39371</v>
      </c>
      <c r="BG781" s="355">
        <v>2.5413999999999999E-2</v>
      </c>
      <c r="BH781" s="624">
        <v>39346</v>
      </c>
      <c r="BI781" s="355">
        <v>0.109141</v>
      </c>
      <c r="BJ781" s="624">
        <v>39346</v>
      </c>
      <c r="BK781" s="355">
        <v>3.1357999999999997E-2</v>
      </c>
    </row>
    <row r="782" spans="3:63">
      <c r="C782" s="624"/>
      <c r="D782" s="355">
        <v>4.0050000000000002E-2</v>
      </c>
      <c r="AV782" s="624"/>
      <c r="AX782" s="624">
        <v>39351</v>
      </c>
      <c r="AY782" s="355">
        <v>4.0030000000000003E-2</v>
      </c>
      <c r="AZ782" s="624">
        <v>39416</v>
      </c>
      <c r="BA782" s="355">
        <v>1.77E-2</v>
      </c>
      <c r="BB782" s="624">
        <v>39349</v>
      </c>
      <c r="BC782" s="355">
        <v>0.37409999999999999</v>
      </c>
      <c r="BD782" s="624">
        <v>39350</v>
      </c>
      <c r="BE782" s="355">
        <v>0.10856</v>
      </c>
      <c r="BF782" s="624">
        <v>39372</v>
      </c>
      <c r="BG782" s="355">
        <v>2.5284000000000001E-2</v>
      </c>
      <c r="BH782" s="624">
        <v>39349</v>
      </c>
      <c r="BI782" s="355">
        <v>0.109338</v>
      </c>
      <c r="BJ782" s="624">
        <v>39349</v>
      </c>
      <c r="BK782" s="355">
        <v>3.125E-2</v>
      </c>
    </row>
    <row r="783" spans="3:63">
      <c r="C783" s="624"/>
      <c r="D783" s="355">
        <v>4.0030000000000003E-2</v>
      </c>
      <c r="AV783" s="624"/>
      <c r="AX783" s="624">
        <v>39352</v>
      </c>
      <c r="AY783" s="355">
        <v>4.0070000000000001E-2</v>
      </c>
      <c r="AZ783" s="624">
        <v>39419</v>
      </c>
      <c r="BA783" s="355">
        <v>1.7899999999999999E-2</v>
      </c>
      <c r="BB783" s="624">
        <v>39350</v>
      </c>
      <c r="BC783" s="355">
        <v>0.3745</v>
      </c>
      <c r="BD783" s="624">
        <v>39351</v>
      </c>
      <c r="BE783" s="355">
        <v>0.1086</v>
      </c>
      <c r="BF783" s="624">
        <v>39373</v>
      </c>
      <c r="BG783" s="355">
        <v>2.5132000000000002E-2</v>
      </c>
      <c r="BH783" s="624">
        <v>39350</v>
      </c>
      <c r="BI783" s="355">
        <v>0.10899200000000001</v>
      </c>
      <c r="BJ783" s="624">
        <v>39350</v>
      </c>
      <c r="BK783" s="355">
        <v>3.1299E-2</v>
      </c>
    </row>
    <row r="784" spans="3:63">
      <c r="C784" s="624"/>
      <c r="D784" s="355">
        <v>4.0070000000000001E-2</v>
      </c>
      <c r="AV784" s="624"/>
      <c r="AX784" s="624">
        <v>39353</v>
      </c>
      <c r="AY784" s="355">
        <v>4.0239999999999998E-2</v>
      </c>
      <c r="AZ784" s="624">
        <v>39420</v>
      </c>
      <c r="BA784" s="355">
        <v>1.83E-2</v>
      </c>
      <c r="BB784" s="624">
        <v>39351</v>
      </c>
      <c r="BC784" s="355">
        <v>0.37359999999999999</v>
      </c>
      <c r="BD784" s="624">
        <v>39352</v>
      </c>
      <c r="BE784" s="355">
        <v>0.10866000000000001</v>
      </c>
      <c r="BF784" s="624">
        <v>39374</v>
      </c>
      <c r="BG784" s="355">
        <v>2.5165E-2</v>
      </c>
      <c r="BH784" s="624">
        <v>39351</v>
      </c>
      <c r="BI784" s="355">
        <v>0.109164</v>
      </c>
      <c r="BJ784" s="624">
        <v>39351</v>
      </c>
      <c r="BK784" s="355">
        <v>3.1615999999999998E-2</v>
      </c>
    </row>
    <row r="785" spans="3:63">
      <c r="C785" s="624"/>
      <c r="D785" s="355">
        <v>4.0239999999999998E-2</v>
      </c>
      <c r="AV785" s="624"/>
      <c r="AX785" s="624">
        <v>39356</v>
      </c>
      <c r="AY785" s="355">
        <v>4.02E-2</v>
      </c>
      <c r="AZ785" s="624">
        <v>39421</v>
      </c>
      <c r="BA785" s="355">
        <v>1.84E-2</v>
      </c>
      <c r="BB785" s="624">
        <v>39352</v>
      </c>
      <c r="BC785" s="355">
        <v>0.3745</v>
      </c>
      <c r="BD785" s="624">
        <v>39353</v>
      </c>
      <c r="BE785" s="355">
        <v>0.10929999999999999</v>
      </c>
      <c r="BF785" s="624">
        <v>39377</v>
      </c>
      <c r="BG785" s="355">
        <v>2.5069000000000001E-2</v>
      </c>
      <c r="BH785" s="624">
        <v>39352</v>
      </c>
      <c r="BI785" s="355">
        <v>0.10942200000000001</v>
      </c>
      <c r="BJ785" s="624">
        <v>39352</v>
      </c>
      <c r="BK785" s="355">
        <v>3.1447000000000003E-2</v>
      </c>
    </row>
    <row r="786" spans="3:63">
      <c r="C786" s="624"/>
      <c r="D786" s="355">
        <v>4.02E-2</v>
      </c>
      <c r="AV786" s="624"/>
      <c r="AX786" s="624">
        <v>39357</v>
      </c>
      <c r="AY786" s="355">
        <v>4.0079999999999998E-2</v>
      </c>
      <c r="AZ786" s="624">
        <v>39422</v>
      </c>
      <c r="BA786" s="355">
        <v>1.8499999999999999E-2</v>
      </c>
      <c r="BB786" s="624">
        <v>39353</v>
      </c>
      <c r="BC786" s="355">
        <v>0.37840000000000001</v>
      </c>
      <c r="BD786" s="624">
        <v>39356</v>
      </c>
      <c r="BE786" s="355">
        <v>0.10939</v>
      </c>
      <c r="BF786" s="624">
        <v>39378</v>
      </c>
      <c r="BG786" s="355">
        <v>2.5239999999999999E-2</v>
      </c>
      <c r="BH786" s="624">
        <v>39353</v>
      </c>
      <c r="BI786" s="355">
        <v>0.109308</v>
      </c>
      <c r="BJ786" s="624">
        <v>39353</v>
      </c>
      <c r="BK786" s="355">
        <v>3.1368E-2</v>
      </c>
    </row>
    <row r="787" spans="3:63">
      <c r="C787" s="624"/>
      <c r="D787" s="355">
        <v>4.0079999999999998E-2</v>
      </c>
      <c r="AV787" s="624"/>
      <c r="AX787" s="624">
        <v>39358</v>
      </c>
      <c r="AY787" s="355">
        <v>3.9980000000000002E-2</v>
      </c>
      <c r="AZ787" s="624">
        <v>39423</v>
      </c>
      <c r="BA787" s="355">
        <v>1.84E-2</v>
      </c>
      <c r="BB787" s="624">
        <v>39356</v>
      </c>
      <c r="BC787" s="355">
        <v>0.378</v>
      </c>
      <c r="BD787" s="624">
        <v>39357</v>
      </c>
      <c r="BE787" s="355">
        <v>0.10913</v>
      </c>
      <c r="BF787" s="624">
        <v>39379</v>
      </c>
      <c r="BG787" s="355">
        <v>2.5271999999999999E-2</v>
      </c>
      <c r="BH787" s="624">
        <v>39356</v>
      </c>
      <c r="BI787" s="355">
        <v>0.10989</v>
      </c>
      <c r="BJ787" s="624">
        <v>39356</v>
      </c>
      <c r="BK787" s="355">
        <v>3.1413000000000003E-2</v>
      </c>
    </row>
    <row r="788" spans="3:63">
      <c r="C788" s="624"/>
      <c r="D788" s="355">
        <v>3.9980000000000002E-2</v>
      </c>
      <c r="AV788" s="624"/>
      <c r="AX788" s="624">
        <v>39359</v>
      </c>
      <c r="AY788" s="355">
        <v>4.0050000000000002E-2</v>
      </c>
      <c r="AZ788" s="624">
        <v>39426</v>
      </c>
      <c r="BA788" s="355">
        <v>1.84E-2</v>
      </c>
      <c r="BB788" s="624">
        <v>39357</v>
      </c>
      <c r="BC788" s="355">
        <v>0.37530000000000002</v>
      </c>
      <c r="BD788" s="624">
        <v>39358</v>
      </c>
      <c r="BE788" s="355">
        <v>0.10917</v>
      </c>
      <c r="BF788" s="624">
        <v>39380</v>
      </c>
      <c r="BG788" s="355">
        <v>2.5277999999999998E-2</v>
      </c>
      <c r="BH788" s="624">
        <v>39357</v>
      </c>
      <c r="BI788" s="355">
        <v>0.10963100000000001</v>
      </c>
      <c r="BJ788" s="624">
        <v>39357</v>
      </c>
      <c r="BK788" s="355">
        <v>3.1545999999999998E-2</v>
      </c>
    </row>
    <row r="789" spans="3:63">
      <c r="C789" s="624"/>
      <c r="D789" s="355">
        <v>4.0050000000000002E-2</v>
      </c>
      <c r="AV789" s="624"/>
      <c r="AX789" s="624">
        <v>39360</v>
      </c>
      <c r="AY789" s="355">
        <v>4.0050000000000002E-2</v>
      </c>
      <c r="AZ789" s="624">
        <v>39427</v>
      </c>
      <c r="BA789" s="355">
        <v>1.84E-2</v>
      </c>
      <c r="BB789" s="624">
        <v>39358</v>
      </c>
      <c r="BC789" s="355">
        <v>0.37319999999999998</v>
      </c>
      <c r="BD789" s="624">
        <v>39359</v>
      </c>
      <c r="BE789" s="355">
        <v>0.10909000000000001</v>
      </c>
      <c r="BF789" s="624">
        <v>39381</v>
      </c>
      <c r="BG789" s="355">
        <v>2.5322999999999998E-2</v>
      </c>
      <c r="BH789" s="624">
        <v>39358</v>
      </c>
      <c r="BI789" s="355">
        <v>0.109565</v>
      </c>
      <c r="BJ789" s="624">
        <v>39358</v>
      </c>
      <c r="BK789" s="355">
        <v>3.1600999999999997E-2</v>
      </c>
    </row>
    <row r="790" spans="3:63">
      <c r="C790" s="624"/>
      <c r="D790" s="355">
        <v>4.0050000000000002E-2</v>
      </c>
      <c r="AV790" s="624"/>
      <c r="AX790" s="624">
        <v>39363</v>
      </c>
      <c r="AY790" s="355">
        <v>3.9919999999999997E-2</v>
      </c>
      <c r="AZ790" s="624">
        <v>39428</v>
      </c>
      <c r="BA790" s="355">
        <v>1.8499999999999999E-2</v>
      </c>
      <c r="BB790" s="624">
        <v>39359</v>
      </c>
      <c r="BC790" s="355">
        <v>0.37530000000000002</v>
      </c>
      <c r="BD790" s="624">
        <v>39360</v>
      </c>
      <c r="BE790" s="355">
        <v>0.10913</v>
      </c>
      <c r="BF790" s="624">
        <v>39384</v>
      </c>
      <c r="BG790" s="355">
        <v>2.5361999999999999E-2</v>
      </c>
      <c r="BH790" s="624">
        <v>39359</v>
      </c>
      <c r="BI790" s="355">
        <v>0.109607</v>
      </c>
      <c r="BJ790" s="624">
        <v>39359</v>
      </c>
      <c r="BK790" s="355">
        <v>3.1545999999999998E-2</v>
      </c>
    </row>
    <row r="791" spans="3:63">
      <c r="C791" s="624"/>
      <c r="D791" s="355">
        <v>3.9919999999999997E-2</v>
      </c>
      <c r="AV791" s="624"/>
      <c r="AX791" s="624">
        <v>39364</v>
      </c>
      <c r="AY791" s="355">
        <v>4.0009999999999997E-2</v>
      </c>
      <c r="AZ791" s="624">
        <v>39429</v>
      </c>
      <c r="BA791" s="355">
        <v>1.8499999999999999E-2</v>
      </c>
      <c r="BB791" s="624">
        <v>39360</v>
      </c>
      <c r="BC791" s="355">
        <v>0.37540000000000001</v>
      </c>
      <c r="BD791" s="624">
        <v>39363</v>
      </c>
      <c r="BE791" s="355">
        <v>0.10919</v>
      </c>
      <c r="BF791" s="624">
        <v>39385</v>
      </c>
      <c r="BG791" s="355">
        <v>2.5409999999999999E-2</v>
      </c>
      <c r="BH791" s="624">
        <v>39360</v>
      </c>
      <c r="BI791" s="355">
        <v>0.110072</v>
      </c>
      <c r="BJ791" s="624">
        <v>39360</v>
      </c>
      <c r="BK791" s="355">
        <v>3.1822999999999997E-2</v>
      </c>
    </row>
    <row r="792" spans="3:63">
      <c r="C792" s="624"/>
      <c r="D792" s="355">
        <v>4.0009999999999997E-2</v>
      </c>
      <c r="AV792" s="624"/>
      <c r="AX792" s="624">
        <v>39365</v>
      </c>
      <c r="AY792" s="355">
        <v>4.0070000000000001E-2</v>
      </c>
      <c r="AZ792" s="624">
        <v>39430</v>
      </c>
      <c r="BA792" s="355">
        <v>1.84E-2</v>
      </c>
      <c r="BB792" s="624">
        <v>39363</v>
      </c>
      <c r="BC792" s="355">
        <v>0.37419999999999998</v>
      </c>
      <c r="BD792" s="624">
        <v>39364</v>
      </c>
      <c r="BE792" s="355">
        <v>0.10886999999999999</v>
      </c>
      <c r="BF792" s="624">
        <v>39386</v>
      </c>
      <c r="BG792" s="355">
        <v>2.5436E-2</v>
      </c>
      <c r="BH792" s="624">
        <v>39363</v>
      </c>
      <c r="BI792" s="355">
        <v>0.10995099999999999</v>
      </c>
      <c r="BJ792" s="624">
        <v>39363</v>
      </c>
      <c r="BK792" s="355">
        <v>3.1732000000000003E-2</v>
      </c>
    </row>
    <row r="793" spans="3:63">
      <c r="C793" s="624"/>
      <c r="D793" s="355">
        <v>4.0070000000000001E-2</v>
      </c>
      <c r="AV793" s="624"/>
      <c r="AX793" s="624">
        <v>39366</v>
      </c>
      <c r="AY793" s="355">
        <v>4.0140000000000002E-2</v>
      </c>
      <c r="AZ793" s="624">
        <v>39433</v>
      </c>
      <c r="BA793" s="355">
        <v>1.84E-2</v>
      </c>
      <c r="BB793" s="624">
        <v>39364</v>
      </c>
      <c r="BC793" s="355">
        <v>0.3765</v>
      </c>
      <c r="BD793" s="624">
        <v>39365</v>
      </c>
      <c r="BE793" s="355">
        <v>0.10868</v>
      </c>
      <c r="BF793" s="624">
        <v>39387</v>
      </c>
      <c r="BG793" s="355">
        <v>2.5336000000000001E-2</v>
      </c>
      <c r="BH793" s="624">
        <v>39364</v>
      </c>
      <c r="BI793" s="355">
        <v>0.110235</v>
      </c>
      <c r="BJ793" s="624">
        <v>39364</v>
      </c>
      <c r="BK793" s="355">
        <v>3.1746000000000003E-2</v>
      </c>
    </row>
    <row r="794" spans="3:63">
      <c r="C794" s="624"/>
      <c r="D794" s="355">
        <v>4.0140000000000002E-2</v>
      </c>
      <c r="AV794" s="624"/>
      <c r="AX794" s="624">
        <v>39367</v>
      </c>
      <c r="AY794" s="355">
        <v>4.0120000000000003E-2</v>
      </c>
      <c r="AZ794" s="624">
        <v>39434</v>
      </c>
      <c r="BA794" s="355">
        <v>1.84E-2</v>
      </c>
      <c r="BB794" s="624">
        <v>39365</v>
      </c>
      <c r="BC794" s="355">
        <v>0.37659999999999999</v>
      </c>
      <c r="BD794" s="624">
        <v>39366</v>
      </c>
      <c r="BE794" s="355">
        <v>0.10904</v>
      </c>
      <c r="BF794" s="624">
        <v>39388</v>
      </c>
      <c r="BG794" s="355">
        <v>2.5381000000000001E-2</v>
      </c>
      <c r="BH794" s="624">
        <v>39365</v>
      </c>
      <c r="BI794" s="355">
        <v>0.110254</v>
      </c>
      <c r="BJ794" s="624">
        <v>39365</v>
      </c>
      <c r="BK794" s="355">
        <v>3.1772000000000002E-2</v>
      </c>
    </row>
    <row r="795" spans="3:63">
      <c r="C795" s="624"/>
      <c r="D795" s="355">
        <v>4.0120000000000003E-2</v>
      </c>
      <c r="AV795" s="624"/>
      <c r="AX795" s="624">
        <v>39370</v>
      </c>
      <c r="AY795" s="355">
        <v>4.0160000000000001E-2</v>
      </c>
      <c r="AZ795" s="624">
        <v>39435</v>
      </c>
      <c r="BA795" s="355">
        <v>1.84E-2</v>
      </c>
      <c r="BB795" s="624">
        <v>39366</v>
      </c>
      <c r="BC795" s="355">
        <v>0.3805</v>
      </c>
      <c r="BD795" s="624">
        <v>39367</v>
      </c>
      <c r="BE795" s="355">
        <v>0.10894</v>
      </c>
      <c r="BF795" s="624">
        <v>39391</v>
      </c>
      <c r="BG795" s="355">
        <v>2.5413000000000002E-2</v>
      </c>
      <c r="BH795" s="624">
        <v>39366</v>
      </c>
      <c r="BI795" s="355">
        <v>0.110375</v>
      </c>
      <c r="BJ795" s="624">
        <v>39366</v>
      </c>
      <c r="BK795" s="355">
        <v>3.1801999999999997E-2</v>
      </c>
    </row>
    <row r="796" spans="3:63">
      <c r="C796" s="624"/>
      <c r="D796" s="355">
        <v>4.0160000000000001E-2</v>
      </c>
      <c r="AV796" s="624"/>
      <c r="AX796" s="624">
        <v>39371</v>
      </c>
      <c r="AY796" s="355">
        <v>4.011E-2</v>
      </c>
      <c r="AZ796" s="624">
        <v>39436</v>
      </c>
      <c r="BA796" s="355">
        <v>1.84E-2</v>
      </c>
      <c r="BB796" s="624">
        <v>39367</v>
      </c>
      <c r="BC796" s="355">
        <v>0.38080000000000003</v>
      </c>
      <c r="BD796" s="624">
        <v>39370</v>
      </c>
      <c r="BE796" s="355">
        <v>0.10886999999999999</v>
      </c>
      <c r="BF796" s="624">
        <v>39392</v>
      </c>
      <c r="BG796" s="355">
        <v>2.5458000000000001E-2</v>
      </c>
      <c r="BH796" s="624">
        <v>39367</v>
      </c>
      <c r="BI796" s="355">
        <v>0.110314</v>
      </c>
      <c r="BJ796" s="624">
        <v>39367</v>
      </c>
      <c r="BK796" s="355">
        <v>3.1746000000000003E-2</v>
      </c>
    </row>
    <row r="797" spans="3:63">
      <c r="C797" s="624"/>
      <c r="D797" s="355">
        <v>4.011E-2</v>
      </c>
      <c r="AV797" s="624"/>
      <c r="AX797" s="624">
        <v>39372</v>
      </c>
      <c r="AY797" s="355">
        <v>4.0160000000000001E-2</v>
      </c>
      <c r="AZ797" s="624">
        <v>39437</v>
      </c>
      <c r="BA797" s="355">
        <v>1.84E-2</v>
      </c>
      <c r="BB797" s="624">
        <v>39370</v>
      </c>
      <c r="BC797" s="355">
        <v>0.38290000000000002</v>
      </c>
      <c r="BD797" s="624">
        <v>39371</v>
      </c>
      <c r="BE797" s="355">
        <v>0.10886999999999999</v>
      </c>
      <c r="BF797" s="624">
        <v>39393</v>
      </c>
      <c r="BG797" s="355">
        <v>2.5440000000000001E-2</v>
      </c>
      <c r="BH797" s="624">
        <v>39370</v>
      </c>
      <c r="BI797" s="355">
        <v>0.109709</v>
      </c>
      <c r="BJ797" s="624">
        <v>39370</v>
      </c>
      <c r="BK797" s="355">
        <v>3.1781999999999998E-2</v>
      </c>
    </row>
    <row r="798" spans="3:63">
      <c r="C798" s="624"/>
      <c r="D798" s="355">
        <v>4.0160000000000001E-2</v>
      </c>
      <c r="AV798" s="624"/>
      <c r="AX798" s="624">
        <v>39373</v>
      </c>
      <c r="AY798" s="355">
        <v>4.0300000000000002E-2</v>
      </c>
      <c r="AZ798" s="624">
        <v>39440</v>
      </c>
      <c r="BA798" s="355">
        <v>1.83E-2</v>
      </c>
      <c r="BB798" s="624">
        <v>39371</v>
      </c>
      <c r="BC798" s="355">
        <v>0.38169999999999998</v>
      </c>
      <c r="BD798" s="624">
        <v>39372</v>
      </c>
      <c r="BE798" s="355">
        <v>0.10893</v>
      </c>
      <c r="BF798" s="624">
        <v>39394</v>
      </c>
      <c r="BG798" s="355">
        <v>2.5427999999999999E-2</v>
      </c>
      <c r="BH798" s="624">
        <v>39371</v>
      </c>
      <c r="BI798" s="355">
        <v>0.10922999999999999</v>
      </c>
      <c r="BJ798" s="624">
        <v>39371</v>
      </c>
      <c r="BK798" s="355">
        <v>3.1796999999999999E-2</v>
      </c>
    </row>
    <row r="799" spans="3:63">
      <c r="C799" s="624"/>
      <c r="D799" s="355">
        <v>4.0300000000000002E-2</v>
      </c>
      <c r="AV799" s="624"/>
      <c r="AX799" s="624">
        <v>39374</v>
      </c>
      <c r="AY799" s="355">
        <v>4.0289999999999999E-2</v>
      </c>
      <c r="AZ799" s="624">
        <v>39441</v>
      </c>
      <c r="BA799" s="355">
        <v>1.8100000000000002E-2</v>
      </c>
      <c r="BB799" s="624">
        <v>39372</v>
      </c>
      <c r="BC799" s="355">
        <v>0.3831</v>
      </c>
      <c r="BD799" s="624">
        <v>39373</v>
      </c>
      <c r="BE799" s="355">
        <v>0.10897</v>
      </c>
      <c r="BF799" s="624">
        <v>39395</v>
      </c>
      <c r="BG799" s="355">
        <v>2.5444999999999999E-2</v>
      </c>
      <c r="BH799" s="624">
        <v>39372</v>
      </c>
      <c r="BI799" s="355">
        <v>0.10985399999999999</v>
      </c>
      <c r="BJ799" s="624">
        <v>39372</v>
      </c>
      <c r="BK799" s="355">
        <v>3.1648000000000003E-2</v>
      </c>
    </row>
    <row r="800" spans="3:63">
      <c r="C800" s="624"/>
      <c r="D800" s="355">
        <v>4.0289999999999999E-2</v>
      </c>
      <c r="AV800" s="624"/>
      <c r="AX800" s="624">
        <v>39377</v>
      </c>
      <c r="AY800" s="355">
        <v>4.011E-2</v>
      </c>
      <c r="AZ800" s="624">
        <v>39442</v>
      </c>
      <c r="BA800" s="355">
        <v>1.77E-2</v>
      </c>
      <c r="BB800" s="624">
        <v>39373</v>
      </c>
      <c r="BC800" s="355">
        <v>0.38750000000000001</v>
      </c>
      <c r="BD800" s="624">
        <v>39374</v>
      </c>
      <c r="BE800" s="355">
        <v>0.10911</v>
      </c>
      <c r="BF800" s="624">
        <v>39398</v>
      </c>
      <c r="BG800" s="355">
        <v>2.5406999999999999E-2</v>
      </c>
      <c r="BH800" s="624">
        <v>39373</v>
      </c>
      <c r="BI800" s="355">
        <v>0.10976900000000001</v>
      </c>
      <c r="BJ800" s="624">
        <v>39373</v>
      </c>
      <c r="BK800" s="355">
        <v>3.1725999999999997E-2</v>
      </c>
    </row>
    <row r="801" spans="3:63">
      <c r="C801" s="624"/>
      <c r="D801" s="355">
        <v>4.011E-2</v>
      </c>
      <c r="AV801" s="624"/>
      <c r="AX801" s="624">
        <v>39378</v>
      </c>
      <c r="AY801" s="355">
        <v>4.0230000000000002E-2</v>
      </c>
      <c r="AZ801" s="624">
        <v>39443</v>
      </c>
      <c r="BA801" s="355">
        <v>1.83E-2</v>
      </c>
      <c r="BB801" s="624">
        <v>39374</v>
      </c>
      <c r="BC801" s="355">
        <v>0.38779999999999998</v>
      </c>
      <c r="BD801" s="624">
        <v>39377</v>
      </c>
      <c r="BE801" s="355">
        <v>0.10893</v>
      </c>
      <c r="BF801" s="624">
        <v>39399</v>
      </c>
      <c r="BG801" s="355">
        <v>2.5364999999999999E-2</v>
      </c>
      <c r="BH801" s="624">
        <v>39374</v>
      </c>
      <c r="BI801" s="355">
        <v>0.110011</v>
      </c>
      <c r="BJ801" s="624">
        <v>39374</v>
      </c>
      <c r="BK801" s="355">
        <v>3.1736E-2</v>
      </c>
    </row>
    <row r="802" spans="3:63">
      <c r="C802" s="624"/>
      <c r="D802" s="355">
        <v>4.0230000000000002E-2</v>
      </c>
      <c r="AV802" s="624"/>
      <c r="AX802" s="624">
        <v>39379</v>
      </c>
      <c r="AY802" s="355">
        <v>4.0230000000000002E-2</v>
      </c>
      <c r="AZ802" s="624">
        <v>39444</v>
      </c>
      <c r="BA802" s="355">
        <v>1.8700000000000001E-2</v>
      </c>
      <c r="BB802" s="624">
        <v>39377</v>
      </c>
      <c r="BC802" s="355">
        <v>0.3886</v>
      </c>
      <c r="BD802" s="624">
        <v>39378</v>
      </c>
      <c r="BE802" s="355">
        <v>0.10886999999999999</v>
      </c>
      <c r="BF802" s="624">
        <v>39400</v>
      </c>
      <c r="BG802" s="355">
        <v>2.5433999999999998E-2</v>
      </c>
      <c r="BH802" s="624">
        <v>39377</v>
      </c>
      <c r="BI802" s="355">
        <v>0.10940900000000001</v>
      </c>
      <c r="BJ802" s="624">
        <v>39377</v>
      </c>
      <c r="BK802" s="355">
        <v>3.1751000000000001E-2</v>
      </c>
    </row>
    <row r="803" spans="3:63">
      <c r="C803" s="624"/>
      <c r="D803" s="355">
        <v>4.0230000000000002E-2</v>
      </c>
      <c r="AV803" s="624"/>
      <c r="AX803" s="624">
        <v>39380</v>
      </c>
      <c r="AY803" s="355">
        <v>4.0309999999999999E-2</v>
      </c>
      <c r="AZ803" s="624">
        <v>39447</v>
      </c>
      <c r="BA803" s="355">
        <v>1.8499999999999999E-2</v>
      </c>
      <c r="BB803" s="624">
        <v>39378</v>
      </c>
      <c r="BC803" s="355">
        <v>0.38900000000000001</v>
      </c>
      <c r="BD803" s="624">
        <v>39379</v>
      </c>
      <c r="BE803" s="355">
        <v>0.10891000000000001</v>
      </c>
      <c r="BF803" s="624">
        <v>39401</v>
      </c>
      <c r="BG803" s="355">
        <v>2.5453E-2</v>
      </c>
      <c r="BH803" s="624">
        <v>39378</v>
      </c>
      <c r="BI803" s="355">
        <v>0.10940900000000001</v>
      </c>
      <c r="BJ803" s="624">
        <v>39378</v>
      </c>
      <c r="BK803" s="355">
        <v>3.1607999999999997E-2</v>
      </c>
    </row>
    <row r="804" spans="3:63">
      <c r="C804" s="624"/>
      <c r="D804" s="355">
        <v>4.0309999999999999E-2</v>
      </c>
      <c r="AV804" s="624"/>
      <c r="AX804" s="624">
        <v>39381</v>
      </c>
      <c r="AY804" s="355">
        <v>4.045E-2</v>
      </c>
      <c r="AZ804" s="624">
        <v>39448</v>
      </c>
      <c r="BA804" s="355">
        <v>1.8499999999999999E-2</v>
      </c>
      <c r="BB804" s="624">
        <v>39379</v>
      </c>
      <c r="BC804" s="355">
        <v>0.39050000000000001</v>
      </c>
      <c r="BD804" s="624">
        <v>39380</v>
      </c>
      <c r="BE804" s="355">
        <v>0.10911999999999999</v>
      </c>
      <c r="BF804" s="624">
        <v>39402</v>
      </c>
      <c r="BG804" s="355">
        <v>2.5429E-2</v>
      </c>
      <c r="BH804" s="624">
        <v>39379</v>
      </c>
      <c r="BI804" s="355">
        <v>0.10899200000000001</v>
      </c>
      <c r="BJ804" s="624">
        <v>39379</v>
      </c>
      <c r="BK804" s="355">
        <v>3.1181E-2</v>
      </c>
    </row>
    <row r="805" spans="3:63">
      <c r="C805" s="624"/>
      <c r="D805" s="355">
        <v>4.045E-2</v>
      </c>
      <c r="AV805" s="624"/>
      <c r="AX805" s="624">
        <v>39384</v>
      </c>
      <c r="AY805" s="355">
        <v>4.0489999999999998E-2</v>
      </c>
      <c r="AZ805" s="624">
        <v>39449</v>
      </c>
      <c r="BA805" s="355">
        <v>1.8700000000000001E-2</v>
      </c>
      <c r="BB805" s="624">
        <v>39380</v>
      </c>
      <c r="BC805" s="355">
        <v>0.39489999999999997</v>
      </c>
      <c r="BD805" s="624">
        <v>39381</v>
      </c>
      <c r="BE805" s="355">
        <v>0.10995000000000001</v>
      </c>
      <c r="BF805" s="624">
        <v>39405</v>
      </c>
      <c r="BG805" s="355">
        <v>2.5416000000000001E-2</v>
      </c>
      <c r="BH805" s="624">
        <v>39380</v>
      </c>
      <c r="BI805" s="355">
        <v>0.109182</v>
      </c>
      <c r="BJ805" s="624">
        <v>39380</v>
      </c>
      <c r="BK805" s="355">
        <v>3.1696000000000002E-2</v>
      </c>
    </row>
    <row r="806" spans="3:63">
      <c r="C806" s="624"/>
      <c r="D806" s="355">
        <v>4.0489999999999998E-2</v>
      </c>
      <c r="AV806" s="624"/>
      <c r="AX806" s="624">
        <v>39385</v>
      </c>
      <c r="AY806" s="355">
        <v>4.0509999999999997E-2</v>
      </c>
      <c r="AZ806" s="624">
        <v>39450</v>
      </c>
      <c r="BA806" s="355">
        <v>1.8700000000000001E-2</v>
      </c>
      <c r="BB806" s="624">
        <v>39381</v>
      </c>
      <c r="BC806" s="355">
        <v>0.39839999999999998</v>
      </c>
      <c r="BD806" s="624">
        <v>39384</v>
      </c>
      <c r="BE806" s="355">
        <v>0.10989</v>
      </c>
      <c r="BF806" s="624">
        <v>39406</v>
      </c>
      <c r="BG806" s="355">
        <v>2.5405E-2</v>
      </c>
      <c r="BH806" s="624">
        <v>39381</v>
      </c>
      <c r="BI806" s="355">
        <v>0.10958900000000001</v>
      </c>
      <c r="BJ806" s="624">
        <v>39381</v>
      </c>
      <c r="BK806" s="355">
        <v>3.1378999999999997E-2</v>
      </c>
    </row>
    <row r="807" spans="3:63">
      <c r="C807" s="624"/>
      <c r="D807" s="355">
        <v>4.0509999999999997E-2</v>
      </c>
      <c r="AV807" s="624"/>
      <c r="AX807" s="624">
        <v>39386</v>
      </c>
      <c r="AY807" s="355">
        <v>4.0559999999999999E-2</v>
      </c>
      <c r="AZ807" s="624">
        <v>39451</v>
      </c>
      <c r="BA807" s="355">
        <v>1.7899999999999999E-2</v>
      </c>
      <c r="BB807" s="624">
        <v>39384</v>
      </c>
      <c r="BC807" s="355">
        <v>0.39810000000000001</v>
      </c>
      <c r="BD807" s="624">
        <v>39385</v>
      </c>
      <c r="BE807" s="355">
        <v>0.11028</v>
      </c>
      <c r="BF807" s="624">
        <v>39407</v>
      </c>
      <c r="BG807" s="355">
        <v>2.5384E-2</v>
      </c>
      <c r="BH807" s="624">
        <v>39384</v>
      </c>
      <c r="BI807" s="355">
        <v>0.110011</v>
      </c>
      <c r="BJ807" s="624">
        <v>39384</v>
      </c>
      <c r="BK807" s="355">
        <v>3.1612000000000001E-2</v>
      </c>
    </row>
    <row r="808" spans="3:63">
      <c r="C808" s="624"/>
      <c r="D808" s="355">
        <v>4.0559999999999999E-2</v>
      </c>
      <c r="AV808" s="624"/>
      <c r="AX808" s="624">
        <v>39387</v>
      </c>
      <c r="AY808" s="355">
        <v>4.0480000000000002E-2</v>
      </c>
      <c r="AZ808" s="624">
        <v>39454</v>
      </c>
      <c r="BA808" s="355">
        <v>1.78E-2</v>
      </c>
      <c r="BB808" s="624">
        <v>39385</v>
      </c>
      <c r="BC808" s="355">
        <v>0.39689999999999998</v>
      </c>
      <c r="BD808" s="624">
        <v>39386</v>
      </c>
      <c r="BE808" s="355">
        <v>0.11083999999999999</v>
      </c>
      <c r="BF808" s="624">
        <v>39408</v>
      </c>
      <c r="BG808" s="355">
        <v>2.5302000000000002E-2</v>
      </c>
      <c r="BH808" s="624">
        <v>39385</v>
      </c>
      <c r="BI808" s="355">
        <v>0.10986</v>
      </c>
      <c r="BJ808" s="624">
        <v>39385</v>
      </c>
      <c r="BK808" s="355">
        <v>3.1505999999999999E-2</v>
      </c>
    </row>
    <row r="809" spans="3:63">
      <c r="C809" s="624"/>
      <c r="D809" s="355">
        <v>4.0480000000000002E-2</v>
      </c>
      <c r="AV809" s="624"/>
      <c r="AX809" s="624">
        <v>39388</v>
      </c>
      <c r="AY809" s="355">
        <v>4.0599999999999997E-2</v>
      </c>
      <c r="AZ809" s="624">
        <v>39455</v>
      </c>
      <c r="BA809" s="355">
        <v>1.7899999999999999E-2</v>
      </c>
      <c r="BB809" s="624">
        <v>39386</v>
      </c>
      <c r="BC809" s="355">
        <v>0.3997</v>
      </c>
      <c r="BD809" s="624">
        <v>39387</v>
      </c>
      <c r="BE809" s="355">
        <v>0.10995000000000001</v>
      </c>
      <c r="BF809" s="624">
        <v>39409</v>
      </c>
      <c r="BG809" s="355">
        <v>2.5183000000000001E-2</v>
      </c>
      <c r="BH809" s="624">
        <v>39386</v>
      </c>
      <c r="BI809" s="355">
        <v>0.109987</v>
      </c>
      <c r="BJ809" s="624">
        <v>39386</v>
      </c>
      <c r="BK809" s="355">
        <v>3.1586999999999997E-2</v>
      </c>
    </row>
    <row r="810" spans="3:63">
      <c r="C810" s="624"/>
      <c r="D810" s="355">
        <v>4.0599999999999997E-2</v>
      </c>
      <c r="AV810" s="624"/>
      <c r="AX810" s="624">
        <v>39391</v>
      </c>
      <c r="AY810" s="355">
        <v>4.0550000000000003E-2</v>
      </c>
      <c r="AZ810" s="624">
        <v>39456</v>
      </c>
      <c r="BA810" s="355">
        <v>1.77E-2</v>
      </c>
      <c r="BB810" s="624">
        <v>39387</v>
      </c>
      <c r="BC810" s="355">
        <v>0.39419999999999999</v>
      </c>
      <c r="BD810" s="624">
        <v>39388</v>
      </c>
      <c r="BE810" s="355">
        <v>0.11022</v>
      </c>
      <c r="BF810" s="624">
        <v>39412</v>
      </c>
      <c r="BG810" s="355">
        <v>2.5167999999999999E-2</v>
      </c>
      <c r="BH810" s="624">
        <v>39387</v>
      </c>
      <c r="BI810" s="355">
        <v>0.10929</v>
      </c>
      <c r="BJ810" s="624">
        <v>39387</v>
      </c>
      <c r="BK810" s="355">
        <v>3.1595999999999999E-2</v>
      </c>
    </row>
    <row r="811" spans="3:63">
      <c r="C811" s="624"/>
      <c r="D811" s="355">
        <v>4.0550000000000003E-2</v>
      </c>
      <c r="AV811" s="624"/>
      <c r="AX811" s="624">
        <v>39392</v>
      </c>
      <c r="AY811" s="355">
        <v>4.0680000000000001E-2</v>
      </c>
      <c r="AZ811" s="624">
        <v>39457</v>
      </c>
      <c r="BA811" s="355">
        <v>1.7899999999999999E-2</v>
      </c>
      <c r="BB811" s="624">
        <v>39388</v>
      </c>
      <c r="BC811" s="355">
        <v>0.3977</v>
      </c>
      <c r="BD811" s="624">
        <v>39391</v>
      </c>
      <c r="BE811" s="355">
        <v>0.10994</v>
      </c>
      <c r="BF811" s="624">
        <v>39413</v>
      </c>
      <c r="BG811" s="355">
        <v>2.5138000000000001E-2</v>
      </c>
      <c r="BH811" s="624">
        <v>39388</v>
      </c>
      <c r="BI811" s="355">
        <v>0.10976900000000001</v>
      </c>
      <c r="BJ811" s="624">
        <v>39388</v>
      </c>
      <c r="BK811" s="355">
        <v>3.1470999999999999E-2</v>
      </c>
    </row>
    <row r="812" spans="3:63">
      <c r="C812" s="624"/>
      <c r="D812" s="355">
        <v>4.0680000000000001E-2</v>
      </c>
      <c r="AV812" s="624"/>
      <c r="AX812" s="624">
        <v>39393</v>
      </c>
      <c r="AY812" s="355">
        <v>4.0820000000000002E-2</v>
      </c>
      <c r="AZ812" s="624">
        <v>39458</v>
      </c>
      <c r="BA812" s="355">
        <v>1.78E-2</v>
      </c>
      <c r="BB812" s="624">
        <v>39391</v>
      </c>
      <c r="BC812" s="355">
        <v>0.39700000000000002</v>
      </c>
      <c r="BD812" s="624">
        <v>39392</v>
      </c>
      <c r="BE812" s="355">
        <v>0.11018</v>
      </c>
      <c r="BF812" s="624">
        <v>39414</v>
      </c>
      <c r="BG812" s="355">
        <v>2.5139999999999999E-2</v>
      </c>
      <c r="BH812" s="624">
        <v>39391</v>
      </c>
      <c r="BI812" s="355">
        <v>0.109135</v>
      </c>
      <c r="BJ812" s="624">
        <v>39391</v>
      </c>
      <c r="BK812" s="355">
        <v>3.1586000000000003E-2</v>
      </c>
    </row>
    <row r="813" spans="3:63">
      <c r="C813" s="624"/>
      <c r="D813" s="355">
        <v>4.0820000000000002E-2</v>
      </c>
      <c r="AV813" s="624"/>
      <c r="AX813" s="624">
        <v>39394</v>
      </c>
      <c r="AY813" s="355">
        <v>4.088E-2</v>
      </c>
      <c r="AZ813" s="624">
        <v>39461</v>
      </c>
      <c r="BA813" s="355">
        <v>1.8200000000000001E-2</v>
      </c>
      <c r="BB813" s="624">
        <v>39392</v>
      </c>
      <c r="BC813" s="355">
        <v>0.40079999999999999</v>
      </c>
      <c r="BD813" s="624">
        <v>39393</v>
      </c>
      <c r="BE813" s="355">
        <v>0.11022999999999999</v>
      </c>
      <c r="BF813" s="624">
        <v>39415</v>
      </c>
      <c r="BG813" s="355">
        <v>2.5152999999999998E-2</v>
      </c>
      <c r="BH813" s="624">
        <v>39392</v>
      </c>
      <c r="BI813" s="355">
        <v>0.109679</v>
      </c>
      <c r="BJ813" s="624">
        <v>39392</v>
      </c>
      <c r="BK813" s="355">
        <v>3.1718000000000003E-2</v>
      </c>
    </row>
    <row r="814" spans="3:63">
      <c r="C814" s="624"/>
      <c r="D814" s="355">
        <v>4.088E-2</v>
      </c>
      <c r="AV814" s="624"/>
      <c r="AX814" s="624">
        <v>39395</v>
      </c>
      <c r="AY814" s="355">
        <v>4.0890000000000003E-2</v>
      </c>
      <c r="AZ814" s="624">
        <v>39462</v>
      </c>
      <c r="BA814" s="355">
        <v>1.83E-2</v>
      </c>
      <c r="BB814" s="624">
        <v>39393</v>
      </c>
      <c r="BC814" s="355">
        <v>0.40189999999999998</v>
      </c>
      <c r="BD814" s="624">
        <v>39394</v>
      </c>
      <c r="BE814" s="355">
        <v>0.11022</v>
      </c>
      <c r="BF814" s="624">
        <v>39416</v>
      </c>
      <c r="BG814" s="355">
        <v>2.5246000000000001E-2</v>
      </c>
      <c r="BH814" s="624">
        <v>39393</v>
      </c>
      <c r="BI814" s="355">
        <v>0.10931399999999999</v>
      </c>
      <c r="BJ814" s="624">
        <v>39393</v>
      </c>
      <c r="BK814" s="355">
        <v>3.1701E-2</v>
      </c>
    </row>
    <row r="815" spans="3:63">
      <c r="C815" s="624"/>
      <c r="D815" s="355">
        <v>4.0890000000000003E-2</v>
      </c>
      <c r="AV815" s="624"/>
      <c r="AX815" s="624">
        <v>39398</v>
      </c>
      <c r="AY815" s="355">
        <v>4.0640000000000003E-2</v>
      </c>
      <c r="AZ815" s="624">
        <v>39463</v>
      </c>
      <c r="BA815" s="355">
        <v>1.7999999999999999E-2</v>
      </c>
      <c r="BB815" s="624">
        <v>39394</v>
      </c>
      <c r="BC815" s="355">
        <v>0.40400000000000003</v>
      </c>
      <c r="BD815" s="624">
        <v>39395</v>
      </c>
      <c r="BE815" s="355">
        <v>0.10983</v>
      </c>
      <c r="BF815" s="624">
        <v>39419</v>
      </c>
      <c r="BG815" s="355">
        <v>2.5316000000000002E-2</v>
      </c>
      <c r="BH815" s="624">
        <v>39394</v>
      </c>
      <c r="BI815" s="355">
        <v>0.109349</v>
      </c>
      <c r="BJ815" s="624">
        <v>39394</v>
      </c>
      <c r="BK815" s="355">
        <v>3.1655999999999997E-2</v>
      </c>
    </row>
    <row r="816" spans="3:63">
      <c r="C816" s="624"/>
      <c r="D816" s="355">
        <v>4.0640000000000003E-2</v>
      </c>
      <c r="AV816" s="624"/>
      <c r="AX816" s="624">
        <v>39399</v>
      </c>
      <c r="AY816" s="355">
        <v>4.0750000000000001E-2</v>
      </c>
      <c r="AZ816" s="624">
        <v>39464</v>
      </c>
      <c r="BA816" s="355">
        <v>1.7999999999999999E-2</v>
      </c>
      <c r="BB816" s="624">
        <v>39395</v>
      </c>
      <c r="BC816" s="355">
        <v>0.40329999999999999</v>
      </c>
      <c r="BD816" s="624">
        <v>39398</v>
      </c>
      <c r="BE816" s="355">
        <v>0.10942</v>
      </c>
      <c r="BF816" s="624">
        <v>39420</v>
      </c>
      <c r="BG816" s="355">
        <v>2.5371000000000001E-2</v>
      </c>
      <c r="BH816" s="624">
        <v>39395</v>
      </c>
      <c r="BI816" s="355">
        <v>0.10940900000000001</v>
      </c>
      <c r="BJ816" s="624">
        <v>39395</v>
      </c>
      <c r="BK816" s="355">
        <v>3.1716000000000001E-2</v>
      </c>
    </row>
    <row r="817" spans="3:63">
      <c r="C817" s="624"/>
      <c r="D817" s="355">
        <v>4.0750000000000001E-2</v>
      </c>
      <c r="AV817" s="624"/>
      <c r="AX817" s="624">
        <v>39400</v>
      </c>
      <c r="AY817" s="355">
        <v>4.0829999999999998E-2</v>
      </c>
      <c r="AZ817" s="624">
        <v>39465</v>
      </c>
      <c r="BA817" s="355">
        <v>1.7999999999999999E-2</v>
      </c>
      <c r="BB817" s="624">
        <v>39398</v>
      </c>
      <c r="BC817" s="355">
        <v>0.39889999999999998</v>
      </c>
      <c r="BD817" s="624">
        <v>39399</v>
      </c>
      <c r="BE817" s="355">
        <v>0.10945000000000001</v>
      </c>
      <c r="BF817" s="624">
        <v>39421</v>
      </c>
      <c r="BG817" s="355">
        <v>2.5322999999999998E-2</v>
      </c>
      <c r="BH817" s="624">
        <v>39398</v>
      </c>
      <c r="BI817" s="355">
        <v>0.108932</v>
      </c>
      <c r="BJ817" s="624">
        <v>39398</v>
      </c>
      <c r="BK817" s="355">
        <v>3.1565999999999997E-2</v>
      </c>
    </row>
    <row r="818" spans="3:63">
      <c r="C818" s="624"/>
      <c r="D818" s="355">
        <v>4.0829999999999998E-2</v>
      </c>
      <c r="AV818" s="624"/>
      <c r="AX818" s="624">
        <v>39401</v>
      </c>
      <c r="AY818" s="355">
        <v>4.0770000000000001E-2</v>
      </c>
      <c r="AZ818" s="624">
        <v>39468</v>
      </c>
      <c r="BA818" s="355">
        <v>1.7899999999999999E-2</v>
      </c>
      <c r="BB818" s="624">
        <v>39399</v>
      </c>
      <c r="BC818" s="355">
        <v>0.40129999999999999</v>
      </c>
      <c r="BD818" s="624">
        <v>39400</v>
      </c>
      <c r="BE818" s="355">
        <v>0.10931</v>
      </c>
      <c r="BF818" s="624">
        <v>39422</v>
      </c>
      <c r="BG818" s="355">
        <v>2.5323999999999999E-2</v>
      </c>
      <c r="BH818" s="624">
        <v>39399</v>
      </c>
      <c r="BI818" s="355">
        <v>0.108932</v>
      </c>
      <c r="BJ818" s="624">
        <v>39399</v>
      </c>
      <c r="BK818" s="355">
        <v>3.1666E-2</v>
      </c>
    </row>
    <row r="819" spans="3:63">
      <c r="C819" s="624"/>
      <c r="D819" s="355">
        <v>4.0770000000000001E-2</v>
      </c>
      <c r="AV819" s="624"/>
      <c r="AX819" s="624">
        <v>39402</v>
      </c>
      <c r="AY819" s="355">
        <v>4.0849999999999997E-2</v>
      </c>
      <c r="AZ819" s="624">
        <v>39469</v>
      </c>
      <c r="BA819" s="355">
        <v>1.8100000000000002E-2</v>
      </c>
      <c r="BB819" s="624">
        <v>39400</v>
      </c>
      <c r="BC819" s="355">
        <v>0.40200000000000002</v>
      </c>
      <c r="BD819" s="624">
        <v>39401</v>
      </c>
      <c r="BE819" s="355">
        <v>0.10896</v>
      </c>
      <c r="BF819" s="624">
        <v>39423</v>
      </c>
      <c r="BG819" s="355">
        <v>2.5378000000000001E-2</v>
      </c>
      <c r="BH819" s="624">
        <v>39400</v>
      </c>
      <c r="BI819" s="355">
        <v>0.108572</v>
      </c>
      <c r="BJ819" s="624">
        <v>39400</v>
      </c>
      <c r="BK819" s="355">
        <v>3.1738000000000002E-2</v>
      </c>
    </row>
    <row r="820" spans="3:63">
      <c r="C820" s="624"/>
      <c r="D820" s="355">
        <v>4.0849999999999997E-2</v>
      </c>
      <c r="AV820" s="624"/>
      <c r="AX820" s="624">
        <v>39405</v>
      </c>
      <c r="AY820" s="355">
        <v>4.0849999999999997E-2</v>
      </c>
      <c r="AZ820" s="624">
        <v>39470</v>
      </c>
      <c r="BA820" s="355">
        <v>1.78E-2</v>
      </c>
      <c r="BB820" s="624">
        <v>39401</v>
      </c>
      <c r="BC820" s="355">
        <v>0.39839999999999998</v>
      </c>
      <c r="BD820" s="624">
        <v>39402</v>
      </c>
      <c r="BE820" s="355">
        <v>0.109</v>
      </c>
      <c r="BF820" s="624">
        <v>39426</v>
      </c>
      <c r="BG820" s="355">
        <v>2.5375999999999999E-2</v>
      </c>
      <c r="BH820" s="624">
        <v>39401</v>
      </c>
      <c r="BI820" s="355">
        <v>0.10695200000000001</v>
      </c>
      <c r="BJ820" s="624">
        <v>39401</v>
      </c>
      <c r="BK820" s="355">
        <v>3.1717000000000002E-2</v>
      </c>
    </row>
    <row r="821" spans="3:63">
      <c r="C821" s="624"/>
      <c r="D821" s="355">
        <v>4.0849999999999997E-2</v>
      </c>
      <c r="AV821" s="624"/>
      <c r="AX821" s="624">
        <v>39406</v>
      </c>
      <c r="AY821" s="355">
        <v>4.1110000000000001E-2</v>
      </c>
      <c r="AZ821" s="624">
        <v>39471</v>
      </c>
      <c r="BA821" s="355">
        <v>1.78E-2</v>
      </c>
      <c r="BB821" s="624">
        <v>39402</v>
      </c>
      <c r="BC821" s="355">
        <v>0.39900000000000002</v>
      </c>
      <c r="BD821" s="624">
        <v>39405</v>
      </c>
      <c r="BE821" s="355">
        <v>0.1086</v>
      </c>
      <c r="BF821" s="624">
        <v>39427</v>
      </c>
      <c r="BG821" s="355">
        <v>2.5423000000000001E-2</v>
      </c>
      <c r="BH821" s="624">
        <v>39402</v>
      </c>
      <c r="BI821" s="355">
        <v>0.107296</v>
      </c>
      <c r="BJ821" s="624">
        <v>39402</v>
      </c>
      <c r="BK821" s="355">
        <v>3.1775999999999999E-2</v>
      </c>
    </row>
    <row r="822" spans="3:63">
      <c r="C822" s="624"/>
      <c r="D822" s="355">
        <v>4.1110000000000001E-2</v>
      </c>
      <c r="AV822" s="624"/>
      <c r="AX822" s="624">
        <v>39407</v>
      </c>
      <c r="AY822" s="355">
        <v>4.1140000000000003E-2</v>
      </c>
      <c r="AZ822" s="624">
        <v>39472</v>
      </c>
      <c r="BA822" s="355">
        <v>1.78E-2</v>
      </c>
      <c r="BB822" s="624">
        <v>39405</v>
      </c>
      <c r="BC822" s="355">
        <v>0.39700000000000002</v>
      </c>
      <c r="BD822" s="624">
        <v>39406</v>
      </c>
      <c r="BE822" s="355">
        <v>0.10825</v>
      </c>
      <c r="BF822" s="624">
        <v>39428</v>
      </c>
      <c r="BG822" s="355">
        <v>2.5396999999999999E-2</v>
      </c>
      <c r="BH822" s="624">
        <v>39405</v>
      </c>
      <c r="BI822" s="355">
        <v>0.106781</v>
      </c>
      <c r="BJ822" s="624">
        <v>39405</v>
      </c>
      <c r="BK822" s="355">
        <v>3.1761999999999999E-2</v>
      </c>
    </row>
    <row r="823" spans="3:63">
      <c r="C823" s="624"/>
      <c r="D823" s="355">
        <v>4.1140000000000003E-2</v>
      </c>
      <c r="AV823" s="624"/>
      <c r="AX823" s="624">
        <v>39408</v>
      </c>
      <c r="AY823" s="355">
        <v>4.113E-2</v>
      </c>
      <c r="AZ823" s="624">
        <v>39475</v>
      </c>
      <c r="BA823" s="355">
        <v>1.7899999999999999E-2</v>
      </c>
      <c r="BB823" s="624">
        <v>39406</v>
      </c>
      <c r="BC823" s="355">
        <v>0.40410000000000001</v>
      </c>
      <c r="BD823" s="624">
        <v>39407</v>
      </c>
      <c r="BE823" s="355">
        <v>0.10725999999999999</v>
      </c>
      <c r="BF823" s="624">
        <v>39429</v>
      </c>
      <c r="BG823" s="355">
        <v>2.5378999999999999E-2</v>
      </c>
      <c r="BH823" s="624">
        <v>39406</v>
      </c>
      <c r="BI823" s="355">
        <v>0.107239</v>
      </c>
      <c r="BJ823" s="624">
        <v>39406</v>
      </c>
      <c r="BK823" s="355">
        <v>3.1760999999999998E-2</v>
      </c>
    </row>
    <row r="824" spans="3:63">
      <c r="C824" s="624"/>
      <c r="D824" s="355">
        <v>4.113E-2</v>
      </c>
      <c r="AV824" s="624"/>
      <c r="AX824" s="624">
        <v>39409</v>
      </c>
      <c r="AY824" s="355">
        <v>4.1119999999999997E-2</v>
      </c>
      <c r="AZ824" s="624">
        <v>39476</v>
      </c>
      <c r="BA824" s="355">
        <v>1.7899999999999999E-2</v>
      </c>
      <c r="BB824" s="624">
        <v>39407</v>
      </c>
      <c r="BC824" s="355">
        <v>0.4027</v>
      </c>
      <c r="BD824" s="624">
        <v>39408</v>
      </c>
      <c r="BE824" s="355">
        <v>0.10711</v>
      </c>
      <c r="BF824" s="624">
        <v>39430</v>
      </c>
      <c r="BG824" s="355">
        <v>2.5419000000000001E-2</v>
      </c>
      <c r="BH824" s="624">
        <v>39407</v>
      </c>
      <c r="BI824" s="355">
        <v>0.105876</v>
      </c>
      <c r="BJ824" s="624">
        <v>39407</v>
      </c>
      <c r="BK824" s="355">
        <v>3.1766000000000003E-2</v>
      </c>
    </row>
    <row r="825" spans="3:63">
      <c r="C825" s="624"/>
      <c r="D825" s="355">
        <v>4.1119999999999997E-2</v>
      </c>
      <c r="AV825" s="624"/>
      <c r="AX825" s="624">
        <v>39412</v>
      </c>
      <c r="AY825" s="355">
        <v>4.1169999999999998E-2</v>
      </c>
      <c r="AZ825" s="624">
        <v>39477</v>
      </c>
      <c r="BA825" s="355">
        <v>1.7999999999999999E-2</v>
      </c>
      <c r="BB825" s="624">
        <v>39408</v>
      </c>
      <c r="BC825" s="355">
        <v>0.4027</v>
      </c>
      <c r="BD825" s="624">
        <v>39409</v>
      </c>
      <c r="BE825" s="355">
        <v>0.10743</v>
      </c>
      <c r="BF825" s="624">
        <v>39433</v>
      </c>
      <c r="BG825" s="355">
        <v>2.5291000000000001E-2</v>
      </c>
      <c r="BH825" s="624">
        <v>39408</v>
      </c>
      <c r="BI825" s="355">
        <v>0.10644000000000001</v>
      </c>
      <c r="BJ825" s="624">
        <v>39408</v>
      </c>
      <c r="BK825" s="355">
        <v>3.1877999999999997E-2</v>
      </c>
    </row>
    <row r="826" spans="3:63">
      <c r="C826" s="624"/>
      <c r="D826" s="355">
        <v>4.1169999999999998E-2</v>
      </c>
      <c r="AV826" s="624"/>
      <c r="AX826" s="624">
        <v>39413</v>
      </c>
      <c r="AY826" s="355">
        <v>4.1110000000000001E-2</v>
      </c>
      <c r="AZ826" s="624">
        <v>39478</v>
      </c>
      <c r="BA826" s="355">
        <v>1.7999999999999999E-2</v>
      </c>
      <c r="BB826" s="624">
        <v>39409</v>
      </c>
      <c r="BC826" s="355">
        <v>0.4027</v>
      </c>
      <c r="BD826" s="624">
        <v>39412</v>
      </c>
      <c r="BE826" s="355">
        <v>0.1072</v>
      </c>
      <c r="BF826" s="624">
        <v>39434</v>
      </c>
      <c r="BG826" s="355">
        <v>2.5283E-2</v>
      </c>
      <c r="BH826" s="624">
        <v>39409</v>
      </c>
      <c r="BI826" s="355">
        <v>0.106826</v>
      </c>
      <c r="BJ826" s="624">
        <v>39409</v>
      </c>
      <c r="BK826" s="355">
        <v>3.2103E-2</v>
      </c>
    </row>
    <row r="827" spans="3:63">
      <c r="C827" s="624"/>
      <c r="D827" s="355">
        <v>4.1110000000000001E-2</v>
      </c>
      <c r="AV827" s="624"/>
      <c r="AX827" s="624">
        <v>39414</v>
      </c>
      <c r="AY827" s="355">
        <v>4.113E-2</v>
      </c>
      <c r="AZ827" s="624">
        <v>39479</v>
      </c>
      <c r="BA827" s="355">
        <v>1.7899999999999999E-2</v>
      </c>
      <c r="BB827" s="624">
        <v>39412</v>
      </c>
      <c r="BC827" s="355">
        <v>0.40250000000000002</v>
      </c>
      <c r="BD827" s="624">
        <v>39413</v>
      </c>
      <c r="BE827" s="355">
        <v>0.10739</v>
      </c>
      <c r="BF827" s="624">
        <v>39435</v>
      </c>
      <c r="BG827" s="355">
        <v>2.5253999999999999E-2</v>
      </c>
      <c r="BH827" s="624">
        <v>39412</v>
      </c>
      <c r="BI827" s="355">
        <v>0.10644000000000001</v>
      </c>
      <c r="BJ827" s="624">
        <v>39412</v>
      </c>
      <c r="BK827" s="355">
        <v>3.2030999999999997E-2</v>
      </c>
    </row>
    <row r="828" spans="3:63">
      <c r="C828" s="624"/>
      <c r="D828" s="355">
        <v>4.113E-2</v>
      </c>
      <c r="AV828" s="624"/>
      <c r="AX828" s="624">
        <v>39415</v>
      </c>
      <c r="AY828" s="355">
        <v>4.0960000000000003E-2</v>
      </c>
      <c r="AZ828" s="624">
        <v>39482</v>
      </c>
      <c r="BA828" s="355">
        <v>1.8200000000000001E-2</v>
      </c>
      <c r="BB828" s="624">
        <v>39413</v>
      </c>
      <c r="BC828" s="355">
        <v>0.4042</v>
      </c>
      <c r="BD828" s="624">
        <v>39414</v>
      </c>
      <c r="BE828" s="355">
        <v>0.10768999999999999</v>
      </c>
      <c r="BF828" s="624">
        <v>39436</v>
      </c>
      <c r="BG828" s="355">
        <v>2.5288000000000001E-2</v>
      </c>
      <c r="BH828" s="624">
        <v>39413</v>
      </c>
      <c r="BI828" s="355">
        <v>0.106157</v>
      </c>
      <c r="BJ828" s="624">
        <v>39413</v>
      </c>
      <c r="BK828" s="355">
        <v>3.2167000000000001E-2</v>
      </c>
    </row>
    <row r="829" spans="3:63">
      <c r="C829" s="624"/>
      <c r="D829" s="355">
        <v>4.0960000000000003E-2</v>
      </c>
      <c r="AV829" s="624"/>
      <c r="AX829" s="624">
        <v>39416</v>
      </c>
      <c r="AY829" s="355">
        <v>4.0800000000000003E-2</v>
      </c>
      <c r="AZ829" s="624">
        <v>39483</v>
      </c>
      <c r="BA829" s="355">
        <v>1.7999999999999999E-2</v>
      </c>
      <c r="BB829" s="624">
        <v>39414</v>
      </c>
      <c r="BC829" s="355">
        <v>0.4078</v>
      </c>
      <c r="BD829" s="624">
        <v>39415</v>
      </c>
      <c r="BE829" s="355">
        <v>0.10761</v>
      </c>
      <c r="BF829" s="624">
        <v>39440</v>
      </c>
      <c r="BG829" s="355">
        <v>2.5347000000000001E-2</v>
      </c>
      <c r="BH829" s="624">
        <v>39414</v>
      </c>
      <c r="BI829" s="355">
        <v>0.106129</v>
      </c>
      <c r="BJ829" s="624">
        <v>39414</v>
      </c>
      <c r="BK829" s="355">
        <v>3.2446999999999997E-2</v>
      </c>
    </row>
    <row r="830" spans="3:63">
      <c r="C830" s="624"/>
      <c r="D830" s="355">
        <v>4.0800000000000003E-2</v>
      </c>
      <c r="AV830" s="624"/>
      <c r="AX830" s="624">
        <v>39419</v>
      </c>
      <c r="AY830" s="355">
        <v>4.086E-2</v>
      </c>
      <c r="AZ830" s="624">
        <v>39484</v>
      </c>
      <c r="BA830" s="355">
        <v>1.7500000000000002E-2</v>
      </c>
      <c r="BB830" s="624">
        <v>39415</v>
      </c>
      <c r="BC830" s="355">
        <v>0.40579999999999999</v>
      </c>
      <c r="BD830" s="624">
        <v>39416</v>
      </c>
      <c r="BE830" s="355">
        <v>0.10804999999999999</v>
      </c>
      <c r="BF830" s="624">
        <v>39442</v>
      </c>
      <c r="BG830" s="355">
        <v>2.5368000000000002E-2</v>
      </c>
      <c r="BH830" s="624">
        <v>39415</v>
      </c>
      <c r="BI830" s="355">
        <v>0.10661</v>
      </c>
      <c r="BJ830" s="624">
        <v>39415</v>
      </c>
      <c r="BK830" s="355">
        <v>3.2309999999999998E-2</v>
      </c>
    </row>
    <row r="831" spans="3:63">
      <c r="C831" s="624"/>
      <c r="D831" s="355">
        <v>4.086E-2</v>
      </c>
      <c r="AV831" s="624"/>
      <c r="AX831" s="624">
        <v>39420</v>
      </c>
      <c r="AY831" s="355">
        <v>4.1000000000000002E-2</v>
      </c>
      <c r="AZ831" s="624">
        <v>39485</v>
      </c>
      <c r="BA831" s="355">
        <v>1.7299999999999999E-2</v>
      </c>
      <c r="BB831" s="624">
        <v>39416</v>
      </c>
      <c r="BC831" s="355">
        <v>0.40550000000000003</v>
      </c>
      <c r="BD831" s="624">
        <v>39419</v>
      </c>
      <c r="BE831" s="355">
        <v>0.10815</v>
      </c>
      <c r="BF831" s="624">
        <v>39443</v>
      </c>
      <c r="BG831" s="355">
        <v>2.5364000000000001E-2</v>
      </c>
      <c r="BH831" s="624">
        <v>39416</v>
      </c>
      <c r="BI831" s="355">
        <v>0.107158</v>
      </c>
      <c r="BJ831" s="624">
        <v>39416</v>
      </c>
      <c r="BK831" s="355">
        <v>3.2426000000000003E-2</v>
      </c>
    </row>
    <row r="832" spans="3:63">
      <c r="C832" s="624"/>
      <c r="D832" s="355">
        <v>4.1000000000000002E-2</v>
      </c>
      <c r="AV832" s="624"/>
      <c r="AX832" s="624">
        <v>39421</v>
      </c>
      <c r="AY832" s="355">
        <v>4.0759999999999998E-2</v>
      </c>
      <c r="AZ832" s="624">
        <v>39486</v>
      </c>
      <c r="BA832" s="355">
        <v>1.7399999999999999E-2</v>
      </c>
      <c r="BB832" s="624">
        <v>39419</v>
      </c>
      <c r="BC832" s="355">
        <v>0.40660000000000002</v>
      </c>
      <c r="BD832" s="624">
        <v>39420</v>
      </c>
      <c r="BE832" s="355">
        <v>0.10811</v>
      </c>
      <c r="BF832" s="624">
        <v>39444</v>
      </c>
      <c r="BG832" s="355">
        <v>2.5357000000000001E-2</v>
      </c>
      <c r="BH832" s="624">
        <v>39419</v>
      </c>
      <c r="BI832" s="355">
        <v>0.107181</v>
      </c>
      <c r="BJ832" s="624">
        <v>39419</v>
      </c>
      <c r="BK832" s="355">
        <v>3.2522000000000002E-2</v>
      </c>
    </row>
    <row r="833" spans="3:63">
      <c r="C833" s="624"/>
      <c r="D833" s="355">
        <v>4.0759999999999998E-2</v>
      </c>
      <c r="AV833" s="624"/>
      <c r="AX833" s="624">
        <v>39422</v>
      </c>
      <c r="AY833" s="355">
        <v>4.0820000000000002E-2</v>
      </c>
      <c r="AZ833" s="624">
        <v>39489</v>
      </c>
      <c r="BA833" s="355">
        <v>1.7500000000000002E-2</v>
      </c>
      <c r="BB833" s="624">
        <v>39420</v>
      </c>
      <c r="BC833" s="355">
        <v>0.40870000000000001</v>
      </c>
      <c r="BD833" s="624">
        <v>39421</v>
      </c>
      <c r="BE833" s="355">
        <v>0.1082</v>
      </c>
      <c r="BF833" s="624">
        <v>39447</v>
      </c>
      <c r="BG833" s="355">
        <v>2.5374000000000001E-2</v>
      </c>
      <c r="BH833" s="624">
        <v>39420</v>
      </c>
      <c r="BI833" s="355">
        <v>0.107469</v>
      </c>
      <c r="BJ833" s="624">
        <v>39420</v>
      </c>
      <c r="BK833" s="355">
        <v>3.2786999999999997E-2</v>
      </c>
    </row>
    <row r="834" spans="3:63">
      <c r="C834" s="624"/>
      <c r="D834" s="355">
        <v>4.0820000000000002E-2</v>
      </c>
      <c r="AV834" s="624"/>
      <c r="AX834" s="624">
        <v>39423</v>
      </c>
      <c r="AY834" s="355">
        <v>4.0840000000000001E-2</v>
      </c>
      <c r="AZ834" s="624">
        <v>39490</v>
      </c>
      <c r="BA834" s="355">
        <v>1.7500000000000002E-2</v>
      </c>
      <c r="BB834" s="624">
        <v>39421</v>
      </c>
      <c r="BC834" s="355">
        <v>0.40760000000000002</v>
      </c>
      <c r="BD834" s="624">
        <v>39422</v>
      </c>
      <c r="BE834" s="355">
        <v>0.10829999999999999</v>
      </c>
      <c r="BF834" s="624">
        <v>39448</v>
      </c>
      <c r="BG834" s="355">
        <v>2.5368999999999999E-2</v>
      </c>
      <c r="BH834" s="624">
        <v>39421</v>
      </c>
      <c r="BI834" s="355">
        <v>0.107916</v>
      </c>
      <c r="BJ834" s="624">
        <v>39421</v>
      </c>
      <c r="BK834" s="355">
        <v>3.3027000000000001E-2</v>
      </c>
    </row>
    <row r="835" spans="3:63">
      <c r="C835" s="624"/>
      <c r="D835" s="355">
        <v>4.0840000000000001E-2</v>
      </c>
      <c r="AV835" s="624"/>
      <c r="AX835" s="624">
        <v>39426</v>
      </c>
      <c r="AY835" s="355">
        <v>4.0939999999999997E-2</v>
      </c>
      <c r="AZ835" s="624">
        <v>39491</v>
      </c>
      <c r="BA835" s="355">
        <v>1.7500000000000002E-2</v>
      </c>
      <c r="BB835" s="624">
        <v>39422</v>
      </c>
      <c r="BC835" s="355">
        <v>0.40839999999999999</v>
      </c>
      <c r="BD835" s="624">
        <v>39423</v>
      </c>
      <c r="BE835" s="355">
        <v>0.10854999999999999</v>
      </c>
      <c r="BF835" s="624">
        <v>39449</v>
      </c>
      <c r="BG835" s="355">
        <v>2.5364999999999999E-2</v>
      </c>
      <c r="BH835" s="624">
        <v>39422</v>
      </c>
      <c r="BI835" s="355">
        <v>0.107962</v>
      </c>
      <c r="BJ835" s="624">
        <v>39422</v>
      </c>
      <c r="BK835" s="355">
        <v>3.3002999999999998E-2</v>
      </c>
    </row>
    <row r="836" spans="3:63">
      <c r="C836" s="624"/>
      <c r="D836" s="355">
        <v>4.0939999999999997E-2</v>
      </c>
      <c r="AV836" s="624"/>
      <c r="AX836" s="624">
        <v>39427</v>
      </c>
      <c r="AY836" s="355">
        <v>4.0849999999999997E-2</v>
      </c>
      <c r="AZ836" s="624">
        <v>39492</v>
      </c>
      <c r="BA836" s="355">
        <v>1.7600000000000001E-2</v>
      </c>
      <c r="BB836" s="624">
        <v>39423</v>
      </c>
      <c r="BC836" s="355">
        <v>0.41010000000000002</v>
      </c>
      <c r="BD836" s="624">
        <v>39426</v>
      </c>
      <c r="BE836" s="355">
        <v>0.10827000000000001</v>
      </c>
      <c r="BF836" s="624">
        <v>39450</v>
      </c>
      <c r="BG836" s="355">
        <v>2.5381000000000001E-2</v>
      </c>
      <c r="BH836" s="624">
        <v>39423</v>
      </c>
      <c r="BI836" s="355">
        <v>0.107846</v>
      </c>
      <c r="BJ836" s="624">
        <v>39423</v>
      </c>
      <c r="BK836" s="355">
        <v>3.2975999999999998E-2</v>
      </c>
    </row>
    <row r="837" spans="3:63">
      <c r="C837" s="624"/>
      <c r="D837" s="355">
        <v>4.0849999999999997E-2</v>
      </c>
      <c r="AV837" s="624"/>
      <c r="AX837" s="624">
        <v>39428</v>
      </c>
      <c r="AY837" s="355">
        <v>4.0919999999999998E-2</v>
      </c>
      <c r="AZ837" s="624">
        <v>39493</v>
      </c>
      <c r="BA837" s="355">
        <v>1.7600000000000001E-2</v>
      </c>
      <c r="BB837" s="624">
        <v>39426</v>
      </c>
      <c r="BC837" s="355">
        <v>0.41220000000000001</v>
      </c>
      <c r="BD837" s="624">
        <v>39427</v>
      </c>
      <c r="BE837" s="355">
        <v>0.10824</v>
      </c>
      <c r="BF837" s="624">
        <v>39451</v>
      </c>
      <c r="BG837" s="355">
        <v>2.5433999999999998E-2</v>
      </c>
      <c r="BH837" s="624">
        <v>39426</v>
      </c>
      <c r="BI837" s="355">
        <v>0.10791000000000001</v>
      </c>
      <c r="BJ837" s="624">
        <v>39426</v>
      </c>
      <c r="BK837" s="355">
        <v>3.3059999999999999E-2</v>
      </c>
    </row>
    <row r="838" spans="3:63">
      <c r="C838" s="624"/>
      <c r="D838" s="355">
        <v>4.0919999999999998E-2</v>
      </c>
      <c r="AV838" s="624"/>
      <c r="AX838" s="624">
        <v>39429</v>
      </c>
      <c r="AY838" s="355">
        <v>4.0809999999999999E-2</v>
      </c>
      <c r="AZ838" s="624">
        <v>39496</v>
      </c>
      <c r="BA838" s="355">
        <v>1.7600000000000001E-2</v>
      </c>
      <c r="BB838" s="624">
        <v>39427</v>
      </c>
      <c r="BC838" s="355">
        <v>0.4083</v>
      </c>
      <c r="BD838" s="624">
        <v>39428</v>
      </c>
      <c r="BE838" s="355">
        <v>0.1081</v>
      </c>
      <c r="BF838" s="624">
        <v>39454</v>
      </c>
      <c r="BG838" s="355">
        <v>2.5446E-2</v>
      </c>
      <c r="BH838" s="624">
        <v>39427</v>
      </c>
      <c r="BI838" s="355">
        <v>0.10775899999999999</v>
      </c>
      <c r="BJ838" s="624">
        <v>39427</v>
      </c>
      <c r="BK838" s="355">
        <v>3.3014000000000002E-2</v>
      </c>
    </row>
    <row r="839" spans="3:63">
      <c r="C839" s="624"/>
      <c r="D839" s="355">
        <v>4.0809999999999999E-2</v>
      </c>
      <c r="AV839" s="624"/>
      <c r="AX839" s="624">
        <v>39430</v>
      </c>
      <c r="AY839" s="355">
        <v>4.052E-2</v>
      </c>
      <c r="AZ839" s="624">
        <v>39497</v>
      </c>
      <c r="BA839" s="355">
        <v>1.77E-2</v>
      </c>
      <c r="BB839" s="624">
        <v>39428</v>
      </c>
      <c r="BC839" s="355">
        <v>0.41120000000000001</v>
      </c>
      <c r="BD839" s="624">
        <v>39429</v>
      </c>
      <c r="BE839" s="355">
        <v>0.10791000000000001</v>
      </c>
      <c r="BF839" s="624">
        <v>39455</v>
      </c>
      <c r="BG839" s="355">
        <v>2.5461000000000001E-2</v>
      </c>
      <c r="BH839" s="624">
        <v>39428</v>
      </c>
      <c r="BI839" s="355">
        <v>0.107631</v>
      </c>
      <c r="BJ839" s="624">
        <v>39428</v>
      </c>
      <c r="BK839" s="355">
        <v>3.3057999999999997E-2</v>
      </c>
    </row>
    <row r="840" spans="3:63">
      <c r="C840" s="624"/>
      <c r="D840" s="355">
        <v>4.052E-2</v>
      </c>
      <c r="AV840" s="624"/>
      <c r="AX840" s="624">
        <v>39433</v>
      </c>
      <c r="AY840" s="355">
        <v>4.0469999999999999E-2</v>
      </c>
      <c r="AZ840" s="624">
        <v>39498</v>
      </c>
      <c r="BA840" s="355">
        <v>1.77E-2</v>
      </c>
      <c r="BB840" s="624">
        <v>39429</v>
      </c>
      <c r="BC840" s="355">
        <v>0.40639999999999998</v>
      </c>
      <c r="BD840" s="624">
        <v>39430</v>
      </c>
      <c r="BE840" s="355">
        <v>0.10752</v>
      </c>
      <c r="BF840" s="624">
        <v>39456</v>
      </c>
      <c r="BG840" s="355">
        <v>2.5457E-2</v>
      </c>
      <c r="BH840" s="624">
        <v>39429</v>
      </c>
      <c r="BI840" s="355">
        <v>0.10741199999999999</v>
      </c>
      <c r="BJ840" s="624">
        <v>39429</v>
      </c>
      <c r="BK840" s="355">
        <v>3.3159000000000001E-2</v>
      </c>
    </row>
    <row r="841" spans="3:63">
      <c r="C841" s="624"/>
      <c r="D841" s="355">
        <v>4.0469999999999999E-2</v>
      </c>
      <c r="AV841" s="624"/>
      <c r="AX841" s="624">
        <v>39434</v>
      </c>
      <c r="AY841" s="355">
        <v>4.0480000000000002E-2</v>
      </c>
      <c r="AZ841" s="624">
        <v>39499</v>
      </c>
      <c r="BA841" s="355">
        <v>1.78E-2</v>
      </c>
      <c r="BB841" s="624">
        <v>39430</v>
      </c>
      <c r="BC841" s="355">
        <v>0.39950000000000002</v>
      </c>
      <c r="BD841" s="624">
        <v>39433</v>
      </c>
      <c r="BE841" s="355">
        <v>0.10684</v>
      </c>
      <c r="BF841" s="624">
        <v>39457</v>
      </c>
      <c r="BG841" s="355">
        <v>2.5454000000000001E-2</v>
      </c>
      <c r="BH841" s="624">
        <v>39430</v>
      </c>
      <c r="BI841" s="355">
        <v>0.106929</v>
      </c>
      <c r="BJ841" s="624">
        <v>39430</v>
      </c>
      <c r="BK841" s="355">
        <v>3.3168000000000003E-2</v>
      </c>
    </row>
    <row r="842" spans="3:63">
      <c r="C842" s="624"/>
      <c r="D842" s="355">
        <v>4.0480000000000002E-2</v>
      </c>
      <c r="AV842" s="624"/>
      <c r="AX842" s="624">
        <v>39435</v>
      </c>
      <c r="AY842" s="355">
        <v>4.0430000000000001E-2</v>
      </c>
      <c r="AZ842" s="624">
        <v>39500</v>
      </c>
      <c r="BA842" s="355">
        <v>1.7999999999999999E-2</v>
      </c>
      <c r="BB842" s="624">
        <v>39433</v>
      </c>
      <c r="BC842" s="355">
        <v>0.39700000000000002</v>
      </c>
      <c r="BD842" s="624">
        <v>39434</v>
      </c>
      <c r="BE842" s="355">
        <v>0.10645</v>
      </c>
      <c r="BF842" s="624">
        <v>39458</v>
      </c>
      <c r="BG842" s="355">
        <v>2.5444999999999999E-2</v>
      </c>
      <c r="BH842" s="624">
        <v>39433</v>
      </c>
      <c r="BI842" s="355">
        <v>0.10627</v>
      </c>
      <c r="BJ842" s="624">
        <v>39433</v>
      </c>
      <c r="BK842" s="355">
        <v>3.295E-2</v>
      </c>
    </row>
    <row r="843" spans="3:63">
      <c r="C843" s="624"/>
      <c r="D843" s="355">
        <v>4.0430000000000001E-2</v>
      </c>
      <c r="AV843" s="624"/>
      <c r="AX843" s="624">
        <v>39436</v>
      </c>
      <c r="AY843" s="355">
        <v>4.036E-2</v>
      </c>
      <c r="AZ843" s="624">
        <v>39503</v>
      </c>
      <c r="BA843" s="355">
        <v>1.7899999999999999E-2</v>
      </c>
      <c r="BB843" s="624">
        <v>39434</v>
      </c>
      <c r="BC843" s="355">
        <v>0.39950000000000002</v>
      </c>
      <c r="BD843" s="624">
        <v>39435</v>
      </c>
      <c r="BE843" s="355">
        <v>0.10645</v>
      </c>
      <c r="BF843" s="624">
        <v>39461</v>
      </c>
      <c r="BG843" s="355">
        <v>2.5451000000000001E-2</v>
      </c>
      <c r="BH843" s="624">
        <v>39434</v>
      </c>
      <c r="BI843" s="355">
        <v>0.10638300000000001</v>
      </c>
      <c r="BJ843" s="624">
        <v>39434</v>
      </c>
      <c r="BK843" s="355">
        <v>3.2807999999999997E-2</v>
      </c>
    </row>
    <row r="844" spans="3:63">
      <c r="C844" s="624"/>
      <c r="D844" s="355">
        <v>4.036E-2</v>
      </c>
      <c r="AV844" s="624"/>
      <c r="AX844" s="624">
        <v>39437</v>
      </c>
      <c r="AY844" s="355">
        <v>4.0430000000000001E-2</v>
      </c>
      <c r="AZ844" s="624">
        <v>39504</v>
      </c>
      <c r="BA844" s="355">
        <v>1.7999999999999999E-2</v>
      </c>
      <c r="BB844" s="624">
        <v>39435</v>
      </c>
      <c r="BC844" s="355">
        <v>0.39760000000000001</v>
      </c>
      <c r="BD844" s="624">
        <v>39436</v>
      </c>
      <c r="BE844" s="355">
        <v>0.10596999999999999</v>
      </c>
      <c r="BF844" s="624">
        <v>39462</v>
      </c>
      <c r="BG844" s="355">
        <v>2.5464000000000001E-2</v>
      </c>
      <c r="BH844" s="624">
        <v>39435</v>
      </c>
      <c r="BI844" s="355">
        <v>0.106101</v>
      </c>
      <c r="BJ844" s="624">
        <v>39435</v>
      </c>
      <c r="BK844" s="355">
        <v>3.2467999999999997E-2</v>
      </c>
    </row>
    <row r="845" spans="3:63">
      <c r="C845" s="624"/>
      <c r="D845" s="355">
        <v>4.0430000000000001E-2</v>
      </c>
      <c r="AV845" s="624"/>
      <c r="AX845" s="624">
        <v>39440</v>
      </c>
      <c r="AY845" s="355">
        <v>4.045E-2</v>
      </c>
      <c r="AZ845" s="624">
        <v>39505</v>
      </c>
      <c r="BA845" s="355">
        <v>1.8100000000000002E-2</v>
      </c>
      <c r="BB845" s="624">
        <v>39436</v>
      </c>
      <c r="BC845" s="355">
        <v>0.39579999999999999</v>
      </c>
      <c r="BD845" s="624">
        <v>39437</v>
      </c>
      <c r="BE845" s="355">
        <v>0.10632</v>
      </c>
      <c r="BF845" s="624">
        <v>39463</v>
      </c>
      <c r="BG845" s="355">
        <v>2.5451999999999999E-2</v>
      </c>
      <c r="BH845" s="624">
        <v>39436</v>
      </c>
      <c r="BI845" s="355">
        <v>0.105932</v>
      </c>
      <c r="BJ845" s="624">
        <v>39436</v>
      </c>
      <c r="BK845" s="355">
        <v>3.2590000000000001E-2</v>
      </c>
    </row>
    <row r="846" spans="3:63">
      <c r="C846" s="624"/>
      <c r="D846" s="355">
        <v>4.045E-2</v>
      </c>
      <c r="AV846" s="624"/>
      <c r="AX846" s="624">
        <v>39441</v>
      </c>
      <c r="AY846" s="355">
        <v>4.0460000000000003E-2</v>
      </c>
      <c r="AZ846" s="624">
        <v>39506</v>
      </c>
      <c r="BA846" s="355">
        <v>1.8200000000000001E-2</v>
      </c>
      <c r="BB846" s="624">
        <v>39437</v>
      </c>
      <c r="BC846" s="355">
        <v>0.39710000000000001</v>
      </c>
      <c r="BD846" s="624">
        <v>39440</v>
      </c>
      <c r="BE846" s="355">
        <v>0.10642</v>
      </c>
      <c r="BF846" s="624">
        <v>39464</v>
      </c>
      <c r="BG846" s="355">
        <v>2.5441999999999999E-2</v>
      </c>
      <c r="BH846" s="624">
        <v>39437</v>
      </c>
      <c r="BI846" s="355">
        <v>0.106073</v>
      </c>
      <c r="BJ846" s="624">
        <v>39437</v>
      </c>
      <c r="BK846" s="355">
        <v>3.2960999999999997E-2</v>
      </c>
    </row>
    <row r="847" spans="3:63">
      <c r="C847" s="624"/>
      <c r="D847" s="355">
        <v>4.0460000000000003E-2</v>
      </c>
      <c r="AV847" s="624"/>
      <c r="AX847" s="624">
        <v>39442</v>
      </c>
      <c r="AY847" s="355">
        <v>4.0579999999999998E-2</v>
      </c>
      <c r="AZ847" s="624">
        <v>39507</v>
      </c>
      <c r="BA847" s="355">
        <v>1.8100000000000002E-2</v>
      </c>
      <c r="BB847" s="624">
        <v>39440</v>
      </c>
      <c r="BC847" s="355">
        <v>0.39889999999999998</v>
      </c>
      <c r="BD847" s="624">
        <v>39441</v>
      </c>
      <c r="BE847" s="355">
        <v>0.10643</v>
      </c>
      <c r="BF847" s="624">
        <v>39465</v>
      </c>
      <c r="BG847" s="355">
        <v>2.5444000000000001E-2</v>
      </c>
      <c r="BH847" s="624">
        <v>39440</v>
      </c>
      <c r="BI847" s="355">
        <v>0.106242</v>
      </c>
      <c r="BJ847" s="624">
        <v>39440</v>
      </c>
      <c r="BK847" s="355">
        <v>3.3057999999999997E-2</v>
      </c>
    </row>
    <row r="848" spans="3:63">
      <c r="C848" s="624"/>
      <c r="D848" s="355">
        <v>4.0579999999999998E-2</v>
      </c>
      <c r="AV848" s="624"/>
      <c r="AX848" s="624">
        <v>39443</v>
      </c>
      <c r="AY848" s="355">
        <v>4.0640000000000003E-2</v>
      </c>
      <c r="AZ848" s="624">
        <v>39510</v>
      </c>
      <c r="BA848" s="355">
        <v>1.8100000000000002E-2</v>
      </c>
      <c r="BB848" s="624">
        <v>39441</v>
      </c>
      <c r="BC848" s="355">
        <v>0.3997</v>
      </c>
      <c r="BD848" s="624">
        <v>39442</v>
      </c>
      <c r="BE848" s="355">
        <v>0.10650999999999999</v>
      </c>
      <c r="BF848" s="624">
        <v>39468</v>
      </c>
      <c r="BG848" s="355">
        <v>2.5277999999999998E-2</v>
      </c>
      <c r="BH848" s="624">
        <v>39441</v>
      </c>
      <c r="BI848" s="355">
        <v>0.106327</v>
      </c>
      <c r="BJ848" s="624">
        <v>39441</v>
      </c>
      <c r="BK848" s="355">
        <v>3.2872999999999999E-2</v>
      </c>
    </row>
    <row r="849" spans="3:63">
      <c r="C849" s="624"/>
      <c r="D849" s="355">
        <v>4.0640000000000003E-2</v>
      </c>
      <c r="AV849" s="624"/>
      <c r="AX849" s="624">
        <v>39444</v>
      </c>
      <c r="AY849" s="355">
        <v>4.0759999999999998E-2</v>
      </c>
      <c r="AZ849" s="624">
        <v>39511</v>
      </c>
      <c r="BA849" s="355">
        <v>1.8200000000000001E-2</v>
      </c>
      <c r="BB849" s="624">
        <v>39442</v>
      </c>
      <c r="BC849" s="355">
        <v>0.4017</v>
      </c>
      <c r="BD849" s="624">
        <v>39443</v>
      </c>
      <c r="BE849" s="355">
        <v>0.10628</v>
      </c>
      <c r="BF849" s="624">
        <v>39469</v>
      </c>
      <c r="BG849" s="355">
        <v>2.5319999999999999E-2</v>
      </c>
      <c r="BH849" s="624">
        <v>39442</v>
      </c>
      <c r="BI849" s="355">
        <v>0.106129</v>
      </c>
      <c r="BJ849" s="624">
        <v>39442</v>
      </c>
      <c r="BK849" s="355">
        <v>3.313E-2</v>
      </c>
    </row>
    <row r="850" spans="3:63">
      <c r="C850" s="624"/>
      <c r="D850" s="355">
        <v>4.0759999999999998E-2</v>
      </c>
      <c r="AV850" s="624"/>
      <c r="AX850" s="624">
        <v>39447</v>
      </c>
      <c r="AY850" s="355">
        <v>4.0590000000000001E-2</v>
      </c>
      <c r="AZ850" s="624">
        <v>39512</v>
      </c>
      <c r="BA850" s="355">
        <v>1.83E-2</v>
      </c>
      <c r="BB850" s="624">
        <v>39443</v>
      </c>
      <c r="BC850" s="355">
        <v>0.40460000000000002</v>
      </c>
      <c r="BD850" s="624">
        <v>39444</v>
      </c>
      <c r="BE850" s="355">
        <v>0.10684</v>
      </c>
      <c r="BF850" s="624">
        <v>39470</v>
      </c>
      <c r="BG850" s="355">
        <v>2.5267999999999999E-2</v>
      </c>
      <c r="BH850" s="624">
        <v>39443</v>
      </c>
      <c r="BI850" s="355">
        <v>0.106186</v>
      </c>
      <c r="BJ850" s="624">
        <v>39443</v>
      </c>
      <c r="BK850" s="355">
        <v>3.3168000000000003E-2</v>
      </c>
    </row>
    <row r="851" spans="3:63">
      <c r="C851" s="624"/>
      <c r="D851" s="355">
        <v>4.0590000000000001E-2</v>
      </c>
      <c r="AV851" s="624"/>
      <c r="AX851" s="624">
        <v>39448</v>
      </c>
      <c r="AY851" s="355">
        <v>4.0599999999999997E-2</v>
      </c>
      <c r="AZ851" s="624">
        <v>39513</v>
      </c>
      <c r="BA851" s="355">
        <v>1.84E-2</v>
      </c>
      <c r="BB851" s="624">
        <v>39444</v>
      </c>
      <c r="BC851" s="355">
        <v>0.40889999999999999</v>
      </c>
      <c r="BD851" s="624">
        <v>39447</v>
      </c>
      <c r="BE851" s="355">
        <v>0.10686</v>
      </c>
      <c r="BF851" s="624">
        <v>39471</v>
      </c>
      <c r="BG851" s="355">
        <v>2.5339E-2</v>
      </c>
      <c r="BH851" s="624">
        <v>39444</v>
      </c>
      <c r="BI851" s="355">
        <v>0.106326</v>
      </c>
      <c r="BJ851" s="624">
        <v>39444</v>
      </c>
      <c r="BK851" s="355">
        <v>3.3352E-2</v>
      </c>
    </row>
    <row r="852" spans="3:63">
      <c r="C852" s="624"/>
      <c r="D852" s="355">
        <v>4.0599999999999997E-2</v>
      </c>
      <c r="AV852" s="624"/>
      <c r="AX852" s="624">
        <v>39449</v>
      </c>
      <c r="AY852" s="355">
        <v>4.0910000000000002E-2</v>
      </c>
      <c r="AZ852" s="624">
        <v>39514</v>
      </c>
      <c r="BA852" s="355">
        <v>1.8499999999999999E-2</v>
      </c>
      <c r="BB852" s="624">
        <v>39447</v>
      </c>
      <c r="BC852" s="355">
        <v>0.4047</v>
      </c>
      <c r="BD852" s="624">
        <v>39448</v>
      </c>
      <c r="BE852" s="355">
        <v>0.107</v>
      </c>
      <c r="BF852" s="624">
        <v>39472</v>
      </c>
      <c r="BG852" s="355">
        <v>2.5402999999999998E-2</v>
      </c>
      <c r="BH852" s="624">
        <v>39447</v>
      </c>
      <c r="BI852" s="355">
        <v>0.10641100000000001</v>
      </c>
      <c r="BJ852" s="624">
        <v>39447</v>
      </c>
      <c r="BK852" s="355">
        <v>3.3613999999999998E-2</v>
      </c>
    </row>
    <row r="853" spans="3:63">
      <c r="C853" s="624"/>
      <c r="D853" s="355">
        <v>4.0910000000000002E-2</v>
      </c>
      <c r="AV853" s="624"/>
      <c r="AX853" s="624">
        <v>39450</v>
      </c>
      <c r="AY853" s="355">
        <v>4.0989999999999999E-2</v>
      </c>
      <c r="AZ853" s="624">
        <v>39517</v>
      </c>
      <c r="BA853" s="355">
        <v>1.84E-2</v>
      </c>
      <c r="BB853" s="624">
        <v>39448</v>
      </c>
      <c r="BC853" s="355">
        <v>0.40539999999999998</v>
      </c>
      <c r="BD853" s="624">
        <v>39449</v>
      </c>
      <c r="BE853" s="355">
        <v>0.10644000000000001</v>
      </c>
      <c r="BF853" s="624">
        <v>39475</v>
      </c>
      <c r="BG853" s="355">
        <v>2.5389999999999999E-2</v>
      </c>
      <c r="BH853" s="624">
        <v>39448</v>
      </c>
      <c r="BI853" s="355">
        <v>0.10646799999999999</v>
      </c>
      <c r="BJ853" s="624">
        <v>39448</v>
      </c>
      <c r="BK853" s="355">
        <v>3.3612999999999997E-2</v>
      </c>
    </row>
    <row r="854" spans="3:63">
      <c r="C854" s="624"/>
      <c r="D854" s="355">
        <v>4.0989999999999999E-2</v>
      </c>
      <c r="AV854" s="624"/>
      <c r="AX854" s="624">
        <v>39451</v>
      </c>
      <c r="AY854" s="355">
        <v>4.0980000000000003E-2</v>
      </c>
      <c r="AZ854" s="624">
        <v>39518</v>
      </c>
      <c r="BA854" s="355">
        <v>1.84E-2</v>
      </c>
      <c r="BB854" s="624">
        <v>39449</v>
      </c>
      <c r="BC854" s="355">
        <v>0.40720000000000001</v>
      </c>
      <c r="BD854" s="624">
        <v>39450</v>
      </c>
      <c r="BE854" s="355">
        <v>0.10677</v>
      </c>
      <c r="BF854" s="624">
        <v>39476</v>
      </c>
      <c r="BG854" s="355">
        <v>2.5389999999999999E-2</v>
      </c>
      <c r="BH854" s="624">
        <v>39449</v>
      </c>
      <c r="BI854" s="355">
        <v>0.10661</v>
      </c>
      <c r="BJ854" s="624">
        <v>39449</v>
      </c>
      <c r="BK854" s="355">
        <v>3.3466999999999997E-2</v>
      </c>
    </row>
    <row r="855" spans="3:63">
      <c r="C855" s="624"/>
      <c r="D855" s="355">
        <v>4.0980000000000003E-2</v>
      </c>
      <c r="AV855" s="624"/>
      <c r="AX855" s="624">
        <v>39454</v>
      </c>
      <c r="AY855" s="355">
        <v>4.0910000000000002E-2</v>
      </c>
      <c r="AZ855" s="624">
        <v>39519</v>
      </c>
      <c r="BA855" s="355">
        <v>1.8599999999999998E-2</v>
      </c>
      <c r="BB855" s="624">
        <v>39450</v>
      </c>
      <c r="BC855" s="355">
        <v>0.40970000000000001</v>
      </c>
      <c r="BD855" s="624">
        <v>39451</v>
      </c>
      <c r="BE855" s="355">
        <v>0.10655000000000001</v>
      </c>
      <c r="BF855" s="624">
        <v>39477</v>
      </c>
      <c r="BG855" s="355">
        <v>2.5385999999999999E-2</v>
      </c>
      <c r="BH855" s="624">
        <v>39450</v>
      </c>
      <c r="BI855" s="355">
        <v>0.106186</v>
      </c>
      <c r="BJ855" s="624">
        <v>39450</v>
      </c>
      <c r="BK855" s="355">
        <v>3.3489999999999999E-2</v>
      </c>
    </row>
    <row r="856" spans="3:63">
      <c r="C856" s="624"/>
      <c r="D856" s="355">
        <v>4.0910000000000002E-2</v>
      </c>
      <c r="AV856" s="624"/>
      <c r="AX856" s="624">
        <v>39455</v>
      </c>
      <c r="AY856" s="355">
        <v>4.0919999999999998E-2</v>
      </c>
      <c r="AZ856" s="624">
        <v>39520</v>
      </c>
      <c r="BA856" s="355">
        <v>1.8700000000000001E-2</v>
      </c>
      <c r="BB856" s="624">
        <v>39451</v>
      </c>
      <c r="BC856" s="355">
        <v>0.4083</v>
      </c>
      <c r="BD856" s="624">
        <v>39454</v>
      </c>
      <c r="BE856" s="355">
        <v>0.10632</v>
      </c>
      <c r="BF856" s="624">
        <v>39478</v>
      </c>
      <c r="BG856" s="355">
        <v>2.5396999999999999E-2</v>
      </c>
      <c r="BH856" s="624">
        <v>39451</v>
      </c>
      <c r="BI856" s="355">
        <v>0.105989</v>
      </c>
      <c r="BJ856" s="624">
        <v>39451</v>
      </c>
      <c r="BK856" s="355">
        <v>3.3579999999999999E-2</v>
      </c>
    </row>
    <row r="857" spans="3:63">
      <c r="C857" s="624"/>
      <c r="D857" s="355">
        <v>4.0919999999999998E-2</v>
      </c>
      <c r="AV857" s="624"/>
      <c r="AX857" s="624">
        <v>39456</v>
      </c>
      <c r="AY857" s="355">
        <v>4.0840000000000001E-2</v>
      </c>
      <c r="AZ857" s="624">
        <v>39521</v>
      </c>
      <c r="BA857" s="355">
        <v>1.8700000000000001E-2</v>
      </c>
      <c r="BB857" s="624">
        <v>39454</v>
      </c>
      <c r="BC857" s="355">
        <v>0.40810000000000002</v>
      </c>
      <c r="BD857" s="624">
        <v>39455</v>
      </c>
      <c r="BE857" s="355">
        <v>0.10647</v>
      </c>
      <c r="BF857" s="624">
        <v>39479</v>
      </c>
      <c r="BG857" s="355">
        <v>2.5409999999999999E-2</v>
      </c>
      <c r="BH857" s="624">
        <v>39454</v>
      </c>
      <c r="BI857" s="355">
        <v>0.105792</v>
      </c>
      <c r="BJ857" s="624">
        <v>39454</v>
      </c>
      <c r="BK857" s="355">
        <v>3.3556999999999997E-2</v>
      </c>
    </row>
    <row r="858" spans="3:63">
      <c r="C858" s="624"/>
      <c r="D858" s="355">
        <v>4.0840000000000001E-2</v>
      </c>
      <c r="AV858" s="624"/>
      <c r="AX858" s="624">
        <v>39457</v>
      </c>
      <c r="AY858" s="355">
        <v>4.1079999999999998E-2</v>
      </c>
      <c r="AZ858" s="624">
        <v>39524</v>
      </c>
      <c r="BA858" s="355">
        <v>1.8800000000000001E-2</v>
      </c>
      <c r="BB858" s="624">
        <v>39455</v>
      </c>
      <c r="BC858" s="355">
        <v>0.4088</v>
      </c>
      <c r="BD858" s="624">
        <v>39456</v>
      </c>
      <c r="BE858" s="355">
        <v>0.10668</v>
      </c>
      <c r="BF858" s="624">
        <v>39482</v>
      </c>
      <c r="BG858" s="355">
        <v>2.5354999999999999E-2</v>
      </c>
      <c r="BH858" s="624">
        <v>39455</v>
      </c>
      <c r="BI858" s="355">
        <v>0.105781</v>
      </c>
      <c r="BJ858" s="624">
        <v>39455</v>
      </c>
      <c r="BK858" s="355">
        <v>3.3568000000000001E-2</v>
      </c>
    </row>
    <row r="859" spans="3:63">
      <c r="C859" s="624"/>
      <c r="D859" s="355">
        <v>4.1079999999999998E-2</v>
      </c>
      <c r="AV859" s="624"/>
      <c r="AX859" s="624">
        <v>39458</v>
      </c>
      <c r="AY859" s="355">
        <v>4.1009999999999998E-2</v>
      </c>
      <c r="AZ859" s="624">
        <v>39525</v>
      </c>
      <c r="BA859" s="355">
        <v>1.8700000000000001E-2</v>
      </c>
      <c r="BB859" s="624">
        <v>39456</v>
      </c>
      <c r="BC859" s="355">
        <v>0.40739999999999998</v>
      </c>
      <c r="BD859" s="624">
        <v>39457</v>
      </c>
      <c r="BE859" s="355">
        <v>0.10664999999999999</v>
      </c>
      <c r="BF859" s="624">
        <v>39483</v>
      </c>
      <c r="BG859" s="355">
        <v>2.5297E-2</v>
      </c>
      <c r="BH859" s="624">
        <v>39456</v>
      </c>
      <c r="BI859" s="355">
        <v>0.105938</v>
      </c>
      <c r="BJ859" s="624">
        <v>39456</v>
      </c>
      <c r="BK859" s="355">
        <v>3.3863999999999998E-2</v>
      </c>
    </row>
    <row r="860" spans="3:63">
      <c r="C860" s="624"/>
      <c r="D860" s="355">
        <v>4.1009999999999998E-2</v>
      </c>
      <c r="AV860" s="624"/>
      <c r="AX860" s="624">
        <v>39461</v>
      </c>
      <c r="AY860" s="355">
        <v>4.1169999999999998E-2</v>
      </c>
      <c r="AZ860" s="624">
        <v>39526</v>
      </c>
      <c r="BA860" s="355">
        <v>1.8700000000000001E-2</v>
      </c>
      <c r="BB860" s="624">
        <v>39457</v>
      </c>
      <c r="BC860" s="355">
        <v>0.41349999999999998</v>
      </c>
      <c r="BD860" s="624">
        <v>39458</v>
      </c>
      <c r="BE860" s="355">
        <v>0.10650999999999999</v>
      </c>
      <c r="BF860" s="624">
        <v>39484</v>
      </c>
      <c r="BG860" s="355">
        <v>2.5312000000000001E-2</v>
      </c>
      <c r="BH860" s="624">
        <v>39457</v>
      </c>
      <c r="BI860" s="355">
        <v>0.105961</v>
      </c>
      <c r="BJ860" s="624">
        <v>39457</v>
      </c>
      <c r="BK860" s="355">
        <v>3.3979000000000002E-2</v>
      </c>
    </row>
    <row r="861" spans="3:63">
      <c r="C861" s="624"/>
      <c r="D861" s="355">
        <v>4.1169999999999998E-2</v>
      </c>
      <c r="AV861" s="624"/>
      <c r="AX861" s="624">
        <v>39462</v>
      </c>
      <c r="AY861" s="355">
        <v>4.1070000000000002E-2</v>
      </c>
      <c r="AZ861" s="624">
        <v>39527</v>
      </c>
      <c r="BA861" s="355">
        <v>1.8700000000000001E-2</v>
      </c>
      <c r="BB861" s="624">
        <v>39458</v>
      </c>
      <c r="BC861" s="355">
        <v>0.41310000000000002</v>
      </c>
      <c r="BD861" s="624">
        <v>39461</v>
      </c>
      <c r="BE861" s="355">
        <v>0.10668</v>
      </c>
      <c r="BF861" s="624">
        <v>39485</v>
      </c>
      <c r="BG861" s="355">
        <v>2.5297E-2</v>
      </c>
      <c r="BH861" s="624">
        <v>39458</v>
      </c>
      <c r="BI861" s="355">
        <v>0.106061</v>
      </c>
      <c r="BJ861" s="624">
        <v>39458</v>
      </c>
      <c r="BK861" s="355">
        <v>3.3863999999999998E-2</v>
      </c>
    </row>
    <row r="862" spans="3:63">
      <c r="C862" s="624"/>
      <c r="D862" s="355">
        <v>4.1070000000000002E-2</v>
      </c>
      <c r="AV862" s="624"/>
      <c r="AX862" s="624">
        <v>39463</v>
      </c>
      <c r="AY862" s="355">
        <v>4.0829999999999998E-2</v>
      </c>
      <c r="AZ862" s="624">
        <v>39528</v>
      </c>
      <c r="BA862" s="355">
        <v>1.8800000000000001E-2</v>
      </c>
      <c r="BB862" s="624">
        <v>39461</v>
      </c>
      <c r="BC862" s="355">
        <v>0.41639999999999999</v>
      </c>
      <c r="BD862" s="624">
        <v>39462</v>
      </c>
      <c r="BE862" s="355">
        <v>0.10675999999999999</v>
      </c>
      <c r="BF862" s="624">
        <v>39486</v>
      </c>
      <c r="BG862" s="355">
        <v>2.5229000000000001E-2</v>
      </c>
      <c r="BH862" s="624">
        <v>39461</v>
      </c>
      <c r="BI862" s="355">
        <v>0.105943</v>
      </c>
      <c r="BJ862" s="624">
        <v>39461</v>
      </c>
      <c r="BK862" s="355">
        <v>3.3612999999999997E-2</v>
      </c>
    </row>
    <row r="863" spans="3:63">
      <c r="C863" s="624"/>
      <c r="D863" s="355">
        <v>4.0829999999999998E-2</v>
      </c>
      <c r="AV863" s="624"/>
      <c r="AX863" s="624">
        <v>39464</v>
      </c>
      <c r="AY863" s="355">
        <v>4.0820000000000002E-2</v>
      </c>
      <c r="AZ863" s="624">
        <v>39531</v>
      </c>
      <c r="BA863" s="355">
        <v>1.8800000000000001E-2</v>
      </c>
      <c r="BB863" s="624">
        <v>39462</v>
      </c>
      <c r="BC863" s="355">
        <v>0.41339999999999999</v>
      </c>
      <c r="BD863" s="624">
        <v>39463</v>
      </c>
      <c r="BE863" s="355">
        <v>0.10606</v>
      </c>
      <c r="BF863" s="624">
        <v>39489</v>
      </c>
      <c r="BG863" s="355">
        <v>2.5186E-2</v>
      </c>
      <c r="BH863" s="624">
        <v>39462</v>
      </c>
      <c r="BI863" s="355">
        <v>0.105764</v>
      </c>
      <c r="BJ863" s="624">
        <v>39462</v>
      </c>
      <c r="BK863" s="355">
        <v>3.3445000000000003E-2</v>
      </c>
    </row>
    <row r="864" spans="3:63">
      <c r="C864" s="624"/>
      <c r="D864" s="355">
        <v>4.0820000000000002E-2</v>
      </c>
      <c r="AV864" s="624"/>
      <c r="AX864" s="624">
        <v>39465</v>
      </c>
      <c r="AY864" s="355">
        <v>4.0779999999999997E-2</v>
      </c>
      <c r="AZ864" s="624">
        <v>39532</v>
      </c>
      <c r="BA864" s="355">
        <v>1.9E-2</v>
      </c>
      <c r="BB864" s="624">
        <v>39463</v>
      </c>
      <c r="BC864" s="355">
        <v>0.40660000000000002</v>
      </c>
      <c r="BD864" s="624">
        <v>39464</v>
      </c>
      <c r="BE864" s="355">
        <v>0.10557999999999999</v>
      </c>
      <c r="BF864" s="624">
        <v>39490</v>
      </c>
      <c r="BG864" s="355">
        <v>2.5189E-2</v>
      </c>
      <c r="BH864" s="624">
        <v>39463</v>
      </c>
      <c r="BI864" s="355">
        <v>0.105932</v>
      </c>
      <c r="BJ864" s="624">
        <v>39463</v>
      </c>
      <c r="BK864" s="355">
        <v>3.3635999999999999E-2</v>
      </c>
    </row>
    <row r="865" spans="3:63">
      <c r="C865" s="624"/>
      <c r="D865" s="355">
        <v>4.0779999999999997E-2</v>
      </c>
      <c r="AV865" s="624"/>
      <c r="AX865" s="624">
        <v>39468</v>
      </c>
      <c r="AY865" s="355">
        <v>4.0410000000000001E-2</v>
      </c>
      <c r="AZ865" s="624">
        <v>39533</v>
      </c>
      <c r="BA865" s="355">
        <v>1.9300000000000001E-2</v>
      </c>
      <c r="BB865" s="624">
        <v>39464</v>
      </c>
      <c r="BC865" s="355">
        <v>0.4052</v>
      </c>
      <c r="BD865" s="624">
        <v>39465</v>
      </c>
      <c r="BE865" s="355">
        <v>0.10569000000000001</v>
      </c>
      <c r="BF865" s="624">
        <v>39491</v>
      </c>
      <c r="BG865" s="355">
        <v>2.5149000000000001E-2</v>
      </c>
      <c r="BH865" s="624">
        <v>39464</v>
      </c>
      <c r="BI865" s="355">
        <v>0.105319</v>
      </c>
      <c r="BJ865" s="624">
        <v>39464</v>
      </c>
      <c r="BK865" s="355">
        <v>3.3278000000000002E-2</v>
      </c>
    </row>
    <row r="866" spans="3:63">
      <c r="C866" s="624"/>
      <c r="D866" s="355">
        <v>4.0410000000000001E-2</v>
      </c>
      <c r="AV866" s="624"/>
      <c r="AX866" s="624">
        <v>39469</v>
      </c>
      <c r="AY866" s="355">
        <v>4.054E-2</v>
      </c>
      <c r="AZ866" s="624">
        <v>39534</v>
      </c>
      <c r="BA866" s="355">
        <v>1.9199999999999998E-2</v>
      </c>
      <c r="BB866" s="624">
        <v>39465</v>
      </c>
      <c r="BC866" s="355">
        <v>0.4027</v>
      </c>
      <c r="BD866" s="624">
        <v>39468</v>
      </c>
      <c r="BE866" s="355">
        <v>0.10532</v>
      </c>
      <c r="BF866" s="624">
        <v>39492</v>
      </c>
      <c r="BG866" s="355">
        <v>2.5245E-2</v>
      </c>
      <c r="BH866" s="624">
        <v>39465</v>
      </c>
      <c r="BI866" s="355">
        <v>0.105949</v>
      </c>
      <c r="BJ866" s="624">
        <v>39465</v>
      </c>
      <c r="BK866" s="355">
        <v>3.2154000000000002E-2</v>
      </c>
    </row>
    <row r="867" spans="3:63">
      <c r="C867" s="624"/>
      <c r="D867" s="355">
        <v>4.054E-2</v>
      </c>
      <c r="AV867" s="624"/>
      <c r="AX867" s="624">
        <v>39470</v>
      </c>
      <c r="AY867" s="355">
        <v>4.0550000000000003E-2</v>
      </c>
      <c r="AZ867" s="624">
        <v>39535</v>
      </c>
      <c r="BA867" s="355">
        <v>1.9199999999999998E-2</v>
      </c>
      <c r="BB867" s="624">
        <v>39468</v>
      </c>
      <c r="BC867" s="355">
        <v>0.39550000000000002</v>
      </c>
      <c r="BD867" s="624">
        <v>39469</v>
      </c>
      <c r="BE867" s="355">
        <v>0.10559</v>
      </c>
      <c r="BF867" s="624">
        <v>39493</v>
      </c>
      <c r="BG867" s="355">
        <v>2.5191999999999999E-2</v>
      </c>
      <c r="BH867" s="624">
        <v>39468</v>
      </c>
      <c r="BI867" s="355">
        <v>0.105485</v>
      </c>
      <c r="BJ867" s="624">
        <v>39468</v>
      </c>
      <c r="BK867" s="355">
        <v>3.1898000000000003E-2</v>
      </c>
    </row>
    <row r="868" spans="3:63">
      <c r="C868" s="624"/>
      <c r="D868" s="355">
        <v>4.0550000000000003E-2</v>
      </c>
      <c r="AV868" s="624"/>
      <c r="AX868" s="624">
        <v>39471</v>
      </c>
      <c r="AY868" s="355">
        <v>4.0869999999999997E-2</v>
      </c>
      <c r="AZ868" s="624">
        <v>39538</v>
      </c>
      <c r="BA868" s="355">
        <v>1.9199999999999998E-2</v>
      </c>
      <c r="BB868" s="624">
        <v>39469</v>
      </c>
      <c r="BC868" s="355">
        <v>0.40389999999999998</v>
      </c>
      <c r="BD868" s="624">
        <v>39470</v>
      </c>
      <c r="BE868" s="355">
        <v>0.10535</v>
      </c>
      <c r="BF868" s="624">
        <v>39496</v>
      </c>
      <c r="BG868" s="355">
        <v>2.5142999999999999E-2</v>
      </c>
      <c r="BH868" s="624">
        <v>39469</v>
      </c>
      <c r="BI868" s="355">
        <v>0.106101</v>
      </c>
      <c r="BJ868" s="624">
        <v>39469</v>
      </c>
      <c r="BK868" s="355">
        <v>3.2488999999999997E-2</v>
      </c>
    </row>
    <row r="869" spans="3:63">
      <c r="C869" s="624"/>
      <c r="D869" s="355">
        <v>4.0869999999999997E-2</v>
      </c>
      <c r="AV869" s="624"/>
      <c r="AX869" s="624">
        <v>39472</v>
      </c>
      <c r="AY869" s="355">
        <v>4.079E-2</v>
      </c>
      <c r="AZ869" s="624">
        <v>39539</v>
      </c>
      <c r="BA869" s="355">
        <v>1.9199999999999998E-2</v>
      </c>
      <c r="BB869" s="624">
        <v>39470</v>
      </c>
      <c r="BC869" s="355">
        <v>0.40400000000000003</v>
      </c>
      <c r="BD869" s="624">
        <v>39471</v>
      </c>
      <c r="BE869" s="355">
        <v>0.1056</v>
      </c>
      <c r="BF869" s="624">
        <v>39497</v>
      </c>
      <c r="BG869" s="355">
        <v>2.5044E-2</v>
      </c>
      <c r="BH869" s="624">
        <v>39470</v>
      </c>
      <c r="BI869" s="355">
        <v>0.106045</v>
      </c>
      <c r="BJ869" s="624">
        <v>39470</v>
      </c>
      <c r="BK869" s="355">
        <v>3.2072000000000003E-2</v>
      </c>
    </row>
    <row r="870" spans="3:63">
      <c r="C870" s="624"/>
      <c r="D870" s="355">
        <v>4.079E-2</v>
      </c>
      <c r="AV870" s="624"/>
      <c r="AX870" s="624">
        <v>39475</v>
      </c>
      <c r="AY870" s="355">
        <v>4.086E-2</v>
      </c>
      <c r="AZ870" s="624">
        <v>39540</v>
      </c>
      <c r="BA870" s="355">
        <v>1.9199999999999998E-2</v>
      </c>
      <c r="BB870" s="624">
        <v>39471</v>
      </c>
      <c r="BC870" s="355">
        <v>0.40860000000000002</v>
      </c>
      <c r="BD870" s="624">
        <v>39472</v>
      </c>
      <c r="BE870" s="355">
        <v>0.10541</v>
      </c>
      <c r="BF870" s="624">
        <v>39498</v>
      </c>
      <c r="BG870" s="355">
        <v>2.4877E-2</v>
      </c>
      <c r="BH870" s="624">
        <v>39471</v>
      </c>
      <c r="BI870" s="355">
        <v>0.106712</v>
      </c>
      <c r="BJ870" s="624">
        <v>39471</v>
      </c>
      <c r="BK870" s="355">
        <v>3.2134000000000003E-2</v>
      </c>
    </row>
    <row r="871" spans="3:63">
      <c r="C871" s="624"/>
      <c r="D871" s="355">
        <v>4.086E-2</v>
      </c>
      <c r="AV871" s="624"/>
      <c r="AX871" s="624">
        <v>39476</v>
      </c>
      <c r="AY871" s="355">
        <v>4.086E-2</v>
      </c>
      <c r="AZ871" s="624">
        <v>39541</v>
      </c>
      <c r="BA871" s="355">
        <v>1.9400000000000001E-2</v>
      </c>
      <c r="BB871" s="624">
        <v>39472</v>
      </c>
      <c r="BC871" s="355">
        <v>0.40610000000000002</v>
      </c>
      <c r="BD871" s="624">
        <v>39475</v>
      </c>
      <c r="BE871" s="355">
        <v>0.10566</v>
      </c>
      <c r="BF871" s="624">
        <v>39499</v>
      </c>
      <c r="BG871" s="355">
        <v>2.5055999999999998E-2</v>
      </c>
      <c r="BH871" s="624">
        <v>39472</v>
      </c>
      <c r="BI871" s="355">
        <v>0.10698100000000001</v>
      </c>
      <c r="BJ871" s="624">
        <v>39472</v>
      </c>
      <c r="BK871" s="355">
        <v>3.1898000000000003E-2</v>
      </c>
    </row>
    <row r="872" spans="3:63">
      <c r="C872" s="624"/>
      <c r="D872" s="355">
        <v>4.086E-2</v>
      </c>
      <c r="AV872" s="624"/>
      <c r="AX872" s="624">
        <v>39477</v>
      </c>
      <c r="AY872" s="355">
        <v>4.0969999999999999E-2</v>
      </c>
      <c r="AZ872" s="624">
        <v>39542</v>
      </c>
      <c r="BA872" s="355">
        <v>1.9400000000000001E-2</v>
      </c>
      <c r="BB872" s="624">
        <v>39475</v>
      </c>
      <c r="BC872" s="355">
        <v>0.4083</v>
      </c>
      <c r="BD872" s="624">
        <v>39476</v>
      </c>
      <c r="BE872" s="355">
        <v>0.10614999999999999</v>
      </c>
      <c r="BF872" s="624">
        <v>39500</v>
      </c>
      <c r="BG872" s="355">
        <v>2.4972000000000001E-2</v>
      </c>
      <c r="BH872" s="624">
        <v>39475</v>
      </c>
      <c r="BI872" s="355">
        <v>0.10700900000000001</v>
      </c>
      <c r="BJ872" s="624">
        <v>39475</v>
      </c>
      <c r="BK872" s="355">
        <v>3.1847E-2</v>
      </c>
    </row>
    <row r="873" spans="3:63">
      <c r="C873" s="624"/>
      <c r="D873" s="355">
        <v>4.0969999999999999E-2</v>
      </c>
      <c r="AV873" s="624"/>
      <c r="AX873" s="624">
        <v>39478</v>
      </c>
      <c r="AY873" s="355">
        <v>4.0930000000000001E-2</v>
      </c>
      <c r="AZ873" s="624">
        <v>39545</v>
      </c>
      <c r="BA873" s="355">
        <v>1.9199999999999998E-2</v>
      </c>
      <c r="BB873" s="624">
        <v>39476</v>
      </c>
      <c r="BC873" s="355">
        <v>0.40770000000000001</v>
      </c>
      <c r="BD873" s="624">
        <v>39477</v>
      </c>
      <c r="BE873" s="355">
        <v>0.10616</v>
      </c>
      <c r="BF873" s="624">
        <v>39503</v>
      </c>
      <c r="BG873" s="355">
        <v>2.5021999999999999E-2</v>
      </c>
      <c r="BH873" s="624">
        <v>39476</v>
      </c>
      <c r="BI873" s="355">
        <v>0.107262</v>
      </c>
      <c r="BJ873" s="624">
        <v>39476</v>
      </c>
      <c r="BK873" s="355">
        <v>3.1888E-2</v>
      </c>
    </row>
    <row r="874" spans="3:63">
      <c r="C874" s="624"/>
      <c r="D874" s="355">
        <v>4.0930000000000001E-2</v>
      </c>
      <c r="AV874" s="624"/>
      <c r="AX874" s="624">
        <v>39479</v>
      </c>
      <c r="AY874" s="355">
        <v>4.0829999999999998E-2</v>
      </c>
      <c r="AZ874" s="624">
        <v>39546</v>
      </c>
      <c r="BA874" s="355">
        <v>1.9099999999999999E-2</v>
      </c>
      <c r="BB874" s="624">
        <v>39477</v>
      </c>
      <c r="BC874" s="355">
        <v>0.4118</v>
      </c>
      <c r="BD874" s="624">
        <v>39478</v>
      </c>
      <c r="BE874" s="355">
        <v>0.10596999999999999</v>
      </c>
      <c r="BF874" s="624">
        <v>39504</v>
      </c>
      <c r="BG874" s="355">
        <v>2.5047E-2</v>
      </c>
      <c r="BH874" s="624">
        <v>39477</v>
      </c>
      <c r="BI874" s="355">
        <v>0.107527</v>
      </c>
      <c r="BJ874" s="624">
        <v>39477</v>
      </c>
      <c r="BK874" s="355">
        <v>3.1595999999999999E-2</v>
      </c>
    </row>
    <row r="875" spans="3:63">
      <c r="C875" s="624"/>
      <c r="D875" s="355">
        <v>4.0829999999999998E-2</v>
      </c>
      <c r="AV875" s="624"/>
      <c r="AX875" s="624">
        <v>39482</v>
      </c>
      <c r="AY875" s="355">
        <v>4.0829999999999998E-2</v>
      </c>
      <c r="AZ875" s="624">
        <v>39547</v>
      </c>
      <c r="BA875" s="355">
        <v>1.9300000000000001E-2</v>
      </c>
      <c r="BB875" s="624">
        <v>39478</v>
      </c>
      <c r="BC875" s="355">
        <v>0.41320000000000001</v>
      </c>
      <c r="BD875" s="624">
        <v>39479</v>
      </c>
      <c r="BE875" s="355">
        <v>0.10602</v>
      </c>
      <c r="BF875" s="624">
        <v>39505</v>
      </c>
      <c r="BG875" s="355">
        <v>2.5145000000000001E-2</v>
      </c>
      <c r="BH875" s="624">
        <v>39478</v>
      </c>
      <c r="BI875" s="355">
        <v>0.108155</v>
      </c>
      <c r="BJ875" s="624">
        <v>39478</v>
      </c>
      <c r="BK875" s="355">
        <v>3.1827000000000001E-2</v>
      </c>
    </row>
    <row r="876" spans="3:63">
      <c r="C876" s="624"/>
      <c r="D876" s="355">
        <v>4.0829999999999998E-2</v>
      </c>
      <c r="AV876" s="624"/>
      <c r="AX876" s="624">
        <v>39483</v>
      </c>
      <c r="AY876" s="355">
        <v>4.0599999999999997E-2</v>
      </c>
      <c r="AZ876" s="624">
        <v>39548</v>
      </c>
      <c r="BA876" s="355">
        <v>1.9199999999999998E-2</v>
      </c>
      <c r="BB876" s="624">
        <v>39479</v>
      </c>
      <c r="BC876" s="355">
        <v>0.41249999999999998</v>
      </c>
      <c r="BD876" s="624">
        <v>39482</v>
      </c>
      <c r="BE876" s="355">
        <v>0.1062</v>
      </c>
      <c r="BF876" s="624">
        <v>39506</v>
      </c>
      <c r="BG876" s="355">
        <v>2.5073999999999999E-2</v>
      </c>
      <c r="BH876" s="624">
        <v>39479</v>
      </c>
      <c r="BI876" s="355">
        <v>0.108584</v>
      </c>
      <c r="BJ876" s="624">
        <v>39479</v>
      </c>
      <c r="BK876" s="355">
        <v>3.2279000000000002E-2</v>
      </c>
    </row>
    <row r="877" spans="3:63">
      <c r="C877" s="624"/>
      <c r="D877" s="355">
        <v>4.0599999999999997E-2</v>
      </c>
      <c r="AV877" s="624"/>
      <c r="AX877" s="624">
        <v>39484</v>
      </c>
      <c r="AY877" s="355">
        <v>4.0570000000000002E-2</v>
      </c>
      <c r="AZ877" s="624">
        <v>39549</v>
      </c>
      <c r="BA877" s="355">
        <v>1.9400000000000001E-2</v>
      </c>
      <c r="BB877" s="624">
        <v>39482</v>
      </c>
      <c r="BC877" s="355">
        <v>0.41599999999999998</v>
      </c>
      <c r="BD877" s="624">
        <v>39483</v>
      </c>
      <c r="BE877" s="355">
        <v>0.10575</v>
      </c>
      <c r="BF877" s="624">
        <v>39507</v>
      </c>
      <c r="BG877" s="355">
        <v>2.4988E-2</v>
      </c>
      <c r="BH877" s="624">
        <v>39482</v>
      </c>
      <c r="BI877" s="355">
        <v>0.108525</v>
      </c>
      <c r="BJ877" s="624">
        <v>39482</v>
      </c>
      <c r="BK877" s="355">
        <v>3.2309999999999998E-2</v>
      </c>
    </row>
    <row r="878" spans="3:63">
      <c r="C878" s="624"/>
      <c r="D878" s="355">
        <v>4.0570000000000002E-2</v>
      </c>
      <c r="AV878" s="624"/>
      <c r="AX878" s="624">
        <v>39485</v>
      </c>
      <c r="AY878" s="355">
        <v>4.0340000000000001E-2</v>
      </c>
      <c r="AZ878" s="624">
        <v>39552</v>
      </c>
      <c r="BA878" s="355">
        <v>1.95E-2</v>
      </c>
      <c r="BB878" s="624">
        <v>39483</v>
      </c>
      <c r="BC878" s="355">
        <v>0.40720000000000001</v>
      </c>
      <c r="BD878" s="624">
        <v>39484</v>
      </c>
      <c r="BE878" s="355">
        <v>0.10589</v>
      </c>
      <c r="BF878" s="624">
        <v>39510</v>
      </c>
      <c r="BG878" s="355">
        <v>2.4756E-2</v>
      </c>
      <c r="BH878" s="624">
        <v>39483</v>
      </c>
      <c r="BI878" s="355">
        <v>0.10804999999999999</v>
      </c>
      <c r="BJ878" s="624">
        <v>39483</v>
      </c>
      <c r="BK878" s="355">
        <v>3.2081999999999999E-2</v>
      </c>
    </row>
    <row r="879" spans="3:63">
      <c r="C879" s="624"/>
      <c r="D879" s="355">
        <v>4.0340000000000001E-2</v>
      </c>
      <c r="AV879" s="624"/>
      <c r="AX879" s="624">
        <v>39486</v>
      </c>
      <c r="AY879" s="355">
        <v>4.0419999999999998E-2</v>
      </c>
      <c r="AZ879" s="624">
        <v>39553</v>
      </c>
      <c r="BA879" s="355">
        <v>1.95E-2</v>
      </c>
      <c r="BB879" s="624">
        <v>39484</v>
      </c>
      <c r="BC879" s="355">
        <v>0.40579999999999999</v>
      </c>
      <c r="BD879" s="624">
        <v>39485</v>
      </c>
      <c r="BE879" s="355">
        <v>0.10578</v>
      </c>
      <c r="BF879" s="624">
        <v>39511</v>
      </c>
      <c r="BG879" s="355">
        <v>2.4799000000000002E-2</v>
      </c>
      <c r="BH879" s="624">
        <v>39484</v>
      </c>
      <c r="BI879" s="355">
        <v>0.10807899999999999</v>
      </c>
      <c r="BJ879" s="624">
        <v>39484</v>
      </c>
      <c r="BK879" s="355">
        <v>3.2122999999999999E-2</v>
      </c>
    </row>
    <row r="880" spans="3:63">
      <c r="C880" s="624"/>
      <c r="D880" s="355">
        <v>4.0419999999999998E-2</v>
      </c>
      <c r="AV880" s="624"/>
      <c r="AX880" s="624">
        <v>39489</v>
      </c>
      <c r="AY880" s="355">
        <v>4.0500000000000001E-2</v>
      </c>
      <c r="AZ880" s="624">
        <v>39554</v>
      </c>
      <c r="BA880" s="355">
        <v>1.9699999999999999E-2</v>
      </c>
      <c r="BB880" s="624">
        <v>39485</v>
      </c>
      <c r="BC880" s="355">
        <v>0.40150000000000002</v>
      </c>
      <c r="BD880" s="624">
        <v>39486</v>
      </c>
      <c r="BE880" s="355">
        <v>0.10586</v>
      </c>
      <c r="BF880" s="624">
        <v>39512</v>
      </c>
      <c r="BG880" s="355">
        <v>2.4806000000000002E-2</v>
      </c>
      <c r="BH880" s="624">
        <v>39485</v>
      </c>
      <c r="BI880" s="355">
        <v>0.108196</v>
      </c>
      <c r="BJ880" s="624">
        <v>39485</v>
      </c>
      <c r="BK880" s="355">
        <v>3.1595999999999999E-2</v>
      </c>
    </row>
    <row r="881" spans="3:63">
      <c r="C881" s="624"/>
      <c r="D881" s="355">
        <v>4.0500000000000001E-2</v>
      </c>
      <c r="AV881" s="624"/>
      <c r="AX881" s="624">
        <v>39490</v>
      </c>
      <c r="AY881" s="355">
        <v>4.061E-2</v>
      </c>
      <c r="AZ881" s="624">
        <v>39555</v>
      </c>
      <c r="BA881" s="355">
        <v>1.9699999999999999E-2</v>
      </c>
      <c r="BB881" s="624">
        <v>39486</v>
      </c>
      <c r="BC881" s="355">
        <v>0.4007</v>
      </c>
      <c r="BD881" s="624">
        <v>39489</v>
      </c>
      <c r="BE881" s="355">
        <v>0.10566</v>
      </c>
      <c r="BF881" s="624">
        <v>39513</v>
      </c>
      <c r="BG881" s="355">
        <v>2.4857000000000001E-2</v>
      </c>
      <c r="BH881" s="624">
        <v>39486</v>
      </c>
      <c r="BI881" s="355">
        <v>0.108167</v>
      </c>
      <c r="BJ881" s="624">
        <v>39486</v>
      </c>
      <c r="BK881" s="355">
        <v>3.1847E-2</v>
      </c>
    </row>
    <row r="882" spans="3:63">
      <c r="C882" s="624"/>
      <c r="D882" s="355">
        <v>4.061E-2</v>
      </c>
      <c r="AV882" s="624"/>
      <c r="AX882" s="624">
        <v>39491</v>
      </c>
      <c r="AY882" s="355">
        <v>4.0550000000000003E-2</v>
      </c>
      <c r="AZ882" s="624">
        <v>39556</v>
      </c>
      <c r="BA882" s="355">
        <v>1.9599999999999999E-2</v>
      </c>
      <c r="BB882" s="624">
        <v>39489</v>
      </c>
      <c r="BC882" s="355">
        <v>0.40210000000000001</v>
      </c>
      <c r="BD882" s="624">
        <v>39490</v>
      </c>
      <c r="BE882" s="355">
        <v>0.10596999999999999</v>
      </c>
      <c r="BF882" s="624">
        <v>39514</v>
      </c>
      <c r="BG882" s="355">
        <v>2.4670000000000001E-2</v>
      </c>
      <c r="BH882" s="624">
        <v>39489</v>
      </c>
      <c r="BI882" s="355">
        <v>0.107991</v>
      </c>
      <c r="BJ882" s="624">
        <v>39489</v>
      </c>
      <c r="BK882" s="355">
        <v>3.125E-2</v>
      </c>
    </row>
    <row r="883" spans="3:63">
      <c r="C883" s="624"/>
      <c r="D883" s="355">
        <v>4.0550000000000003E-2</v>
      </c>
      <c r="AV883" s="624"/>
      <c r="AX883" s="624">
        <v>39492</v>
      </c>
      <c r="AY883" s="355">
        <v>4.0629999999999999E-2</v>
      </c>
      <c r="AZ883" s="624">
        <v>39559</v>
      </c>
      <c r="BA883" s="355">
        <v>1.9699999999999999E-2</v>
      </c>
      <c r="BB883" s="624">
        <v>39490</v>
      </c>
      <c r="BC883" s="355">
        <v>0.40429999999999999</v>
      </c>
      <c r="BD883" s="624">
        <v>39491</v>
      </c>
      <c r="BE883" s="355">
        <v>0.10582999999999999</v>
      </c>
      <c r="BF883" s="624">
        <v>39517</v>
      </c>
      <c r="BG883" s="355">
        <v>2.4697E-2</v>
      </c>
      <c r="BH883" s="624">
        <v>39490</v>
      </c>
      <c r="BI883" s="355">
        <v>0.107933</v>
      </c>
      <c r="BJ883" s="624">
        <v>39490</v>
      </c>
      <c r="BK883" s="355">
        <v>3.1192000000000001E-2</v>
      </c>
    </row>
    <row r="884" spans="3:63">
      <c r="C884" s="624"/>
      <c r="D884" s="355">
        <v>4.0629999999999999E-2</v>
      </c>
      <c r="AV884" s="624"/>
      <c r="AX884" s="624">
        <v>39493</v>
      </c>
      <c r="AY884" s="355">
        <v>4.0669999999999998E-2</v>
      </c>
      <c r="AZ884" s="624">
        <v>39560</v>
      </c>
      <c r="BA884" s="355">
        <v>1.9800000000000002E-2</v>
      </c>
      <c r="BB884" s="624">
        <v>39491</v>
      </c>
      <c r="BC884" s="355">
        <v>0.40570000000000001</v>
      </c>
      <c r="BD884" s="624">
        <v>39492</v>
      </c>
      <c r="BE884" s="355">
        <v>0.10581</v>
      </c>
      <c r="BF884" s="624">
        <v>39518</v>
      </c>
      <c r="BG884" s="355">
        <v>2.4722000000000001E-2</v>
      </c>
      <c r="BH884" s="624">
        <v>39491</v>
      </c>
      <c r="BI884" s="355">
        <v>0.107846</v>
      </c>
      <c r="BJ884" s="624">
        <v>39491</v>
      </c>
      <c r="BK884" s="355">
        <v>3.1133000000000001E-2</v>
      </c>
    </row>
    <row r="885" spans="3:63">
      <c r="C885" s="624"/>
      <c r="D885" s="355">
        <v>4.0669999999999998E-2</v>
      </c>
      <c r="AV885" s="624"/>
      <c r="AX885" s="624">
        <v>39496</v>
      </c>
      <c r="AY885" s="355">
        <v>4.0680000000000001E-2</v>
      </c>
      <c r="AZ885" s="624">
        <v>39561</v>
      </c>
      <c r="BA885" s="355">
        <v>1.9900000000000001E-2</v>
      </c>
      <c r="BB885" s="624">
        <v>39492</v>
      </c>
      <c r="BC885" s="355">
        <v>0.40799999999999997</v>
      </c>
      <c r="BD885" s="624">
        <v>39493</v>
      </c>
      <c r="BE885" s="355">
        <v>0.10582999999999999</v>
      </c>
      <c r="BF885" s="624">
        <v>39519</v>
      </c>
      <c r="BG885" s="355">
        <v>2.4794E-2</v>
      </c>
      <c r="BH885" s="624">
        <v>39492</v>
      </c>
      <c r="BI885" s="355">
        <v>0.108519</v>
      </c>
      <c r="BJ885" s="624">
        <v>39492</v>
      </c>
      <c r="BK885" s="355">
        <v>3.1279000000000001E-2</v>
      </c>
    </row>
    <row r="886" spans="3:63">
      <c r="C886" s="624"/>
      <c r="D886" s="355">
        <v>4.0680000000000001E-2</v>
      </c>
      <c r="AV886" s="624"/>
      <c r="AX886" s="624">
        <v>39497</v>
      </c>
      <c r="AY886" s="355">
        <v>4.0739999999999998E-2</v>
      </c>
      <c r="AZ886" s="624">
        <v>39562</v>
      </c>
      <c r="BA886" s="355">
        <v>1.9699999999999999E-2</v>
      </c>
      <c r="BB886" s="624">
        <v>39493</v>
      </c>
      <c r="BC886" s="355">
        <v>0.4108</v>
      </c>
      <c r="BD886" s="624">
        <v>39496</v>
      </c>
      <c r="BE886" s="355">
        <v>0.10578</v>
      </c>
      <c r="BF886" s="624">
        <v>39520</v>
      </c>
      <c r="BG886" s="355">
        <v>2.4707E-2</v>
      </c>
      <c r="BH886" s="624">
        <v>39493</v>
      </c>
      <c r="BI886" s="355">
        <v>0.108932</v>
      </c>
      <c r="BJ886" s="624">
        <v>39493</v>
      </c>
      <c r="BK886" s="355">
        <v>3.1565999999999997E-2</v>
      </c>
    </row>
    <row r="887" spans="3:63">
      <c r="C887" s="624"/>
      <c r="D887" s="355">
        <v>4.0739999999999998E-2</v>
      </c>
      <c r="AV887" s="624"/>
      <c r="AX887" s="624">
        <v>39498</v>
      </c>
      <c r="AY887" s="355">
        <v>4.0739999999999998E-2</v>
      </c>
      <c r="AZ887" s="624">
        <v>39563</v>
      </c>
      <c r="BA887" s="355">
        <v>1.9599999999999999E-2</v>
      </c>
      <c r="BB887" s="624">
        <v>39496</v>
      </c>
      <c r="BC887" s="355">
        <v>0.40989999999999999</v>
      </c>
      <c r="BD887" s="624">
        <v>39497</v>
      </c>
      <c r="BE887" s="355">
        <v>0.10594000000000001</v>
      </c>
      <c r="BF887" s="624">
        <v>39521</v>
      </c>
      <c r="BG887" s="355">
        <v>2.4719000000000001E-2</v>
      </c>
      <c r="BH887" s="624">
        <v>39496</v>
      </c>
      <c r="BI887" s="355">
        <v>0.109218</v>
      </c>
      <c r="BJ887" s="624">
        <v>39496</v>
      </c>
      <c r="BK887" s="355">
        <v>3.1496000000000003E-2</v>
      </c>
    </row>
    <row r="888" spans="3:63">
      <c r="C888" s="624"/>
      <c r="D888" s="355">
        <v>4.0739999999999998E-2</v>
      </c>
      <c r="AV888" s="624"/>
      <c r="AX888" s="624">
        <v>39499</v>
      </c>
      <c r="AY888" s="355">
        <v>4.086E-2</v>
      </c>
      <c r="AZ888" s="624">
        <v>39566</v>
      </c>
      <c r="BA888" s="355">
        <v>1.9599999999999999E-2</v>
      </c>
      <c r="BB888" s="624">
        <v>39497</v>
      </c>
      <c r="BC888" s="355">
        <v>0.41170000000000001</v>
      </c>
      <c r="BD888" s="624">
        <v>39498</v>
      </c>
      <c r="BE888" s="355">
        <v>0.10553</v>
      </c>
      <c r="BF888" s="624">
        <v>39524</v>
      </c>
      <c r="BG888" s="355">
        <v>2.4542999999999999E-2</v>
      </c>
      <c r="BH888" s="624">
        <v>39497</v>
      </c>
      <c r="BI888" s="355">
        <v>0.109081</v>
      </c>
      <c r="BJ888" s="624">
        <v>39497</v>
      </c>
      <c r="BK888" s="355">
        <v>3.1635999999999997E-2</v>
      </c>
    </row>
    <row r="889" spans="3:63">
      <c r="C889" s="624"/>
      <c r="D889" s="355">
        <v>4.086E-2</v>
      </c>
      <c r="AV889" s="624"/>
      <c r="AX889" s="624">
        <v>39500</v>
      </c>
      <c r="AY889" s="355">
        <v>4.0919999999999998E-2</v>
      </c>
      <c r="AZ889" s="624">
        <v>39567</v>
      </c>
      <c r="BA889" s="355">
        <v>1.9300000000000001E-2</v>
      </c>
      <c r="BB889" s="624">
        <v>39498</v>
      </c>
      <c r="BC889" s="355">
        <v>0.41160000000000002</v>
      </c>
      <c r="BD889" s="624">
        <v>39499</v>
      </c>
      <c r="BE889" s="355">
        <v>0.10545</v>
      </c>
      <c r="BF889" s="624">
        <v>39525</v>
      </c>
      <c r="BG889" s="355">
        <v>2.4684999999999999E-2</v>
      </c>
      <c r="BH889" s="624">
        <v>39498</v>
      </c>
      <c r="BI889" s="355">
        <v>0.10857799999999999</v>
      </c>
      <c r="BJ889" s="624">
        <v>39498</v>
      </c>
      <c r="BK889" s="355">
        <v>3.1898000000000003E-2</v>
      </c>
    </row>
    <row r="890" spans="3:63">
      <c r="C890" s="624"/>
      <c r="D890" s="355">
        <v>4.0919999999999998E-2</v>
      </c>
      <c r="AV890" s="624"/>
      <c r="AX890" s="624">
        <v>39503</v>
      </c>
      <c r="AY890" s="355">
        <v>4.0930000000000001E-2</v>
      </c>
      <c r="AZ890" s="624">
        <v>39568</v>
      </c>
      <c r="BA890" s="355">
        <v>1.9300000000000001E-2</v>
      </c>
      <c r="BB890" s="624">
        <v>39499</v>
      </c>
      <c r="BC890" s="355">
        <v>0.41489999999999999</v>
      </c>
      <c r="BD890" s="624">
        <v>39500</v>
      </c>
      <c r="BE890" s="355">
        <v>0.10551000000000001</v>
      </c>
      <c r="BF890" s="624">
        <v>39526</v>
      </c>
      <c r="BG890" s="355">
        <v>2.4722999999999998E-2</v>
      </c>
      <c r="BH890" s="624">
        <v>39499</v>
      </c>
      <c r="BI890" s="355">
        <v>0.10917</v>
      </c>
      <c r="BJ890" s="624">
        <v>39499</v>
      </c>
      <c r="BK890" s="355">
        <v>3.1816999999999998E-2</v>
      </c>
    </row>
    <row r="891" spans="3:63">
      <c r="C891" s="624"/>
      <c r="D891" s="355">
        <v>4.0930000000000001E-2</v>
      </c>
      <c r="AV891" s="624"/>
      <c r="AX891" s="624">
        <v>39504</v>
      </c>
      <c r="AY891" s="355">
        <v>4.1239999999999999E-2</v>
      </c>
      <c r="AZ891" s="624">
        <v>39569</v>
      </c>
      <c r="BA891" s="355">
        <v>1.9099999999999999E-2</v>
      </c>
      <c r="BB891" s="624">
        <v>39500</v>
      </c>
      <c r="BC891" s="355">
        <v>0.41549999999999998</v>
      </c>
      <c r="BD891" s="624">
        <v>39503</v>
      </c>
      <c r="BE891" s="355">
        <v>0.10552</v>
      </c>
      <c r="BF891" s="624">
        <v>39527</v>
      </c>
      <c r="BG891" s="355">
        <v>2.4709999999999999E-2</v>
      </c>
      <c r="BH891" s="624">
        <v>39500</v>
      </c>
      <c r="BI891" s="355">
        <v>0.108932</v>
      </c>
      <c r="BJ891" s="624">
        <v>39500</v>
      </c>
      <c r="BK891" s="355">
        <v>3.2279000000000002E-2</v>
      </c>
    </row>
    <row r="892" spans="3:63">
      <c r="C892" s="624"/>
      <c r="D892" s="355">
        <v>4.1239999999999999E-2</v>
      </c>
      <c r="AV892" s="624"/>
      <c r="AX892" s="624">
        <v>39505</v>
      </c>
      <c r="AY892" s="355">
        <v>4.1509999999999998E-2</v>
      </c>
      <c r="AZ892" s="624">
        <v>39570</v>
      </c>
      <c r="BA892" s="355">
        <v>1.9099999999999999E-2</v>
      </c>
      <c r="BB892" s="624">
        <v>39503</v>
      </c>
      <c r="BC892" s="355">
        <v>0.41959999999999997</v>
      </c>
      <c r="BD892" s="624">
        <v>39504</v>
      </c>
      <c r="BE892" s="355">
        <v>0.10559</v>
      </c>
      <c r="BF892" s="624">
        <v>39531</v>
      </c>
      <c r="BG892" s="355">
        <v>2.4833999999999998E-2</v>
      </c>
      <c r="BH892" s="624">
        <v>39503</v>
      </c>
      <c r="BI892" s="355">
        <v>0.10958900000000001</v>
      </c>
      <c r="BJ892" s="624">
        <v>39503</v>
      </c>
      <c r="BK892" s="355">
        <v>3.2807999999999997E-2</v>
      </c>
    </row>
    <row r="893" spans="3:63">
      <c r="C893" s="624"/>
      <c r="D893" s="355">
        <v>4.1509999999999998E-2</v>
      </c>
      <c r="AV893" s="624"/>
      <c r="AX893" s="624">
        <v>39506</v>
      </c>
      <c r="AY893" s="355">
        <v>4.1680000000000002E-2</v>
      </c>
      <c r="AZ893" s="624">
        <v>39573</v>
      </c>
      <c r="BA893" s="355">
        <v>1.9E-2</v>
      </c>
      <c r="BB893" s="624">
        <v>39504</v>
      </c>
      <c r="BC893" s="355">
        <v>0.4239</v>
      </c>
      <c r="BD893" s="624">
        <v>39505</v>
      </c>
      <c r="BE893" s="355">
        <v>0.10629</v>
      </c>
      <c r="BF893" s="624">
        <v>39532</v>
      </c>
      <c r="BG893" s="355">
        <v>2.4922E-2</v>
      </c>
      <c r="BH893" s="624">
        <v>39504</v>
      </c>
      <c r="BI893" s="355">
        <v>0.110108</v>
      </c>
      <c r="BJ893" s="624">
        <v>39504</v>
      </c>
      <c r="BK893" s="355">
        <v>3.3168000000000003E-2</v>
      </c>
    </row>
    <row r="894" spans="3:63">
      <c r="C894" s="624"/>
      <c r="D894" s="355">
        <v>4.1680000000000002E-2</v>
      </c>
      <c r="AV894" s="624"/>
      <c r="AX894" s="624">
        <v>39507</v>
      </c>
      <c r="AY894" s="355">
        <v>4.1640000000000003E-2</v>
      </c>
      <c r="AZ894" s="624">
        <v>39574</v>
      </c>
      <c r="BA894" s="355">
        <v>1.8800000000000001E-2</v>
      </c>
      <c r="BB894" s="624">
        <v>39505</v>
      </c>
      <c r="BC894" s="355">
        <v>0.43</v>
      </c>
      <c r="BD894" s="624">
        <v>39506</v>
      </c>
      <c r="BE894" s="355">
        <v>0.10672</v>
      </c>
      <c r="BF894" s="624">
        <v>39533</v>
      </c>
      <c r="BG894" s="355">
        <v>2.4913000000000001E-2</v>
      </c>
      <c r="BH894" s="624">
        <v>39505</v>
      </c>
      <c r="BI894" s="355">
        <v>0.110461</v>
      </c>
      <c r="BJ894" s="624">
        <v>39505</v>
      </c>
      <c r="BK894" s="355">
        <v>3.3466999999999997E-2</v>
      </c>
    </row>
    <row r="895" spans="3:63">
      <c r="C895" s="624"/>
      <c r="D895" s="355">
        <v>4.1640000000000003E-2</v>
      </c>
      <c r="AV895" s="624"/>
      <c r="AX895" s="624">
        <v>39510</v>
      </c>
      <c r="AY895" s="355">
        <v>4.163E-2</v>
      </c>
      <c r="AZ895" s="624">
        <v>39575</v>
      </c>
      <c r="BA895" s="355">
        <v>1.8499999999999999E-2</v>
      </c>
      <c r="BB895" s="624">
        <v>39506</v>
      </c>
      <c r="BC895" s="355">
        <v>0.43269999999999997</v>
      </c>
      <c r="BD895" s="624">
        <v>39507</v>
      </c>
      <c r="BE895" s="355">
        <v>0.10607</v>
      </c>
      <c r="BF895" s="624">
        <v>39534</v>
      </c>
      <c r="BG895" s="355">
        <v>2.4941000000000001E-2</v>
      </c>
      <c r="BH895" s="624">
        <v>39506</v>
      </c>
      <c r="BI895" s="355">
        <v>0.110223</v>
      </c>
      <c r="BJ895" s="624">
        <v>39506</v>
      </c>
      <c r="BK895" s="355">
        <v>3.3863999999999998E-2</v>
      </c>
    </row>
    <row r="896" spans="3:63">
      <c r="C896" s="624"/>
      <c r="D896" s="355">
        <v>4.163E-2</v>
      </c>
      <c r="AV896" s="624"/>
      <c r="AX896" s="624">
        <v>39511</v>
      </c>
      <c r="AY896" s="355">
        <v>4.1660000000000003E-2</v>
      </c>
      <c r="AZ896" s="624">
        <v>39576</v>
      </c>
      <c r="BA896" s="355">
        <v>1.84E-2</v>
      </c>
      <c r="BB896" s="624">
        <v>39507</v>
      </c>
      <c r="BC896" s="355">
        <v>0.43030000000000002</v>
      </c>
      <c r="BD896" s="624">
        <v>39510</v>
      </c>
      <c r="BE896" s="355">
        <v>0.10553999999999999</v>
      </c>
      <c r="BF896" s="624">
        <v>39535</v>
      </c>
      <c r="BG896" s="355">
        <v>2.5078E-2</v>
      </c>
      <c r="BH896" s="624">
        <v>39507</v>
      </c>
      <c r="BI896" s="355">
        <v>0.109836</v>
      </c>
      <c r="BJ896" s="624">
        <v>39507</v>
      </c>
      <c r="BK896" s="355">
        <v>3.1989999999999998E-2</v>
      </c>
    </row>
    <row r="897" spans="3:63">
      <c r="C897" s="624"/>
      <c r="D897" s="355">
        <v>4.1660000000000003E-2</v>
      </c>
      <c r="AV897" s="624"/>
      <c r="AX897" s="624">
        <v>39512</v>
      </c>
      <c r="AY897" s="355">
        <v>4.1750000000000002E-2</v>
      </c>
      <c r="AZ897" s="624">
        <v>39577</v>
      </c>
      <c r="BA897" s="355">
        <v>1.84E-2</v>
      </c>
      <c r="BB897" s="624">
        <v>39510</v>
      </c>
      <c r="BC897" s="355">
        <v>0.43259999999999998</v>
      </c>
      <c r="BD897" s="624">
        <v>39511</v>
      </c>
      <c r="BE897" s="355">
        <v>0.10553</v>
      </c>
      <c r="BF897" s="624">
        <v>39538</v>
      </c>
      <c r="BG897" s="355">
        <v>2.4930000000000001E-2</v>
      </c>
      <c r="BH897" s="624">
        <v>39510</v>
      </c>
      <c r="BI897" s="355">
        <v>0.10977000000000001</v>
      </c>
      <c r="BJ897" s="624">
        <v>39510</v>
      </c>
      <c r="BK897" s="355">
        <v>3.1615999999999998E-2</v>
      </c>
    </row>
    <row r="898" spans="3:63">
      <c r="C898" s="624"/>
      <c r="D898" s="355">
        <v>4.1750000000000002E-2</v>
      </c>
      <c r="AV898" s="624"/>
      <c r="AX898" s="624">
        <v>39513</v>
      </c>
      <c r="AY898" s="355">
        <v>4.1980000000000003E-2</v>
      </c>
      <c r="AZ898" s="624">
        <v>39580</v>
      </c>
      <c r="BA898" s="355">
        <v>1.89E-2</v>
      </c>
      <c r="BB898" s="624">
        <v>39511</v>
      </c>
      <c r="BC898" s="355">
        <v>0.43159999999999998</v>
      </c>
      <c r="BD898" s="624">
        <v>39512</v>
      </c>
      <c r="BE898" s="355">
        <v>0.1053</v>
      </c>
      <c r="BF898" s="624">
        <v>39539</v>
      </c>
      <c r="BG898" s="355">
        <v>2.5094000000000002E-2</v>
      </c>
      <c r="BH898" s="624">
        <v>39511</v>
      </c>
      <c r="BI898" s="355">
        <v>0.10977000000000001</v>
      </c>
      <c r="BJ898" s="624">
        <v>39511</v>
      </c>
      <c r="BK898" s="355">
        <v>3.1685999999999999E-2</v>
      </c>
    </row>
    <row r="899" spans="3:63">
      <c r="C899" s="624"/>
      <c r="D899" s="355">
        <v>4.1980000000000003E-2</v>
      </c>
      <c r="AV899" s="624"/>
      <c r="AX899" s="624">
        <v>39514</v>
      </c>
      <c r="AY899" s="355">
        <v>4.1930000000000002E-2</v>
      </c>
      <c r="AZ899" s="624">
        <v>39581</v>
      </c>
      <c r="BA899" s="355">
        <v>1.8700000000000001E-2</v>
      </c>
      <c r="BB899" s="624">
        <v>39512</v>
      </c>
      <c r="BC899" s="355">
        <v>0.432</v>
      </c>
      <c r="BD899" s="624">
        <v>39513</v>
      </c>
      <c r="BE899" s="355">
        <v>0.10446999999999999</v>
      </c>
      <c r="BF899" s="624">
        <v>39540</v>
      </c>
      <c r="BG899" s="355">
        <v>2.5041000000000001E-2</v>
      </c>
      <c r="BH899" s="624">
        <v>39512</v>
      </c>
      <c r="BI899" s="355">
        <v>0.11003599999999999</v>
      </c>
      <c r="BJ899" s="624">
        <v>39512</v>
      </c>
      <c r="BK899" s="355">
        <v>3.1676000000000003E-2</v>
      </c>
    </row>
    <row r="900" spans="3:63">
      <c r="C900" s="624"/>
      <c r="D900" s="355">
        <v>4.1930000000000002E-2</v>
      </c>
      <c r="AV900" s="624"/>
      <c r="AX900" s="624">
        <v>39517</v>
      </c>
      <c r="AY900" s="355">
        <v>4.1889999999999997E-2</v>
      </c>
      <c r="AZ900" s="624">
        <v>39582</v>
      </c>
      <c r="BA900" s="355">
        <v>1.8599999999999998E-2</v>
      </c>
      <c r="BB900" s="624">
        <v>39513</v>
      </c>
      <c r="BC900" s="355">
        <v>0.43070000000000003</v>
      </c>
      <c r="BD900" s="624">
        <v>39514</v>
      </c>
      <c r="BE900" s="355">
        <v>0.10445</v>
      </c>
      <c r="BF900" s="624">
        <v>39541</v>
      </c>
      <c r="BG900" s="355">
        <v>2.5028000000000002E-2</v>
      </c>
      <c r="BH900" s="624">
        <v>39513</v>
      </c>
      <c r="BI900" s="355">
        <v>0.109649</v>
      </c>
      <c r="BJ900" s="624">
        <v>39513</v>
      </c>
      <c r="BK900" s="355">
        <v>3.1676000000000003E-2</v>
      </c>
    </row>
    <row r="901" spans="3:63">
      <c r="C901" s="624"/>
      <c r="D901" s="355">
        <v>4.1889999999999997E-2</v>
      </c>
      <c r="AV901" s="624"/>
      <c r="AX901" s="624">
        <v>39518</v>
      </c>
      <c r="AY901" s="355">
        <v>4.1880000000000001E-2</v>
      </c>
      <c r="AZ901" s="624">
        <v>39583</v>
      </c>
      <c r="BA901" s="355">
        <v>1.8800000000000001E-2</v>
      </c>
      <c r="BB901" s="624">
        <v>39514</v>
      </c>
      <c r="BC901" s="355">
        <v>0.43049999999999999</v>
      </c>
      <c r="BD901" s="624">
        <v>39517</v>
      </c>
      <c r="BE901" s="355">
        <v>0.10326</v>
      </c>
      <c r="BF901" s="624">
        <v>39542</v>
      </c>
      <c r="BG901" s="355">
        <v>2.5003000000000001E-2</v>
      </c>
      <c r="BH901" s="624">
        <v>39514</v>
      </c>
      <c r="BI901" s="355">
        <v>0.11013199999999999</v>
      </c>
      <c r="BJ901" s="624">
        <v>39514</v>
      </c>
      <c r="BK901" s="355">
        <v>3.1716000000000001E-2</v>
      </c>
    </row>
    <row r="902" spans="3:63">
      <c r="C902" s="624"/>
      <c r="D902" s="355">
        <v>4.1880000000000001E-2</v>
      </c>
      <c r="AV902" s="624"/>
      <c r="AX902" s="624">
        <v>39519</v>
      </c>
      <c r="AY902" s="355">
        <v>4.2209999999999998E-2</v>
      </c>
      <c r="AZ902" s="624">
        <v>39584</v>
      </c>
      <c r="BA902" s="355">
        <v>1.9E-2</v>
      </c>
      <c r="BB902" s="624">
        <v>39517</v>
      </c>
      <c r="BC902" s="355">
        <v>0.42949999999999999</v>
      </c>
      <c r="BD902" s="624">
        <v>39518</v>
      </c>
      <c r="BE902" s="355">
        <v>0.10375</v>
      </c>
      <c r="BF902" s="624">
        <v>39545</v>
      </c>
      <c r="BG902" s="355">
        <v>2.5031000000000001E-2</v>
      </c>
      <c r="BH902" s="624">
        <v>39517</v>
      </c>
      <c r="BI902" s="355">
        <v>0.108372</v>
      </c>
      <c r="BJ902" s="624">
        <v>39517</v>
      </c>
      <c r="BK902" s="355">
        <v>3.1725999999999997E-2</v>
      </c>
    </row>
    <row r="903" spans="3:63">
      <c r="C903" s="624"/>
      <c r="D903" s="355">
        <v>4.2209999999999998E-2</v>
      </c>
      <c r="AV903" s="624"/>
      <c r="AX903" s="624">
        <v>39520</v>
      </c>
      <c r="AY903" s="355">
        <v>4.2340000000000003E-2</v>
      </c>
      <c r="AZ903" s="624">
        <v>39587</v>
      </c>
      <c r="BA903" s="355">
        <v>1.9E-2</v>
      </c>
      <c r="BB903" s="624">
        <v>39518</v>
      </c>
      <c r="BC903" s="355">
        <v>0.43409999999999999</v>
      </c>
      <c r="BD903" s="624">
        <v>39519</v>
      </c>
      <c r="BE903" s="355">
        <v>0.10295</v>
      </c>
      <c r="BF903" s="624">
        <v>39546</v>
      </c>
      <c r="BG903" s="355">
        <v>2.4962999999999999E-2</v>
      </c>
      <c r="BH903" s="624">
        <v>39518</v>
      </c>
      <c r="BI903" s="355">
        <v>0.109051</v>
      </c>
      <c r="BJ903" s="624">
        <v>39518</v>
      </c>
      <c r="BK903" s="355">
        <v>3.1696000000000002E-2</v>
      </c>
    </row>
    <row r="904" spans="3:63">
      <c r="C904" s="624"/>
      <c r="D904" s="355">
        <v>4.2340000000000003E-2</v>
      </c>
      <c r="AV904" s="624"/>
      <c r="AX904" s="624">
        <v>39521</v>
      </c>
      <c r="AY904" s="355">
        <v>4.2389999999999997E-2</v>
      </c>
      <c r="AZ904" s="624">
        <v>39588</v>
      </c>
      <c r="BA904" s="355">
        <v>1.9199999999999998E-2</v>
      </c>
      <c r="BB904" s="624">
        <v>39519</v>
      </c>
      <c r="BC904" s="355">
        <v>0.43980000000000002</v>
      </c>
      <c r="BD904" s="624">
        <v>39520</v>
      </c>
      <c r="BE904" s="355">
        <v>0.10184</v>
      </c>
      <c r="BF904" s="624">
        <v>39547</v>
      </c>
      <c r="BG904" s="355">
        <v>2.4993999999999999E-2</v>
      </c>
      <c r="BH904" s="624">
        <v>39519</v>
      </c>
      <c r="BI904" s="355">
        <v>0.108962</v>
      </c>
      <c r="BJ904" s="624">
        <v>39519</v>
      </c>
      <c r="BK904" s="355">
        <v>3.1676000000000003E-2</v>
      </c>
    </row>
    <row r="905" spans="3:63">
      <c r="C905" s="624"/>
      <c r="D905" s="355">
        <v>4.2389999999999997E-2</v>
      </c>
      <c r="AV905" s="624"/>
      <c r="AX905" s="624">
        <v>39524</v>
      </c>
      <c r="AY905" s="355">
        <v>4.2479999999999997E-2</v>
      </c>
      <c r="AZ905" s="624">
        <v>39589</v>
      </c>
      <c r="BA905" s="355">
        <v>1.9300000000000001E-2</v>
      </c>
      <c r="BB905" s="624">
        <v>39520</v>
      </c>
      <c r="BC905" s="355">
        <v>0.44119999999999998</v>
      </c>
      <c r="BD905" s="624">
        <v>39521</v>
      </c>
      <c r="BE905" s="355">
        <v>0.10034999999999999</v>
      </c>
      <c r="BF905" s="624">
        <v>39548</v>
      </c>
      <c r="BG905" s="355">
        <v>2.4965999999999999E-2</v>
      </c>
      <c r="BH905" s="624">
        <v>39520</v>
      </c>
      <c r="BI905" s="355">
        <v>0.108401</v>
      </c>
      <c r="BJ905" s="624">
        <v>39520</v>
      </c>
      <c r="BK905" s="355">
        <v>3.1816999999999998E-2</v>
      </c>
    </row>
    <row r="906" spans="3:63">
      <c r="C906" s="624"/>
      <c r="D906" s="355">
        <v>4.2479999999999997E-2</v>
      </c>
      <c r="AV906" s="624"/>
      <c r="AX906" s="624">
        <v>39525</v>
      </c>
      <c r="AY906" s="355">
        <v>4.2320000000000003E-2</v>
      </c>
      <c r="AZ906" s="624">
        <v>39590</v>
      </c>
      <c r="BA906" s="355">
        <v>1.9400000000000001E-2</v>
      </c>
      <c r="BB906" s="624">
        <v>39521</v>
      </c>
      <c r="BC906" s="355">
        <v>0.4425</v>
      </c>
      <c r="BD906" s="624">
        <v>39524</v>
      </c>
      <c r="BE906" s="355">
        <v>9.7900000000000001E-2</v>
      </c>
      <c r="BF906" s="624">
        <v>39549</v>
      </c>
      <c r="BG906" s="355">
        <v>2.5021999999999999E-2</v>
      </c>
      <c r="BH906" s="624">
        <v>39521</v>
      </c>
      <c r="BI906" s="355">
        <v>0.108225</v>
      </c>
      <c r="BJ906" s="624">
        <v>39521</v>
      </c>
      <c r="BK906" s="355">
        <v>3.1866999999999999E-2</v>
      </c>
    </row>
    <row r="907" spans="3:63">
      <c r="C907" s="624"/>
      <c r="D907" s="355">
        <v>4.2320000000000003E-2</v>
      </c>
      <c r="AV907" s="624"/>
      <c r="AX907" s="624">
        <v>39526</v>
      </c>
      <c r="AY907" s="355">
        <v>4.231E-2</v>
      </c>
      <c r="AZ907" s="624">
        <v>39591</v>
      </c>
      <c r="BA907" s="355">
        <v>1.95E-2</v>
      </c>
      <c r="BB907" s="624">
        <v>39524</v>
      </c>
      <c r="BC907" s="355">
        <v>0.4446</v>
      </c>
      <c r="BD907" s="624">
        <v>39525</v>
      </c>
      <c r="BE907" s="355">
        <v>9.9110000000000004E-2</v>
      </c>
      <c r="BF907" s="624">
        <v>39552</v>
      </c>
      <c r="BG907" s="355">
        <v>2.5013000000000001E-2</v>
      </c>
      <c r="BH907" s="624">
        <v>39524</v>
      </c>
      <c r="BI907" s="355">
        <v>0.107643</v>
      </c>
      <c r="BJ907" s="624">
        <v>39524</v>
      </c>
      <c r="BK907" s="355">
        <v>3.1836999999999997E-2</v>
      </c>
    </row>
    <row r="908" spans="3:63">
      <c r="C908" s="624"/>
      <c r="D908" s="355">
        <v>4.231E-2</v>
      </c>
      <c r="AV908" s="624"/>
      <c r="AX908" s="624">
        <v>39527</v>
      </c>
      <c r="AY908" s="355">
        <v>4.2000000000000003E-2</v>
      </c>
      <c r="AZ908" s="624">
        <v>39594</v>
      </c>
      <c r="BA908" s="355">
        <v>1.95E-2</v>
      </c>
      <c r="BB908" s="624">
        <v>39525</v>
      </c>
      <c r="BC908" s="355">
        <v>0.44259999999999999</v>
      </c>
      <c r="BD908" s="624">
        <v>39526</v>
      </c>
      <c r="BE908" s="355">
        <v>9.8839999999999997E-2</v>
      </c>
      <c r="BF908" s="624">
        <v>39553</v>
      </c>
      <c r="BG908" s="355">
        <v>2.4981E-2</v>
      </c>
      <c r="BH908" s="624">
        <v>39525</v>
      </c>
      <c r="BI908" s="355">
        <v>0.10881399999999999</v>
      </c>
      <c r="BJ908" s="624">
        <v>39525</v>
      </c>
      <c r="BK908" s="355">
        <v>3.2041E-2</v>
      </c>
    </row>
    <row r="909" spans="3:63">
      <c r="C909" s="624"/>
      <c r="D909" s="355">
        <v>4.2000000000000003E-2</v>
      </c>
      <c r="AV909" s="624"/>
      <c r="AX909" s="624">
        <v>39528</v>
      </c>
      <c r="AY909" s="355">
        <v>4.2029999999999998E-2</v>
      </c>
      <c r="AZ909" s="624">
        <v>39595</v>
      </c>
      <c r="BA909" s="355">
        <v>1.9400000000000001E-2</v>
      </c>
      <c r="BB909" s="624">
        <v>39526</v>
      </c>
      <c r="BC909" s="355">
        <v>0.441</v>
      </c>
      <c r="BD909" s="624">
        <v>39527</v>
      </c>
      <c r="BE909" s="355">
        <v>9.9040000000000003E-2</v>
      </c>
      <c r="BF909" s="624">
        <v>39554</v>
      </c>
      <c r="BG909" s="355">
        <v>2.5031000000000001E-2</v>
      </c>
      <c r="BH909" s="624">
        <v>39526</v>
      </c>
      <c r="BI909" s="355">
        <v>0.108637</v>
      </c>
      <c r="BJ909" s="624">
        <v>39526</v>
      </c>
      <c r="BK909" s="355">
        <v>3.2143999999999999E-2</v>
      </c>
    </row>
    <row r="910" spans="3:63">
      <c r="C910" s="624"/>
      <c r="D910" s="355">
        <v>4.2029999999999998E-2</v>
      </c>
      <c r="AV910" s="624"/>
      <c r="AX910" s="624">
        <v>39531</v>
      </c>
      <c r="AY910" s="355">
        <v>4.2009999999999999E-2</v>
      </c>
      <c r="AZ910" s="624">
        <v>39596</v>
      </c>
      <c r="BA910" s="355">
        <v>1.9099999999999999E-2</v>
      </c>
      <c r="BB910" s="624">
        <v>39527</v>
      </c>
      <c r="BC910" s="355">
        <v>0.43569999999999998</v>
      </c>
      <c r="BD910" s="624">
        <v>39528</v>
      </c>
      <c r="BE910" s="355">
        <v>9.98E-2</v>
      </c>
      <c r="BF910" s="624">
        <v>39555</v>
      </c>
      <c r="BG910" s="355">
        <v>2.5132000000000002E-2</v>
      </c>
      <c r="BH910" s="624">
        <v>39527</v>
      </c>
      <c r="BI910" s="355">
        <v>0.108483</v>
      </c>
      <c r="BJ910" s="624">
        <v>39527</v>
      </c>
      <c r="BK910" s="355">
        <v>3.1939000000000002E-2</v>
      </c>
    </row>
    <row r="911" spans="3:63">
      <c r="C911" s="624"/>
      <c r="D911" s="355">
        <v>4.2009999999999999E-2</v>
      </c>
      <c r="AV911" s="624"/>
      <c r="AX911" s="624">
        <v>39532</v>
      </c>
      <c r="AY911" s="355">
        <v>4.2349999999999999E-2</v>
      </c>
      <c r="AZ911" s="624">
        <v>39597</v>
      </c>
      <c r="BA911" s="355">
        <v>1.8800000000000001E-2</v>
      </c>
      <c r="BB911" s="624">
        <v>39528</v>
      </c>
      <c r="BC911" s="355">
        <v>0.43669999999999998</v>
      </c>
      <c r="BD911" s="624">
        <v>39531</v>
      </c>
      <c r="BE911" s="355">
        <v>0.10085</v>
      </c>
      <c r="BF911" s="624">
        <v>39556</v>
      </c>
      <c r="BG911" s="355">
        <v>2.5049999999999999E-2</v>
      </c>
      <c r="BH911" s="624">
        <v>39528</v>
      </c>
      <c r="BI911" s="355">
        <v>0.108519</v>
      </c>
      <c r="BJ911" s="624">
        <v>39528</v>
      </c>
      <c r="BK911" s="355">
        <v>3.1968999999999997E-2</v>
      </c>
    </row>
    <row r="912" spans="3:63">
      <c r="C912" s="624"/>
      <c r="D912" s="355">
        <v>4.2349999999999999E-2</v>
      </c>
      <c r="AV912" s="624"/>
      <c r="AX912" s="624">
        <v>39533</v>
      </c>
      <c r="AY912" s="355">
        <v>4.2630000000000001E-2</v>
      </c>
      <c r="AZ912" s="624">
        <v>39598</v>
      </c>
      <c r="BA912" s="355">
        <v>1.8800000000000001E-2</v>
      </c>
      <c r="BB912" s="624">
        <v>39531</v>
      </c>
      <c r="BC912" s="355">
        <v>0.43669999999999998</v>
      </c>
      <c r="BD912" s="624">
        <v>39532</v>
      </c>
      <c r="BE912" s="355">
        <v>0.10176</v>
      </c>
      <c r="BF912" s="624">
        <v>39559</v>
      </c>
      <c r="BG912" s="355">
        <v>2.5055999999999998E-2</v>
      </c>
      <c r="BH912" s="624">
        <v>39531</v>
      </c>
      <c r="BI912" s="355">
        <v>0.108755</v>
      </c>
      <c r="BJ912" s="624">
        <v>39531</v>
      </c>
      <c r="BK912" s="355">
        <v>3.1736E-2</v>
      </c>
    </row>
    <row r="913" spans="3:63">
      <c r="C913" s="624"/>
      <c r="D913" s="355">
        <v>4.2630000000000001E-2</v>
      </c>
      <c r="AV913" s="624"/>
      <c r="AX913" s="624">
        <v>39534</v>
      </c>
      <c r="AY913" s="355">
        <v>4.2540000000000001E-2</v>
      </c>
      <c r="AZ913" s="624">
        <v>39601</v>
      </c>
      <c r="BA913" s="355">
        <v>1.8800000000000001E-2</v>
      </c>
      <c r="BB913" s="624">
        <v>39532</v>
      </c>
      <c r="BC913" s="355">
        <v>0.44390000000000002</v>
      </c>
      <c r="BD913" s="624">
        <v>39533</v>
      </c>
      <c r="BE913" s="355">
        <v>0.1008</v>
      </c>
      <c r="BF913" s="624">
        <v>39560</v>
      </c>
      <c r="BG913" s="355">
        <v>2.5024999999999999E-2</v>
      </c>
      <c r="BH913" s="624">
        <v>39532</v>
      </c>
      <c r="BI913" s="355">
        <v>0.10899200000000001</v>
      </c>
      <c r="BJ913" s="624">
        <v>39532</v>
      </c>
      <c r="BK913" s="355">
        <v>3.1716000000000001E-2</v>
      </c>
    </row>
    <row r="914" spans="3:63">
      <c r="C914" s="624"/>
      <c r="D914" s="355">
        <v>4.2540000000000001E-2</v>
      </c>
      <c r="AV914" s="624"/>
      <c r="AX914" s="624">
        <v>39535</v>
      </c>
      <c r="AY914" s="355">
        <v>4.2569999999999997E-2</v>
      </c>
      <c r="AZ914" s="624">
        <v>39602</v>
      </c>
      <c r="BA914" s="355">
        <v>1.8800000000000001E-2</v>
      </c>
      <c r="BB914" s="624">
        <v>39533</v>
      </c>
      <c r="BC914" s="355">
        <v>0.44929999999999998</v>
      </c>
      <c r="BD914" s="624">
        <v>39534</v>
      </c>
      <c r="BE914" s="355">
        <v>0.10085</v>
      </c>
      <c r="BF914" s="624">
        <v>39561</v>
      </c>
      <c r="BG914" s="355">
        <v>2.4955999999999999E-2</v>
      </c>
      <c r="BH914" s="624">
        <v>39533</v>
      </c>
      <c r="BI914" s="355">
        <v>0.10881399999999999</v>
      </c>
      <c r="BJ914" s="624">
        <v>39533</v>
      </c>
      <c r="BK914" s="355">
        <v>3.1877999999999997E-2</v>
      </c>
    </row>
    <row r="915" spans="3:63">
      <c r="C915" s="624"/>
      <c r="D915" s="355">
        <v>4.2569999999999997E-2</v>
      </c>
      <c r="AV915" s="624"/>
      <c r="AX915" s="624">
        <v>39538</v>
      </c>
      <c r="AY915" s="355">
        <v>4.2560000000000001E-2</v>
      </c>
      <c r="AZ915" s="624">
        <v>39603</v>
      </c>
      <c r="BA915" s="355">
        <v>1.89E-2</v>
      </c>
      <c r="BB915" s="624">
        <v>39534</v>
      </c>
      <c r="BC915" s="355">
        <v>0.44740000000000002</v>
      </c>
      <c r="BD915" s="624">
        <v>39535</v>
      </c>
      <c r="BE915" s="355">
        <v>0.10082000000000001</v>
      </c>
      <c r="BF915" s="624">
        <v>39562</v>
      </c>
      <c r="BG915" s="355">
        <v>2.4893999999999999E-2</v>
      </c>
      <c r="BH915" s="624">
        <v>39534</v>
      </c>
      <c r="BI915" s="355">
        <v>0.108519</v>
      </c>
      <c r="BJ915" s="624">
        <v>39534</v>
      </c>
      <c r="BK915" s="355">
        <v>3.1939000000000002E-2</v>
      </c>
    </row>
    <row r="916" spans="3:63">
      <c r="C916" s="624"/>
      <c r="D916" s="355">
        <v>4.2560000000000001E-2</v>
      </c>
      <c r="AV916" s="624"/>
      <c r="AX916" s="624">
        <v>39539</v>
      </c>
      <c r="AY916" s="355">
        <v>4.2299999999999997E-2</v>
      </c>
      <c r="AZ916" s="624">
        <v>39604</v>
      </c>
      <c r="BA916" s="355">
        <v>1.9099999999999999E-2</v>
      </c>
      <c r="BB916" s="624">
        <v>39535</v>
      </c>
      <c r="BC916" s="355">
        <v>0.4486</v>
      </c>
      <c r="BD916" s="624">
        <v>39538</v>
      </c>
      <c r="BE916" s="355">
        <v>0.10100000000000001</v>
      </c>
      <c r="BF916" s="624">
        <v>39563</v>
      </c>
      <c r="BG916" s="355">
        <v>2.4913000000000001E-2</v>
      </c>
      <c r="BH916" s="624">
        <v>39535</v>
      </c>
      <c r="BI916" s="355">
        <v>0.10828400000000001</v>
      </c>
      <c r="BJ916" s="624">
        <v>39535</v>
      </c>
      <c r="BK916" s="355">
        <v>3.1816999999999998E-2</v>
      </c>
    </row>
    <row r="917" spans="3:63">
      <c r="C917" s="624"/>
      <c r="D917" s="355">
        <v>4.2299999999999997E-2</v>
      </c>
      <c r="AV917" s="624"/>
      <c r="AX917" s="624">
        <v>39540</v>
      </c>
      <c r="AY917" s="355">
        <v>4.2419999999999999E-2</v>
      </c>
      <c r="AZ917" s="624">
        <v>39605</v>
      </c>
      <c r="BA917" s="355">
        <v>1.9400000000000001E-2</v>
      </c>
      <c r="BB917" s="624">
        <v>39538</v>
      </c>
      <c r="BC917" s="355">
        <v>0.4491</v>
      </c>
      <c r="BD917" s="624">
        <v>39539</v>
      </c>
      <c r="BE917" s="355">
        <v>0.10163999999999999</v>
      </c>
      <c r="BF917" s="624">
        <v>39566</v>
      </c>
      <c r="BG917" s="355">
        <v>2.4857000000000001E-2</v>
      </c>
      <c r="BH917" s="624">
        <v>39538</v>
      </c>
      <c r="BI917" s="355">
        <v>0.108519</v>
      </c>
      <c r="BJ917" s="624">
        <v>39538</v>
      </c>
      <c r="BK917" s="355">
        <v>3.1827000000000001E-2</v>
      </c>
    </row>
    <row r="918" spans="3:63">
      <c r="C918" s="624"/>
      <c r="D918" s="355">
        <v>4.2419999999999999E-2</v>
      </c>
      <c r="AV918" s="624"/>
      <c r="AX918" s="624">
        <v>39541</v>
      </c>
      <c r="AY918" s="355">
        <v>4.24E-2</v>
      </c>
      <c r="AZ918" s="624">
        <v>39608</v>
      </c>
      <c r="BA918" s="355">
        <v>1.95E-2</v>
      </c>
      <c r="BB918" s="624">
        <v>39539</v>
      </c>
      <c r="BC918" s="355">
        <v>0.4456</v>
      </c>
      <c r="BD918" s="624">
        <v>39540</v>
      </c>
      <c r="BE918" s="355">
        <v>0.10249</v>
      </c>
      <c r="BF918" s="624">
        <v>39567</v>
      </c>
      <c r="BG918" s="355">
        <v>2.4811E-2</v>
      </c>
      <c r="BH918" s="624">
        <v>39539</v>
      </c>
      <c r="BI918" s="355">
        <v>0.108483</v>
      </c>
      <c r="BJ918" s="624">
        <v>39539</v>
      </c>
      <c r="BK918" s="355">
        <v>3.1746000000000003E-2</v>
      </c>
    </row>
    <row r="919" spans="3:63">
      <c r="C919" s="624"/>
      <c r="D919" s="355">
        <v>4.24E-2</v>
      </c>
      <c r="AV919" s="624"/>
      <c r="AX919" s="624">
        <v>39542</v>
      </c>
      <c r="AY919" s="355">
        <v>4.2479999999999997E-2</v>
      </c>
      <c r="AZ919" s="624">
        <v>39609</v>
      </c>
      <c r="BA919" s="355">
        <v>1.9199999999999998E-2</v>
      </c>
      <c r="BB919" s="624">
        <v>39540</v>
      </c>
      <c r="BC919" s="355">
        <v>0.44979999999999998</v>
      </c>
      <c r="BD919" s="624">
        <v>39541</v>
      </c>
      <c r="BE919" s="355">
        <v>0.10251</v>
      </c>
      <c r="BF919" s="624">
        <v>39568</v>
      </c>
      <c r="BG919" s="355">
        <v>2.4663999999999998E-2</v>
      </c>
      <c r="BH919" s="624">
        <v>39540</v>
      </c>
      <c r="BI919" s="355">
        <v>0.108519</v>
      </c>
      <c r="BJ919" s="624">
        <v>39540</v>
      </c>
      <c r="BK919" s="355">
        <v>3.1685999999999999E-2</v>
      </c>
    </row>
    <row r="920" spans="3:63">
      <c r="C920" s="624"/>
      <c r="D920" s="355">
        <v>4.2479999999999997E-2</v>
      </c>
      <c r="AV920" s="624"/>
      <c r="AX920" s="624">
        <v>39545</v>
      </c>
      <c r="AY920" s="355">
        <v>4.2450000000000002E-2</v>
      </c>
      <c r="AZ920" s="624">
        <v>39610</v>
      </c>
      <c r="BA920" s="355">
        <v>1.95E-2</v>
      </c>
      <c r="BB920" s="624">
        <v>39541</v>
      </c>
      <c r="BC920" s="355">
        <v>0.45079999999999998</v>
      </c>
      <c r="BD920" s="624">
        <v>39542</v>
      </c>
      <c r="BE920" s="355">
        <v>0.10246</v>
      </c>
      <c r="BF920" s="624">
        <v>39569</v>
      </c>
      <c r="BG920" s="355">
        <v>2.4715999999999998E-2</v>
      </c>
      <c r="BH920" s="624">
        <v>39541</v>
      </c>
      <c r="BI920" s="355">
        <v>0.10834199999999999</v>
      </c>
      <c r="BJ920" s="624">
        <v>39541</v>
      </c>
      <c r="BK920" s="355">
        <v>3.1606000000000002E-2</v>
      </c>
    </row>
    <row r="921" spans="3:63">
      <c r="C921" s="624"/>
      <c r="D921" s="355">
        <v>4.2450000000000002E-2</v>
      </c>
      <c r="AV921" s="624"/>
      <c r="AX921" s="624">
        <v>39546</v>
      </c>
      <c r="AY921" s="355">
        <v>4.2450000000000002E-2</v>
      </c>
      <c r="AZ921" s="624">
        <v>39611</v>
      </c>
      <c r="BA921" s="355">
        <v>1.95E-2</v>
      </c>
      <c r="BB921" s="624">
        <v>39542</v>
      </c>
      <c r="BC921" s="355">
        <v>0.45250000000000001</v>
      </c>
      <c r="BD921" s="624">
        <v>39545</v>
      </c>
      <c r="BE921" s="355">
        <v>0.10267</v>
      </c>
      <c r="BF921" s="624">
        <v>39570</v>
      </c>
      <c r="BG921" s="355">
        <v>2.4558E-2</v>
      </c>
      <c r="BH921" s="624">
        <v>39542</v>
      </c>
      <c r="BI921" s="355">
        <v>0.108389</v>
      </c>
      <c r="BJ921" s="624">
        <v>39542</v>
      </c>
      <c r="BK921" s="355">
        <v>3.1586000000000003E-2</v>
      </c>
    </row>
    <row r="922" spans="3:63">
      <c r="C922" s="624"/>
      <c r="D922" s="355">
        <v>4.2450000000000002E-2</v>
      </c>
      <c r="AV922" s="624"/>
      <c r="AX922" s="624">
        <v>39547</v>
      </c>
      <c r="AY922" s="355">
        <v>4.2630000000000001E-2</v>
      </c>
      <c r="AZ922" s="624">
        <v>39612</v>
      </c>
      <c r="BA922" s="355">
        <v>1.9400000000000001E-2</v>
      </c>
      <c r="BB922" s="624">
        <v>39545</v>
      </c>
      <c r="BC922" s="355">
        <v>0.45419999999999999</v>
      </c>
      <c r="BD922" s="624">
        <v>39546</v>
      </c>
      <c r="BE922" s="355">
        <v>0.10245</v>
      </c>
      <c r="BF922" s="624">
        <v>39573</v>
      </c>
      <c r="BG922" s="355">
        <v>2.4587999999999999E-2</v>
      </c>
      <c r="BH922" s="624">
        <v>39545</v>
      </c>
      <c r="BI922" s="355">
        <v>0.10881399999999999</v>
      </c>
      <c r="BJ922" s="624">
        <v>39545</v>
      </c>
      <c r="BK922" s="355">
        <v>3.1646000000000001E-2</v>
      </c>
    </row>
    <row r="923" spans="3:63">
      <c r="C923" s="624"/>
      <c r="D923" s="355">
        <v>4.2630000000000001E-2</v>
      </c>
      <c r="AV923" s="624"/>
      <c r="AX923" s="624">
        <v>39548</v>
      </c>
      <c r="AY923" s="355">
        <v>4.249E-2</v>
      </c>
      <c r="AZ923" s="624">
        <v>39615</v>
      </c>
      <c r="BA923" s="355">
        <v>1.9599999999999999E-2</v>
      </c>
      <c r="BB923" s="624">
        <v>39546</v>
      </c>
      <c r="BC923" s="355">
        <v>0.45440000000000003</v>
      </c>
      <c r="BD923" s="624">
        <v>39547</v>
      </c>
      <c r="BE923" s="355">
        <v>0.10231</v>
      </c>
      <c r="BF923" s="624">
        <v>39574</v>
      </c>
      <c r="BG923" s="355">
        <v>2.4420000000000001E-2</v>
      </c>
      <c r="BH923" s="624">
        <v>39546</v>
      </c>
      <c r="BI923" s="355">
        <v>0.108696</v>
      </c>
      <c r="BJ923" s="624">
        <v>39546</v>
      </c>
      <c r="BK923" s="355">
        <v>3.1498999999999999E-2</v>
      </c>
    </row>
    <row r="924" spans="3:63">
      <c r="C924" s="624"/>
      <c r="D924" s="355">
        <v>4.249E-2</v>
      </c>
      <c r="AV924" s="624"/>
      <c r="AX924" s="624">
        <v>39549</v>
      </c>
      <c r="AY924" s="355">
        <v>4.2630000000000001E-2</v>
      </c>
      <c r="AZ924" s="624">
        <v>39616</v>
      </c>
      <c r="BA924" s="355">
        <v>1.9400000000000001E-2</v>
      </c>
      <c r="BB924" s="624">
        <v>39547</v>
      </c>
      <c r="BC924" s="355">
        <v>0.4582</v>
      </c>
      <c r="BD924" s="624">
        <v>39548</v>
      </c>
      <c r="BE924" s="355">
        <v>0.10241</v>
      </c>
      <c r="BF924" s="624">
        <v>39575</v>
      </c>
      <c r="BG924" s="355">
        <v>2.4101999999999998E-2</v>
      </c>
      <c r="BH924" s="624">
        <v>39547</v>
      </c>
      <c r="BI924" s="355">
        <v>0.10846</v>
      </c>
      <c r="BJ924" s="624">
        <v>39547</v>
      </c>
      <c r="BK924" s="355">
        <v>3.1461999999999997E-2</v>
      </c>
    </row>
    <row r="925" spans="3:63">
      <c r="C925" s="624"/>
      <c r="D925" s="355">
        <v>4.2630000000000001E-2</v>
      </c>
      <c r="AV925" s="624"/>
      <c r="AX925" s="624">
        <v>39552</v>
      </c>
      <c r="AY925" s="355">
        <v>4.2639999999999997E-2</v>
      </c>
      <c r="AZ925" s="624">
        <v>39617</v>
      </c>
      <c r="BA925" s="355">
        <v>1.9300000000000001E-2</v>
      </c>
      <c r="BB925" s="624">
        <v>39548</v>
      </c>
      <c r="BC925" s="355">
        <v>0.45950000000000002</v>
      </c>
      <c r="BD925" s="624">
        <v>39549</v>
      </c>
      <c r="BE925" s="355">
        <v>0.10231999999999999</v>
      </c>
      <c r="BF925" s="624">
        <v>39576</v>
      </c>
      <c r="BG925" s="355">
        <v>2.3942999999999999E-2</v>
      </c>
      <c r="BH925" s="624">
        <v>39548</v>
      </c>
      <c r="BI925" s="355">
        <v>0.10874300000000001</v>
      </c>
      <c r="BJ925" s="624">
        <v>39548</v>
      </c>
      <c r="BK925" s="355">
        <v>3.1775999999999999E-2</v>
      </c>
    </row>
    <row r="926" spans="3:63">
      <c r="C926" s="624"/>
      <c r="D926" s="355">
        <v>4.2639999999999997E-2</v>
      </c>
      <c r="AV926" s="624"/>
      <c r="AX926" s="624">
        <v>39553</v>
      </c>
      <c r="AY926" s="355">
        <v>4.2569999999999997E-2</v>
      </c>
      <c r="AZ926" s="624">
        <v>39618</v>
      </c>
      <c r="BA926" s="355">
        <v>1.9300000000000001E-2</v>
      </c>
      <c r="BB926" s="624">
        <v>39549</v>
      </c>
      <c r="BC926" s="355">
        <v>0.46039999999999998</v>
      </c>
      <c r="BD926" s="624">
        <v>39552</v>
      </c>
      <c r="BE926" s="355">
        <v>0.10206999999999999</v>
      </c>
      <c r="BF926" s="624">
        <v>39577</v>
      </c>
      <c r="BG926" s="355">
        <v>2.4056000000000001E-2</v>
      </c>
      <c r="BH926" s="624">
        <v>39549</v>
      </c>
      <c r="BI926" s="355">
        <v>0.10889699999999999</v>
      </c>
      <c r="BJ926" s="624">
        <v>39549</v>
      </c>
      <c r="BK926" s="355">
        <v>3.1681000000000001E-2</v>
      </c>
    </row>
    <row r="927" spans="3:63">
      <c r="C927" s="624"/>
      <c r="D927" s="355">
        <v>4.2569999999999997E-2</v>
      </c>
      <c r="AV927" s="624"/>
      <c r="AX927" s="624">
        <v>39554</v>
      </c>
      <c r="AY927" s="355">
        <v>4.2799999999999998E-2</v>
      </c>
      <c r="AZ927" s="624">
        <v>39619</v>
      </c>
      <c r="BA927" s="355">
        <v>1.9699999999999999E-2</v>
      </c>
      <c r="BB927" s="624">
        <v>39552</v>
      </c>
      <c r="BC927" s="355">
        <v>0.46479999999999999</v>
      </c>
      <c r="BD927" s="624">
        <v>39553</v>
      </c>
      <c r="BE927" s="355">
        <v>0.10076</v>
      </c>
      <c r="BF927" s="624">
        <v>39580</v>
      </c>
      <c r="BG927" s="355">
        <v>2.3855000000000001E-2</v>
      </c>
      <c r="BH927" s="624">
        <v>39552</v>
      </c>
      <c r="BI927" s="355">
        <v>0.108448</v>
      </c>
      <c r="BJ927" s="624">
        <v>39552</v>
      </c>
      <c r="BK927" s="355">
        <v>3.1666E-2</v>
      </c>
    </row>
    <row r="928" spans="3:63">
      <c r="C928" s="624"/>
      <c r="D928" s="355">
        <v>4.2799999999999998E-2</v>
      </c>
      <c r="AV928" s="624"/>
      <c r="AX928" s="624">
        <v>39555</v>
      </c>
      <c r="AY928" s="355">
        <v>4.2750000000000003E-2</v>
      </c>
      <c r="AZ928" s="624">
        <v>39622</v>
      </c>
      <c r="BA928" s="355">
        <v>1.9599999999999999E-2</v>
      </c>
      <c r="BB928" s="624">
        <v>39553</v>
      </c>
      <c r="BC928" s="355">
        <v>0.46279999999999999</v>
      </c>
      <c r="BD928" s="624">
        <v>39554</v>
      </c>
      <c r="BE928" s="355">
        <v>0.10106999999999999</v>
      </c>
      <c r="BF928" s="624">
        <v>39581</v>
      </c>
      <c r="BG928" s="355">
        <v>2.3677E-2</v>
      </c>
      <c r="BH928" s="624">
        <v>39553</v>
      </c>
      <c r="BI928" s="355">
        <v>0.10857799999999999</v>
      </c>
      <c r="BJ928" s="624">
        <v>39553</v>
      </c>
      <c r="BK928" s="355">
        <v>3.1626000000000001E-2</v>
      </c>
    </row>
    <row r="929" spans="3:63">
      <c r="C929" s="624"/>
      <c r="D929" s="355">
        <v>4.2750000000000003E-2</v>
      </c>
      <c r="AV929" s="624"/>
      <c r="AX929" s="624">
        <v>39556</v>
      </c>
      <c r="AY929" s="355">
        <v>4.2619999999999998E-2</v>
      </c>
      <c r="AZ929" s="624">
        <v>39623</v>
      </c>
      <c r="BA929" s="355">
        <v>1.9699999999999999E-2</v>
      </c>
      <c r="BB929" s="624">
        <v>39554</v>
      </c>
      <c r="BC929" s="355">
        <v>0.46679999999999999</v>
      </c>
      <c r="BD929" s="624">
        <v>39555</v>
      </c>
      <c r="BE929" s="355">
        <v>0.10001</v>
      </c>
      <c r="BF929" s="624">
        <v>39582</v>
      </c>
      <c r="BG929" s="355">
        <v>2.3578999999999999E-2</v>
      </c>
      <c r="BH929" s="624">
        <v>39554</v>
      </c>
      <c r="BI929" s="355">
        <v>0.108815</v>
      </c>
      <c r="BJ929" s="624">
        <v>39554</v>
      </c>
      <c r="BK929" s="355">
        <v>3.1766999999999997E-2</v>
      </c>
    </row>
    <row r="930" spans="3:63">
      <c r="C930" s="624"/>
      <c r="D930" s="355">
        <v>4.2619999999999998E-2</v>
      </c>
      <c r="AV930" s="624"/>
      <c r="AX930" s="624">
        <v>39559</v>
      </c>
      <c r="AY930" s="355">
        <v>4.2750000000000003E-2</v>
      </c>
      <c r="AZ930" s="624">
        <v>39624</v>
      </c>
      <c r="BA930" s="355">
        <v>1.9800000000000002E-2</v>
      </c>
      <c r="BB930" s="624">
        <v>39555</v>
      </c>
      <c r="BC930" s="355">
        <v>0.46350000000000002</v>
      </c>
      <c r="BD930" s="624">
        <v>39556</v>
      </c>
      <c r="BE930" s="355">
        <v>0.10020999999999999</v>
      </c>
      <c r="BF930" s="624">
        <v>39583</v>
      </c>
      <c r="BG930" s="355">
        <v>2.3477000000000001E-2</v>
      </c>
      <c r="BH930" s="624">
        <v>39555</v>
      </c>
      <c r="BI930" s="355">
        <v>0.108815</v>
      </c>
      <c r="BJ930" s="624">
        <v>39555</v>
      </c>
      <c r="BK930" s="355">
        <v>3.1816999999999998E-2</v>
      </c>
    </row>
    <row r="931" spans="3:63">
      <c r="C931" s="624"/>
      <c r="D931" s="355">
        <v>4.2750000000000003E-2</v>
      </c>
      <c r="AV931" s="624"/>
      <c r="AX931" s="624">
        <v>39560</v>
      </c>
      <c r="AY931" s="355">
        <v>4.2880000000000001E-2</v>
      </c>
      <c r="AZ931" s="624">
        <v>39625</v>
      </c>
      <c r="BA931" s="355">
        <v>1.9900000000000001E-2</v>
      </c>
      <c r="BB931" s="624">
        <v>39556</v>
      </c>
      <c r="BC931" s="355">
        <v>0.46050000000000002</v>
      </c>
      <c r="BD931" s="624">
        <v>39559</v>
      </c>
      <c r="BE931" s="355">
        <v>0.10059999999999999</v>
      </c>
      <c r="BF931" s="624">
        <v>39584</v>
      </c>
      <c r="BG931" s="355">
        <v>2.3498999999999999E-2</v>
      </c>
      <c r="BH931" s="624">
        <v>39556</v>
      </c>
      <c r="BI931" s="355">
        <v>0.108696</v>
      </c>
      <c r="BJ931" s="624">
        <v>39556</v>
      </c>
      <c r="BK931" s="355">
        <v>3.1726999999999998E-2</v>
      </c>
    </row>
    <row r="932" spans="3:63">
      <c r="C932" s="624"/>
      <c r="D932" s="355">
        <v>4.2880000000000001E-2</v>
      </c>
      <c r="AV932" s="624"/>
      <c r="AX932" s="624">
        <v>39561</v>
      </c>
      <c r="AY932" s="355">
        <v>4.2709999999999998E-2</v>
      </c>
      <c r="AZ932" s="624">
        <v>39626</v>
      </c>
      <c r="BA932" s="355">
        <v>0.02</v>
      </c>
      <c r="BB932" s="624">
        <v>39559</v>
      </c>
      <c r="BC932" s="355">
        <v>0.4657</v>
      </c>
      <c r="BD932" s="624">
        <v>39560</v>
      </c>
      <c r="BE932" s="355">
        <v>0.10002999999999999</v>
      </c>
      <c r="BF932" s="624">
        <v>39587</v>
      </c>
      <c r="BG932" s="355">
        <v>2.3526999999999999E-2</v>
      </c>
      <c r="BH932" s="624">
        <v>39559</v>
      </c>
      <c r="BI932" s="355">
        <v>0.108755</v>
      </c>
      <c r="BJ932" s="624">
        <v>39559</v>
      </c>
      <c r="BK932" s="355">
        <v>3.1741999999999999E-2</v>
      </c>
    </row>
    <row r="933" spans="3:63">
      <c r="C933" s="624"/>
      <c r="D933" s="355">
        <v>4.2709999999999998E-2</v>
      </c>
      <c r="AV933" s="624"/>
      <c r="AX933" s="624">
        <v>39562</v>
      </c>
      <c r="AY933" s="355">
        <v>4.2419999999999999E-2</v>
      </c>
      <c r="AZ933" s="624">
        <v>39629</v>
      </c>
      <c r="BA933" s="355">
        <v>2.01E-2</v>
      </c>
      <c r="BB933" s="624">
        <v>39560</v>
      </c>
      <c r="BC933" s="355">
        <v>0.46889999999999998</v>
      </c>
      <c r="BD933" s="624">
        <v>39561</v>
      </c>
      <c r="BE933" s="355">
        <v>0.10092</v>
      </c>
      <c r="BF933" s="624">
        <v>39588</v>
      </c>
      <c r="BG933" s="355">
        <v>2.3446999999999999E-2</v>
      </c>
      <c r="BH933" s="624">
        <v>39560</v>
      </c>
      <c r="BI933" s="355">
        <v>0.10879</v>
      </c>
      <c r="BJ933" s="624">
        <v>39560</v>
      </c>
      <c r="BK933" s="355">
        <v>3.1836999999999997E-2</v>
      </c>
    </row>
    <row r="934" spans="3:63">
      <c r="C934" s="624"/>
      <c r="D934" s="355">
        <v>4.2419999999999999E-2</v>
      </c>
      <c r="AV934" s="624"/>
      <c r="AX934" s="624">
        <v>39563</v>
      </c>
      <c r="AY934" s="355">
        <v>4.233E-2</v>
      </c>
      <c r="AZ934" s="624">
        <v>39630</v>
      </c>
      <c r="BA934" s="355">
        <v>0.02</v>
      </c>
      <c r="BB934" s="624">
        <v>39561</v>
      </c>
      <c r="BC934" s="355">
        <v>0.46550000000000002</v>
      </c>
      <c r="BD934" s="624">
        <v>39562</v>
      </c>
      <c r="BE934" s="355">
        <v>0.10037</v>
      </c>
      <c r="BF934" s="624">
        <v>39589</v>
      </c>
      <c r="BG934" s="355">
        <v>2.3264E-2</v>
      </c>
      <c r="BH934" s="624">
        <v>39561</v>
      </c>
      <c r="BI934" s="355">
        <v>0.10834199999999999</v>
      </c>
      <c r="BJ934" s="624">
        <v>39561</v>
      </c>
      <c r="BK934" s="355">
        <v>3.1796999999999999E-2</v>
      </c>
    </row>
    <row r="935" spans="3:63">
      <c r="C935" s="624"/>
      <c r="D935" s="355">
        <v>4.233E-2</v>
      </c>
      <c r="AV935" s="624"/>
      <c r="AX935" s="624">
        <v>39566</v>
      </c>
      <c r="AY935" s="355">
        <v>4.2389999999999997E-2</v>
      </c>
      <c r="AZ935" s="624">
        <v>39631</v>
      </c>
      <c r="BA935" s="355">
        <v>2.01E-2</v>
      </c>
      <c r="BB935" s="624">
        <v>39562</v>
      </c>
      <c r="BC935" s="355">
        <v>0.45639999999999997</v>
      </c>
      <c r="BD935" s="624">
        <v>39563</v>
      </c>
      <c r="BE935" s="355">
        <v>0.10052999999999999</v>
      </c>
      <c r="BF935" s="624">
        <v>39590</v>
      </c>
      <c r="BG935" s="355">
        <v>2.3314999999999999E-2</v>
      </c>
      <c r="BH935" s="624">
        <v>39562</v>
      </c>
      <c r="BI935" s="355">
        <v>0.108519</v>
      </c>
      <c r="BJ935" s="624">
        <v>39562</v>
      </c>
      <c r="BK935" s="355">
        <v>3.1751000000000001E-2</v>
      </c>
    </row>
    <row r="936" spans="3:63">
      <c r="C936" s="624"/>
      <c r="D936" s="355">
        <v>4.2389999999999997E-2</v>
      </c>
      <c r="AV936" s="624"/>
      <c r="AX936" s="624">
        <v>39567</v>
      </c>
      <c r="AY936" s="355">
        <v>4.224E-2</v>
      </c>
      <c r="AZ936" s="624">
        <v>39632</v>
      </c>
      <c r="BA936" s="355">
        <v>1.9900000000000001E-2</v>
      </c>
      <c r="BB936" s="624">
        <v>39563</v>
      </c>
      <c r="BC936" s="355">
        <v>0.45440000000000003</v>
      </c>
      <c r="BD936" s="624">
        <v>39566</v>
      </c>
      <c r="BE936" s="355">
        <v>0.10038</v>
      </c>
      <c r="BF936" s="624">
        <v>39591</v>
      </c>
      <c r="BG936" s="355">
        <v>2.3421999999999998E-2</v>
      </c>
      <c r="BH936" s="624">
        <v>39563</v>
      </c>
      <c r="BI936" s="355">
        <v>0.108372</v>
      </c>
      <c r="BJ936" s="624">
        <v>39563</v>
      </c>
      <c r="BK936" s="355">
        <v>3.1556000000000001E-2</v>
      </c>
    </row>
    <row r="937" spans="3:63">
      <c r="C937" s="624"/>
      <c r="D937" s="355">
        <v>4.224E-2</v>
      </c>
      <c r="AV937" s="624"/>
      <c r="AX937" s="624">
        <v>39568</v>
      </c>
      <c r="AY937" s="355">
        <v>4.231E-2</v>
      </c>
      <c r="AZ937" s="624">
        <v>39633</v>
      </c>
      <c r="BA937" s="355">
        <v>1.9900000000000001E-2</v>
      </c>
      <c r="BB937" s="624">
        <v>39566</v>
      </c>
      <c r="BC937" s="355">
        <v>0.45550000000000002</v>
      </c>
      <c r="BD937" s="624">
        <v>39567</v>
      </c>
      <c r="BE937" s="355">
        <v>9.9699999999999997E-2</v>
      </c>
      <c r="BF937" s="624">
        <v>39594</v>
      </c>
      <c r="BG937" s="355">
        <v>2.3401000000000002E-2</v>
      </c>
      <c r="BH937" s="624">
        <v>39566</v>
      </c>
      <c r="BI937" s="355">
        <v>0.108489</v>
      </c>
      <c r="BJ937" s="624">
        <v>39566</v>
      </c>
      <c r="BK937" s="355">
        <v>3.1545999999999998E-2</v>
      </c>
    </row>
    <row r="938" spans="3:63">
      <c r="C938" s="624"/>
      <c r="D938" s="355">
        <v>4.231E-2</v>
      </c>
      <c r="AV938" s="624"/>
      <c r="AX938" s="624">
        <v>39569</v>
      </c>
      <c r="AY938" s="355">
        <v>4.2070000000000003E-2</v>
      </c>
      <c r="AZ938" s="624">
        <v>39636</v>
      </c>
      <c r="BA938" s="355">
        <v>1.9900000000000001E-2</v>
      </c>
      <c r="BB938" s="624">
        <v>39567</v>
      </c>
      <c r="BC938" s="355">
        <v>0.44969999999999999</v>
      </c>
      <c r="BD938" s="624">
        <v>39568</v>
      </c>
      <c r="BE938" s="355">
        <v>9.9699999999999997E-2</v>
      </c>
      <c r="BF938" s="624">
        <v>39595</v>
      </c>
      <c r="BG938" s="355">
        <v>2.3272000000000001E-2</v>
      </c>
      <c r="BH938" s="624">
        <v>39567</v>
      </c>
      <c r="BI938" s="355">
        <v>0.108307</v>
      </c>
      <c r="BJ938" s="624">
        <v>39567</v>
      </c>
      <c r="BK938" s="355">
        <v>3.1536000000000002E-2</v>
      </c>
    </row>
    <row r="939" spans="3:63">
      <c r="C939" s="624"/>
      <c r="D939" s="355">
        <v>4.2070000000000003E-2</v>
      </c>
      <c r="AV939" s="624"/>
      <c r="AX939" s="624">
        <v>39570</v>
      </c>
      <c r="AY939" s="355">
        <v>4.2029999999999998E-2</v>
      </c>
      <c r="AZ939" s="624">
        <v>39637</v>
      </c>
      <c r="BA939" s="355">
        <v>1.9800000000000002E-2</v>
      </c>
      <c r="BB939" s="624">
        <v>39568</v>
      </c>
      <c r="BC939" s="355">
        <v>0.4526</v>
      </c>
      <c r="BD939" s="624">
        <v>39569</v>
      </c>
      <c r="BE939" s="355">
        <v>9.9750000000000005E-2</v>
      </c>
      <c r="BF939" s="624">
        <v>39596</v>
      </c>
      <c r="BG939" s="355">
        <v>2.3377999999999999E-2</v>
      </c>
      <c r="BH939" s="624">
        <v>39568</v>
      </c>
      <c r="BI939" s="355">
        <v>0.108337</v>
      </c>
      <c r="BJ939" s="624">
        <v>39568</v>
      </c>
      <c r="BK939" s="355">
        <v>3.1531000000000003E-2</v>
      </c>
    </row>
    <row r="940" spans="3:63">
      <c r="C940" s="624"/>
      <c r="D940" s="355">
        <v>4.2029999999999998E-2</v>
      </c>
      <c r="AV940" s="624"/>
      <c r="AX940" s="624">
        <v>39573</v>
      </c>
      <c r="AY940" s="355">
        <v>4.2119999999999998E-2</v>
      </c>
      <c r="AZ940" s="624">
        <v>39638</v>
      </c>
      <c r="BA940" s="355">
        <v>1.9900000000000001E-2</v>
      </c>
      <c r="BB940" s="624">
        <v>39569</v>
      </c>
      <c r="BC940" s="355">
        <v>0.44650000000000001</v>
      </c>
      <c r="BD940" s="624">
        <v>39570</v>
      </c>
      <c r="BE940" s="355">
        <v>9.9010000000000001E-2</v>
      </c>
      <c r="BF940" s="624">
        <v>39597</v>
      </c>
      <c r="BG940" s="355">
        <v>2.3563000000000001E-2</v>
      </c>
      <c r="BH940" s="624">
        <v>39569</v>
      </c>
      <c r="BI940" s="355">
        <v>0.108401</v>
      </c>
      <c r="BJ940" s="624">
        <v>39569</v>
      </c>
      <c r="BK940" s="355">
        <v>3.1716000000000001E-2</v>
      </c>
    </row>
    <row r="941" spans="3:63">
      <c r="C941" s="624"/>
      <c r="D941" s="355">
        <v>4.2119999999999998E-2</v>
      </c>
      <c r="AV941" s="624"/>
      <c r="AX941" s="624">
        <v>39574</v>
      </c>
      <c r="AY941" s="355">
        <v>4.2169999999999999E-2</v>
      </c>
      <c r="AZ941" s="624">
        <v>39639</v>
      </c>
      <c r="BA941" s="355">
        <v>2.01E-2</v>
      </c>
      <c r="BB941" s="624">
        <v>39570</v>
      </c>
      <c r="BC941" s="355">
        <v>0.44919999999999999</v>
      </c>
      <c r="BD941" s="624">
        <v>39573</v>
      </c>
      <c r="BE941" s="355">
        <v>9.9210000000000007E-2</v>
      </c>
      <c r="BF941" s="624">
        <v>39598</v>
      </c>
      <c r="BG941" s="355">
        <v>2.3688000000000001E-2</v>
      </c>
      <c r="BH941" s="624">
        <v>39570</v>
      </c>
      <c r="BI941" s="355">
        <v>0.108414</v>
      </c>
      <c r="BJ941" s="624">
        <v>39570</v>
      </c>
      <c r="BK941" s="355">
        <v>3.1525999999999998E-2</v>
      </c>
    </row>
    <row r="942" spans="3:63">
      <c r="C942" s="624"/>
      <c r="D942" s="355">
        <v>4.2169999999999999E-2</v>
      </c>
      <c r="AV942" s="624"/>
      <c r="AX942" s="624">
        <v>39575</v>
      </c>
      <c r="AY942" s="355">
        <v>4.1980000000000003E-2</v>
      </c>
      <c r="AZ942" s="624">
        <v>39640</v>
      </c>
      <c r="BA942" s="355">
        <v>2.0299999999999999E-2</v>
      </c>
      <c r="BB942" s="624">
        <v>39573</v>
      </c>
      <c r="BC942" s="355">
        <v>0.45</v>
      </c>
      <c r="BD942" s="624">
        <v>39574</v>
      </c>
      <c r="BE942" s="355">
        <v>9.8519999999999996E-2</v>
      </c>
      <c r="BF942" s="624">
        <v>39601</v>
      </c>
      <c r="BG942" s="355">
        <v>2.3549E-2</v>
      </c>
      <c r="BH942" s="624">
        <v>39573</v>
      </c>
      <c r="BI942" s="355">
        <v>0.108525</v>
      </c>
      <c r="BJ942" s="624">
        <v>39573</v>
      </c>
      <c r="BK942" s="355">
        <v>3.1565999999999997E-2</v>
      </c>
    </row>
    <row r="943" spans="3:63">
      <c r="C943" s="624"/>
      <c r="D943" s="355">
        <v>4.1980000000000003E-2</v>
      </c>
      <c r="AV943" s="624"/>
      <c r="AX943" s="624">
        <v>39576</v>
      </c>
      <c r="AY943" s="355">
        <v>4.197E-2</v>
      </c>
      <c r="AZ943" s="624">
        <v>39643</v>
      </c>
      <c r="BA943" s="355">
        <v>2.0299999999999999E-2</v>
      </c>
      <c r="BB943" s="624">
        <v>39574</v>
      </c>
      <c r="BC943" s="355">
        <v>0.45200000000000001</v>
      </c>
      <c r="BD943" s="624">
        <v>39575</v>
      </c>
      <c r="BE943" s="355">
        <v>9.6990000000000007E-2</v>
      </c>
      <c r="BF943" s="624">
        <v>39602</v>
      </c>
      <c r="BG943" s="355">
        <v>2.3512999999999999E-2</v>
      </c>
      <c r="BH943" s="624">
        <v>39574</v>
      </c>
      <c r="BI943" s="355">
        <v>0.10842499999999999</v>
      </c>
      <c r="BJ943" s="624">
        <v>39574</v>
      </c>
      <c r="BK943" s="355">
        <v>3.1569E-2</v>
      </c>
    </row>
    <row r="944" spans="3:63">
      <c r="C944" s="624"/>
      <c r="D944" s="355">
        <v>4.197E-2</v>
      </c>
      <c r="AV944" s="624"/>
      <c r="AX944" s="624">
        <v>39577</v>
      </c>
      <c r="AY944" s="355">
        <v>4.2119999999999998E-2</v>
      </c>
      <c r="AZ944" s="624">
        <v>39644</v>
      </c>
      <c r="BA944" s="355">
        <v>2.0299999999999999E-2</v>
      </c>
      <c r="BB944" s="624">
        <v>39575</v>
      </c>
      <c r="BC944" s="355">
        <v>0.45069999999999999</v>
      </c>
      <c r="BD944" s="624">
        <v>39576</v>
      </c>
      <c r="BE944" s="355">
        <v>9.6079999999999999E-2</v>
      </c>
      <c r="BF944" s="624">
        <v>39603</v>
      </c>
      <c r="BG944" s="355">
        <v>2.3304999999999999E-2</v>
      </c>
      <c r="BH944" s="624">
        <v>39575</v>
      </c>
      <c r="BI944" s="355">
        <v>0.10813200000000001</v>
      </c>
      <c r="BJ944" s="624">
        <v>39575</v>
      </c>
      <c r="BK944" s="355">
        <v>3.1525999999999998E-2</v>
      </c>
    </row>
    <row r="945" spans="3:63">
      <c r="C945" s="624"/>
      <c r="D945" s="355">
        <v>4.2119999999999998E-2</v>
      </c>
      <c r="AV945" s="624"/>
      <c r="AX945" s="624">
        <v>39580</v>
      </c>
      <c r="AY945" s="355">
        <v>4.2220000000000001E-2</v>
      </c>
      <c r="AZ945" s="624">
        <v>39645</v>
      </c>
      <c r="BA945" s="355">
        <v>2.0199999999999999E-2</v>
      </c>
      <c r="BB945" s="624">
        <v>39576</v>
      </c>
      <c r="BC945" s="355">
        <v>0.45140000000000002</v>
      </c>
      <c r="BD945" s="624">
        <v>39577</v>
      </c>
      <c r="BE945" s="355">
        <v>9.572E-2</v>
      </c>
      <c r="BF945" s="624">
        <v>39604</v>
      </c>
      <c r="BG945" s="355">
        <v>2.3255999999999999E-2</v>
      </c>
      <c r="BH945" s="624">
        <v>39576</v>
      </c>
      <c r="BI945" s="355">
        <v>0.10817300000000001</v>
      </c>
      <c r="BJ945" s="624">
        <v>39576</v>
      </c>
      <c r="BK945" s="355">
        <v>3.1323999999999998E-2</v>
      </c>
    </row>
    <row r="946" spans="3:63">
      <c r="C946" s="624"/>
      <c r="D946" s="355">
        <v>4.2220000000000001E-2</v>
      </c>
      <c r="AV946" s="624"/>
      <c r="AX946" s="624">
        <v>39581</v>
      </c>
      <c r="AY946" s="355">
        <v>4.2000000000000003E-2</v>
      </c>
      <c r="AZ946" s="624">
        <v>39646</v>
      </c>
      <c r="BA946" s="355">
        <v>2.0199999999999999E-2</v>
      </c>
      <c r="BB946" s="624">
        <v>39577</v>
      </c>
      <c r="BC946" s="355">
        <v>0.45650000000000002</v>
      </c>
      <c r="BD946" s="624">
        <v>39580</v>
      </c>
      <c r="BE946" s="355">
        <v>9.5600000000000004E-2</v>
      </c>
      <c r="BF946" s="624">
        <v>39605</v>
      </c>
      <c r="BG946" s="355">
        <v>2.324E-2</v>
      </c>
      <c r="BH946" s="624">
        <v>39577</v>
      </c>
      <c r="BI946" s="355">
        <v>0.108155</v>
      </c>
      <c r="BJ946" s="624">
        <v>39577</v>
      </c>
      <c r="BK946" s="355">
        <v>3.124E-2</v>
      </c>
    </row>
    <row r="947" spans="3:63">
      <c r="C947" s="624"/>
      <c r="D947" s="355">
        <v>4.2000000000000003E-2</v>
      </c>
      <c r="AV947" s="624"/>
      <c r="AX947" s="624">
        <v>39582</v>
      </c>
      <c r="AY947" s="355">
        <v>4.1849999999999998E-2</v>
      </c>
      <c r="AZ947" s="624">
        <v>39647</v>
      </c>
      <c r="BA947" s="355">
        <v>2.0199999999999999E-2</v>
      </c>
      <c r="BB947" s="624">
        <v>39580</v>
      </c>
      <c r="BC947" s="355">
        <v>0.4602</v>
      </c>
      <c r="BD947" s="624">
        <v>39581</v>
      </c>
      <c r="BE947" s="355">
        <v>9.5509999999999998E-2</v>
      </c>
      <c r="BF947" s="624">
        <v>39608</v>
      </c>
      <c r="BG947" s="355">
        <v>2.3283000000000002E-2</v>
      </c>
      <c r="BH947" s="624">
        <v>39580</v>
      </c>
      <c r="BI947" s="355">
        <v>0.10804999999999999</v>
      </c>
      <c r="BJ947" s="624">
        <v>39580</v>
      </c>
      <c r="BK947" s="355">
        <v>3.1085000000000002E-2</v>
      </c>
    </row>
    <row r="948" spans="3:63">
      <c r="C948" s="624"/>
      <c r="D948" s="355">
        <v>4.1849999999999998E-2</v>
      </c>
      <c r="AV948" s="624"/>
      <c r="AX948" s="624">
        <v>39583</v>
      </c>
      <c r="AY948" s="355">
        <v>4.1849999999999998E-2</v>
      </c>
      <c r="AZ948" s="624">
        <v>39650</v>
      </c>
      <c r="BA948" s="355">
        <v>2.0199999999999999E-2</v>
      </c>
      <c r="BB948" s="624">
        <v>39581</v>
      </c>
      <c r="BC948" s="355">
        <v>0.45760000000000001</v>
      </c>
      <c r="BD948" s="624">
        <v>39582</v>
      </c>
      <c r="BE948" s="355">
        <v>9.5420000000000005E-2</v>
      </c>
      <c r="BF948" s="624">
        <v>39609</v>
      </c>
      <c r="BG948" s="355">
        <v>2.3210000000000001E-2</v>
      </c>
      <c r="BH948" s="624">
        <v>39581</v>
      </c>
      <c r="BI948" s="355">
        <v>0.10789799999999999</v>
      </c>
      <c r="BJ948" s="624">
        <v>39581</v>
      </c>
      <c r="BK948" s="355">
        <v>3.0949999999999998E-2</v>
      </c>
    </row>
    <row r="949" spans="3:63">
      <c r="C949" s="624"/>
      <c r="D949" s="355">
        <v>4.1849999999999998E-2</v>
      </c>
      <c r="AV949" s="624"/>
      <c r="AX949" s="624">
        <v>39584</v>
      </c>
      <c r="AY949" s="355">
        <v>4.2169999999999999E-2</v>
      </c>
      <c r="AZ949" s="624">
        <v>39651</v>
      </c>
      <c r="BA949" s="355">
        <v>2.0299999999999999E-2</v>
      </c>
      <c r="BB949" s="624">
        <v>39582</v>
      </c>
      <c r="BC949" s="355">
        <v>0.45579999999999998</v>
      </c>
      <c r="BD949" s="624">
        <v>39583</v>
      </c>
      <c r="BE949" s="355">
        <v>9.5680000000000001E-2</v>
      </c>
      <c r="BF949" s="624">
        <v>39610</v>
      </c>
      <c r="BG949" s="355">
        <v>2.3348000000000001E-2</v>
      </c>
      <c r="BH949" s="624">
        <v>39582</v>
      </c>
      <c r="BI949" s="355">
        <v>0.107597</v>
      </c>
      <c r="BJ949" s="624">
        <v>39582</v>
      </c>
      <c r="BK949" s="355">
        <v>3.0807000000000001E-2</v>
      </c>
    </row>
    <row r="950" spans="3:63">
      <c r="C950" s="624"/>
      <c r="D950" s="355">
        <v>4.2169999999999999E-2</v>
      </c>
      <c r="AV950" s="624"/>
      <c r="AX950" s="624">
        <v>39587</v>
      </c>
      <c r="AY950" s="355">
        <v>4.2029999999999998E-2</v>
      </c>
      <c r="AZ950" s="624">
        <v>39652</v>
      </c>
      <c r="BA950" s="355">
        <v>2.0299999999999999E-2</v>
      </c>
      <c r="BB950" s="624">
        <v>39583</v>
      </c>
      <c r="BC950" s="355">
        <v>0.45469999999999999</v>
      </c>
      <c r="BD950" s="624">
        <v>39584</v>
      </c>
      <c r="BE950" s="355">
        <v>9.6339999999999995E-2</v>
      </c>
      <c r="BF950" s="624">
        <v>39611</v>
      </c>
      <c r="BG950" s="355">
        <v>2.3369999999999998E-2</v>
      </c>
      <c r="BH950" s="624">
        <v>39583</v>
      </c>
      <c r="BI950" s="355">
        <v>0.107423</v>
      </c>
      <c r="BJ950" s="624">
        <v>39583</v>
      </c>
      <c r="BK950" s="355">
        <v>3.0841E-2</v>
      </c>
    </row>
    <row r="951" spans="3:63">
      <c r="C951" s="624"/>
      <c r="D951" s="355">
        <v>4.2029999999999998E-2</v>
      </c>
      <c r="AV951" s="624"/>
      <c r="AX951" s="624">
        <v>39588</v>
      </c>
      <c r="AY951" s="355">
        <v>4.2189999999999998E-2</v>
      </c>
      <c r="AZ951" s="624">
        <v>39653</v>
      </c>
      <c r="BA951" s="355">
        <v>2.01E-2</v>
      </c>
      <c r="BB951" s="624">
        <v>39584</v>
      </c>
      <c r="BC951" s="355">
        <v>0.46060000000000001</v>
      </c>
      <c r="BD951" s="624">
        <v>39587</v>
      </c>
      <c r="BE951" s="355">
        <v>9.6009999999999998E-2</v>
      </c>
      <c r="BF951" s="624">
        <v>39612</v>
      </c>
      <c r="BG951" s="355">
        <v>2.3266999999999999E-2</v>
      </c>
      <c r="BH951" s="624">
        <v>39584</v>
      </c>
      <c r="BI951" s="355">
        <v>0.107354</v>
      </c>
      <c r="BJ951" s="624">
        <v>39584</v>
      </c>
      <c r="BK951" s="355">
        <v>3.0879E-2</v>
      </c>
    </row>
    <row r="952" spans="3:63">
      <c r="C952" s="624"/>
      <c r="D952" s="355">
        <v>4.2189999999999998E-2</v>
      </c>
      <c r="AV952" s="624"/>
      <c r="AX952" s="624">
        <v>39589</v>
      </c>
      <c r="AY952" s="355">
        <v>4.2450000000000002E-2</v>
      </c>
      <c r="AZ952" s="624">
        <v>39654</v>
      </c>
      <c r="BA952" s="355">
        <v>2.0199999999999999E-2</v>
      </c>
      <c r="BB952" s="624">
        <v>39587</v>
      </c>
      <c r="BC952" s="355">
        <v>0.45800000000000002</v>
      </c>
      <c r="BD952" s="624">
        <v>39588</v>
      </c>
      <c r="BE952" s="355">
        <v>9.5439999999999997E-2</v>
      </c>
      <c r="BF952" s="624">
        <v>39615</v>
      </c>
      <c r="BG952" s="355">
        <v>2.3255999999999999E-2</v>
      </c>
      <c r="BH952" s="624">
        <v>39587</v>
      </c>
      <c r="BI952" s="355">
        <v>0.107469</v>
      </c>
      <c r="BJ952" s="624">
        <v>39587</v>
      </c>
      <c r="BK952" s="355">
        <v>3.1032000000000001E-2</v>
      </c>
    </row>
    <row r="953" spans="3:63">
      <c r="C953" s="624"/>
      <c r="D953" s="355">
        <v>4.2450000000000002E-2</v>
      </c>
      <c r="AV953" s="624"/>
      <c r="AX953" s="624">
        <v>39590</v>
      </c>
      <c r="AY953" s="355">
        <v>4.2360000000000002E-2</v>
      </c>
      <c r="AZ953" s="624">
        <v>39657</v>
      </c>
      <c r="BA953" s="355">
        <v>2.0199999999999999E-2</v>
      </c>
      <c r="BB953" s="624">
        <v>39588</v>
      </c>
      <c r="BC953" s="355">
        <v>0.4622</v>
      </c>
      <c r="BD953" s="624">
        <v>39589</v>
      </c>
      <c r="BE953" s="355">
        <v>9.5990000000000006E-2</v>
      </c>
      <c r="BF953" s="624">
        <v>39616</v>
      </c>
      <c r="BG953" s="355">
        <v>2.3326E-2</v>
      </c>
      <c r="BH953" s="624">
        <v>39588</v>
      </c>
      <c r="BI953" s="355">
        <v>0.107458</v>
      </c>
      <c r="BJ953" s="624">
        <v>39588</v>
      </c>
      <c r="BK953" s="355">
        <v>3.1254999999999998E-2</v>
      </c>
    </row>
    <row r="954" spans="3:63">
      <c r="C954" s="624"/>
      <c r="D954" s="355">
        <v>4.2360000000000002E-2</v>
      </c>
      <c r="AV954" s="624"/>
      <c r="AX954" s="624">
        <v>39591</v>
      </c>
      <c r="AY954" s="355">
        <v>4.2479999999999997E-2</v>
      </c>
      <c r="AZ954" s="624">
        <v>39658</v>
      </c>
      <c r="BA954" s="355">
        <v>0.02</v>
      </c>
      <c r="BB954" s="624">
        <v>39589</v>
      </c>
      <c r="BC954" s="355">
        <v>0.46329999999999999</v>
      </c>
      <c r="BD954" s="624">
        <v>39590</v>
      </c>
      <c r="BE954" s="355">
        <v>9.5759999999999998E-2</v>
      </c>
      <c r="BF954" s="624">
        <v>39617</v>
      </c>
      <c r="BG954" s="355">
        <v>2.3275000000000001E-2</v>
      </c>
      <c r="BH954" s="624">
        <v>39589</v>
      </c>
      <c r="BI954" s="355">
        <v>0.10763200000000001</v>
      </c>
      <c r="BJ954" s="624">
        <v>39589</v>
      </c>
      <c r="BK954" s="355">
        <v>3.1392000000000003E-2</v>
      </c>
    </row>
    <row r="955" spans="3:63">
      <c r="C955" s="624"/>
      <c r="D955" s="355">
        <v>4.2479999999999997E-2</v>
      </c>
      <c r="AV955" s="624"/>
      <c r="AX955" s="624">
        <v>39594</v>
      </c>
      <c r="AY955" s="355">
        <v>4.2529999999999998E-2</v>
      </c>
      <c r="AZ955" s="624">
        <v>39659</v>
      </c>
      <c r="BA955" s="355">
        <v>2.0299999999999999E-2</v>
      </c>
      <c r="BB955" s="624">
        <v>39590</v>
      </c>
      <c r="BC955" s="355">
        <v>0.46100000000000002</v>
      </c>
      <c r="BD955" s="624">
        <v>39591</v>
      </c>
      <c r="BE955" s="355">
        <v>9.5630000000000007E-2</v>
      </c>
      <c r="BF955" s="624">
        <v>39618</v>
      </c>
      <c r="BG955" s="355">
        <v>2.3255999999999999E-2</v>
      </c>
      <c r="BH955" s="624">
        <v>39590</v>
      </c>
      <c r="BI955" s="355">
        <v>0.10727299999999999</v>
      </c>
      <c r="BJ955" s="624">
        <v>39590</v>
      </c>
      <c r="BK955" s="355">
        <v>3.1303999999999998E-2</v>
      </c>
    </row>
    <row r="956" spans="3:63">
      <c r="C956" s="624"/>
      <c r="D956" s="355">
        <v>4.2529999999999998E-2</v>
      </c>
      <c r="AV956" s="624"/>
      <c r="AX956" s="624">
        <v>39595</v>
      </c>
      <c r="AY956" s="355">
        <v>4.233E-2</v>
      </c>
      <c r="AZ956" s="624">
        <v>39660</v>
      </c>
      <c r="BA956" s="355">
        <v>2.0299999999999999E-2</v>
      </c>
      <c r="BB956" s="624">
        <v>39591</v>
      </c>
      <c r="BC956" s="355">
        <v>0.4622</v>
      </c>
      <c r="BD956" s="624">
        <v>39594</v>
      </c>
      <c r="BE956" s="355">
        <v>9.536E-2</v>
      </c>
      <c r="BF956" s="624">
        <v>39619</v>
      </c>
      <c r="BG956" s="355">
        <v>2.3188E-2</v>
      </c>
      <c r="BH956" s="624">
        <v>39591</v>
      </c>
      <c r="BI956" s="355">
        <v>0.107239</v>
      </c>
      <c r="BJ956" s="624">
        <v>39591</v>
      </c>
      <c r="BK956" s="355">
        <v>3.1182000000000001E-2</v>
      </c>
    </row>
    <row r="957" spans="3:63">
      <c r="C957" s="624"/>
      <c r="D957" s="355">
        <v>4.233E-2</v>
      </c>
      <c r="AV957" s="624"/>
      <c r="AX957" s="624">
        <v>39596</v>
      </c>
      <c r="AY957" s="355">
        <v>4.233E-2</v>
      </c>
      <c r="AZ957" s="624">
        <v>39661</v>
      </c>
      <c r="BA957" s="355">
        <v>2.0299999999999999E-2</v>
      </c>
      <c r="BB957" s="624">
        <v>39594</v>
      </c>
      <c r="BC957" s="355">
        <v>0.4647</v>
      </c>
      <c r="BD957" s="624">
        <v>39595</v>
      </c>
      <c r="BE957" s="355">
        <v>9.5909999999999995E-2</v>
      </c>
      <c r="BF957" s="624">
        <v>39622</v>
      </c>
      <c r="BG957" s="355">
        <v>2.3233E-2</v>
      </c>
      <c r="BH957" s="624">
        <v>39594</v>
      </c>
      <c r="BI957" s="355">
        <v>0.106975</v>
      </c>
      <c r="BJ957" s="624">
        <v>39594</v>
      </c>
      <c r="BK957" s="355">
        <v>3.1175999999999999E-2</v>
      </c>
    </row>
    <row r="958" spans="3:63">
      <c r="C958" s="624"/>
      <c r="D958" s="355">
        <v>4.233E-2</v>
      </c>
      <c r="AV958" s="624"/>
      <c r="AX958" s="624">
        <v>39597</v>
      </c>
      <c r="AY958" s="355">
        <v>4.2180000000000002E-2</v>
      </c>
      <c r="AZ958" s="624">
        <v>39664</v>
      </c>
      <c r="BA958" s="355">
        <v>2.0400000000000001E-2</v>
      </c>
      <c r="BB958" s="624">
        <v>39595</v>
      </c>
      <c r="BC958" s="355">
        <v>0.46129999999999999</v>
      </c>
      <c r="BD958" s="624">
        <v>39596</v>
      </c>
      <c r="BE958" s="355">
        <v>9.6549999999999997E-2</v>
      </c>
      <c r="BF958" s="624">
        <v>39623</v>
      </c>
      <c r="BG958" s="355">
        <v>2.3342999999999999E-2</v>
      </c>
      <c r="BH958" s="624">
        <v>39595</v>
      </c>
      <c r="BI958" s="355">
        <v>0.10700900000000001</v>
      </c>
      <c r="BJ958" s="624">
        <v>39595</v>
      </c>
      <c r="BK958" s="355">
        <v>3.1060999999999998E-2</v>
      </c>
    </row>
    <row r="959" spans="3:63">
      <c r="C959" s="624"/>
      <c r="D959" s="355">
        <v>4.2180000000000002E-2</v>
      </c>
      <c r="AV959" s="624"/>
      <c r="AX959" s="624">
        <v>39598</v>
      </c>
      <c r="AY959" s="355">
        <v>4.2220000000000001E-2</v>
      </c>
      <c r="AZ959" s="624">
        <v>39665</v>
      </c>
      <c r="BA959" s="355">
        <v>2.0299999999999999E-2</v>
      </c>
      <c r="BB959" s="624">
        <v>39596</v>
      </c>
      <c r="BC959" s="355">
        <v>0.46039999999999998</v>
      </c>
      <c r="BD959" s="624">
        <v>39597</v>
      </c>
      <c r="BE959" s="355">
        <v>9.7030000000000005E-2</v>
      </c>
      <c r="BF959" s="624">
        <v>39624</v>
      </c>
      <c r="BG959" s="355">
        <v>2.3408000000000002E-2</v>
      </c>
      <c r="BH959" s="624">
        <v>39596</v>
      </c>
      <c r="BI959" s="355">
        <v>0.107539</v>
      </c>
      <c r="BJ959" s="624">
        <v>39596</v>
      </c>
      <c r="BK959" s="355">
        <v>3.0887999999999999E-2</v>
      </c>
    </row>
    <row r="960" spans="3:63">
      <c r="C960" s="624"/>
      <c r="D960" s="355">
        <v>4.2220000000000001E-2</v>
      </c>
      <c r="AV960" s="624"/>
      <c r="AX960" s="624">
        <v>39601</v>
      </c>
      <c r="AY960" s="355">
        <v>4.2180000000000002E-2</v>
      </c>
      <c r="AZ960" s="624">
        <v>39666</v>
      </c>
      <c r="BA960" s="355">
        <v>2.0299999999999999E-2</v>
      </c>
      <c r="BB960" s="624">
        <v>39597</v>
      </c>
      <c r="BC960" s="355">
        <v>0.45910000000000001</v>
      </c>
      <c r="BD960" s="624">
        <v>39598</v>
      </c>
      <c r="BE960" s="355">
        <v>9.7250000000000003E-2</v>
      </c>
      <c r="BF960" s="624">
        <v>39625</v>
      </c>
      <c r="BG960" s="355">
        <v>2.3314999999999999E-2</v>
      </c>
      <c r="BH960" s="624">
        <v>39597</v>
      </c>
      <c r="BI960" s="355">
        <v>0.107498</v>
      </c>
      <c r="BJ960" s="624">
        <v>39597</v>
      </c>
      <c r="BK960" s="355">
        <v>3.0779999999999998E-2</v>
      </c>
    </row>
    <row r="961" spans="3:63">
      <c r="C961" s="624"/>
      <c r="D961" s="355">
        <v>4.2180000000000002E-2</v>
      </c>
      <c r="AV961" s="624"/>
      <c r="AX961" s="624">
        <v>39602</v>
      </c>
      <c r="AY961" s="355">
        <v>4.2020000000000002E-2</v>
      </c>
      <c r="AZ961" s="624">
        <v>39667</v>
      </c>
      <c r="BA961" s="355">
        <v>2.0199999999999999E-2</v>
      </c>
      <c r="BB961" s="624">
        <v>39598</v>
      </c>
      <c r="BC961" s="355">
        <v>0.46100000000000002</v>
      </c>
      <c r="BD961" s="624">
        <v>39601</v>
      </c>
      <c r="BE961" s="355">
        <v>9.7780000000000006E-2</v>
      </c>
      <c r="BF961" s="624">
        <v>39626</v>
      </c>
      <c r="BG961" s="355">
        <v>2.332E-2</v>
      </c>
      <c r="BH961" s="624">
        <v>39598</v>
      </c>
      <c r="BI961" s="355">
        <v>0.10741100000000001</v>
      </c>
      <c r="BJ961" s="624">
        <v>39598</v>
      </c>
      <c r="BK961" s="355">
        <v>3.0779000000000001E-2</v>
      </c>
    </row>
    <row r="962" spans="3:63">
      <c r="C962" s="624"/>
      <c r="D962" s="355">
        <v>4.2020000000000002E-2</v>
      </c>
      <c r="AV962" s="624"/>
      <c r="AX962" s="624">
        <v>39603</v>
      </c>
      <c r="AY962" s="355">
        <v>4.2029999999999998E-2</v>
      </c>
      <c r="AZ962" s="624">
        <v>39668</v>
      </c>
      <c r="BA962" s="355">
        <v>1.9699999999999999E-2</v>
      </c>
      <c r="BB962" s="624">
        <v>39601</v>
      </c>
      <c r="BC962" s="355">
        <v>0.45950000000000002</v>
      </c>
      <c r="BD962" s="624">
        <v>39602</v>
      </c>
      <c r="BE962" s="355">
        <v>9.8369999999999999E-2</v>
      </c>
      <c r="BF962" s="624">
        <v>39629</v>
      </c>
      <c r="BG962" s="355">
        <v>2.3202E-2</v>
      </c>
      <c r="BH962" s="624">
        <v>39601</v>
      </c>
      <c r="BI962" s="355">
        <v>0.107527</v>
      </c>
      <c r="BJ962" s="624">
        <v>39601</v>
      </c>
      <c r="BK962" s="355">
        <v>3.0713000000000001E-2</v>
      </c>
    </row>
    <row r="963" spans="3:63">
      <c r="C963" s="624"/>
      <c r="D963" s="355">
        <v>4.2029999999999998E-2</v>
      </c>
      <c r="AV963" s="624"/>
      <c r="AX963" s="624">
        <v>39604</v>
      </c>
      <c r="AY963" s="355">
        <v>4.224E-2</v>
      </c>
      <c r="AZ963" s="624">
        <v>39671</v>
      </c>
      <c r="BA963" s="355">
        <v>1.9400000000000001E-2</v>
      </c>
      <c r="BB963" s="624">
        <v>39602</v>
      </c>
      <c r="BC963" s="355">
        <v>0.45810000000000001</v>
      </c>
      <c r="BD963" s="624">
        <v>39603</v>
      </c>
      <c r="BE963" s="355">
        <v>9.8080000000000001E-2</v>
      </c>
      <c r="BF963" s="624">
        <v>39630</v>
      </c>
      <c r="BG963" s="355">
        <v>2.3068000000000002E-2</v>
      </c>
      <c r="BH963" s="624">
        <v>39602</v>
      </c>
      <c r="BI963" s="355">
        <v>0.107331</v>
      </c>
      <c r="BJ963" s="624">
        <v>39602</v>
      </c>
      <c r="BK963" s="355">
        <v>3.0667E-2</v>
      </c>
    </row>
    <row r="964" spans="3:63">
      <c r="C964" s="624"/>
      <c r="D964" s="355">
        <v>4.224E-2</v>
      </c>
      <c r="AV964" s="624"/>
      <c r="AX964" s="624">
        <v>39605</v>
      </c>
      <c r="AY964" s="355">
        <v>4.2479999999999997E-2</v>
      </c>
      <c r="AZ964" s="624">
        <v>39672</v>
      </c>
      <c r="BA964" s="355">
        <v>1.9199999999999998E-2</v>
      </c>
      <c r="BB964" s="624">
        <v>39603</v>
      </c>
      <c r="BC964" s="355">
        <v>0.45710000000000001</v>
      </c>
      <c r="BD964" s="624">
        <v>39604</v>
      </c>
      <c r="BE964" s="355">
        <v>9.7680000000000003E-2</v>
      </c>
      <c r="BF964" s="624">
        <v>39631</v>
      </c>
      <c r="BG964" s="355">
        <v>2.3158999999999999E-2</v>
      </c>
      <c r="BH964" s="624">
        <v>39603</v>
      </c>
      <c r="BI964" s="355">
        <v>0.107308</v>
      </c>
      <c r="BJ964" s="624">
        <v>39603</v>
      </c>
      <c r="BK964" s="355">
        <v>3.0571999999999998E-2</v>
      </c>
    </row>
    <row r="965" spans="3:63">
      <c r="C965" s="624"/>
      <c r="D965" s="355">
        <v>4.2479999999999997E-2</v>
      </c>
      <c r="AV965" s="624"/>
      <c r="AX965" s="624">
        <v>39608</v>
      </c>
      <c r="AY965" s="355">
        <v>4.2279999999999998E-2</v>
      </c>
      <c r="AZ965" s="624">
        <v>39673</v>
      </c>
      <c r="BA965" s="355">
        <v>1.9300000000000001E-2</v>
      </c>
      <c r="BB965" s="624">
        <v>39604</v>
      </c>
      <c r="BC965" s="355">
        <v>0.46089999999999998</v>
      </c>
      <c r="BD965" s="624">
        <v>39605</v>
      </c>
      <c r="BE965" s="355">
        <v>9.6970000000000001E-2</v>
      </c>
      <c r="BF965" s="624">
        <v>39632</v>
      </c>
      <c r="BG965" s="355">
        <v>2.3147999999999998E-2</v>
      </c>
      <c r="BH965" s="624">
        <v>39604</v>
      </c>
      <c r="BI965" s="355">
        <v>0.107469</v>
      </c>
      <c r="BJ965" s="624">
        <v>39604</v>
      </c>
      <c r="BK965" s="355">
        <v>3.0367999999999999E-2</v>
      </c>
    </row>
    <row r="966" spans="3:63">
      <c r="C966" s="624"/>
      <c r="D966" s="355">
        <v>4.2279999999999998E-2</v>
      </c>
      <c r="AV966" s="624"/>
      <c r="AX966" s="624">
        <v>39609</v>
      </c>
      <c r="AY966" s="355">
        <v>4.2189999999999998E-2</v>
      </c>
      <c r="AZ966" s="624">
        <v>39674</v>
      </c>
      <c r="BA966" s="355">
        <v>1.9300000000000001E-2</v>
      </c>
      <c r="BB966" s="624">
        <v>39605</v>
      </c>
      <c r="BC966" s="355">
        <v>0.46360000000000001</v>
      </c>
      <c r="BD966" s="624">
        <v>39608</v>
      </c>
      <c r="BE966" s="355">
        <v>9.6750000000000003E-2</v>
      </c>
      <c r="BF966" s="624">
        <v>39633</v>
      </c>
      <c r="BG966" s="355">
        <v>2.3164000000000001E-2</v>
      </c>
      <c r="BH966" s="624">
        <v>39605</v>
      </c>
      <c r="BI966" s="355">
        <v>0.10695200000000001</v>
      </c>
      <c r="BJ966" s="624">
        <v>39605</v>
      </c>
      <c r="BK966" s="355">
        <v>3.0203000000000001E-2</v>
      </c>
    </row>
    <row r="967" spans="3:63">
      <c r="C967" s="624"/>
      <c r="D967" s="355">
        <v>4.2189999999999998E-2</v>
      </c>
      <c r="AV967" s="624"/>
      <c r="AX967" s="624">
        <v>39610</v>
      </c>
      <c r="AY967" s="355">
        <v>4.2290000000000001E-2</v>
      </c>
      <c r="AZ967" s="624">
        <v>39675</v>
      </c>
      <c r="BA967" s="355">
        <v>1.9199999999999998E-2</v>
      </c>
      <c r="BB967" s="624">
        <v>39608</v>
      </c>
      <c r="BC967" s="355">
        <v>0.46279999999999999</v>
      </c>
      <c r="BD967" s="624">
        <v>39609</v>
      </c>
      <c r="BE967" s="355">
        <v>9.7369999999999998E-2</v>
      </c>
      <c r="BF967" s="624">
        <v>39636</v>
      </c>
      <c r="BG967" s="355">
        <v>2.3096999999999999E-2</v>
      </c>
      <c r="BH967" s="624">
        <v>39608</v>
      </c>
      <c r="BI967" s="355">
        <v>0.106986</v>
      </c>
      <c r="BJ967" s="624">
        <v>39608</v>
      </c>
      <c r="BK967" s="355">
        <v>3.0093000000000002E-2</v>
      </c>
    </row>
    <row r="968" spans="3:63">
      <c r="C968" s="624"/>
      <c r="D968" s="355">
        <v>4.2290000000000001E-2</v>
      </c>
      <c r="AV968" s="624"/>
      <c r="AX968" s="624">
        <v>39611</v>
      </c>
      <c r="AY968" s="355">
        <v>4.2099999999999999E-2</v>
      </c>
      <c r="AZ968" s="624">
        <v>39678</v>
      </c>
      <c r="BA968" s="355">
        <v>1.9099999999999999E-2</v>
      </c>
      <c r="BB968" s="624">
        <v>39609</v>
      </c>
      <c r="BC968" s="355">
        <v>0.45710000000000001</v>
      </c>
      <c r="BD968" s="624">
        <v>39610</v>
      </c>
      <c r="BE968" s="355">
        <v>9.7040000000000001E-2</v>
      </c>
      <c r="BF968" s="624">
        <v>39637</v>
      </c>
      <c r="BG968" s="355">
        <v>2.3119000000000001E-2</v>
      </c>
      <c r="BH968" s="624">
        <v>39609</v>
      </c>
      <c r="BI968" s="355">
        <v>0.106986</v>
      </c>
      <c r="BJ968" s="624">
        <v>39609</v>
      </c>
      <c r="BK968" s="355">
        <v>3.0256999999999999E-2</v>
      </c>
    </row>
    <row r="969" spans="3:63">
      <c r="C969" s="624"/>
      <c r="D969" s="355">
        <v>4.2099999999999999E-2</v>
      </c>
      <c r="AV969" s="624"/>
      <c r="AX969" s="624">
        <v>39612</v>
      </c>
      <c r="AY969" s="355">
        <v>4.2029999999999998E-2</v>
      </c>
      <c r="AZ969" s="624">
        <v>39679</v>
      </c>
      <c r="BA969" s="355">
        <v>1.9300000000000001E-2</v>
      </c>
      <c r="BB969" s="624">
        <v>39610</v>
      </c>
      <c r="BC969" s="355">
        <v>0.45929999999999999</v>
      </c>
      <c r="BD969" s="624">
        <v>39611</v>
      </c>
      <c r="BE969" s="355">
        <v>9.6740000000000007E-2</v>
      </c>
      <c r="BF969" s="624">
        <v>39638</v>
      </c>
      <c r="BG969" s="355">
        <v>2.3196000000000001E-2</v>
      </c>
      <c r="BH969" s="624">
        <v>39610</v>
      </c>
      <c r="BI969" s="355">
        <v>0.107325</v>
      </c>
      <c r="BJ969" s="624">
        <v>39610</v>
      </c>
      <c r="BK969" s="355">
        <v>3.023E-2</v>
      </c>
    </row>
    <row r="970" spans="3:63">
      <c r="C970" s="624"/>
      <c r="D970" s="355">
        <v>4.2029999999999998E-2</v>
      </c>
      <c r="AV970" s="624"/>
      <c r="AX970" s="624">
        <v>39615</v>
      </c>
      <c r="AY970" s="355">
        <v>4.2229999999999997E-2</v>
      </c>
      <c r="AZ970" s="624">
        <v>39680</v>
      </c>
      <c r="BA970" s="355">
        <v>1.9300000000000001E-2</v>
      </c>
      <c r="BB970" s="624">
        <v>39611</v>
      </c>
      <c r="BC970" s="355">
        <v>0.45450000000000002</v>
      </c>
      <c r="BD970" s="624">
        <v>39612</v>
      </c>
      <c r="BE970" s="355">
        <v>9.5759999999999998E-2</v>
      </c>
      <c r="BF970" s="624">
        <v>39639</v>
      </c>
      <c r="BG970" s="355">
        <v>2.3258999999999998E-2</v>
      </c>
      <c r="BH970" s="624">
        <v>39611</v>
      </c>
      <c r="BI970" s="355">
        <v>0.10734200000000001</v>
      </c>
      <c r="BJ970" s="624">
        <v>39611</v>
      </c>
      <c r="BK970" s="355">
        <v>3.0175E-2</v>
      </c>
    </row>
    <row r="971" spans="3:63">
      <c r="C971" s="624"/>
      <c r="D971" s="355">
        <v>4.2229999999999997E-2</v>
      </c>
      <c r="AV971" s="624"/>
      <c r="AX971" s="624">
        <v>39616</v>
      </c>
      <c r="AY971" s="355">
        <v>4.2290000000000001E-2</v>
      </c>
      <c r="AZ971" s="624">
        <v>39681</v>
      </c>
      <c r="BA971" s="355">
        <v>1.9599999999999999E-2</v>
      </c>
      <c r="BB971" s="624">
        <v>39612</v>
      </c>
      <c r="BC971" s="355">
        <v>0.45379999999999998</v>
      </c>
      <c r="BD971" s="624">
        <v>39615</v>
      </c>
      <c r="BE971" s="355">
        <v>9.6129999999999993E-2</v>
      </c>
      <c r="BF971" s="624">
        <v>39640</v>
      </c>
      <c r="BG971" s="355">
        <v>2.3337E-2</v>
      </c>
      <c r="BH971" s="624">
        <v>39612</v>
      </c>
      <c r="BI971" s="355">
        <v>0.10731400000000001</v>
      </c>
      <c r="BJ971" s="624">
        <v>39612</v>
      </c>
      <c r="BK971" s="355">
        <v>3.0058000000000001E-2</v>
      </c>
    </row>
    <row r="972" spans="3:63">
      <c r="C972" s="624"/>
      <c r="D972" s="355">
        <v>4.2290000000000001E-2</v>
      </c>
      <c r="AV972" s="624"/>
      <c r="AX972" s="624">
        <v>39617</v>
      </c>
      <c r="AY972" s="355">
        <v>4.233E-2</v>
      </c>
      <c r="AZ972" s="624">
        <v>39682</v>
      </c>
      <c r="BA972" s="355">
        <v>1.9400000000000001E-2</v>
      </c>
      <c r="BB972" s="624">
        <v>39615</v>
      </c>
      <c r="BC972" s="355">
        <v>0.45729999999999998</v>
      </c>
      <c r="BD972" s="624">
        <v>39616</v>
      </c>
      <c r="BE972" s="355">
        <v>9.5839999999999995E-2</v>
      </c>
      <c r="BF972" s="624">
        <v>39643</v>
      </c>
      <c r="BG972" s="355">
        <v>2.3326E-2</v>
      </c>
      <c r="BH972" s="624">
        <v>39615</v>
      </c>
      <c r="BI972" s="355">
        <v>0.107354</v>
      </c>
      <c r="BJ972" s="624">
        <v>39615</v>
      </c>
      <c r="BK972" s="355">
        <v>3.0047999999999998E-2</v>
      </c>
    </row>
    <row r="973" spans="3:63">
      <c r="C973" s="624"/>
      <c r="D973" s="355">
        <v>4.233E-2</v>
      </c>
      <c r="AV973" s="624"/>
      <c r="AX973" s="624">
        <v>39618</v>
      </c>
      <c r="AY973" s="355">
        <v>4.2279999999999998E-2</v>
      </c>
      <c r="AZ973" s="624">
        <v>39685</v>
      </c>
      <c r="BA973" s="355">
        <v>1.9300000000000001E-2</v>
      </c>
      <c r="BB973" s="624">
        <v>39616</v>
      </c>
      <c r="BC973" s="355">
        <v>0.45860000000000001</v>
      </c>
      <c r="BD973" s="624">
        <v>39617</v>
      </c>
      <c r="BE973" s="355">
        <v>9.7089999999999996E-2</v>
      </c>
      <c r="BF973" s="624">
        <v>39644</v>
      </c>
      <c r="BG973" s="355">
        <v>2.3202E-2</v>
      </c>
      <c r="BH973" s="624">
        <v>39616</v>
      </c>
      <c r="BI973" s="355">
        <v>0.10771799999999999</v>
      </c>
      <c r="BJ973" s="624">
        <v>39616</v>
      </c>
      <c r="BK973" s="355">
        <v>3.0202E-2</v>
      </c>
    </row>
    <row r="974" spans="3:63">
      <c r="C974" s="624"/>
      <c r="D974" s="355">
        <v>4.2279999999999998E-2</v>
      </c>
      <c r="AV974" s="624"/>
      <c r="AX974" s="624">
        <v>39619</v>
      </c>
      <c r="AY974" s="355">
        <v>4.2430000000000002E-2</v>
      </c>
      <c r="AZ974" s="624">
        <v>39686</v>
      </c>
      <c r="BA974" s="355">
        <v>1.9099999999999999E-2</v>
      </c>
      <c r="BB974" s="624">
        <v>39617</v>
      </c>
      <c r="BC974" s="355">
        <v>0.46010000000000001</v>
      </c>
      <c r="BD974" s="624">
        <v>39618</v>
      </c>
      <c r="BE974" s="355">
        <v>9.7470000000000001E-2</v>
      </c>
      <c r="BF974" s="624">
        <v>39645</v>
      </c>
      <c r="BG974" s="355">
        <v>2.3210000000000001E-2</v>
      </c>
      <c r="BH974" s="624">
        <v>39617</v>
      </c>
      <c r="BI974" s="355">
        <v>0.10775899999999999</v>
      </c>
      <c r="BJ974" s="624">
        <v>39617</v>
      </c>
      <c r="BK974" s="355">
        <v>3.0012E-2</v>
      </c>
    </row>
    <row r="975" spans="3:63">
      <c r="C975" s="624"/>
      <c r="D975" s="355">
        <v>4.2430000000000002E-2</v>
      </c>
      <c r="AV975" s="624"/>
      <c r="AX975" s="624">
        <v>39622</v>
      </c>
      <c r="AY975" s="355">
        <v>4.2290000000000001E-2</v>
      </c>
      <c r="AZ975" s="624">
        <v>39687</v>
      </c>
      <c r="BA975" s="355">
        <v>1.9300000000000001E-2</v>
      </c>
      <c r="BB975" s="624">
        <v>39618</v>
      </c>
      <c r="BC975" s="355">
        <v>0.46029999999999999</v>
      </c>
      <c r="BD975" s="624">
        <v>39619</v>
      </c>
      <c r="BE975" s="355">
        <v>9.7089999999999996E-2</v>
      </c>
      <c r="BF975" s="624">
        <v>39646</v>
      </c>
      <c r="BG975" s="355">
        <v>2.3272000000000001E-2</v>
      </c>
      <c r="BH975" s="624">
        <v>39618</v>
      </c>
      <c r="BI975" s="355">
        <v>0.107596</v>
      </c>
      <c r="BJ975" s="624">
        <v>39618</v>
      </c>
      <c r="BK975" s="355">
        <v>2.9922000000000001E-2</v>
      </c>
    </row>
    <row r="976" spans="3:63">
      <c r="C976" s="624"/>
      <c r="D976" s="355">
        <v>4.2290000000000001E-2</v>
      </c>
      <c r="AV976" s="624"/>
      <c r="AX976" s="624">
        <v>39623</v>
      </c>
      <c r="AY976" s="355">
        <v>4.2369999999999998E-2</v>
      </c>
      <c r="AZ976" s="624">
        <v>39688</v>
      </c>
      <c r="BA976" s="355">
        <v>1.9199999999999998E-2</v>
      </c>
      <c r="BB976" s="624">
        <v>39619</v>
      </c>
      <c r="BC976" s="355">
        <v>0.46339999999999998</v>
      </c>
      <c r="BD976" s="624">
        <v>39622</v>
      </c>
      <c r="BE976" s="355">
        <v>9.6430000000000002E-2</v>
      </c>
      <c r="BF976" s="624">
        <v>39647</v>
      </c>
      <c r="BG976" s="355">
        <v>2.3487999999999998E-2</v>
      </c>
      <c r="BH976" s="624">
        <v>39619</v>
      </c>
      <c r="BI976" s="355">
        <v>0.107817</v>
      </c>
      <c r="BJ976" s="624">
        <v>39619</v>
      </c>
      <c r="BK976" s="355">
        <v>3.0057E-2</v>
      </c>
    </row>
    <row r="977" spans="3:63">
      <c r="C977" s="624"/>
      <c r="D977" s="355">
        <v>4.2369999999999998E-2</v>
      </c>
      <c r="AV977" s="624"/>
      <c r="AX977" s="624">
        <v>39624</v>
      </c>
      <c r="AY977" s="355">
        <v>4.2529999999999998E-2</v>
      </c>
      <c r="AZ977" s="624">
        <v>39689</v>
      </c>
      <c r="BA977" s="355">
        <v>1.9300000000000001E-2</v>
      </c>
      <c r="BB977" s="624">
        <v>39622</v>
      </c>
      <c r="BC977" s="355">
        <v>0.46150000000000002</v>
      </c>
      <c r="BD977" s="624">
        <v>39623</v>
      </c>
      <c r="BE977" s="355">
        <v>9.69E-2</v>
      </c>
      <c r="BF977" s="624">
        <v>39650</v>
      </c>
      <c r="BG977" s="355">
        <v>2.3408000000000002E-2</v>
      </c>
      <c r="BH977" s="624">
        <v>39622</v>
      </c>
      <c r="BI977" s="355">
        <v>0.10784000000000001</v>
      </c>
      <c r="BJ977" s="624">
        <v>39622</v>
      </c>
      <c r="BK977" s="355">
        <v>2.9885999999999999E-2</v>
      </c>
    </row>
    <row r="978" spans="3:63">
      <c r="C978" s="624"/>
      <c r="D978" s="355">
        <v>4.2529999999999998E-2</v>
      </c>
      <c r="AV978" s="624"/>
      <c r="AX978" s="624">
        <v>39625</v>
      </c>
      <c r="AY978" s="355">
        <v>4.267E-2</v>
      </c>
      <c r="AZ978" s="624">
        <v>39692</v>
      </c>
      <c r="BA978" s="355">
        <v>1.9199999999999998E-2</v>
      </c>
      <c r="BB978" s="624">
        <v>39623</v>
      </c>
      <c r="BC978" s="355">
        <v>0.4622</v>
      </c>
      <c r="BD978" s="624">
        <v>39624</v>
      </c>
      <c r="BE978" s="355">
        <v>9.6290000000000001E-2</v>
      </c>
      <c r="BF978" s="624">
        <v>39651</v>
      </c>
      <c r="BG978" s="355">
        <v>2.3401000000000002E-2</v>
      </c>
      <c r="BH978" s="624">
        <v>39623</v>
      </c>
      <c r="BI978" s="355">
        <v>0.107904</v>
      </c>
      <c r="BJ978" s="624">
        <v>39623</v>
      </c>
      <c r="BK978" s="355">
        <v>2.9811000000000001E-2</v>
      </c>
    </row>
    <row r="979" spans="3:63">
      <c r="C979" s="624"/>
      <c r="D979" s="355">
        <v>4.267E-2</v>
      </c>
      <c r="AV979" s="624"/>
      <c r="AX979" s="624">
        <v>39626</v>
      </c>
      <c r="AY979" s="355">
        <v>4.2709999999999998E-2</v>
      </c>
      <c r="AZ979" s="624">
        <v>39693</v>
      </c>
      <c r="BA979" s="355">
        <v>1.9E-2</v>
      </c>
      <c r="BB979" s="624">
        <v>39624</v>
      </c>
      <c r="BC979" s="355">
        <v>0.4672</v>
      </c>
      <c r="BD979" s="624">
        <v>39625</v>
      </c>
      <c r="BE979" s="355">
        <v>9.6369999999999997E-2</v>
      </c>
      <c r="BF979" s="624">
        <v>39652</v>
      </c>
      <c r="BG979" s="355">
        <v>2.3741999999999999E-2</v>
      </c>
      <c r="BH979" s="624">
        <v>39624</v>
      </c>
      <c r="BI979" s="355">
        <v>0.108378</v>
      </c>
      <c r="BJ979" s="624">
        <v>39624</v>
      </c>
      <c r="BK979" s="355">
        <v>2.9789E-2</v>
      </c>
    </row>
    <row r="980" spans="3:63">
      <c r="C980" s="624"/>
      <c r="D980" s="355">
        <v>4.2709999999999998E-2</v>
      </c>
      <c r="AV980" s="624"/>
      <c r="AX980" s="624">
        <v>39629</v>
      </c>
      <c r="AY980" s="355">
        <v>4.265E-2</v>
      </c>
      <c r="AZ980" s="624">
        <v>39694</v>
      </c>
      <c r="BA980" s="355">
        <v>1.89E-2</v>
      </c>
      <c r="BB980" s="624">
        <v>39625</v>
      </c>
      <c r="BC980" s="355">
        <v>0.46639999999999998</v>
      </c>
      <c r="BD980" s="624">
        <v>39626</v>
      </c>
      <c r="BE980" s="355">
        <v>9.6019999999999994E-2</v>
      </c>
      <c r="BF980" s="624">
        <v>39653</v>
      </c>
      <c r="BG980" s="355">
        <v>2.3764E-2</v>
      </c>
      <c r="BH980" s="624">
        <v>39625</v>
      </c>
      <c r="BI980" s="355">
        <v>0.108719</v>
      </c>
      <c r="BJ980" s="624">
        <v>39625</v>
      </c>
      <c r="BK980" s="355">
        <v>2.9770999999999999E-2</v>
      </c>
    </row>
    <row r="981" spans="3:63">
      <c r="C981" s="624"/>
      <c r="D981" s="355">
        <v>4.265E-2</v>
      </c>
      <c r="AV981" s="624"/>
      <c r="AX981" s="624">
        <v>39630</v>
      </c>
      <c r="AY981" s="355">
        <v>4.2689999999999999E-2</v>
      </c>
      <c r="AZ981" s="624">
        <v>39695</v>
      </c>
      <c r="BA981" s="355">
        <v>1.8599999999999998E-2</v>
      </c>
      <c r="BB981" s="624">
        <v>39626</v>
      </c>
      <c r="BC981" s="355">
        <v>0.47020000000000001</v>
      </c>
      <c r="BD981" s="624">
        <v>39629</v>
      </c>
      <c r="BE981" s="355">
        <v>9.5490000000000005E-2</v>
      </c>
      <c r="BF981" s="624">
        <v>39654</v>
      </c>
      <c r="BG981" s="355">
        <v>2.3647999999999999E-2</v>
      </c>
      <c r="BH981" s="624">
        <v>39626</v>
      </c>
      <c r="BI981" s="355">
        <v>0.10857799999999999</v>
      </c>
      <c r="BJ981" s="624">
        <v>39626</v>
      </c>
      <c r="BK981" s="355">
        <v>2.9832999999999998E-2</v>
      </c>
    </row>
    <row r="982" spans="3:63">
      <c r="C982" s="624"/>
      <c r="D982" s="355">
        <v>4.2689999999999999E-2</v>
      </c>
      <c r="AV982" s="624"/>
      <c r="AX982" s="624">
        <v>39631</v>
      </c>
      <c r="AY982" s="355">
        <v>4.2790000000000002E-2</v>
      </c>
      <c r="AZ982" s="624">
        <v>39696</v>
      </c>
      <c r="BA982" s="355">
        <v>1.8599999999999998E-2</v>
      </c>
      <c r="BB982" s="624">
        <v>39629</v>
      </c>
      <c r="BC982" s="355">
        <v>0.46970000000000001</v>
      </c>
      <c r="BD982" s="624">
        <v>39630</v>
      </c>
      <c r="BE982" s="355">
        <v>9.5320000000000002E-2</v>
      </c>
      <c r="BF982" s="624">
        <v>39657</v>
      </c>
      <c r="BG982" s="355">
        <v>2.3518000000000001E-2</v>
      </c>
      <c r="BH982" s="624">
        <v>39629</v>
      </c>
      <c r="BI982" s="355">
        <v>0.108366</v>
      </c>
      <c r="BJ982" s="624">
        <v>39629</v>
      </c>
      <c r="BK982" s="355">
        <v>2.9904E-2</v>
      </c>
    </row>
    <row r="983" spans="3:63">
      <c r="C983" s="624"/>
      <c r="D983" s="355">
        <v>4.2790000000000002E-2</v>
      </c>
      <c r="AV983" s="624"/>
      <c r="AX983" s="624">
        <v>39632</v>
      </c>
      <c r="AY983" s="355">
        <v>4.2529999999999998E-2</v>
      </c>
      <c r="AZ983" s="624">
        <v>39699</v>
      </c>
      <c r="BA983" s="355">
        <v>1.84E-2</v>
      </c>
      <c r="BB983" s="624">
        <v>39630</v>
      </c>
      <c r="BC983" s="355">
        <v>0.47089999999999999</v>
      </c>
      <c r="BD983" s="624">
        <v>39631</v>
      </c>
      <c r="BE983" s="355">
        <v>9.468E-2</v>
      </c>
      <c r="BF983" s="624">
        <v>39658</v>
      </c>
      <c r="BG983" s="355">
        <v>2.3529000000000001E-2</v>
      </c>
      <c r="BH983" s="624">
        <v>39630</v>
      </c>
      <c r="BI983" s="355">
        <v>0.108401</v>
      </c>
      <c r="BJ983" s="624">
        <v>39630</v>
      </c>
      <c r="BK983" s="355">
        <v>2.9954000000000001E-2</v>
      </c>
    </row>
    <row r="984" spans="3:63">
      <c r="C984" s="624"/>
      <c r="D984" s="355">
        <v>4.2529999999999998E-2</v>
      </c>
      <c r="AV984" s="624"/>
      <c r="AX984" s="624">
        <v>39633</v>
      </c>
      <c r="AY984" s="355">
        <v>4.258E-2</v>
      </c>
      <c r="AZ984" s="624">
        <v>39700</v>
      </c>
      <c r="BA984" s="355">
        <v>1.8499999999999999E-2</v>
      </c>
      <c r="BB984" s="624">
        <v>39631</v>
      </c>
      <c r="BC984" s="355">
        <v>0.47370000000000001</v>
      </c>
      <c r="BD984" s="624">
        <v>39632</v>
      </c>
      <c r="BE984" s="355">
        <v>9.5689999999999997E-2</v>
      </c>
      <c r="BF984" s="624">
        <v>39659</v>
      </c>
      <c r="BG984" s="355">
        <v>2.3592999999999999E-2</v>
      </c>
      <c r="BH984" s="624">
        <v>39631</v>
      </c>
      <c r="BI984" s="355">
        <v>0.10857799999999999</v>
      </c>
      <c r="BJ984" s="624">
        <v>39631</v>
      </c>
      <c r="BK984" s="355">
        <v>3.0016999999999999E-2</v>
      </c>
    </row>
    <row r="985" spans="3:63">
      <c r="C985" s="624"/>
      <c r="D985" s="355">
        <v>4.258E-2</v>
      </c>
      <c r="AV985" s="624"/>
      <c r="AX985" s="624">
        <v>39636</v>
      </c>
      <c r="AY985" s="355">
        <v>4.2610000000000002E-2</v>
      </c>
      <c r="AZ985" s="624">
        <v>39701</v>
      </c>
      <c r="BA985" s="355">
        <v>1.83E-2</v>
      </c>
      <c r="BB985" s="624">
        <v>39632</v>
      </c>
      <c r="BC985" s="355">
        <v>0.4713</v>
      </c>
      <c r="BD985" s="624">
        <v>39633</v>
      </c>
      <c r="BE985" s="355">
        <v>9.5189999999999997E-2</v>
      </c>
      <c r="BF985" s="624">
        <v>39660</v>
      </c>
      <c r="BG985" s="355">
        <v>2.3512999999999999E-2</v>
      </c>
      <c r="BH985" s="624">
        <v>39632</v>
      </c>
      <c r="BI985" s="355">
        <v>0.108589</v>
      </c>
      <c r="BJ985" s="624">
        <v>39632</v>
      </c>
      <c r="BK985" s="355">
        <v>2.9963E-2</v>
      </c>
    </row>
    <row r="986" spans="3:63">
      <c r="C986" s="624"/>
      <c r="D986" s="355">
        <v>4.2610000000000002E-2</v>
      </c>
      <c r="AV986" s="624"/>
      <c r="AX986" s="624">
        <v>39637</v>
      </c>
      <c r="AY986" s="355">
        <v>4.2529999999999998E-2</v>
      </c>
      <c r="AZ986" s="624">
        <v>39702</v>
      </c>
      <c r="BA986" s="355">
        <v>1.83E-2</v>
      </c>
      <c r="BB986" s="624">
        <v>39633</v>
      </c>
      <c r="BC986" s="355">
        <v>0.47389999999999999</v>
      </c>
      <c r="BD986" s="624">
        <v>39636</v>
      </c>
      <c r="BE986" s="355">
        <v>9.5990000000000006E-2</v>
      </c>
      <c r="BF986" s="624">
        <v>39661</v>
      </c>
      <c r="BG986" s="355">
        <v>2.3595999999999999E-2</v>
      </c>
      <c r="BH986" s="624">
        <v>39633</v>
      </c>
      <c r="BI986" s="355">
        <v>0.108566</v>
      </c>
      <c r="BJ986" s="624">
        <v>39633</v>
      </c>
      <c r="BK986" s="355">
        <v>2.9842E-2</v>
      </c>
    </row>
    <row r="987" spans="3:63">
      <c r="C987" s="624"/>
      <c r="D987" s="355">
        <v>4.2529999999999998E-2</v>
      </c>
      <c r="AV987" s="624"/>
      <c r="AX987" s="624">
        <v>39638</v>
      </c>
      <c r="AY987" s="355">
        <v>4.2689999999999999E-2</v>
      </c>
      <c r="AZ987" s="624">
        <v>39703</v>
      </c>
      <c r="BA987" s="355">
        <v>1.8599999999999998E-2</v>
      </c>
      <c r="BB987" s="624">
        <v>39636</v>
      </c>
      <c r="BC987" s="355">
        <v>0.47610000000000002</v>
      </c>
      <c r="BD987" s="624">
        <v>39637</v>
      </c>
      <c r="BE987" s="355">
        <v>9.7320000000000004E-2</v>
      </c>
      <c r="BF987" s="624">
        <v>39664</v>
      </c>
      <c r="BG987" s="355">
        <v>2.3602000000000001E-2</v>
      </c>
      <c r="BH987" s="624">
        <v>39636</v>
      </c>
      <c r="BI987" s="355">
        <v>0.10868999999999999</v>
      </c>
      <c r="BJ987" s="624">
        <v>39636</v>
      </c>
      <c r="BK987" s="355">
        <v>2.9727E-2</v>
      </c>
    </row>
    <row r="988" spans="3:63">
      <c r="C988" s="624"/>
      <c r="D988" s="355">
        <v>4.2689999999999999E-2</v>
      </c>
      <c r="AV988" s="624"/>
      <c r="AX988" s="624">
        <v>39639</v>
      </c>
      <c r="AY988" s="355">
        <v>4.2819999999999997E-2</v>
      </c>
      <c r="AZ988" s="624">
        <v>39706</v>
      </c>
      <c r="BA988" s="355">
        <v>1.8700000000000001E-2</v>
      </c>
      <c r="BB988" s="624">
        <v>39637</v>
      </c>
      <c r="BC988" s="355">
        <v>0.47639999999999999</v>
      </c>
      <c r="BD988" s="624">
        <v>39638</v>
      </c>
      <c r="BE988" s="355">
        <v>0.1</v>
      </c>
      <c r="BF988" s="624">
        <v>39665</v>
      </c>
      <c r="BG988" s="355">
        <v>2.3702000000000001E-2</v>
      </c>
      <c r="BH988" s="624">
        <v>39637</v>
      </c>
      <c r="BI988" s="355">
        <v>0.108637</v>
      </c>
      <c r="BJ988" s="624">
        <v>39637</v>
      </c>
      <c r="BK988" s="355">
        <v>2.9682E-2</v>
      </c>
    </row>
    <row r="989" spans="3:63">
      <c r="C989" s="624"/>
      <c r="D989" s="355">
        <v>4.2819999999999997E-2</v>
      </c>
      <c r="AV989" s="624"/>
      <c r="AX989" s="624">
        <v>39640</v>
      </c>
      <c r="AY989" s="355">
        <v>4.3020000000000003E-2</v>
      </c>
      <c r="AZ989" s="624">
        <v>39707</v>
      </c>
      <c r="BA989" s="355">
        <v>1.8499999999999999E-2</v>
      </c>
      <c r="BB989" s="624">
        <v>39638</v>
      </c>
      <c r="BC989" s="355">
        <v>0.48049999999999998</v>
      </c>
      <c r="BD989" s="624">
        <v>39639</v>
      </c>
      <c r="BE989" s="355">
        <v>0.10013</v>
      </c>
      <c r="BF989" s="624">
        <v>39666</v>
      </c>
      <c r="BG989" s="355">
        <v>2.3786999999999999E-2</v>
      </c>
      <c r="BH989" s="624">
        <v>39638</v>
      </c>
      <c r="BI989" s="355">
        <v>0.109099</v>
      </c>
      <c r="BJ989" s="624">
        <v>39638</v>
      </c>
      <c r="BK989" s="355">
        <v>2.9744E-2</v>
      </c>
    </row>
    <row r="990" spans="3:63">
      <c r="C990" s="624"/>
      <c r="D990" s="355">
        <v>4.3020000000000003E-2</v>
      </c>
      <c r="AV990" s="624"/>
      <c r="AX990" s="624">
        <v>39643</v>
      </c>
      <c r="AY990" s="355">
        <v>4.3189999999999999E-2</v>
      </c>
      <c r="AZ990" s="624">
        <v>39708</v>
      </c>
      <c r="BA990" s="355">
        <v>1.8800000000000001E-2</v>
      </c>
      <c r="BB990" s="624">
        <v>39639</v>
      </c>
      <c r="BC990" s="355">
        <v>0.48259999999999997</v>
      </c>
      <c r="BD990" s="624">
        <v>39640</v>
      </c>
      <c r="BE990" s="355">
        <v>9.987E-2</v>
      </c>
      <c r="BF990" s="624">
        <v>39667</v>
      </c>
      <c r="BG990" s="355">
        <v>2.3713999999999999E-2</v>
      </c>
      <c r="BH990" s="624">
        <v>39639</v>
      </c>
      <c r="BI990" s="355">
        <v>0.109206</v>
      </c>
      <c r="BJ990" s="624">
        <v>39639</v>
      </c>
      <c r="BK990" s="355">
        <v>2.9690999999999999E-2</v>
      </c>
    </row>
    <row r="991" spans="3:63">
      <c r="C991" s="624"/>
      <c r="D991" s="355">
        <v>4.3189999999999999E-2</v>
      </c>
      <c r="AV991" s="624"/>
      <c r="AX991" s="624">
        <v>39644</v>
      </c>
      <c r="AY991" s="355">
        <v>4.3159999999999997E-2</v>
      </c>
      <c r="AZ991" s="624">
        <v>39709</v>
      </c>
      <c r="BA991" s="355">
        <v>1.8800000000000001E-2</v>
      </c>
      <c r="BB991" s="624">
        <v>39640</v>
      </c>
      <c r="BC991" s="355">
        <v>0.48859999999999998</v>
      </c>
      <c r="BD991" s="624">
        <v>39643</v>
      </c>
      <c r="BE991" s="355">
        <v>9.9599999999999994E-2</v>
      </c>
      <c r="BF991" s="624">
        <v>39668</v>
      </c>
      <c r="BG991" s="355">
        <v>2.3696999999999999E-2</v>
      </c>
      <c r="BH991" s="624">
        <v>39640</v>
      </c>
      <c r="BI991" s="355">
        <v>0.10922999999999999</v>
      </c>
      <c r="BJ991" s="624">
        <v>39640</v>
      </c>
      <c r="BK991" s="355">
        <v>2.9708999999999999E-2</v>
      </c>
    </row>
    <row r="992" spans="3:63">
      <c r="C992" s="624"/>
      <c r="D992" s="355">
        <v>4.3159999999999997E-2</v>
      </c>
      <c r="AV992" s="624"/>
      <c r="AX992" s="624">
        <v>39645</v>
      </c>
      <c r="AY992" s="355">
        <v>4.2999999999999997E-2</v>
      </c>
      <c r="AZ992" s="624">
        <v>39710</v>
      </c>
      <c r="BA992" s="355">
        <v>1.9E-2</v>
      </c>
      <c r="BB992" s="624">
        <v>39643</v>
      </c>
      <c r="BC992" s="355">
        <v>0.48870000000000002</v>
      </c>
      <c r="BD992" s="624">
        <v>39644</v>
      </c>
      <c r="BE992" s="355">
        <v>9.9159999999999998E-2</v>
      </c>
      <c r="BF992" s="624">
        <v>39671</v>
      </c>
      <c r="BG992" s="355">
        <v>2.3715E-2</v>
      </c>
      <c r="BH992" s="624">
        <v>39643</v>
      </c>
      <c r="BI992" s="355">
        <v>0.109553</v>
      </c>
      <c r="BJ992" s="624">
        <v>39643</v>
      </c>
      <c r="BK992" s="355">
        <v>2.9708999999999999E-2</v>
      </c>
    </row>
    <row r="993" spans="3:63">
      <c r="C993" s="624"/>
      <c r="D993" s="355">
        <v>4.2999999999999997E-2</v>
      </c>
      <c r="AV993" s="624"/>
      <c r="AX993" s="624">
        <v>39646</v>
      </c>
      <c r="AY993" s="355">
        <v>4.3060000000000001E-2</v>
      </c>
      <c r="AZ993" s="624">
        <v>39713</v>
      </c>
      <c r="BA993" s="355">
        <v>1.9400000000000001E-2</v>
      </c>
      <c r="BB993" s="624">
        <v>39644</v>
      </c>
      <c r="BC993" s="355">
        <v>0.49059999999999998</v>
      </c>
      <c r="BD993" s="624">
        <v>39645</v>
      </c>
      <c r="BE993" s="355">
        <v>9.9229999999999999E-2</v>
      </c>
      <c r="BF993" s="624">
        <v>39672</v>
      </c>
      <c r="BG993" s="355">
        <v>2.3601E-2</v>
      </c>
      <c r="BH993" s="624">
        <v>39644</v>
      </c>
      <c r="BI993" s="355">
        <v>0.109379</v>
      </c>
      <c r="BJ993" s="624">
        <v>39644</v>
      </c>
      <c r="BK993" s="355">
        <v>2.9887E-2</v>
      </c>
    </row>
    <row r="994" spans="3:63">
      <c r="C994" s="624"/>
      <c r="D994" s="355">
        <v>4.3060000000000001E-2</v>
      </c>
      <c r="AV994" s="624"/>
      <c r="AX994" s="624">
        <v>39647</v>
      </c>
      <c r="AY994" s="355">
        <v>4.3069999999999997E-2</v>
      </c>
      <c r="AZ994" s="624">
        <v>39714</v>
      </c>
      <c r="BA994" s="355">
        <v>1.9199999999999998E-2</v>
      </c>
      <c r="BB994" s="624">
        <v>39645</v>
      </c>
      <c r="BC994" s="355">
        <v>0.49299999999999999</v>
      </c>
      <c r="BD994" s="624">
        <v>39646</v>
      </c>
      <c r="BE994" s="355">
        <v>9.8890000000000006E-2</v>
      </c>
      <c r="BF994" s="624">
        <v>39673</v>
      </c>
      <c r="BG994" s="355">
        <v>2.3414000000000001E-2</v>
      </c>
      <c r="BH994" s="624">
        <v>39645</v>
      </c>
      <c r="BI994" s="355">
        <v>0.10940900000000001</v>
      </c>
      <c r="BJ994" s="624">
        <v>39645</v>
      </c>
      <c r="BK994" s="355">
        <v>2.9869E-2</v>
      </c>
    </row>
    <row r="995" spans="3:63">
      <c r="C995" s="624"/>
      <c r="D995" s="355">
        <v>4.3069999999999997E-2</v>
      </c>
      <c r="AV995" s="624"/>
      <c r="AX995" s="624">
        <v>39650</v>
      </c>
      <c r="AY995" s="355">
        <v>4.3139999999999998E-2</v>
      </c>
      <c r="AZ995" s="624">
        <v>39715</v>
      </c>
      <c r="BA995" s="355">
        <v>1.9099999999999999E-2</v>
      </c>
      <c r="BB995" s="624">
        <v>39646</v>
      </c>
      <c r="BC995" s="355">
        <v>0.49220000000000003</v>
      </c>
      <c r="BD995" s="624">
        <v>39647</v>
      </c>
      <c r="BE995" s="355">
        <v>9.8720000000000002E-2</v>
      </c>
      <c r="BF995" s="624">
        <v>39674</v>
      </c>
      <c r="BG995" s="355">
        <v>2.325E-2</v>
      </c>
      <c r="BH995" s="624">
        <v>39646</v>
      </c>
      <c r="BI995" s="355">
        <v>0.109469</v>
      </c>
      <c r="BJ995" s="624">
        <v>39646</v>
      </c>
      <c r="BK995" s="355">
        <v>2.9904E-2</v>
      </c>
    </row>
    <row r="996" spans="3:63">
      <c r="C996" s="624"/>
      <c r="D996" s="355">
        <v>4.3139999999999998E-2</v>
      </c>
      <c r="AV996" s="624"/>
      <c r="AX996" s="624">
        <v>39651</v>
      </c>
      <c r="AY996" s="355">
        <v>4.2930000000000003E-2</v>
      </c>
      <c r="AZ996" s="624">
        <v>39716</v>
      </c>
      <c r="BA996" s="355">
        <v>1.9099999999999999E-2</v>
      </c>
      <c r="BB996" s="624">
        <v>39647</v>
      </c>
      <c r="BC996" s="355">
        <v>0.49259999999999998</v>
      </c>
      <c r="BD996" s="624">
        <v>39650</v>
      </c>
      <c r="BE996" s="355">
        <v>9.8199999999999996E-2</v>
      </c>
      <c r="BF996" s="624">
        <v>39675</v>
      </c>
      <c r="BG996" s="355">
        <v>2.3052E-2</v>
      </c>
      <c r="BH996" s="624">
        <v>39647</v>
      </c>
      <c r="BI996" s="355">
        <v>0.109373</v>
      </c>
      <c r="BJ996" s="624">
        <v>39647</v>
      </c>
      <c r="BK996" s="355">
        <v>3.0012E-2</v>
      </c>
    </row>
    <row r="997" spans="3:63">
      <c r="C997" s="624"/>
      <c r="D997" s="355">
        <v>4.2930000000000003E-2</v>
      </c>
      <c r="AV997" s="624"/>
      <c r="AX997" s="624">
        <v>39652</v>
      </c>
      <c r="AY997" s="355">
        <v>4.2810000000000001E-2</v>
      </c>
      <c r="AZ997" s="624">
        <v>39717</v>
      </c>
      <c r="BA997" s="355">
        <v>1.9099999999999999E-2</v>
      </c>
      <c r="BB997" s="624">
        <v>39650</v>
      </c>
      <c r="BC997" s="355">
        <v>0.49430000000000002</v>
      </c>
      <c r="BD997" s="624">
        <v>39651</v>
      </c>
      <c r="BE997" s="355">
        <v>9.8570000000000005E-2</v>
      </c>
      <c r="BF997" s="624">
        <v>39678</v>
      </c>
      <c r="BG997" s="355">
        <v>2.2970000000000001E-2</v>
      </c>
      <c r="BH997" s="624">
        <v>39650</v>
      </c>
      <c r="BI997" s="355">
        <v>0.109266</v>
      </c>
      <c r="BJ997" s="624">
        <v>39650</v>
      </c>
      <c r="BK997" s="355">
        <v>2.9975999999999999E-2</v>
      </c>
    </row>
    <row r="998" spans="3:63">
      <c r="C998" s="624"/>
      <c r="D998" s="355">
        <v>4.2810000000000001E-2</v>
      </c>
      <c r="AV998" s="624"/>
      <c r="AX998" s="624">
        <v>39653</v>
      </c>
      <c r="AY998" s="355">
        <v>4.2759999999999999E-2</v>
      </c>
      <c r="AZ998" s="624">
        <v>39720</v>
      </c>
      <c r="BA998" s="355">
        <v>1.89E-2</v>
      </c>
      <c r="BB998" s="624">
        <v>39651</v>
      </c>
      <c r="BC998" s="355">
        <v>0.4869</v>
      </c>
      <c r="BD998" s="624">
        <v>39652</v>
      </c>
      <c r="BE998" s="355">
        <v>9.9080000000000001E-2</v>
      </c>
      <c r="BF998" s="624">
        <v>39679</v>
      </c>
      <c r="BG998" s="355">
        <v>2.291E-2</v>
      </c>
      <c r="BH998" s="624">
        <v>39651</v>
      </c>
      <c r="BI998" s="355">
        <v>0.10949299999999999</v>
      </c>
      <c r="BJ998" s="624">
        <v>39651</v>
      </c>
      <c r="BK998" s="355">
        <v>2.9957999999999999E-2</v>
      </c>
    </row>
    <row r="999" spans="3:63">
      <c r="C999" s="624"/>
      <c r="D999" s="355">
        <v>4.2759999999999999E-2</v>
      </c>
      <c r="AV999" s="624"/>
      <c r="AX999" s="624">
        <v>39654</v>
      </c>
      <c r="AY999" s="355">
        <v>4.2770000000000002E-2</v>
      </c>
      <c r="AZ999" s="624">
        <v>39721</v>
      </c>
      <c r="BA999" s="355">
        <v>1.84E-2</v>
      </c>
      <c r="BB999" s="624">
        <v>39652</v>
      </c>
      <c r="BC999" s="355">
        <v>0.48180000000000001</v>
      </c>
      <c r="BD999" s="624">
        <v>39653</v>
      </c>
      <c r="BE999" s="355">
        <v>9.9150000000000002E-2</v>
      </c>
      <c r="BF999" s="624">
        <v>39680</v>
      </c>
      <c r="BG999" s="355">
        <v>2.2915000000000001E-2</v>
      </c>
      <c r="BH999" s="624">
        <v>39652</v>
      </c>
      <c r="BI999" s="355">
        <v>0.109349</v>
      </c>
      <c r="BJ999" s="624">
        <v>39652</v>
      </c>
      <c r="BK999" s="355">
        <v>2.9957999999999999E-2</v>
      </c>
    </row>
    <row r="1000" spans="3:63">
      <c r="C1000" s="624"/>
      <c r="D1000" s="355">
        <v>4.2770000000000002E-2</v>
      </c>
      <c r="AV1000" s="624"/>
      <c r="AX1000" s="624">
        <v>39657</v>
      </c>
      <c r="AY1000" s="355">
        <v>4.2840000000000003E-2</v>
      </c>
      <c r="AZ1000" s="624">
        <v>39722</v>
      </c>
      <c r="BA1000" s="355">
        <v>1.83E-2</v>
      </c>
      <c r="BB1000" s="624">
        <v>39653</v>
      </c>
      <c r="BC1000" s="355">
        <v>0.4869</v>
      </c>
      <c r="BD1000" s="624">
        <v>39654</v>
      </c>
      <c r="BE1000" s="355">
        <v>9.9299999999999999E-2</v>
      </c>
      <c r="BF1000" s="624">
        <v>39681</v>
      </c>
      <c r="BG1000" s="355">
        <v>2.2977999999999998E-2</v>
      </c>
      <c r="BH1000" s="624">
        <v>39653</v>
      </c>
      <c r="BI1000" s="355">
        <v>0.10939699999999999</v>
      </c>
      <c r="BJ1000" s="624">
        <v>39653</v>
      </c>
      <c r="BK1000" s="355">
        <v>2.9943000000000001E-2</v>
      </c>
    </row>
    <row r="1001" spans="3:63">
      <c r="C1001" s="624"/>
      <c r="D1001" s="355">
        <v>4.2840000000000003E-2</v>
      </c>
      <c r="AV1001" s="624"/>
      <c r="AX1001" s="624">
        <v>39658</v>
      </c>
      <c r="AY1001" s="355">
        <v>4.265E-2</v>
      </c>
      <c r="AZ1001" s="624">
        <v>39723</v>
      </c>
      <c r="BA1001" s="355">
        <v>1.7999999999999999E-2</v>
      </c>
      <c r="BB1001" s="624">
        <v>39654</v>
      </c>
      <c r="BC1001" s="355">
        <v>0.48970000000000002</v>
      </c>
      <c r="BD1001" s="624">
        <v>39657</v>
      </c>
      <c r="BE1001" s="355">
        <v>9.937E-2</v>
      </c>
      <c r="BF1001" s="624">
        <v>39682</v>
      </c>
      <c r="BG1001" s="355">
        <v>2.3019000000000001E-2</v>
      </c>
      <c r="BH1001" s="624">
        <v>39654</v>
      </c>
      <c r="BI1001" s="355">
        <v>0.109487</v>
      </c>
      <c r="BJ1001" s="624">
        <v>39654</v>
      </c>
      <c r="BK1001" s="355">
        <v>2.9922000000000001E-2</v>
      </c>
    </row>
    <row r="1002" spans="3:63">
      <c r="C1002" s="624"/>
      <c r="D1002" s="355">
        <v>4.265E-2</v>
      </c>
      <c r="AV1002" s="624"/>
      <c r="AX1002" s="624">
        <v>39659</v>
      </c>
      <c r="AY1002" s="355">
        <v>4.2659999999999997E-2</v>
      </c>
      <c r="AZ1002" s="624">
        <v>39724</v>
      </c>
      <c r="BA1002" s="355">
        <v>1.7600000000000001E-2</v>
      </c>
      <c r="BB1002" s="624">
        <v>39657</v>
      </c>
      <c r="BC1002" s="355">
        <v>0.4909</v>
      </c>
      <c r="BD1002" s="624">
        <v>39658</v>
      </c>
      <c r="BE1002" s="355">
        <v>9.9080000000000001E-2</v>
      </c>
      <c r="BF1002" s="624">
        <v>39685</v>
      </c>
      <c r="BG1002" s="355">
        <v>2.2835999999999999E-2</v>
      </c>
      <c r="BH1002" s="624">
        <v>39657</v>
      </c>
      <c r="BI1002" s="355">
        <v>0.109667</v>
      </c>
      <c r="BJ1002" s="624">
        <v>39657</v>
      </c>
      <c r="BK1002" s="355">
        <v>2.9887E-2</v>
      </c>
    </row>
    <row r="1003" spans="3:63">
      <c r="C1003" s="624"/>
      <c r="D1003" s="355">
        <v>4.2659999999999997E-2</v>
      </c>
      <c r="AV1003" s="624"/>
      <c r="AX1003" s="624">
        <v>39660</v>
      </c>
      <c r="AY1003" s="355">
        <v>4.2680000000000003E-2</v>
      </c>
      <c r="AZ1003" s="624">
        <v>39727</v>
      </c>
      <c r="BA1003" s="355">
        <v>1.7000000000000001E-2</v>
      </c>
      <c r="BB1003" s="624">
        <v>39658</v>
      </c>
      <c r="BC1003" s="355">
        <v>0.48570000000000002</v>
      </c>
      <c r="BD1003" s="624">
        <v>39659</v>
      </c>
      <c r="BE1003" s="355">
        <v>9.8830000000000001E-2</v>
      </c>
      <c r="BF1003" s="624">
        <v>39686</v>
      </c>
      <c r="BG1003" s="355">
        <v>2.2783999999999999E-2</v>
      </c>
      <c r="BH1003" s="624">
        <v>39658</v>
      </c>
      <c r="BI1003" s="355">
        <v>0.109764</v>
      </c>
      <c r="BJ1003" s="624">
        <v>39658</v>
      </c>
      <c r="BK1003" s="355">
        <v>2.9869E-2</v>
      </c>
    </row>
    <row r="1004" spans="3:63">
      <c r="C1004" s="624"/>
      <c r="D1004" s="355">
        <v>4.2680000000000003E-2</v>
      </c>
      <c r="AV1004" s="624"/>
      <c r="AX1004" s="624">
        <v>39661</v>
      </c>
      <c r="AY1004" s="355">
        <v>4.2599999999999999E-2</v>
      </c>
      <c r="AZ1004" s="624">
        <v>39728</v>
      </c>
      <c r="BA1004" s="355">
        <v>1.7000000000000001E-2</v>
      </c>
      <c r="BB1004" s="624">
        <v>39659</v>
      </c>
      <c r="BC1004" s="355">
        <v>0.48620000000000002</v>
      </c>
      <c r="BD1004" s="624">
        <v>39660</v>
      </c>
      <c r="BE1004" s="355">
        <v>9.8790000000000003E-2</v>
      </c>
      <c r="BF1004" s="624">
        <v>39687</v>
      </c>
      <c r="BG1004" s="355">
        <v>2.2841E-2</v>
      </c>
      <c r="BH1004" s="624">
        <v>39659</v>
      </c>
      <c r="BI1004" s="355">
        <v>0.109691</v>
      </c>
      <c r="BJ1004" s="624">
        <v>39659</v>
      </c>
      <c r="BK1004" s="355">
        <v>2.9860000000000001E-2</v>
      </c>
    </row>
    <row r="1005" spans="3:63">
      <c r="C1005" s="624"/>
      <c r="D1005" s="355">
        <v>4.2599999999999999E-2</v>
      </c>
      <c r="AV1005" s="624"/>
      <c r="AX1005" s="624">
        <v>39664</v>
      </c>
      <c r="AY1005" s="355">
        <v>4.2720000000000001E-2</v>
      </c>
      <c r="AZ1005" s="624">
        <v>39729</v>
      </c>
      <c r="BA1005" s="355">
        <v>1.6899999999999998E-2</v>
      </c>
      <c r="BB1005" s="624">
        <v>39660</v>
      </c>
      <c r="BC1005" s="355">
        <v>0.48499999999999999</v>
      </c>
      <c r="BD1005" s="624">
        <v>39661</v>
      </c>
      <c r="BE1005" s="355">
        <v>9.8519999999999996E-2</v>
      </c>
      <c r="BF1005" s="624">
        <v>39688</v>
      </c>
      <c r="BG1005" s="355">
        <v>2.2841E-2</v>
      </c>
      <c r="BH1005" s="624">
        <v>39660</v>
      </c>
      <c r="BI1005" s="355">
        <v>0.10995099999999999</v>
      </c>
      <c r="BJ1005" s="624">
        <v>39660</v>
      </c>
      <c r="BK1005" s="355">
        <v>2.9832999999999998E-2</v>
      </c>
    </row>
    <row r="1006" spans="3:63">
      <c r="C1006" s="624"/>
      <c r="D1006" s="355">
        <v>4.2720000000000001E-2</v>
      </c>
      <c r="AV1006" s="624"/>
      <c r="AX1006" s="624">
        <v>39665</v>
      </c>
      <c r="AY1006" s="355">
        <v>4.2450000000000002E-2</v>
      </c>
      <c r="AZ1006" s="624">
        <v>39730</v>
      </c>
      <c r="BA1006" s="355">
        <v>1.7100000000000001E-2</v>
      </c>
      <c r="BB1006" s="624">
        <v>39661</v>
      </c>
      <c r="BC1006" s="355">
        <v>0.4849</v>
      </c>
      <c r="BD1006" s="624">
        <v>39664</v>
      </c>
      <c r="BE1006" s="355">
        <v>9.8280000000000006E-2</v>
      </c>
      <c r="BF1006" s="624">
        <v>39689</v>
      </c>
      <c r="BG1006" s="355">
        <v>2.2742999999999999E-2</v>
      </c>
      <c r="BH1006" s="624">
        <v>39661</v>
      </c>
      <c r="BI1006" s="355">
        <v>0.10986600000000001</v>
      </c>
      <c r="BJ1006" s="624">
        <v>39661</v>
      </c>
      <c r="BK1006" s="355">
        <v>2.9832999999999998E-2</v>
      </c>
    </row>
    <row r="1007" spans="3:63">
      <c r="C1007" s="624"/>
      <c r="D1007" s="355">
        <v>4.2450000000000002E-2</v>
      </c>
      <c r="AV1007" s="624"/>
      <c r="AX1007" s="624">
        <v>39666</v>
      </c>
      <c r="AY1007" s="355">
        <v>4.2279999999999998E-2</v>
      </c>
      <c r="AZ1007" s="624">
        <v>39731</v>
      </c>
      <c r="BA1007" s="355">
        <v>1.66E-2</v>
      </c>
      <c r="BB1007" s="624">
        <v>39664</v>
      </c>
      <c r="BC1007" s="355">
        <v>0.48559999999999998</v>
      </c>
      <c r="BD1007" s="624">
        <v>39665</v>
      </c>
      <c r="BE1007" s="355">
        <v>9.8210000000000006E-2</v>
      </c>
      <c r="BF1007" s="624">
        <v>39692</v>
      </c>
      <c r="BG1007" s="355">
        <v>2.264E-2</v>
      </c>
      <c r="BH1007" s="624">
        <v>39664</v>
      </c>
      <c r="BI1007" s="355">
        <v>0.110108</v>
      </c>
      <c r="BJ1007" s="624">
        <v>39664</v>
      </c>
      <c r="BK1007" s="355">
        <v>2.9857999999999999E-2</v>
      </c>
    </row>
    <row r="1008" spans="3:63">
      <c r="C1008" s="624"/>
      <c r="D1008" s="355">
        <v>4.2279999999999998E-2</v>
      </c>
      <c r="AV1008" s="624"/>
      <c r="AX1008" s="624">
        <v>39667</v>
      </c>
      <c r="AY1008" s="355">
        <v>4.2220000000000001E-2</v>
      </c>
      <c r="AZ1008" s="624">
        <v>39734</v>
      </c>
      <c r="BA1008" s="355">
        <v>1.67E-2</v>
      </c>
      <c r="BB1008" s="624">
        <v>39665</v>
      </c>
      <c r="BC1008" s="355">
        <v>0.48070000000000002</v>
      </c>
      <c r="BD1008" s="624">
        <v>39666</v>
      </c>
      <c r="BE1008" s="355">
        <v>9.8570000000000005E-2</v>
      </c>
      <c r="BF1008" s="624">
        <v>39693</v>
      </c>
      <c r="BG1008" s="355">
        <v>2.2547999999999999E-2</v>
      </c>
      <c r="BH1008" s="624">
        <v>39665</v>
      </c>
      <c r="BI1008" s="355">
        <v>0.11043</v>
      </c>
      <c r="BJ1008" s="624">
        <v>39665</v>
      </c>
      <c r="BK1008" s="355">
        <v>2.9753000000000002E-2</v>
      </c>
    </row>
    <row r="1009" spans="3:63">
      <c r="C1009" s="624"/>
      <c r="D1009" s="355">
        <v>4.2220000000000001E-2</v>
      </c>
      <c r="AV1009" s="624"/>
      <c r="AX1009" s="624">
        <v>39668</v>
      </c>
      <c r="AY1009" s="355">
        <v>4.1270000000000001E-2</v>
      </c>
      <c r="AZ1009" s="624">
        <v>39735</v>
      </c>
      <c r="BA1009" s="355">
        <v>1.66E-2</v>
      </c>
      <c r="BB1009" s="624">
        <v>39666</v>
      </c>
      <c r="BC1009" s="355">
        <v>0.4753</v>
      </c>
      <c r="BD1009" s="624">
        <v>39667</v>
      </c>
      <c r="BE1009" s="355">
        <v>9.8379999999999995E-2</v>
      </c>
      <c r="BF1009" s="624">
        <v>39694</v>
      </c>
      <c r="BG1009" s="355">
        <v>2.2477E-2</v>
      </c>
      <c r="BH1009" s="624">
        <v>39666</v>
      </c>
      <c r="BI1009" s="355">
        <v>0.110018</v>
      </c>
      <c r="BJ1009" s="624">
        <v>39666</v>
      </c>
      <c r="BK1009" s="355">
        <v>2.9735000000000001E-2</v>
      </c>
    </row>
    <row r="1010" spans="3:63">
      <c r="C1010" s="624"/>
      <c r="D1010" s="355">
        <v>4.1270000000000001E-2</v>
      </c>
      <c r="AV1010" s="624"/>
      <c r="AX1010" s="624">
        <v>39671</v>
      </c>
      <c r="AY1010" s="355">
        <v>4.0939999999999997E-2</v>
      </c>
      <c r="AZ1010" s="624">
        <v>39736</v>
      </c>
      <c r="BA1010" s="355">
        <v>1.6299999999999999E-2</v>
      </c>
      <c r="BB1010" s="624">
        <v>39667</v>
      </c>
      <c r="BC1010" s="355">
        <v>0.47199999999999998</v>
      </c>
      <c r="BD1010" s="624">
        <v>39668</v>
      </c>
      <c r="BE1010" s="355">
        <v>9.7239999999999993E-2</v>
      </c>
      <c r="BF1010" s="624">
        <v>39695</v>
      </c>
      <c r="BG1010" s="355">
        <v>2.2534999999999999E-2</v>
      </c>
      <c r="BH1010" s="624">
        <v>39667</v>
      </c>
      <c r="BI1010" s="355">
        <v>0.10953599999999999</v>
      </c>
      <c r="BJ1010" s="624">
        <v>39667</v>
      </c>
      <c r="BK1010" s="355">
        <v>2.9762E-2</v>
      </c>
    </row>
    <row r="1011" spans="3:63">
      <c r="C1011" s="624"/>
      <c r="D1011" s="355">
        <v>4.0939999999999997E-2</v>
      </c>
      <c r="AV1011" s="624"/>
      <c r="AX1011" s="624">
        <v>39672</v>
      </c>
      <c r="AY1011" s="355">
        <v>4.1239999999999999E-2</v>
      </c>
      <c r="AZ1011" s="624">
        <v>39737</v>
      </c>
      <c r="BA1011" s="355">
        <v>1.6199999999999999E-2</v>
      </c>
      <c r="BB1011" s="624">
        <v>39668</v>
      </c>
      <c r="BC1011" s="355">
        <v>0.4582</v>
      </c>
      <c r="BD1011" s="624">
        <v>39671</v>
      </c>
      <c r="BE1011" s="355">
        <v>9.6909999999999996E-2</v>
      </c>
      <c r="BF1011" s="624">
        <v>39696</v>
      </c>
      <c r="BG1011" s="355">
        <v>2.2391000000000001E-2</v>
      </c>
      <c r="BH1011" s="624">
        <v>39668</v>
      </c>
      <c r="BI1011" s="355">
        <v>0.109051</v>
      </c>
      <c r="BJ1011" s="624">
        <v>39668</v>
      </c>
      <c r="BK1011" s="355">
        <v>2.9690999999999999E-2</v>
      </c>
    </row>
    <row r="1012" spans="3:63">
      <c r="C1012" s="624"/>
      <c r="D1012" s="355">
        <v>4.1239999999999999E-2</v>
      </c>
      <c r="AV1012" s="624"/>
      <c r="AX1012" s="624">
        <v>39673</v>
      </c>
      <c r="AY1012" s="355">
        <v>4.129E-2</v>
      </c>
      <c r="AZ1012" s="624">
        <v>39738</v>
      </c>
      <c r="BA1012" s="355">
        <v>1.6299999999999999E-2</v>
      </c>
      <c r="BB1012" s="624">
        <v>39671</v>
      </c>
      <c r="BC1012" s="355">
        <v>0.45429999999999998</v>
      </c>
      <c r="BD1012" s="624">
        <v>39672</v>
      </c>
      <c r="BE1012" s="355">
        <v>9.6710000000000004E-2</v>
      </c>
      <c r="BF1012" s="624">
        <v>39699</v>
      </c>
      <c r="BG1012" s="355">
        <v>2.2422000000000001E-2</v>
      </c>
      <c r="BH1012" s="624">
        <v>39671</v>
      </c>
      <c r="BI1012" s="355">
        <v>0.108755</v>
      </c>
      <c r="BJ1012" s="624">
        <v>39671</v>
      </c>
      <c r="BK1012" s="355">
        <v>2.9665E-2</v>
      </c>
    </row>
    <row r="1013" spans="3:63">
      <c r="C1013" s="624"/>
      <c r="D1013" s="355">
        <v>4.129E-2</v>
      </c>
      <c r="AV1013" s="624"/>
      <c r="AX1013" s="624">
        <v>39674</v>
      </c>
      <c r="AY1013" s="355">
        <v>4.1009999999999998E-2</v>
      </c>
      <c r="AZ1013" s="624">
        <v>39741</v>
      </c>
      <c r="BA1013" s="355">
        <v>1.6400000000000001E-2</v>
      </c>
      <c r="BB1013" s="624">
        <v>39672</v>
      </c>
      <c r="BC1013" s="355">
        <v>0.45689999999999997</v>
      </c>
      <c r="BD1013" s="624">
        <v>39673</v>
      </c>
      <c r="BE1013" s="355">
        <v>9.6259999999999998E-2</v>
      </c>
      <c r="BF1013" s="624">
        <v>39700</v>
      </c>
      <c r="BG1013" s="355">
        <v>2.2308000000000001E-2</v>
      </c>
      <c r="BH1013" s="624">
        <v>39672</v>
      </c>
      <c r="BI1013" s="355">
        <v>0.108873</v>
      </c>
      <c r="BJ1013" s="624">
        <v>39672</v>
      </c>
      <c r="BK1013" s="355">
        <v>2.9735000000000001E-2</v>
      </c>
    </row>
    <row r="1014" spans="3:63">
      <c r="C1014" s="624"/>
      <c r="D1014" s="355">
        <v>4.1009999999999998E-2</v>
      </c>
      <c r="AV1014" s="624"/>
      <c r="AX1014" s="624">
        <v>39675</v>
      </c>
      <c r="AY1014" s="355">
        <v>4.0649999999999999E-2</v>
      </c>
      <c r="AZ1014" s="624">
        <v>39742</v>
      </c>
      <c r="BA1014" s="355">
        <v>1.61E-2</v>
      </c>
      <c r="BB1014" s="624">
        <v>39673</v>
      </c>
      <c r="BC1014" s="355">
        <v>0.45179999999999998</v>
      </c>
      <c r="BD1014" s="624">
        <v>39674</v>
      </c>
      <c r="BE1014" s="355">
        <v>9.6180000000000002E-2</v>
      </c>
      <c r="BF1014" s="624">
        <v>39701</v>
      </c>
      <c r="BG1014" s="355">
        <v>2.2155000000000001E-2</v>
      </c>
      <c r="BH1014" s="624">
        <v>39673</v>
      </c>
      <c r="BI1014" s="355">
        <v>0.10882</v>
      </c>
      <c r="BJ1014" s="624">
        <v>39673</v>
      </c>
      <c r="BK1014" s="355">
        <v>2.9696E-2</v>
      </c>
    </row>
    <row r="1015" spans="3:63">
      <c r="C1015" s="624"/>
      <c r="D1015" s="355">
        <v>4.0649999999999999E-2</v>
      </c>
      <c r="AV1015" s="624"/>
      <c r="AX1015" s="624">
        <v>39678</v>
      </c>
      <c r="AY1015" s="355">
        <v>4.0730000000000002E-2</v>
      </c>
      <c r="AZ1015" s="624">
        <v>39743</v>
      </c>
      <c r="BA1015" s="355">
        <v>1.5599999999999999E-2</v>
      </c>
      <c r="BB1015" s="624">
        <v>39674</v>
      </c>
      <c r="BC1015" s="355">
        <v>0.4466</v>
      </c>
      <c r="BD1015" s="624">
        <v>39675</v>
      </c>
      <c r="BE1015" s="355">
        <v>9.6180000000000002E-2</v>
      </c>
      <c r="BF1015" s="624">
        <v>39702</v>
      </c>
      <c r="BG1015" s="355">
        <v>2.1954000000000001E-2</v>
      </c>
      <c r="BH1015" s="624">
        <v>39674</v>
      </c>
      <c r="BI1015" s="355">
        <v>0.108927</v>
      </c>
      <c r="BJ1015" s="624">
        <v>39674</v>
      </c>
      <c r="BK1015" s="355">
        <v>2.9678E-2</v>
      </c>
    </row>
    <row r="1016" spans="3:63">
      <c r="C1016" s="624"/>
      <c r="D1016" s="355">
        <v>4.0730000000000002E-2</v>
      </c>
      <c r="AV1016" s="624"/>
      <c r="AX1016" s="624">
        <v>39679</v>
      </c>
      <c r="AY1016" s="355">
        <v>4.086E-2</v>
      </c>
      <c r="AZ1016" s="624">
        <v>39744</v>
      </c>
      <c r="BA1016" s="355">
        <v>1.55E-2</v>
      </c>
      <c r="BB1016" s="624">
        <v>39675</v>
      </c>
      <c r="BC1016" s="355">
        <v>0.44059999999999999</v>
      </c>
      <c r="BD1016" s="624">
        <v>39678</v>
      </c>
      <c r="BE1016" s="355">
        <v>9.5759999999999998E-2</v>
      </c>
      <c r="BF1016" s="624">
        <v>39703</v>
      </c>
      <c r="BG1016" s="355">
        <v>2.1869E-2</v>
      </c>
      <c r="BH1016" s="624">
        <v>39675</v>
      </c>
      <c r="BI1016" s="355">
        <v>0.108637</v>
      </c>
      <c r="BJ1016" s="624">
        <v>39675</v>
      </c>
      <c r="BK1016" s="355">
        <v>2.9533E-2</v>
      </c>
    </row>
    <row r="1017" spans="3:63">
      <c r="C1017" s="624"/>
      <c r="D1017" s="355">
        <v>4.086E-2</v>
      </c>
      <c r="AV1017" s="624"/>
      <c r="AX1017" s="624">
        <v>39680</v>
      </c>
      <c r="AY1017" s="355">
        <v>4.1000000000000002E-2</v>
      </c>
      <c r="AZ1017" s="624">
        <v>39745</v>
      </c>
      <c r="BA1017" s="355">
        <v>1.49E-2</v>
      </c>
      <c r="BB1017" s="624">
        <v>39678</v>
      </c>
      <c r="BC1017" s="355">
        <v>0.44340000000000002</v>
      </c>
      <c r="BD1017" s="624">
        <v>39679</v>
      </c>
      <c r="BE1017" s="355">
        <v>9.5219999999999999E-2</v>
      </c>
      <c r="BF1017" s="624">
        <v>39706</v>
      </c>
      <c r="BG1017" s="355">
        <v>2.1714000000000001E-2</v>
      </c>
      <c r="BH1017" s="624">
        <v>39678</v>
      </c>
      <c r="BI1017" s="355">
        <v>0.108873</v>
      </c>
      <c r="BJ1017" s="624">
        <v>39678</v>
      </c>
      <c r="BK1017" s="355">
        <v>2.9576999999999999E-2</v>
      </c>
    </row>
    <row r="1018" spans="3:63">
      <c r="C1018" s="624"/>
      <c r="D1018" s="355">
        <v>4.1000000000000002E-2</v>
      </c>
      <c r="AV1018" s="624"/>
      <c r="AX1018" s="624">
        <v>39681</v>
      </c>
      <c r="AY1018" s="355">
        <v>4.1169999999999998E-2</v>
      </c>
      <c r="AZ1018" s="624">
        <v>39748</v>
      </c>
      <c r="BA1018" s="355">
        <v>1.47E-2</v>
      </c>
      <c r="BB1018" s="624">
        <v>39679</v>
      </c>
      <c r="BC1018" s="355">
        <v>0.4451</v>
      </c>
      <c r="BD1018" s="624">
        <v>39680</v>
      </c>
      <c r="BE1018" s="355">
        <v>9.5549999999999996E-2</v>
      </c>
      <c r="BF1018" s="624">
        <v>39707</v>
      </c>
      <c r="BG1018" s="355">
        <v>2.1308000000000001E-2</v>
      </c>
      <c r="BH1018" s="624">
        <v>39679</v>
      </c>
      <c r="BI1018" s="355">
        <v>0.108755</v>
      </c>
      <c r="BJ1018" s="624">
        <v>39679</v>
      </c>
      <c r="BK1018" s="355">
        <v>2.9343000000000001E-2</v>
      </c>
    </row>
    <row r="1019" spans="3:63">
      <c r="C1019" s="624"/>
      <c r="D1019" s="355">
        <v>4.1169999999999998E-2</v>
      </c>
      <c r="AV1019" s="624"/>
      <c r="AX1019" s="624">
        <v>39682</v>
      </c>
      <c r="AY1019" s="355">
        <v>4.1009999999999998E-2</v>
      </c>
      <c r="AZ1019" s="624">
        <v>39749</v>
      </c>
      <c r="BA1019" s="355">
        <v>1.4999999999999999E-2</v>
      </c>
      <c r="BB1019" s="624">
        <v>39680</v>
      </c>
      <c r="BC1019" s="355">
        <v>0.4446</v>
      </c>
      <c r="BD1019" s="624">
        <v>39681</v>
      </c>
      <c r="BE1019" s="355">
        <v>9.4979999999999995E-2</v>
      </c>
      <c r="BF1019" s="624">
        <v>39708</v>
      </c>
      <c r="BG1019" s="355">
        <v>2.1572999999999998E-2</v>
      </c>
      <c r="BH1019" s="624">
        <v>39680</v>
      </c>
      <c r="BI1019" s="355">
        <v>0.109176</v>
      </c>
      <c r="BJ1019" s="624">
        <v>39680</v>
      </c>
      <c r="BK1019" s="355">
        <v>2.93E-2</v>
      </c>
    </row>
    <row r="1020" spans="3:63">
      <c r="C1020" s="624"/>
      <c r="D1020" s="355">
        <v>4.1009999999999998E-2</v>
      </c>
      <c r="AV1020" s="624"/>
      <c r="AX1020" s="624">
        <v>39685</v>
      </c>
      <c r="AY1020" s="355">
        <v>4.0919999999999998E-2</v>
      </c>
      <c r="AZ1020" s="624">
        <v>39750</v>
      </c>
      <c r="BA1020" s="355">
        <v>1.5299999999999999E-2</v>
      </c>
      <c r="BB1020" s="624">
        <v>39681</v>
      </c>
      <c r="BC1020" s="355">
        <v>0.45229999999999998</v>
      </c>
      <c r="BD1020" s="624">
        <v>39682</v>
      </c>
      <c r="BE1020" s="355">
        <v>9.4100000000000003E-2</v>
      </c>
      <c r="BF1020" s="624">
        <v>39709</v>
      </c>
      <c r="BG1020" s="355">
        <v>2.1503999999999999E-2</v>
      </c>
      <c r="BH1020" s="624">
        <v>39681</v>
      </c>
      <c r="BI1020" s="355">
        <v>0.109111</v>
      </c>
      <c r="BJ1020" s="624">
        <v>39681</v>
      </c>
      <c r="BK1020" s="355">
        <v>2.9472999999999999E-2</v>
      </c>
    </row>
    <row r="1021" spans="3:63">
      <c r="C1021" s="624"/>
      <c r="D1021" s="355">
        <v>4.0919999999999998E-2</v>
      </c>
      <c r="AV1021" s="624"/>
      <c r="AX1021" s="624">
        <v>39686</v>
      </c>
      <c r="AY1021" s="355">
        <v>4.0550000000000003E-2</v>
      </c>
      <c r="AZ1021" s="624">
        <v>39751</v>
      </c>
      <c r="BA1021" s="355">
        <v>1.52E-2</v>
      </c>
      <c r="BB1021" s="624">
        <v>39682</v>
      </c>
      <c r="BC1021" s="355">
        <v>0.44840000000000002</v>
      </c>
      <c r="BD1021" s="624">
        <v>39685</v>
      </c>
      <c r="BE1021" s="355">
        <v>9.2689999999999995E-2</v>
      </c>
      <c r="BF1021" s="624">
        <v>39710</v>
      </c>
      <c r="BG1021" s="355">
        <v>2.1817E-2</v>
      </c>
      <c r="BH1021" s="624">
        <v>39682</v>
      </c>
      <c r="BI1021" s="355">
        <v>0.10940900000000001</v>
      </c>
      <c r="BJ1021" s="624">
        <v>39682</v>
      </c>
      <c r="BK1021" s="355">
        <v>2.9446E-2</v>
      </c>
    </row>
    <row r="1022" spans="3:63">
      <c r="C1022" s="624"/>
      <c r="D1022" s="355">
        <v>4.0550000000000003E-2</v>
      </c>
      <c r="AV1022" s="624"/>
      <c r="AX1022" s="624">
        <v>39687</v>
      </c>
      <c r="AY1022" s="355">
        <v>4.0629999999999999E-2</v>
      </c>
      <c r="AZ1022" s="624">
        <v>39752</v>
      </c>
      <c r="BA1022" s="355">
        <v>1.4999999999999999E-2</v>
      </c>
      <c r="BB1022" s="624">
        <v>39685</v>
      </c>
      <c r="BC1022" s="355">
        <v>0.44690000000000002</v>
      </c>
      <c r="BD1022" s="624">
        <v>39686</v>
      </c>
      <c r="BE1022" s="355">
        <v>9.1850000000000001E-2</v>
      </c>
      <c r="BF1022" s="624">
        <v>39713</v>
      </c>
      <c r="BG1022" s="355">
        <v>2.2003000000000002E-2</v>
      </c>
      <c r="BH1022" s="624">
        <v>39685</v>
      </c>
      <c r="BI1022" s="355">
        <v>0.10910499999999999</v>
      </c>
      <c r="BJ1022" s="624">
        <v>39685</v>
      </c>
      <c r="BK1022" s="355">
        <v>2.9326000000000001E-2</v>
      </c>
    </row>
    <row r="1023" spans="3:63">
      <c r="C1023" s="624"/>
      <c r="D1023" s="355">
        <v>4.0629999999999999E-2</v>
      </c>
      <c r="AV1023" s="624"/>
      <c r="AX1023" s="624">
        <v>39688</v>
      </c>
      <c r="AY1023" s="355">
        <v>4.0579999999999998E-2</v>
      </c>
      <c r="AZ1023" s="624">
        <v>39755</v>
      </c>
      <c r="BA1023" s="355">
        <v>1.49E-2</v>
      </c>
      <c r="BB1023" s="624">
        <v>39686</v>
      </c>
      <c r="BC1023" s="355">
        <v>0.44040000000000001</v>
      </c>
      <c r="BD1023" s="624">
        <v>39687</v>
      </c>
      <c r="BE1023" s="355">
        <v>9.2429999999999998E-2</v>
      </c>
      <c r="BF1023" s="624">
        <v>39714</v>
      </c>
      <c r="BG1023" s="355">
        <v>2.1856E-2</v>
      </c>
      <c r="BH1023" s="624">
        <v>39686</v>
      </c>
      <c r="BI1023" s="355">
        <v>0.10886800000000001</v>
      </c>
      <c r="BJ1023" s="624">
        <v>39686</v>
      </c>
      <c r="BK1023" s="355">
        <v>2.9214E-2</v>
      </c>
    </row>
    <row r="1024" spans="3:63">
      <c r="C1024" s="624"/>
      <c r="D1024" s="355">
        <v>4.0579999999999998E-2</v>
      </c>
      <c r="AV1024" s="624"/>
      <c r="AX1024" s="624">
        <v>39689</v>
      </c>
      <c r="AY1024" s="355">
        <v>4.0570000000000002E-2</v>
      </c>
      <c r="AZ1024" s="624">
        <v>39756</v>
      </c>
      <c r="BA1024" s="355">
        <v>1.5299999999999999E-2</v>
      </c>
      <c r="BB1024" s="624">
        <v>39687</v>
      </c>
      <c r="BC1024" s="355">
        <v>0.44109999999999999</v>
      </c>
      <c r="BD1024" s="624">
        <v>39688</v>
      </c>
      <c r="BE1024" s="355">
        <v>9.2329999999999995E-2</v>
      </c>
      <c r="BF1024" s="624">
        <v>39715</v>
      </c>
      <c r="BG1024" s="355">
        <v>2.1760000000000002E-2</v>
      </c>
      <c r="BH1024" s="624">
        <v>39687</v>
      </c>
      <c r="BI1024" s="355">
        <v>0.109111</v>
      </c>
      <c r="BJ1024" s="624">
        <v>39687</v>
      </c>
      <c r="BK1024" s="355">
        <v>2.9350999999999999E-2</v>
      </c>
    </row>
    <row r="1025" spans="3:63">
      <c r="C1025" s="624"/>
      <c r="D1025" s="355">
        <v>4.0570000000000002E-2</v>
      </c>
      <c r="AV1025" s="624"/>
      <c r="AX1025" s="624">
        <v>39692</v>
      </c>
      <c r="AY1025" s="355">
        <v>4.0529999999999997E-2</v>
      </c>
      <c r="AZ1025" s="624">
        <v>39757</v>
      </c>
      <c r="BA1025" s="355">
        <v>1.5100000000000001E-2</v>
      </c>
      <c r="BB1025" s="624">
        <v>39688</v>
      </c>
      <c r="BC1025" s="355">
        <v>0.43830000000000002</v>
      </c>
      <c r="BD1025" s="624">
        <v>39689</v>
      </c>
      <c r="BE1025" s="355">
        <v>9.1800000000000007E-2</v>
      </c>
      <c r="BF1025" s="624">
        <v>39716</v>
      </c>
      <c r="BG1025" s="355">
        <v>2.1642000000000002E-2</v>
      </c>
      <c r="BH1025" s="624">
        <v>39688</v>
      </c>
      <c r="BI1025" s="355">
        <v>0.109296</v>
      </c>
      <c r="BJ1025" s="624">
        <v>39688</v>
      </c>
      <c r="BK1025" s="355">
        <v>2.9326000000000001E-2</v>
      </c>
    </row>
    <row r="1026" spans="3:63">
      <c r="C1026" s="624"/>
      <c r="D1026" s="355">
        <v>4.0529999999999997E-2</v>
      </c>
      <c r="AV1026" s="624"/>
      <c r="AX1026" s="624">
        <v>39693</v>
      </c>
      <c r="AY1026" s="355">
        <v>4.0349999999999997E-2</v>
      </c>
      <c r="AZ1026" s="624">
        <v>39758</v>
      </c>
      <c r="BA1026" s="355">
        <v>1.46E-2</v>
      </c>
      <c r="BB1026" s="624">
        <v>39689</v>
      </c>
      <c r="BC1026" s="355">
        <v>0.44019999999999998</v>
      </c>
      <c r="BD1026" s="624">
        <v>39692</v>
      </c>
      <c r="BE1026" s="355">
        <v>8.9050000000000004E-2</v>
      </c>
      <c r="BF1026" s="624">
        <v>39717</v>
      </c>
      <c r="BG1026" s="355">
        <v>2.1482999999999999E-2</v>
      </c>
      <c r="BH1026" s="624">
        <v>39689</v>
      </c>
      <c r="BI1026" s="355">
        <v>0.10931399999999999</v>
      </c>
      <c r="BJ1026" s="624">
        <v>39689</v>
      </c>
      <c r="BK1026" s="355">
        <v>2.9222999999999999E-2</v>
      </c>
    </row>
    <row r="1027" spans="3:63">
      <c r="C1027" s="624"/>
      <c r="D1027" s="355">
        <v>4.0349999999999997E-2</v>
      </c>
      <c r="AV1027" s="624"/>
      <c r="AX1027" s="624">
        <v>39694</v>
      </c>
      <c r="AY1027" s="355">
        <v>3.9800000000000002E-2</v>
      </c>
      <c r="AZ1027" s="624">
        <v>39759</v>
      </c>
      <c r="BA1027" s="355">
        <v>1.4999999999999999E-2</v>
      </c>
      <c r="BB1027" s="624">
        <v>39692</v>
      </c>
      <c r="BC1027" s="355">
        <v>0.43690000000000001</v>
      </c>
      <c r="BD1027" s="624">
        <v>39693</v>
      </c>
      <c r="BE1027" s="355">
        <v>8.8480000000000003E-2</v>
      </c>
      <c r="BF1027" s="624">
        <v>39720</v>
      </c>
      <c r="BG1027" s="355">
        <v>2.1285999999999999E-2</v>
      </c>
      <c r="BH1027" s="624">
        <v>39692</v>
      </c>
      <c r="BI1027" s="355">
        <v>0.10917</v>
      </c>
      <c r="BJ1027" s="624">
        <v>39692</v>
      </c>
      <c r="BK1027" s="355">
        <v>2.9155E-2</v>
      </c>
    </row>
    <row r="1028" spans="3:63">
      <c r="C1028" s="624"/>
      <c r="D1028" s="355">
        <v>3.9800000000000002E-2</v>
      </c>
      <c r="AV1028" s="624"/>
      <c r="AX1028" s="624">
        <v>39695</v>
      </c>
      <c r="AY1028" s="355">
        <v>3.9289999999999999E-2</v>
      </c>
      <c r="AZ1028" s="624">
        <v>39762</v>
      </c>
      <c r="BA1028" s="355">
        <v>1.4999999999999999E-2</v>
      </c>
      <c r="BB1028" s="624">
        <v>39693</v>
      </c>
      <c r="BC1028" s="355">
        <v>0.43319999999999997</v>
      </c>
      <c r="BD1028" s="624">
        <v>39694</v>
      </c>
      <c r="BE1028" s="355">
        <v>8.7679999999999994E-2</v>
      </c>
      <c r="BF1028" s="624">
        <v>39721</v>
      </c>
      <c r="BG1028" s="355">
        <v>2.1288000000000001E-2</v>
      </c>
      <c r="BH1028" s="624">
        <v>39693</v>
      </c>
      <c r="BI1028" s="355">
        <v>0.10857799999999999</v>
      </c>
      <c r="BJ1028" s="624">
        <v>39693</v>
      </c>
      <c r="BK1028" s="355">
        <v>2.9104000000000001E-2</v>
      </c>
    </row>
    <row r="1029" spans="3:63">
      <c r="C1029" s="624"/>
      <c r="D1029" s="355">
        <v>3.9289999999999999E-2</v>
      </c>
      <c r="AV1029" s="624"/>
      <c r="AX1029" s="624">
        <v>39696</v>
      </c>
      <c r="AY1029" s="355">
        <v>3.9239999999999997E-2</v>
      </c>
      <c r="AZ1029" s="624">
        <v>39763</v>
      </c>
      <c r="BA1029" s="355">
        <v>1.4800000000000001E-2</v>
      </c>
      <c r="BB1029" s="624">
        <v>39694</v>
      </c>
      <c r="BC1029" s="355">
        <v>0.42949999999999999</v>
      </c>
      <c r="BD1029" s="624">
        <v>39695</v>
      </c>
      <c r="BE1029" s="355">
        <v>8.8929999999999995E-2</v>
      </c>
      <c r="BF1029" s="624">
        <v>39722</v>
      </c>
      <c r="BG1029" s="355">
        <v>2.1455999999999999E-2</v>
      </c>
      <c r="BH1029" s="624">
        <v>39694</v>
      </c>
      <c r="BI1029" s="355">
        <v>0.108489</v>
      </c>
      <c r="BJ1029" s="624">
        <v>39694</v>
      </c>
      <c r="BK1029" s="355">
        <v>2.9052999999999999E-2</v>
      </c>
    </row>
    <row r="1030" spans="3:63">
      <c r="C1030" s="624"/>
      <c r="D1030" s="355">
        <v>3.9239999999999997E-2</v>
      </c>
      <c r="AV1030" s="624"/>
      <c r="AX1030" s="624">
        <v>39699</v>
      </c>
      <c r="AY1030" s="355">
        <v>3.916E-2</v>
      </c>
      <c r="AZ1030" s="624">
        <v>39764</v>
      </c>
      <c r="BA1030" s="355">
        <v>1.47E-2</v>
      </c>
      <c r="BB1030" s="624">
        <v>39695</v>
      </c>
      <c r="BC1030" s="355">
        <v>0.41970000000000002</v>
      </c>
      <c r="BD1030" s="624">
        <v>39696</v>
      </c>
      <c r="BE1030" s="355">
        <v>8.9950000000000002E-2</v>
      </c>
      <c r="BF1030" s="624">
        <v>39723</v>
      </c>
      <c r="BG1030" s="355">
        <v>2.1447999999999998E-2</v>
      </c>
      <c r="BH1030" s="624">
        <v>39695</v>
      </c>
      <c r="BI1030" s="355">
        <v>0.106958</v>
      </c>
      <c r="BJ1030" s="624">
        <v>39695</v>
      </c>
      <c r="BK1030" s="355">
        <v>2.9019E-2</v>
      </c>
    </row>
    <row r="1031" spans="3:63">
      <c r="C1031" s="624"/>
      <c r="D1031" s="355">
        <v>3.916E-2</v>
      </c>
      <c r="AV1031" s="624"/>
      <c r="AX1031" s="624">
        <v>39700</v>
      </c>
      <c r="AY1031" s="355">
        <v>3.909E-2</v>
      </c>
      <c r="AZ1031" s="624">
        <v>39765</v>
      </c>
      <c r="BA1031" s="355">
        <v>1.5100000000000001E-2</v>
      </c>
      <c r="BB1031" s="624">
        <v>39696</v>
      </c>
      <c r="BC1031" s="355">
        <v>0.41349999999999998</v>
      </c>
      <c r="BD1031" s="624">
        <v>39699</v>
      </c>
      <c r="BE1031" s="355">
        <v>9.2429999999999998E-2</v>
      </c>
      <c r="BF1031" s="624">
        <v>39724</v>
      </c>
      <c r="BG1031" s="355">
        <v>2.1248E-2</v>
      </c>
      <c r="BH1031" s="624">
        <v>39696</v>
      </c>
      <c r="BI1031" s="355">
        <v>0.106849</v>
      </c>
      <c r="BJ1031" s="624">
        <v>39696</v>
      </c>
      <c r="BK1031" s="355">
        <v>2.8836000000000001E-2</v>
      </c>
    </row>
    <row r="1032" spans="3:63">
      <c r="C1032" s="624"/>
      <c r="D1032" s="355">
        <v>3.909E-2</v>
      </c>
      <c r="AV1032" s="624"/>
      <c r="AX1032" s="624">
        <v>39701</v>
      </c>
      <c r="AY1032" s="355">
        <v>3.8850000000000003E-2</v>
      </c>
      <c r="AZ1032" s="624">
        <v>39766</v>
      </c>
      <c r="BA1032" s="355">
        <v>1.4800000000000001E-2</v>
      </c>
      <c r="BB1032" s="624">
        <v>39699</v>
      </c>
      <c r="BC1032" s="355">
        <v>0.40600000000000003</v>
      </c>
      <c r="BD1032" s="624">
        <v>39700</v>
      </c>
      <c r="BE1032" s="355">
        <v>9.0740000000000001E-2</v>
      </c>
      <c r="BF1032" s="624">
        <v>39727</v>
      </c>
      <c r="BG1032" s="355">
        <v>2.0927000000000001E-2</v>
      </c>
      <c r="BH1032" s="624">
        <v>39699</v>
      </c>
      <c r="BI1032" s="355">
        <v>0.107643</v>
      </c>
      <c r="BJ1032" s="624">
        <v>39699</v>
      </c>
      <c r="BK1032" s="355">
        <v>2.8944000000000001E-2</v>
      </c>
    </row>
    <row r="1033" spans="3:63">
      <c r="C1033" s="624"/>
      <c r="D1033" s="355">
        <v>3.8850000000000003E-2</v>
      </c>
      <c r="AV1033" s="624"/>
      <c r="AX1033" s="624">
        <v>39702</v>
      </c>
      <c r="AY1033" s="355">
        <v>3.884E-2</v>
      </c>
      <c r="AZ1033" s="624">
        <v>39769</v>
      </c>
      <c r="BA1033" s="355">
        <v>1.46E-2</v>
      </c>
      <c r="BB1033" s="624">
        <v>39700</v>
      </c>
      <c r="BC1033" s="355">
        <v>0.40760000000000002</v>
      </c>
      <c r="BD1033" s="624">
        <v>39701</v>
      </c>
      <c r="BE1033" s="355">
        <v>9.1429999999999997E-2</v>
      </c>
      <c r="BF1033" s="624">
        <v>39728</v>
      </c>
      <c r="BG1033" s="355">
        <v>2.0868000000000001E-2</v>
      </c>
      <c r="BH1033" s="624">
        <v>39700</v>
      </c>
      <c r="BI1033" s="355">
        <v>0.107141</v>
      </c>
      <c r="BJ1033" s="624">
        <v>39700</v>
      </c>
      <c r="BK1033" s="355">
        <v>2.8961000000000001E-2</v>
      </c>
    </row>
    <row r="1034" spans="3:63">
      <c r="C1034" s="624"/>
      <c r="D1034" s="355">
        <v>3.884E-2</v>
      </c>
      <c r="AV1034" s="624"/>
      <c r="AX1034" s="624">
        <v>39703</v>
      </c>
      <c r="AY1034" s="355">
        <v>3.916E-2</v>
      </c>
      <c r="AZ1034" s="624">
        <v>39770</v>
      </c>
      <c r="BA1034" s="355">
        <v>1.46E-2</v>
      </c>
      <c r="BB1034" s="624">
        <v>39701</v>
      </c>
      <c r="BC1034" s="355">
        <v>0.41320000000000001</v>
      </c>
      <c r="BD1034" s="624">
        <v>39702</v>
      </c>
      <c r="BE1034" s="355">
        <v>9.0139999999999998E-2</v>
      </c>
      <c r="BF1034" s="624">
        <v>39729</v>
      </c>
      <c r="BG1034" s="355">
        <v>2.0833000000000001E-2</v>
      </c>
      <c r="BH1034" s="624">
        <v>39701</v>
      </c>
      <c r="BI1034" s="355">
        <v>0.107084</v>
      </c>
      <c r="BJ1034" s="624">
        <v>39701</v>
      </c>
      <c r="BK1034" s="355">
        <v>2.8868000000000001E-2</v>
      </c>
    </row>
    <row r="1035" spans="3:63">
      <c r="C1035" s="624"/>
      <c r="D1035" s="355">
        <v>3.916E-2</v>
      </c>
      <c r="AV1035" s="624"/>
      <c r="AX1035" s="624">
        <v>39706</v>
      </c>
      <c r="AY1035" s="355">
        <v>3.9199999999999999E-2</v>
      </c>
      <c r="AZ1035" s="624">
        <v>39771</v>
      </c>
      <c r="BA1035" s="355">
        <v>1.4200000000000001E-2</v>
      </c>
      <c r="BB1035" s="624">
        <v>39702</v>
      </c>
      <c r="BC1035" s="355">
        <v>0.41360000000000002</v>
      </c>
      <c r="BD1035" s="624">
        <v>39703</v>
      </c>
      <c r="BE1035" s="355">
        <v>9.0149999999999994E-2</v>
      </c>
      <c r="BF1035" s="624">
        <v>39731</v>
      </c>
      <c r="BG1035" s="355">
        <v>2.0632999999999999E-2</v>
      </c>
      <c r="BH1035" s="624">
        <v>39702</v>
      </c>
      <c r="BI1035" s="355">
        <v>0.105988</v>
      </c>
      <c r="BJ1035" s="624">
        <v>39702</v>
      </c>
      <c r="BK1035" s="355">
        <v>2.8794E-2</v>
      </c>
    </row>
    <row r="1036" spans="3:63">
      <c r="C1036" s="624"/>
      <c r="D1036" s="355">
        <v>3.9199999999999999E-2</v>
      </c>
      <c r="AV1036" s="624"/>
      <c r="AX1036" s="624">
        <v>39707</v>
      </c>
      <c r="AY1036" s="355">
        <v>3.9039999999999998E-2</v>
      </c>
      <c r="AZ1036" s="624">
        <v>39772</v>
      </c>
      <c r="BA1036" s="355">
        <v>1.41E-2</v>
      </c>
      <c r="BB1036" s="624">
        <v>39703</v>
      </c>
      <c r="BC1036" s="355">
        <v>0.42709999999999998</v>
      </c>
      <c r="BD1036" s="624">
        <v>39706</v>
      </c>
      <c r="BE1036" s="355">
        <v>9.0219999999999995E-2</v>
      </c>
      <c r="BF1036" s="624">
        <v>39734</v>
      </c>
      <c r="BG1036" s="355">
        <v>2.0722000000000001E-2</v>
      </c>
      <c r="BH1036" s="624">
        <v>39703</v>
      </c>
      <c r="BI1036" s="355">
        <v>0.105848</v>
      </c>
      <c r="BJ1036" s="624">
        <v>39703</v>
      </c>
      <c r="BK1036" s="355">
        <v>2.8826999999999998E-2</v>
      </c>
    </row>
    <row r="1037" spans="3:63">
      <c r="C1037" s="624"/>
      <c r="D1037" s="355">
        <v>3.9039999999999998E-2</v>
      </c>
      <c r="AV1037" s="624"/>
      <c r="AX1037" s="624">
        <v>39708</v>
      </c>
      <c r="AY1037" s="355">
        <v>3.9309999999999998E-2</v>
      </c>
      <c r="AZ1037" s="624">
        <v>39773</v>
      </c>
      <c r="BA1037" s="355">
        <v>1.43E-2</v>
      </c>
      <c r="BB1037" s="624">
        <v>39706</v>
      </c>
      <c r="BC1037" s="355">
        <v>0.42380000000000001</v>
      </c>
      <c r="BD1037" s="624">
        <v>39707</v>
      </c>
      <c r="BE1037" s="355">
        <v>8.6860000000000007E-2</v>
      </c>
      <c r="BF1037" s="624">
        <v>39735</v>
      </c>
      <c r="BG1037" s="355">
        <v>2.0799000000000002E-2</v>
      </c>
      <c r="BH1037" s="624">
        <v>39706</v>
      </c>
      <c r="BI1037" s="355">
        <v>0.105694</v>
      </c>
      <c r="BJ1037" s="624">
        <v>39706</v>
      </c>
      <c r="BK1037" s="355">
        <v>2.8965000000000001E-2</v>
      </c>
    </row>
    <row r="1038" spans="3:63">
      <c r="C1038" s="624"/>
      <c r="D1038" s="355">
        <v>3.9309999999999998E-2</v>
      </c>
      <c r="AV1038" s="624"/>
      <c r="AX1038" s="624">
        <v>39709</v>
      </c>
      <c r="AY1038" s="355">
        <v>3.9350000000000003E-2</v>
      </c>
      <c r="AZ1038" s="624">
        <v>39776</v>
      </c>
      <c r="BA1038" s="355">
        <v>1.46E-2</v>
      </c>
      <c r="BB1038" s="624">
        <v>39707</v>
      </c>
      <c r="BC1038" s="355">
        <v>0.4244</v>
      </c>
      <c r="BD1038" s="624">
        <v>39708</v>
      </c>
      <c r="BE1038" s="355">
        <v>8.8870000000000005E-2</v>
      </c>
      <c r="BF1038" s="624">
        <v>39736</v>
      </c>
      <c r="BG1038" s="355">
        <v>2.061E-2</v>
      </c>
      <c r="BH1038" s="624">
        <v>39707</v>
      </c>
      <c r="BI1038" s="355">
        <v>0.105764</v>
      </c>
      <c r="BJ1038" s="624">
        <v>39707</v>
      </c>
      <c r="BK1038" s="355">
        <v>2.9194999999999999E-2</v>
      </c>
    </row>
    <row r="1039" spans="3:63">
      <c r="C1039" s="624"/>
      <c r="D1039" s="355">
        <v>3.9350000000000003E-2</v>
      </c>
      <c r="AV1039" s="624"/>
      <c r="AX1039" s="624">
        <v>39710</v>
      </c>
      <c r="AY1039" s="355">
        <v>3.9559999999999998E-2</v>
      </c>
      <c r="AZ1039" s="624">
        <v>39777</v>
      </c>
      <c r="BA1039" s="355">
        <v>1.47E-2</v>
      </c>
      <c r="BB1039" s="624">
        <v>39708</v>
      </c>
      <c r="BC1039" s="355">
        <v>0.42480000000000001</v>
      </c>
      <c r="BD1039" s="624">
        <v>39709</v>
      </c>
      <c r="BE1039" s="355">
        <v>8.6459999999999995E-2</v>
      </c>
      <c r="BF1039" s="624">
        <v>39737</v>
      </c>
      <c r="BG1039" s="355">
        <v>2.0480999999999999E-2</v>
      </c>
      <c r="BH1039" s="624">
        <v>39708</v>
      </c>
      <c r="BI1039" s="355">
        <v>0.10635500000000001</v>
      </c>
      <c r="BJ1039" s="624">
        <v>39708</v>
      </c>
      <c r="BK1039" s="355">
        <v>2.9190000000000001E-2</v>
      </c>
    </row>
    <row r="1040" spans="3:63">
      <c r="C1040" s="624"/>
      <c r="D1040" s="355">
        <v>3.9559999999999998E-2</v>
      </c>
      <c r="AV1040" s="624"/>
      <c r="AX1040" s="624">
        <v>39713</v>
      </c>
      <c r="AY1040" s="355">
        <v>3.9960000000000002E-2</v>
      </c>
      <c r="AZ1040" s="624">
        <v>39778</v>
      </c>
      <c r="BA1040" s="355">
        <v>1.46E-2</v>
      </c>
      <c r="BB1040" s="624">
        <v>39709</v>
      </c>
      <c r="BC1040" s="355">
        <v>0.43219999999999997</v>
      </c>
      <c r="BD1040" s="624">
        <v>39710</v>
      </c>
      <c r="BE1040" s="355">
        <v>8.7870000000000004E-2</v>
      </c>
      <c r="BF1040" s="624">
        <v>39738</v>
      </c>
      <c r="BG1040" s="355">
        <v>2.0455000000000001E-2</v>
      </c>
      <c r="BH1040" s="624">
        <v>39709</v>
      </c>
      <c r="BI1040" s="355">
        <v>0.10627</v>
      </c>
      <c r="BJ1040" s="624">
        <v>39709</v>
      </c>
      <c r="BK1040" s="355">
        <v>2.9288999999999999E-2</v>
      </c>
    </row>
    <row r="1041" spans="3:63">
      <c r="C1041" s="624"/>
      <c r="D1041" s="355">
        <v>3.9960000000000002E-2</v>
      </c>
      <c r="AV1041" s="624"/>
      <c r="AX1041" s="624">
        <v>39714</v>
      </c>
      <c r="AY1041" s="355">
        <v>3.9849999999999997E-2</v>
      </c>
      <c r="AZ1041" s="624">
        <v>39779</v>
      </c>
      <c r="BA1041" s="355">
        <v>1.4500000000000001E-2</v>
      </c>
      <c r="BB1041" s="624">
        <v>39710</v>
      </c>
      <c r="BC1041" s="355">
        <v>0.43959999999999999</v>
      </c>
      <c r="BD1041" s="624">
        <v>39713</v>
      </c>
      <c r="BE1041" s="355">
        <v>8.7660000000000002E-2</v>
      </c>
      <c r="BF1041" s="624">
        <v>39741</v>
      </c>
      <c r="BG1041" s="355">
        <v>2.0407000000000002E-2</v>
      </c>
      <c r="BH1041" s="624">
        <v>39710</v>
      </c>
      <c r="BI1041" s="355">
        <v>0.10674400000000001</v>
      </c>
      <c r="BJ1041" s="624">
        <v>39710</v>
      </c>
      <c r="BK1041" s="355">
        <v>2.9287000000000001E-2</v>
      </c>
    </row>
    <row r="1042" spans="3:63">
      <c r="C1042" s="624"/>
      <c r="D1042" s="355">
        <v>3.9849999999999997E-2</v>
      </c>
      <c r="AV1042" s="624"/>
      <c r="AX1042" s="624">
        <v>39715</v>
      </c>
      <c r="AY1042" s="355">
        <v>3.9949999999999999E-2</v>
      </c>
      <c r="AZ1042" s="624">
        <v>39780</v>
      </c>
      <c r="BA1042" s="355">
        <v>1.41E-2</v>
      </c>
      <c r="BB1042" s="624">
        <v>39713</v>
      </c>
      <c r="BC1042" s="355">
        <v>0.44690000000000002</v>
      </c>
      <c r="BD1042" s="624">
        <v>39714</v>
      </c>
      <c r="BE1042" s="355">
        <v>8.6989999999999998E-2</v>
      </c>
      <c r="BF1042" s="624">
        <v>39742</v>
      </c>
      <c r="BG1042" s="355">
        <v>2.0367E-2</v>
      </c>
      <c r="BH1042" s="624">
        <v>39713</v>
      </c>
      <c r="BI1042" s="355">
        <v>0.10743999999999999</v>
      </c>
      <c r="BJ1042" s="624">
        <v>39713</v>
      </c>
      <c r="BK1042" s="355">
        <v>2.9506999999999999E-2</v>
      </c>
    </row>
    <row r="1043" spans="3:63">
      <c r="C1043" s="624"/>
      <c r="D1043" s="355">
        <v>3.9949999999999999E-2</v>
      </c>
      <c r="AV1043" s="624"/>
      <c r="AX1043" s="624">
        <v>39716</v>
      </c>
      <c r="AY1043" s="355">
        <v>3.993E-2</v>
      </c>
      <c r="AZ1043" s="624">
        <v>39783</v>
      </c>
      <c r="BA1043" s="355">
        <v>1.4E-2</v>
      </c>
      <c r="BB1043" s="624">
        <v>39714</v>
      </c>
      <c r="BC1043" s="355">
        <v>0.4425</v>
      </c>
      <c r="BD1043" s="624">
        <v>39715</v>
      </c>
      <c r="BE1043" s="355">
        <v>8.6599999999999996E-2</v>
      </c>
      <c r="BF1043" s="624">
        <v>39743</v>
      </c>
      <c r="BG1043" s="355">
        <v>2.0271999999999998E-2</v>
      </c>
      <c r="BH1043" s="624">
        <v>39714</v>
      </c>
      <c r="BI1043" s="355">
        <v>0.107267</v>
      </c>
      <c r="BJ1043" s="624">
        <v>39714</v>
      </c>
      <c r="BK1043" s="355">
        <v>2.9599E-2</v>
      </c>
    </row>
    <row r="1044" spans="3:63">
      <c r="C1044" s="624"/>
      <c r="D1044" s="355">
        <v>3.993E-2</v>
      </c>
      <c r="AV1044" s="624"/>
      <c r="AX1044" s="624">
        <v>39717</v>
      </c>
      <c r="AY1044" s="355">
        <v>3.9940000000000003E-2</v>
      </c>
      <c r="AZ1044" s="624">
        <v>39784</v>
      </c>
      <c r="BA1044" s="355">
        <v>1.4E-2</v>
      </c>
      <c r="BB1044" s="624">
        <v>39715</v>
      </c>
      <c r="BC1044" s="355">
        <v>0.43830000000000002</v>
      </c>
      <c r="BD1044" s="624">
        <v>39716</v>
      </c>
      <c r="BE1044" s="355">
        <v>8.6239999999999997E-2</v>
      </c>
      <c r="BF1044" s="624">
        <v>39744</v>
      </c>
      <c r="BG1044" s="355">
        <v>2.0072E-2</v>
      </c>
      <c r="BH1044" s="624">
        <v>39715</v>
      </c>
      <c r="BI1044" s="355">
        <v>0.107003</v>
      </c>
      <c r="BJ1044" s="624">
        <v>39715</v>
      </c>
      <c r="BK1044" s="355">
        <v>2.9437999999999999E-2</v>
      </c>
    </row>
    <row r="1045" spans="3:63">
      <c r="C1045" s="624"/>
      <c r="D1045" s="355">
        <v>3.9940000000000003E-2</v>
      </c>
      <c r="AV1045" s="624"/>
      <c r="AX1045" s="624">
        <v>39720</v>
      </c>
      <c r="AY1045" s="355">
        <v>3.9510000000000003E-2</v>
      </c>
      <c r="AZ1045" s="624">
        <v>39785</v>
      </c>
      <c r="BA1045" s="355">
        <v>1.3899999999999999E-2</v>
      </c>
      <c r="BB1045" s="624">
        <v>39716</v>
      </c>
      <c r="BC1045" s="355">
        <v>0.43790000000000001</v>
      </c>
      <c r="BD1045" s="624">
        <v>39717</v>
      </c>
      <c r="BE1045" s="355">
        <v>8.5849999999999996E-2</v>
      </c>
      <c r="BF1045" s="624">
        <v>39745</v>
      </c>
      <c r="BG1045" s="355">
        <v>2.0008000000000001E-2</v>
      </c>
      <c r="BH1045" s="624">
        <v>39716</v>
      </c>
      <c r="BI1045" s="355">
        <v>0.106652</v>
      </c>
      <c r="BJ1045" s="624">
        <v>39716</v>
      </c>
      <c r="BK1045" s="355">
        <v>2.9464000000000001E-2</v>
      </c>
    </row>
    <row r="1046" spans="3:63">
      <c r="C1046" s="624"/>
      <c r="D1046" s="355">
        <v>3.9510000000000003E-2</v>
      </c>
      <c r="AV1046" s="624"/>
      <c r="AX1046" s="624">
        <v>39721</v>
      </c>
      <c r="AY1046" s="355">
        <v>3.8989999999999997E-2</v>
      </c>
      <c r="AZ1046" s="624">
        <v>39786</v>
      </c>
      <c r="BA1046" s="355">
        <v>1.4500000000000001E-2</v>
      </c>
      <c r="BB1046" s="624">
        <v>39717</v>
      </c>
      <c r="BC1046" s="355">
        <v>0.43469999999999998</v>
      </c>
      <c r="BD1046" s="624">
        <v>39720</v>
      </c>
      <c r="BE1046" s="355">
        <v>8.4190000000000001E-2</v>
      </c>
      <c r="BF1046" s="624">
        <v>39748</v>
      </c>
      <c r="BG1046" s="355">
        <v>2.0059E-2</v>
      </c>
      <c r="BH1046" s="624">
        <v>39717</v>
      </c>
      <c r="BI1046" s="355">
        <v>0.106581</v>
      </c>
      <c r="BJ1046" s="624">
        <v>39717</v>
      </c>
      <c r="BK1046" s="355">
        <v>2.9499000000000001E-2</v>
      </c>
    </row>
    <row r="1047" spans="3:63">
      <c r="C1047" s="624"/>
      <c r="D1047" s="355">
        <v>3.8989999999999997E-2</v>
      </c>
      <c r="AV1047" s="624"/>
      <c r="AX1047" s="624">
        <v>39722</v>
      </c>
      <c r="AY1047" s="355">
        <v>3.8859999999999999E-2</v>
      </c>
      <c r="AZ1047" s="624">
        <v>39787</v>
      </c>
      <c r="BA1047" s="355">
        <v>1.47E-2</v>
      </c>
      <c r="BB1047" s="624">
        <v>39720</v>
      </c>
      <c r="BC1047" s="355">
        <v>0.42480000000000001</v>
      </c>
      <c r="BD1047" s="624">
        <v>39721</v>
      </c>
      <c r="BE1047" s="355">
        <v>8.43E-2</v>
      </c>
      <c r="BF1047" s="624">
        <v>39749</v>
      </c>
      <c r="BG1047" s="355">
        <v>2.0039999999999999E-2</v>
      </c>
      <c r="BH1047" s="624">
        <v>39720</v>
      </c>
      <c r="BI1047" s="355">
        <v>0.105809</v>
      </c>
      <c r="BJ1047" s="624">
        <v>39720</v>
      </c>
      <c r="BK1047" s="355">
        <v>2.9395000000000001E-2</v>
      </c>
    </row>
    <row r="1048" spans="3:63">
      <c r="C1048" s="624"/>
      <c r="D1048" s="355">
        <v>3.8859999999999999E-2</v>
      </c>
      <c r="AV1048" s="624"/>
      <c r="AX1048" s="624">
        <v>39723</v>
      </c>
      <c r="AY1048" s="355">
        <v>3.857E-2</v>
      </c>
      <c r="AZ1048" s="624">
        <v>39790</v>
      </c>
      <c r="BA1048" s="355">
        <v>1.54E-2</v>
      </c>
      <c r="BB1048" s="624">
        <v>39721</v>
      </c>
      <c r="BC1048" s="355">
        <v>0.41499999999999998</v>
      </c>
      <c r="BD1048" s="624">
        <v>39722</v>
      </c>
      <c r="BE1048" s="355">
        <v>8.4099999999999994E-2</v>
      </c>
      <c r="BF1048" s="624">
        <v>39750</v>
      </c>
      <c r="BG1048" s="355">
        <v>2.0122999999999999E-2</v>
      </c>
      <c r="BH1048" s="624">
        <v>39721</v>
      </c>
      <c r="BI1048" s="355">
        <v>0.105253</v>
      </c>
      <c r="BJ1048" s="624">
        <v>39721</v>
      </c>
      <c r="BK1048" s="355">
        <v>2.9536E-2</v>
      </c>
    </row>
    <row r="1049" spans="3:63">
      <c r="C1049" s="624"/>
      <c r="D1049" s="355">
        <v>3.857E-2</v>
      </c>
      <c r="AV1049" s="624"/>
      <c r="AX1049" s="624">
        <v>39724</v>
      </c>
      <c r="AY1049" s="355">
        <v>3.85E-2</v>
      </c>
      <c r="AZ1049" s="624">
        <v>39791</v>
      </c>
      <c r="BA1049" s="355">
        <v>1.5299999999999999E-2</v>
      </c>
      <c r="BB1049" s="624">
        <v>39722</v>
      </c>
      <c r="BC1049" s="355">
        <v>0.41220000000000001</v>
      </c>
      <c r="BD1049" s="624">
        <v>39723</v>
      </c>
      <c r="BE1049" s="355">
        <v>8.1769999999999995E-2</v>
      </c>
      <c r="BF1049" s="624">
        <v>39751</v>
      </c>
      <c r="BG1049" s="355">
        <v>2.0240999999999999E-2</v>
      </c>
      <c r="BH1049" s="624">
        <v>39723</v>
      </c>
      <c r="BI1049" s="355">
        <v>0.106101</v>
      </c>
      <c r="BJ1049" s="624">
        <v>39722</v>
      </c>
      <c r="BK1049" s="355">
        <v>2.9420000000000002E-2</v>
      </c>
    </row>
    <row r="1050" spans="3:63">
      <c r="C1050" s="624"/>
      <c r="D1050" s="355">
        <v>3.85E-2</v>
      </c>
      <c r="AV1050" s="624"/>
      <c r="AX1050" s="624">
        <v>39727</v>
      </c>
      <c r="AY1050" s="355">
        <v>3.807E-2</v>
      </c>
      <c r="AZ1050" s="624">
        <v>39792</v>
      </c>
      <c r="BA1050" s="355">
        <v>1.54E-2</v>
      </c>
      <c r="BB1050" s="624">
        <v>39723</v>
      </c>
      <c r="BC1050" s="355">
        <v>0.40289999999999998</v>
      </c>
      <c r="BD1050" s="624">
        <v>39724</v>
      </c>
      <c r="BE1050" s="355">
        <v>8.1720000000000001E-2</v>
      </c>
      <c r="BF1050" s="624">
        <v>39752</v>
      </c>
      <c r="BG1050" s="355">
        <v>2.0222E-2</v>
      </c>
      <c r="BH1050" s="624">
        <v>39724</v>
      </c>
      <c r="BI1050" s="355">
        <v>0.106101</v>
      </c>
      <c r="BJ1050" s="624">
        <v>39723</v>
      </c>
      <c r="BK1050" s="355">
        <v>2.9333999999999999E-2</v>
      </c>
    </row>
    <row r="1051" spans="3:63">
      <c r="C1051" s="624"/>
      <c r="D1051" s="355">
        <v>3.807E-2</v>
      </c>
      <c r="AV1051" s="624"/>
      <c r="AX1051" s="624">
        <v>39728</v>
      </c>
      <c r="AY1051" s="355">
        <v>3.8210000000000001E-2</v>
      </c>
      <c r="AZ1051" s="624">
        <v>39793</v>
      </c>
      <c r="BA1051" s="355">
        <v>1.54E-2</v>
      </c>
      <c r="BB1051" s="624">
        <v>39724</v>
      </c>
      <c r="BC1051" s="355">
        <v>0.40479999999999999</v>
      </c>
      <c r="BD1051" s="624">
        <v>39727</v>
      </c>
      <c r="BE1051" s="355">
        <v>7.911E-2</v>
      </c>
      <c r="BF1051" s="624">
        <v>39755</v>
      </c>
      <c r="BG1051" s="355">
        <v>2.0555E-2</v>
      </c>
      <c r="BH1051" s="624">
        <v>39727</v>
      </c>
      <c r="BI1051" s="355">
        <v>0.104186</v>
      </c>
      <c r="BJ1051" s="624">
        <v>39724</v>
      </c>
      <c r="BK1051" s="355">
        <v>2.9288999999999999E-2</v>
      </c>
    </row>
    <row r="1052" spans="3:63">
      <c r="C1052" s="624"/>
      <c r="D1052" s="355">
        <v>3.8210000000000001E-2</v>
      </c>
      <c r="AV1052" s="624"/>
      <c r="AX1052" s="624">
        <v>39729</v>
      </c>
      <c r="AY1052" s="355">
        <v>3.8300000000000001E-2</v>
      </c>
      <c r="AZ1052" s="624">
        <v>39794</v>
      </c>
      <c r="BA1052" s="355">
        <v>1.52E-2</v>
      </c>
      <c r="BB1052" s="624">
        <v>39727</v>
      </c>
      <c r="BC1052" s="355">
        <v>0.3911</v>
      </c>
      <c r="BD1052" s="624">
        <v>39728</v>
      </c>
      <c r="BE1052" s="355">
        <v>7.5039999999999996E-2</v>
      </c>
      <c r="BF1052" s="624">
        <v>39756</v>
      </c>
      <c r="BG1052" s="355">
        <v>2.0971E-2</v>
      </c>
      <c r="BH1052" s="624">
        <v>39728</v>
      </c>
      <c r="BI1052" s="355">
        <v>0.104562</v>
      </c>
      <c r="BJ1052" s="624">
        <v>39727</v>
      </c>
      <c r="BK1052" s="355">
        <v>2.9045000000000001E-2</v>
      </c>
    </row>
    <row r="1053" spans="3:63">
      <c r="C1053" s="624"/>
      <c r="D1053" s="355">
        <v>3.8300000000000001E-2</v>
      </c>
      <c r="AV1053" s="624"/>
      <c r="AX1053" s="624">
        <v>39730</v>
      </c>
      <c r="AY1053" s="355">
        <v>3.8249999999999999E-2</v>
      </c>
      <c r="AZ1053" s="624">
        <v>39797</v>
      </c>
      <c r="BA1053" s="355">
        <v>1.5800000000000002E-2</v>
      </c>
      <c r="BB1053" s="624">
        <v>39728</v>
      </c>
      <c r="BC1053" s="355">
        <v>0.39550000000000002</v>
      </c>
      <c r="BD1053" s="624">
        <v>39729</v>
      </c>
      <c r="BE1053" s="355">
        <v>7.1749999999999994E-2</v>
      </c>
      <c r="BF1053" s="624">
        <v>39757</v>
      </c>
      <c r="BG1053" s="355">
        <v>2.1075E-2</v>
      </c>
      <c r="BH1053" s="624">
        <v>39729</v>
      </c>
      <c r="BI1053" s="355">
        <v>0.10427500000000001</v>
      </c>
      <c r="BJ1053" s="624">
        <v>39728</v>
      </c>
      <c r="BK1053" s="355">
        <v>2.9019E-2</v>
      </c>
    </row>
    <row r="1054" spans="3:63">
      <c r="C1054" s="624"/>
      <c r="D1054" s="355">
        <v>3.8249999999999999E-2</v>
      </c>
      <c r="AV1054" s="624"/>
      <c r="AX1054" s="624">
        <v>39731</v>
      </c>
      <c r="AY1054" s="355">
        <v>3.8150000000000003E-2</v>
      </c>
      <c r="AZ1054" s="624">
        <v>39798</v>
      </c>
      <c r="BA1054" s="355">
        <v>1.6299999999999999E-2</v>
      </c>
      <c r="BB1054" s="624">
        <v>39729</v>
      </c>
      <c r="BC1054" s="355">
        <v>0.39489999999999997</v>
      </c>
      <c r="BD1054" s="624">
        <v>39730</v>
      </c>
      <c r="BE1054" s="355">
        <v>7.2510000000000005E-2</v>
      </c>
      <c r="BF1054" s="624">
        <v>39758</v>
      </c>
      <c r="BG1054" s="355">
        <v>2.0948999999999999E-2</v>
      </c>
      <c r="BH1054" s="624">
        <v>39730</v>
      </c>
      <c r="BI1054" s="355">
        <v>0.103951</v>
      </c>
      <c r="BJ1054" s="624">
        <v>39729</v>
      </c>
      <c r="BK1054" s="355">
        <v>2.9121000000000001E-2</v>
      </c>
    </row>
    <row r="1055" spans="3:63">
      <c r="C1055" s="624"/>
      <c r="D1055" s="355">
        <v>3.8150000000000003E-2</v>
      </c>
      <c r="AV1055" s="624"/>
      <c r="AX1055" s="624">
        <v>39734</v>
      </c>
      <c r="AY1055" s="355">
        <v>3.8179999999999999E-2</v>
      </c>
      <c r="AZ1055" s="624">
        <v>39799</v>
      </c>
      <c r="BA1055" s="355">
        <v>1.6799999999999999E-2</v>
      </c>
      <c r="BB1055" s="624">
        <v>39730</v>
      </c>
      <c r="BC1055" s="355">
        <v>0.37940000000000002</v>
      </c>
      <c r="BD1055" s="624">
        <v>39731</v>
      </c>
      <c r="BE1055" s="355">
        <v>7.6520000000000005E-2</v>
      </c>
      <c r="BF1055" s="624">
        <v>39759</v>
      </c>
      <c r="BG1055" s="355">
        <v>2.0924999999999999E-2</v>
      </c>
      <c r="BH1055" s="624">
        <v>39731</v>
      </c>
      <c r="BI1055" s="355">
        <v>0.101369</v>
      </c>
      <c r="BJ1055" s="624">
        <v>39730</v>
      </c>
      <c r="BK1055" s="355">
        <v>2.9111999999999999E-2</v>
      </c>
    </row>
    <row r="1056" spans="3:63">
      <c r="C1056" s="624"/>
      <c r="D1056" s="355">
        <v>3.8179999999999999E-2</v>
      </c>
      <c r="AV1056" s="624"/>
      <c r="AX1056" s="624">
        <v>39735</v>
      </c>
      <c r="AY1056" s="355">
        <v>3.8260000000000002E-2</v>
      </c>
      <c r="AZ1056" s="624">
        <v>39800</v>
      </c>
      <c r="BA1056" s="355">
        <v>1.6500000000000001E-2</v>
      </c>
      <c r="BB1056" s="624">
        <v>39731</v>
      </c>
      <c r="BC1056" s="355">
        <v>0.37469999999999998</v>
      </c>
      <c r="BD1056" s="624">
        <v>39734</v>
      </c>
      <c r="BE1056" s="355">
        <v>8.2170000000000007E-2</v>
      </c>
      <c r="BF1056" s="624">
        <v>39762</v>
      </c>
      <c r="BG1056" s="355">
        <v>2.111E-2</v>
      </c>
      <c r="BH1056" s="624">
        <v>39734</v>
      </c>
      <c r="BI1056" s="355">
        <v>0.10308199999999999</v>
      </c>
      <c r="BJ1056" s="624">
        <v>39731</v>
      </c>
      <c r="BK1056" s="355">
        <v>2.9121000000000001E-2</v>
      </c>
    </row>
    <row r="1057" spans="3:63">
      <c r="C1057" s="624"/>
      <c r="D1057" s="355">
        <v>3.8260000000000002E-2</v>
      </c>
      <c r="AV1057" s="624"/>
      <c r="AX1057" s="624">
        <v>39736</v>
      </c>
      <c r="AY1057" s="355">
        <v>3.8089999999999999E-2</v>
      </c>
      <c r="AZ1057" s="624">
        <v>39801</v>
      </c>
      <c r="BA1057" s="355">
        <v>1.6199999999999999E-2</v>
      </c>
      <c r="BB1057" s="624">
        <v>39734</v>
      </c>
      <c r="BC1057" s="355">
        <v>0.38419999999999999</v>
      </c>
      <c r="BD1057" s="624">
        <v>39735</v>
      </c>
      <c r="BE1057" s="355">
        <v>8.3909999999999998E-2</v>
      </c>
      <c r="BF1057" s="624">
        <v>39763</v>
      </c>
      <c r="BG1057" s="355">
        <v>2.0777E-2</v>
      </c>
      <c r="BH1057" s="624">
        <v>39735</v>
      </c>
      <c r="BI1057" s="355">
        <v>0.102093</v>
      </c>
      <c r="BJ1057" s="624">
        <v>39734</v>
      </c>
      <c r="BK1057" s="355">
        <v>2.9205999999999999E-2</v>
      </c>
    </row>
    <row r="1058" spans="3:63">
      <c r="C1058" s="624"/>
      <c r="D1058" s="355">
        <v>3.8089999999999999E-2</v>
      </c>
      <c r="AV1058" s="624"/>
      <c r="AX1058" s="624">
        <v>39737</v>
      </c>
      <c r="AY1058" s="355">
        <v>3.8019999999999998E-2</v>
      </c>
      <c r="AZ1058" s="624">
        <v>39804</v>
      </c>
      <c r="BA1058" s="355">
        <v>1.6299999999999999E-2</v>
      </c>
      <c r="BB1058" s="624">
        <v>39735</v>
      </c>
      <c r="BC1058" s="355">
        <v>0.39200000000000002</v>
      </c>
      <c r="BD1058" s="624">
        <v>39736</v>
      </c>
      <c r="BE1058" s="355">
        <v>8.0549999999999997E-2</v>
      </c>
      <c r="BF1058" s="624">
        <v>39764</v>
      </c>
      <c r="BG1058" s="355">
        <v>2.0298E-2</v>
      </c>
      <c r="BH1058" s="624">
        <v>39736</v>
      </c>
      <c r="BI1058" s="355">
        <v>0.102197</v>
      </c>
      <c r="BJ1058" s="624">
        <v>39735</v>
      </c>
      <c r="BK1058" s="355">
        <v>2.9368999999999999E-2</v>
      </c>
    </row>
    <row r="1059" spans="3:63">
      <c r="C1059" s="624"/>
      <c r="D1059" s="355">
        <v>3.8019999999999998E-2</v>
      </c>
      <c r="AV1059" s="624"/>
      <c r="AX1059" s="624">
        <v>39738</v>
      </c>
      <c r="AY1059" s="355">
        <v>3.7940000000000002E-2</v>
      </c>
      <c r="AZ1059" s="624">
        <v>39805</v>
      </c>
      <c r="BA1059" s="355">
        <v>1.5900000000000001E-2</v>
      </c>
      <c r="BB1059" s="624">
        <v>39736</v>
      </c>
      <c r="BC1059" s="355">
        <v>0.37380000000000002</v>
      </c>
      <c r="BD1059" s="624">
        <v>39737</v>
      </c>
      <c r="BE1059" s="355">
        <v>7.4359999999999996E-2</v>
      </c>
      <c r="BF1059" s="624">
        <v>39766</v>
      </c>
      <c r="BG1059" s="355">
        <v>2.0417000000000001E-2</v>
      </c>
      <c r="BH1059" s="624">
        <v>39737</v>
      </c>
      <c r="BI1059" s="355">
        <v>0.100921</v>
      </c>
      <c r="BJ1059" s="624">
        <v>39736</v>
      </c>
      <c r="BK1059" s="355">
        <v>2.9256999999999998E-2</v>
      </c>
    </row>
    <row r="1060" spans="3:63">
      <c r="C1060" s="624"/>
      <c r="D1060" s="355">
        <v>3.7940000000000002E-2</v>
      </c>
      <c r="AV1060" s="624"/>
      <c r="AX1060" s="624">
        <v>39741</v>
      </c>
      <c r="AY1060" s="355">
        <v>3.7929999999999998E-2</v>
      </c>
      <c r="AZ1060" s="624">
        <v>39806</v>
      </c>
      <c r="BA1060" s="355">
        <v>1.6E-2</v>
      </c>
      <c r="BB1060" s="624">
        <v>39737</v>
      </c>
      <c r="BC1060" s="355">
        <v>0.37790000000000001</v>
      </c>
      <c r="BD1060" s="624">
        <v>39738</v>
      </c>
      <c r="BE1060" s="355">
        <v>7.7579999999999996E-2</v>
      </c>
      <c r="BF1060" s="624">
        <v>39769</v>
      </c>
      <c r="BG1060" s="355">
        <v>2.0258999999999999E-2</v>
      </c>
      <c r="BH1060" s="624">
        <v>39738</v>
      </c>
      <c r="BI1060" s="355">
        <v>0.102093</v>
      </c>
      <c r="BJ1060" s="624">
        <v>39737</v>
      </c>
      <c r="BK1060" s="355">
        <v>2.9184999999999999E-2</v>
      </c>
    </row>
    <row r="1061" spans="3:63">
      <c r="C1061" s="624"/>
      <c r="D1061" s="355">
        <v>3.7929999999999998E-2</v>
      </c>
      <c r="AV1061" s="624"/>
      <c r="AX1061" s="624">
        <v>39742</v>
      </c>
      <c r="AY1061" s="355">
        <v>3.7440000000000001E-2</v>
      </c>
      <c r="AZ1061" s="624">
        <v>39807</v>
      </c>
      <c r="BA1061" s="355">
        <v>1.5800000000000002E-2</v>
      </c>
      <c r="BB1061" s="624">
        <v>39738</v>
      </c>
      <c r="BC1061" s="355">
        <v>0.37719999999999998</v>
      </c>
      <c r="BD1061" s="624">
        <v>39741</v>
      </c>
      <c r="BE1061" s="355">
        <v>7.6310000000000003E-2</v>
      </c>
      <c r="BF1061" s="624">
        <v>39770</v>
      </c>
      <c r="BG1061" s="355">
        <v>2.0133000000000002E-2</v>
      </c>
      <c r="BH1061" s="624">
        <v>39741</v>
      </c>
      <c r="BI1061" s="355">
        <v>0.10183300000000001</v>
      </c>
      <c r="BJ1061" s="624">
        <v>39738</v>
      </c>
      <c r="BK1061" s="355">
        <v>2.9231E-2</v>
      </c>
    </row>
    <row r="1062" spans="3:63">
      <c r="C1062" s="624"/>
      <c r="D1062" s="355">
        <v>3.7440000000000001E-2</v>
      </c>
      <c r="AV1062" s="624"/>
      <c r="AX1062" s="624">
        <v>39743</v>
      </c>
      <c r="AY1062" s="355">
        <v>3.7130000000000003E-2</v>
      </c>
      <c r="AZ1062" s="624">
        <v>39808</v>
      </c>
      <c r="BA1062" s="355">
        <v>1.6E-2</v>
      </c>
      <c r="BB1062" s="624">
        <v>39741</v>
      </c>
      <c r="BC1062" s="355">
        <v>0.37290000000000001</v>
      </c>
      <c r="BD1062" s="624">
        <v>39742</v>
      </c>
      <c r="BE1062" s="355">
        <v>7.3270000000000002E-2</v>
      </c>
      <c r="BF1062" s="624">
        <v>39771</v>
      </c>
      <c r="BG1062" s="355">
        <v>1.9996E-2</v>
      </c>
      <c r="BH1062" s="624">
        <v>39742</v>
      </c>
      <c r="BI1062" s="355">
        <v>9.9651000000000003E-2</v>
      </c>
      <c r="BJ1062" s="624">
        <v>39741</v>
      </c>
      <c r="BK1062" s="355">
        <v>2.9163000000000001E-2</v>
      </c>
    </row>
    <row r="1063" spans="3:63">
      <c r="C1063" s="624"/>
      <c r="D1063" s="355">
        <v>3.7130000000000003E-2</v>
      </c>
      <c r="AV1063" s="624"/>
      <c r="AX1063" s="624">
        <v>39744</v>
      </c>
      <c r="AY1063" s="355">
        <v>3.7240000000000002E-2</v>
      </c>
      <c r="AZ1063" s="624">
        <v>39811</v>
      </c>
      <c r="BA1063" s="355">
        <v>1.5599999999999999E-2</v>
      </c>
      <c r="BB1063" s="624">
        <v>39742</v>
      </c>
      <c r="BC1063" s="355">
        <v>0.35449999999999998</v>
      </c>
      <c r="BD1063" s="624">
        <v>39743</v>
      </c>
      <c r="BE1063" s="355">
        <v>6.9400000000000003E-2</v>
      </c>
      <c r="BF1063" s="624">
        <v>39772</v>
      </c>
      <c r="BG1063" s="355">
        <v>1.992E-2</v>
      </c>
      <c r="BH1063" s="624">
        <v>39743</v>
      </c>
      <c r="BI1063" s="355">
        <v>9.9709000000000006E-2</v>
      </c>
      <c r="BJ1063" s="624">
        <v>39742</v>
      </c>
      <c r="BK1063" s="355">
        <v>2.9096E-2</v>
      </c>
    </row>
    <row r="1064" spans="3:63">
      <c r="C1064" s="624"/>
      <c r="D1064" s="355">
        <v>3.7240000000000002E-2</v>
      </c>
      <c r="AV1064" s="624"/>
      <c r="AX1064" s="624">
        <v>39745</v>
      </c>
      <c r="AY1064" s="355">
        <v>3.6769999999999997E-2</v>
      </c>
      <c r="AZ1064" s="624">
        <v>39812</v>
      </c>
      <c r="BA1064" s="355">
        <v>1.5699999999999999E-2</v>
      </c>
      <c r="BB1064" s="624">
        <v>39743</v>
      </c>
      <c r="BC1064" s="355">
        <v>0.33800000000000002</v>
      </c>
      <c r="BD1064" s="624">
        <v>39744</v>
      </c>
      <c r="BE1064" s="355">
        <v>7.1249999999999994E-2</v>
      </c>
      <c r="BF1064" s="624">
        <v>39773</v>
      </c>
      <c r="BG1064" s="355">
        <v>1.9976000000000001E-2</v>
      </c>
      <c r="BH1064" s="624">
        <v>39744</v>
      </c>
      <c r="BI1064" s="355">
        <v>9.98E-2</v>
      </c>
      <c r="BJ1064" s="624">
        <v>39743</v>
      </c>
      <c r="BK1064" s="355">
        <v>2.9010999999999999E-2</v>
      </c>
    </row>
    <row r="1065" spans="3:63">
      <c r="C1065" s="624"/>
      <c r="D1065" s="355">
        <v>3.6769999999999997E-2</v>
      </c>
      <c r="AV1065" s="624"/>
      <c r="AX1065" s="624">
        <v>39748</v>
      </c>
      <c r="AY1065" s="355">
        <v>3.6580000000000001E-2</v>
      </c>
      <c r="AZ1065" s="624">
        <v>39813</v>
      </c>
      <c r="BA1065" s="355">
        <v>1.5599999999999999E-2</v>
      </c>
      <c r="BB1065" s="624">
        <v>39744</v>
      </c>
      <c r="BC1065" s="355">
        <v>0.33300000000000002</v>
      </c>
      <c r="BD1065" s="624">
        <v>39745</v>
      </c>
      <c r="BE1065" s="355">
        <v>7.0650000000000004E-2</v>
      </c>
      <c r="BF1065" s="624">
        <v>39776</v>
      </c>
      <c r="BG1065" s="355">
        <v>2.001E-2</v>
      </c>
      <c r="BH1065" s="624">
        <v>39745</v>
      </c>
      <c r="BI1065" s="355">
        <v>9.8525000000000001E-2</v>
      </c>
      <c r="BJ1065" s="624">
        <v>39744</v>
      </c>
      <c r="BK1065" s="355">
        <v>2.8955000000000002E-2</v>
      </c>
    </row>
    <row r="1066" spans="3:63">
      <c r="C1066" s="624"/>
      <c r="D1066" s="355">
        <v>3.6580000000000001E-2</v>
      </c>
      <c r="AV1066" s="624"/>
      <c r="AX1066" s="624">
        <v>39749</v>
      </c>
      <c r="AY1066" s="355">
        <v>3.6850000000000001E-2</v>
      </c>
      <c r="AZ1066" s="624">
        <v>39814</v>
      </c>
      <c r="BA1066" s="355">
        <v>1.5599999999999999E-2</v>
      </c>
      <c r="BB1066" s="624">
        <v>39745</v>
      </c>
      <c r="BC1066" s="355">
        <v>0.33110000000000001</v>
      </c>
      <c r="BD1066" s="624">
        <v>39748</v>
      </c>
      <c r="BE1066" s="355">
        <v>6.7949999999999997E-2</v>
      </c>
      <c r="BF1066" s="624">
        <v>39777</v>
      </c>
      <c r="BG1066" s="355">
        <v>2.0028000000000001E-2</v>
      </c>
      <c r="BH1066" s="624">
        <v>39748</v>
      </c>
      <c r="BI1066" s="355">
        <v>9.0763999999999997E-2</v>
      </c>
      <c r="BJ1066" s="624">
        <v>39745</v>
      </c>
      <c r="BK1066" s="355">
        <v>2.8919E-2</v>
      </c>
    </row>
    <row r="1067" spans="3:63">
      <c r="C1067" s="624"/>
      <c r="D1067" s="355">
        <v>3.6850000000000001E-2</v>
      </c>
      <c r="AV1067" s="624"/>
      <c r="AX1067" s="624">
        <v>39750</v>
      </c>
      <c r="AY1067" s="355">
        <v>3.7269999999999998E-2</v>
      </c>
      <c r="AZ1067" s="624">
        <v>39815</v>
      </c>
      <c r="BA1067" s="355">
        <v>1.55E-2</v>
      </c>
      <c r="BB1067" s="624">
        <v>39748</v>
      </c>
      <c r="BC1067" s="355">
        <v>0.3241</v>
      </c>
      <c r="BD1067" s="624">
        <v>39749</v>
      </c>
      <c r="BE1067" s="355">
        <v>7.2120000000000004E-2</v>
      </c>
      <c r="BF1067" s="624">
        <v>39778</v>
      </c>
      <c r="BG1067" s="355">
        <v>2.0208E-2</v>
      </c>
      <c r="BH1067" s="624">
        <v>39749</v>
      </c>
      <c r="BI1067" s="355">
        <v>9.2601000000000003E-2</v>
      </c>
      <c r="BJ1067" s="624">
        <v>39748</v>
      </c>
      <c r="BK1067" s="355">
        <v>2.8753000000000001E-2</v>
      </c>
    </row>
    <row r="1068" spans="3:63">
      <c r="C1068" s="624"/>
      <c r="D1068" s="355">
        <v>3.7269999999999998E-2</v>
      </c>
      <c r="AV1068" s="624"/>
      <c r="AX1068" s="624">
        <v>39751</v>
      </c>
      <c r="AY1068" s="355">
        <v>3.7269999999999998E-2</v>
      </c>
      <c r="AZ1068" s="624">
        <v>39818</v>
      </c>
      <c r="BA1068" s="355">
        <v>1.52E-2</v>
      </c>
      <c r="BB1068" s="624">
        <v>39749</v>
      </c>
      <c r="BC1068" s="355">
        <v>0.34549999999999997</v>
      </c>
      <c r="BD1068" s="624">
        <v>39750</v>
      </c>
      <c r="BE1068" s="355">
        <v>7.1120000000000003E-2</v>
      </c>
      <c r="BF1068" s="624">
        <v>39779</v>
      </c>
      <c r="BG1068" s="355">
        <v>2.0195999999999999E-2</v>
      </c>
      <c r="BH1068" s="624">
        <v>39750</v>
      </c>
      <c r="BI1068" s="355">
        <v>9.1534000000000004E-2</v>
      </c>
      <c r="BJ1068" s="624">
        <v>39749</v>
      </c>
      <c r="BK1068" s="355">
        <v>2.8653999999999999E-2</v>
      </c>
    </row>
    <row r="1069" spans="3:63">
      <c r="C1069" s="624"/>
      <c r="D1069" s="355">
        <v>3.7269999999999998E-2</v>
      </c>
      <c r="AV1069" s="624"/>
      <c r="AX1069" s="624">
        <v>39752</v>
      </c>
      <c r="AY1069" s="355">
        <v>3.6949999999999997E-2</v>
      </c>
      <c r="AZ1069" s="624">
        <v>39819</v>
      </c>
      <c r="BA1069" s="355">
        <v>1.4500000000000001E-2</v>
      </c>
      <c r="BB1069" s="624">
        <v>39750</v>
      </c>
      <c r="BC1069" s="355">
        <v>0.36520000000000002</v>
      </c>
      <c r="BD1069" s="624">
        <v>39751</v>
      </c>
      <c r="BE1069" s="355">
        <v>7.7579999999999996E-2</v>
      </c>
      <c r="BF1069" s="624">
        <v>39780</v>
      </c>
      <c r="BG1069" s="355">
        <v>1.9959999999999999E-2</v>
      </c>
      <c r="BH1069" s="624">
        <v>39751</v>
      </c>
      <c r="BI1069" s="355">
        <v>9.4339999999999993E-2</v>
      </c>
      <c r="BJ1069" s="624">
        <v>39750</v>
      </c>
      <c r="BK1069" s="355">
        <v>2.8667999999999999E-2</v>
      </c>
    </row>
    <row r="1070" spans="3:63">
      <c r="C1070" s="624"/>
      <c r="D1070" s="355">
        <v>3.6949999999999997E-2</v>
      </c>
      <c r="AV1070" s="624"/>
      <c r="AX1070" s="624">
        <v>39755</v>
      </c>
      <c r="AY1070" s="355">
        <v>3.6819999999999999E-2</v>
      </c>
      <c r="AZ1070" s="624">
        <v>39820</v>
      </c>
      <c r="BA1070" s="355">
        <v>1.46E-2</v>
      </c>
      <c r="BB1070" s="624">
        <v>39751</v>
      </c>
      <c r="BC1070" s="355">
        <v>0.35849999999999999</v>
      </c>
      <c r="BD1070" s="624">
        <v>39752</v>
      </c>
      <c r="BE1070" s="355">
        <v>7.4020000000000002E-2</v>
      </c>
      <c r="BF1070" s="624">
        <v>39783</v>
      </c>
      <c r="BG1070" s="355">
        <v>1.9862999999999999E-2</v>
      </c>
      <c r="BH1070" s="624">
        <v>39752</v>
      </c>
      <c r="BI1070" s="355">
        <v>9.1117000000000004E-2</v>
      </c>
      <c r="BJ1070" s="624">
        <v>39751</v>
      </c>
      <c r="BK1070" s="355">
        <v>2.8676E-2</v>
      </c>
    </row>
    <row r="1071" spans="3:63">
      <c r="C1071" s="624"/>
      <c r="D1071" s="355">
        <v>3.6819999999999999E-2</v>
      </c>
      <c r="AV1071" s="624"/>
      <c r="AX1071" s="624">
        <v>39756</v>
      </c>
      <c r="AY1071" s="355">
        <v>3.73E-2</v>
      </c>
      <c r="AZ1071" s="624">
        <v>39821</v>
      </c>
      <c r="BA1071" s="355">
        <v>1.4500000000000001E-2</v>
      </c>
      <c r="BB1071" s="624">
        <v>39752</v>
      </c>
      <c r="BC1071" s="355">
        <v>0.36030000000000001</v>
      </c>
      <c r="BD1071" s="624">
        <v>39755</v>
      </c>
      <c r="BE1071" s="355">
        <v>7.8939999999999996E-2</v>
      </c>
      <c r="BF1071" s="624">
        <v>39784</v>
      </c>
      <c r="BG1071" s="355">
        <v>1.9939999999999999E-2</v>
      </c>
      <c r="BH1071" s="624">
        <v>39755</v>
      </c>
      <c r="BI1071" s="355">
        <v>8.9091000000000004E-2</v>
      </c>
      <c r="BJ1071" s="624">
        <v>39752</v>
      </c>
      <c r="BK1071" s="355">
        <v>2.8523E-2</v>
      </c>
    </row>
    <row r="1072" spans="3:63">
      <c r="C1072" s="624"/>
      <c r="D1072" s="355">
        <v>3.73E-2</v>
      </c>
      <c r="AV1072" s="624"/>
      <c r="AX1072" s="624">
        <v>39757</v>
      </c>
      <c r="AY1072" s="355">
        <v>3.7280000000000001E-2</v>
      </c>
      <c r="AZ1072" s="624">
        <v>39822</v>
      </c>
      <c r="BA1072" s="355">
        <v>1.43E-2</v>
      </c>
      <c r="BB1072" s="624">
        <v>39755</v>
      </c>
      <c r="BC1072" s="355">
        <v>0.35680000000000001</v>
      </c>
      <c r="BD1072" s="624">
        <v>39756</v>
      </c>
      <c r="BE1072" s="355">
        <v>7.9509999999999997E-2</v>
      </c>
      <c r="BF1072" s="624">
        <v>39785</v>
      </c>
      <c r="BG1072" s="355">
        <v>2.0004000000000001E-2</v>
      </c>
      <c r="BH1072" s="624">
        <v>39756</v>
      </c>
      <c r="BI1072" s="355">
        <v>9.2623999999999998E-2</v>
      </c>
      <c r="BJ1072" s="624">
        <v>39755</v>
      </c>
      <c r="BK1072" s="355">
        <v>2.8650999999999999E-2</v>
      </c>
    </row>
    <row r="1073" spans="3:63">
      <c r="C1073" s="624"/>
      <c r="D1073" s="355">
        <v>3.7280000000000001E-2</v>
      </c>
      <c r="AV1073" s="624"/>
      <c r="AX1073" s="624">
        <v>39758</v>
      </c>
      <c r="AY1073" s="355">
        <v>3.6970000000000003E-2</v>
      </c>
      <c r="AZ1073" s="624">
        <v>39825</v>
      </c>
      <c r="BA1073" s="355">
        <v>1.44E-2</v>
      </c>
      <c r="BB1073" s="624">
        <v>39756</v>
      </c>
      <c r="BC1073" s="355">
        <v>0.36890000000000001</v>
      </c>
      <c r="BD1073" s="624">
        <v>39757</v>
      </c>
      <c r="BE1073" s="355">
        <v>7.7280000000000001E-2</v>
      </c>
      <c r="BF1073" s="624">
        <v>39786</v>
      </c>
      <c r="BG1073" s="355">
        <v>2.0077999999999999E-2</v>
      </c>
      <c r="BH1073" s="624">
        <v>39757</v>
      </c>
      <c r="BI1073" s="355">
        <v>9.1012999999999997E-2</v>
      </c>
      <c r="BJ1073" s="624">
        <v>39756</v>
      </c>
      <c r="BK1073" s="355">
        <v>2.8608999999999999E-2</v>
      </c>
    </row>
    <row r="1074" spans="3:63">
      <c r="C1074" s="624"/>
      <c r="D1074" s="355">
        <v>3.6970000000000003E-2</v>
      </c>
      <c r="AV1074" s="624"/>
      <c r="AX1074" s="624">
        <v>39759</v>
      </c>
      <c r="AY1074" s="355">
        <v>3.6999999999999998E-2</v>
      </c>
      <c r="AZ1074" s="624">
        <v>39826</v>
      </c>
      <c r="BA1074" s="355">
        <v>1.43E-2</v>
      </c>
      <c r="BB1074" s="624">
        <v>39757</v>
      </c>
      <c r="BC1074" s="355">
        <v>0.36670000000000003</v>
      </c>
      <c r="BD1074" s="624">
        <v>39758</v>
      </c>
      <c r="BE1074" s="355">
        <v>7.3649999999999993E-2</v>
      </c>
      <c r="BF1074" s="624">
        <v>39787</v>
      </c>
      <c r="BG1074" s="355">
        <v>2.0175999999999999E-2</v>
      </c>
      <c r="BH1074" s="624">
        <v>39758</v>
      </c>
      <c r="BI1074" s="355">
        <v>9.0715000000000004E-2</v>
      </c>
      <c r="BJ1074" s="624">
        <v>39757</v>
      </c>
      <c r="BK1074" s="355">
        <v>2.8570999999999999E-2</v>
      </c>
    </row>
    <row r="1075" spans="3:63">
      <c r="C1075" s="624"/>
      <c r="D1075" s="355">
        <v>3.6999999999999998E-2</v>
      </c>
      <c r="AV1075" s="624"/>
      <c r="AX1075" s="624">
        <v>39762</v>
      </c>
      <c r="AY1075" s="355">
        <v>3.6970000000000003E-2</v>
      </c>
      <c r="AZ1075" s="624">
        <v>39827</v>
      </c>
      <c r="BA1075" s="355">
        <v>1.43E-2</v>
      </c>
      <c r="BB1075" s="624">
        <v>39758</v>
      </c>
      <c r="BC1075" s="355">
        <v>0.3493</v>
      </c>
      <c r="BD1075" s="624">
        <v>39759</v>
      </c>
      <c r="BE1075" s="355">
        <v>7.4889999999999998E-2</v>
      </c>
      <c r="BF1075" s="624">
        <v>39790</v>
      </c>
      <c r="BG1075" s="355">
        <v>2.0168999999999999E-2</v>
      </c>
      <c r="BH1075" s="624">
        <v>39759</v>
      </c>
      <c r="BI1075" s="355">
        <v>9.1744999999999993E-2</v>
      </c>
      <c r="BJ1075" s="624">
        <v>39758</v>
      </c>
      <c r="BK1075" s="355">
        <v>2.8604000000000001E-2</v>
      </c>
    </row>
    <row r="1076" spans="3:63">
      <c r="C1076" s="624"/>
      <c r="D1076" s="355">
        <v>3.6970000000000003E-2</v>
      </c>
      <c r="AV1076" s="624"/>
      <c r="AX1076" s="624">
        <v>39763</v>
      </c>
      <c r="AY1076" s="355">
        <v>3.6260000000000001E-2</v>
      </c>
      <c r="AZ1076" s="624">
        <v>39828</v>
      </c>
      <c r="BA1076" s="355">
        <v>1.4E-2</v>
      </c>
      <c r="BB1076" s="624">
        <v>39759</v>
      </c>
      <c r="BC1076" s="355">
        <v>0.34799999999999998</v>
      </c>
      <c r="BD1076" s="624">
        <v>39762</v>
      </c>
      <c r="BE1076" s="355">
        <v>7.4099999999999999E-2</v>
      </c>
      <c r="BF1076" s="624">
        <v>39792</v>
      </c>
      <c r="BG1076" s="355">
        <v>2.0428999999999999E-2</v>
      </c>
      <c r="BH1076" s="624">
        <v>39762</v>
      </c>
      <c r="BI1076" s="355">
        <v>9.0497999999999995E-2</v>
      </c>
      <c r="BJ1076" s="624">
        <v>39759</v>
      </c>
      <c r="BK1076" s="355">
        <v>2.8635000000000001E-2</v>
      </c>
    </row>
    <row r="1077" spans="3:63">
      <c r="C1077" s="624"/>
      <c r="D1077" s="355">
        <v>3.6260000000000001E-2</v>
      </c>
      <c r="AV1077" s="624"/>
      <c r="AX1077" s="624">
        <v>39764</v>
      </c>
      <c r="AY1077" s="355">
        <v>3.6269999999999997E-2</v>
      </c>
      <c r="AZ1077" s="624">
        <v>39829</v>
      </c>
      <c r="BA1077" s="355">
        <v>1.43E-2</v>
      </c>
      <c r="BB1077" s="624">
        <v>39762</v>
      </c>
      <c r="BC1077" s="355">
        <v>0.33810000000000001</v>
      </c>
      <c r="BD1077" s="624">
        <v>39763</v>
      </c>
      <c r="BE1077" s="355">
        <v>7.5170000000000001E-2</v>
      </c>
      <c r="BF1077" s="624">
        <v>39793</v>
      </c>
      <c r="BG1077" s="355">
        <v>2.0643999999999999E-2</v>
      </c>
      <c r="BH1077" s="624">
        <v>39763</v>
      </c>
      <c r="BI1077" s="355">
        <v>8.7527999999999995E-2</v>
      </c>
      <c r="BJ1077" s="624">
        <v>39762</v>
      </c>
      <c r="BK1077" s="355">
        <v>2.8627E-2</v>
      </c>
    </row>
    <row r="1078" spans="3:63">
      <c r="C1078" s="624"/>
      <c r="D1078" s="355">
        <v>3.6269999999999997E-2</v>
      </c>
      <c r="AV1078" s="624"/>
      <c r="AX1078" s="624">
        <v>39765</v>
      </c>
      <c r="AY1078" s="355">
        <v>3.6650000000000002E-2</v>
      </c>
      <c r="AZ1078" s="624">
        <v>39832</v>
      </c>
      <c r="BA1078" s="355">
        <v>1.38E-2</v>
      </c>
      <c r="BB1078" s="624">
        <v>39763</v>
      </c>
      <c r="BC1078" s="355">
        <v>0.33100000000000002</v>
      </c>
      <c r="BD1078" s="624">
        <v>39764</v>
      </c>
      <c r="BE1078" s="355">
        <v>7.1859999999999993E-2</v>
      </c>
      <c r="BF1078" s="624">
        <v>39794</v>
      </c>
      <c r="BG1078" s="355">
        <v>2.0636000000000002E-2</v>
      </c>
      <c r="BH1078" s="624">
        <v>39764</v>
      </c>
      <c r="BI1078" s="355">
        <v>8.6393999999999999E-2</v>
      </c>
      <c r="BJ1078" s="624">
        <v>39763</v>
      </c>
      <c r="BK1078" s="355">
        <v>2.8611999999999999E-2</v>
      </c>
    </row>
    <row r="1079" spans="3:63">
      <c r="C1079" s="624"/>
      <c r="D1079" s="355">
        <v>3.6650000000000002E-2</v>
      </c>
      <c r="AV1079" s="624"/>
      <c r="AX1079" s="624">
        <v>39766</v>
      </c>
      <c r="AY1079" s="355">
        <v>3.6540000000000003E-2</v>
      </c>
      <c r="AZ1079" s="624">
        <v>39833</v>
      </c>
      <c r="BA1079" s="355">
        <v>1.3599999999999999E-2</v>
      </c>
      <c r="BB1079" s="624">
        <v>39764</v>
      </c>
      <c r="BC1079" s="355">
        <v>0.33189999999999997</v>
      </c>
      <c r="BD1079" s="624">
        <v>39765</v>
      </c>
      <c r="BE1079" s="355">
        <v>7.2440000000000004E-2</v>
      </c>
      <c r="BF1079" s="624">
        <v>39797</v>
      </c>
      <c r="BG1079" s="355">
        <v>2.0818E-2</v>
      </c>
      <c r="BH1079" s="624">
        <v>39765</v>
      </c>
      <c r="BI1079" s="355">
        <v>8.5671999999999998E-2</v>
      </c>
      <c r="BJ1079" s="624">
        <v>39764</v>
      </c>
      <c r="BK1079" s="355">
        <v>2.8587999999999999E-2</v>
      </c>
    </row>
    <row r="1080" spans="3:63">
      <c r="C1080" s="624"/>
      <c r="D1080" s="355">
        <v>3.6540000000000003E-2</v>
      </c>
      <c r="AV1080" s="624"/>
      <c r="AX1080" s="624">
        <v>39769</v>
      </c>
      <c r="AY1080" s="355">
        <v>3.6450000000000003E-2</v>
      </c>
      <c r="AZ1080" s="624">
        <v>39834</v>
      </c>
      <c r="BA1080" s="355">
        <v>1.3899999999999999E-2</v>
      </c>
      <c r="BB1080" s="624">
        <v>39765</v>
      </c>
      <c r="BC1080" s="355">
        <v>0.34760000000000002</v>
      </c>
      <c r="BD1080" s="624">
        <v>39766</v>
      </c>
      <c r="BE1080" s="355">
        <v>7.0069999999999993E-2</v>
      </c>
      <c r="BF1080" s="624">
        <v>39798</v>
      </c>
      <c r="BG1080" s="355">
        <v>2.0868000000000001E-2</v>
      </c>
      <c r="BH1080" s="624">
        <v>39766</v>
      </c>
      <c r="BI1080" s="355">
        <v>8.5918999999999995E-2</v>
      </c>
      <c r="BJ1080" s="624">
        <v>39765</v>
      </c>
      <c r="BK1080" s="355">
        <v>2.8580000000000001E-2</v>
      </c>
    </row>
    <row r="1081" spans="3:63">
      <c r="C1081" s="624"/>
      <c r="D1081" s="355">
        <v>3.6450000000000003E-2</v>
      </c>
      <c r="AV1081" s="624"/>
      <c r="AX1081" s="624">
        <v>39770</v>
      </c>
      <c r="AY1081" s="355">
        <v>3.6409999999999998E-2</v>
      </c>
      <c r="AZ1081" s="624">
        <v>39835</v>
      </c>
      <c r="BA1081" s="355">
        <v>1.37E-2</v>
      </c>
      <c r="BB1081" s="624">
        <v>39766</v>
      </c>
      <c r="BC1081" s="355">
        <v>0.34189999999999998</v>
      </c>
      <c r="BD1081" s="624">
        <v>39769</v>
      </c>
      <c r="BE1081" s="355">
        <v>6.9949999999999998E-2</v>
      </c>
      <c r="BF1081" s="624">
        <v>39799</v>
      </c>
      <c r="BG1081" s="355">
        <v>2.0969000000000002E-2</v>
      </c>
      <c r="BH1081" s="624">
        <v>39769</v>
      </c>
      <c r="BI1081" s="355">
        <v>8.4220000000000003E-2</v>
      </c>
      <c r="BJ1081" s="624">
        <v>39766</v>
      </c>
      <c r="BK1081" s="355">
        <v>2.8621000000000001E-2</v>
      </c>
    </row>
    <row r="1082" spans="3:63">
      <c r="C1082" s="624"/>
      <c r="D1082" s="355">
        <v>3.6409999999999998E-2</v>
      </c>
      <c r="AV1082" s="624"/>
      <c r="AX1082" s="624">
        <v>39771</v>
      </c>
      <c r="AY1082" s="355">
        <v>3.6200000000000003E-2</v>
      </c>
      <c r="AZ1082" s="624">
        <v>39836</v>
      </c>
      <c r="BA1082" s="355">
        <v>1.3599999999999999E-2</v>
      </c>
      <c r="BB1082" s="624">
        <v>39769</v>
      </c>
      <c r="BC1082" s="355">
        <v>0.33629999999999999</v>
      </c>
      <c r="BD1082" s="624">
        <v>39770</v>
      </c>
      <c r="BE1082" s="355">
        <v>6.9489999999999996E-2</v>
      </c>
      <c r="BF1082" s="624">
        <v>39800</v>
      </c>
      <c r="BG1082" s="355">
        <v>2.1326999999999999E-2</v>
      </c>
      <c r="BH1082" s="624">
        <v>39770</v>
      </c>
      <c r="BI1082" s="355">
        <v>8.2476999999999995E-2</v>
      </c>
      <c r="BJ1082" s="624">
        <v>39769</v>
      </c>
      <c r="BK1082" s="355">
        <v>2.8570999999999999E-2</v>
      </c>
    </row>
    <row r="1083" spans="3:63">
      <c r="C1083" s="624"/>
      <c r="D1083" s="355">
        <v>3.6200000000000003E-2</v>
      </c>
      <c r="AV1083" s="624"/>
      <c r="AX1083" s="624">
        <v>39772</v>
      </c>
      <c r="AY1083" s="355">
        <v>3.6179999999999997E-2</v>
      </c>
      <c r="AZ1083" s="624">
        <v>39839</v>
      </c>
      <c r="BA1083" s="355">
        <v>1.38E-2</v>
      </c>
      <c r="BB1083" s="624">
        <v>39770</v>
      </c>
      <c r="BC1083" s="355">
        <v>0.32950000000000002</v>
      </c>
      <c r="BD1083" s="624">
        <v>39771</v>
      </c>
      <c r="BE1083" s="355">
        <v>6.762E-2</v>
      </c>
      <c r="BF1083" s="624">
        <v>39801</v>
      </c>
      <c r="BG1083" s="355">
        <v>2.1153000000000002E-2</v>
      </c>
      <c r="BH1083" s="624">
        <v>39771</v>
      </c>
      <c r="BI1083" s="355">
        <v>8.3682000000000006E-2</v>
      </c>
      <c r="BJ1083" s="624">
        <v>39770</v>
      </c>
      <c r="BK1083" s="355">
        <v>2.8559999999999999E-2</v>
      </c>
    </row>
    <row r="1084" spans="3:63">
      <c r="C1084" s="624"/>
      <c r="D1084" s="355">
        <v>3.6179999999999997E-2</v>
      </c>
      <c r="AV1084" s="624"/>
      <c r="AX1084" s="624">
        <v>39773</v>
      </c>
      <c r="AY1084" s="355">
        <v>3.635E-2</v>
      </c>
      <c r="AZ1084" s="624">
        <v>39840</v>
      </c>
      <c r="BA1084" s="355">
        <v>1.3599999999999999E-2</v>
      </c>
      <c r="BB1084" s="624">
        <v>39771</v>
      </c>
      <c r="BC1084" s="355">
        <v>0.32790000000000002</v>
      </c>
      <c r="BD1084" s="624">
        <v>39772</v>
      </c>
      <c r="BE1084" s="355">
        <v>6.6299999999999998E-2</v>
      </c>
      <c r="BF1084" s="624">
        <v>39804</v>
      </c>
      <c r="BG1084" s="355">
        <v>2.0836E-2</v>
      </c>
      <c r="BH1084" s="624">
        <v>39772</v>
      </c>
      <c r="BI1084" s="355">
        <v>8.0323000000000006E-2</v>
      </c>
      <c r="BJ1084" s="624">
        <v>39771</v>
      </c>
      <c r="BK1084" s="355">
        <v>2.8561E-2</v>
      </c>
    </row>
    <row r="1085" spans="3:63">
      <c r="C1085" s="624"/>
      <c r="D1085" s="355">
        <v>3.635E-2</v>
      </c>
      <c r="AV1085" s="624"/>
      <c r="AX1085" s="624">
        <v>39776</v>
      </c>
      <c r="AY1085" s="355">
        <v>3.662E-2</v>
      </c>
      <c r="AZ1085" s="624">
        <v>39841</v>
      </c>
      <c r="BA1085" s="355">
        <v>1.3899999999999999E-2</v>
      </c>
      <c r="BB1085" s="624">
        <v>39772</v>
      </c>
      <c r="BC1085" s="355">
        <v>0.32469999999999999</v>
      </c>
      <c r="BD1085" s="624">
        <v>39773</v>
      </c>
      <c r="BE1085" s="355">
        <v>6.7489999999999994E-2</v>
      </c>
      <c r="BF1085" s="624">
        <v>39805</v>
      </c>
      <c r="BG1085" s="355">
        <v>2.0503E-2</v>
      </c>
      <c r="BH1085" s="624">
        <v>39773</v>
      </c>
      <c r="BI1085" s="355">
        <v>8.1306000000000003E-2</v>
      </c>
      <c r="BJ1085" s="624">
        <v>39772</v>
      </c>
      <c r="BK1085" s="355">
        <v>2.8590999999999998E-2</v>
      </c>
    </row>
    <row r="1086" spans="3:63">
      <c r="C1086" s="624"/>
      <c r="D1086" s="355">
        <v>3.662E-2</v>
      </c>
      <c r="AV1086" s="624"/>
      <c r="AX1086" s="624">
        <v>39777</v>
      </c>
      <c r="AY1086" s="355">
        <v>3.6720000000000003E-2</v>
      </c>
      <c r="AZ1086" s="624">
        <v>39842</v>
      </c>
      <c r="BA1086" s="355">
        <v>1.37E-2</v>
      </c>
      <c r="BB1086" s="624">
        <v>39773</v>
      </c>
      <c r="BC1086" s="355">
        <v>0.32550000000000001</v>
      </c>
      <c r="BD1086" s="624">
        <v>39776</v>
      </c>
      <c r="BE1086" s="355">
        <v>6.812E-2</v>
      </c>
      <c r="BF1086" s="624">
        <v>39806</v>
      </c>
      <c r="BG1086" s="355">
        <v>2.0806000000000002E-2</v>
      </c>
      <c r="BH1086" s="624">
        <v>39776</v>
      </c>
      <c r="BI1086" s="355">
        <v>7.9842999999999997E-2</v>
      </c>
      <c r="BJ1086" s="624">
        <v>39773</v>
      </c>
      <c r="BK1086" s="355">
        <v>2.8323000000000001E-2</v>
      </c>
    </row>
    <row r="1087" spans="3:63">
      <c r="C1087" s="624"/>
      <c r="D1087" s="355">
        <v>3.6720000000000003E-2</v>
      </c>
      <c r="AV1087" s="624"/>
      <c r="AX1087" s="624">
        <v>39778</v>
      </c>
      <c r="AY1087" s="355">
        <v>3.6450000000000003E-2</v>
      </c>
      <c r="AZ1087" s="624">
        <v>39843</v>
      </c>
      <c r="BA1087" s="355">
        <v>1.35E-2</v>
      </c>
      <c r="BB1087" s="624">
        <v>39776</v>
      </c>
      <c r="BC1087" s="355">
        <v>0.33539999999999998</v>
      </c>
      <c r="BD1087" s="624">
        <v>39777</v>
      </c>
      <c r="BE1087" s="355">
        <v>6.5960000000000005E-2</v>
      </c>
      <c r="BF1087" s="624">
        <v>39808</v>
      </c>
      <c r="BG1087" s="355">
        <v>2.0646000000000001E-2</v>
      </c>
      <c r="BH1087" s="624">
        <v>39777</v>
      </c>
      <c r="BI1087" s="355">
        <v>8.1300999999999998E-2</v>
      </c>
      <c r="BJ1087" s="624">
        <v>39776</v>
      </c>
      <c r="BK1087" s="355">
        <v>2.8361000000000001E-2</v>
      </c>
    </row>
    <row r="1088" spans="3:63">
      <c r="C1088" s="624"/>
      <c r="D1088" s="355">
        <v>3.6450000000000003E-2</v>
      </c>
      <c r="AV1088" s="624"/>
      <c r="AX1088" s="624">
        <v>39779</v>
      </c>
      <c r="AY1088" s="355">
        <v>3.6470000000000002E-2</v>
      </c>
      <c r="AZ1088" s="624">
        <v>39846</v>
      </c>
      <c r="BA1088" s="355">
        <v>1.3599999999999999E-2</v>
      </c>
      <c r="BB1088" s="624">
        <v>39777</v>
      </c>
      <c r="BC1088" s="355">
        <v>0.34499999999999997</v>
      </c>
      <c r="BD1088" s="624">
        <v>39778</v>
      </c>
      <c r="BE1088" s="355">
        <v>6.7470000000000002E-2</v>
      </c>
      <c r="BF1088" s="624">
        <v>39811</v>
      </c>
      <c r="BG1088" s="355">
        <v>2.0656000000000001E-2</v>
      </c>
      <c r="BH1088" s="624">
        <v>39778</v>
      </c>
      <c r="BI1088" s="355">
        <v>8.1301999999999999E-2</v>
      </c>
      <c r="BJ1088" s="624">
        <v>39777</v>
      </c>
      <c r="BK1088" s="355">
        <v>2.8492E-2</v>
      </c>
    </row>
    <row r="1089" spans="3:63">
      <c r="C1089" s="624"/>
      <c r="D1089" s="355">
        <v>3.6470000000000002E-2</v>
      </c>
      <c r="AV1089" s="624"/>
      <c r="AX1089" s="624">
        <v>39780</v>
      </c>
      <c r="AY1089" s="355">
        <v>3.5810000000000002E-2</v>
      </c>
      <c r="AZ1089" s="624">
        <v>39847</v>
      </c>
      <c r="BA1089" s="355">
        <v>1.4E-2</v>
      </c>
      <c r="BB1089" s="624">
        <v>39778</v>
      </c>
      <c r="BC1089" s="355">
        <v>0.34110000000000001</v>
      </c>
      <c r="BD1089" s="624">
        <v>39779</v>
      </c>
      <c r="BE1089" s="355">
        <v>6.7680000000000004E-2</v>
      </c>
      <c r="BF1089" s="624">
        <v>39812</v>
      </c>
      <c r="BG1089" s="355">
        <v>2.0632999999999999E-2</v>
      </c>
      <c r="BH1089" s="624">
        <v>39779</v>
      </c>
      <c r="BI1089" s="355">
        <v>8.2771999999999998E-2</v>
      </c>
      <c r="BJ1089" s="624">
        <v>39778</v>
      </c>
      <c r="BK1089" s="355">
        <v>2.8372999999999999E-2</v>
      </c>
    </row>
    <row r="1090" spans="3:63">
      <c r="C1090" s="624"/>
      <c r="D1090" s="355">
        <v>3.5810000000000002E-2</v>
      </c>
      <c r="AV1090" s="624"/>
      <c r="AX1090" s="624">
        <v>39783</v>
      </c>
      <c r="AY1090" s="355">
        <v>3.569E-2</v>
      </c>
      <c r="AZ1090" s="624">
        <v>39848</v>
      </c>
      <c r="BA1090" s="355">
        <v>1.38E-2</v>
      </c>
      <c r="BB1090" s="624">
        <v>39779</v>
      </c>
      <c r="BC1090" s="355">
        <v>0.34300000000000003</v>
      </c>
      <c r="BD1090" s="624">
        <v>39780</v>
      </c>
      <c r="BE1090" s="355">
        <v>6.8070000000000006E-2</v>
      </c>
      <c r="BF1090" s="624">
        <v>39813</v>
      </c>
      <c r="BG1090" s="355">
        <v>2.0539999999999999E-2</v>
      </c>
      <c r="BH1090" s="624">
        <v>39780</v>
      </c>
      <c r="BI1090" s="355">
        <v>8.1636E-2</v>
      </c>
      <c r="BJ1090" s="624">
        <v>39779</v>
      </c>
      <c r="BK1090" s="355">
        <v>2.8249E-2</v>
      </c>
    </row>
    <row r="1091" spans="3:63">
      <c r="C1091" s="624"/>
      <c r="D1091" s="355">
        <v>3.569E-2</v>
      </c>
      <c r="AV1091" s="624"/>
      <c r="AX1091" s="624">
        <v>39784</v>
      </c>
      <c r="AY1091" s="355">
        <v>3.5839999999999997E-2</v>
      </c>
      <c r="AZ1091" s="624">
        <v>39849</v>
      </c>
      <c r="BA1091" s="355">
        <v>1.3899999999999999E-2</v>
      </c>
      <c r="BB1091" s="624">
        <v>39780</v>
      </c>
      <c r="BC1091" s="355">
        <v>0.33589999999999998</v>
      </c>
      <c r="BD1091" s="624">
        <v>39783</v>
      </c>
      <c r="BE1091" s="355">
        <v>6.7199999999999996E-2</v>
      </c>
      <c r="BF1091" s="624">
        <v>39814</v>
      </c>
      <c r="BG1091" s="355">
        <v>2.0511999999999999E-2</v>
      </c>
      <c r="BH1091" s="624">
        <v>39783</v>
      </c>
      <c r="BI1091" s="355">
        <v>8.1322000000000005E-2</v>
      </c>
      <c r="BJ1091" s="624">
        <v>39780</v>
      </c>
      <c r="BK1091" s="355">
        <v>2.8149E-2</v>
      </c>
    </row>
    <row r="1092" spans="3:63">
      <c r="C1092" s="624"/>
      <c r="D1092" s="355">
        <v>3.5839999999999997E-2</v>
      </c>
      <c r="AV1092" s="624"/>
      <c r="AX1092" s="624">
        <v>39785</v>
      </c>
      <c r="AY1092" s="355">
        <v>3.5839999999999997E-2</v>
      </c>
      <c r="AZ1092" s="624">
        <v>39850</v>
      </c>
      <c r="BA1092" s="355">
        <v>1.4E-2</v>
      </c>
      <c r="BB1092" s="624">
        <v>39783</v>
      </c>
      <c r="BC1092" s="355">
        <v>0.33019999999999999</v>
      </c>
      <c r="BD1092" s="624">
        <v>39784</v>
      </c>
      <c r="BE1092" s="355">
        <v>6.8470000000000003E-2</v>
      </c>
      <c r="BF1092" s="624">
        <v>39815</v>
      </c>
      <c r="BG1092" s="355">
        <v>2.0591000000000002E-2</v>
      </c>
      <c r="BH1092" s="624">
        <v>39784</v>
      </c>
      <c r="BI1092" s="355">
        <v>8.0972000000000002E-2</v>
      </c>
      <c r="BJ1092" s="624">
        <v>39783</v>
      </c>
      <c r="BK1092" s="355">
        <v>2.7963999999999999E-2</v>
      </c>
    </row>
    <row r="1093" spans="3:63">
      <c r="C1093" s="624"/>
      <c r="D1093" s="355">
        <v>3.5839999999999997E-2</v>
      </c>
      <c r="AV1093" s="624"/>
      <c r="AX1093" s="624">
        <v>39786</v>
      </c>
      <c r="AY1093" s="355">
        <v>3.5970000000000002E-2</v>
      </c>
      <c r="AZ1093" s="624">
        <v>39853</v>
      </c>
      <c r="BA1093" s="355">
        <v>1.41E-2</v>
      </c>
      <c r="BB1093" s="624">
        <v>39784</v>
      </c>
      <c r="BC1093" s="355">
        <v>0.33</v>
      </c>
      <c r="BD1093" s="624">
        <v>39785</v>
      </c>
      <c r="BE1093" s="355">
        <v>6.8909999999999999E-2</v>
      </c>
      <c r="BF1093" s="624">
        <v>39818</v>
      </c>
      <c r="BG1093" s="355">
        <v>2.0597000000000001E-2</v>
      </c>
      <c r="BH1093" s="624">
        <v>39785</v>
      </c>
      <c r="BI1093" s="355">
        <v>8.2153000000000004E-2</v>
      </c>
      <c r="BJ1093" s="624">
        <v>39784</v>
      </c>
      <c r="BK1093" s="355">
        <v>2.8101999999999999E-2</v>
      </c>
    </row>
    <row r="1094" spans="3:63">
      <c r="C1094" s="624"/>
      <c r="D1094" s="355">
        <v>3.5970000000000002E-2</v>
      </c>
      <c r="AV1094" s="624"/>
      <c r="AX1094" s="624">
        <v>39787</v>
      </c>
      <c r="AY1094" s="355">
        <v>3.5490000000000001E-2</v>
      </c>
      <c r="AZ1094" s="624">
        <v>39854</v>
      </c>
      <c r="BA1094" s="355">
        <v>1.4E-2</v>
      </c>
      <c r="BB1094" s="624">
        <v>39785</v>
      </c>
      <c r="BC1094" s="355">
        <v>0.32979999999999998</v>
      </c>
      <c r="BD1094" s="624">
        <v>39786</v>
      </c>
      <c r="BE1094" s="355">
        <v>6.7239999999999994E-2</v>
      </c>
      <c r="BF1094" s="624">
        <v>39819</v>
      </c>
      <c r="BG1094" s="355">
        <v>2.0521000000000001E-2</v>
      </c>
      <c r="BH1094" s="624">
        <v>39786</v>
      </c>
      <c r="BI1094" s="355">
        <v>8.3857000000000001E-2</v>
      </c>
      <c r="BJ1094" s="624">
        <v>39785</v>
      </c>
      <c r="BK1094" s="355">
        <v>2.8118000000000001E-2</v>
      </c>
    </row>
    <row r="1095" spans="3:63">
      <c r="C1095" s="624"/>
      <c r="D1095" s="355">
        <v>3.5490000000000001E-2</v>
      </c>
      <c r="AV1095" s="624"/>
      <c r="AX1095" s="624">
        <v>39790</v>
      </c>
      <c r="AY1095" s="355">
        <v>3.5860000000000003E-2</v>
      </c>
      <c r="AZ1095" s="624">
        <v>39855</v>
      </c>
      <c r="BA1095" s="355">
        <v>1.3899999999999999E-2</v>
      </c>
      <c r="BB1095" s="624">
        <v>39786</v>
      </c>
      <c r="BC1095" s="355">
        <v>0.32900000000000001</v>
      </c>
      <c r="BD1095" s="624">
        <v>39787</v>
      </c>
      <c r="BE1095" s="355">
        <v>6.7599999999999993E-2</v>
      </c>
      <c r="BF1095" s="624">
        <v>39820</v>
      </c>
      <c r="BG1095" s="355">
        <v>2.0492E-2</v>
      </c>
      <c r="BH1095" s="624">
        <v>39787</v>
      </c>
      <c r="BI1095" s="355">
        <v>8.4927000000000002E-2</v>
      </c>
      <c r="BJ1095" s="624">
        <v>39786</v>
      </c>
      <c r="BK1095" s="355">
        <v>2.8062E-2</v>
      </c>
    </row>
    <row r="1096" spans="3:63">
      <c r="C1096" s="624"/>
      <c r="D1096" s="355">
        <v>3.5860000000000003E-2</v>
      </c>
      <c r="AV1096" s="624"/>
      <c r="AX1096" s="624">
        <v>39791</v>
      </c>
      <c r="AY1096" s="355">
        <v>3.5810000000000002E-2</v>
      </c>
      <c r="AZ1096" s="624">
        <v>39856</v>
      </c>
      <c r="BA1096" s="355">
        <v>1.38E-2</v>
      </c>
      <c r="BB1096" s="624">
        <v>39787</v>
      </c>
      <c r="BC1096" s="355">
        <v>0.32769999999999999</v>
      </c>
      <c r="BD1096" s="624">
        <v>39790</v>
      </c>
      <c r="BE1096" s="355">
        <v>6.898E-2</v>
      </c>
      <c r="BF1096" s="624">
        <v>39822</v>
      </c>
      <c r="BG1096" s="355">
        <v>2.0709999999999999E-2</v>
      </c>
      <c r="BH1096" s="624">
        <v>39790</v>
      </c>
      <c r="BI1096" s="355">
        <v>8.5843000000000003E-2</v>
      </c>
      <c r="BJ1096" s="624">
        <v>39787</v>
      </c>
      <c r="BK1096" s="355">
        <v>2.8011999999999999E-2</v>
      </c>
    </row>
    <row r="1097" spans="3:63">
      <c r="C1097" s="624"/>
      <c r="D1097" s="355">
        <v>3.5810000000000002E-2</v>
      </c>
      <c r="AV1097" s="624"/>
      <c r="AX1097" s="624">
        <v>39792</v>
      </c>
      <c r="AY1097" s="355">
        <v>3.5929999999999997E-2</v>
      </c>
      <c r="AZ1097" s="624">
        <v>39857</v>
      </c>
      <c r="BA1097" s="355">
        <v>1.37E-2</v>
      </c>
      <c r="BB1097" s="624">
        <v>39790</v>
      </c>
      <c r="BC1097" s="355">
        <v>0.33329999999999999</v>
      </c>
      <c r="BD1097" s="624">
        <v>39791</v>
      </c>
      <c r="BE1097" s="355">
        <v>6.9839999999999999E-2</v>
      </c>
      <c r="BF1097" s="624">
        <v>39825</v>
      </c>
      <c r="BG1097" s="355">
        <v>2.0475E-2</v>
      </c>
      <c r="BH1097" s="624">
        <v>39791</v>
      </c>
      <c r="BI1097" s="355">
        <v>9.1750999999999999E-2</v>
      </c>
      <c r="BJ1097" s="624">
        <v>39790</v>
      </c>
      <c r="BK1097" s="355">
        <v>2.8225E-2</v>
      </c>
    </row>
    <row r="1098" spans="3:63">
      <c r="C1098" s="624"/>
      <c r="D1098" s="355">
        <v>3.5929999999999997E-2</v>
      </c>
      <c r="AV1098" s="624"/>
      <c r="AX1098" s="624">
        <v>39793</v>
      </c>
      <c r="AY1098" s="355">
        <v>3.6119999999999999E-2</v>
      </c>
      <c r="AZ1098" s="624">
        <v>39860</v>
      </c>
      <c r="BA1098" s="355">
        <v>1.3599999999999999E-2</v>
      </c>
      <c r="BB1098" s="624">
        <v>39791</v>
      </c>
      <c r="BC1098" s="355">
        <v>0.32879999999999998</v>
      </c>
      <c r="BD1098" s="624">
        <v>39792</v>
      </c>
      <c r="BE1098" s="355">
        <v>7.2569999999999996E-2</v>
      </c>
      <c r="BF1098" s="624">
        <v>39826</v>
      </c>
      <c r="BG1098" s="355">
        <v>2.0386999999999999E-2</v>
      </c>
      <c r="BH1098" s="624">
        <v>39792</v>
      </c>
      <c r="BI1098" s="355">
        <v>9.1750999999999999E-2</v>
      </c>
      <c r="BJ1098" s="624">
        <v>39791</v>
      </c>
      <c r="BK1098" s="355">
        <v>2.8264999999999998E-2</v>
      </c>
    </row>
    <row r="1099" spans="3:63">
      <c r="C1099" s="624"/>
      <c r="D1099" s="355">
        <v>3.6119999999999999E-2</v>
      </c>
      <c r="AV1099" s="624"/>
      <c r="AX1099" s="624">
        <v>39794</v>
      </c>
      <c r="AY1099" s="355">
        <v>3.6119999999999999E-2</v>
      </c>
      <c r="AZ1099" s="624">
        <v>39861</v>
      </c>
      <c r="BA1099" s="355">
        <v>1.34E-2</v>
      </c>
      <c r="BB1099" s="624">
        <v>39792</v>
      </c>
      <c r="BC1099" s="355">
        <v>0.32979999999999998</v>
      </c>
      <c r="BD1099" s="624">
        <v>39793</v>
      </c>
      <c r="BE1099" s="355">
        <v>7.399E-2</v>
      </c>
      <c r="BF1099" s="624">
        <v>39827</v>
      </c>
      <c r="BG1099" s="355">
        <v>2.0480999999999999E-2</v>
      </c>
      <c r="BH1099" s="624">
        <v>39793</v>
      </c>
      <c r="BI1099" s="355">
        <v>9.0499999999999997E-2</v>
      </c>
      <c r="BJ1099" s="624">
        <v>39792</v>
      </c>
      <c r="BK1099" s="355">
        <v>2.8253E-2</v>
      </c>
    </row>
    <row r="1100" spans="3:63">
      <c r="C1100" s="624"/>
      <c r="D1100" s="355">
        <v>3.6119999999999999E-2</v>
      </c>
      <c r="AV1100" s="624"/>
      <c r="AX1100" s="624">
        <v>39797</v>
      </c>
      <c r="AY1100" s="355">
        <v>3.6200000000000003E-2</v>
      </c>
      <c r="AZ1100" s="624">
        <v>39862</v>
      </c>
      <c r="BA1100" s="355">
        <v>1.32E-2</v>
      </c>
      <c r="BB1100" s="624">
        <v>39793</v>
      </c>
      <c r="BC1100" s="355">
        <v>0.34379999999999999</v>
      </c>
      <c r="BD1100" s="624">
        <v>39794</v>
      </c>
      <c r="BE1100" s="355">
        <v>7.2730000000000003E-2</v>
      </c>
      <c r="BF1100" s="624">
        <v>39828</v>
      </c>
      <c r="BG1100" s="355">
        <v>2.0400000000000001E-2</v>
      </c>
      <c r="BH1100" s="624">
        <v>39794</v>
      </c>
      <c r="BI1100" s="355">
        <v>8.9899000000000007E-2</v>
      </c>
      <c r="BJ1100" s="624">
        <v>39793</v>
      </c>
      <c r="BK1100" s="355">
        <v>2.8538999999999998E-2</v>
      </c>
    </row>
    <row r="1101" spans="3:63">
      <c r="C1101" s="624"/>
      <c r="D1101" s="355">
        <v>3.6200000000000003E-2</v>
      </c>
      <c r="AV1101" s="624"/>
      <c r="AX1101" s="624">
        <v>39798</v>
      </c>
      <c r="AY1101" s="355">
        <v>3.6609999999999997E-2</v>
      </c>
      <c r="AZ1101" s="624">
        <v>39863</v>
      </c>
      <c r="BA1101" s="355">
        <v>1.3299999999999999E-2</v>
      </c>
      <c r="BB1101" s="624">
        <v>39794</v>
      </c>
      <c r="BC1101" s="355">
        <v>0.33889999999999998</v>
      </c>
      <c r="BD1101" s="624">
        <v>39797</v>
      </c>
      <c r="BE1101" s="355">
        <v>7.2830000000000006E-2</v>
      </c>
      <c r="BF1101" s="624">
        <v>39829</v>
      </c>
      <c r="BG1101" s="355">
        <v>2.0518999999999999E-2</v>
      </c>
      <c r="BH1101" s="624">
        <v>39797</v>
      </c>
      <c r="BI1101" s="355">
        <v>9.0703000000000006E-2</v>
      </c>
      <c r="BJ1101" s="624">
        <v>39794</v>
      </c>
      <c r="BK1101" s="355">
        <v>2.8523E-2</v>
      </c>
    </row>
    <row r="1102" spans="3:63">
      <c r="C1102" s="624"/>
      <c r="D1102" s="355">
        <v>3.6609999999999997E-2</v>
      </c>
      <c r="AV1102" s="624"/>
      <c r="AX1102" s="624">
        <v>39799</v>
      </c>
      <c r="AY1102" s="355">
        <v>3.669E-2</v>
      </c>
      <c r="AZ1102" s="624">
        <v>39864</v>
      </c>
      <c r="BA1102" s="355">
        <v>1.35E-2</v>
      </c>
      <c r="BB1102" s="624">
        <v>39797</v>
      </c>
      <c r="BC1102" s="355">
        <v>0.34389999999999998</v>
      </c>
      <c r="BD1102" s="624">
        <v>39798</v>
      </c>
      <c r="BE1102" s="355">
        <v>7.5579999999999994E-2</v>
      </c>
      <c r="BF1102" s="624">
        <v>39832</v>
      </c>
      <c r="BG1102" s="355">
        <v>2.0551E-2</v>
      </c>
      <c r="BH1102" s="624">
        <v>39798</v>
      </c>
      <c r="BI1102" s="355">
        <v>9.0092000000000005E-2</v>
      </c>
      <c r="BJ1102" s="624">
        <v>39797</v>
      </c>
      <c r="BK1102" s="355">
        <v>2.8674000000000002E-2</v>
      </c>
    </row>
    <row r="1103" spans="3:63">
      <c r="C1103" s="624"/>
      <c r="D1103" s="355">
        <v>3.669E-2</v>
      </c>
      <c r="AV1103" s="624"/>
      <c r="AX1103" s="624">
        <v>39800</v>
      </c>
      <c r="AY1103" s="355">
        <v>3.6310000000000002E-2</v>
      </c>
      <c r="AZ1103" s="624">
        <v>39867</v>
      </c>
      <c r="BA1103" s="355">
        <v>1.35E-2</v>
      </c>
      <c r="BB1103" s="624">
        <v>39798</v>
      </c>
      <c r="BC1103" s="355">
        <v>0.34660000000000002</v>
      </c>
      <c r="BD1103" s="624">
        <v>39799</v>
      </c>
      <c r="BE1103" s="355">
        <v>7.6569999999999999E-2</v>
      </c>
      <c r="BF1103" s="624">
        <v>39833</v>
      </c>
      <c r="BG1103" s="355">
        <v>2.0322E-2</v>
      </c>
      <c r="BH1103" s="624">
        <v>39799</v>
      </c>
      <c r="BI1103" s="355">
        <v>9.1799000000000006E-2</v>
      </c>
      <c r="BJ1103" s="624">
        <v>39798</v>
      </c>
      <c r="BK1103" s="355">
        <v>2.8691000000000001E-2</v>
      </c>
    </row>
    <row r="1104" spans="3:63">
      <c r="C1104" s="624"/>
      <c r="D1104" s="355">
        <v>3.6310000000000002E-2</v>
      </c>
      <c r="AV1104" s="624"/>
      <c r="AX1104" s="624">
        <v>39801</v>
      </c>
      <c r="AY1104" s="355">
        <v>3.5490000000000001E-2</v>
      </c>
      <c r="AZ1104" s="624">
        <v>39868</v>
      </c>
      <c r="BA1104" s="355">
        <v>1.3599999999999999E-2</v>
      </c>
      <c r="BB1104" s="624">
        <v>39799</v>
      </c>
      <c r="BC1104" s="355">
        <v>0.35120000000000001</v>
      </c>
      <c r="BD1104" s="624">
        <v>39800</v>
      </c>
      <c r="BE1104" s="355">
        <v>7.6530000000000001E-2</v>
      </c>
      <c r="BF1104" s="624">
        <v>39834</v>
      </c>
      <c r="BG1104" s="355">
        <v>2.0376999999999999E-2</v>
      </c>
      <c r="BH1104" s="624">
        <v>39800</v>
      </c>
      <c r="BI1104" s="355">
        <v>9.1036000000000006E-2</v>
      </c>
      <c r="BJ1104" s="624">
        <v>39799</v>
      </c>
      <c r="BK1104" s="355">
        <v>2.8766E-2</v>
      </c>
    </row>
    <row r="1105" spans="3:63">
      <c r="C1105" s="624"/>
      <c r="D1105" s="355">
        <v>3.5490000000000001E-2</v>
      </c>
      <c r="AV1105" s="624"/>
      <c r="AX1105" s="624">
        <v>39804</v>
      </c>
      <c r="AY1105" s="355">
        <v>3.5119999999999998E-2</v>
      </c>
      <c r="AZ1105" s="624">
        <v>39869</v>
      </c>
      <c r="BA1105" s="355">
        <v>1.35E-2</v>
      </c>
      <c r="BB1105" s="624">
        <v>39800</v>
      </c>
      <c r="BC1105" s="355">
        <v>0.34670000000000001</v>
      </c>
      <c r="BD1105" s="624">
        <v>39801</v>
      </c>
      <c r="BE1105" s="355">
        <v>7.6499999999999999E-2</v>
      </c>
      <c r="BF1105" s="624">
        <v>39835</v>
      </c>
      <c r="BG1105" s="355">
        <v>2.0397999999999999E-2</v>
      </c>
      <c r="BH1105" s="624">
        <v>39801</v>
      </c>
      <c r="BI1105" s="355">
        <v>9.1263999999999998E-2</v>
      </c>
      <c r="BJ1105" s="624">
        <v>39800</v>
      </c>
      <c r="BK1105" s="355">
        <v>2.9014999999999999E-2</v>
      </c>
    </row>
    <row r="1106" spans="3:63">
      <c r="C1106" s="624"/>
      <c r="D1106" s="355">
        <v>3.5119999999999998E-2</v>
      </c>
      <c r="AV1106" s="624"/>
      <c r="AX1106" s="624">
        <v>39805</v>
      </c>
      <c r="AY1106" s="355">
        <v>3.5159999999999997E-2</v>
      </c>
      <c r="AZ1106" s="624">
        <v>39870</v>
      </c>
      <c r="BA1106" s="355">
        <v>1.3599999999999999E-2</v>
      </c>
      <c r="BB1106" s="624">
        <v>39801</v>
      </c>
      <c r="BC1106" s="355">
        <v>0.33629999999999999</v>
      </c>
      <c r="BD1106" s="624">
        <v>39804</v>
      </c>
      <c r="BE1106" s="355">
        <v>7.5630000000000003E-2</v>
      </c>
      <c r="BF1106" s="624">
        <v>39836</v>
      </c>
      <c r="BG1106" s="355">
        <v>2.0324999999999999E-2</v>
      </c>
      <c r="BH1106" s="624">
        <v>39804</v>
      </c>
      <c r="BI1106" s="355">
        <v>9.0051000000000006E-2</v>
      </c>
      <c r="BJ1106" s="624">
        <v>39801</v>
      </c>
      <c r="BK1106" s="355">
        <v>2.8986000000000001E-2</v>
      </c>
    </row>
    <row r="1107" spans="3:63">
      <c r="C1107" s="624"/>
      <c r="D1107" s="355">
        <v>3.5159999999999997E-2</v>
      </c>
      <c r="AV1107" s="624"/>
      <c r="AX1107" s="624">
        <v>39806</v>
      </c>
      <c r="AY1107" s="355">
        <v>3.4869999999999998E-2</v>
      </c>
      <c r="AZ1107" s="624">
        <v>39871</v>
      </c>
      <c r="BA1107" s="355">
        <v>1.35E-2</v>
      </c>
      <c r="BB1107" s="624">
        <v>39804</v>
      </c>
      <c r="BC1107" s="355">
        <v>0.33789999999999998</v>
      </c>
      <c r="BD1107" s="624">
        <v>39805</v>
      </c>
      <c r="BE1107" s="355">
        <v>7.3889999999999997E-2</v>
      </c>
      <c r="BF1107" s="624">
        <v>39839</v>
      </c>
      <c r="BG1107" s="355">
        <v>2.0438999999999999E-2</v>
      </c>
      <c r="BH1107" s="624">
        <v>39805</v>
      </c>
      <c r="BI1107" s="355">
        <v>8.9899000000000007E-2</v>
      </c>
      <c r="BJ1107" s="624">
        <v>39804</v>
      </c>
      <c r="BK1107" s="355">
        <v>2.8954000000000001E-2</v>
      </c>
    </row>
    <row r="1108" spans="3:63">
      <c r="C1108" s="624"/>
      <c r="D1108" s="355">
        <v>3.4869999999999998E-2</v>
      </c>
      <c r="AV1108" s="624"/>
      <c r="AX1108" s="624">
        <v>39807</v>
      </c>
      <c r="AY1108" s="355">
        <v>3.4840000000000003E-2</v>
      </c>
      <c r="AZ1108" s="624">
        <v>39874</v>
      </c>
      <c r="BA1108" s="355">
        <v>1.34E-2</v>
      </c>
      <c r="BB1108" s="624">
        <v>39805</v>
      </c>
      <c r="BC1108" s="355">
        <v>0.33939999999999998</v>
      </c>
      <c r="BD1108" s="624">
        <v>39806</v>
      </c>
      <c r="BE1108" s="355">
        <v>7.6539999999999997E-2</v>
      </c>
      <c r="BF1108" s="624">
        <v>39840</v>
      </c>
      <c r="BG1108" s="355">
        <v>2.0427000000000001E-2</v>
      </c>
      <c r="BH1108" s="624">
        <v>39806</v>
      </c>
      <c r="BI1108" s="355">
        <v>8.9887999999999996E-2</v>
      </c>
      <c r="BJ1108" s="624">
        <v>39805</v>
      </c>
      <c r="BK1108" s="355">
        <v>2.8872999999999999E-2</v>
      </c>
    </row>
    <row r="1109" spans="3:63">
      <c r="C1109" s="624"/>
      <c r="D1109" s="355">
        <v>3.4840000000000003E-2</v>
      </c>
      <c r="AV1109" s="624"/>
      <c r="AX1109" s="624">
        <v>39808</v>
      </c>
      <c r="AY1109" s="355">
        <v>3.449E-2</v>
      </c>
      <c r="AZ1109" s="624">
        <v>39875</v>
      </c>
      <c r="BA1109" s="355">
        <v>1.3299999999999999E-2</v>
      </c>
      <c r="BB1109" s="624">
        <v>39806</v>
      </c>
      <c r="BC1109" s="355">
        <v>0.3397</v>
      </c>
      <c r="BD1109" s="624">
        <v>39807</v>
      </c>
      <c r="BE1109" s="355">
        <v>7.6520000000000005E-2</v>
      </c>
      <c r="BF1109" s="624">
        <v>39841</v>
      </c>
      <c r="BG1109" s="355">
        <v>2.0445999999999999E-2</v>
      </c>
      <c r="BH1109" s="624">
        <v>39807</v>
      </c>
      <c r="BI1109" s="355">
        <v>9.0614E-2</v>
      </c>
      <c r="BJ1109" s="624">
        <v>39806</v>
      </c>
      <c r="BK1109" s="355">
        <v>2.8913999999999999E-2</v>
      </c>
    </row>
    <row r="1110" spans="3:63">
      <c r="C1110" s="624"/>
      <c r="D1110" s="355">
        <v>3.449E-2</v>
      </c>
      <c r="AV1110" s="624"/>
      <c r="AX1110" s="624">
        <v>39811</v>
      </c>
      <c r="AY1110" s="355">
        <v>3.3820000000000003E-2</v>
      </c>
      <c r="AZ1110" s="624">
        <v>39876</v>
      </c>
      <c r="BA1110" s="355">
        <v>1.34E-2</v>
      </c>
      <c r="BB1110" s="624">
        <v>39807</v>
      </c>
      <c r="BC1110" s="355">
        <v>0.3407</v>
      </c>
      <c r="BD1110" s="624">
        <v>39808</v>
      </c>
      <c r="BE1110" s="355">
        <v>7.5920000000000001E-2</v>
      </c>
      <c r="BF1110" s="624">
        <v>39842</v>
      </c>
      <c r="BG1110" s="355">
        <v>2.0410000000000001E-2</v>
      </c>
      <c r="BH1110" s="624">
        <v>39808</v>
      </c>
      <c r="BI1110" s="355">
        <v>9.0096999999999997E-2</v>
      </c>
      <c r="BJ1110" s="624">
        <v>39807</v>
      </c>
      <c r="BK1110" s="355">
        <v>2.8740000000000002E-2</v>
      </c>
    </row>
    <row r="1111" spans="3:63">
      <c r="C1111" s="624"/>
      <c r="D1111" s="355">
        <v>3.3820000000000003E-2</v>
      </c>
      <c r="AV1111" s="624"/>
      <c r="AX1111" s="624">
        <v>39812</v>
      </c>
      <c r="AY1111" s="355">
        <v>3.4000000000000002E-2</v>
      </c>
      <c r="AZ1111" s="624">
        <v>39877</v>
      </c>
      <c r="BA1111" s="355">
        <v>1.3299999999999999E-2</v>
      </c>
      <c r="BB1111" s="624">
        <v>39808</v>
      </c>
      <c r="BC1111" s="355">
        <v>0.34</v>
      </c>
      <c r="BD1111" s="624">
        <v>39811</v>
      </c>
      <c r="BE1111" s="355">
        <v>7.8960000000000002E-2</v>
      </c>
      <c r="BF1111" s="624">
        <v>39843</v>
      </c>
      <c r="BG1111" s="355">
        <v>2.0424999999999999E-2</v>
      </c>
      <c r="BH1111" s="624">
        <v>39811</v>
      </c>
      <c r="BI1111" s="355">
        <v>8.8890999999999998E-2</v>
      </c>
      <c r="BJ1111" s="624">
        <v>39808</v>
      </c>
      <c r="BK1111" s="355">
        <v>2.8601000000000001E-2</v>
      </c>
    </row>
    <row r="1112" spans="3:63">
      <c r="C1112" s="624"/>
      <c r="D1112" s="355">
        <v>3.4000000000000002E-2</v>
      </c>
      <c r="AV1112" s="624"/>
      <c r="AX1112" s="624">
        <v>39813</v>
      </c>
      <c r="AY1112" s="355">
        <v>3.4009999999999999E-2</v>
      </c>
      <c r="AZ1112" s="624">
        <v>39878</v>
      </c>
      <c r="BA1112" s="355">
        <v>1.3299999999999999E-2</v>
      </c>
      <c r="BB1112" s="624">
        <v>39811</v>
      </c>
      <c r="BC1112" s="355">
        <v>0.33760000000000001</v>
      </c>
      <c r="BD1112" s="624">
        <v>39812</v>
      </c>
      <c r="BE1112" s="355">
        <v>7.7780000000000002E-2</v>
      </c>
      <c r="BF1112" s="624">
        <v>39846</v>
      </c>
      <c r="BG1112" s="355">
        <v>2.0459999999999999E-2</v>
      </c>
      <c r="BH1112" s="624">
        <v>39812</v>
      </c>
      <c r="BI1112" s="355">
        <v>9.0090000000000003E-2</v>
      </c>
      <c r="BJ1112" s="624">
        <v>39811</v>
      </c>
      <c r="BK1112" s="355">
        <v>2.8576000000000001E-2</v>
      </c>
    </row>
    <row r="1113" spans="3:63">
      <c r="C1113" s="624"/>
      <c r="D1113" s="355">
        <v>3.4009999999999999E-2</v>
      </c>
      <c r="AV1113" s="624"/>
      <c r="AX1113" s="624">
        <v>39814</v>
      </c>
      <c r="AY1113" s="355">
        <v>3.431E-2</v>
      </c>
      <c r="AZ1113" s="624">
        <v>39881</v>
      </c>
      <c r="BA1113" s="355">
        <v>1.34E-2</v>
      </c>
      <c r="BB1113" s="624">
        <v>39812</v>
      </c>
      <c r="BC1113" s="355">
        <v>0.3367</v>
      </c>
      <c r="BD1113" s="624">
        <v>39813</v>
      </c>
      <c r="BE1113" s="355">
        <v>7.9390000000000002E-2</v>
      </c>
      <c r="BF1113" s="624">
        <v>39847</v>
      </c>
      <c r="BG1113" s="355">
        <v>2.0469000000000001E-2</v>
      </c>
      <c r="BH1113" s="624">
        <v>39813</v>
      </c>
      <c r="BI1113" s="355">
        <v>9.0505000000000002E-2</v>
      </c>
      <c r="BJ1113" s="624">
        <v>39812</v>
      </c>
      <c r="BK1113" s="355">
        <v>2.8773E-2</v>
      </c>
    </row>
    <row r="1114" spans="3:63">
      <c r="C1114" s="624"/>
      <c r="D1114" s="355">
        <v>3.431E-2</v>
      </c>
      <c r="AV1114" s="624"/>
      <c r="AX1114" s="624">
        <v>39815</v>
      </c>
      <c r="AY1114" s="355">
        <v>3.4009999999999999E-2</v>
      </c>
      <c r="AZ1114" s="624">
        <v>39882</v>
      </c>
      <c r="BA1114" s="355">
        <v>1.34E-2</v>
      </c>
      <c r="BB1114" s="624">
        <v>39813</v>
      </c>
      <c r="BC1114" s="355">
        <v>0.33679999999999999</v>
      </c>
      <c r="BD1114" s="624">
        <v>39814</v>
      </c>
      <c r="BE1114" s="355">
        <v>7.9390000000000002E-2</v>
      </c>
      <c r="BF1114" s="624">
        <v>39848</v>
      </c>
      <c r="BG1114" s="355">
        <v>2.0511000000000001E-2</v>
      </c>
      <c r="BH1114" s="624">
        <v>39814</v>
      </c>
      <c r="BI1114" s="355">
        <v>9.1744999999999993E-2</v>
      </c>
      <c r="BJ1114" s="624">
        <v>39813</v>
      </c>
      <c r="BK1114" s="355">
        <v>2.8760000000000001E-2</v>
      </c>
    </row>
    <row r="1115" spans="3:63">
      <c r="C1115" s="624"/>
      <c r="D1115" s="355">
        <v>3.4009999999999999E-2</v>
      </c>
      <c r="AV1115" s="624"/>
      <c r="AX1115" s="624">
        <v>39818</v>
      </c>
      <c r="AY1115" s="355">
        <v>3.4250000000000003E-2</v>
      </c>
      <c r="AZ1115" s="624">
        <v>39883</v>
      </c>
      <c r="BA1115" s="355">
        <v>1.3599999999999999E-2</v>
      </c>
      <c r="BB1115" s="624">
        <v>39814</v>
      </c>
      <c r="BC1115" s="355">
        <v>0.33879999999999999</v>
      </c>
      <c r="BD1115" s="624">
        <v>39815</v>
      </c>
      <c r="BE1115" s="355">
        <v>7.571E-2</v>
      </c>
      <c r="BF1115" s="624">
        <v>39849</v>
      </c>
      <c r="BG1115" s="355">
        <v>2.0501999999999999E-2</v>
      </c>
      <c r="BH1115" s="624">
        <v>39815</v>
      </c>
      <c r="BI1115" s="355">
        <v>8.9591000000000004E-2</v>
      </c>
      <c r="BJ1115" s="624">
        <v>39814</v>
      </c>
      <c r="BK1115" s="355">
        <v>2.8752E-2</v>
      </c>
    </row>
    <row r="1116" spans="3:63">
      <c r="C1116" s="624"/>
      <c r="D1116" s="355">
        <v>3.4250000000000003E-2</v>
      </c>
      <c r="AV1116" s="624"/>
      <c r="AX1116" s="624">
        <v>39819</v>
      </c>
      <c r="AY1116" s="355">
        <v>3.4299999999999997E-2</v>
      </c>
      <c r="AZ1116" s="624">
        <v>39884</v>
      </c>
      <c r="BA1116" s="355">
        <v>1.3599999999999999E-2</v>
      </c>
      <c r="BB1116" s="624">
        <v>39815</v>
      </c>
      <c r="BC1116" s="355">
        <v>0.33350000000000002</v>
      </c>
      <c r="BD1116" s="624">
        <v>39818</v>
      </c>
      <c r="BE1116" s="355">
        <v>7.6050000000000006E-2</v>
      </c>
      <c r="BF1116" s="624">
        <v>39850</v>
      </c>
      <c r="BG1116" s="355">
        <v>2.0555E-2</v>
      </c>
      <c r="BH1116" s="624">
        <v>39818</v>
      </c>
      <c r="BI1116" s="355">
        <v>9.0806999999999999E-2</v>
      </c>
      <c r="BJ1116" s="624">
        <v>39815</v>
      </c>
      <c r="BK1116" s="355">
        <v>2.8666000000000001E-2</v>
      </c>
    </row>
    <row r="1117" spans="3:63">
      <c r="C1117" s="624"/>
      <c r="D1117" s="355">
        <v>3.4299999999999997E-2</v>
      </c>
      <c r="AV1117" s="624"/>
      <c r="AX1117" s="624">
        <v>39820</v>
      </c>
      <c r="AY1117" s="355">
        <v>3.2800000000000003E-2</v>
      </c>
      <c r="AZ1117" s="624">
        <v>39885</v>
      </c>
      <c r="BA1117" s="355">
        <v>1.37E-2</v>
      </c>
      <c r="BB1117" s="624">
        <v>39818</v>
      </c>
      <c r="BC1117" s="355">
        <v>0.33339999999999997</v>
      </c>
      <c r="BD1117" s="624">
        <v>39819</v>
      </c>
      <c r="BE1117" s="355">
        <v>7.6509999999999995E-2</v>
      </c>
      <c r="BF1117" s="624">
        <v>39853</v>
      </c>
      <c r="BG1117" s="355">
        <v>2.0611999999999998E-2</v>
      </c>
      <c r="BH1117" s="624">
        <v>39819</v>
      </c>
      <c r="BI1117" s="355">
        <v>9.1326000000000004E-2</v>
      </c>
      <c r="BJ1117" s="624">
        <v>39818</v>
      </c>
      <c r="BK1117" s="355">
        <v>2.8586E-2</v>
      </c>
    </row>
    <row r="1118" spans="3:63">
      <c r="C1118" s="624"/>
      <c r="D1118" s="355">
        <v>3.2800000000000003E-2</v>
      </c>
      <c r="AV1118" s="624"/>
      <c r="AX1118" s="624">
        <v>39821</v>
      </c>
      <c r="AY1118" s="355">
        <v>3.286E-2</v>
      </c>
      <c r="AZ1118" s="624">
        <v>39888</v>
      </c>
      <c r="BA1118" s="355">
        <v>1.37E-2</v>
      </c>
      <c r="BB1118" s="624">
        <v>39819</v>
      </c>
      <c r="BC1118" s="355">
        <v>0.34150000000000003</v>
      </c>
      <c r="BD1118" s="624">
        <v>39820</v>
      </c>
      <c r="BE1118" s="355">
        <v>7.6050000000000006E-2</v>
      </c>
      <c r="BF1118" s="624">
        <v>39854</v>
      </c>
      <c r="BG1118" s="355">
        <v>2.0508999999999999E-2</v>
      </c>
      <c r="BH1118" s="624">
        <v>39820</v>
      </c>
      <c r="BI1118" s="355">
        <v>9.2165999999999998E-2</v>
      </c>
      <c r="BJ1118" s="624">
        <v>39819</v>
      </c>
      <c r="BK1118" s="355">
        <v>2.8546999999999999E-2</v>
      </c>
    </row>
    <row r="1119" spans="3:63">
      <c r="C1119" s="624"/>
      <c r="D1119" s="355">
        <v>3.286E-2</v>
      </c>
      <c r="AV1119" s="624"/>
      <c r="AX1119" s="624">
        <v>39822</v>
      </c>
      <c r="AY1119" s="355">
        <v>3.2370000000000003E-2</v>
      </c>
      <c r="AZ1119" s="624">
        <v>39889</v>
      </c>
      <c r="BA1119" s="355">
        <v>1.38E-2</v>
      </c>
      <c r="BB1119" s="624">
        <v>39820</v>
      </c>
      <c r="BC1119" s="355">
        <v>0.33839999999999998</v>
      </c>
      <c r="BD1119" s="624">
        <v>39821</v>
      </c>
      <c r="BE1119" s="355">
        <v>7.5620000000000007E-2</v>
      </c>
      <c r="BF1119" s="624">
        <v>39855</v>
      </c>
      <c r="BG1119" s="355">
        <v>2.0555E-2</v>
      </c>
      <c r="BH1119" s="624">
        <v>39821</v>
      </c>
      <c r="BI1119" s="355">
        <v>9.1326000000000004E-2</v>
      </c>
      <c r="BJ1119" s="624">
        <v>39820</v>
      </c>
      <c r="BK1119" s="355">
        <v>2.8672E-2</v>
      </c>
    </row>
    <row r="1120" spans="3:63">
      <c r="C1120" s="624"/>
      <c r="D1120" s="355">
        <v>3.2370000000000003E-2</v>
      </c>
      <c r="AV1120" s="624"/>
      <c r="AX1120" s="624">
        <v>39825</v>
      </c>
      <c r="AY1120" s="355">
        <v>3.2149999999999998E-2</v>
      </c>
      <c r="AZ1120" s="624">
        <v>39890</v>
      </c>
      <c r="BA1120" s="355">
        <v>1.4200000000000001E-2</v>
      </c>
      <c r="BB1120" s="624">
        <v>39821</v>
      </c>
      <c r="BC1120" s="355">
        <v>0.3392</v>
      </c>
      <c r="BD1120" s="624">
        <v>39822</v>
      </c>
      <c r="BE1120" s="355">
        <v>7.5910000000000005E-2</v>
      </c>
      <c r="BF1120" s="624">
        <v>39856</v>
      </c>
      <c r="BG1120" s="355">
        <v>2.0492E-2</v>
      </c>
      <c r="BH1120" s="624">
        <v>39822</v>
      </c>
      <c r="BI1120" s="355">
        <v>9.1220999999999997E-2</v>
      </c>
      <c r="BJ1120" s="624">
        <v>39821</v>
      </c>
      <c r="BK1120" s="355">
        <v>2.8686E-2</v>
      </c>
    </row>
    <row r="1121" spans="3:63">
      <c r="C1121" s="624"/>
      <c r="D1121" s="355">
        <v>3.2149999999999998E-2</v>
      </c>
      <c r="AV1121" s="624"/>
      <c r="AX1121" s="624">
        <v>39826</v>
      </c>
      <c r="AY1121" s="355">
        <v>3.1940000000000003E-2</v>
      </c>
      <c r="AZ1121" s="624">
        <v>39891</v>
      </c>
      <c r="BA1121" s="355">
        <v>1.44E-2</v>
      </c>
      <c r="BB1121" s="624">
        <v>39822</v>
      </c>
      <c r="BC1121" s="355">
        <v>0.33400000000000002</v>
      </c>
      <c r="BD1121" s="624">
        <v>39825</v>
      </c>
      <c r="BE1121" s="355">
        <v>7.3300000000000004E-2</v>
      </c>
      <c r="BF1121" s="624">
        <v>39857</v>
      </c>
      <c r="BG1121" s="355">
        <v>2.0587000000000001E-2</v>
      </c>
      <c r="BH1121" s="624">
        <v>39825</v>
      </c>
      <c r="BI1121" s="355">
        <v>8.8890999999999998E-2</v>
      </c>
      <c r="BJ1121" s="624">
        <v>39822</v>
      </c>
      <c r="BK1121" s="355">
        <v>2.8697E-2</v>
      </c>
    </row>
    <row r="1122" spans="3:63">
      <c r="C1122" s="624"/>
      <c r="D1122" s="355">
        <v>3.1940000000000003E-2</v>
      </c>
      <c r="AV1122" s="624"/>
      <c r="AX1122" s="624">
        <v>39827</v>
      </c>
      <c r="AY1122" s="355">
        <v>3.1510000000000003E-2</v>
      </c>
      <c r="AZ1122" s="624">
        <v>39892</v>
      </c>
      <c r="BA1122" s="355">
        <v>1.44E-2</v>
      </c>
      <c r="BB1122" s="624">
        <v>39825</v>
      </c>
      <c r="BC1122" s="355">
        <v>0.32300000000000001</v>
      </c>
      <c r="BD1122" s="624">
        <v>39826</v>
      </c>
      <c r="BE1122" s="355">
        <v>7.4109999999999995E-2</v>
      </c>
      <c r="BF1122" s="624">
        <v>39860</v>
      </c>
      <c r="BG1122" s="355">
        <v>2.0475E-2</v>
      </c>
      <c r="BH1122" s="624">
        <v>39826</v>
      </c>
      <c r="BI1122" s="355">
        <v>8.9900999999999995E-2</v>
      </c>
      <c r="BJ1122" s="624">
        <v>39825</v>
      </c>
      <c r="BK1122" s="355">
        <v>2.8653000000000001E-2</v>
      </c>
    </row>
    <row r="1123" spans="3:63">
      <c r="C1123" s="624"/>
      <c r="D1123" s="355">
        <v>3.1510000000000003E-2</v>
      </c>
      <c r="AV1123" s="624"/>
      <c r="AX1123" s="624">
        <v>39828</v>
      </c>
      <c r="AY1123" s="355">
        <v>3.091E-2</v>
      </c>
      <c r="AZ1123" s="624">
        <v>39895</v>
      </c>
      <c r="BA1123" s="355">
        <v>1.44E-2</v>
      </c>
      <c r="BB1123" s="624">
        <v>39826</v>
      </c>
      <c r="BC1123" s="355">
        <v>0.31869999999999998</v>
      </c>
      <c r="BD1123" s="624">
        <v>39827</v>
      </c>
      <c r="BE1123" s="355">
        <v>7.3669999999999999E-2</v>
      </c>
      <c r="BF1123" s="624">
        <v>39861</v>
      </c>
      <c r="BG1123" s="355">
        <v>2.0129000000000001E-2</v>
      </c>
      <c r="BH1123" s="624">
        <v>39827</v>
      </c>
      <c r="BI1123" s="355">
        <v>8.9622999999999994E-2</v>
      </c>
      <c r="BJ1123" s="624">
        <v>39826</v>
      </c>
      <c r="BK1123" s="355">
        <v>2.8686E-2</v>
      </c>
    </row>
    <row r="1124" spans="3:63">
      <c r="C1124" s="624"/>
      <c r="D1124" s="355">
        <v>3.091E-2</v>
      </c>
      <c r="AV1124" s="624"/>
      <c r="AX1124" s="624">
        <v>39829</v>
      </c>
      <c r="AY1124" s="355">
        <v>3.074E-2</v>
      </c>
      <c r="AZ1124" s="624">
        <v>39896</v>
      </c>
      <c r="BA1124" s="355">
        <v>1.4200000000000001E-2</v>
      </c>
      <c r="BB1124" s="624">
        <v>39827</v>
      </c>
      <c r="BC1124" s="355">
        <v>0.31590000000000001</v>
      </c>
      <c r="BD1124" s="624">
        <v>39828</v>
      </c>
      <c r="BE1124" s="355">
        <v>7.2969999999999993E-2</v>
      </c>
      <c r="BF1124" s="624">
        <v>39862</v>
      </c>
      <c r="BG1124" s="355">
        <v>2.0029999999999999E-2</v>
      </c>
      <c r="BH1124" s="624">
        <v>39828</v>
      </c>
      <c r="BI1124" s="355">
        <v>8.9643E-2</v>
      </c>
      <c r="BJ1124" s="624">
        <v>39827</v>
      </c>
      <c r="BK1124" s="355">
        <v>2.8605999999999999E-2</v>
      </c>
    </row>
    <row r="1125" spans="3:63">
      <c r="C1125" s="624"/>
      <c r="D1125" s="355">
        <v>3.074E-2</v>
      </c>
      <c r="AV1125" s="624"/>
      <c r="AX1125" s="624">
        <v>39832</v>
      </c>
      <c r="AY1125" s="355">
        <v>2.9950000000000001E-2</v>
      </c>
      <c r="AZ1125" s="624">
        <v>39897</v>
      </c>
      <c r="BA1125" s="355">
        <v>1.43E-2</v>
      </c>
      <c r="BB1125" s="624">
        <v>39828</v>
      </c>
      <c r="BC1125" s="355">
        <v>0.31409999999999999</v>
      </c>
      <c r="BD1125" s="624">
        <v>39829</v>
      </c>
      <c r="BE1125" s="355">
        <v>7.3150000000000007E-2</v>
      </c>
      <c r="BF1125" s="624">
        <v>39863</v>
      </c>
      <c r="BG1125" s="355">
        <v>2.0147000000000002E-2</v>
      </c>
      <c r="BH1125" s="624">
        <v>39829</v>
      </c>
      <c r="BI1125" s="355">
        <v>9.0385999999999994E-2</v>
      </c>
      <c r="BJ1125" s="624">
        <v>39828</v>
      </c>
      <c r="BK1125" s="355">
        <v>2.8625000000000001E-2</v>
      </c>
    </row>
    <row r="1126" spans="3:63">
      <c r="C1126" s="624"/>
      <c r="D1126" s="355">
        <v>2.9950000000000001E-2</v>
      </c>
      <c r="AV1126" s="624"/>
      <c r="AX1126" s="624">
        <v>39833</v>
      </c>
      <c r="AY1126" s="355">
        <v>3.0300000000000001E-2</v>
      </c>
      <c r="AZ1126" s="624">
        <v>39898</v>
      </c>
      <c r="BA1126" s="355">
        <v>1.43E-2</v>
      </c>
      <c r="BB1126" s="624">
        <v>39829</v>
      </c>
      <c r="BC1126" s="355">
        <v>0.3095</v>
      </c>
      <c r="BD1126" s="624">
        <v>39832</v>
      </c>
      <c r="BE1126" s="355">
        <v>7.3120000000000004E-2</v>
      </c>
      <c r="BF1126" s="624">
        <v>39864</v>
      </c>
      <c r="BG1126" s="355">
        <v>2.0101000000000001E-2</v>
      </c>
      <c r="BH1126" s="624">
        <v>39832</v>
      </c>
      <c r="BI1126" s="355">
        <v>8.9486999999999997E-2</v>
      </c>
      <c r="BJ1126" s="624">
        <v>39829</v>
      </c>
      <c r="BK1126" s="355">
        <v>2.8680000000000001E-2</v>
      </c>
    </row>
    <row r="1127" spans="3:63">
      <c r="C1127" s="624"/>
      <c r="D1127" s="355">
        <v>3.0300000000000001E-2</v>
      </c>
      <c r="AV1127" s="624"/>
      <c r="AX1127" s="624">
        <v>39834</v>
      </c>
      <c r="AY1127" s="355">
        <v>3.0640000000000001E-2</v>
      </c>
      <c r="AZ1127" s="624">
        <v>39899</v>
      </c>
      <c r="BA1127" s="355">
        <v>1.4E-2</v>
      </c>
      <c r="BB1127" s="624">
        <v>39832</v>
      </c>
      <c r="BC1127" s="355">
        <v>0.30330000000000001</v>
      </c>
      <c r="BD1127" s="624">
        <v>39833</v>
      </c>
      <c r="BE1127" s="355">
        <v>7.3050000000000004E-2</v>
      </c>
      <c r="BF1127" s="624">
        <v>39867</v>
      </c>
      <c r="BG1127" s="355">
        <v>2.0112999999999999E-2</v>
      </c>
      <c r="BH1127" s="624">
        <v>39833</v>
      </c>
      <c r="BI1127" s="355">
        <v>8.8293999999999997E-2</v>
      </c>
      <c r="BJ1127" s="624">
        <v>39832</v>
      </c>
      <c r="BK1127" s="355">
        <v>2.8611999999999999E-2</v>
      </c>
    </row>
    <row r="1128" spans="3:63">
      <c r="C1128" s="624"/>
      <c r="D1128" s="355">
        <v>3.0640000000000001E-2</v>
      </c>
      <c r="AV1128" s="624"/>
      <c r="AX1128" s="624">
        <v>39835</v>
      </c>
      <c r="AY1128" s="355">
        <v>3.058E-2</v>
      </c>
      <c r="AZ1128" s="624">
        <v>39902</v>
      </c>
      <c r="BA1128" s="355">
        <v>1.3899999999999999E-2</v>
      </c>
      <c r="BB1128" s="624">
        <v>39833</v>
      </c>
      <c r="BC1128" s="355">
        <v>0.29670000000000002</v>
      </c>
      <c r="BD1128" s="624">
        <v>39834</v>
      </c>
      <c r="BE1128" s="355">
        <v>7.3370000000000005E-2</v>
      </c>
      <c r="BF1128" s="624">
        <v>39868</v>
      </c>
      <c r="BG1128" s="355">
        <v>2.0036000000000002E-2</v>
      </c>
      <c r="BH1128" s="624">
        <v>39834</v>
      </c>
      <c r="BI1128" s="355">
        <v>9.0051000000000006E-2</v>
      </c>
      <c r="BJ1128" s="624">
        <v>39833</v>
      </c>
      <c r="BK1128" s="355">
        <v>2.8590999999999998E-2</v>
      </c>
    </row>
    <row r="1129" spans="3:63">
      <c r="C1129" s="624"/>
      <c r="D1129" s="355">
        <v>3.058E-2</v>
      </c>
      <c r="AV1129" s="624"/>
      <c r="AX1129" s="624">
        <v>39836</v>
      </c>
      <c r="AY1129" s="355">
        <v>3.0429999999999999E-2</v>
      </c>
      <c r="AZ1129" s="624">
        <v>39903</v>
      </c>
      <c r="BA1129" s="355">
        <v>1.4E-2</v>
      </c>
      <c r="BB1129" s="624">
        <v>39834</v>
      </c>
      <c r="BC1129" s="355">
        <v>0.30209999999999998</v>
      </c>
      <c r="BD1129" s="624">
        <v>39835</v>
      </c>
      <c r="BE1129" s="355">
        <v>7.2179999999999994E-2</v>
      </c>
      <c r="BF1129" s="624">
        <v>39869</v>
      </c>
      <c r="BG1129" s="355">
        <v>2.0028000000000001E-2</v>
      </c>
      <c r="BH1129" s="624">
        <v>39835</v>
      </c>
      <c r="BI1129" s="355">
        <v>8.8888999999999996E-2</v>
      </c>
      <c r="BJ1129" s="624">
        <v>39834</v>
      </c>
      <c r="BK1129" s="355">
        <v>2.8621000000000001E-2</v>
      </c>
    </row>
    <row r="1130" spans="3:63">
      <c r="C1130" s="624"/>
      <c r="D1130" s="355">
        <v>3.0429999999999999E-2</v>
      </c>
      <c r="AV1130" s="624"/>
      <c r="AX1130" s="624">
        <v>39839</v>
      </c>
      <c r="AY1130" s="355">
        <v>3.0499999999999999E-2</v>
      </c>
      <c r="AZ1130" s="624">
        <v>39904</v>
      </c>
      <c r="BA1130" s="355">
        <v>1.4E-2</v>
      </c>
      <c r="BB1130" s="624">
        <v>39835</v>
      </c>
      <c r="BC1130" s="355">
        <v>0.29770000000000002</v>
      </c>
      <c r="BD1130" s="624">
        <v>39836</v>
      </c>
      <c r="BE1130" s="355">
        <v>7.1319999999999995E-2</v>
      </c>
      <c r="BF1130" s="624">
        <v>39870</v>
      </c>
      <c r="BG1130" s="355">
        <v>1.9821999999999999E-2</v>
      </c>
      <c r="BH1130" s="624">
        <v>39836</v>
      </c>
      <c r="BI1130" s="355">
        <v>8.8125999999999996E-2</v>
      </c>
      <c r="BJ1130" s="624">
        <v>39835</v>
      </c>
      <c r="BK1130" s="355">
        <v>2.8653000000000001E-2</v>
      </c>
    </row>
    <row r="1131" spans="3:63">
      <c r="C1131" s="624"/>
      <c r="D1131" s="355">
        <v>3.0499999999999999E-2</v>
      </c>
      <c r="AV1131" s="624"/>
      <c r="AX1131" s="624">
        <v>39840</v>
      </c>
      <c r="AY1131" s="355">
        <v>3.023E-2</v>
      </c>
      <c r="AZ1131" s="624">
        <v>39905</v>
      </c>
      <c r="BA1131" s="355">
        <v>1.43E-2</v>
      </c>
      <c r="BB1131" s="624">
        <v>39836</v>
      </c>
      <c r="BC1131" s="355">
        <v>0.2944</v>
      </c>
      <c r="BD1131" s="624">
        <v>39839</v>
      </c>
      <c r="BE1131" s="355">
        <v>7.1209999999999996E-2</v>
      </c>
      <c r="BF1131" s="624">
        <v>39871</v>
      </c>
      <c r="BG1131" s="355">
        <v>1.9459000000000001E-2</v>
      </c>
      <c r="BH1131" s="624">
        <v>39839</v>
      </c>
      <c r="BI1131" s="355">
        <v>8.8771000000000003E-2</v>
      </c>
      <c r="BJ1131" s="624">
        <v>39836</v>
      </c>
      <c r="BK1131" s="355">
        <v>2.8611999999999999E-2</v>
      </c>
    </row>
    <row r="1132" spans="3:63">
      <c r="C1132" s="624"/>
      <c r="D1132" s="355">
        <v>3.023E-2</v>
      </c>
      <c r="AV1132" s="624"/>
      <c r="AX1132" s="624">
        <v>39841</v>
      </c>
      <c r="AY1132" s="355">
        <v>2.9489999999999999E-2</v>
      </c>
      <c r="AZ1132" s="624">
        <v>39906</v>
      </c>
      <c r="BA1132" s="355">
        <v>1.44E-2</v>
      </c>
      <c r="BB1132" s="624">
        <v>39839</v>
      </c>
      <c r="BC1132" s="355">
        <v>0.30059999999999998</v>
      </c>
      <c r="BD1132" s="624">
        <v>39840</v>
      </c>
      <c r="BE1132" s="355">
        <v>7.1749999999999994E-2</v>
      </c>
      <c r="BF1132" s="624">
        <v>39874</v>
      </c>
      <c r="BG1132" s="355">
        <v>1.9252999999999999E-2</v>
      </c>
      <c r="BH1132" s="624">
        <v>39840</v>
      </c>
      <c r="BI1132" s="355">
        <v>8.8300000000000003E-2</v>
      </c>
      <c r="BJ1132" s="624">
        <v>39839</v>
      </c>
      <c r="BK1132" s="355">
        <v>2.8649000000000001E-2</v>
      </c>
    </row>
    <row r="1133" spans="3:63">
      <c r="C1133" s="624"/>
      <c r="D1133" s="355">
        <v>2.9489999999999999E-2</v>
      </c>
      <c r="AV1133" s="624"/>
      <c r="AX1133" s="624">
        <v>39842</v>
      </c>
      <c r="AY1133" s="355">
        <v>2.8500000000000001E-2</v>
      </c>
      <c r="AZ1133" s="624">
        <v>39909</v>
      </c>
      <c r="BA1133" s="355">
        <v>1.43E-2</v>
      </c>
      <c r="BB1133" s="624">
        <v>39840</v>
      </c>
      <c r="BC1133" s="355">
        <v>0.29920000000000002</v>
      </c>
      <c r="BD1133" s="624">
        <v>39841</v>
      </c>
      <c r="BE1133" s="355">
        <v>7.3580000000000007E-2</v>
      </c>
      <c r="BF1133" s="624">
        <v>39875</v>
      </c>
      <c r="BG1133" s="355">
        <v>1.9238000000000002E-2</v>
      </c>
      <c r="BH1133" s="624">
        <v>39841</v>
      </c>
      <c r="BI1133" s="355">
        <v>8.8302000000000005E-2</v>
      </c>
      <c r="BJ1133" s="624">
        <v>39840</v>
      </c>
      <c r="BK1133" s="355">
        <v>2.8656999999999998E-2</v>
      </c>
    </row>
    <row r="1134" spans="3:63">
      <c r="C1134" s="624"/>
      <c r="D1134" s="355">
        <v>2.8500000000000001E-2</v>
      </c>
      <c r="AV1134" s="624"/>
      <c r="AX1134" s="624">
        <v>39843</v>
      </c>
      <c r="AY1134" s="355">
        <v>2.7980000000000001E-2</v>
      </c>
      <c r="AZ1134" s="624">
        <v>39910</v>
      </c>
      <c r="BA1134" s="355">
        <v>1.4200000000000001E-2</v>
      </c>
      <c r="BB1134" s="624">
        <v>39841</v>
      </c>
      <c r="BC1134" s="355">
        <v>0.30309999999999998</v>
      </c>
      <c r="BD1134" s="624">
        <v>39842</v>
      </c>
      <c r="BE1134" s="355">
        <v>7.2459999999999997E-2</v>
      </c>
      <c r="BF1134" s="624">
        <v>39876</v>
      </c>
      <c r="BG1134" s="355">
        <v>1.9406E-2</v>
      </c>
      <c r="BH1134" s="624">
        <v>39842</v>
      </c>
      <c r="BI1134" s="355">
        <v>8.8339000000000001E-2</v>
      </c>
      <c r="BJ1134" s="624">
        <v>39841</v>
      </c>
      <c r="BK1134" s="355">
        <v>2.8641E-2</v>
      </c>
    </row>
    <row r="1135" spans="3:63">
      <c r="C1135" s="624"/>
      <c r="D1135" s="355">
        <v>2.7980000000000001E-2</v>
      </c>
      <c r="AV1135" s="624"/>
      <c r="AX1135" s="624">
        <v>39846</v>
      </c>
      <c r="AY1135" s="355">
        <v>2.768E-2</v>
      </c>
      <c r="AZ1135" s="624">
        <v>39911</v>
      </c>
      <c r="BA1135" s="355">
        <v>1.4200000000000001E-2</v>
      </c>
      <c r="BB1135" s="624">
        <v>39842</v>
      </c>
      <c r="BC1135" s="355">
        <v>0.2949</v>
      </c>
      <c r="BD1135" s="624">
        <v>39843</v>
      </c>
      <c r="BE1135" s="355">
        <v>7.1779999999999997E-2</v>
      </c>
      <c r="BF1135" s="624">
        <v>39877</v>
      </c>
      <c r="BG1135" s="355">
        <v>1.932E-2</v>
      </c>
      <c r="BH1135" s="624">
        <v>39843</v>
      </c>
      <c r="BI1135" s="355">
        <v>8.7335999999999997E-2</v>
      </c>
      <c r="BJ1135" s="624">
        <v>39842</v>
      </c>
      <c r="BK1135" s="355">
        <v>2.8615999999999999E-2</v>
      </c>
    </row>
    <row r="1136" spans="3:63">
      <c r="C1136" s="624"/>
      <c r="D1136" s="355">
        <v>2.768E-2</v>
      </c>
      <c r="AV1136" s="624"/>
      <c r="AX1136" s="624">
        <v>39847</v>
      </c>
      <c r="AY1136" s="355">
        <v>2.7810000000000001E-2</v>
      </c>
      <c r="AZ1136" s="624">
        <v>39912</v>
      </c>
      <c r="BA1136" s="355">
        <v>1.4E-2</v>
      </c>
      <c r="BB1136" s="624">
        <v>39843</v>
      </c>
      <c r="BC1136" s="355">
        <v>0.28710000000000002</v>
      </c>
      <c r="BD1136" s="624">
        <v>39846</v>
      </c>
      <c r="BE1136" s="355">
        <v>7.1260000000000004E-2</v>
      </c>
      <c r="BF1136" s="624">
        <v>39878</v>
      </c>
      <c r="BG1136" s="355">
        <v>1.9345999999999999E-2</v>
      </c>
      <c r="BH1136" s="624">
        <v>39846</v>
      </c>
      <c r="BI1136" s="355">
        <v>8.5654999999999995E-2</v>
      </c>
      <c r="BJ1136" s="624">
        <v>39843</v>
      </c>
      <c r="BK1136" s="355">
        <v>2.8591999999999999E-2</v>
      </c>
    </row>
    <row r="1137" spans="3:63">
      <c r="C1137" s="624"/>
      <c r="D1137" s="355">
        <v>2.7810000000000001E-2</v>
      </c>
      <c r="AV1137" s="624"/>
      <c r="AX1137" s="624">
        <v>39848</v>
      </c>
      <c r="AY1137" s="355">
        <v>2.7570000000000001E-2</v>
      </c>
      <c r="AZ1137" s="624">
        <v>39913</v>
      </c>
      <c r="BA1137" s="355">
        <v>1.4E-2</v>
      </c>
      <c r="BB1137" s="624">
        <v>39846</v>
      </c>
      <c r="BC1137" s="355">
        <v>0.28639999999999999</v>
      </c>
      <c r="BD1137" s="624">
        <v>39847</v>
      </c>
      <c r="BE1137" s="355">
        <v>7.2249999999999995E-2</v>
      </c>
      <c r="BF1137" s="624">
        <v>39881</v>
      </c>
      <c r="BG1137" s="355">
        <v>1.9286000000000001E-2</v>
      </c>
      <c r="BH1137" s="624">
        <v>39847</v>
      </c>
      <c r="BI1137" s="355">
        <v>8.5205000000000003E-2</v>
      </c>
      <c r="BJ1137" s="624">
        <v>39846</v>
      </c>
      <c r="BK1137" s="355">
        <v>2.8596E-2</v>
      </c>
    </row>
    <row r="1138" spans="3:63">
      <c r="C1138" s="624"/>
      <c r="D1138" s="355">
        <v>2.7570000000000001E-2</v>
      </c>
      <c r="AV1138" s="624"/>
      <c r="AX1138" s="624">
        <v>39849</v>
      </c>
      <c r="AY1138" s="355">
        <v>2.75E-2</v>
      </c>
      <c r="AZ1138" s="624">
        <v>39916</v>
      </c>
      <c r="BA1138" s="355">
        <v>1.4200000000000001E-2</v>
      </c>
      <c r="BB1138" s="624">
        <v>39847</v>
      </c>
      <c r="BC1138" s="355">
        <v>0.28089999999999998</v>
      </c>
      <c r="BD1138" s="624">
        <v>39848</v>
      </c>
      <c r="BE1138" s="355">
        <v>7.2429999999999994E-2</v>
      </c>
      <c r="BF1138" s="624">
        <v>39884</v>
      </c>
      <c r="BG1138" s="355">
        <v>1.9283000000000002E-2</v>
      </c>
      <c r="BH1138" s="624">
        <v>39848</v>
      </c>
      <c r="BI1138" s="355">
        <v>8.5653999999999994E-2</v>
      </c>
      <c r="BJ1138" s="624">
        <v>39847</v>
      </c>
      <c r="BK1138" s="355">
        <v>2.8601000000000001E-2</v>
      </c>
    </row>
    <row r="1139" spans="3:63">
      <c r="C1139" s="624"/>
      <c r="D1139" s="355">
        <v>2.75E-2</v>
      </c>
      <c r="AV1139" s="624"/>
      <c r="AX1139" s="624">
        <v>39850</v>
      </c>
      <c r="AY1139" s="355">
        <v>2.7650000000000001E-2</v>
      </c>
      <c r="AZ1139" s="624">
        <v>39917</v>
      </c>
      <c r="BA1139" s="355">
        <v>1.41E-2</v>
      </c>
      <c r="BB1139" s="624">
        <v>39848</v>
      </c>
      <c r="BC1139" s="355">
        <v>0.27539999999999998</v>
      </c>
      <c r="BD1139" s="624">
        <v>39849</v>
      </c>
      <c r="BE1139" s="355">
        <v>7.2730000000000003E-2</v>
      </c>
      <c r="BF1139" s="624">
        <v>39885</v>
      </c>
      <c r="BG1139" s="355">
        <v>1.9417E-2</v>
      </c>
      <c r="BH1139" s="624">
        <v>39849</v>
      </c>
      <c r="BI1139" s="355">
        <v>8.5125000000000006E-2</v>
      </c>
      <c r="BJ1139" s="624">
        <v>39848</v>
      </c>
      <c r="BK1139" s="355">
        <v>2.8625000000000001E-2</v>
      </c>
    </row>
    <row r="1140" spans="3:63">
      <c r="C1140" s="624"/>
      <c r="D1140" s="355">
        <v>2.7650000000000001E-2</v>
      </c>
      <c r="AV1140" s="624"/>
      <c r="AX1140" s="624">
        <v>39853</v>
      </c>
      <c r="AY1140" s="355">
        <v>2.7869999999999999E-2</v>
      </c>
      <c r="AZ1140" s="624">
        <v>39918</v>
      </c>
      <c r="BA1140" s="355">
        <v>1.4200000000000001E-2</v>
      </c>
      <c r="BB1140" s="624">
        <v>39849</v>
      </c>
      <c r="BC1140" s="355">
        <v>0.27760000000000001</v>
      </c>
      <c r="BD1140" s="624">
        <v>39850</v>
      </c>
      <c r="BE1140" s="355">
        <v>7.2999999999999995E-2</v>
      </c>
      <c r="BF1140" s="624">
        <v>39888</v>
      </c>
      <c r="BG1140" s="355">
        <v>1.9456000000000001E-2</v>
      </c>
      <c r="BH1140" s="624">
        <v>39850</v>
      </c>
      <c r="BI1140" s="355">
        <v>8.5569000000000006E-2</v>
      </c>
      <c r="BJ1140" s="624">
        <v>39849</v>
      </c>
      <c r="BK1140" s="355">
        <v>2.8594000000000001E-2</v>
      </c>
    </row>
    <row r="1141" spans="3:63">
      <c r="C1141" s="624"/>
      <c r="D1141" s="355">
        <v>2.7869999999999999E-2</v>
      </c>
      <c r="AV1141" s="624"/>
      <c r="AX1141" s="624">
        <v>39854</v>
      </c>
      <c r="AY1141" s="355">
        <v>2.7900000000000001E-2</v>
      </c>
      <c r="AZ1141" s="624">
        <v>39919</v>
      </c>
      <c r="BA1141" s="355">
        <v>1.4200000000000001E-2</v>
      </c>
      <c r="BB1141" s="624">
        <v>39850</v>
      </c>
      <c r="BC1141" s="355">
        <v>0.28570000000000001</v>
      </c>
      <c r="BD1141" s="624">
        <v>39853</v>
      </c>
      <c r="BE1141" s="355">
        <v>7.2230000000000003E-2</v>
      </c>
      <c r="BF1141" s="624">
        <v>39889</v>
      </c>
      <c r="BG1141" s="355">
        <v>1.9421999999999998E-2</v>
      </c>
      <c r="BH1141" s="624">
        <v>39853</v>
      </c>
      <c r="BI1141" s="355">
        <v>8.4830000000000003E-2</v>
      </c>
      <c r="BJ1141" s="624">
        <v>39850</v>
      </c>
      <c r="BK1141" s="355">
        <v>2.8555000000000001E-2</v>
      </c>
    </row>
    <row r="1142" spans="3:63">
      <c r="C1142" s="624"/>
      <c r="D1142" s="355">
        <v>2.7900000000000001E-2</v>
      </c>
      <c r="AV1142" s="624"/>
      <c r="AX1142" s="624">
        <v>39855</v>
      </c>
      <c r="AY1142" s="355">
        <v>2.8490000000000001E-2</v>
      </c>
      <c r="AZ1142" s="624">
        <v>39920</v>
      </c>
      <c r="BA1142" s="355">
        <v>1.4E-2</v>
      </c>
      <c r="BB1142" s="624">
        <v>39853</v>
      </c>
      <c r="BC1142" s="355">
        <v>0.29360000000000003</v>
      </c>
      <c r="BD1142" s="624">
        <v>39854</v>
      </c>
      <c r="BE1142" s="355">
        <v>7.0209999999999995E-2</v>
      </c>
      <c r="BF1142" s="624">
        <v>39890</v>
      </c>
      <c r="BG1142" s="355">
        <v>1.9494000000000001E-2</v>
      </c>
      <c r="BH1142" s="624">
        <v>39854</v>
      </c>
      <c r="BI1142" s="355">
        <v>8.4766999999999995E-2</v>
      </c>
      <c r="BJ1142" s="624">
        <v>39853</v>
      </c>
      <c r="BK1142" s="355">
        <v>2.8570999999999999E-2</v>
      </c>
    </row>
    <row r="1143" spans="3:63">
      <c r="C1143" s="624"/>
      <c r="D1143" s="355">
        <v>2.8490000000000001E-2</v>
      </c>
      <c r="AV1143" s="624"/>
      <c r="AX1143" s="624">
        <v>39856</v>
      </c>
      <c r="AY1143" s="355">
        <v>2.886E-2</v>
      </c>
      <c r="AZ1143" s="624">
        <v>39923</v>
      </c>
      <c r="BA1143" s="355">
        <v>1.3899999999999999E-2</v>
      </c>
      <c r="BB1143" s="624">
        <v>39854</v>
      </c>
      <c r="BC1143" s="355">
        <v>0.28370000000000001</v>
      </c>
      <c r="BD1143" s="624">
        <v>39855</v>
      </c>
      <c r="BE1143" s="355">
        <v>7.195E-2</v>
      </c>
      <c r="BF1143" s="624">
        <v>39891</v>
      </c>
      <c r="BG1143" s="355">
        <v>1.9844000000000001E-2</v>
      </c>
      <c r="BH1143" s="624">
        <v>39855</v>
      </c>
      <c r="BI1143" s="355">
        <v>8.4961999999999996E-2</v>
      </c>
      <c r="BJ1143" s="624">
        <v>39854</v>
      </c>
      <c r="BK1143" s="355">
        <v>2.8569000000000001E-2</v>
      </c>
    </row>
    <row r="1144" spans="3:63">
      <c r="C1144" s="624"/>
      <c r="D1144" s="355">
        <v>2.886E-2</v>
      </c>
      <c r="AV1144" s="624"/>
      <c r="AX1144" s="624">
        <v>39857</v>
      </c>
      <c r="AY1144" s="355">
        <v>2.8879999999999999E-2</v>
      </c>
      <c r="AZ1144" s="624">
        <v>39924</v>
      </c>
      <c r="BA1144" s="355">
        <v>1.3899999999999999E-2</v>
      </c>
      <c r="BB1144" s="624">
        <v>39855</v>
      </c>
      <c r="BC1144" s="355">
        <v>0.28420000000000001</v>
      </c>
      <c r="BD1144" s="624">
        <v>39856</v>
      </c>
      <c r="BE1144" s="355">
        <v>7.1010000000000004E-2</v>
      </c>
      <c r="BF1144" s="624">
        <v>39892</v>
      </c>
      <c r="BG1144" s="355">
        <v>1.9744999999999999E-2</v>
      </c>
      <c r="BH1144" s="624">
        <v>39856</v>
      </c>
      <c r="BI1144" s="355">
        <v>8.2850999999999994E-2</v>
      </c>
      <c r="BJ1144" s="624">
        <v>39855</v>
      </c>
      <c r="BK1144" s="355">
        <v>2.8504000000000002E-2</v>
      </c>
    </row>
    <row r="1145" spans="3:63">
      <c r="C1145" s="624"/>
      <c r="D1145" s="355">
        <v>2.8879999999999999E-2</v>
      </c>
      <c r="AV1145" s="624"/>
      <c r="AX1145" s="624">
        <v>39860</v>
      </c>
      <c r="AY1145" s="355">
        <v>2.845E-2</v>
      </c>
      <c r="AZ1145" s="624">
        <v>39925</v>
      </c>
      <c r="BA1145" s="355">
        <v>1.3899999999999999E-2</v>
      </c>
      <c r="BB1145" s="624">
        <v>39856</v>
      </c>
      <c r="BC1145" s="355">
        <v>0.27839999999999998</v>
      </c>
      <c r="BD1145" s="624">
        <v>39857</v>
      </c>
      <c r="BE1145" s="355">
        <v>7.1010000000000004E-2</v>
      </c>
      <c r="BF1145" s="624">
        <v>39895</v>
      </c>
      <c r="BG1145" s="355">
        <v>1.9814999999999999E-2</v>
      </c>
      <c r="BH1145" s="624">
        <v>39857</v>
      </c>
      <c r="BI1145" s="355">
        <v>8.4530999999999995E-2</v>
      </c>
      <c r="BJ1145" s="624">
        <v>39856</v>
      </c>
      <c r="BK1145" s="355">
        <v>2.8431000000000001E-2</v>
      </c>
    </row>
    <row r="1146" spans="3:63">
      <c r="C1146" s="624"/>
      <c r="D1146" s="355">
        <v>2.845E-2</v>
      </c>
      <c r="AV1146" s="624"/>
      <c r="AX1146" s="624">
        <v>39861</v>
      </c>
      <c r="AY1146" s="355">
        <v>2.751E-2</v>
      </c>
      <c r="AZ1146" s="624">
        <v>39926</v>
      </c>
      <c r="BA1146" s="355">
        <v>1.38E-2</v>
      </c>
      <c r="BB1146" s="624">
        <v>39857</v>
      </c>
      <c r="BC1146" s="355">
        <v>0.2767</v>
      </c>
      <c r="BD1146" s="624">
        <v>39860</v>
      </c>
      <c r="BE1146" s="355">
        <v>7.0050000000000001E-2</v>
      </c>
      <c r="BF1146" s="624">
        <v>39896</v>
      </c>
      <c r="BG1146" s="355">
        <v>1.9717999999999999E-2</v>
      </c>
      <c r="BH1146" s="624">
        <v>39860</v>
      </c>
      <c r="BI1146" s="355">
        <v>8.4040000000000004E-2</v>
      </c>
      <c r="BJ1146" s="624">
        <v>39857</v>
      </c>
      <c r="BK1146" s="355">
        <v>2.8445000000000002E-2</v>
      </c>
    </row>
    <row r="1147" spans="3:63">
      <c r="C1147" s="624"/>
      <c r="D1147" s="355">
        <v>2.751E-2</v>
      </c>
      <c r="AV1147" s="624"/>
      <c r="AX1147" s="624">
        <v>39862</v>
      </c>
      <c r="AY1147" s="355">
        <v>2.7519999999999999E-2</v>
      </c>
      <c r="AZ1147" s="624">
        <v>39927</v>
      </c>
      <c r="BA1147" s="355">
        <v>1.4E-2</v>
      </c>
      <c r="BB1147" s="624">
        <v>39860</v>
      </c>
      <c r="BC1147" s="355">
        <v>0.26440000000000002</v>
      </c>
      <c r="BD1147" s="624">
        <v>39861</v>
      </c>
      <c r="BE1147" s="355">
        <v>6.8349999999999994E-2</v>
      </c>
      <c r="BF1147" s="624">
        <v>39897</v>
      </c>
      <c r="BG1147" s="355">
        <v>1.9708E-2</v>
      </c>
      <c r="BH1147" s="624">
        <v>39861</v>
      </c>
      <c r="BI1147" s="355">
        <v>8.4033999999999998E-2</v>
      </c>
      <c r="BJ1147" s="624">
        <v>39860</v>
      </c>
      <c r="BK1147" s="355">
        <v>2.8423E-2</v>
      </c>
    </row>
    <row r="1148" spans="3:63">
      <c r="C1148" s="624"/>
      <c r="D1148" s="355">
        <v>2.7519999999999999E-2</v>
      </c>
      <c r="AV1148" s="624"/>
      <c r="AX1148" s="624">
        <v>39863</v>
      </c>
      <c r="AY1148" s="355">
        <v>2.7859999999999999E-2</v>
      </c>
      <c r="AZ1148" s="624">
        <v>39930</v>
      </c>
      <c r="BA1148" s="355">
        <v>1.3599999999999999E-2</v>
      </c>
      <c r="BB1148" s="624">
        <v>39861</v>
      </c>
      <c r="BC1148" s="355">
        <v>0.25659999999999999</v>
      </c>
      <c r="BD1148" s="624">
        <v>39862</v>
      </c>
      <c r="BE1148" s="355">
        <v>6.7750000000000005E-2</v>
      </c>
      <c r="BF1148" s="624">
        <v>39898</v>
      </c>
      <c r="BG1148" s="355">
        <v>1.9776999999999999E-2</v>
      </c>
      <c r="BH1148" s="624">
        <v>39862</v>
      </c>
      <c r="BI1148" s="355">
        <v>8.3333000000000004E-2</v>
      </c>
      <c r="BJ1148" s="624">
        <v>39861</v>
      </c>
      <c r="BK1148" s="355">
        <v>2.8357E-2</v>
      </c>
    </row>
    <row r="1149" spans="3:63">
      <c r="C1149" s="624"/>
      <c r="D1149" s="355">
        <v>2.7859999999999999E-2</v>
      </c>
      <c r="AV1149" s="624"/>
      <c r="AX1149" s="624">
        <v>39864</v>
      </c>
      <c r="AY1149" s="355">
        <v>2.784E-2</v>
      </c>
      <c r="AZ1149" s="624">
        <v>39931</v>
      </c>
      <c r="BA1149" s="355">
        <v>1.38E-2</v>
      </c>
      <c r="BB1149" s="624">
        <v>39862</v>
      </c>
      <c r="BC1149" s="355">
        <v>0.26229999999999998</v>
      </c>
      <c r="BD1149" s="624">
        <v>39863</v>
      </c>
      <c r="BE1149" s="355">
        <v>6.7460000000000006E-2</v>
      </c>
      <c r="BF1149" s="624">
        <v>39902</v>
      </c>
      <c r="BG1149" s="355">
        <v>1.9535E-2</v>
      </c>
      <c r="BH1149" s="624">
        <v>39863</v>
      </c>
      <c r="BI1149" s="355">
        <v>8.2682000000000005E-2</v>
      </c>
      <c r="BJ1149" s="624">
        <v>39862</v>
      </c>
      <c r="BK1149" s="355">
        <v>2.8261000000000001E-2</v>
      </c>
    </row>
    <row r="1150" spans="3:63">
      <c r="C1150" s="624"/>
      <c r="D1150" s="355">
        <v>2.784E-2</v>
      </c>
      <c r="AV1150" s="624"/>
      <c r="AX1150" s="624">
        <v>39867</v>
      </c>
      <c r="AY1150" s="355">
        <v>2.7720000000000002E-2</v>
      </c>
      <c r="AZ1150" s="624">
        <v>39932</v>
      </c>
      <c r="BA1150" s="355">
        <v>1.4E-2</v>
      </c>
      <c r="BB1150" s="624">
        <v>39863</v>
      </c>
      <c r="BC1150" s="355">
        <v>0.26429999999999998</v>
      </c>
      <c r="BD1150" s="624">
        <v>39864</v>
      </c>
      <c r="BE1150" s="355">
        <v>6.6009999999999999E-2</v>
      </c>
      <c r="BF1150" s="624">
        <v>39903</v>
      </c>
      <c r="BG1150" s="355">
        <v>1.9712E-2</v>
      </c>
      <c r="BH1150" s="624">
        <v>39864</v>
      </c>
      <c r="BI1150" s="355">
        <v>8.2988000000000006E-2</v>
      </c>
      <c r="BJ1150" s="624">
        <v>39863</v>
      </c>
      <c r="BK1150" s="355">
        <v>2.8119999999999999E-2</v>
      </c>
    </row>
    <row r="1151" spans="3:63">
      <c r="C1151" s="624"/>
      <c r="D1151" s="355">
        <v>2.7720000000000002E-2</v>
      </c>
      <c r="AV1151" s="624"/>
      <c r="AX1151" s="624">
        <v>39868</v>
      </c>
      <c r="AY1151" s="355">
        <v>2.7900000000000001E-2</v>
      </c>
      <c r="AZ1151" s="624">
        <v>39933</v>
      </c>
      <c r="BA1151" s="355">
        <v>1.4E-2</v>
      </c>
      <c r="BB1151" s="624">
        <v>39864</v>
      </c>
      <c r="BC1151" s="355">
        <v>0.27029999999999998</v>
      </c>
      <c r="BD1151" s="624">
        <v>39867</v>
      </c>
      <c r="BE1151" s="355">
        <v>6.6640000000000005E-2</v>
      </c>
      <c r="BF1151" s="624">
        <v>39905</v>
      </c>
      <c r="BG1151" s="355">
        <v>1.9859999999999999E-2</v>
      </c>
      <c r="BH1151" s="624">
        <v>39867</v>
      </c>
      <c r="BI1151" s="355">
        <v>8.3788000000000001E-2</v>
      </c>
      <c r="BJ1151" s="624">
        <v>39864</v>
      </c>
      <c r="BK1151" s="355">
        <v>2.7992E-2</v>
      </c>
    </row>
    <row r="1152" spans="3:63">
      <c r="C1152" s="624"/>
      <c r="D1152" s="355">
        <v>2.7900000000000001E-2</v>
      </c>
      <c r="AV1152" s="624"/>
      <c r="AX1152" s="624">
        <v>39869</v>
      </c>
      <c r="AY1152" s="355">
        <v>2.792E-2</v>
      </c>
      <c r="AZ1152" s="624">
        <v>39934</v>
      </c>
      <c r="BA1152" s="355">
        <v>1.4E-2</v>
      </c>
      <c r="BB1152" s="624">
        <v>39867</v>
      </c>
      <c r="BC1152" s="355">
        <v>0.27250000000000002</v>
      </c>
      <c r="BD1152" s="624">
        <v>39868</v>
      </c>
      <c r="BE1152" s="355">
        <v>6.5930000000000002E-2</v>
      </c>
      <c r="BF1152" s="624">
        <v>39909</v>
      </c>
      <c r="BG1152" s="355">
        <v>1.9966999999999999E-2</v>
      </c>
      <c r="BH1152" s="624">
        <v>39868</v>
      </c>
      <c r="BI1152" s="355">
        <v>8.3543999999999993E-2</v>
      </c>
      <c r="BJ1152" s="624">
        <v>39867</v>
      </c>
      <c r="BK1152" s="355">
        <v>2.8062E-2</v>
      </c>
    </row>
    <row r="1153" spans="3:63">
      <c r="C1153" s="624"/>
      <c r="D1153" s="355">
        <v>2.792E-2</v>
      </c>
      <c r="AV1153" s="624"/>
      <c r="AX1153" s="624">
        <v>39870</v>
      </c>
      <c r="AY1153" s="355">
        <v>2.802E-2</v>
      </c>
      <c r="AZ1153" s="624">
        <v>39937</v>
      </c>
      <c r="BA1153" s="355">
        <v>1.41E-2</v>
      </c>
      <c r="BB1153" s="624">
        <v>39868</v>
      </c>
      <c r="BC1153" s="355">
        <v>0.27760000000000001</v>
      </c>
      <c r="BD1153" s="624">
        <v>39869</v>
      </c>
      <c r="BE1153" s="355">
        <v>6.6100000000000006E-2</v>
      </c>
      <c r="BF1153" s="624">
        <v>39911</v>
      </c>
      <c r="BG1153" s="355">
        <v>1.992E-2</v>
      </c>
      <c r="BH1153" s="624">
        <v>39869</v>
      </c>
      <c r="BI1153" s="355">
        <v>8.3062999999999998E-2</v>
      </c>
      <c r="BJ1153" s="624">
        <v>39868</v>
      </c>
      <c r="BK1153" s="355">
        <v>2.8063999999999999E-2</v>
      </c>
    </row>
    <row r="1154" spans="3:63">
      <c r="C1154" s="624"/>
      <c r="D1154" s="355">
        <v>2.802E-2</v>
      </c>
      <c r="AV1154" s="624"/>
      <c r="AX1154" s="624">
        <v>39871</v>
      </c>
      <c r="AY1154" s="355">
        <v>2.785E-2</v>
      </c>
      <c r="AZ1154" s="624">
        <v>39938</v>
      </c>
      <c r="BA1154" s="355">
        <v>1.41E-2</v>
      </c>
      <c r="BB1154" s="624">
        <v>39869</v>
      </c>
      <c r="BC1154" s="355">
        <v>0.2712</v>
      </c>
      <c r="BD1154" s="624">
        <v>39870</v>
      </c>
      <c r="BE1154" s="355">
        <v>6.5909999999999996E-2</v>
      </c>
      <c r="BF1154" s="624">
        <v>39912</v>
      </c>
      <c r="BG1154" s="355">
        <v>1.9997999999999998E-2</v>
      </c>
      <c r="BH1154" s="624">
        <v>39870</v>
      </c>
      <c r="BI1154" s="355">
        <v>8.3333000000000004E-2</v>
      </c>
      <c r="BJ1154" s="624">
        <v>39869</v>
      </c>
      <c r="BK1154" s="355">
        <v>2.7956000000000002E-2</v>
      </c>
    </row>
    <row r="1155" spans="3:63">
      <c r="C1155" s="624"/>
      <c r="D1155" s="355">
        <v>2.785E-2</v>
      </c>
      <c r="AV1155" s="624"/>
      <c r="AX1155" s="624">
        <v>39874</v>
      </c>
      <c r="AY1155" s="355">
        <v>2.7650000000000001E-2</v>
      </c>
      <c r="AZ1155" s="624">
        <v>39939</v>
      </c>
      <c r="BA1155" s="355">
        <v>1.4E-2</v>
      </c>
      <c r="BB1155" s="624">
        <v>39870</v>
      </c>
      <c r="BC1155" s="355">
        <v>0.27060000000000001</v>
      </c>
      <c r="BD1155" s="624">
        <v>39871</v>
      </c>
      <c r="BE1155" s="355">
        <v>6.5210000000000004E-2</v>
      </c>
      <c r="BF1155" s="624">
        <v>39916</v>
      </c>
      <c r="BG1155" s="355">
        <v>2.0043999999999999E-2</v>
      </c>
      <c r="BH1155" s="624">
        <v>39871</v>
      </c>
      <c r="BI1155" s="355">
        <v>8.3404000000000006E-2</v>
      </c>
      <c r="BJ1155" s="624">
        <v>39870</v>
      </c>
      <c r="BK1155" s="355">
        <v>2.7805E-2</v>
      </c>
    </row>
    <row r="1156" spans="3:63">
      <c r="C1156" s="624"/>
      <c r="D1156" s="355">
        <v>2.7650000000000001E-2</v>
      </c>
      <c r="AV1156" s="624"/>
      <c r="AX1156" s="624">
        <v>39875</v>
      </c>
      <c r="AY1156" s="355">
        <v>2.76E-2</v>
      </c>
      <c r="AZ1156" s="624">
        <v>39940</v>
      </c>
      <c r="BA1156" s="355">
        <v>1.4E-2</v>
      </c>
      <c r="BB1156" s="624">
        <v>39871</v>
      </c>
      <c r="BC1156" s="355">
        <v>0.2727</v>
      </c>
      <c r="BD1156" s="624">
        <v>39874</v>
      </c>
      <c r="BE1156" s="355">
        <v>6.3670000000000004E-2</v>
      </c>
      <c r="BF1156" s="624">
        <v>39918</v>
      </c>
      <c r="BG1156" s="355">
        <v>2.0125000000000001E-2</v>
      </c>
      <c r="BH1156" s="624">
        <v>39874</v>
      </c>
      <c r="BI1156" s="355">
        <v>8.1969E-2</v>
      </c>
      <c r="BJ1156" s="624">
        <v>39871</v>
      </c>
      <c r="BK1156" s="355">
        <v>2.7632E-2</v>
      </c>
    </row>
    <row r="1157" spans="3:63">
      <c r="C1157" s="624"/>
      <c r="D1157" s="355">
        <v>2.76E-2</v>
      </c>
      <c r="AV1157" s="624"/>
      <c r="AX1157" s="624">
        <v>39876</v>
      </c>
      <c r="AY1157" s="355">
        <v>2.7820000000000001E-2</v>
      </c>
      <c r="AZ1157" s="624">
        <v>39941</v>
      </c>
      <c r="BA1157" s="355">
        <v>1.44E-2</v>
      </c>
      <c r="BB1157" s="624">
        <v>39874</v>
      </c>
      <c r="BC1157" s="355">
        <v>0.26390000000000002</v>
      </c>
      <c r="BD1157" s="624">
        <v>39875</v>
      </c>
      <c r="BE1157" s="355">
        <v>6.4439999999999997E-2</v>
      </c>
      <c r="BF1157" s="624">
        <v>39919</v>
      </c>
      <c r="BG1157" s="355">
        <v>2.0093E-2</v>
      </c>
      <c r="BH1157" s="624">
        <v>39875</v>
      </c>
      <c r="BI1157" s="355">
        <v>8.2988000000000006E-2</v>
      </c>
      <c r="BJ1157" s="624">
        <v>39874</v>
      </c>
      <c r="BK1157" s="355">
        <v>2.7567000000000001E-2</v>
      </c>
    </row>
    <row r="1158" spans="3:63">
      <c r="C1158" s="624"/>
      <c r="D1158" s="355">
        <v>2.7820000000000001E-2</v>
      </c>
      <c r="AV1158" s="624"/>
      <c r="AX1158" s="624">
        <v>39877</v>
      </c>
      <c r="AY1158" s="355">
        <v>2.7859999999999999E-2</v>
      </c>
      <c r="AZ1158" s="624">
        <v>39944</v>
      </c>
      <c r="BA1158" s="355">
        <v>1.44E-2</v>
      </c>
      <c r="BB1158" s="624">
        <v>39875</v>
      </c>
      <c r="BC1158" s="355">
        <v>0.26319999999999999</v>
      </c>
      <c r="BD1158" s="624">
        <v>39876</v>
      </c>
      <c r="BE1158" s="355">
        <v>6.4460000000000003E-2</v>
      </c>
      <c r="BF1158" s="624">
        <v>39920</v>
      </c>
      <c r="BG1158" s="355">
        <v>2.0052E-2</v>
      </c>
      <c r="BH1158" s="624">
        <v>39876</v>
      </c>
      <c r="BI1158" s="355">
        <v>8.3335000000000006E-2</v>
      </c>
      <c r="BJ1158" s="624">
        <v>39875</v>
      </c>
      <c r="BK1158" s="355">
        <v>2.768E-2</v>
      </c>
    </row>
    <row r="1159" spans="3:63">
      <c r="C1159" s="624"/>
      <c r="D1159" s="355">
        <v>2.7859999999999999E-2</v>
      </c>
      <c r="AV1159" s="624"/>
      <c r="AX1159" s="624">
        <v>39878</v>
      </c>
      <c r="AY1159" s="355">
        <v>2.7959999999999999E-2</v>
      </c>
      <c r="AZ1159" s="624">
        <v>39945</v>
      </c>
      <c r="BA1159" s="355">
        <v>1.44E-2</v>
      </c>
      <c r="BB1159" s="624">
        <v>39876</v>
      </c>
      <c r="BC1159" s="355">
        <v>0.27100000000000002</v>
      </c>
      <c r="BD1159" s="624">
        <v>39877</v>
      </c>
      <c r="BE1159" s="355">
        <v>6.3140000000000002E-2</v>
      </c>
      <c r="BF1159" s="624">
        <v>39923</v>
      </c>
      <c r="BG1159" s="355">
        <v>1.9886999999999998E-2</v>
      </c>
      <c r="BH1159" s="624">
        <v>39877</v>
      </c>
      <c r="BI1159" s="355">
        <v>8.2752000000000006E-2</v>
      </c>
      <c r="BJ1159" s="624">
        <v>39876</v>
      </c>
      <c r="BK1159" s="355">
        <v>2.7716999999999999E-2</v>
      </c>
    </row>
    <row r="1160" spans="3:63">
      <c r="C1160" s="624"/>
      <c r="D1160" s="355">
        <v>2.7959999999999999E-2</v>
      </c>
      <c r="AV1160" s="624"/>
      <c r="AX1160" s="624">
        <v>39881</v>
      </c>
      <c r="AY1160" s="355">
        <v>2.8049999999999999E-2</v>
      </c>
      <c r="AZ1160" s="624">
        <v>39946</v>
      </c>
      <c r="BA1160" s="355">
        <v>1.43E-2</v>
      </c>
      <c r="BB1160" s="624">
        <v>39877</v>
      </c>
      <c r="BC1160" s="355">
        <v>0.26440000000000002</v>
      </c>
      <c r="BD1160" s="624">
        <v>39878</v>
      </c>
      <c r="BE1160" s="355">
        <v>6.4600000000000005E-2</v>
      </c>
      <c r="BF1160" s="624">
        <v>39924</v>
      </c>
      <c r="BG1160" s="355">
        <v>1.9816E-2</v>
      </c>
      <c r="BH1160" s="624">
        <v>39878</v>
      </c>
      <c r="BI1160" s="355">
        <v>8.3056000000000005E-2</v>
      </c>
      <c r="BJ1160" s="624">
        <v>39877</v>
      </c>
      <c r="BK1160" s="355">
        <v>2.7605000000000001E-2</v>
      </c>
    </row>
    <row r="1161" spans="3:63">
      <c r="C1161" s="624"/>
      <c r="D1161" s="355">
        <v>2.8049999999999999E-2</v>
      </c>
      <c r="AV1161" s="624"/>
      <c r="AX1161" s="624">
        <v>39882</v>
      </c>
      <c r="AY1161" s="355">
        <v>2.853E-2</v>
      </c>
      <c r="AZ1161" s="624">
        <v>39947</v>
      </c>
      <c r="BA1161" s="355">
        <v>1.44E-2</v>
      </c>
      <c r="BB1161" s="624">
        <v>39878</v>
      </c>
      <c r="BC1161" s="355">
        <v>0.26790000000000003</v>
      </c>
      <c r="BD1161" s="624">
        <v>39881</v>
      </c>
      <c r="BE1161" s="355">
        <v>6.4500000000000002E-2</v>
      </c>
      <c r="BF1161" s="624">
        <v>39925</v>
      </c>
      <c r="BG1161" s="355">
        <v>1.9872999999999998E-2</v>
      </c>
      <c r="BH1161" s="624">
        <v>39881</v>
      </c>
      <c r="BI1161" s="355">
        <v>8.3142999999999995E-2</v>
      </c>
      <c r="BJ1161" s="624">
        <v>39878</v>
      </c>
      <c r="BK1161" s="355">
        <v>2.7782000000000001E-2</v>
      </c>
    </row>
    <row r="1162" spans="3:63">
      <c r="C1162" s="624"/>
      <c r="D1162" s="355">
        <v>2.853E-2</v>
      </c>
      <c r="AV1162" s="624"/>
      <c r="AX1162" s="624">
        <v>39883</v>
      </c>
      <c r="AY1162" s="355">
        <v>2.8580000000000001E-2</v>
      </c>
      <c r="AZ1162" s="624">
        <v>39948</v>
      </c>
      <c r="BA1162" s="355">
        <v>1.43E-2</v>
      </c>
      <c r="BB1162" s="624">
        <v>39881</v>
      </c>
      <c r="BC1162" s="355">
        <v>0.26579999999999998</v>
      </c>
      <c r="BD1162" s="624">
        <v>39882</v>
      </c>
      <c r="BE1162" s="355">
        <v>6.6860000000000003E-2</v>
      </c>
      <c r="BF1162" s="624">
        <v>39926</v>
      </c>
      <c r="BG1162" s="355">
        <v>2.0029000000000002E-2</v>
      </c>
      <c r="BH1162" s="624">
        <v>39882</v>
      </c>
      <c r="BI1162" s="355">
        <v>8.4213999999999997E-2</v>
      </c>
      <c r="BJ1162" s="624">
        <v>39881</v>
      </c>
      <c r="BK1162" s="355">
        <v>2.7666E-2</v>
      </c>
    </row>
    <row r="1163" spans="3:63">
      <c r="C1163" s="624"/>
      <c r="D1163" s="355">
        <v>2.8580000000000001E-2</v>
      </c>
      <c r="AV1163" s="624"/>
      <c r="AX1163" s="624">
        <v>39884</v>
      </c>
      <c r="AY1163" s="355">
        <v>2.8570000000000002E-2</v>
      </c>
      <c r="AZ1163" s="624">
        <v>39951</v>
      </c>
      <c r="BA1163" s="355">
        <v>1.43E-2</v>
      </c>
      <c r="BB1163" s="624">
        <v>39882</v>
      </c>
      <c r="BC1163" s="355">
        <v>0.2737</v>
      </c>
      <c r="BD1163" s="624">
        <v>39883</v>
      </c>
      <c r="BE1163" s="355">
        <v>6.7510000000000001E-2</v>
      </c>
      <c r="BF1163" s="624">
        <v>39927</v>
      </c>
      <c r="BG1163" s="355">
        <v>2.0084999999999999E-2</v>
      </c>
      <c r="BH1163" s="624">
        <v>39883</v>
      </c>
      <c r="BI1163" s="355">
        <v>8.3162E-2</v>
      </c>
      <c r="BJ1163" s="624">
        <v>39882</v>
      </c>
      <c r="BK1163" s="355">
        <v>2.7806999999999998E-2</v>
      </c>
    </row>
    <row r="1164" spans="3:63">
      <c r="C1164" s="624"/>
      <c r="D1164" s="355">
        <v>2.8570000000000002E-2</v>
      </c>
      <c r="AV1164" s="624"/>
      <c r="AX1164" s="624">
        <v>39885</v>
      </c>
      <c r="AY1164" s="355">
        <v>2.8830000000000001E-2</v>
      </c>
      <c r="AZ1164" s="624">
        <v>39952</v>
      </c>
      <c r="BA1164" s="355">
        <v>1.4500000000000001E-2</v>
      </c>
      <c r="BB1164" s="624">
        <v>39883</v>
      </c>
      <c r="BC1164" s="355">
        <v>0.2782</v>
      </c>
      <c r="BD1164" s="624">
        <v>39884</v>
      </c>
      <c r="BE1164" s="355">
        <v>6.7720000000000002E-2</v>
      </c>
      <c r="BF1164" s="624">
        <v>39930</v>
      </c>
      <c r="BG1164" s="355">
        <v>1.9911000000000002E-2</v>
      </c>
      <c r="BH1164" s="624">
        <v>39884</v>
      </c>
      <c r="BI1164" s="355">
        <v>8.3745E-2</v>
      </c>
      <c r="BJ1164" s="624">
        <v>39883</v>
      </c>
      <c r="BK1164" s="355">
        <v>2.7799000000000001E-2</v>
      </c>
    </row>
    <row r="1165" spans="3:63">
      <c r="C1165" s="624"/>
      <c r="D1165" s="355">
        <v>2.8830000000000001E-2</v>
      </c>
      <c r="AV1165" s="624"/>
      <c r="AX1165" s="624">
        <v>39888</v>
      </c>
      <c r="AY1165" s="355">
        <v>2.887E-2</v>
      </c>
      <c r="AZ1165" s="624">
        <v>39953</v>
      </c>
      <c r="BA1165" s="355">
        <v>1.46E-2</v>
      </c>
      <c r="BB1165" s="624">
        <v>39884</v>
      </c>
      <c r="BC1165" s="355">
        <v>0.28770000000000001</v>
      </c>
      <c r="BD1165" s="624">
        <v>39885</v>
      </c>
      <c r="BE1165" s="355">
        <v>6.7299999999999999E-2</v>
      </c>
      <c r="BF1165" s="624">
        <v>39931</v>
      </c>
      <c r="BG1165" s="355">
        <v>1.9792000000000001E-2</v>
      </c>
      <c r="BH1165" s="624">
        <v>39885</v>
      </c>
      <c r="BI1165" s="355">
        <v>8.3648E-2</v>
      </c>
      <c r="BJ1165" s="624">
        <v>39884</v>
      </c>
      <c r="BK1165" s="355">
        <v>2.7879000000000001E-2</v>
      </c>
    </row>
    <row r="1166" spans="3:63">
      <c r="C1166" s="624"/>
      <c r="D1166" s="355">
        <v>2.887E-2</v>
      </c>
      <c r="AV1166" s="624"/>
      <c r="AX1166" s="624">
        <v>39889</v>
      </c>
      <c r="AY1166" s="355">
        <v>2.8989999999999998E-2</v>
      </c>
      <c r="AZ1166" s="624">
        <v>39954</v>
      </c>
      <c r="BA1166" s="355">
        <v>1.47E-2</v>
      </c>
      <c r="BB1166" s="624">
        <v>39885</v>
      </c>
      <c r="BC1166" s="355">
        <v>0.28810000000000002</v>
      </c>
      <c r="BD1166" s="624">
        <v>39888</v>
      </c>
      <c r="BE1166" s="355">
        <v>7.0169999999999996E-2</v>
      </c>
      <c r="BF1166" s="624">
        <v>39932</v>
      </c>
      <c r="BG1166" s="355">
        <v>1.9980999999999999E-2</v>
      </c>
      <c r="BH1166" s="624">
        <v>39888</v>
      </c>
      <c r="BI1166" s="355">
        <v>8.3824999999999997E-2</v>
      </c>
      <c r="BJ1166" s="624">
        <v>39885</v>
      </c>
      <c r="BK1166" s="355">
        <v>2.7816E-2</v>
      </c>
    </row>
    <row r="1167" spans="3:63">
      <c r="C1167" s="624"/>
      <c r="D1167" s="355">
        <v>2.8989999999999998E-2</v>
      </c>
      <c r="AV1167" s="624"/>
      <c r="AX1167" s="624">
        <v>39890</v>
      </c>
      <c r="AY1167" s="355">
        <v>2.9440000000000001E-2</v>
      </c>
      <c r="AZ1167" s="624">
        <v>39955</v>
      </c>
      <c r="BA1167" s="355">
        <v>1.4800000000000001E-2</v>
      </c>
      <c r="BB1167" s="624">
        <v>39888</v>
      </c>
      <c r="BC1167" s="355">
        <v>0.29070000000000001</v>
      </c>
      <c r="BD1167" s="624">
        <v>39889</v>
      </c>
      <c r="BE1167" s="355">
        <v>7.1080000000000004E-2</v>
      </c>
      <c r="BF1167" s="624">
        <v>39937</v>
      </c>
      <c r="BG1167" s="355">
        <v>2.0036000000000002E-2</v>
      </c>
      <c r="BH1167" s="624">
        <v>39889</v>
      </c>
      <c r="BI1167" s="355">
        <v>8.3062999999999998E-2</v>
      </c>
      <c r="BJ1167" s="624">
        <v>39888</v>
      </c>
      <c r="BK1167" s="355">
        <v>2.7917000000000001E-2</v>
      </c>
    </row>
    <row r="1168" spans="3:63">
      <c r="C1168" s="624"/>
      <c r="D1168" s="355">
        <v>2.9440000000000001E-2</v>
      </c>
      <c r="AV1168" s="624"/>
      <c r="AX1168" s="624">
        <v>39891</v>
      </c>
      <c r="AY1168" s="355">
        <v>2.9989999999999999E-2</v>
      </c>
      <c r="AZ1168" s="624">
        <v>39958</v>
      </c>
      <c r="BA1168" s="355">
        <v>1.4800000000000001E-2</v>
      </c>
      <c r="BB1168" s="624">
        <v>39889</v>
      </c>
      <c r="BC1168" s="355">
        <v>0.28889999999999999</v>
      </c>
      <c r="BD1168" s="624">
        <v>39890</v>
      </c>
      <c r="BE1168" s="355">
        <v>7.2419999999999998E-2</v>
      </c>
      <c r="BF1168" s="624">
        <v>39938</v>
      </c>
      <c r="BG1168" s="355">
        <v>2.0282999999999999E-2</v>
      </c>
      <c r="BH1168" s="624">
        <v>39890</v>
      </c>
      <c r="BI1168" s="355">
        <v>8.4034999999999999E-2</v>
      </c>
      <c r="BJ1168" s="624">
        <v>39889</v>
      </c>
      <c r="BK1168" s="355">
        <v>2.7924999999999998E-2</v>
      </c>
    </row>
    <row r="1169" spans="3:63">
      <c r="C1169" s="624"/>
      <c r="D1169" s="355">
        <v>2.9989999999999999E-2</v>
      </c>
      <c r="AV1169" s="624"/>
      <c r="AX1169" s="624">
        <v>39892</v>
      </c>
      <c r="AY1169" s="355">
        <v>2.9850000000000002E-2</v>
      </c>
      <c r="AZ1169" s="624">
        <v>39959</v>
      </c>
      <c r="BA1169" s="355">
        <v>1.4800000000000001E-2</v>
      </c>
      <c r="BB1169" s="624">
        <v>39890</v>
      </c>
      <c r="BC1169" s="355">
        <v>0.2999</v>
      </c>
      <c r="BD1169" s="624">
        <v>39891</v>
      </c>
      <c r="BE1169" s="355">
        <v>7.1919999999999998E-2</v>
      </c>
      <c r="BF1169" s="624">
        <v>39939</v>
      </c>
      <c r="BG1169" s="355">
        <v>2.0159E-2</v>
      </c>
      <c r="BH1169" s="624">
        <v>39891</v>
      </c>
      <c r="BI1169" s="355">
        <v>8.3859000000000003E-2</v>
      </c>
      <c r="BJ1169" s="624">
        <v>39890</v>
      </c>
      <c r="BK1169" s="355">
        <v>2.7968E-2</v>
      </c>
    </row>
    <row r="1170" spans="3:63">
      <c r="C1170" s="624"/>
      <c r="D1170" s="355">
        <v>2.9850000000000002E-2</v>
      </c>
      <c r="AV1170" s="624"/>
      <c r="AX1170" s="624">
        <v>39895</v>
      </c>
      <c r="AY1170" s="355">
        <v>3.0130000000000001E-2</v>
      </c>
      <c r="AZ1170" s="624">
        <v>39960</v>
      </c>
      <c r="BA1170" s="355">
        <v>1.46E-2</v>
      </c>
      <c r="BB1170" s="624">
        <v>39891</v>
      </c>
      <c r="BC1170" s="355">
        <v>0.29509999999999997</v>
      </c>
      <c r="BD1170" s="624">
        <v>39892</v>
      </c>
      <c r="BE1170" s="355">
        <v>7.1110000000000007E-2</v>
      </c>
      <c r="BF1170" s="624">
        <v>39940</v>
      </c>
      <c r="BG1170" s="355">
        <v>2.0292999999999999E-2</v>
      </c>
      <c r="BH1170" s="624">
        <v>39892</v>
      </c>
      <c r="BI1170" s="355">
        <v>8.4927000000000002E-2</v>
      </c>
      <c r="BJ1170" s="624">
        <v>39891</v>
      </c>
      <c r="BK1170" s="355">
        <v>2.8249E-2</v>
      </c>
    </row>
    <row r="1171" spans="3:63">
      <c r="C1171" s="624"/>
      <c r="D1171" s="355">
        <v>3.0130000000000001E-2</v>
      </c>
      <c r="AV1171" s="624"/>
      <c r="AX1171" s="624">
        <v>39896</v>
      </c>
      <c r="AY1171" s="355">
        <v>2.9870000000000001E-2</v>
      </c>
      <c r="AZ1171" s="624">
        <v>39961</v>
      </c>
      <c r="BA1171" s="355">
        <v>1.47E-2</v>
      </c>
      <c r="BB1171" s="624">
        <v>39892</v>
      </c>
      <c r="BC1171" s="355">
        <v>0.29580000000000001</v>
      </c>
      <c r="BD1171" s="624">
        <v>39895</v>
      </c>
      <c r="BE1171" s="355">
        <v>7.2209999999999996E-2</v>
      </c>
      <c r="BF1171" s="624">
        <v>39941</v>
      </c>
      <c r="BG1171" s="355">
        <v>2.0289999999999999E-2</v>
      </c>
      <c r="BH1171" s="624">
        <v>39895</v>
      </c>
      <c r="BI1171" s="355">
        <v>8.7991E-2</v>
      </c>
      <c r="BJ1171" s="624">
        <v>39892</v>
      </c>
      <c r="BK1171" s="355">
        <v>2.8299000000000001E-2</v>
      </c>
    </row>
    <row r="1172" spans="3:63">
      <c r="C1172" s="624"/>
      <c r="D1172" s="355">
        <v>2.9870000000000001E-2</v>
      </c>
      <c r="AV1172" s="624"/>
      <c r="AX1172" s="624">
        <v>39897</v>
      </c>
      <c r="AY1172" s="355">
        <v>2.9780000000000001E-2</v>
      </c>
      <c r="AZ1172" s="624">
        <v>39962</v>
      </c>
      <c r="BA1172" s="355">
        <v>1.49E-2</v>
      </c>
      <c r="BB1172" s="624">
        <v>39895</v>
      </c>
      <c r="BC1172" s="355">
        <v>0.30020000000000002</v>
      </c>
      <c r="BD1172" s="624">
        <v>39896</v>
      </c>
      <c r="BE1172" s="355">
        <v>7.2169999999999998E-2</v>
      </c>
      <c r="BF1172" s="624">
        <v>39944</v>
      </c>
      <c r="BG1172" s="355">
        <v>2.0195999999999999E-2</v>
      </c>
      <c r="BH1172" s="624">
        <v>39896</v>
      </c>
      <c r="BI1172" s="355">
        <v>8.7817000000000006E-2</v>
      </c>
      <c r="BJ1172" s="624">
        <v>39895</v>
      </c>
      <c r="BK1172" s="355">
        <v>2.8296999999999999E-2</v>
      </c>
    </row>
    <row r="1173" spans="3:63">
      <c r="C1173" s="624"/>
      <c r="D1173" s="355">
        <v>2.9780000000000001E-2</v>
      </c>
      <c r="AV1173" s="624"/>
      <c r="AX1173" s="624">
        <v>39898</v>
      </c>
      <c r="AY1173" s="355">
        <v>2.9929999999999998E-2</v>
      </c>
      <c r="AZ1173" s="624">
        <v>39965</v>
      </c>
      <c r="BA1173" s="355">
        <v>1.4999999999999999E-2</v>
      </c>
      <c r="BB1173" s="624">
        <v>39896</v>
      </c>
      <c r="BC1173" s="355">
        <v>0.29709999999999998</v>
      </c>
      <c r="BD1173" s="624">
        <v>39897</v>
      </c>
      <c r="BE1173" s="355">
        <v>7.3480000000000004E-2</v>
      </c>
      <c r="BF1173" s="624">
        <v>39945</v>
      </c>
      <c r="BG1173" s="355">
        <v>2.0278000000000001E-2</v>
      </c>
      <c r="BH1173" s="624">
        <v>39897</v>
      </c>
      <c r="BI1173" s="355">
        <v>8.5931999999999994E-2</v>
      </c>
      <c r="BJ1173" s="624">
        <v>39896</v>
      </c>
      <c r="BK1173" s="355">
        <v>2.8239E-2</v>
      </c>
    </row>
    <row r="1174" spans="3:63">
      <c r="C1174" s="624"/>
      <c r="D1174" s="355">
        <v>2.9929999999999998E-2</v>
      </c>
      <c r="AV1174" s="624"/>
      <c r="AX1174" s="624">
        <v>39899</v>
      </c>
      <c r="AY1174" s="355">
        <v>2.9590000000000002E-2</v>
      </c>
      <c r="AZ1174" s="624">
        <v>39966</v>
      </c>
      <c r="BA1174" s="355">
        <v>1.52E-2</v>
      </c>
      <c r="BB1174" s="624">
        <v>39897</v>
      </c>
      <c r="BC1174" s="355">
        <v>0.29730000000000001</v>
      </c>
      <c r="BD1174" s="624">
        <v>39898</v>
      </c>
      <c r="BE1174" s="355">
        <v>7.5579999999999994E-2</v>
      </c>
      <c r="BF1174" s="624">
        <v>39946</v>
      </c>
      <c r="BG1174" s="355">
        <v>2.0119000000000001E-2</v>
      </c>
      <c r="BH1174" s="624">
        <v>39898</v>
      </c>
      <c r="BI1174" s="355">
        <v>8.6138000000000006E-2</v>
      </c>
      <c r="BJ1174" s="624">
        <v>39897</v>
      </c>
      <c r="BK1174" s="355">
        <v>2.8201E-2</v>
      </c>
    </row>
    <row r="1175" spans="3:63">
      <c r="C1175" s="624"/>
      <c r="D1175" s="355">
        <v>2.9590000000000002E-2</v>
      </c>
      <c r="AV1175" s="624"/>
      <c r="AX1175" s="624">
        <v>39902</v>
      </c>
      <c r="AY1175" s="355">
        <v>2.9430000000000001E-2</v>
      </c>
      <c r="AZ1175" s="624">
        <v>39967</v>
      </c>
      <c r="BA1175" s="355">
        <v>1.4999999999999999E-2</v>
      </c>
      <c r="BB1175" s="624">
        <v>39898</v>
      </c>
      <c r="BC1175" s="355">
        <v>0.29680000000000001</v>
      </c>
      <c r="BD1175" s="624">
        <v>39899</v>
      </c>
      <c r="BE1175" s="355">
        <v>7.3840000000000003E-2</v>
      </c>
      <c r="BF1175" s="624">
        <v>39947</v>
      </c>
      <c r="BG1175" s="355">
        <v>2.0088000000000002E-2</v>
      </c>
      <c r="BH1175" s="624">
        <v>39899</v>
      </c>
      <c r="BI1175" s="355">
        <v>8.7165000000000006E-2</v>
      </c>
      <c r="BJ1175" s="624">
        <v>39898</v>
      </c>
      <c r="BK1175" s="355">
        <v>2.8275000000000002E-2</v>
      </c>
    </row>
    <row r="1176" spans="3:63">
      <c r="C1176" s="624"/>
      <c r="D1176" s="355">
        <v>2.9430000000000001E-2</v>
      </c>
      <c r="AV1176" s="624"/>
      <c r="AX1176" s="624">
        <v>39903</v>
      </c>
      <c r="AY1176" s="355">
        <v>2.945E-2</v>
      </c>
      <c r="AZ1176" s="624">
        <v>39968</v>
      </c>
      <c r="BA1176" s="355">
        <v>1.4999999999999999E-2</v>
      </c>
      <c r="BB1176" s="624">
        <v>39899</v>
      </c>
      <c r="BC1176" s="355">
        <v>0.28349999999999997</v>
      </c>
      <c r="BD1176" s="624">
        <v>39902</v>
      </c>
      <c r="BE1176" s="355">
        <v>7.0019999999999999E-2</v>
      </c>
      <c r="BF1176" s="624">
        <v>39948</v>
      </c>
      <c r="BG1176" s="355">
        <v>2.0247000000000001E-2</v>
      </c>
      <c r="BH1176" s="624">
        <v>39902</v>
      </c>
      <c r="BI1176" s="355">
        <v>8.5990999999999998E-2</v>
      </c>
      <c r="BJ1176" s="624">
        <v>39899</v>
      </c>
      <c r="BK1176" s="355">
        <v>2.8244999999999999E-2</v>
      </c>
    </row>
    <row r="1177" spans="3:63">
      <c r="C1177" s="624"/>
      <c r="D1177" s="355">
        <v>2.945E-2</v>
      </c>
      <c r="AV1177" s="624"/>
      <c r="AX1177" s="624">
        <v>39904</v>
      </c>
      <c r="AY1177" s="355">
        <v>2.945E-2</v>
      </c>
      <c r="AZ1177" s="624">
        <v>39969</v>
      </c>
      <c r="BA1177" s="355">
        <v>1.4800000000000001E-2</v>
      </c>
      <c r="BB1177" s="624">
        <v>39902</v>
      </c>
      <c r="BC1177" s="355">
        <v>0.27929999999999999</v>
      </c>
      <c r="BD1177" s="624">
        <v>39903</v>
      </c>
      <c r="BE1177" s="355">
        <v>7.2840000000000002E-2</v>
      </c>
      <c r="BF1177" s="624">
        <v>39951</v>
      </c>
      <c r="BG1177" s="355">
        <v>2.0882000000000001E-2</v>
      </c>
      <c r="BH1177" s="624">
        <v>39903</v>
      </c>
      <c r="BI1177" s="355">
        <v>8.5470000000000004E-2</v>
      </c>
      <c r="BJ1177" s="624">
        <v>39902</v>
      </c>
      <c r="BK1177" s="355">
        <v>2.8094000000000001E-2</v>
      </c>
    </row>
    <row r="1178" spans="3:63">
      <c r="C1178" s="624"/>
      <c r="D1178" s="355">
        <v>2.945E-2</v>
      </c>
      <c r="AV1178" s="624"/>
      <c r="AX1178" s="624">
        <v>39905</v>
      </c>
      <c r="AY1178" s="355">
        <v>2.9950000000000001E-2</v>
      </c>
      <c r="AZ1178" s="624">
        <v>39972</v>
      </c>
      <c r="BA1178" s="355">
        <v>1.4800000000000001E-2</v>
      </c>
      <c r="BB1178" s="624">
        <v>39903</v>
      </c>
      <c r="BC1178" s="355">
        <v>0.2858</v>
      </c>
      <c r="BD1178" s="624">
        <v>39904</v>
      </c>
      <c r="BE1178" s="355">
        <v>7.3690000000000005E-2</v>
      </c>
      <c r="BF1178" s="624">
        <v>39952</v>
      </c>
      <c r="BG1178" s="355">
        <v>2.0934000000000001E-2</v>
      </c>
      <c r="BH1178" s="624">
        <v>39904</v>
      </c>
      <c r="BI1178" s="355">
        <v>8.6026000000000005E-2</v>
      </c>
      <c r="BJ1178" s="624">
        <v>39903</v>
      </c>
      <c r="BK1178" s="355">
        <v>2.8173E-2</v>
      </c>
    </row>
    <row r="1179" spans="3:63">
      <c r="C1179" s="624"/>
      <c r="D1179" s="355">
        <v>2.9950000000000001E-2</v>
      </c>
      <c r="AV1179" s="624"/>
      <c r="AX1179" s="624">
        <v>39906</v>
      </c>
      <c r="AY1179" s="355">
        <v>3.0020000000000002E-2</v>
      </c>
      <c r="AZ1179" s="624">
        <v>39973</v>
      </c>
      <c r="BA1179" s="355">
        <v>1.4999999999999999E-2</v>
      </c>
      <c r="BB1179" s="624">
        <v>39904</v>
      </c>
      <c r="BC1179" s="355">
        <v>0.29449999999999998</v>
      </c>
      <c r="BD1179" s="624">
        <v>39905</v>
      </c>
      <c r="BE1179" s="355">
        <v>7.603E-2</v>
      </c>
      <c r="BF1179" s="624">
        <v>39953</v>
      </c>
      <c r="BG1179" s="355">
        <v>2.1059999999999999E-2</v>
      </c>
      <c r="BH1179" s="624">
        <v>39905</v>
      </c>
      <c r="BI1179" s="355">
        <v>8.7970999999999994E-2</v>
      </c>
      <c r="BJ1179" s="624">
        <v>39904</v>
      </c>
      <c r="BK1179" s="355">
        <v>2.8195000000000001E-2</v>
      </c>
    </row>
    <row r="1180" spans="3:63">
      <c r="C1180" s="624"/>
      <c r="D1180" s="355">
        <v>3.0020000000000002E-2</v>
      </c>
      <c r="AV1180" s="624"/>
      <c r="AX1180" s="624">
        <v>39909</v>
      </c>
      <c r="AY1180" s="355">
        <v>2.998E-2</v>
      </c>
      <c r="AZ1180" s="624">
        <v>39974</v>
      </c>
      <c r="BA1180" s="355">
        <v>1.49E-2</v>
      </c>
      <c r="BB1180" s="624">
        <v>39905</v>
      </c>
      <c r="BC1180" s="355">
        <v>0.30480000000000002</v>
      </c>
      <c r="BD1180" s="624">
        <v>39906</v>
      </c>
      <c r="BE1180" s="355">
        <v>7.5130000000000002E-2</v>
      </c>
      <c r="BF1180" s="624">
        <v>39954</v>
      </c>
      <c r="BG1180" s="355">
        <v>2.1113E-2</v>
      </c>
      <c r="BH1180" s="624">
        <v>39906</v>
      </c>
      <c r="BI1180" s="355">
        <v>8.7300000000000003E-2</v>
      </c>
      <c r="BJ1180" s="624">
        <v>39905</v>
      </c>
      <c r="BK1180" s="355">
        <v>2.8324999999999999E-2</v>
      </c>
    </row>
    <row r="1181" spans="3:63">
      <c r="C1181" s="624"/>
      <c r="D1181" s="355">
        <v>2.998E-2</v>
      </c>
      <c r="AV1181" s="624"/>
      <c r="AX1181" s="624">
        <v>39910</v>
      </c>
      <c r="AY1181" s="355">
        <v>2.9790000000000001E-2</v>
      </c>
      <c r="AZ1181" s="624">
        <v>39975</v>
      </c>
      <c r="BA1181" s="355">
        <v>1.4999999999999999E-2</v>
      </c>
      <c r="BB1181" s="624">
        <v>39906</v>
      </c>
      <c r="BC1181" s="355">
        <v>0.30230000000000001</v>
      </c>
      <c r="BD1181" s="624">
        <v>39909</v>
      </c>
      <c r="BE1181" s="355">
        <v>7.5219999999999995E-2</v>
      </c>
      <c r="BF1181" s="624">
        <v>39955</v>
      </c>
      <c r="BG1181" s="355">
        <v>2.1236999999999999E-2</v>
      </c>
      <c r="BH1181" s="624">
        <v>39909</v>
      </c>
      <c r="BI1181" s="355">
        <v>8.8243000000000002E-2</v>
      </c>
      <c r="BJ1181" s="624">
        <v>39906</v>
      </c>
      <c r="BK1181" s="355">
        <v>2.8351000000000001E-2</v>
      </c>
    </row>
    <row r="1182" spans="3:63">
      <c r="C1182" s="624"/>
      <c r="D1182" s="355">
        <v>2.9790000000000001E-2</v>
      </c>
      <c r="AV1182" s="624"/>
      <c r="AX1182" s="624">
        <v>39911</v>
      </c>
      <c r="AY1182" s="355">
        <v>2.9700000000000001E-2</v>
      </c>
      <c r="AZ1182" s="624">
        <v>39976</v>
      </c>
      <c r="BA1182" s="355">
        <v>1.4999999999999999E-2</v>
      </c>
      <c r="BB1182" s="624">
        <v>39909</v>
      </c>
      <c r="BC1182" s="355">
        <v>0.30070000000000002</v>
      </c>
      <c r="BD1182" s="624">
        <v>39910</v>
      </c>
      <c r="BE1182" s="355">
        <v>7.485E-2</v>
      </c>
      <c r="BF1182" s="624">
        <v>39958</v>
      </c>
      <c r="BG1182" s="355">
        <v>2.1142999999999999E-2</v>
      </c>
      <c r="BH1182" s="624">
        <v>39910</v>
      </c>
      <c r="BI1182" s="355">
        <v>8.8340000000000002E-2</v>
      </c>
      <c r="BJ1182" s="624">
        <v>39909</v>
      </c>
      <c r="BK1182" s="355">
        <v>2.8323000000000001E-2</v>
      </c>
    </row>
    <row r="1183" spans="3:63">
      <c r="C1183" s="624"/>
      <c r="D1183" s="355">
        <v>2.9700000000000001E-2</v>
      </c>
      <c r="AV1183" s="624"/>
      <c r="AX1183" s="624">
        <v>39912</v>
      </c>
      <c r="AY1183" s="355">
        <v>2.9729999999999999E-2</v>
      </c>
      <c r="AZ1183" s="624">
        <v>39979</v>
      </c>
      <c r="BA1183" s="355">
        <v>1.4800000000000001E-2</v>
      </c>
      <c r="BB1183" s="624">
        <v>39910</v>
      </c>
      <c r="BC1183" s="355">
        <v>0.29530000000000001</v>
      </c>
      <c r="BD1183" s="624">
        <v>39911</v>
      </c>
      <c r="BE1183" s="355">
        <v>7.4260000000000007E-2</v>
      </c>
      <c r="BF1183" s="624">
        <v>39959</v>
      </c>
      <c r="BG1183" s="355">
        <v>2.0892000000000001E-2</v>
      </c>
      <c r="BH1183" s="624">
        <v>39911</v>
      </c>
      <c r="BI1183" s="355">
        <v>8.8339000000000001E-2</v>
      </c>
      <c r="BJ1183" s="624">
        <v>39910</v>
      </c>
      <c r="BK1183" s="355">
        <v>2.8209000000000001E-2</v>
      </c>
    </row>
    <row r="1184" spans="3:63">
      <c r="C1184" s="624"/>
      <c r="D1184" s="355">
        <v>2.9729999999999999E-2</v>
      </c>
      <c r="AV1184" s="624"/>
      <c r="AX1184" s="624">
        <v>39913</v>
      </c>
      <c r="AY1184" s="355">
        <v>2.9839999999999998E-2</v>
      </c>
      <c r="AZ1184" s="624">
        <v>39980</v>
      </c>
      <c r="BA1184" s="355">
        <v>1.4800000000000001E-2</v>
      </c>
      <c r="BB1184" s="624">
        <v>39911</v>
      </c>
      <c r="BC1184" s="355">
        <v>0.30009999999999998</v>
      </c>
      <c r="BD1184" s="624">
        <v>39912</v>
      </c>
      <c r="BE1184" s="355">
        <v>7.5999999999999998E-2</v>
      </c>
      <c r="BF1184" s="624">
        <v>39960</v>
      </c>
      <c r="BG1184" s="355">
        <v>2.0969000000000002E-2</v>
      </c>
      <c r="BH1184" s="624">
        <v>39912</v>
      </c>
      <c r="BI1184" s="355">
        <v>8.7971999999999995E-2</v>
      </c>
      <c r="BJ1184" s="624">
        <v>39911</v>
      </c>
      <c r="BK1184" s="355">
        <v>2.8225E-2</v>
      </c>
    </row>
    <row r="1185" spans="3:63">
      <c r="C1185" s="624"/>
      <c r="D1185" s="355">
        <v>2.9839999999999998E-2</v>
      </c>
      <c r="AV1185" s="624"/>
      <c r="AX1185" s="624">
        <v>39916</v>
      </c>
      <c r="AY1185" s="355">
        <v>3.0040000000000001E-2</v>
      </c>
      <c r="AZ1185" s="624">
        <v>39981</v>
      </c>
      <c r="BA1185" s="355">
        <v>1.4999999999999999E-2</v>
      </c>
      <c r="BB1185" s="624">
        <v>39912</v>
      </c>
      <c r="BC1185" s="355">
        <v>0.30459999999999998</v>
      </c>
      <c r="BD1185" s="624">
        <v>39913</v>
      </c>
      <c r="BE1185" s="355">
        <v>7.5020000000000003E-2</v>
      </c>
      <c r="BF1185" s="624">
        <v>39961</v>
      </c>
      <c r="BG1185" s="355">
        <v>2.1003999999999998E-2</v>
      </c>
      <c r="BH1185" s="624">
        <v>39913</v>
      </c>
      <c r="BI1185" s="355">
        <v>8.8416999999999996E-2</v>
      </c>
      <c r="BJ1185" s="624">
        <v>39912</v>
      </c>
      <c r="BK1185" s="355">
        <v>2.8233000000000001E-2</v>
      </c>
    </row>
    <row r="1186" spans="3:63">
      <c r="C1186" s="624"/>
      <c r="D1186" s="355">
        <v>3.0040000000000001E-2</v>
      </c>
      <c r="AV1186" s="624"/>
      <c r="AX1186" s="624">
        <v>39917</v>
      </c>
      <c r="AY1186" s="355">
        <v>2.9940000000000001E-2</v>
      </c>
      <c r="AZ1186" s="624">
        <v>39982</v>
      </c>
      <c r="BA1186" s="355">
        <v>1.4999999999999999E-2</v>
      </c>
      <c r="BB1186" s="624">
        <v>39913</v>
      </c>
      <c r="BC1186" s="355">
        <v>0.30170000000000002</v>
      </c>
      <c r="BD1186" s="624">
        <v>39916</v>
      </c>
      <c r="BE1186" s="355">
        <v>7.5459999999999999E-2</v>
      </c>
      <c r="BF1186" s="624">
        <v>39962</v>
      </c>
      <c r="BG1186" s="355">
        <v>2.1226999999999999E-2</v>
      </c>
      <c r="BH1186" s="624">
        <v>39916</v>
      </c>
      <c r="BI1186" s="355">
        <v>9.0379000000000001E-2</v>
      </c>
      <c r="BJ1186" s="624">
        <v>39913</v>
      </c>
      <c r="BK1186" s="355">
        <v>2.8258999999999999E-2</v>
      </c>
    </row>
    <row r="1187" spans="3:63">
      <c r="C1187" s="624"/>
      <c r="D1187" s="355">
        <v>2.9940000000000001E-2</v>
      </c>
      <c r="AV1187" s="624"/>
      <c r="AX1187" s="624">
        <v>39918</v>
      </c>
      <c r="AY1187" s="355">
        <v>2.9929999999999998E-2</v>
      </c>
      <c r="AZ1187" s="624">
        <v>39983</v>
      </c>
      <c r="BA1187" s="355">
        <v>1.4999999999999999E-2</v>
      </c>
      <c r="BB1187" s="624">
        <v>39916</v>
      </c>
      <c r="BC1187" s="355">
        <v>0.30780000000000002</v>
      </c>
      <c r="BD1187" s="624">
        <v>39917</v>
      </c>
      <c r="BE1187" s="355">
        <v>7.5450000000000003E-2</v>
      </c>
      <c r="BF1187" s="624">
        <v>39965</v>
      </c>
      <c r="BG1187" s="355">
        <v>2.1298000000000001E-2</v>
      </c>
      <c r="BH1187" s="624">
        <v>39917</v>
      </c>
      <c r="BI1187" s="355">
        <v>9.1743000000000005E-2</v>
      </c>
      <c r="BJ1187" s="624">
        <v>39916</v>
      </c>
      <c r="BK1187" s="355">
        <v>2.8007000000000001E-2</v>
      </c>
    </row>
    <row r="1188" spans="3:63">
      <c r="C1188" s="624"/>
      <c r="D1188" s="355">
        <v>2.9929999999999998E-2</v>
      </c>
      <c r="AV1188" s="624"/>
      <c r="AX1188" s="624">
        <v>39919</v>
      </c>
      <c r="AY1188" s="355">
        <v>2.9940000000000001E-2</v>
      </c>
      <c r="AZ1188" s="624">
        <v>39986</v>
      </c>
      <c r="BA1188" s="355">
        <v>1.49E-2</v>
      </c>
      <c r="BB1188" s="624">
        <v>39917</v>
      </c>
      <c r="BC1188" s="355">
        <v>0.31019999999999998</v>
      </c>
      <c r="BD1188" s="624">
        <v>39918</v>
      </c>
      <c r="BE1188" s="355">
        <v>7.5209999999999999E-2</v>
      </c>
      <c r="BF1188" s="624">
        <v>39966</v>
      </c>
      <c r="BG1188" s="355">
        <v>2.1269E-2</v>
      </c>
      <c r="BH1188" s="624">
        <v>39918</v>
      </c>
      <c r="BI1188" s="355">
        <v>9.2211000000000001E-2</v>
      </c>
      <c r="BJ1188" s="624">
        <v>39917</v>
      </c>
      <c r="BK1188" s="355">
        <v>2.8197E-2</v>
      </c>
    </row>
    <row r="1189" spans="3:63">
      <c r="C1189" s="624"/>
      <c r="D1189" s="355">
        <v>2.9940000000000001E-2</v>
      </c>
      <c r="AV1189" s="624"/>
      <c r="AX1189" s="624">
        <v>39920</v>
      </c>
      <c r="AY1189" s="355">
        <v>2.988E-2</v>
      </c>
      <c r="AZ1189" s="624">
        <v>39987</v>
      </c>
      <c r="BA1189" s="355">
        <v>1.4999999999999999E-2</v>
      </c>
      <c r="BB1189" s="624">
        <v>39918</v>
      </c>
      <c r="BC1189" s="355">
        <v>0.30969999999999998</v>
      </c>
      <c r="BD1189" s="624">
        <v>39919</v>
      </c>
      <c r="BE1189" s="355">
        <v>7.5130000000000002E-2</v>
      </c>
      <c r="BF1189" s="624">
        <v>39967</v>
      </c>
      <c r="BG1189" s="355">
        <v>2.1245E-2</v>
      </c>
      <c r="BH1189" s="624">
        <v>39919</v>
      </c>
      <c r="BI1189" s="355">
        <v>9.2594999999999997E-2</v>
      </c>
      <c r="BJ1189" s="624">
        <v>39918</v>
      </c>
      <c r="BK1189" s="355">
        <v>2.8240999999999999E-2</v>
      </c>
    </row>
    <row r="1190" spans="3:63">
      <c r="C1190" s="624"/>
      <c r="D1190" s="355">
        <v>2.988E-2</v>
      </c>
      <c r="AV1190" s="624"/>
      <c r="AX1190" s="624">
        <v>39923</v>
      </c>
      <c r="AY1190" s="355">
        <v>2.9479999999999999E-2</v>
      </c>
      <c r="AZ1190" s="624">
        <v>39988</v>
      </c>
      <c r="BA1190" s="355">
        <v>1.4800000000000001E-2</v>
      </c>
      <c r="BB1190" s="624">
        <v>39919</v>
      </c>
      <c r="BC1190" s="355">
        <v>0.30819999999999997</v>
      </c>
      <c r="BD1190" s="624">
        <v>39920</v>
      </c>
      <c r="BE1190" s="355">
        <v>7.5130000000000002E-2</v>
      </c>
      <c r="BF1190" s="624">
        <v>39968</v>
      </c>
      <c r="BG1190" s="355">
        <v>2.1181999999999999E-2</v>
      </c>
      <c r="BH1190" s="624">
        <v>39920</v>
      </c>
      <c r="BI1190" s="355">
        <v>9.3024999999999997E-2</v>
      </c>
      <c r="BJ1190" s="624">
        <v>39919</v>
      </c>
      <c r="BK1190" s="355">
        <v>2.8277E-2</v>
      </c>
    </row>
    <row r="1191" spans="3:63">
      <c r="C1191" s="624"/>
      <c r="D1191" s="355">
        <v>2.9479999999999999E-2</v>
      </c>
      <c r="AV1191" s="624"/>
      <c r="AX1191" s="624">
        <v>39924</v>
      </c>
      <c r="AY1191" s="355">
        <v>2.9260000000000001E-2</v>
      </c>
      <c r="AZ1191" s="624">
        <v>39989</v>
      </c>
      <c r="BA1191" s="355">
        <v>1.4800000000000001E-2</v>
      </c>
      <c r="BB1191" s="624">
        <v>39920</v>
      </c>
      <c r="BC1191" s="355">
        <v>0.30299999999999999</v>
      </c>
      <c r="BD1191" s="624">
        <v>39923</v>
      </c>
      <c r="BE1191" s="355">
        <v>7.3520000000000002E-2</v>
      </c>
      <c r="BF1191" s="624">
        <v>39969</v>
      </c>
      <c r="BG1191" s="355">
        <v>2.1243999999999999E-2</v>
      </c>
      <c r="BH1191" s="624">
        <v>39923</v>
      </c>
      <c r="BI1191" s="355">
        <v>9.2914999999999998E-2</v>
      </c>
      <c r="BJ1191" s="624">
        <v>39920</v>
      </c>
      <c r="BK1191" s="355">
        <v>2.8185000000000002E-2</v>
      </c>
    </row>
    <row r="1192" spans="3:63">
      <c r="C1192" s="624"/>
      <c r="D1192" s="355">
        <v>2.9260000000000001E-2</v>
      </c>
      <c r="AV1192" s="624"/>
      <c r="AX1192" s="624">
        <v>39925</v>
      </c>
      <c r="AY1192" s="355">
        <v>2.9479999999999999E-2</v>
      </c>
      <c r="AZ1192" s="624">
        <v>39990</v>
      </c>
      <c r="BA1192" s="355">
        <v>1.4999999999999999E-2</v>
      </c>
      <c r="BB1192" s="624">
        <v>39923</v>
      </c>
      <c r="BC1192" s="355">
        <v>0.29260000000000003</v>
      </c>
      <c r="BD1192" s="624">
        <v>39924</v>
      </c>
      <c r="BE1192" s="355">
        <v>7.4039999999999995E-2</v>
      </c>
      <c r="BF1192" s="624">
        <v>39972</v>
      </c>
      <c r="BG1192" s="355">
        <v>2.1024000000000001E-2</v>
      </c>
      <c r="BH1192" s="624">
        <v>39924</v>
      </c>
      <c r="BI1192" s="355">
        <v>9.2562000000000005E-2</v>
      </c>
      <c r="BJ1192" s="624">
        <v>39923</v>
      </c>
      <c r="BK1192" s="355">
        <v>2.8098000000000001E-2</v>
      </c>
    </row>
    <row r="1193" spans="3:63">
      <c r="C1193" s="624"/>
      <c r="D1193" s="355">
        <v>2.9479999999999999E-2</v>
      </c>
      <c r="AV1193" s="624"/>
      <c r="AX1193" s="624">
        <v>39926</v>
      </c>
      <c r="AY1193" s="355">
        <v>2.9850000000000002E-2</v>
      </c>
      <c r="AZ1193" s="624">
        <v>39993</v>
      </c>
      <c r="BA1193" s="355">
        <v>1.4999999999999999E-2</v>
      </c>
      <c r="BB1193" s="624">
        <v>39924</v>
      </c>
      <c r="BC1193" s="355">
        <v>0.29480000000000001</v>
      </c>
      <c r="BD1193" s="624">
        <v>39925</v>
      </c>
      <c r="BE1193" s="355">
        <v>7.4740000000000001E-2</v>
      </c>
      <c r="BF1193" s="624">
        <v>39973</v>
      </c>
      <c r="BG1193" s="355">
        <v>2.1056999999999999E-2</v>
      </c>
      <c r="BH1193" s="624">
        <v>39925</v>
      </c>
      <c r="BI1193" s="355">
        <v>9.1576000000000005E-2</v>
      </c>
      <c r="BJ1193" s="624">
        <v>39924</v>
      </c>
      <c r="BK1193" s="355">
        <v>2.8133999999999999E-2</v>
      </c>
    </row>
    <row r="1194" spans="3:63">
      <c r="C1194" s="624"/>
      <c r="D1194" s="355">
        <v>2.9850000000000002E-2</v>
      </c>
      <c r="AV1194" s="624"/>
      <c r="AX1194" s="624">
        <v>39927</v>
      </c>
      <c r="AY1194" s="355">
        <v>3.0130000000000001E-2</v>
      </c>
      <c r="AZ1194" s="624">
        <v>39994</v>
      </c>
      <c r="BA1194" s="355">
        <v>1.4999999999999999E-2</v>
      </c>
      <c r="BB1194" s="624">
        <v>39925</v>
      </c>
      <c r="BC1194" s="355">
        <v>0.29520000000000002</v>
      </c>
      <c r="BD1194" s="624">
        <v>39926</v>
      </c>
      <c r="BE1194" s="355">
        <v>7.4829999999999994E-2</v>
      </c>
      <c r="BF1194" s="624">
        <v>39974</v>
      </c>
      <c r="BG1194" s="355">
        <v>2.1163999999999999E-2</v>
      </c>
      <c r="BH1194" s="624">
        <v>39926</v>
      </c>
      <c r="BI1194" s="355">
        <v>9.2022999999999994E-2</v>
      </c>
      <c r="BJ1194" s="624">
        <v>39925</v>
      </c>
      <c r="BK1194" s="355">
        <v>2.8118000000000001E-2</v>
      </c>
    </row>
    <row r="1195" spans="3:63">
      <c r="C1195" s="624"/>
      <c r="D1195" s="355">
        <v>3.0130000000000001E-2</v>
      </c>
      <c r="AV1195" s="624"/>
      <c r="AX1195" s="624">
        <v>39930</v>
      </c>
      <c r="AY1195" s="355">
        <v>2.9870000000000001E-2</v>
      </c>
      <c r="AZ1195" s="624">
        <v>39995</v>
      </c>
      <c r="BA1195" s="355">
        <v>1.5100000000000001E-2</v>
      </c>
      <c r="BB1195" s="624">
        <v>39926</v>
      </c>
      <c r="BC1195" s="355">
        <v>0.29339999999999999</v>
      </c>
      <c r="BD1195" s="624">
        <v>39927</v>
      </c>
      <c r="BE1195" s="355">
        <v>7.5520000000000004E-2</v>
      </c>
      <c r="BF1195" s="624">
        <v>39975</v>
      </c>
      <c r="BG1195" s="355">
        <v>2.1003999999999998E-2</v>
      </c>
      <c r="BH1195" s="624">
        <v>39927</v>
      </c>
      <c r="BI1195" s="355">
        <v>9.2948000000000003E-2</v>
      </c>
      <c r="BJ1195" s="624">
        <v>39926</v>
      </c>
      <c r="BK1195" s="355">
        <v>2.8173E-2</v>
      </c>
    </row>
    <row r="1196" spans="3:63">
      <c r="C1196" s="624"/>
      <c r="D1196" s="355">
        <v>2.9870000000000001E-2</v>
      </c>
      <c r="AV1196" s="624"/>
      <c r="AX1196" s="624">
        <v>39931</v>
      </c>
      <c r="AY1196" s="355">
        <v>2.997E-2</v>
      </c>
      <c r="AZ1196" s="624">
        <v>39996</v>
      </c>
      <c r="BA1196" s="355">
        <v>1.4999999999999999E-2</v>
      </c>
      <c r="BB1196" s="624">
        <v>39927</v>
      </c>
      <c r="BC1196" s="355">
        <v>0.2949</v>
      </c>
      <c r="BD1196" s="624">
        <v>39930</v>
      </c>
      <c r="BE1196" s="355">
        <v>7.4349999999999999E-2</v>
      </c>
      <c r="BF1196" s="624">
        <v>39976</v>
      </c>
      <c r="BG1196" s="355">
        <v>2.1003999999999998E-2</v>
      </c>
      <c r="BH1196" s="624">
        <v>39930</v>
      </c>
      <c r="BI1196" s="355">
        <v>9.2379000000000003E-2</v>
      </c>
      <c r="BJ1196" s="624">
        <v>39927</v>
      </c>
      <c r="BK1196" s="355">
        <v>2.8268999999999999E-2</v>
      </c>
    </row>
    <row r="1197" spans="3:63">
      <c r="C1197" s="624"/>
      <c r="D1197" s="355">
        <v>2.997E-2</v>
      </c>
      <c r="AV1197" s="624"/>
      <c r="AX1197" s="624">
        <v>39932</v>
      </c>
      <c r="AY1197" s="355">
        <v>3.0130000000000001E-2</v>
      </c>
      <c r="AZ1197" s="624">
        <v>39997</v>
      </c>
      <c r="BA1197" s="355">
        <v>1.49E-2</v>
      </c>
      <c r="BB1197" s="624">
        <v>39930</v>
      </c>
      <c r="BC1197" s="355">
        <v>0.2858</v>
      </c>
      <c r="BD1197" s="624">
        <v>39931</v>
      </c>
      <c r="BE1197" s="355">
        <v>7.3950000000000002E-2</v>
      </c>
      <c r="BF1197" s="624">
        <v>39979</v>
      </c>
      <c r="BG1197" s="355">
        <v>2.0957E-2</v>
      </c>
      <c r="BH1197" s="624">
        <v>39931</v>
      </c>
      <c r="BI1197" s="355">
        <v>9.1493000000000005E-2</v>
      </c>
      <c r="BJ1197" s="624">
        <v>39930</v>
      </c>
      <c r="BK1197" s="355">
        <v>2.8205000000000001E-2</v>
      </c>
    </row>
    <row r="1198" spans="3:63">
      <c r="C1198" s="624"/>
      <c r="D1198" s="355">
        <v>3.0130000000000001E-2</v>
      </c>
      <c r="AV1198" s="624"/>
      <c r="AX1198" s="624">
        <v>39933</v>
      </c>
      <c r="AY1198" s="355">
        <v>3.0210000000000001E-2</v>
      </c>
      <c r="AZ1198" s="624">
        <v>40000</v>
      </c>
      <c r="BA1198" s="355">
        <v>1.4999999999999999E-2</v>
      </c>
      <c r="BB1198" s="624">
        <v>39931</v>
      </c>
      <c r="BC1198" s="355">
        <v>0.29330000000000001</v>
      </c>
      <c r="BD1198" s="624">
        <v>39932</v>
      </c>
      <c r="BE1198" s="355">
        <v>7.6039999999999996E-2</v>
      </c>
      <c r="BF1198" s="624">
        <v>39980</v>
      </c>
      <c r="BG1198" s="355">
        <v>2.0913999999999999E-2</v>
      </c>
      <c r="BH1198" s="624">
        <v>39932</v>
      </c>
      <c r="BI1198" s="355">
        <v>9.2338000000000003E-2</v>
      </c>
      <c r="BJ1198" s="624">
        <v>39931</v>
      </c>
      <c r="BK1198" s="355">
        <v>2.8225E-2</v>
      </c>
    </row>
    <row r="1199" spans="3:63">
      <c r="C1199" s="624"/>
      <c r="D1199" s="355">
        <v>3.0210000000000001E-2</v>
      </c>
      <c r="AV1199" s="624"/>
      <c r="AX1199" s="624">
        <v>39934</v>
      </c>
      <c r="AY1199" s="355">
        <v>3.0249999999999999E-2</v>
      </c>
      <c r="AZ1199" s="624">
        <v>40001</v>
      </c>
      <c r="BA1199" s="355">
        <v>1.4999999999999999E-2</v>
      </c>
      <c r="BB1199" s="624">
        <v>39932</v>
      </c>
      <c r="BC1199" s="355">
        <v>0.3019</v>
      </c>
      <c r="BD1199" s="624">
        <v>39933</v>
      </c>
      <c r="BE1199" s="355">
        <v>7.7850000000000003E-2</v>
      </c>
      <c r="BF1199" s="624">
        <v>39981</v>
      </c>
      <c r="BG1199" s="355">
        <v>2.0785999999999999E-2</v>
      </c>
      <c r="BH1199" s="624">
        <v>39933</v>
      </c>
      <c r="BI1199" s="355">
        <v>9.3945000000000001E-2</v>
      </c>
      <c r="BJ1199" s="624">
        <v>39932</v>
      </c>
      <c r="BK1199" s="355">
        <v>2.8292999999999999E-2</v>
      </c>
    </row>
    <row r="1200" spans="3:63">
      <c r="C1200" s="624"/>
      <c r="D1200" s="355">
        <v>3.0249999999999999E-2</v>
      </c>
      <c r="AV1200" s="624"/>
      <c r="AX1200" s="624">
        <v>39937</v>
      </c>
      <c r="AY1200" s="355">
        <v>3.048E-2</v>
      </c>
      <c r="AZ1200" s="624">
        <v>40002</v>
      </c>
      <c r="BA1200" s="355">
        <v>1.4999999999999999E-2</v>
      </c>
      <c r="BB1200" s="624">
        <v>39933</v>
      </c>
      <c r="BC1200" s="355">
        <v>0.29849999999999999</v>
      </c>
      <c r="BD1200" s="624">
        <v>39934</v>
      </c>
      <c r="BE1200" s="355">
        <v>7.7660000000000007E-2</v>
      </c>
      <c r="BF1200" s="624">
        <v>39982</v>
      </c>
      <c r="BG1200" s="355">
        <v>2.0746000000000001E-2</v>
      </c>
      <c r="BH1200" s="624">
        <v>39934</v>
      </c>
      <c r="BI1200" s="355">
        <v>9.4186000000000006E-2</v>
      </c>
      <c r="BJ1200" s="624">
        <v>39933</v>
      </c>
      <c r="BK1200" s="355">
        <v>2.8343E-2</v>
      </c>
    </row>
    <row r="1201" spans="3:63">
      <c r="C1201" s="624"/>
      <c r="D1201" s="355">
        <v>3.048E-2</v>
      </c>
      <c r="AV1201" s="624"/>
      <c r="AX1201" s="624">
        <v>39938</v>
      </c>
      <c r="AY1201" s="355">
        <v>3.0439999999999998E-2</v>
      </c>
      <c r="AZ1201" s="624">
        <v>40003</v>
      </c>
      <c r="BA1201" s="355">
        <v>1.4999999999999999E-2</v>
      </c>
      <c r="BB1201" s="624">
        <v>39934</v>
      </c>
      <c r="BC1201" s="355">
        <v>0.30359999999999998</v>
      </c>
      <c r="BD1201" s="624">
        <v>39937</v>
      </c>
      <c r="BE1201" s="355">
        <v>7.9350000000000004E-2</v>
      </c>
      <c r="BF1201" s="624">
        <v>39983</v>
      </c>
      <c r="BG1201" s="355">
        <v>2.0781000000000001E-2</v>
      </c>
      <c r="BH1201" s="624">
        <v>39937</v>
      </c>
      <c r="BI1201" s="355">
        <v>9.5422000000000007E-2</v>
      </c>
      <c r="BJ1201" s="624">
        <v>39934</v>
      </c>
      <c r="BK1201" s="355">
        <v>2.8337000000000001E-2</v>
      </c>
    </row>
    <row r="1202" spans="3:63">
      <c r="C1202" s="624"/>
      <c r="D1202" s="355">
        <v>3.0439999999999998E-2</v>
      </c>
      <c r="AV1202" s="624"/>
      <c r="AX1202" s="624">
        <v>39939</v>
      </c>
      <c r="AY1202" s="355">
        <v>3.049E-2</v>
      </c>
      <c r="AZ1202" s="624">
        <v>40004</v>
      </c>
      <c r="BA1202" s="355">
        <v>1.49E-2</v>
      </c>
      <c r="BB1202" s="624">
        <v>39937</v>
      </c>
      <c r="BC1202" s="355">
        <v>0.30790000000000001</v>
      </c>
      <c r="BD1202" s="624">
        <v>39938</v>
      </c>
      <c r="BE1202" s="355">
        <v>7.8990000000000005E-2</v>
      </c>
      <c r="BF1202" s="624">
        <v>39986</v>
      </c>
      <c r="BG1202" s="355">
        <v>2.0567999999999999E-2</v>
      </c>
      <c r="BH1202" s="624">
        <v>39938</v>
      </c>
      <c r="BI1202" s="355">
        <v>9.6083000000000002E-2</v>
      </c>
      <c r="BJ1202" s="624">
        <v>39937</v>
      </c>
      <c r="BK1202" s="355">
        <v>2.8466000000000002E-2</v>
      </c>
    </row>
    <row r="1203" spans="3:63">
      <c r="C1203" s="624"/>
      <c r="D1203" s="355">
        <v>3.049E-2</v>
      </c>
      <c r="AV1203" s="624"/>
      <c r="AX1203" s="624">
        <v>39940</v>
      </c>
      <c r="AY1203" s="355">
        <v>3.0679999999999999E-2</v>
      </c>
      <c r="AZ1203" s="624">
        <v>40007</v>
      </c>
      <c r="BA1203" s="355">
        <v>1.4999999999999999E-2</v>
      </c>
      <c r="BB1203" s="624">
        <v>39938</v>
      </c>
      <c r="BC1203" s="355">
        <v>0.30509999999999998</v>
      </c>
      <c r="BD1203" s="624">
        <v>39939</v>
      </c>
      <c r="BE1203" s="355">
        <v>7.9060000000000005E-2</v>
      </c>
      <c r="BF1203" s="624">
        <v>39987</v>
      </c>
      <c r="BG1203" s="355">
        <v>2.0618000000000001E-2</v>
      </c>
      <c r="BH1203" s="624">
        <v>39939</v>
      </c>
      <c r="BI1203" s="355">
        <v>9.5967999999999998E-2</v>
      </c>
      <c r="BJ1203" s="624">
        <v>39938</v>
      </c>
      <c r="BK1203" s="355">
        <v>2.845E-2</v>
      </c>
    </row>
    <row r="1204" spans="3:63">
      <c r="C1204" s="624"/>
      <c r="D1204" s="355">
        <v>3.0679999999999999E-2</v>
      </c>
      <c r="AV1204" s="624"/>
      <c r="AX1204" s="624">
        <v>39941</v>
      </c>
      <c r="AY1204" s="355">
        <v>3.092E-2</v>
      </c>
      <c r="AZ1204" s="624">
        <v>40008</v>
      </c>
      <c r="BA1204" s="355">
        <v>1.4999999999999999E-2</v>
      </c>
      <c r="BB1204" s="624">
        <v>39939</v>
      </c>
      <c r="BC1204" s="355">
        <v>0.30480000000000002</v>
      </c>
      <c r="BD1204" s="624">
        <v>39940</v>
      </c>
      <c r="BE1204" s="355">
        <v>7.9570000000000002E-2</v>
      </c>
      <c r="BF1204" s="624">
        <v>39988</v>
      </c>
      <c r="BG1204" s="355">
        <v>2.0593E-2</v>
      </c>
      <c r="BH1204" s="624">
        <v>39940</v>
      </c>
      <c r="BI1204" s="355">
        <v>9.6324000000000007E-2</v>
      </c>
      <c r="BJ1204" s="624">
        <v>39939</v>
      </c>
      <c r="BK1204" s="355">
        <v>2.8473999999999999E-2</v>
      </c>
    </row>
    <row r="1205" spans="3:63">
      <c r="C1205" s="624"/>
      <c r="D1205" s="355">
        <v>3.092E-2</v>
      </c>
      <c r="AV1205" s="624"/>
      <c r="AX1205" s="624">
        <v>39944</v>
      </c>
      <c r="AY1205" s="355">
        <v>3.0970000000000001E-2</v>
      </c>
      <c r="AZ1205" s="624">
        <v>40009</v>
      </c>
      <c r="BA1205" s="355">
        <v>1.5100000000000001E-2</v>
      </c>
      <c r="BB1205" s="624">
        <v>39940</v>
      </c>
      <c r="BC1205" s="355">
        <v>0.30640000000000001</v>
      </c>
      <c r="BD1205" s="624">
        <v>39941</v>
      </c>
      <c r="BE1205" s="355">
        <v>8.0449999999999994E-2</v>
      </c>
      <c r="BF1205" s="624">
        <v>39989</v>
      </c>
      <c r="BG1205" s="355">
        <v>2.0573000000000001E-2</v>
      </c>
      <c r="BH1205" s="624">
        <v>39941</v>
      </c>
      <c r="BI1205" s="355">
        <v>9.5972000000000002E-2</v>
      </c>
      <c r="BJ1205" s="624">
        <v>39940</v>
      </c>
      <c r="BK1205" s="355">
        <v>2.8650999999999999E-2</v>
      </c>
    </row>
    <row r="1206" spans="3:63">
      <c r="C1206" s="624"/>
      <c r="D1206" s="355">
        <v>3.0970000000000001E-2</v>
      </c>
      <c r="AV1206" s="624"/>
      <c r="AX1206" s="624">
        <v>39945</v>
      </c>
      <c r="AY1206" s="355">
        <v>3.1119999999999998E-2</v>
      </c>
      <c r="AZ1206" s="624">
        <v>40010</v>
      </c>
      <c r="BA1206" s="355">
        <v>1.52E-2</v>
      </c>
      <c r="BB1206" s="624">
        <v>39941</v>
      </c>
      <c r="BC1206" s="355">
        <v>0.31330000000000002</v>
      </c>
      <c r="BD1206" s="624">
        <v>39944</v>
      </c>
      <c r="BE1206" s="355">
        <v>7.9759999999999998E-2</v>
      </c>
      <c r="BF1206" s="624">
        <v>39990</v>
      </c>
      <c r="BG1206" s="355">
        <v>2.0787E-2</v>
      </c>
      <c r="BH1206" s="624">
        <v>39944</v>
      </c>
      <c r="BI1206" s="355">
        <v>9.5587000000000005E-2</v>
      </c>
      <c r="BJ1206" s="624">
        <v>39941</v>
      </c>
      <c r="BK1206" s="355">
        <v>2.8792000000000002E-2</v>
      </c>
    </row>
    <row r="1207" spans="3:63">
      <c r="C1207" s="624"/>
      <c r="D1207" s="355">
        <v>3.1119999999999998E-2</v>
      </c>
      <c r="AV1207" s="624"/>
      <c r="AX1207" s="624">
        <v>39946</v>
      </c>
      <c r="AY1207" s="355">
        <v>3.124E-2</v>
      </c>
      <c r="AZ1207" s="624">
        <v>40011</v>
      </c>
      <c r="BA1207" s="355">
        <v>1.5100000000000001E-2</v>
      </c>
      <c r="BB1207" s="624">
        <v>39944</v>
      </c>
      <c r="BC1207" s="355">
        <v>0.30980000000000002</v>
      </c>
      <c r="BD1207" s="624">
        <v>39945</v>
      </c>
      <c r="BE1207" s="355">
        <v>8.0850000000000005E-2</v>
      </c>
      <c r="BF1207" s="624">
        <v>39993</v>
      </c>
      <c r="BG1207" s="355">
        <v>2.0809000000000001E-2</v>
      </c>
      <c r="BH1207" s="624">
        <v>39945</v>
      </c>
      <c r="BI1207" s="355">
        <v>9.6542000000000003E-2</v>
      </c>
      <c r="BJ1207" s="624">
        <v>39944</v>
      </c>
      <c r="BK1207" s="355">
        <v>2.8924999999999999E-2</v>
      </c>
    </row>
    <row r="1208" spans="3:63">
      <c r="C1208" s="624"/>
      <c r="D1208" s="355">
        <v>3.124E-2</v>
      </c>
      <c r="AV1208" s="624"/>
      <c r="AX1208" s="624">
        <v>39947</v>
      </c>
      <c r="AY1208" s="355">
        <v>3.1109999999999999E-2</v>
      </c>
      <c r="AZ1208" s="624">
        <v>40014</v>
      </c>
      <c r="BA1208" s="355">
        <v>1.52E-2</v>
      </c>
      <c r="BB1208" s="624">
        <v>39945</v>
      </c>
      <c r="BC1208" s="355">
        <v>0.31030000000000002</v>
      </c>
      <c r="BD1208" s="624">
        <v>39946</v>
      </c>
      <c r="BE1208" s="355">
        <v>7.9869999999999997E-2</v>
      </c>
      <c r="BF1208" s="624">
        <v>39994</v>
      </c>
      <c r="BG1208" s="355">
        <v>2.0875000000000001E-2</v>
      </c>
      <c r="BH1208" s="624">
        <v>39946</v>
      </c>
      <c r="BI1208" s="355">
        <v>9.6249000000000001E-2</v>
      </c>
      <c r="BJ1208" s="624">
        <v>39945</v>
      </c>
      <c r="BK1208" s="355">
        <v>2.8951999999999999E-2</v>
      </c>
    </row>
    <row r="1209" spans="3:63">
      <c r="C1209" s="624"/>
      <c r="D1209" s="355">
        <v>3.1109999999999999E-2</v>
      </c>
      <c r="AV1209" s="624"/>
      <c r="AX1209" s="624">
        <v>39948</v>
      </c>
      <c r="AY1209" s="355">
        <v>3.1130000000000001E-2</v>
      </c>
      <c r="AZ1209" s="624">
        <v>40015</v>
      </c>
      <c r="BA1209" s="355">
        <v>1.52E-2</v>
      </c>
      <c r="BB1209" s="624">
        <v>39946</v>
      </c>
      <c r="BC1209" s="355">
        <v>0.30530000000000002</v>
      </c>
      <c r="BD1209" s="624">
        <v>39947</v>
      </c>
      <c r="BE1209" s="355">
        <v>7.8950000000000006E-2</v>
      </c>
      <c r="BF1209" s="624">
        <v>39995</v>
      </c>
      <c r="BG1209" s="355">
        <v>2.0888E-2</v>
      </c>
      <c r="BH1209" s="624">
        <v>39947</v>
      </c>
      <c r="BI1209" s="355">
        <v>9.6648999999999999E-2</v>
      </c>
      <c r="BJ1209" s="624">
        <v>39946</v>
      </c>
      <c r="BK1209" s="355">
        <v>2.8965000000000001E-2</v>
      </c>
    </row>
    <row r="1210" spans="3:63">
      <c r="C1210" s="624"/>
      <c r="D1210" s="355">
        <v>3.1130000000000001E-2</v>
      </c>
      <c r="AV1210" s="624"/>
      <c r="AX1210" s="624">
        <v>39951</v>
      </c>
      <c r="AY1210" s="355">
        <v>3.1189999999999999E-2</v>
      </c>
      <c r="AZ1210" s="624">
        <v>40016</v>
      </c>
      <c r="BA1210" s="355">
        <v>1.5299999999999999E-2</v>
      </c>
      <c r="BB1210" s="624">
        <v>39947</v>
      </c>
      <c r="BC1210" s="355">
        <v>0.30470000000000003</v>
      </c>
      <c r="BD1210" s="624">
        <v>39948</v>
      </c>
      <c r="BE1210" s="355">
        <v>7.9030000000000003E-2</v>
      </c>
      <c r="BF1210" s="624">
        <v>39996</v>
      </c>
      <c r="BG1210" s="355">
        <v>2.0854999999999999E-2</v>
      </c>
      <c r="BH1210" s="624">
        <v>39948</v>
      </c>
      <c r="BI1210" s="355">
        <v>9.5877000000000004E-2</v>
      </c>
      <c r="BJ1210" s="624">
        <v>39947</v>
      </c>
      <c r="BK1210" s="355">
        <v>2.8927000000000001E-2</v>
      </c>
    </row>
    <row r="1211" spans="3:63">
      <c r="C1211" s="624"/>
      <c r="D1211" s="355">
        <v>3.1189999999999999E-2</v>
      </c>
      <c r="AV1211" s="624"/>
      <c r="AX1211" s="624">
        <v>39952</v>
      </c>
      <c r="AY1211" s="355">
        <v>3.1390000000000001E-2</v>
      </c>
      <c r="AZ1211" s="624">
        <v>40017</v>
      </c>
      <c r="BA1211" s="355">
        <v>1.52E-2</v>
      </c>
      <c r="BB1211" s="624">
        <v>39948</v>
      </c>
      <c r="BC1211" s="355">
        <v>0.30070000000000002</v>
      </c>
      <c r="BD1211" s="624">
        <v>39951</v>
      </c>
      <c r="BE1211" s="355">
        <v>8.0449999999999994E-2</v>
      </c>
      <c r="BF1211" s="624">
        <v>39997</v>
      </c>
      <c r="BG1211" s="355">
        <v>2.0881E-2</v>
      </c>
      <c r="BH1211" s="624">
        <v>39951</v>
      </c>
      <c r="BI1211" s="355">
        <v>9.7118999999999997E-2</v>
      </c>
      <c r="BJ1211" s="624">
        <v>39948</v>
      </c>
      <c r="BK1211" s="355">
        <v>2.8920000000000001E-2</v>
      </c>
    </row>
    <row r="1212" spans="3:63">
      <c r="C1212" s="624"/>
      <c r="D1212" s="355">
        <v>3.1390000000000001E-2</v>
      </c>
      <c r="AV1212" s="624"/>
      <c r="AX1212" s="624">
        <v>39953</v>
      </c>
      <c r="AY1212" s="355">
        <v>3.1690000000000003E-2</v>
      </c>
      <c r="AZ1212" s="624">
        <v>40018</v>
      </c>
      <c r="BA1212" s="355">
        <v>1.5299999999999999E-2</v>
      </c>
      <c r="BB1212" s="624">
        <v>39951</v>
      </c>
      <c r="BC1212" s="355">
        <v>0.30730000000000002</v>
      </c>
      <c r="BD1212" s="624">
        <v>39952</v>
      </c>
      <c r="BE1212" s="355">
        <v>8.0320000000000003E-2</v>
      </c>
      <c r="BF1212" s="624">
        <v>40000</v>
      </c>
      <c r="BG1212" s="355">
        <v>2.0589E-2</v>
      </c>
      <c r="BH1212" s="624">
        <v>39952</v>
      </c>
      <c r="BI1212" s="355">
        <v>9.7072000000000006E-2</v>
      </c>
      <c r="BJ1212" s="624">
        <v>39951</v>
      </c>
      <c r="BK1212" s="355">
        <v>2.8955999999999999E-2</v>
      </c>
    </row>
    <row r="1213" spans="3:63">
      <c r="C1213" s="624"/>
      <c r="D1213" s="355">
        <v>3.1690000000000003E-2</v>
      </c>
      <c r="AV1213" s="624"/>
      <c r="AX1213" s="624">
        <v>39954</v>
      </c>
      <c r="AY1213" s="355">
        <v>3.1919999999999997E-2</v>
      </c>
      <c r="AZ1213" s="624">
        <v>40021</v>
      </c>
      <c r="BA1213" s="355">
        <v>1.52E-2</v>
      </c>
      <c r="BB1213" s="624">
        <v>39952</v>
      </c>
      <c r="BC1213" s="355">
        <v>0.31230000000000002</v>
      </c>
      <c r="BD1213" s="624">
        <v>39953</v>
      </c>
      <c r="BE1213" s="355">
        <v>8.0589999999999995E-2</v>
      </c>
      <c r="BF1213" s="624">
        <v>40001</v>
      </c>
      <c r="BG1213" s="355">
        <v>2.0643999999999999E-2</v>
      </c>
      <c r="BH1213" s="624">
        <v>39953</v>
      </c>
      <c r="BI1213" s="355">
        <v>9.6416000000000002E-2</v>
      </c>
      <c r="BJ1213" s="624">
        <v>39952</v>
      </c>
      <c r="BK1213" s="355">
        <v>2.9062000000000001E-2</v>
      </c>
    </row>
    <row r="1214" spans="3:63">
      <c r="C1214" s="624"/>
      <c r="D1214" s="355">
        <v>3.1919999999999997E-2</v>
      </c>
      <c r="AV1214" s="624"/>
      <c r="AX1214" s="624">
        <v>39955</v>
      </c>
      <c r="AY1214" s="355">
        <v>3.2199999999999999E-2</v>
      </c>
      <c r="AZ1214" s="624">
        <v>40022</v>
      </c>
      <c r="BA1214" s="355">
        <v>1.5100000000000001E-2</v>
      </c>
      <c r="BB1214" s="624">
        <v>39953</v>
      </c>
      <c r="BC1214" s="355">
        <v>0.31669999999999998</v>
      </c>
      <c r="BD1214" s="624">
        <v>39954</v>
      </c>
      <c r="BE1214" s="355">
        <v>8.0399999999999999E-2</v>
      </c>
      <c r="BF1214" s="624">
        <v>40002</v>
      </c>
      <c r="BG1214" s="355">
        <v>2.0455000000000001E-2</v>
      </c>
      <c r="BH1214" s="624">
        <v>39954</v>
      </c>
      <c r="BI1214" s="355">
        <v>9.7243999999999997E-2</v>
      </c>
      <c r="BJ1214" s="624">
        <v>39953</v>
      </c>
      <c r="BK1214" s="355">
        <v>2.9055000000000001E-2</v>
      </c>
    </row>
    <row r="1215" spans="3:63">
      <c r="C1215" s="624"/>
      <c r="D1215" s="355">
        <v>3.2199999999999999E-2</v>
      </c>
      <c r="AV1215" s="624"/>
      <c r="AX1215" s="624">
        <v>39958</v>
      </c>
      <c r="AY1215" s="355">
        <v>3.2259999999999997E-2</v>
      </c>
      <c r="AZ1215" s="624">
        <v>40023</v>
      </c>
      <c r="BA1215" s="355">
        <v>1.4999999999999999E-2</v>
      </c>
      <c r="BB1215" s="624">
        <v>39954</v>
      </c>
      <c r="BC1215" s="355">
        <v>0.31630000000000003</v>
      </c>
      <c r="BD1215" s="624">
        <v>39955</v>
      </c>
      <c r="BE1215" s="355">
        <v>8.0339999999999995E-2</v>
      </c>
      <c r="BF1215" s="624">
        <v>40003</v>
      </c>
      <c r="BG1215" s="355">
        <v>2.0544E-2</v>
      </c>
      <c r="BH1215" s="624">
        <v>39955</v>
      </c>
      <c r="BI1215" s="355">
        <v>9.7997000000000001E-2</v>
      </c>
      <c r="BJ1215" s="624">
        <v>39954</v>
      </c>
      <c r="BK1215" s="355">
        <v>2.9090999999999999E-2</v>
      </c>
    </row>
    <row r="1216" spans="3:63">
      <c r="C1216" s="624"/>
      <c r="D1216" s="355">
        <v>3.2259999999999997E-2</v>
      </c>
      <c r="AV1216" s="624"/>
      <c r="AX1216" s="624">
        <v>39959</v>
      </c>
      <c r="AY1216" s="355">
        <v>3.1949999999999999E-2</v>
      </c>
      <c r="AZ1216" s="624">
        <v>40024</v>
      </c>
      <c r="BA1216" s="355">
        <v>1.4999999999999999E-2</v>
      </c>
      <c r="BB1216" s="624">
        <v>39955</v>
      </c>
      <c r="BC1216" s="355">
        <v>0.318</v>
      </c>
      <c r="BD1216" s="624">
        <v>39958</v>
      </c>
      <c r="BE1216" s="355">
        <v>8.0130000000000007E-2</v>
      </c>
      <c r="BF1216" s="624">
        <v>40004</v>
      </c>
      <c r="BG1216" s="355">
        <v>2.0407999999999999E-2</v>
      </c>
      <c r="BH1216" s="624">
        <v>39958</v>
      </c>
      <c r="BI1216" s="355">
        <v>9.8102999999999996E-2</v>
      </c>
      <c r="BJ1216" s="624">
        <v>39955</v>
      </c>
      <c r="BK1216" s="355">
        <v>2.9149999999999999E-2</v>
      </c>
    </row>
    <row r="1217" spans="3:63">
      <c r="C1217" s="624"/>
      <c r="D1217" s="355">
        <v>3.1949999999999999E-2</v>
      </c>
      <c r="AV1217" s="624"/>
      <c r="AX1217" s="624">
        <v>39960</v>
      </c>
      <c r="AY1217" s="355">
        <v>3.2009999999999997E-2</v>
      </c>
      <c r="AZ1217" s="624">
        <v>40025</v>
      </c>
      <c r="BA1217" s="355">
        <v>1.5299999999999999E-2</v>
      </c>
      <c r="BB1217" s="624">
        <v>39958</v>
      </c>
      <c r="BC1217" s="355">
        <v>0.31790000000000002</v>
      </c>
      <c r="BD1217" s="624">
        <v>39959</v>
      </c>
      <c r="BE1217" s="355">
        <v>7.9149999999999998E-2</v>
      </c>
      <c r="BF1217" s="624">
        <v>40007</v>
      </c>
      <c r="BG1217" s="355">
        <v>2.0371E-2</v>
      </c>
      <c r="BH1217" s="624">
        <v>39959</v>
      </c>
      <c r="BI1217" s="355">
        <v>9.6723000000000003E-2</v>
      </c>
      <c r="BJ1217" s="624">
        <v>39958</v>
      </c>
      <c r="BK1217" s="355">
        <v>2.9086999999999998E-2</v>
      </c>
    </row>
    <row r="1218" spans="3:63">
      <c r="C1218" s="624"/>
      <c r="D1218" s="355">
        <v>3.2009999999999997E-2</v>
      </c>
      <c r="AV1218" s="624"/>
      <c r="AX1218" s="624">
        <v>39961</v>
      </c>
      <c r="AY1218" s="355">
        <v>3.1919999999999997E-2</v>
      </c>
      <c r="AZ1218" s="624">
        <v>40028</v>
      </c>
      <c r="BA1218" s="355">
        <v>1.54E-2</v>
      </c>
      <c r="BB1218" s="624">
        <v>39959</v>
      </c>
      <c r="BC1218" s="355">
        <v>0.31680000000000003</v>
      </c>
      <c r="BD1218" s="624">
        <v>39960</v>
      </c>
      <c r="BE1218" s="355">
        <v>7.7950000000000005E-2</v>
      </c>
      <c r="BF1218" s="624">
        <v>40008</v>
      </c>
      <c r="BG1218" s="355">
        <v>2.0423E-2</v>
      </c>
      <c r="BH1218" s="624">
        <v>39960</v>
      </c>
      <c r="BI1218" s="355">
        <v>9.6736000000000003E-2</v>
      </c>
      <c r="BJ1218" s="624">
        <v>39959</v>
      </c>
      <c r="BK1218" s="355">
        <v>2.9028000000000002E-2</v>
      </c>
    </row>
    <row r="1219" spans="3:63">
      <c r="C1219" s="624"/>
      <c r="D1219" s="355">
        <v>3.1919999999999997E-2</v>
      </c>
      <c r="AV1219" s="624"/>
      <c r="AX1219" s="624">
        <v>39962</v>
      </c>
      <c r="AY1219" s="355">
        <v>3.2460000000000003E-2</v>
      </c>
      <c r="AZ1219" s="624">
        <v>40029</v>
      </c>
      <c r="BA1219" s="355">
        <v>1.55E-2</v>
      </c>
      <c r="BB1219" s="624">
        <v>39960</v>
      </c>
      <c r="BC1219" s="355">
        <v>0.31119999999999998</v>
      </c>
      <c r="BD1219" s="624">
        <v>39961</v>
      </c>
      <c r="BE1219" s="355">
        <v>7.9159999999999994E-2</v>
      </c>
      <c r="BF1219" s="624">
        <v>40009</v>
      </c>
      <c r="BG1219" s="355">
        <v>2.0559999999999998E-2</v>
      </c>
      <c r="BH1219" s="624">
        <v>39961</v>
      </c>
      <c r="BI1219" s="355">
        <v>9.6898999999999999E-2</v>
      </c>
      <c r="BJ1219" s="624">
        <v>39960</v>
      </c>
      <c r="BK1219" s="355">
        <v>2.9069999999999999E-2</v>
      </c>
    </row>
    <row r="1220" spans="3:63">
      <c r="C1220" s="624"/>
      <c r="D1220" s="355">
        <v>3.2460000000000003E-2</v>
      </c>
      <c r="AV1220" s="624"/>
      <c r="AX1220" s="624">
        <v>39965</v>
      </c>
      <c r="AY1220" s="355">
        <v>3.2660000000000002E-2</v>
      </c>
      <c r="AZ1220" s="624">
        <v>40030</v>
      </c>
      <c r="BA1220" s="355">
        <v>1.54E-2</v>
      </c>
      <c r="BB1220" s="624">
        <v>39961</v>
      </c>
      <c r="BC1220" s="355">
        <v>0.30840000000000001</v>
      </c>
      <c r="BD1220" s="624">
        <v>39962</v>
      </c>
      <c r="BE1220" s="355">
        <v>7.9659999999999995E-2</v>
      </c>
      <c r="BF1220" s="624">
        <v>40010</v>
      </c>
      <c r="BG1220" s="355">
        <v>2.0548E-2</v>
      </c>
      <c r="BH1220" s="624">
        <v>39962</v>
      </c>
      <c r="BI1220" s="355">
        <v>9.6712000000000006E-2</v>
      </c>
      <c r="BJ1220" s="624">
        <v>39961</v>
      </c>
      <c r="BK1220" s="355">
        <v>2.9059000000000001E-2</v>
      </c>
    </row>
    <row r="1221" spans="3:63">
      <c r="C1221" s="624"/>
      <c r="D1221" s="355">
        <v>3.2660000000000002E-2</v>
      </c>
      <c r="AV1221" s="624"/>
      <c r="AX1221" s="624">
        <v>39966</v>
      </c>
      <c r="AY1221" s="355">
        <v>3.2739999999999998E-2</v>
      </c>
      <c r="AZ1221" s="624">
        <v>40031</v>
      </c>
      <c r="BA1221" s="355">
        <v>1.5299999999999999E-2</v>
      </c>
      <c r="BB1221" s="624">
        <v>39962</v>
      </c>
      <c r="BC1221" s="355">
        <v>0.314</v>
      </c>
      <c r="BD1221" s="624">
        <v>39965</v>
      </c>
      <c r="BE1221" s="355">
        <v>8.1360000000000002E-2</v>
      </c>
      <c r="BF1221" s="624">
        <v>40011</v>
      </c>
      <c r="BG1221" s="355">
        <v>2.052E-2</v>
      </c>
      <c r="BH1221" s="624">
        <v>39965</v>
      </c>
      <c r="BI1221" s="355">
        <v>9.7418000000000005E-2</v>
      </c>
      <c r="BJ1221" s="624">
        <v>39962</v>
      </c>
      <c r="BK1221" s="355">
        <v>2.9138000000000001E-2</v>
      </c>
    </row>
    <row r="1222" spans="3:63">
      <c r="C1222" s="624"/>
      <c r="D1222" s="355">
        <v>3.2739999999999998E-2</v>
      </c>
      <c r="AV1222" s="624"/>
      <c r="AX1222" s="624">
        <v>39967</v>
      </c>
      <c r="AY1222" s="355">
        <v>3.2349999999999997E-2</v>
      </c>
      <c r="AZ1222" s="624">
        <v>40032</v>
      </c>
      <c r="BA1222" s="355">
        <v>1.52E-2</v>
      </c>
      <c r="BB1222" s="624">
        <v>39965</v>
      </c>
      <c r="BC1222" s="355">
        <v>0.31730000000000003</v>
      </c>
      <c r="BD1222" s="624">
        <v>39966</v>
      </c>
      <c r="BE1222" s="355">
        <v>8.0990000000000006E-2</v>
      </c>
      <c r="BF1222" s="624">
        <v>40014</v>
      </c>
      <c r="BG1222" s="355">
        <v>2.0767999999999998E-2</v>
      </c>
      <c r="BH1222" s="624">
        <v>39966</v>
      </c>
      <c r="BI1222" s="355">
        <v>9.7556000000000004E-2</v>
      </c>
      <c r="BJ1222" s="624">
        <v>39965</v>
      </c>
      <c r="BK1222" s="355">
        <v>2.9316999999999999E-2</v>
      </c>
    </row>
    <row r="1223" spans="3:63">
      <c r="C1223" s="624"/>
      <c r="D1223" s="355">
        <v>3.2349999999999997E-2</v>
      </c>
      <c r="AV1223" s="624"/>
      <c r="AX1223" s="624">
        <v>39968</v>
      </c>
      <c r="AY1223" s="355">
        <v>3.243E-2</v>
      </c>
      <c r="AZ1223" s="624">
        <v>40035</v>
      </c>
      <c r="BA1223" s="355">
        <v>1.5100000000000001E-2</v>
      </c>
      <c r="BB1223" s="624">
        <v>39966</v>
      </c>
      <c r="BC1223" s="355">
        <v>0.31969999999999998</v>
      </c>
      <c r="BD1223" s="624">
        <v>39967</v>
      </c>
      <c r="BE1223" s="355">
        <v>8.0560000000000007E-2</v>
      </c>
      <c r="BF1223" s="624">
        <v>40015</v>
      </c>
      <c r="BG1223" s="355">
        <v>2.0649000000000001E-2</v>
      </c>
      <c r="BH1223" s="624">
        <v>39967</v>
      </c>
      <c r="BI1223" s="355">
        <v>9.8743999999999998E-2</v>
      </c>
      <c r="BJ1223" s="624">
        <v>39966</v>
      </c>
      <c r="BK1223" s="355">
        <v>2.9321E-2</v>
      </c>
    </row>
    <row r="1224" spans="3:63">
      <c r="C1224" s="624"/>
      <c r="D1224" s="355">
        <v>3.243E-2</v>
      </c>
      <c r="AV1224" s="624"/>
      <c r="AX1224" s="624">
        <v>39969</v>
      </c>
      <c r="AY1224" s="355">
        <v>3.2379999999999999E-2</v>
      </c>
      <c r="AZ1224" s="624">
        <v>40036</v>
      </c>
      <c r="BA1224" s="355">
        <v>1.5100000000000001E-2</v>
      </c>
      <c r="BB1224" s="624">
        <v>39967</v>
      </c>
      <c r="BC1224" s="355">
        <v>0.313</v>
      </c>
      <c r="BD1224" s="624">
        <v>39968</v>
      </c>
      <c r="BE1224" s="355">
        <v>8.022E-2</v>
      </c>
      <c r="BF1224" s="624">
        <v>40016</v>
      </c>
      <c r="BG1224" s="355">
        <v>2.0614E-2</v>
      </c>
      <c r="BH1224" s="624">
        <v>39968</v>
      </c>
      <c r="BI1224" s="355">
        <v>9.8474000000000006E-2</v>
      </c>
      <c r="BJ1224" s="624">
        <v>39967</v>
      </c>
      <c r="BK1224" s="355">
        <v>2.9377E-2</v>
      </c>
    </row>
    <row r="1225" spans="3:63">
      <c r="C1225" s="624"/>
      <c r="D1225" s="355">
        <v>3.2379999999999999E-2</v>
      </c>
      <c r="AV1225" s="624"/>
      <c r="AX1225" s="624">
        <v>39972</v>
      </c>
      <c r="AY1225" s="355">
        <v>3.184E-2</v>
      </c>
      <c r="AZ1225" s="624">
        <v>40037</v>
      </c>
      <c r="BA1225" s="355">
        <v>1.5100000000000001E-2</v>
      </c>
      <c r="BB1225" s="624">
        <v>39968</v>
      </c>
      <c r="BC1225" s="355">
        <v>0.315</v>
      </c>
      <c r="BD1225" s="624">
        <v>39969</v>
      </c>
      <c r="BE1225" s="355">
        <v>8.0070000000000002E-2</v>
      </c>
      <c r="BF1225" s="624">
        <v>40017</v>
      </c>
      <c r="BG1225" s="355">
        <v>2.0650999999999999E-2</v>
      </c>
      <c r="BH1225" s="624">
        <v>39969</v>
      </c>
      <c r="BI1225" s="355">
        <v>0.100604</v>
      </c>
      <c r="BJ1225" s="624">
        <v>39968</v>
      </c>
      <c r="BK1225" s="355">
        <v>2.9291000000000001E-2</v>
      </c>
    </row>
    <row r="1226" spans="3:63">
      <c r="C1226" s="624"/>
      <c r="D1226" s="355">
        <v>3.184E-2</v>
      </c>
      <c r="AV1226" s="624"/>
      <c r="AX1226" s="624">
        <v>39973</v>
      </c>
      <c r="AY1226" s="355">
        <v>3.2120000000000003E-2</v>
      </c>
      <c r="AZ1226" s="624">
        <v>40038</v>
      </c>
      <c r="BA1226" s="355">
        <v>1.5299999999999999E-2</v>
      </c>
      <c r="BB1226" s="624">
        <v>39969</v>
      </c>
      <c r="BC1226" s="355">
        <v>0.30759999999999998</v>
      </c>
      <c r="BD1226" s="624">
        <v>39972</v>
      </c>
      <c r="BE1226" s="355">
        <v>7.918E-2</v>
      </c>
      <c r="BF1226" s="624">
        <v>40018</v>
      </c>
      <c r="BG1226" s="355">
        <v>2.0735E-2</v>
      </c>
      <c r="BH1226" s="624">
        <v>39972</v>
      </c>
      <c r="BI1226" s="355">
        <v>0.100176</v>
      </c>
      <c r="BJ1226" s="624">
        <v>39969</v>
      </c>
      <c r="BK1226" s="355">
        <v>2.9222999999999999E-2</v>
      </c>
    </row>
    <row r="1227" spans="3:63">
      <c r="C1227" s="624"/>
      <c r="D1227" s="355">
        <v>3.2120000000000003E-2</v>
      </c>
      <c r="AV1227" s="624"/>
      <c r="AX1227" s="624">
        <v>39974</v>
      </c>
      <c r="AY1227" s="355">
        <v>3.2329999999999998E-2</v>
      </c>
      <c r="AZ1227" s="624">
        <v>40039</v>
      </c>
      <c r="BA1227" s="355">
        <v>1.52E-2</v>
      </c>
      <c r="BB1227" s="624">
        <v>39972</v>
      </c>
      <c r="BC1227" s="355">
        <v>0.3075</v>
      </c>
      <c r="BD1227" s="624">
        <v>39973</v>
      </c>
      <c r="BE1227" s="355">
        <v>7.9200000000000007E-2</v>
      </c>
      <c r="BF1227" s="624">
        <v>40021</v>
      </c>
      <c r="BG1227" s="355">
        <v>2.0760000000000001E-2</v>
      </c>
      <c r="BH1227" s="624">
        <v>39973</v>
      </c>
      <c r="BI1227" s="355">
        <v>9.9255999999999997E-2</v>
      </c>
      <c r="BJ1227" s="624">
        <v>39972</v>
      </c>
      <c r="BK1227" s="355">
        <v>2.9123E-2</v>
      </c>
    </row>
    <row r="1228" spans="3:63">
      <c r="C1228" s="624"/>
      <c r="D1228" s="355">
        <v>3.2329999999999998E-2</v>
      </c>
      <c r="AV1228" s="624"/>
      <c r="AX1228" s="624">
        <v>39975</v>
      </c>
      <c r="AY1228" s="355">
        <v>3.2410000000000001E-2</v>
      </c>
      <c r="AZ1228" s="624">
        <v>40042</v>
      </c>
      <c r="BA1228" s="355">
        <v>1.5100000000000001E-2</v>
      </c>
      <c r="BB1228" s="624">
        <v>39973</v>
      </c>
      <c r="BC1228" s="355">
        <v>0.31390000000000001</v>
      </c>
      <c r="BD1228" s="624">
        <v>39974</v>
      </c>
      <c r="BE1228" s="355">
        <v>7.9350000000000004E-2</v>
      </c>
      <c r="BF1228" s="624">
        <v>40022</v>
      </c>
      <c r="BG1228" s="355">
        <v>2.0745E-2</v>
      </c>
      <c r="BH1228" s="624">
        <v>39974</v>
      </c>
      <c r="BI1228" s="355">
        <v>9.9825999999999998E-2</v>
      </c>
      <c r="BJ1228" s="624">
        <v>39973</v>
      </c>
      <c r="BK1228" s="355">
        <v>2.9270000000000001E-2</v>
      </c>
    </row>
    <row r="1229" spans="3:63">
      <c r="C1229" s="624"/>
      <c r="D1229" s="355">
        <v>3.2410000000000001E-2</v>
      </c>
      <c r="AV1229" s="624"/>
      <c r="AX1229" s="624">
        <v>39976</v>
      </c>
      <c r="AY1229" s="355">
        <v>3.2489999999999998E-2</v>
      </c>
      <c r="AZ1229" s="624">
        <v>40043</v>
      </c>
      <c r="BA1229" s="355">
        <v>1.5100000000000001E-2</v>
      </c>
      <c r="BB1229" s="624">
        <v>39974</v>
      </c>
      <c r="BC1229" s="355">
        <v>0.31159999999999999</v>
      </c>
      <c r="BD1229" s="624">
        <v>39975</v>
      </c>
      <c r="BE1229" s="355">
        <v>7.9780000000000004E-2</v>
      </c>
      <c r="BF1229" s="624">
        <v>40023</v>
      </c>
      <c r="BG1229" s="355">
        <v>2.0656000000000001E-2</v>
      </c>
      <c r="BH1229" s="624">
        <v>39975</v>
      </c>
      <c r="BI1229" s="355">
        <v>9.9825999999999998E-2</v>
      </c>
      <c r="BJ1229" s="624">
        <v>39974</v>
      </c>
      <c r="BK1229" s="355">
        <v>2.9326000000000001E-2</v>
      </c>
    </row>
    <row r="1230" spans="3:63">
      <c r="C1230" s="624"/>
      <c r="D1230" s="355">
        <v>3.2489999999999998E-2</v>
      </c>
      <c r="AV1230" s="624"/>
      <c r="AX1230" s="624">
        <v>39979</v>
      </c>
      <c r="AY1230" s="355">
        <v>3.1940000000000003E-2</v>
      </c>
      <c r="AZ1230" s="624">
        <v>40044</v>
      </c>
      <c r="BA1230" s="355">
        <v>1.52E-2</v>
      </c>
      <c r="BB1230" s="624">
        <v>39975</v>
      </c>
      <c r="BC1230" s="355">
        <v>0.31559999999999999</v>
      </c>
      <c r="BD1230" s="624">
        <v>39976</v>
      </c>
      <c r="BE1230" s="355">
        <v>7.9939999999999997E-2</v>
      </c>
      <c r="BF1230" s="624">
        <v>40024</v>
      </c>
      <c r="BG1230" s="355">
        <v>2.0687000000000001E-2</v>
      </c>
      <c r="BH1230" s="624">
        <v>39976</v>
      </c>
      <c r="BI1230" s="355">
        <v>9.9382999999999999E-2</v>
      </c>
      <c r="BJ1230" s="624">
        <v>39975</v>
      </c>
      <c r="BK1230" s="355">
        <v>2.9364000000000001E-2</v>
      </c>
    </row>
    <row r="1231" spans="3:63">
      <c r="C1231" s="624"/>
      <c r="D1231" s="355">
        <v>3.1940000000000003E-2</v>
      </c>
      <c r="AV1231" s="624"/>
      <c r="AX1231" s="624">
        <v>39980</v>
      </c>
      <c r="AY1231" s="355">
        <v>3.2050000000000002E-2</v>
      </c>
      <c r="AZ1231" s="624">
        <v>40045</v>
      </c>
      <c r="BA1231" s="355">
        <v>1.5299999999999999E-2</v>
      </c>
      <c r="BB1231" s="624">
        <v>39976</v>
      </c>
      <c r="BC1231" s="355">
        <v>0.31319999999999998</v>
      </c>
      <c r="BD1231" s="624">
        <v>39979</v>
      </c>
      <c r="BE1231" s="355">
        <v>7.8810000000000005E-2</v>
      </c>
      <c r="BF1231" s="624">
        <v>40025</v>
      </c>
      <c r="BG1231" s="355">
        <v>2.0858000000000002E-2</v>
      </c>
      <c r="BH1231" s="624">
        <v>39979</v>
      </c>
      <c r="BI1231" s="355">
        <v>9.8790000000000003E-2</v>
      </c>
      <c r="BJ1231" s="624">
        <v>39976</v>
      </c>
      <c r="BK1231" s="355">
        <v>2.9321E-2</v>
      </c>
    </row>
    <row r="1232" spans="3:63">
      <c r="C1232" s="624"/>
      <c r="D1232" s="355">
        <v>3.2050000000000002E-2</v>
      </c>
      <c r="AV1232" s="624"/>
      <c r="AX1232" s="624">
        <v>39981</v>
      </c>
      <c r="AY1232" s="355">
        <v>3.2000000000000001E-2</v>
      </c>
      <c r="AZ1232" s="624">
        <v>40046</v>
      </c>
      <c r="BA1232" s="355">
        <v>1.54E-2</v>
      </c>
      <c r="BB1232" s="624">
        <v>39979</v>
      </c>
      <c r="BC1232" s="355">
        <v>0.30480000000000002</v>
      </c>
      <c r="BD1232" s="624">
        <v>39980</v>
      </c>
      <c r="BE1232" s="355">
        <v>7.9280000000000003E-2</v>
      </c>
      <c r="BF1232" s="624">
        <v>40028</v>
      </c>
      <c r="BG1232" s="355">
        <v>2.0995E-2</v>
      </c>
      <c r="BH1232" s="624">
        <v>39980</v>
      </c>
      <c r="BI1232" s="355">
        <v>9.8790000000000003E-2</v>
      </c>
      <c r="BJ1232" s="624">
        <v>39979</v>
      </c>
      <c r="BK1232" s="355">
        <v>2.9308000000000001E-2</v>
      </c>
    </row>
    <row r="1233" spans="3:63">
      <c r="C1233" s="624"/>
      <c r="D1233" s="355">
        <v>3.2000000000000001E-2</v>
      </c>
      <c r="AV1233" s="624"/>
      <c r="AX1233" s="624">
        <v>39982</v>
      </c>
      <c r="AY1233" s="355">
        <v>3.2160000000000001E-2</v>
      </c>
      <c r="AZ1233" s="624">
        <v>40049</v>
      </c>
      <c r="BA1233" s="355">
        <v>1.5299999999999999E-2</v>
      </c>
      <c r="BB1233" s="624">
        <v>39980</v>
      </c>
      <c r="BC1233" s="355">
        <v>0.30590000000000001</v>
      </c>
      <c r="BD1233" s="624">
        <v>39981</v>
      </c>
      <c r="BE1233" s="355">
        <v>7.9229999999999995E-2</v>
      </c>
      <c r="BF1233" s="624">
        <v>40029</v>
      </c>
      <c r="BG1233" s="355">
        <v>2.0958000000000001E-2</v>
      </c>
      <c r="BH1233" s="624">
        <v>39981</v>
      </c>
      <c r="BI1233" s="355">
        <v>9.8282999999999995E-2</v>
      </c>
      <c r="BJ1233" s="624">
        <v>39980</v>
      </c>
      <c r="BK1233" s="355">
        <v>2.9308000000000001E-2</v>
      </c>
    </row>
    <row r="1234" spans="3:63">
      <c r="C1234" s="624"/>
      <c r="D1234" s="355">
        <v>3.2160000000000001E-2</v>
      </c>
      <c r="AV1234" s="624"/>
      <c r="AX1234" s="624">
        <v>39983</v>
      </c>
      <c r="AY1234" s="355">
        <v>3.2169999999999997E-2</v>
      </c>
      <c r="AZ1234" s="624">
        <v>40050</v>
      </c>
      <c r="BA1234" s="355">
        <v>1.5299999999999999E-2</v>
      </c>
      <c r="BB1234" s="624">
        <v>39981</v>
      </c>
      <c r="BC1234" s="355">
        <v>0.30769999999999997</v>
      </c>
      <c r="BD1234" s="624">
        <v>39982</v>
      </c>
      <c r="BE1234" s="355">
        <v>7.868E-2</v>
      </c>
      <c r="BF1234" s="624">
        <v>40030</v>
      </c>
      <c r="BG1234" s="355">
        <v>2.1038999999999999E-2</v>
      </c>
      <c r="BH1234" s="624">
        <v>39982</v>
      </c>
      <c r="BI1234" s="355">
        <v>9.6061999999999995E-2</v>
      </c>
      <c r="BJ1234" s="624">
        <v>39981</v>
      </c>
      <c r="BK1234" s="355">
        <v>2.928E-2</v>
      </c>
    </row>
    <row r="1235" spans="3:63">
      <c r="C1235" s="624"/>
      <c r="D1235" s="355">
        <v>3.2169999999999997E-2</v>
      </c>
      <c r="AV1235" s="624"/>
      <c r="AX1235" s="624">
        <v>39986</v>
      </c>
      <c r="AY1235" s="355">
        <v>3.1879999999999999E-2</v>
      </c>
      <c r="AZ1235" s="624">
        <v>40051</v>
      </c>
      <c r="BA1235" s="355">
        <v>1.5299999999999999E-2</v>
      </c>
      <c r="BB1235" s="624">
        <v>39982</v>
      </c>
      <c r="BC1235" s="355">
        <v>0.30659999999999998</v>
      </c>
      <c r="BD1235" s="624">
        <v>39983</v>
      </c>
      <c r="BE1235" s="355">
        <v>7.8920000000000004E-2</v>
      </c>
      <c r="BF1235" s="624">
        <v>40031</v>
      </c>
      <c r="BG1235" s="355">
        <v>2.0972000000000001E-2</v>
      </c>
      <c r="BH1235" s="624">
        <v>39983</v>
      </c>
      <c r="BI1235" s="355">
        <v>9.6529000000000004E-2</v>
      </c>
      <c r="BJ1235" s="624">
        <v>39982</v>
      </c>
      <c r="BK1235" s="355">
        <v>2.9274000000000001E-2</v>
      </c>
    </row>
    <row r="1236" spans="3:63">
      <c r="C1236" s="624"/>
      <c r="D1236" s="355">
        <v>3.1879999999999999E-2</v>
      </c>
      <c r="AV1236" s="624"/>
      <c r="AX1236" s="624">
        <v>39987</v>
      </c>
      <c r="AY1236" s="355">
        <v>3.2070000000000001E-2</v>
      </c>
      <c r="AZ1236" s="624">
        <v>40052</v>
      </c>
      <c r="BA1236" s="355">
        <v>1.5299999999999999E-2</v>
      </c>
      <c r="BB1236" s="624">
        <v>39983</v>
      </c>
      <c r="BC1236" s="355">
        <v>0.3075</v>
      </c>
      <c r="BD1236" s="624">
        <v>39986</v>
      </c>
      <c r="BE1236" s="355">
        <v>7.7950000000000005E-2</v>
      </c>
      <c r="BF1236" s="624">
        <v>40032</v>
      </c>
      <c r="BG1236" s="355">
        <v>2.0899000000000001E-2</v>
      </c>
      <c r="BH1236" s="624">
        <v>39986</v>
      </c>
      <c r="BI1236" s="355">
        <v>9.5694000000000001E-2</v>
      </c>
      <c r="BJ1236" s="624">
        <v>39983</v>
      </c>
      <c r="BK1236" s="355">
        <v>2.9321E-2</v>
      </c>
    </row>
    <row r="1237" spans="3:63">
      <c r="C1237" s="624"/>
      <c r="D1237" s="355">
        <v>3.2070000000000001E-2</v>
      </c>
      <c r="AV1237" s="624"/>
      <c r="AX1237" s="624">
        <v>39988</v>
      </c>
      <c r="AY1237" s="355">
        <v>3.2000000000000001E-2</v>
      </c>
      <c r="AZ1237" s="624">
        <v>40053</v>
      </c>
      <c r="BA1237" s="355">
        <v>1.5299999999999999E-2</v>
      </c>
      <c r="BB1237" s="624">
        <v>39986</v>
      </c>
      <c r="BC1237" s="355">
        <v>0.30549999999999999</v>
      </c>
      <c r="BD1237" s="624">
        <v>39987</v>
      </c>
      <c r="BE1237" s="355">
        <v>7.7829999999999996E-2</v>
      </c>
      <c r="BF1237" s="624">
        <v>40035</v>
      </c>
      <c r="BG1237" s="355">
        <v>2.0917000000000002E-2</v>
      </c>
      <c r="BH1237" s="624">
        <v>39987</v>
      </c>
      <c r="BI1237" s="355">
        <v>9.6338999999999994E-2</v>
      </c>
      <c r="BJ1237" s="624">
        <v>39986</v>
      </c>
      <c r="BK1237" s="355">
        <v>2.93E-2</v>
      </c>
    </row>
    <row r="1238" spans="3:63">
      <c r="C1238" s="624"/>
      <c r="D1238" s="355">
        <v>3.2000000000000001E-2</v>
      </c>
      <c r="AV1238" s="624"/>
      <c r="AX1238" s="624">
        <v>39989</v>
      </c>
      <c r="AY1238" s="355">
        <v>3.193E-2</v>
      </c>
      <c r="AZ1238" s="624">
        <v>40056</v>
      </c>
      <c r="BA1238" s="355">
        <v>1.54E-2</v>
      </c>
      <c r="BB1238" s="624">
        <v>39987</v>
      </c>
      <c r="BC1238" s="355">
        <v>0.30909999999999999</v>
      </c>
      <c r="BD1238" s="624">
        <v>39988</v>
      </c>
      <c r="BE1238" s="355">
        <v>7.8280000000000002E-2</v>
      </c>
      <c r="BF1238" s="624">
        <v>40036</v>
      </c>
      <c r="BG1238" s="355">
        <v>2.0851000000000001E-2</v>
      </c>
      <c r="BH1238" s="624">
        <v>39988</v>
      </c>
      <c r="BI1238" s="355">
        <v>9.6618999999999997E-2</v>
      </c>
      <c r="BJ1238" s="624">
        <v>39987</v>
      </c>
      <c r="BK1238" s="355">
        <v>2.9274000000000001E-2</v>
      </c>
    </row>
    <row r="1239" spans="3:63">
      <c r="C1239" s="624"/>
      <c r="D1239" s="355">
        <v>3.193E-2</v>
      </c>
      <c r="AV1239" s="624"/>
      <c r="AX1239" s="624">
        <v>39990</v>
      </c>
      <c r="AY1239" s="355">
        <v>3.2129999999999999E-2</v>
      </c>
      <c r="AZ1239" s="624">
        <v>40057</v>
      </c>
      <c r="BA1239" s="355">
        <v>1.5299999999999999E-2</v>
      </c>
      <c r="BB1239" s="624">
        <v>39988</v>
      </c>
      <c r="BC1239" s="355">
        <v>0.30730000000000002</v>
      </c>
      <c r="BD1239" s="624">
        <v>39989</v>
      </c>
      <c r="BE1239" s="355">
        <v>7.7880000000000005E-2</v>
      </c>
      <c r="BF1239" s="624">
        <v>40037</v>
      </c>
      <c r="BG1239" s="355">
        <v>2.0684999999999999E-2</v>
      </c>
      <c r="BH1239" s="624">
        <v>39989</v>
      </c>
      <c r="BI1239" s="355">
        <v>9.7489999999999993E-2</v>
      </c>
      <c r="BJ1239" s="624">
        <v>39988</v>
      </c>
      <c r="BK1239" s="355">
        <v>2.9315000000000001E-2</v>
      </c>
    </row>
    <row r="1240" spans="3:63">
      <c r="C1240" s="624"/>
      <c r="D1240" s="355">
        <v>3.2129999999999999E-2</v>
      </c>
      <c r="AV1240" s="624"/>
      <c r="AX1240" s="624">
        <v>39993</v>
      </c>
      <c r="AY1240" s="355">
        <v>3.2050000000000002E-2</v>
      </c>
      <c r="AZ1240" s="624">
        <v>40058</v>
      </c>
      <c r="BA1240" s="355">
        <v>1.5299999999999999E-2</v>
      </c>
      <c r="BB1240" s="624">
        <v>39989</v>
      </c>
      <c r="BC1240" s="355">
        <v>0.31090000000000001</v>
      </c>
      <c r="BD1240" s="624">
        <v>39990</v>
      </c>
      <c r="BE1240" s="355">
        <v>7.7880000000000005E-2</v>
      </c>
      <c r="BF1240" s="624">
        <v>40038</v>
      </c>
      <c r="BG1240" s="355">
        <v>2.0805000000000001E-2</v>
      </c>
      <c r="BH1240" s="624">
        <v>39990</v>
      </c>
      <c r="BI1240" s="355">
        <v>9.7489999999999993E-2</v>
      </c>
      <c r="BJ1240" s="624">
        <v>39989</v>
      </c>
      <c r="BK1240" s="355">
        <v>2.9305999999999999E-2</v>
      </c>
    </row>
    <row r="1241" spans="3:63">
      <c r="C1241" s="624"/>
      <c r="D1241" s="355">
        <v>3.2050000000000002E-2</v>
      </c>
      <c r="AV1241" s="624"/>
      <c r="AX1241" s="624">
        <v>39994</v>
      </c>
      <c r="AY1241" s="355">
        <v>3.2099999999999997E-2</v>
      </c>
      <c r="AZ1241" s="624">
        <v>40059</v>
      </c>
      <c r="BA1241" s="355">
        <v>1.5299999999999999E-2</v>
      </c>
      <c r="BB1241" s="624">
        <v>39990</v>
      </c>
      <c r="BC1241" s="355">
        <v>0.31240000000000001</v>
      </c>
      <c r="BD1241" s="624">
        <v>39993</v>
      </c>
      <c r="BE1241" s="355">
        <v>7.8020000000000006E-2</v>
      </c>
      <c r="BF1241" s="624">
        <v>40039</v>
      </c>
      <c r="BG1241" s="355">
        <v>2.0728E-2</v>
      </c>
      <c r="BH1241" s="624">
        <v>39993</v>
      </c>
      <c r="BI1241" s="355">
        <v>9.7489999999999993E-2</v>
      </c>
      <c r="BJ1241" s="624">
        <v>39990</v>
      </c>
      <c r="BK1241" s="355">
        <v>2.9350999999999999E-2</v>
      </c>
    </row>
    <row r="1242" spans="3:63">
      <c r="C1242" s="624"/>
      <c r="D1242" s="355">
        <v>3.2099999999999997E-2</v>
      </c>
      <c r="AV1242" s="624"/>
      <c r="AX1242" s="624">
        <v>39995</v>
      </c>
      <c r="AY1242" s="355">
        <v>3.2250000000000001E-2</v>
      </c>
      <c r="AZ1242" s="624">
        <v>40060</v>
      </c>
      <c r="BA1242" s="355">
        <v>1.5299999999999999E-2</v>
      </c>
      <c r="BB1242" s="624">
        <v>39993</v>
      </c>
      <c r="BC1242" s="355">
        <v>0.31390000000000001</v>
      </c>
      <c r="BD1242" s="624">
        <v>39994</v>
      </c>
      <c r="BE1242" s="355">
        <v>7.8460000000000002E-2</v>
      </c>
      <c r="BF1242" s="624">
        <v>40042</v>
      </c>
      <c r="BG1242" s="355">
        <v>2.0426E-2</v>
      </c>
      <c r="BH1242" s="624">
        <v>39994</v>
      </c>
      <c r="BI1242" s="355">
        <v>9.7560999999999995E-2</v>
      </c>
      <c r="BJ1242" s="624">
        <v>39993</v>
      </c>
      <c r="BK1242" s="355">
        <v>2.9368999999999999E-2</v>
      </c>
    </row>
    <row r="1243" spans="3:63">
      <c r="C1243" s="624"/>
      <c r="D1243" s="355">
        <v>3.2250000000000001E-2</v>
      </c>
      <c r="AV1243" s="624"/>
      <c r="AX1243" s="624">
        <v>39996</v>
      </c>
      <c r="AY1243" s="355">
        <v>3.2009999999999997E-2</v>
      </c>
      <c r="AZ1243" s="624">
        <v>40063</v>
      </c>
      <c r="BA1243" s="355">
        <v>1.5299999999999999E-2</v>
      </c>
      <c r="BB1243" s="624">
        <v>39994</v>
      </c>
      <c r="BC1243" s="355">
        <v>0.31540000000000001</v>
      </c>
      <c r="BD1243" s="624">
        <v>39995</v>
      </c>
      <c r="BE1243" s="355">
        <v>7.9420000000000004E-2</v>
      </c>
      <c r="BF1243" s="624">
        <v>40043</v>
      </c>
      <c r="BG1243" s="355">
        <v>2.0490999999999999E-2</v>
      </c>
      <c r="BH1243" s="624">
        <v>39995</v>
      </c>
      <c r="BI1243" s="355">
        <v>9.7560999999999995E-2</v>
      </c>
      <c r="BJ1243" s="624">
        <v>39994</v>
      </c>
      <c r="BK1243" s="355">
        <v>2.9361999999999999E-2</v>
      </c>
    </row>
    <row r="1244" spans="3:63">
      <c r="C1244" s="624"/>
      <c r="D1244" s="355">
        <v>3.2009999999999997E-2</v>
      </c>
      <c r="AV1244" s="624"/>
      <c r="AX1244" s="624">
        <v>39997</v>
      </c>
      <c r="AY1244" s="355">
        <v>3.1969999999999998E-2</v>
      </c>
      <c r="AZ1244" s="624">
        <v>40064</v>
      </c>
      <c r="BA1244" s="355">
        <v>1.55E-2</v>
      </c>
      <c r="BB1244" s="624">
        <v>39995</v>
      </c>
      <c r="BC1244" s="355">
        <v>0.32500000000000001</v>
      </c>
      <c r="BD1244" s="624">
        <v>39996</v>
      </c>
      <c r="BE1244" s="355">
        <v>7.8710000000000002E-2</v>
      </c>
      <c r="BF1244" s="624">
        <v>40045</v>
      </c>
      <c r="BG1244" s="355">
        <v>2.0534E-2</v>
      </c>
      <c r="BH1244" s="624">
        <v>39996</v>
      </c>
      <c r="BI1244" s="355">
        <v>9.7560999999999995E-2</v>
      </c>
      <c r="BJ1244" s="624">
        <v>39995</v>
      </c>
      <c r="BK1244" s="355">
        <v>2.9377E-2</v>
      </c>
    </row>
    <row r="1245" spans="3:63">
      <c r="C1245" s="624"/>
      <c r="D1245" s="355">
        <v>3.1969999999999998E-2</v>
      </c>
      <c r="AV1245" s="624"/>
      <c r="AX1245" s="624">
        <v>40000</v>
      </c>
      <c r="AY1245" s="355">
        <v>3.1789999999999999E-2</v>
      </c>
      <c r="AZ1245" s="624">
        <v>40065</v>
      </c>
      <c r="BA1245" s="355">
        <v>1.5599999999999999E-2</v>
      </c>
      <c r="BB1245" s="624">
        <v>39996</v>
      </c>
      <c r="BC1245" s="355">
        <v>0.31950000000000001</v>
      </c>
      <c r="BD1245" s="624">
        <v>39997</v>
      </c>
      <c r="BE1245" s="355">
        <v>7.8869999999999996E-2</v>
      </c>
      <c r="BF1245" s="624">
        <v>40046</v>
      </c>
      <c r="BG1245" s="355">
        <v>2.0570000000000001E-2</v>
      </c>
      <c r="BH1245" s="624">
        <v>39997</v>
      </c>
      <c r="BI1245" s="355">
        <v>9.7560999999999995E-2</v>
      </c>
      <c r="BJ1245" s="624">
        <v>39996</v>
      </c>
      <c r="BK1245" s="355">
        <v>2.9326000000000001E-2</v>
      </c>
    </row>
    <row r="1246" spans="3:63">
      <c r="C1246" s="624"/>
      <c r="D1246" s="355">
        <v>3.1789999999999999E-2</v>
      </c>
      <c r="AV1246" s="624"/>
      <c r="AX1246" s="624">
        <v>40001</v>
      </c>
      <c r="AY1246" s="355">
        <v>3.1719999999999998E-2</v>
      </c>
      <c r="AZ1246" s="624">
        <v>40066</v>
      </c>
      <c r="BA1246" s="355">
        <v>1.5599999999999999E-2</v>
      </c>
      <c r="BB1246" s="624">
        <v>39997</v>
      </c>
      <c r="BC1246" s="355">
        <v>0.3211</v>
      </c>
      <c r="BD1246" s="624">
        <v>40000</v>
      </c>
      <c r="BE1246" s="355">
        <v>7.8490000000000004E-2</v>
      </c>
      <c r="BF1246" s="624">
        <v>40049</v>
      </c>
      <c r="BG1246" s="355">
        <v>2.0566000000000001E-2</v>
      </c>
      <c r="BH1246" s="624">
        <v>40000</v>
      </c>
      <c r="BI1246" s="355">
        <v>9.7919999999999993E-2</v>
      </c>
      <c r="BJ1246" s="624">
        <v>39997</v>
      </c>
      <c r="BK1246" s="355">
        <v>2.9332E-2</v>
      </c>
    </row>
    <row r="1247" spans="3:63">
      <c r="C1247" s="624"/>
      <c r="D1247" s="355">
        <v>3.1719999999999998E-2</v>
      </c>
      <c r="AV1247" s="624"/>
      <c r="AX1247" s="624">
        <v>40002</v>
      </c>
      <c r="AY1247" s="355">
        <v>3.1350000000000003E-2</v>
      </c>
      <c r="AZ1247" s="624">
        <v>40067</v>
      </c>
      <c r="BA1247" s="355">
        <v>1.5599999999999999E-2</v>
      </c>
      <c r="BB1247" s="624">
        <v>40000</v>
      </c>
      <c r="BC1247" s="355">
        <v>0.32019999999999998</v>
      </c>
      <c r="BD1247" s="624">
        <v>40001</v>
      </c>
      <c r="BE1247" s="355">
        <v>7.8350000000000003E-2</v>
      </c>
      <c r="BF1247" s="624">
        <v>40050</v>
      </c>
      <c r="BG1247" s="355">
        <v>2.0513E-2</v>
      </c>
      <c r="BH1247" s="624">
        <v>40001</v>
      </c>
      <c r="BI1247" s="355">
        <v>9.8039000000000001E-2</v>
      </c>
      <c r="BJ1247" s="624">
        <v>40000</v>
      </c>
      <c r="BK1247" s="355">
        <v>2.9316999999999999E-2</v>
      </c>
    </row>
    <row r="1248" spans="3:63">
      <c r="C1248" s="624"/>
      <c r="D1248" s="355">
        <v>3.1350000000000003E-2</v>
      </c>
      <c r="AV1248" s="624"/>
      <c r="AX1248" s="624">
        <v>40003</v>
      </c>
      <c r="AY1248" s="355">
        <v>3.1489999999999997E-2</v>
      </c>
      <c r="AZ1248" s="624">
        <v>40070</v>
      </c>
      <c r="BA1248" s="355">
        <v>1.5599999999999999E-2</v>
      </c>
      <c r="BB1248" s="624">
        <v>40001</v>
      </c>
      <c r="BC1248" s="355">
        <v>0.316</v>
      </c>
      <c r="BD1248" s="624">
        <v>40002</v>
      </c>
      <c r="BE1248" s="355">
        <v>7.8079999999999997E-2</v>
      </c>
      <c r="BF1248" s="624">
        <v>40051</v>
      </c>
      <c r="BG1248" s="355">
        <v>2.0444E-2</v>
      </c>
      <c r="BH1248" s="624">
        <v>40002</v>
      </c>
      <c r="BI1248" s="355">
        <v>9.8039000000000001E-2</v>
      </c>
      <c r="BJ1248" s="624">
        <v>40001</v>
      </c>
      <c r="BK1248" s="355">
        <v>2.9316999999999999E-2</v>
      </c>
    </row>
    <row r="1249" spans="3:63">
      <c r="C1249" s="624"/>
      <c r="D1249" s="355">
        <v>3.1489999999999997E-2</v>
      </c>
      <c r="AV1249" s="624"/>
      <c r="AX1249" s="624">
        <v>40004</v>
      </c>
      <c r="AY1249" s="355">
        <v>3.058E-2</v>
      </c>
      <c r="AZ1249" s="624">
        <v>40071</v>
      </c>
      <c r="BA1249" s="355">
        <v>1.5599999999999999E-2</v>
      </c>
      <c r="BB1249" s="624">
        <v>40002</v>
      </c>
      <c r="BC1249" s="355">
        <v>0.31359999999999999</v>
      </c>
      <c r="BD1249" s="624">
        <v>40003</v>
      </c>
      <c r="BE1249" s="355">
        <v>7.8320000000000001E-2</v>
      </c>
      <c r="BF1249" s="624">
        <v>40052</v>
      </c>
      <c r="BG1249" s="355">
        <v>2.044E-2</v>
      </c>
      <c r="BH1249" s="624">
        <v>40003</v>
      </c>
      <c r="BI1249" s="355">
        <v>9.8595000000000002E-2</v>
      </c>
      <c r="BJ1249" s="624">
        <v>40002</v>
      </c>
      <c r="BK1249" s="355">
        <v>2.9333999999999999E-2</v>
      </c>
    </row>
    <row r="1250" spans="3:63">
      <c r="C1250" s="624"/>
      <c r="D1250" s="355">
        <v>3.058E-2</v>
      </c>
      <c r="AV1250" s="624"/>
      <c r="AX1250" s="624">
        <v>40007</v>
      </c>
      <c r="AY1250" s="355">
        <v>3.0519999999999999E-2</v>
      </c>
      <c r="AZ1250" s="624">
        <v>40072</v>
      </c>
      <c r="BA1250" s="355">
        <v>1.5699999999999999E-2</v>
      </c>
      <c r="BB1250" s="624">
        <v>40003</v>
      </c>
      <c r="BC1250" s="355">
        <v>0.3221</v>
      </c>
      <c r="BD1250" s="624">
        <v>40004</v>
      </c>
      <c r="BE1250" s="355">
        <v>7.7549999999999994E-2</v>
      </c>
      <c r="BF1250" s="624">
        <v>40053</v>
      </c>
      <c r="BG1250" s="355">
        <v>2.0552000000000001E-2</v>
      </c>
      <c r="BH1250" s="624">
        <v>40004</v>
      </c>
      <c r="BI1250" s="355">
        <v>9.8377000000000006E-2</v>
      </c>
      <c r="BJ1250" s="624">
        <v>40003</v>
      </c>
      <c r="BK1250" s="355">
        <v>2.9350999999999999E-2</v>
      </c>
    </row>
    <row r="1251" spans="3:63">
      <c r="C1251" s="624"/>
      <c r="D1251" s="355">
        <v>3.0519999999999999E-2</v>
      </c>
      <c r="AV1251" s="624"/>
      <c r="AX1251" s="624">
        <v>40008</v>
      </c>
      <c r="AY1251" s="355">
        <v>3.1E-2</v>
      </c>
      <c r="AZ1251" s="624">
        <v>40073</v>
      </c>
      <c r="BA1251" s="355">
        <v>1.5699999999999999E-2</v>
      </c>
      <c r="BB1251" s="624">
        <v>40004</v>
      </c>
      <c r="BC1251" s="355">
        <v>0.31869999999999998</v>
      </c>
      <c r="BD1251" s="624">
        <v>40007</v>
      </c>
      <c r="BE1251" s="355">
        <v>7.6700000000000004E-2</v>
      </c>
      <c r="BF1251" s="624">
        <v>40056</v>
      </c>
      <c r="BG1251" s="355">
        <v>2.0479000000000001E-2</v>
      </c>
      <c r="BH1251" s="624">
        <v>40007</v>
      </c>
      <c r="BI1251" s="355">
        <v>9.8040000000000002E-2</v>
      </c>
      <c r="BJ1251" s="624">
        <v>40004</v>
      </c>
      <c r="BK1251" s="355">
        <v>2.9357999999999999E-2</v>
      </c>
    </row>
    <row r="1252" spans="3:63">
      <c r="C1252" s="624"/>
      <c r="D1252" s="355">
        <v>3.1E-2</v>
      </c>
      <c r="AV1252" s="624"/>
      <c r="AX1252" s="624">
        <v>40009</v>
      </c>
      <c r="AY1252" s="355">
        <v>3.1399999999999997E-2</v>
      </c>
      <c r="AZ1252" s="624">
        <v>40074</v>
      </c>
      <c r="BA1252" s="355">
        <v>1.5699999999999999E-2</v>
      </c>
      <c r="BB1252" s="624">
        <v>40007</v>
      </c>
      <c r="BC1252" s="355">
        <v>0.31940000000000002</v>
      </c>
      <c r="BD1252" s="624">
        <v>40008</v>
      </c>
      <c r="BE1252" s="355">
        <v>7.7329999999999996E-2</v>
      </c>
      <c r="BF1252" s="624">
        <v>40057</v>
      </c>
      <c r="BG1252" s="355">
        <v>2.0392E-2</v>
      </c>
      <c r="BH1252" s="624">
        <v>40008</v>
      </c>
      <c r="BI1252" s="355">
        <v>9.8183999999999994E-2</v>
      </c>
      <c r="BJ1252" s="624">
        <v>40007</v>
      </c>
      <c r="BK1252" s="355">
        <v>2.9291000000000001E-2</v>
      </c>
    </row>
    <row r="1253" spans="3:63">
      <c r="C1253" s="624"/>
      <c r="D1253" s="355">
        <v>3.1399999999999997E-2</v>
      </c>
      <c r="AV1253" s="624"/>
      <c r="AX1253" s="624">
        <v>40010</v>
      </c>
      <c r="AY1253" s="355">
        <v>3.159E-2</v>
      </c>
      <c r="AZ1253" s="624">
        <v>40077</v>
      </c>
      <c r="BA1253" s="355">
        <v>1.5699999999999999E-2</v>
      </c>
      <c r="BB1253" s="624">
        <v>40008</v>
      </c>
      <c r="BC1253" s="355">
        <v>0.3241</v>
      </c>
      <c r="BD1253" s="624">
        <v>40009</v>
      </c>
      <c r="BE1253" s="355">
        <v>7.8579999999999997E-2</v>
      </c>
      <c r="BF1253" s="624">
        <v>40058</v>
      </c>
      <c r="BG1253" s="355">
        <v>2.0424999999999999E-2</v>
      </c>
      <c r="BH1253" s="624">
        <v>40009</v>
      </c>
      <c r="BI1253" s="355">
        <v>9.8794999999999994E-2</v>
      </c>
      <c r="BJ1253" s="624">
        <v>40008</v>
      </c>
      <c r="BK1253" s="355">
        <v>2.9271999999999999E-2</v>
      </c>
    </row>
    <row r="1254" spans="3:63">
      <c r="C1254" s="624"/>
      <c r="D1254" s="355">
        <v>3.159E-2</v>
      </c>
      <c r="AV1254" s="624"/>
      <c r="AX1254" s="624">
        <v>40011</v>
      </c>
      <c r="AY1254" s="355">
        <v>3.1480000000000001E-2</v>
      </c>
      <c r="AZ1254" s="624">
        <v>40078</v>
      </c>
      <c r="BA1254" s="355">
        <v>1.5800000000000002E-2</v>
      </c>
      <c r="BB1254" s="624">
        <v>40009</v>
      </c>
      <c r="BC1254" s="355">
        <v>0.32969999999999999</v>
      </c>
      <c r="BD1254" s="624">
        <v>40010</v>
      </c>
      <c r="BE1254" s="355">
        <v>7.9039999999999999E-2</v>
      </c>
      <c r="BF1254" s="624">
        <v>40059</v>
      </c>
      <c r="BG1254" s="355">
        <v>2.0447E-2</v>
      </c>
      <c r="BH1254" s="624">
        <v>40010</v>
      </c>
      <c r="BI1254" s="355">
        <v>9.9058999999999994E-2</v>
      </c>
      <c r="BJ1254" s="624">
        <v>40009</v>
      </c>
      <c r="BK1254" s="355">
        <v>2.9356E-2</v>
      </c>
    </row>
    <row r="1255" spans="3:63">
      <c r="C1255" s="624"/>
      <c r="D1255" s="355">
        <v>3.1480000000000001E-2</v>
      </c>
      <c r="AV1255" s="624"/>
      <c r="AX1255" s="624">
        <v>40014</v>
      </c>
      <c r="AY1255" s="355">
        <v>3.2219999999999999E-2</v>
      </c>
      <c r="AZ1255" s="624">
        <v>40079</v>
      </c>
      <c r="BA1255" s="355">
        <v>1.5800000000000002E-2</v>
      </c>
      <c r="BB1255" s="624">
        <v>40010</v>
      </c>
      <c r="BC1255" s="355">
        <v>0.32790000000000002</v>
      </c>
      <c r="BD1255" s="624">
        <v>40011</v>
      </c>
      <c r="BE1255" s="355">
        <v>7.9420000000000004E-2</v>
      </c>
      <c r="BF1255" s="624">
        <v>40060</v>
      </c>
      <c r="BG1255" s="355">
        <v>2.0452999999999999E-2</v>
      </c>
      <c r="BH1255" s="624">
        <v>40011</v>
      </c>
      <c r="BI1255" s="355">
        <v>9.8474000000000006E-2</v>
      </c>
      <c r="BJ1255" s="624">
        <v>40010</v>
      </c>
      <c r="BK1255" s="355">
        <v>2.9322999999999998E-2</v>
      </c>
    </row>
    <row r="1256" spans="3:63">
      <c r="C1256" s="624"/>
      <c r="D1256" s="355">
        <v>3.2219999999999999E-2</v>
      </c>
      <c r="AV1256" s="624"/>
      <c r="AX1256" s="624">
        <v>40015</v>
      </c>
      <c r="AY1256" s="355">
        <v>3.2239999999999998E-2</v>
      </c>
      <c r="AZ1256" s="624">
        <v>40080</v>
      </c>
      <c r="BA1256" s="355">
        <v>1.5699999999999999E-2</v>
      </c>
      <c r="BB1256" s="624">
        <v>40011</v>
      </c>
      <c r="BC1256" s="355">
        <v>0.32590000000000002</v>
      </c>
      <c r="BD1256" s="624">
        <v>40014</v>
      </c>
      <c r="BE1256" s="355">
        <v>8.0629999999999993E-2</v>
      </c>
      <c r="BF1256" s="624">
        <v>40063</v>
      </c>
      <c r="BG1256" s="355">
        <v>2.0556000000000001E-2</v>
      </c>
      <c r="BH1256" s="624">
        <v>40014</v>
      </c>
      <c r="BI1256" s="355">
        <v>9.9505999999999997E-2</v>
      </c>
      <c r="BJ1256" s="624">
        <v>40011</v>
      </c>
      <c r="BK1256" s="355">
        <v>2.9364999999999999E-2</v>
      </c>
    </row>
    <row r="1257" spans="3:63">
      <c r="C1257" s="624"/>
      <c r="D1257" s="355">
        <v>3.2239999999999998E-2</v>
      </c>
      <c r="AV1257" s="624"/>
      <c r="AX1257" s="624">
        <v>40016</v>
      </c>
      <c r="AY1257" s="355">
        <v>3.2099999999999997E-2</v>
      </c>
      <c r="AZ1257" s="624">
        <v>40081</v>
      </c>
      <c r="BA1257" s="355">
        <v>1.5800000000000002E-2</v>
      </c>
      <c r="BB1257" s="624">
        <v>40014</v>
      </c>
      <c r="BC1257" s="355">
        <v>0.33500000000000002</v>
      </c>
      <c r="BD1257" s="624">
        <v>40015</v>
      </c>
      <c r="BE1257" s="355">
        <v>7.9939999999999997E-2</v>
      </c>
      <c r="BF1257" s="624">
        <v>40064</v>
      </c>
      <c r="BG1257" s="355">
        <v>2.0629999999999999E-2</v>
      </c>
      <c r="BH1257" s="624">
        <v>40015</v>
      </c>
      <c r="BI1257" s="355">
        <v>9.9502999999999994E-2</v>
      </c>
      <c r="BJ1257" s="624">
        <v>40014</v>
      </c>
      <c r="BK1257" s="355">
        <v>2.9418E-2</v>
      </c>
    </row>
    <row r="1258" spans="3:63">
      <c r="C1258" s="624"/>
      <c r="D1258" s="355">
        <v>3.2099999999999997E-2</v>
      </c>
      <c r="AV1258" s="624"/>
      <c r="AX1258" s="624">
        <v>40017</v>
      </c>
      <c r="AY1258" s="355">
        <v>3.2099999999999997E-2</v>
      </c>
      <c r="AZ1258" s="624">
        <v>40084</v>
      </c>
      <c r="BA1258" s="355">
        <v>1.5699999999999999E-2</v>
      </c>
      <c r="BB1258" s="624">
        <v>40015</v>
      </c>
      <c r="BC1258" s="355">
        <v>0.33310000000000001</v>
      </c>
      <c r="BD1258" s="624">
        <v>40016</v>
      </c>
      <c r="BE1258" s="355">
        <v>7.9949999999999993E-2</v>
      </c>
      <c r="BF1258" s="624">
        <v>40065</v>
      </c>
      <c r="BG1258" s="355">
        <v>2.0614E-2</v>
      </c>
      <c r="BH1258" s="624">
        <v>40016</v>
      </c>
      <c r="BI1258" s="355">
        <v>9.9305000000000004E-2</v>
      </c>
      <c r="BJ1258" s="624">
        <v>40015</v>
      </c>
      <c r="BK1258" s="355">
        <v>2.9405000000000001E-2</v>
      </c>
    </row>
    <row r="1259" spans="3:63">
      <c r="C1259" s="624"/>
      <c r="D1259" s="355">
        <v>3.2099999999999997E-2</v>
      </c>
      <c r="AV1259" s="624"/>
      <c r="AX1259" s="624">
        <v>40018</v>
      </c>
      <c r="AY1259" s="355">
        <v>3.2259999999999997E-2</v>
      </c>
      <c r="AZ1259" s="624">
        <v>40085</v>
      </c>
      <c r="BA1259" s="355">
        <v>1.5599999999999999E-2</v>
      </c>
      <c r="BB1259" s="624">
        <v>40016</v>
      </c>
      <c r="BC1259" s="355">
        <v>0.33360000000000001</v>
      </c>
      <c r="BD1259" s="624">
        <v>40017</v>
      </c>
      <c r="BE1259" s="355">
        <v>8.0170000000000005E-2</v>
      </c>
      <c r="BF1259" s="624">
        <v>40066</v>
      </c>
      <c r="BG1259" s="355">
        <v>2.0562E-2</v>
      </c>
      <c r="BH1259" s="624">
        <v>40017</v>
      </c>
      <c r="BI1259" s="355">
        <v>9.9670999999999996E-2</v>
      </c>
      <c r="BJ1259" s="624">
        <v>40016</v>
      </c>
      <c r="BK1259" s="355">
        <v>2.9381999999999998E-2</v>
      </c>
    </row>
    <row r="1260" spans="3:63">
      <c r="C1260" s="624"/>
      <c r="D1260" s="355">
        <v>3.2259999999999997E-2</v>
      </c>
      <c r="AV1260" s="624"/>
      <c r="AX1260" s="624">
        <v>40021</v>
      </c>
      <c r="AY1260" s="355">
        <v>3.2539999999999999E-2</v>
      </c>
      <c r="AZ1260" s="624">
        <v>40086</v>
      </c>
      <c r="BA1260" s="355">
        <v>1.5699999999999999E-2</v>
      </c>
      <c r="BB1260" s="624">
        <v>40017</v>
      </c>
      <c r="BC1260" s="355">
        <v>0.33450000000000002</v>
      </c>
      <c r="BD1260" s="624">
        <v>40018</v>
      </c>
      <c r="BE1260" s="355">
        <v>8.0009999999999998E-2</v>
      </c>
      <c r="BF1260" s="624">
        <v>40067</v>
      </c>
      <c r="BG1260" s="355">
        <v>2.0629999999999999E-2</v>
      </c>
      <c r="BH1260" s="624">
        <v>40018</v>
      </c>
      <c r="BI1260" s="355">
        <v>0.10009999999999999</v>
      </c>
      <c r="BJ1260" s="624">
        <v>40017</v>
      </c>
      <c r="BK1260" s="355">
        <v>2.9402999999999999E-2</v>
      </c>
    </row>
    <row r="1261" spans="3:63">
      <c r="C1261" s="624"/>
      <c r="D1261" s="355">
        <v>3.2539999999999999E-2</v>
      </c>
      <c r="AV1261" s="624"/>
      <c r="AX1261" s="624">
        <v>40022</v>
      </c>
      <c r="AY1261" s="355">
        <v>3.2160000000000001E-2</v>
      </c>
      <c r="AZ1261" s="624">
        <v>40087</v>
      </c>
      <c r="BA1261" s="355">
        <v>1.5599999999999999E-2</v>
      </c>
      <c r="BB1261" s="624">
        <v>40018</v>
      </c>
      <c r="BC1261" s="355">
        <v>0.3387</v>
      </c>
      <c r="BD1261" s="624">
        <v>40021</v>
      </c>
      <c r="BE1261" s="355">
        <v>8.0509999999999998E-2</v>
      </c>
      <c r="BF1261" s="624">
        <v>40070</v>
      </c>
      <c r="BG1261" s="355">
        <v>2.052E-2</v>
      </c>
      <c r="BH1261" s="624">
        <v>40021</v>
      </c>
      <c r="BI1261" s="355">
        <v>0.100351</v>
      </c>
      <c r="BJ1261" s="624">
        <v>40018</v>
      </c>
      <c r="BK1261" s="355">
        <v>2.9475000000000001E-2</v>
      </c>
    </row>
    <row r="1262" spans="3:63">
      <c r="C1262" s="624"/>
      <c r="D1262" s="355">
        <v>3.2160000000000001E-2</v>
      </c>
      <c r="AV1262" s="624"/>
      <c r="AX1262" s="624">
        <v>40023</v>
      </c>
      <c r="AY1262" s="355">
        <v>3.1620000000000002E-2</v>
      </c>
      <c r="AZ1262" s="624">
        <v>40088</v>
      </c>
      <c r="BA1262" s="355">
        <v>1.5599999999999999E-2</v>
      </c>
      <c r="BB1262" s="624">
        <v>40021</v>
      </c>
      <c r="BC1262" s="355">
        <v>0.3422</v>
      </c>
      <c r="BD1262" s="624">
        <v>40022</v>
      </c>
      <c r="BE1262" s="355">
        <v>8.0560000000000007E-2</v>
      </c>
      <c r="BF1262" s="624">
        <v>40071</v>
      </c>
      <c r="BG1262" s="355">
        <v>2.0559999999999998E-2</v>
      </c>
      <c r="BH1262" s="624">
        <v>40022</v>
      </c>
      <c r="BI1262" s="355">
        <v>0.100756</v>
      </c>
      <c r="BJ1262" s="624">
        <v>40021</v>
      </c>
      <c r="BK1262" s="355">
        <v>2.9458999999999999E-2</v>
      </c>
    </row>
    <row r="1263" spans="3:63">
      <c r="C1263" s="624"/>
      <c r="D1263" s="355">
        <v>3.1620000000000002E-2</v>
      </c>
      <c r="AV1263" s="624"/>
      <c r="AX1263" s="624">
        <v>40024</v>
      </c>
      <c r="AY1263" s="355">
        <v>3.1739999999999997E-2</v>
      </c>
      <c r="AZ1263" s="624">
        <v>40091</v>
      </c>
      <c r="BA1263" s="355">
        <v>1.5699999999999999E-2</v>
      </c>
      <c r="BB1263" s="624">
        <v>40022</v>
      </c>
      <c r="BC1263" s="355">
        <v>0.33910000000000001</v>
      </c>
      <c r="BD1263" s="624">
        <v>40023</v>
      </c>
      <c r="BE1263" s="355">
        <v>8.0310000000000006E-2</v>
      </c>
      <c r="BF1263" s="624">
        <v>40072</v>
      </c>
      <c r="BG1263" s="355">
        <v>2.0732E-2</v>
      </c>
      <c r="BH1263" s="624">
        <v>40023</v>
      </c>
      <c r="BI1263" s="355">
        <v>0.100452</v>
      </c>
      <c r="BJ1263" s="624">
        <v>40022</v>
      </c>
      <c r="BK1263" s="355">
        <v>2.9461999999999999E-2</v>
      </c>
    </row>
    <row r="1264" spans="3:63">
      <c r="C1264" s="624"/>
      <c r="D1264" s="355">
        <v>3.1739999999999997E-2</v>
      </c>
      <c r="AV1264" s="624"/>
      <c r="AX1264" s="624">
        <v>40025</v>
      </c>
      <c r="AY1264" s="355">
        <v>3.1780000000000003E-2</v>
      </c>
      <c r="AZ1264" s="624">
        <v>40092</v>
      </c>
      <c r="BA1264" s="355">
        <v>1.5800000000000002E-2</v>
      </c>
      <c r="BB1264" s="624">
        <v>40023</v>
      </c>
      <c r="BC1264" s="355">
        <v>0.33479999999999999</v>
      </c>
      <c r="BD1264" s="624">
        <v>40024</v>
      </c>
      <c r="BE1264" s="355">
        <v>8.1019999999999995E-2</v>
      </c>
      <c r="BF1264" s="624">
        <v>40073</v>
      </c>
      <c r="BG1264" s="355">
        <v>2.0764999999999999E-2</v>
      </c>
      <c r="BH1264" s="624">
        <v>40024</v>
      </c>
      <c r="BI1264" s="355">
        <v>0.100452</v>
      </c>
      <c r="BJ1264" s="624">
        <v>40023</v>
      </c>
      <c r="BK1264" s="355">
        <v>2.9385999999999999E-2</v>
      </c>
    </row>
    <row r="1265" spans="3:63">
      <c r="C1265" s="624"/>
      <c r="D1265" s="355">
        <v>3.1780000000000003E-2</v>
      </c>
      <c r="AV1265" s="624"/>
      <c r="AX1265" s="624">
        <v>40028</v>
      </c>
      <c r="AY1265" s="355">
        <v>3.2289999999999999E-2</v>
      </c>
      <c r="AZ1265" s="624">
        <v>40093</v>
      </c>
      <c r="BA1265" s="355">
        <v>1.5800000000000002E-2</v>
      </c>
      <c r="BB1265" s="624">
        <v>40024</v>
      </c>
      <c r="BC1265" s="355">
        <v>0.33829999999999999</v>
      </c>
      <c r="BD1265" s="624">
        <v>40025</v>
      </c>
      <c r="BE1265" s="355">
        <v>8.1729999999999997E-2</v>
      </c>
      <c r="BF1265" s="624">
        <v>40074</v>
      </c>
      <c r="BG1265" s="355">
        <v>2.0773E-2</v>
      </c>
      <c r="BH1265" s="624">
        <v>40025</v>
      </c>
      <c r="BI1265" s="355">
        <v>0.100756</v>
      </c>
      <c r="BJ1265" s="624">
        <v>40024</v>
      </c>
      <c r="BK1265" s="355">
        <v>2.9384E-2</v>
      </c>
    </row>
    <row r="1266" spans="3:63">
      <c r="C1266" s="624"/>
      <c r="D1266" s="355">
        <v>3.2289999999999999E-2</v>
      </c>
      <c r="AV1266" s="624"/>
      <c r="AX1266" s="624">
        <v>40029</v>
      </c>
      <c r="AY1266" s="355">
        <v>3.2190000000000003E-2</v>
      </c>
      <c r="AZ1266" s="624">
        <v>40094</v>
      </c>
      <c r="BA1266" s="355">
        <v>1.5900000000000001E-2</v>
      </c>
      <c r="BB1266" s="624">
        <v>40025</v>
      </c>
      <c r="BC1266" s="355">
        <v>0.34389999999999998</v>
      </c>
      <c r="BD1266" s="624">
        <v>40028</v>
      </c>
      <c r="BE1266" s="355">
        <v>8.2220000000000001E-2</v>
      </c>
      <c r="BF1266" s="624">
        <v>40078</v>
      </c>
      <c r="BG1266" s="355">
        <v>2.085E-2</v>
      </c>
      <c r="BH1266" s="624">
        <v>40028</v>
      </c>
      <c r="BI1266" s="355">
        <v>0.10101</v>
      </c>
      <c r="BJ1266" s="624">
        <v>40025</v>
      </c>
      <c r="BK1266" s="355">
        <v>2.9429E-2</v>
      </c>
    </row>
    <row r="1267" spans="3:63">
      <c r="C1267" s="624"/>
      <c r="D1267" s="355">
        <v>3.2190000000000003E-2</v>
      </c>
      <c r="AV1267" s="624"/>
      <c r="AX1267" s="624">
        <v>40030</v>
      </c>
      <c r="AY1267" s="355">
        <v>3.2079999999999997E-2</v>
      </c>
      <c r="AZ1267" s="624">
        <v>40095</v>
      </c>
      <c r="BA1267" s="355">
        <v>1.5800000000000002E-2</v>
      </c>
      <c r="BB1267" s="624">
        <v>40028</v>
      </c>
      <c r="BC1267" s="355">
        <v>0.3533</v>
      </c>
      <c r="BD1267" s="624">
        <v>40029</v>
      </c>
      <c r="BE1267" s="355">
        <v>8.1989999999999993E-2</v>
      </c>
      <c r="BF1267" s="624">
        <v>40079</v>
      </c>
      <c r="BG1267" s="355">
        <v>2.0836E-2</v>
      </c>
      <c r="BH1267" s="624">
        <v>40029</v>
      </c>
      <c r="BI1267" s="355">
        <v>0.101369</v>
      </c>
      <c r="BJ1267" s="624">
        <v>40028</v>
      </c>
      <c r="BK1267" s="355">
        <v>2.9412000000000001E-2</v>
      </c>
    </row>
    <row r="1268" spans="3:63">
      <c r="C1268" s="624"/>
      <c r="D1268" s="355">
        <v>3.2079999999999997E-2</v>
      </c>
      <c r="AV1268" s="624"/>
      <c r="AX1268" s="624">
        <v>40031</v>
      </c>
      <c r="AY1268" s="355">
        <v>3.1910000000000001E-2</v>
      </c>
      <c r="AZ1268" s="624">
        <v>40098</v>
      </c>
      <c r="BA1268" s="355">
        <v>1.5900000000000001E-2</v>
      </c>
      <c r="BB1268" s="624">
        <v>40029</v>
      </c>
      <c r="BC1268" s="355">
        <v>0.35120000000000001</v>
      </c>
      <c r="BD1268" s="624">
        <v>40030</v>
      </c>
      <c r="BE1268" s="355">
        <v>8.1600000000000006E-2</v>
      </c>
      <c r="BF1268" s="624">
        <v>40080</v>
      </c>
      <c r="BG1268" s="355">
        <v>2.0844000000000001E-2</v>
      </c>
      <c r="BH1268" s="624">
        <v>40030</v>
      </c>
      <c r="BI1268" s="355">
        <v>0.101215</v>
      </c>
      <c r="BJ1268" s="624">
        <v>40029</v>
      </c>
      <c r="BK1268" s="355">
        <v>2.9425E-2</v>
      </c>
    </row>
    <row r="1269" spans="3:63">
      <c r="C1269" s="624"/>
      <c r="D1269" s="355">
        <v>3.1910000000000001E-2</v>
      </c>
      <c r="AV1269" s="624"/>
      <c r="AX1269" s="624">
        <v>40032</v>
      </c>
      <c r="AY1269" s="355">
        <v>3.159E-2</v>
      </c>
      <c r="AZ1269" s="624">
        <v>40099</v>
      </c>
      <c r="BA1269" s="355">
        <v>1.5900000000000001E-2</v>
      </c>
      <c r="BB1269" s="624">
        <v>40030</v>
      </c>
      <c r="BC1269" s="355">
        <v>0.3503</v>
      </c>
      <c r="BD1269" s="624">
        <v>40031</v>
      </c>
      <c r="BE1269" s="355">
        <v>8.1369999999999998E-2</v>
      </c>
      <c r="BF1269" s="624">
        <v>40081</v>
      </c>
      <c r="BG1269" s="355">
        <v>2.0830999999999999E-2</v>
      </c>
      <c r="BH1269" s="624">
        <v>40031</v>
      </c>
      <c r="BI1269" s="355">
        <v>0.101215</v>
      </c>
      <c r="BJ1269" s="624">
        <v>40030</v>
      </c>
      <c r="BK1269" s="355">
        <v>2.9441999999999999E-2</v>
      </c>
    </row>
    <row r="1270" spans="3:63">
      <c r="C1270" s="624"/>
      <c r="D1270" s="355">
        <v>3.159E-2</v>
      </c>
      <c r="AV1270" s="624"/>
      <c r="AX1270" s="624">
        <v>40035</v>
      </c>
      <c r="AY1270" s="355">
        <v>3.1390000000000001E-2</v>
      </c>
      <c r="AZ1270" s="624">
        <v>40100</v>
      </c>
      <c r="BA1270" s="355">
        <v>1.6E-2</v>
      </c>
      <c r="BB1270" s="624">
        <v>40031</v>
      </c>
      <c r="BC1270" s="355">
        <v>0.34329999999999999</v>
      </c>
      <c r="BD1270" s="624">
        <v>40032</v>
      </c>
      <c r="BE1270" s="355">
        <v>8.1809999999999994E-2</v>
      </c>
      <c r="BF1270" s="624">
        <v>40085</v>
      </c>
      <c r="BG1270" s="355">
        <v>2.0788999999999998E-2</v>
      </c>
      <c r="BH1270" s="624">
        <v>40032</v>
      </c>
      <c r="BI1270" s="355">
        <v>0.100351</v>
      </c>
      <c r="BJ1270" s="624">
        <v>40031</v>
      </c>
      <c r="BK1270" s="355">
        <v>2.9451000000000001E-2</v>
      </c>
    </row>
    <row r="1271" spans="3:63">
      <c r="C1271" s="624"/>
      <c r="D1271" s="355">
        <v>3.1390000000000001E-2</v>
      </c>
      <c r="AV1271" s="624"/>
      <c r="AX1271" s="624">
        <v>40036</v>
      </c>
      <c r="AY1271" s="355">
        <v>3.1040000000000002E-2</v>
      </c>
      <c r="AZ1271" s="624">
        <v>40101</v>
      </c>
      <c r="BA1271" s="355">
        <v>1.6E-2</v>
      </c>
      <c r="BB1271" s="624">
        <v>40032</v>
      </c>
      <c r="BC1271" s="355">
        <v>0.3468</v>
      </c>
      <c r="BD1271" s="624">
        <v>40035</v>
      </c>
      <c r="BE1271" s="355">
        <v>8.1059999999999993E-2</v>
      </c>
      <c r="BF1271" s="624">
        <v>40087</v>
      </c>
      <c r="BG1271" s="355">
        <v>2.0945999999999999E-2</v>
      </c>
      <c r="BH1271" s="624">
        <v>40035</v>
      </c>
      <c r="BI1271" s="355">
        <v>0.10101</v>
      </c>
      <c r="BJ1271" s="624">
        <v>40032</v>
      </c>
      <c r="BK1271" s="355">
        <v>2.9416000000000001E-2</v>
      </c>
    </row>
    <row r="1272" spans="3:63">
      <c r="C1272" s="624"/>
      <c r="D1272" s="355">
        <v>3.1040000000000002E-2</v>
      </c>
      <c r="AV1272" s="624"/>
      <c r="AX1272" s="624">
        <v>40037</v>
      </c>
      <c r="AY1272" s="355">
        <v>3.0890000000000001E-2</v>
      </c>
      <c r="AZ1272" s="624">
        <v>40102</v>
      </c>
      <c r="BA1272" s="355">
        <v>1.6E-2</v>
      </c>
      <c r="BB1272" s="624">
        <v>40035</v>
      </c>
      <c r="BC1272" s="355">
        <v>0.34339999999999998</v>
      </c>
      <c r="BD1272" s="624">
        <v>40036</v>
      </c>
      <c r="BE1272" s="355">
        <v>8.0140000000000003E-2</v>
      </c>
      <c r="BF1272" s="624">
        <v>40091</v>
      </c>
      <c r="BG1272" s="355">
        <v>2.1048000000000001E-2</v>
      </c>
      <c r="BH1272" s="624">
        <v>40036</v>
      </c>
      <c r="BI1272" s="355">
        <v>0.10080699999999999</v>
      </c>
      <c r="BJ1272" s="624">
        <v>40035</v>
      </c>
      <c r="BK1272" s="355">
        <v>2.9402999999999999E-2</v>
      </c>
    </row>
    <row r="1273" spans="3:63">
      <c r="C1273" s="624"/>
      <c r="D1273" s="355">
        <v>3.0890000000000001E-2</v>
      </c>
      <c r="AV1273" s="624"/>
      <c r="AX1273" s="624">
        <v>40038</v>
      </c>
      <c r="AY1273" s="355">
        <v>3.1480000000000001E-2</v>
      </c>
      <c r="AZ1273" s="624">
        <v>40105</v>
      </c>
      <c r="BA1273" s="355">
        <v>1.6E-2</v>
      </c>
      <c r="BB1273" s="624">
        <v>40036</v>
      </c>
      <c r="BC1273" s="355">
        <v>0.3392</v>
      </c>
      <c r="BD1273" s="624">
        <v>40037</v>
      </c>
      <c r="BE1273" s="355">
        <v>8.0509999999999998E-2</v>
      </c>
      <c r="BF1273" s="624">
        <v>40092</v>
      </c>
      <c r="BG1273" s="355">
        <v>2.1333999999999999E-2</v>
      </c>
      <c r="BH1273" s="624">
        <v>40037</v>
      </c>
      <c r="BI1273" s="355">
        <v>0.100452</v>
      </c>
      <c r="BJ1273" s="624">
        <v>40036</v>
      </c>
      <c r="BK1273" s="355">
        <v>2.9364000000000001E-2</v>
      </c>
    </row>
    <row r="1274" spans="3:63">
      <c r="C1274" s="624"/>
      <c r="D1274" s="355">
        <v>3.1480000000000001E-2</v>
      </c>
      <c r="AV1274" s="624"/>
      <c r="AX1274" s="624">
        <v>40039</v>
      </c>
      <c r="AY1274" s="355">
        <v>3.1570000000000001E-2</v>
      </c>
      <c r="AZ1274" s="624">
        <v>40106</v>
      </c>
      <c r="BA1274" s="355">
        <v>1.6E-2</v>
      </c>
      <c r="BB1274" s="624">
        <v>40037</v>
      </c>
      <c r="BC1274" s="355">
        <v>0.34200000000000003</v>
      </c>
      <c r="BD1274" s="624">
        <v>40038</v>
      </c>
      <c r="BE1274" s="355">
        <v>8.0979999999999996E-2</v>
      </c>
      <c r="BF1274" s="624">
        <v>40093</v>
      </c>
      <c r="BG1274" s="355">
        <v>2.1430000000000001E-2</v>
      </c>
      <c r="BH1274" s="624">
        <v>40038</v>
      </c>
      <c r="BI1274" s="355">
        <v>0.10073</v>
      </c>
      <c r="BJ1274" s="624">
        <v>40037</v>
      </c>
      <c r="BK1274" s="355">
        <v>2.9343000000000001E-2</v>
      </c>
    </row>
    <row r="1275" spans="3:63">
      <c r="C1275" s="624"/>
      <c r="D1275" s="355">
        <v>3.1570000000000001E-2</v>
      </c>
      <c r="AV1275" s="624"/>
      <c r="AX1275" s="624">
        <v>40042</v>
      </c>
      <c r="AY1275" s="355">
        <v>3.1009999999999999E-2</v>
      </c>
      <c r="AZ1275" s="624">
        <v>40107</v>
      </c>
      <c r="BA1275" s="355">
        <v>1.61E-2</v>
      </c>
      <c r="BB1275" s="624">
        <v>40038</v>
      </c>
      <c r="BC1275" s="355">
        <v>0.34689999999999999</v>
      </c>
      <c r="BD1275" s="624">
        <v>40039</v>
      </c>
      <c r="BE1275" s="355">
        <v>8.0680000000000002E-2</v>
      </c>
      <c r="BF1275" s="624">
        <v>40094</v>
      </c>
      <c r="BG1275" s="355">
        <v>2.1593999999999999E-2</v>
      </c>
      <c r="BH1275" s="624">
        <v>40039</v>
      </c>
      <c r="BI1275" s="355">
        <v>0.100705</v>
      </c>
      <c r="BJ1275" s="624">
        <v>40038</v>
      </c>
      <c r="BK1275" s="355">
        <v>2.9392000000000001E-2</v>
      </c>
    </row>
    <row r="1276" spans="3:63">
      <c r="C1276" s="624"/>
      <c r="D1276" s="355">
        <v>3.1009999999999999E-2</v>
      </c>
      <c r="AV1276" s="624"/>
      <c r="AX1276" s="624">
        <v>40043</v>
      </c>
      <c r="AY1276" s="355">
        <v>3.1309999999999998E-2</v>
      </c>
      <c r="AZ1276" s="624">
        <v>40108</v>
      </c>
      <c r="BA1276" s="355">
        <v>1.61E-2</v>
      </c>
      <c r="BB1276" s="624">
        <v>40039</v>
      </c>
      <c r="BC1276" s="355">
        <v>0.34260000000000002</v>
      </c>
      <c r="BD1276" s="624">
        <v>40042</v>
      </c>
      <c r="BE1276" s="355">
        <v>7.8869999999999996E-2</v>
      </c>
      <c r="BF1276" s="624">
        <v>40095</v>
      </c>
      <c r="BG1276" s="355">
        <v>2.1552999999999999E-2</v>
      </c>
      <c r="BH1276" s="624">
        <v>40042</v>
      </c>
      <c r="BI1276" s="355">
        <v>9.9651000000000003E-2</v>
      </c>
      <c r="BJ1276" s="624">
        <v>40039</v>
      </c>
      <c r="BK1276" s="355">
        <v>2.9381999999999998E-2</v>
      </c>
    </row>
    <row r="1277" spans="3:63">
      <c r="C1277" s="624"/>
      <c r="D1277" s="355">
        <v>3.1309999999999998E-2</v>
      </c>
      <c r="AV1277" s="624"/>
      <c r="AX1277" s="624">
        <v>40044</v>
      </c>
      <c r="AY1277" s="355">
        <v>3.1419999999999997E-2</v>
      </c>
      <c r="AZ1277" s="624">
        <v>40109</v>
      </c>
      <c r="BA1277" s="355">
        <v>1.61E-2</v>
      </c>
      <c r="BB1277" s="624">
        <v>40042</v>
      </c>
      <c r="BC1277" s="355">
        <v>0.33679999999999999</v>
      </c>
      <c r="BD1277" s="624">
        <v>40043</v>
      </c>
      <c r="BE1277" s="355">
        <v>8.0159999999999995E-2</v>
      </c>
      <c r="BF1277" s="624">
        <v>40098</v>
      </c>
      <c r="BG1277" s="355">
        <v>2.1513000000000001E-2</v>
      </c>
      <c r="BH1277" s="624">
        <v>40043</v>
      </c>
      <c r="BI1277" s="355">
        <v>0.100301</v>
      </c>
      <c r="BJ1277" s="624">
        <v>40042</v>
      </c>
      <c r="BK1277" s="355">
        <v>2.9347000000000002E-2</v>
      </c>
    </row>
    <row r="1278" spans="3:63">
      <c r="C1278" s="624"/>
      <c r="D1278" s="355">
        <v>3.1419999999999997E-2</v>
      </c>
      <c r="AV1278" s="624"/>
      <c r="AX1278" s="624">
        <v>40045</v>
      </c>
      <c r="AY1278" s="355">
        <v>3.141E-2</v>
      </c>
      <c r="AZ1278" s="624">
        <v>40112</v>
      </c>
      <c r="BA1278" s="355">
        <v>1.5900000000000001E-2</v>
      </c>
      <c r="BB1278" s="624">
        <v>40043</v>
      </c>
      <c r="BC1278" s="355">
        <v>0.33989999999999998</v>
      </c>
      <c r="BD1278" s="624">
        <v>40044</v>
      </c>
      <c r="BE1278" s="355">
        <v>7.9939999999999997E-2</v>
      </c>
      <c r="BF1278" s="624">
        <v>40100</v>
      </c>
      <c r="BG1278" s="355">
        <v>2.1676000000000001E-2</v>
      </c>
      <c r="BH1278" s="624">
        <v>40044</v>
      </c>
      <c r="BI1278" s="355">
        <v>9.9305000000000004E-2</v>
      </c>
      <c r="BJ1278" s="624">
        <v>40043</v>
      </c>
      <c r="BK1278" s="355">
        <v>2.9397E-2</v>
      </c>
    </row>
    <row r="1279" spans="3:63">
      <c r="C1279" s="624"/>
      <c r="D1279" s="355">
        <v>3.141E-2</v>
      </c>
      <c r="AV1279" s="624"/>
      <c r="AX1279" s="624">
        <v>40046</v>
      </c>
      <c r="AY1279" s="355">
        <v>3.1600000000000003E-2</v>
      </c>
      <c r="AZ1279" s="624">
        <v>40113</v>
      </c>
      <c r="BA1279" s="355">
        <v>1.5800000000000002E-2</v>
      </c>
      <c r="BB1279" s="624">
        <v>40044</v>
      </c>
      <c r="BC1279" s="355">
        <v>0.34179999999999999</v>
      </c>
      <c r="BD1279" s="624">
        <v>40045</v>
      </c>
      <c r="BE1279" s="355">
        <v>8.0740000000000006E-2</v>
      </c>
      <c r="BF1279" s="624">
        <v>40101</v>
      </c>
      <c r="BG1279" s="355">
        <v>2.1718000000000001E-2</v>
      </c>
      <c r="BH1279" s="624">
        <v>40045</v>
      </c>
      <c r="BI1279" s="355">
        <v>9.9651000000000003E-2</v>
      </c>
      <c r="BJ1279" s="624">
        <v>40044</v>
      </c>
      <c r="BK1279" s="355">
        <v>2.9368999999999999E-2</v>
      </c>
    </row>
    <row r="1280" spans="3:63">
      <c r="C1280" s="624"/>
      <c r="D1280" s="355">
        <v>3.1600000000000003E-2</v>
      </c>
      <c r="AV1280" s="624"/>
      <c r="AX1280" s="624">
        <v>40049</v>
      </c>
      <c r="AY1280" s="355">
        <v>3.1859999999999999E-2</v>
      </c>
      <c r="AZ1280" s="624">
        <v>40114</v>
      </c>
      <c r="BA1280" s="355">
        <v>1.5699999999999999E-2</v>
      </c>
      <c r="BB1280" s="624">
        <v>40045</v>
      </c>
      <c r="BC1280" s="355">
        <v>0.34449999999999997</v>
      </c>
      <c r="BD1280" s="624">
        <v>40046</v>
      </c>
      <c r="BE1280" s="355">
        <v>8.0449999999999994E-2</v>
      </c>
      <c r="BF1280" s="624">
        <v>40102</v>
      </c>
      <c r="BG1280" s="355">
        <v>2.1632999999999999E-2</v>
      </c>
      <c r="BH1280" s="624">
        <v>40046</v>
      </c>
      <c r="BI1280" s="355">
        <v>9.9849999999999994E-2</v>
      </c>
      <c r="BJ1280" s="624">
        <v>40045</v>
      </c>
      <c r="BK1280" s="355">
        <v>2.9395000000000001E-2</v>
      </c>
    </row>
    <row r="1281" spans="3:63">
      <c r="C1281" s="624"/>
      <c r="D1281" s="355">
        <v>3.1859999999999999E-2</v>
      </c>
      <c r="AV1281" s="624"/>
      <c r="AX1281" s="624">
        <v>40050</v>
      </c>
      <c r="AY1281" s="355">
        <v>3.1949999999999999E-2</v>
      </c>
      <c r="AZ1281" s="624">
        <v>40115</v>
      </c>
      <c r="BA1281" s="355">
        <v>1.5900000000000001E-2</v>
      </c>
      <c r="BB1281" s="624">
        <v>40046</v>
      </c>
      <c r="BC1281" s="355">
        <v>0.34899999999999998</v>
      </c>
      <c r="BD1281" s="624">
        <v>40049</v>
      </c>
      <c r="BE1281" s="355">
        <v>8.0479999999999996E-2</v>
      </c>
      <c r="BF1281" s="624">
        <v>40105</v>
      </c>
      <c r="BG1281" s="355">
        <v>2.1647E-2</v>
      </c>
      <c r="BH1281" s="624">
        <v>40049</v>
      </c>
      <c r="BI1281" s="355">
        <v>0.10005</v>
      </c>
      <c r="BJ1281" s="624">
        <v>40046</v>
      </c>
      <c r="BK1281" s="355">
        <v>2.9401E-2</v>
      </c>
    </row>
    <row r="1282" spans="3:63">
      <c r="C1282" s="624"/>
      <c r="D1282" s="355">
        <v>3.1949999999999999E-2</v>
      </c>
      <c r="AV1282" s="624"/>
      <c r="AX1282" s="624">
        <v>40051</v>
      </c>
      <c r="AY1282" s="355">
        <v>3.1669999999999997E-2</v>
      </c>
      <c r="AZ1282" s="624">
        <v>40116</v>
      </c>
      <c r="BA1282" s="355">
        <v>1.5699999999999999E-2</v>
      </c>
      <c r="BB1282" s="624">
        <v>40049</v>
      </c>
      <c r="BC1282" s="355">
        <v>0.34810000000000002</v>
      </c>
      <c r="BD1282" s="624">
        <v>40050</v>
      </c>
      <c r="BE1282" s="355">
        <v>8.0110000000000001E-2</v>
      </c>
      <c r="BF1282" s="624">
        <v>40106</v>
      </c>
      <c r="BG1282" s="355">
        <v>2.1614999999999999E-2</v>
      </c>
      <c r="BH1282" s="624">
        <v>40050</v>
      </c>
      <c r="BI1282" s="355">
        <v>0.1</v>
      </c>
      <c r="BJ1282" s="624">
        <v>40049</v>
      </c>
      <c r="BK1282" s="355">
        <v>2.9399999999999999E-2</v>
      </c>
    </row>
    <row r="1283" spans="3:63">
      <c r="C1283" s="624"/>
      <c r="D1283" s="355">
        <v>3.1669999999999997E-2</v>
      </c>
      <c r="AV1283" s="624"/>
      <c r="AX1283" s="624">
        <v>40052</v>
      </c>
      <c r="AY1283" s="355">
        <v>3.1550000000000002E-2</v>
      </c>
      <c r="AZ1283" s="624">
        <v>40119</v>
      </c>
      <c r="BA1283" s="355">
        <v>1.5699999999999999E-2</v>
      </c>
      <c r="BB1283" s="624">
        <v>40050</v>
      </c>
      <c r="BC1283" s="355">
        <v>0.34989999999999999</v>
      </c>
      <c r="BD1283" s="624">
        <v>40051</v>
      </c>
      <c r="BE1283" s="355">
        <v>8.0079999999999998E-2</v>
      </c>
      <c r="BF1283" s="624">
        <v>40107</v>
      </c>
      <c r="BG1283" s="355">
        <v>2.1571E-2</v>
      </c>
      <c r="BH1283" s="624">
        <v>40051</v>
      </c>
      <c r="BI1283" s="355">
        <v>9.9751000000000006E-2</v>
      </c>
      <c r="BJ1283" s="624">
        <v>40050</v>
      </c>
      <c r="BK1283" s="355">
        <v>2.9416000000000001E-2</v>
      </c>
    </row>
    <row r="1284" spans="3:63">
      <c r="C1284" s="624"/>
      <c r="D1284" s="355">
        <v>3.1550000000000002E-2</v>
      </c>
      <c r="AV1284" s="624"/>
      <c r="AX1284" s="624">
        <v>40053</v>
      </c>
      <c r="AY1284" s="355">
        <v>3.1629999999999998E-2</v>
      </c>
      <c r="AZ1284" s="624">
        <v>40120</v>
      </c>
      <c r="BA1284" s="355">
        <v>1.5599999999999999E-2</v>
      </c>
      <c r="BB1284" s="624">
        <v>40051</v>
      </c>
      <c r="BC1284" s="355">
        <v>0.34599999999999997</v>
      </c>
      <c r="BD1284" s="624">
        <v>40052</v>
      </c>
      <c r="BE1284" s="355">
        <v>8.0269999999999994E-2</v>
      </c>
      <c r="BF1284" s="624">
        <v>40108</v>
      </c>
      <c r="BG1284" s="355">
        <v>2.1451999999999999E-2</v>
      </c>
      <c r="BH1284" s="624">
        <v>40052</v>
      </c>
      <c r="BI1284" s="355">
        <v>9.8377000000000006E-2</v>
      </c>
      <c r="BJ1284" s="624">
        <v>40051</v>
      </c>
      <c r="BK1284" s="355">
        <v>2.9397E-2</v>
      </c>
    </row>
    <row r="1285" spans="3:63">
      <c r="C1285" s="624"/>
      <c r="D1285" s="355">
        <v>3.1629999999999998E-2</v>
      </c>
      <c r="AV1285" s="624"/>
      <c r="AX1285" s="624">
        <v>40056</v>
      </c>
      <c r="AY1285" s="355">
        <v>3.1460000000000002E-2</v>
      </c>
      <c r="AZ1285" s="624">
        <v>40121</v>
      </c>
      <c r="BA1285" s="355">
        <v>1.5699999999999999E-2</v>
      </c>
      <c r="BB1285" s="624">
        <v>40052</v>
      </c>
      <c r="BC1285" s="355">
        <v>0.34870000000000001</v>
      </c>
      <c r="BD1285" s="624">
        <v>40053</v>
      </c>
      <c r="BE1285" s="355">
        <v>8.0339999999999995E-2</v>
      </c>
      <c r="BF1285" s="624">
        <v>40109</v>
      </c>
      <c r="BG1285" s="355">
        <v>2.1534999999999999E-2</v>
      </c>
      <c r="BH1285" s="624">
        <v>40053</v>
      </c>
      <c r="BI1285" s="355">
        <v>9.9305000000000004E-2</v>
      </c>
      <c r="BJ1285" s="624">
        <v>40052</v>
      </c>
      <c r="BK1285" s="355">
        <v>2.9394E-2</v>
      </c>
    </row>
    <row r="1286" spans="3:63">
      <c r="C1286" s="624"/>
      <c r="D1286" s="355">
        <v>3.1460000000000002E-2</v>
      </c>
      <c r="AV1286" s="624"/>
      <c r="AX1286" s="624">
        <v>40057</v>
      </c>
      <c r="AY1286" s="355">
        <v>3.134E-2</v>
      </c>
      <c r="AZ1286" s="624">
        <v>40122</v>
      </c>
      <c r="BA1286" s="355">
        <v>1.5800000000000002E-2</v>
      </c>
      <c r="BB1286" s="624">
        <v>40053</v>
      </c>
      <c r="BC1286" s="355">
        <v>0.34960000000000002</v>
      </c>
      <c r="BD1286" s="624">
        <v>40056</v>
      </c>
      <c r="BE1286" s="355">
        <v>0.08</v>
      </c>
      <c r="BF1286" s="624">
        <v>40112</v>
      </c>
      <c r="BG1286" s="355">
        <v>2.1472000000000002E-2</v>
      </c>
      <c r="BH1286" s="624">
        <v>40056</v>
      </c>
      <c r="BI1286" s="355">
        <v>9.9058999999999994E-2</v>
      </c>
      <c r="BJ1286" s="624">
        <v>40053</v>
      </c>
      <c r="BK1286" s="355">
        <v>2.9399000000000002E-2</v>
      </c>
    </row>
    <row r="1287" spans="3:63">
      <c r="C1287" s="624"/>
      <c r="D1287" s="355">
        <v>3.134E-2</v>
      </c>
      <c r="AV1287" s="624"/>
      <c r="AX1287" s="624">
        <v>40058</v>
      </c>
      <c r="AY1287" s="355">
        <v>3.1309999999999998E-2</v>
      </c>
      <c r="AZ1287" s="624">
        <v>40123</v>
      </c>
      <c r="BA1287" s="355">
        <v>1.5800000000000002E-2</v>
      </c>
      <c r="BB1287" s="624">
        <v>40056</v>
      </c>
      <c r="BC1287" s="355">
        <v>0.3498</v>
      </c>
      <c r="BD1287" s="624">
        <v>40057</v>
      </c>
      <c r="BE1287" s="355">
        <v>8.0089999999999995E-2</v>
      </c>
      <c r="BF1287" s="624">
        <v>40113</v>
      </c>
      <c r="BG1287" s="355">
        <v>2.1351999999999999E-2</v>
      </c>
      <c r="BH1287" s="624">
        <v>40057</v>
      </c>
      <c r="BI1287" s="355">
        <v>9.9255999999999997E-2</v>
      </c>
      <c r="BJ1287" s="624">
        <v>40056</v>
      </c>
      <c r="BK1287" s="355">
        <v>2.9420999999999999E-2</v>
      </c>
    </row>
    <row r="1288" spans="3:63">
      <c r="C1288" s="624"/>
      <c r="D1288" s="355">
        <v>3.1309999999999998E-2</v>
      </c>
      <c r="AV1288" s="624"/>
      <c r="AX1288" s="624">
        <v>40059</v>
      </c>
      <c r="AY1288" s="355">
        <v>3.1489999999999997E-2</v>
      </c>
      <c r="AZ1288" s="624">
        <v>40126</v>
      </c>
      <c r="BA1288" s="355">
        <v>1.6E-2</v>
      </c>
      <c r="BB1288" s="624">
        <v>40057</v>
      </c>
      <c r="BC1288" s="355">
        <v>0.34089999999999998</v>
      </c>
      <c r="BD1288" s="624">
        <v>40058</v>
      </c>
      <c r="BE1288" s="355">
        <v>8.0210000000000004E-2</v>
      </c>
      <c r="BF1288" s="624">
        <v>40114</v>
      </c>
      <c r="BG1288" s="355">
        <v>2.1190000000000001E-2</v>
      </c>
      <c r="BH1288" s="624">
        <v>40058</v>
      </c>
      <c r="BI1288" s="355">
        <v>9.8618999999999998E-2</v>
      </c>
      <c r="BJ1288" s="624">
        <v>40057</v>
      </c>
      <c r="BK1288" s="355">
        <v>2.9416000000000001E-2</v>
      </c>
    </row>
    <row r="1289" spans="3:63">
      <c r="C1289" s="624"/>
      <c r="D1289" s="355">
        <v>3.1489999999999997E-2</v>
      </c>
      <c r="AV1289" s="624"/>
      <c r="AX1289" s="624">
        <v>40060</v>
      </c>
      <c r="AY1289" s="355">
        <v>3.1660000000000001E-2</v>
      </c>
      <c r="AZ1289" s="624">
        <v>40127</v>
      </c>
      <c r="BA1289" s="355">
        <v>1.5900000000000001E-2</v>
      </c>
      <c r="BB1289" s="624">
        <v>40058</v>
      </c>
      <c r="BC1289" s="355">
        <v>0.34350000000000003</v>
      </c>
      <c r="BD1289" s="624">
        <v>40059</v>
      </c>
      <c r="BE1289" s="355">
        <v>8.0339999999999995E-2</v>
      </c>
      <c r="BF1289" s="624">
        <v>40115</v>
      </c>
      <c r="BG1289" s="355">
        <v>2.1190000000000001E-2</v>
      </c>
      <c r="BH1289" s="624">
        <v>40059</v>
      </c>
      <c r="BI1289" s="355">
        <v>9.8912E-2</v>
      </c>
      <c r="BJ1289" s="624">
        <v>40058</v>
      </c>
      <c r="BK1289" s="355">
        <v>2.9360000000000001E-2</v>
      </c>
    </row>
    <row r="1290" spans="3:63">
      <c r="C1290" s="624"/>
      <c r="D1290" s="355">
        <v>3.1660000000000001E-2</v>
      </c>
      <c r="AV1290" s="624"/>
      <c r="AX1290" s="624">
        <v>40063</v>
      </c>
      <c r="AY1290" s="355">
        <v>3.1759999999999997E-2</v>
      </c>
      <c r="AZ1290" s="624">
        <v>40128</v>
      </c>
      <c r="BA1290" s="355">
        <v>1.5800000000000002E-2</v>
      </c>
      <c r="BB1290" s="624">
        <v>40059</v>
      </c>
      <c r="BC1290" s="355">
        <v>0.34570000000000001</v>
      </c>
      <c r="BD1290" s="624">
        <v>40060</v>
      </c>
      <c r="BE1290" s="355">
        <v>8.0689999999999998E-2</v>
      </c>
      <c r="BF1290" s="624">
        <v>40116</v>
      </c>
      <c r="BG1290" s="355">
        <v>2.1307E-2</v>
      </c>
      <c r="BH1290" s="624">
        <v>40060</v>
      </c>
      <c r="BI1290" s="355">
        <v>9.8863000000000006E-2</v>
      </c>
      <c r="BJ1290" s="624">
        <v>40059</v>
      </c>
      <c r="BK1290" s="355">
        <v>2.9364999999999999E-2</v>
      </c>
    </row>
    <row r="1291" spans="3:63">
      <c r="C1291" s="624"/>
      <c r="D1291" s="355">
        <v>3.1759999999999997E-2</v>
      </c>
      <c r="AV1291" s="624"/>
      <c r="AX1291" s="624">
        <v>40064</v>
      </c>
      <c r="AY1291" s="355">
        <v>3.2039999999999999E-2</v>
      </c>
      <c r="AZ1291" s="624">
        <v>40129</v>
      </c>
      <c r="BA1291" s="355">
        <v>1.5699999999999999E-2</v>
      </c>
      <c r="BB1291" s="624">
        <v>40060</v>
      </c>
      <c r="BC1291" s="355">
        <v>0.34970000000000001</v>
      </c>
      <c r="BD1291" s="624">
        <v>40063</v>
      </c>
      <c r="BE1291" s="355">
        <v>8.1140000000000004E-2</v>
      </c>
      <c r="BF1291" s="624">
        <v>40119</v>
      </c>
      <c r="BG1291" s="355">
        <v>2.1291999999999998E-2</v>
      </c>
      <c r="BH1291" s="624">
        <v>40063</v>
      </c>
      <c r="BI1291" s="355">
        <v>9.9404000000000006E-2</v>
      </c>
      <c r="BJ1291" s="624">
        <v>40060</v>
      </c>
      <c r="BK1291" s="355">
        <v>2.9375999999999999E-2</v>
      </c>
    </row>
    <row r="1292" spans="3:63">
      <c r="C1292" s="624"/>
      <c r="D1292" s="355">
        <v>3.2039999999999999E-2</v>
      </c>
      <c r="AV1292" s="624"/>
      <c r="AX1292" s="624">
        <v>40065</v>
      </c>
      <c r="AY1292" s="355">
        <v>3.2239999999999998E-2</v>
      </c>
      <c r="AZ1292" s="624">
        <v>40130</v>
      </c>
      <c r="BA1292" s="355">
        <v>1.5800000000000002E-2</v>
      </c>
      <c r="BB1292" s="624">
        <v>40063</v>
      </c>
      <c r="BC1292" s="355">
        <v>0.34989999999999999</v>
      </c>
      <c r="BD1292" s="624">
        <v>40064</v>
      </c>
      <c r="BE1292" s="355">
        <v>8.1780000000000005E-2</v>
      </c>
      <c r="BF1292" s="624">
        <v>40120</v>
      </c>
      <c r="BG1292" s="355">
        <v>2.1093000000000001E-2</v>
      </c>
      <c r="BH1292" s="624">
        <v>40064</v>
      </c>
      <c r="BI1292" s="355">
        <v>0.10009999999999999</v>
      </c>
      <c r="BJ1292" s="624">
        <v>40063</v>
      </c>
      <c r="BK1292" s="355">
        <v>2.9374999999999998E-2</v>
      </c>
    </row>
    <row r="1293" spans="3:63">
      <c r="C1293" s="624"/>
      <c r="D1293" s="355">
        <v>3.2239999999999998E-2</v>
      </c>
      <c r="AV1293" s="624"/>
      <c r="AX1293" s="624">
        <v>40066</v>
      </c>
      <c r="AY1293" s="355">
        <v>3.2399999999999998E-2</v>
      </c>
      <c r="AZ1293" s="624">
        <v>40133</v>
      </c>
      <c r="BA1293" s="355">
        <v>1.5800000000000002E-2</v>
      </c>
      <c r="BB1293" s="624">
        <v>40064</v>
      </c>
      <c r="BC1293" s="355">
        <v>0.35360000000000003</v>
      </c>
      <c r="BD1293" s="624">
        <v>40065</v>
      </c>
      <c r="BE1293" s="355">
        <v>8.1610000000000002E-2</v>
      </c>
      <c r="BF1293" s="624">
        <v>40121</v>
      </c>
      <c r="BG1293" s="355">
        <v>2.1250999999999999E-2</v>
      </c>
      <c r="BH1293" s="624">
        <v>40065</v>
      </c>
      <c r="BI1293" s="355">
        <v>0.10068000000000001</v>
      </c>
      <c r="BJ1293" s="624">
        <v>40064</v>
      </c>
      <c r="BK1293" s="355">
        <v>2.9385999999999999E-2</v>
      </c>
    </row>
    <row r="1294" spans="3:63">
      <c r="C1294" s="624"/>
      <c r="D1294" s="355">
        <v>3.2399999999999998E-2</v>
      </c>
      <c r="AV1294" s="624"/>
      <c r="AX1294" s="624">
        <v>40067</v>
      </c>
      <c r="AY1294" s="355">
        <v>3.2620000000000003E-2</v>
      </c>
      <c r="AZ1294" s="624">
        <v>40134</v>
      </c>
      <c r="BA1294" s="355">
        <v>1.5699999999999999E-2</v>
      </c>
      <c r="BB1294" s="624">
        <v>40065</v>
      </c>
      <c r="BC1294" s="355">
        <v>0.35289999999999999</v>
      </c>
      <c r="BD1294" s="624">
        <v>40066</v>
      </c>
      <c r="BE1294" s="355">
        <v>8.1670000000000006E-2</v>
      </c>
      <c r="BF1294" s="624">
        <v>40122</v>
      </c>
      <c r="BG1294" s="355">
        <v>2.1263000000000001E-2</v>
      </c>
      <c r="BH1294" s="624">
        <v>40066</v>
      </c>
      <c r="BI1294" s="355">
        <v>0.10068000000000001</v>
      </c>
      <c r="BJ1294" s="624">
        <v>40065</v>
      </c>
      <c r="BK1294" s="355">
        <v>2.9399000000000002E-2</v>
      </c>
    </row>
    <row r="1295" spans="3:63">
      <c r="C1295" s="624"/>
      <c r="D1295" s="355">
        <v>3.2620000000000003E-2</v>
      </c>
      <c r="AV1295" s="624"/>
      <c r="AX1295" s="624">
        <v>40070</v>
      </c>
      <c r="AY1295" s="355">
        <v>3.2460000000000003E-2</v>
      </c>
      <c r="AZ1295" s="624">
        <v>40135</v>
      </c>
      <c r="BA1295" s="355">
        <v>1.5800000000000002E-2</v>
      </c>
      <c r="BB1295" s="624">
        <v>40066</v>
      </c>
      <c r="BC1295" s="355">
        <v>0.3518</v>
      </c>
      <c r="BD1295" s="624">
        <v>40067</v>
      </c>
      <c r="BE1295" s="355">
        <v>8.1860000000000002E-2</v>
      </c>
      <c r="BF1295" s="624">
        <v>40123</v>
      </c>
      <c r="BG1295" s="355">
        <v>2.1361999999999999E-2</v>
      </c>
      <c r="BH1295" s="624">
        <v>40067</v>
      </c>
      <c r="BI1295" s="355">
        <v>0.100858</v>
      </c>
      <c r="BJ1295" s="624">
        <v>40066</v>
      </c>
      <c r="BK1295" s="355">
        <v>2.9408E-2</v>
      </c>
    </row>
    <row r="1296" spans="3:63">
      <c r="C1296" s="624"/>
      <c r="D1296" s="355">
        <v>3.2460000000000003E-2</v>
      </c>
      <c r="AV1296" s="624"/>
      <c r="AX1296" s="624">
        <v>40071</v>
      </c>
      <c r="AY1296" s="355">
        <v>3.2469999999999999E-2</v>
      </c>
      <c r="AZ1296" s="624">
        <v>40136</v>
      </c>
      <c r="BA1296" s="355">
        <v>1.5800000000000002E-2</v>
      </c>
      <c r="BB1296" s="624">
        <v>40067</v>
      </c>
      <c r="BC1296" s="355">
        <v>0.34960000000000002</v>
      </c>
      <c r="BD1296" s="624">
        <v>40070</v>
      </c>
      <c r="BE1296" s="355">
        <v>8.1699999999999995E-2</v>
      </c>
      <c r="BF1296" s="624">
        <v>40126</v>
      </c>
      <c r="BG1296" s="355">
        <v>2.1524999999999999E-2</v>
      </c>
      <c r="BH1296" s="624">
        <v>40070</v>
      </c>
      <c r="BI1296" s="355">
        <v>0.100604</v>
      </c>
      <c r="BJ1296" s="624">
        <v>40067</v>
      </c>
      <c r="BK1296" s="355">
        <v>2.9456E-2</v>
      </c>
    </row>
    <row r="1297" spans="3:63">
      <c r="C1297" s="624"/>
      <c r="D1297" s="355">
        <v>3.2469999999999999E-2</v>
      </c>
      <c r="AV1297" s="624"/>
      <c r="AX1297" s="624">
        <v>40072</v>
      </c>
      <c r="AY1297" s="355">
        <v>3.2710000000000003E-2</v>
      </c>
      <c r="AZ1297" s="624">
        <v>40137</v>
      </c>
      <c r="BA1297" s="355">
        <v>1.5699999999999999E-2</v>
      </c>
      <c r="BB1297" s="624">
        <v>40070</v>
      </c>
      <c r="BC1297" s="355">
        <v>0.34899999999999998</v>
      </c>
      <c r="BD1297" s="624">
        <v>40071</v>
      </c>
      <c r="BE1297" s="355">
        <v>8.2600000000000007E-2</v>
      </c>
      <c r="BF1297" s="624">
        <v>40127</v>
      </c>
      <c r="BG1297" s="355">
        <v>2.1510999999999999E-2</v>
      </c>
      <c r="BH1297" s="624">
        <v>40071</v>
      </c>
      <c r="BI1297" s="355">
        <v>0.101087</v>
      </c>
      <c r="BJ1297" s="624">
        <v>40070</v>
      </c>
      <c r="BK1297" s="355">
        <v>2.946E-2</v>
      </c>
    </row>
    <row r="1298" spans="3:63">
      <c r="C1298" s="624"/>
      <c r="D1298" s="355">
        <v>3.2710000000000003E-2</v>
      </c>
      <c r="AV1298" s="624"/>
      <c r="AX1298" s="624">
        <v>40073</v>
      </c>
      <c r="AY1298" s="355">
        <v>3.295E-2</v>
      </c>
      <c r="AZ1298" s="624">
        <v>40140</v>
      </c>
      <c r="BA1298" s="355">
        <v>1.5800000000000002E-2</v>
      </c>
      <c r="BB1298" s="624">
        <v>40071</v>
      </c>
      <c r="BC1298" s="355">
        <v>0.35310000000000002</v>
      </c>
      <c r="BD1298" s="624">
        <v>40072</v>
      </c>
      <c r="BE1298" s="355">
        <v>8.2989999999999994E-2</v>
      </c>
      <c r="BF1298" s="624">
        <v>40128</v>
      </c>
      <c r="BG1298" s="355">
        <v>2.1604999999999999E-2</v>
      </c>
      <c r="BH1298" s="624">
        <v>40072</v>
      </c>
      <c r="BI1298" s="355">
        <v>0.102987</v>
      </c>
      <c r="BJ1298" s="624">
        <v>40071</v>
      </c>
      <c r="BK1298" s="355">
        <v>2.9493999999999999E-2</v>
      </c>
    </row>
    <row r="1299" spans="3:63">
      <c r="C1299" s="624"/>
      <c r="D1299" s="355">
        <v>3.295E-2</v>
      </c>
      <c r="AV1299" s="624"/>
      <c r="AX1299" s="624">
        <v>40074</v>
      </c>
      <c r="AY1299" s="355">
        <v>3.3070000000000002E-2</v>
      </c>
      <c r="AZ1299" s="624">
        <v>40141</v>
      </c>
      <c r="BA1299" s="355">
        <v>1.5800000000000002E-2</v>
      </c>
      <c r="BB1299" s="624">
        <v>40072</v>
      </c>
      <c r="BC1299" s="355">
        <v>0.35699999999999998</v>
      </c>
      <c r="BD1299" s="624">
        <v>40073</v>
      </c>
      <c r="BE1299" s="355">
        <v>8.2979999999999998E-2</v>
      </c>
      <c r="BF1299" s="624">
        <v>40129</v>
      </c>
      <c r="BG1299" s="355">
        <v>2.1437000000000001E-2</v>
      </c>
      <c r="BH1299" s="624">
        <v>40073</v>
      </c>
      <c r="BI1299" s="355">
        <v>0.103146</v>
      </c>
      <c r="BJ1299" s="624">
        <v>40072</v>
      </c>
      <c r="BK1299" s="355">
        <v>2.9648000000000001E-2</v>
      </c>
    </row>
    <row r="1300" spans="3:63">
      <c r="C1300" s="624"/>
      <c r="D1300" s="355">
        <v>3.3070000000000002E-2</v>
      </c>
      <c r="AV1300" s="624"/>
      <c r="AX1300" s="624">
        <v>40077</v>
      </c>
      <c r="AY1300" s="355">
        <v>3.2930000000000001E-2</v>
      </c>
      <c r="AZ1300" s="624">
        <v>40142</v>
      </c>
      <c r="BA1300" s="355">
        <v>1.6E-2</v>
      </c>
      <c r="BB1300" s="624">
        <v>40073</v>
      </c>
      <c r="BC1300" s="355">
        <v>0.35639999999999999</v>
      </c>
      <c r="BD1300" s="624">
        <v>40074</v>
      </c>
      <c r="BE1300" s="355">
        <v>8.2790000000000002E-2</v>
      </c>
      <c r="BF1300" s="624">
        <v>40130</v>
      </c>
      <c r="BG1300" s="355">
        <v>2.1579999999999998E-2</v>
      </c>
      <c r="BH1300" s="624">
        <v>40074</v>
      </c>
      <c r="BI1300" s="355">
        <v>0.103093</v>
      </c>
      <c r="BJ1300" s="624">
        <v>40073</v>
      </c>
      <c r="BK1300" s="355">
        <v>2.9655999999999998E-2</v>
      </c>
    </row>
    <row r="1301" spans="3:63">
      <c r="C1301" s="624"/>
      <c r="D1301" s="355">
        <v>3.2930000000000001E-2</v>
      </c>
      <c r="AV1301" s="624"/>
      <c r="AX1301" s="624">
        <v>40078</v>
      </c>
      <c r="AY1301" s="355">
        <v>3.3230000000000003E-2</v>
      </c>
      <c r="AZ1301" s="624">
        <v>40143</v>
      </c>
      <c r="BA1301" s="355">
        <v>1.5800000000000002E-2</v>
      </c>
      <c r="BB1301" s="624">
        <v>40074</v>
      </c>
      <c r="BC1301" s="355">
        <v>0.35510000000000003</v>
      </c>
      <c r="BD1301" s="624">
        <v>40077</v>
      </c>
      <c r="BE1301" s="355">
        <v>8.2820000000000005E-2</v>
      </c>
      <c r="BF1301" s="624">
        <v>40133</v>
      </c>
      <c r="BG1301" s="355">
        <v>2.1631999999999998E-2</v>
      </c>
      <c r="BH1301" s="624">
        <v>40077</v>
      </c>
      <c r="BI1301" s="355">
        <v>0.103093</v>
      </c>
      <c r="BJ1301" s="624">
        <v>40074</v>
      </c>
      <c r="BK1301" s="355">
        <v>2.9713E-2</v>
      </c>
    </row>
    <row r="1302" spans="3:63">
      <c r="C1302" s="624"/>
      <c r="D1302" s="355">
        <v>3.3230000000000003E-2</v>
      </c>
      <c r="AV1302" s="624"/>
      <c r="AX1302" s="624">
        <v>40079</v>
      </c>
      <c r="AY1302" s="355">
        <v>3.3340000000000002E-2</v>
      </c>
      <c r="AZ1302" s="624">
        <v>40144</v>
      </c>
      <c r="BA1302" s="355">
        <v>1.5800000000000002E-2</v>
      </c>
      <c r="BB1302" s="624">
        <v>40077</v>
      </c>
      <c r="BC1302" s="355">
        <v>0.35189999999999999</v>
      </c>
      <c r="BD1302" s="624">
        <v>40078</v>
      </c>
      <c r="BE1302" s="355">
        <v>8.3309999999999995E-2</v>
      </c>
      <c r="BF1302" s="624">
        <v>40134</v>
      </c>
      <c r="BG1302" s="355">
        <v>2.1590000000000002E-2</v>
      </c>
      <c r="BH1302" s="624">
        <v>40078</v>
      </c>
      <c r="BI1302" s="355">
        <v>0.103093</v>
      </c>
      <c r="BJ1302" s="624">
        <v>40077</v>
      </c>
      <c r="BK1302" s="355">
        <v>2.9669000000000001E-2</v>
      </c>
    </row>
    <row r="1303" spans="3:63">
      <c r="C1303" s="624"/>
      <c r="D1303" s="355">
        <v>3.3340000000000002E-2</v>
      </c>
      <c r="AV1303" s="624"/>
      <c r="AX1303" s="624">
        <v>40080</v>
      </c>
      <c r="AY1303" s="355">
        <v>3.3250000000000002E-2</v>
      </c>
      <c r="AZ1303" s="624">
        <v>40147</v>
      </c>
      <c r="BA1303" s="355">
        <v>1.5800000000000002E-2</v>
      </c>
      <c r="BB1303" s="624">
        <v>40078</v>
      </c>
      <c r="BC1303" s="355">
        <v>0.35549999999999998</v>
      </c>
      <c r="BD1303" s="624">
        <v>40079</v>
      </c>
      <c r="BE1303" s="355">
        <v>8.3669999999999994E-2</v>
      </c>
      <c r="BF1303" s="624">
        <v>40135</v>
      </c>
      <c r="BG1303" s="355">
        <v>2.1645000000000001E-2</v>
      </c>
      <c r="BH1303" s="624">
        <v>40079</v>
      </c>
      <c r="BI1303" s="355">
        <v>0.103093</v>
      </c>
      <c r="BJ1303" s="624">
        <v>40078</v>
      </c>
      <c r="BK1303" s="355">
        <v>2.9753000000000002E-2</v>
      </c>
    </row>
    <row r="1304" spans="3:63">
      <c r="C1304" s="624"/>
      <c r="D1304" s="355">
        <v>3.3250000000000002E-2</v>
      </c>
      <c r="AV1304" s="624"/>
      <c r="AX1304" s="624">
        <v>40081</v>
      </c>
      <c r="AY1304" s="355">
        <v>3.3180000000000001E-2</v>
      </c>
      <c r="AZ1304" s="624">
        <v>40148</v>
      </c>
      <c r="BA1304" s="355">
        <v>1.5800000000000002E-2</v>
      </c>
      <c r="BB1304" s="624">
        <v>40079</v>
      </c>
      <c r="BC1304" s="355">
        <v>0.3523</v>
      </c>
      <c r="BD1304" s="624">
        <v>40080</v>
      </c>
      <c r="BE1304" s="355">
        <v>8.3799999999999999E-2</v>
      </c>
      <c r="BF1304" s="624">
        <v>40136</v>
      </c>
      <c r="BG1304" s="355">
        <v>2.1420000000000002E-2</v>
      </c>
      <c r="BH1304" s="624">
        <v>40080</v>
      </c>
      <c r="BI1304" s="355">
        <v>0.103574</v>
      </c>
      <c r="BJ1304" s="624">
        <v>40079</v>
      </c>
      <c r="BK1304" s="355">
        <v>2.9815000000000001E-2</v>
      </c>
    </row>
    <row r="1305" spans="3:63">
      <c r="C1305" s="624"/>
      <c r="D1305" s="355">
        <v>3.3180000000000001E-2</v>
      </c>
      <c r="AV1305" s="624"/>
      <c r="AX1305" s="624">
        <v>40084</v>
      </c>
      <c r="AY1305" s="355">
        <v>3.3180000000000001E-2</v>
      </c>
      <c r="AZ1305" s="624">
        <v>40149</v>
      </c>
      <c r="BA1305" s="355">
        <v>1.5699999999999999E-2</v>
      </c>
      <c r="BB1305" s="624">
        <v>40080</v>
      </c>
      <c r="BC1305" s="355">
        <v>0.3503</v>
      </c>
      <c r="BD1305" s="624">
        <v>40081</v>
      </c>
      <c r="BE1305" s="355">
        <v>8.3940000000000001E-2</v>
      </c>
      <c r="BF1305" s="624">
        <v>40137</v>
      </c>
      <c r="BG1305" s="355">
        <v>2.1444999999999999E-2</v>
      </c>
      <c r="BH1305" s="624">
        <v>40081</v>
      </c>
      <c r="BI1305" s="355">
        <v>0.103573</v>
      </c>
      <c r="BJ1305" s="624">
        <v>40080</v>
      </c>
      <c r="BK1305" s="355">
        <v>2.9786E-2</v>
      </c>
    </row>
    <row r="1306" spans="3:63">
      <c r="C1306" s="624"/>
      <c r="D1306" s="355">
        <v>3.3180000000000001E-2</v>
      </c>
      <c r="AV1306" s="624"/>
      <c r="AX1306" s="624">
        <v>40085</v>
      </c>
      <c r="AY1306" s="355">
        <v>3.3169999999999998E-2</v>
      </c>
      <c r="AZ1306" s="624">
        <v>40150</v>
      </c>
      <c r="BA1306" s="355">
        <v>1.5699999999999999E-2</v>
      </c>
      <c r="BB1306" s="624">
        <v>40081</v>
      </c>
      <c r="BC1306" s="355">
        <v>0.3488</v>
      </c>
      <c r="BD1306" s="624">
        <v>40084</v>
      </c>
      <c r="BE1306" s="355">
        <v>8.3900000000000002E-2</v>
      </c>
      <c r="BF1306" s="624">
        <v>40140</v>
      </c>
      <c r="BG1306" s="355">
        <v>2.1519E-2</v>
      </c>
      <c r="BH1306" s="624">
        <v>40084</v>
      </c>
      <c r="BI1306" s="355">
        <v>0.10304000000000001</v>
      </c>
      <c r="BJ1306" s="624">
        <v>40081</v>
      </c>
      <c r="BK1306" s="355">
        <v>2.9794000000000001E-2</v>
      </c>
    </row>
    <row r="1307" spans="3:63">
      <c r="C1307" s="624"/>
      <c r="D1307" s="355">
        <v>3.3169999999999998E-2</v>
      </c>
      <c r="AV1307" s="624"/>
      <c r="AX1307" s="624">
        <v>40086</v>
      </c>
      <c r="AY1307" s="355">
        <v>3.3309999999999999E-2</v>
      </c>
      <c r="AZ1307" s="624">
        <v>40151</v>
      </c>
      <c r="BA1307" s="355">
        <v>1.54E-2</v>
      </c>
      <c r="BB1307" s="624">
        <v>40084</v>
      </c>
      <c r="BC1307" s="355">
        <v>0.34839999999999999</v>
      </c>
      <c r="BD1307" s="624">
        <v>40085</v>
      </c>
      <c r="BE1307" s="355">
        <v>8.4140000000000006E-2</v>
      </c>
      <c r="BF1307" s="624">
        <v>40141</v>
      </c>
      <c r="BG1307" s="355">
        <v>2.1555999999999999E-2</v>
      </c>
      <c r="BH1307" s="624">
        <v>40085</v>
      </c>
      <c r="BI1307" s="355">
        <v>0.103173</v>
      </c>
      <c r="BJ1307" s="624">
        <v>40084</v>
      </c>
      <c r="BK1307" s="355">
        <v>2.98E-2</v>
      </c>
    </row>
    <row r="1308" spans="3:63">
      <c r="C1308" s="624"/>
      <c r="D1308" s="355">
        <v>3.3309999999999999E-2</v>
      </c>
      <c r="AV1308" s="624"/>
      <c r="AX1308" s="624">
        <v>40087</v>
      </c>
      <c r="AY1308" s="355">
        <v>3.3230000000000003E-2</v>
      </c>
      <c r="AZ1308" s="624">
        <v>40154</v>
      </c>
      <c r="BA1308" s="355">
        <v>1.54E-2</v>
      </c>
      <c r="BB1308" s="624">
        <v>40085</v>
      </c>
      <c r="BC1308" s="355">
        <v>0.34429999999999999</v>
      </c>
      <c r="BD1308" s="624">
        <v>40086</v>
      </c>
      <c r="BE1308" s="355">
        <v>8.5080000000000003E-2</v>
      </c>
      <c r="BF1308" s="624">
        <v>40142</v>
      </c>
      <c r="BG1308" s="355">
        <v>2.1635999999999999E-2</v>
      </c>
      <c r="BH1308" s="624">
        <v>40086</v>
      </c>
      <c r="BI1308" s="355">
        <v>0.103466</v>
      </c>
      <c r="BJ1308" s="624">
        <v>40085</v>
      </c>
      <c r="BK1308" s="355">
        <v>2.9739999999999999E-2</v>
      </c>
    </row>
    <row r="1309" spans="3:63">
      <c r="C1309" s="624"/>
      <c r="D1309" s="355">
        <v>3.3230000000000003E-2</v>
      </c>
      <c r="AV1309" s="624"/>
      <c r="AX1309" s="624">
        <v>40088</v>
      </c>
      <c r="AY1309" s="355">
        <v>3.3160000000000002E-2</v>
      </c>
      <c r="AZ1309" s="624">
        <v>40155</v>
      </c>
      <c r="BA1309" s="355">
        <v>1.54E-2</v>
      </c>
      <c r="BB1309" s="624">
        <v>40086</v>
      </c>
      <c r="BC1309" s="355">
        <v>0.34799999999999998</v>
      </c>
      <c r="BD1309" s="624">
        <v>40087</v>
      </c>
      <c r="BE1309" s="355">
        <v>8.4419999999999995E-2</v>
      </c>
      <c r="BF1309" s="624">
        <v>40143</v>
      </c>
      <c r="BG1309" s="355">
        <v>2.1531000000000002E-2</v>
      </c>
      <c r="BH1309" s="624">
        <v>40087</v>
      </c>
      <c r="BI1309" s="355">
        <v>0.103896</v>
      </c>
      <c r="BJ1309" s="624">
        <v>40086</v>
      </c>
      <c r="BK1309" s="355">
        <v>2.9905000000000001E-2</v>
      </c>
    </row>
    <row r="1310" spans="3:63">
      <c r="C1310" s="624"/>
      <c r="D1310" s="355">
        <v>3.3160000000000002E-2</v>
      </c>
      <c r="AV1310" s="624"/>
      <c r="AX1310" s="624">
        <v>40091</v>
      </c>
      <c r="AY1310" s="355">
        <v>3.3329999999999999E-2</v>
      </c>
      <c r="AZ1310" s="624">
        <v>40156</v>
      </c>
      <c r="BA1310" s="355">
        <v>1.54E-2</v>
      </c>
      <c r="BB1310" s="624">
        <v>40087</v>
      </c>
      <c r="BC1310" s="355">
        <v>0.34210000000000002</v>
      </c>
      <c r="BD1310" s="624">
        <v>40088</v>
      </c>
      <c r="BE1310" s="355">
        <v>8.5139999999999993E-2</v>
      </c>
      <c r="BF1310" s="624">
        <v>40144</v>
      </c>
      <c r="BG1310" s="355">
        <v>2.1437000000000001E-2</v>
      </c>
      <c r="BH1310" s="624">
        <v>40088</v>
      </c>
      <c r="BI1310" s="355">
        <v>0.10373400000000001</v>
      </c>
      <c r="BJ1310" s="624">
        <v>40087</v>
      </c>
      <c r="BK1310" s="355">
        <v>2.9846999999999999E-2</v>
      </c>
    </row>
    <row r="1311" spans="3:63">
      <c r="C1311" s="624"/>
      <c r="D1311" s="355">
        <v>3.3329999999999999E-2</v>
      </c>
      <c r="AV1311" s="624"/>
      <c r="AX1311" s="624">
        <v>40092</v>
      </c>
      <c r="AY1311" s="355">
        <v>3.3529999999999997E-2</v>
      </c>
      <c r="AZ1311" s="624">
        <v>40157</v>
      </c>
      <c r="BA1311" s="355">
        <v>1.5299999999999999E-2</v>
      </c>
      <c r="BB1311" s="624">
        <v>40088</v>
      </c>
      <c r="BC1311" s="355">
        <v>0.3448</v>
      </c>
      <c r="BD1311" s="624">
        <v>40091</v>
      </c>
      <c r="BE1311" s="355">
        <v>8.5690000000000002E-2</v>
      </c>
      <c r="BF1311" s="624">
        <v>40147</v>
      </c>
      <c r="BG1311" s="355">
        <v>2.1496000000000001E-2</v>
      </c>
      <c r="BH1311" s="624">
        <v>40091</v>
      </c>
      <c r="BI1311" s="355">
        <v>0.104657</v>
      </c>
      <c r="BJ1311" s="624">
        <v>40088</v>
      </c>
      <c r="BK1311" s="355">
        <v>2.9833999999999999E-2</v>
      </c>
    </row>
    <row r="1312" spans="3:63">
      <c r="C1312" s="624"/>
      <c r="D1312" s="355">
        <v>3.3529999999999997E-2</v>
      </c>
      <c r="AV1312" s="624"/>
      <c r="AX1312" s="624">
        <v>40093</v>
      </c>
      <c r="AY1312" s="355">
        <v>3.3590000000000002E-2</v>
      </c>
      <c r="AZ1312" s="624">
        <v>40158</v>
      </c>
      <c r="BA1312" s="355">
        <v>1.52E-2</v>
      </c>
      <c r="BB1312" s="624">
        <v>40091</v>
      </c>
      <c r="BC1312" s="355">
        <v>0.34860000000000002</v>
      </c>
      <c r="BD1312" s="624">
        <v>40092</v>
      </c>
      <c r="BE1312" s="355">
        <v>8.5550000000000001E-2</v>
      </c>
      <c r="BF1312" s="624">
        <v>40148</v>
      </c>
      <c r="BG1312" s="355">
        <v>2.1592E-2</v>
      </c>
      <c r="BH1312" s="624">
        <v>40092</v>
      </c>
      <c r="BI1312" s="355">
        <v>0.105887</v>
      </c>
      <c r="BJ1312" s="624">
        <v>40091</v>
      </c>
      <c r="BK1312" s="355">
        <v>2.9905000000000001E-2</v>
      </c>
    </row>
    <row r="1313" spans="3:63">
      <c r="C1313" s="624"/>
      <c r="D1313" s="355">
        <v>3.3590000000000002E-2</v>
      </c>
      <c r="AV1313" s="624"/>
      <c r="AX1313" s="624">
        <v>40094</v>
      </c>
      <c r="AY1313" s="355">
        <v>3.3860000000000001E-2</v>
      </c>
      <c r="AZ1313" s="624">
        <v>40161</v>
      </c>
      <c r="BA1313" s="355">
        <v>1.52E-2</v>
      </c>
      <c r="BB1313" s="624">
        <v>40092</v>
      </c>
      <c r="BC1313" s="355">
        <v>0.35170000000000001</v>
      </c>
      <c r="BD1313" s="624">
        <v>40093</v>
      </c>
      <c r="BE1313" s="355">
        <v>8.5620000000000002E-2</v>
      </c>
      <c r="BF1313" s="624">
        <v>40149</v>
      </c>
      <c r="BG1313" s="355">
        <v>2.1579999999999998E-2</v>
      </c>
      <c r="BH1313" s="624">
        <v>40093</v>
      </c>
      <c r="BI1313" s="355">
        <v>0.106101</v>
      </c>
      <c r="BJ1313" s="624">
        <v>40092</v>
      </c>
      <c r="BK1313" s="355">
        <v>3.0001E-2</v>
      </c>
    </row>
    <row r="1314" spans="3:63">
      <c r="C1314" s="624"/>
      <c r="D1314" s="355">
        <v>3.3860000000000001E-2</v>
      </c>
      <c r="AV1314" s="624"/>
      <c r="AX1314" s="624">
        <v>40095</v>
      </c>
      <c r="AY1314" s="355">
        <v>3.3739999999999999E-2</v>
      </c>
      <c r="AZ1314" s="624">
        <v>40162</v>
      </c>
      <c r="BA1314" s="355">
        <v>1.5100000000000001E-2</v>
      </c>
      <c r="BB1314" s="624">
        <v>40093</v>
      </c>
      <c r="BC1314" s="355">
        <v>0.34799999999999998</v>
      </c>
      <c r="BD1314" s="624">
        <v>40094</v>
      </c>
      <c r="BE1314" s="355">
        <v>8.5860000000000006E-2</v>
      </c>
      <c r="BF1314" s="624">
        <v>40150</v>
      </c>
      <c r="BG1314" s="355">
        <v>2.1699E-2</v>
      </c>
      <c r="BH1314" s="624">
        <v>40094</v>
      </c>
      <c r="BI1314" s="355">
        <v>0.105904</v>
      </c>
      <c r="BJ1314" s="624">
        <v>40093</v>
      </c>
      <c r="BK1314" s="355">
        <v>2.9949E-2</v>
      </c>
    </row>
    <row r="1315" spans="3:63">
      <c r="C1315" s="624"/>
      <c r="D1315" s="355">
        <v>3.3739999999999999E-2</v>
      </c>
      <c r="AV1315" s="624"/>
      <c r="AX1315" s="624">
        <v>40098</v>
      </c>
      <c r="AY1315" s="355">
        <v>3.3910000000000003E-2</v>
      </c>
      <c r="AZ1315" s="624">
        <v>40163</v>
      </c>
      <c r="BA1315" s="355">
        <v>1.5100000000000001E-2</v>
      </c>
      <c r="BB1315" s="624">
        <v>40094</v>
      </c>
      <c r="BC1315" s="355">
        <v>0.34910000000000002</v>
      </c>
      <c r="BD1315" s="624">
        <v>40095</v>
      </c>
      <c r="BE1315" s="355">
        <v>8.5540000000000005E-2</v>
      </c>
      <c r="BF1315" s="624">
        <v>40151</v>
      </c>
      <c r="BG1315" s="355">
        <v>2.1604000000000002E-2</v>
      </c>
      <c r="BH1315" s="624">
        <v>40095</v>
      </c>
      <c r="BI1315" s="355">
        <v>0.105736</v>
      </c>
      <c r="BJ1315" s="624">
        <v>40094</v>
      </c>
      <c r="BK1315" s="355">
        <v>3.0016999999999999E-2</v>
      </c>
    </row>
    <row r="1316" spans="3:63">
      <c r="C1316" s="624"/>
      <c r="D1316" s="355">
        <v>3.3910000000000003E-2</v>
      </c>
      <c r="AV1316" s="624"/>
      <c r="AX1316" s="624">
        <v>40099</v>
      </c>
      <c r="AY1316" s="355">
        <v>3.3840000000000002E-2</v>
      </c>
      <c r="AZ1316" s="624">
        <v>40164</v>
      </c>
      <c r="BA1316" s="355">
        <v>1.49E-2</v>
      </c>
      <c r="BB1316" s="624">
        <v>40095</v>
      </c>
      <c r="BC1316" s="355">
        <v>0.34549999999999997</v>
      </c>
      <c r="BD1316" s="624">
        <v>40098</v>
      </c>
      <c r="BE1316" s="355">
        <v>8.5550000000000001E-2</v>
      </c>
      <c r="BF1316" s="624">
        <v>40154</v>
      </c>
      <c r="BG1316" s="355">
        <v>2.1475000000000001E-2</v>
      </c>
      <c r="BH1316" s="624">
        <v>40098</v>
      </c>
      <c r="BI1316" s="355">
        <v>0.105485</v>
      </c>
      <c r="BJ1316" s="624">
        <v>40095</v>
      </c>
      <c r="BK1316" s="355">
        <v>3.0008E-2</v>
      </c>
    </row>
    <row r="1317" spans="3:63">
      <c r="C1317" s="624"/>
      <c r="D1317" s="355">
        <v>3.3840000000000002E-2</v>
      </c>
      <c r="AV1317" s="624"/>
      <c r="AX1317" s="624">
        <v>40100</v>
      </c>
      <c r="AY1317" s="355">
        <v>3.4000000000000002E-2</v>
      </c>
      <c r="AZ1317" s="624">
        <v>40165</v>
      </c>
      <c r="BA1317" s="355">
        <v>1.49E-2</v>
      </c>
      <c r="BB1317" s="624">
        <v>40098</v>
      </c>
      <c r="BC1317" s="355">
        <v>0.3498</v>
      </c>
      <c r="BD1317" s="624">
        <v>40099</v>
      </c>
      <c r="BE1317" s="355">
        <v>8.5260000000000002E-2</v>
      </c>
      <c r="BF1317" s="624">
        <v>40155</v>
      </c>
      <c r="BG1317" s="355">
        <v>2.1427000000000002E-2</v>
      </c>
      <c r="BH1317" s="624">
        <v>40099</v>
      </c>
      <c r="BI1317" s="355">
        <v>0.10582</v>
      </c>
      <c r="BJ1317" s="624">
        <v>40098</v>
      </c>
      <c r="BK1317" s="355">
        <v>3.0001E-2</v>
      </c>
    </row>
    <row r="1318" spans="3:63">
      <c r="C1318" s="624"/>
      <c r="D1318" s="355">
        <v>3.4000000000000002E-2</v>
      </c>
      <c r="AV1318" s="624"/>
      <c r="AX1318" s="624">
        <v>40101</v>
      </c>
      <c r="AY1318" s="355">
        <v>3.4029999999999998E-2</v>
      </c>
      <c r="AZ1318" s="624">
        <v>40168</v>
      </c>
      <c r="BA1318" s="355">
        <v>1.4800000000000001E-2</v>
      </c>
      <c r="BB1318" s="624">
        <v>40099</v>
      </c>
      <c r="BC1318" s="355">
        <v>0.35160000000000002</v>
      </c>
      <c r="BD1318" s="624">
        <v>40100</v>
      </c>
      <c r="BE1318" s="355">
        <v>8.6499999999999994E-2</v>
      </c>
      <c r="BF1318" s="624">
        <v>40156</v>
      </c>
      <c r="BG1318" s="355">
        <v>2.1485000000000001E-2</v>
      </c>
      <c r="BH1318" s="624">
        <v>40100</v>
      </c>
      <c r="BI1318" s="355">
        <v>0.106724</v>
      </c>
      <c r="BJ1318" s="624">
        <v>40099</v>
      </c>
      <c r="BK1318" s="355">
        <v>3.0044000000000001E-2</v>
      </c>
    </row>
    <row r="1319" spans="3:63">
      <c r="C1319" s="624"/>
      <c r="D1319" s="355">
        <v>3.4029999999999998E-2</v>
      </c>
      <c r="AV1319" s="624"/>
      <c r="AX1319" s="624">
        <v>40102</v>
      </c>
      <c r="AY1319" s="355">
        <v>3.3980000000000003E-2</v>
      </c>
      <c r="AZ1319" s="624">
        <v>40169</v>
      </c>
      <c r="BA1319" s="355">
        <v>1.4800000000000001E-2</v>
      </c>
      <c r="BB1319" s="624">
        <v>40100</v>
      </c>
      <c r="BC1319" s="355">
        <v>0.35410000000000003</v>
      </c>
      <c r="BD1319" s="624">
        <v>40101</v>
      </c>
      <c r="BE1319" s="355">
        <v>8.6370000000000002E-2</v>
      </c>
      <c r="BF1319" s="624">
        <v>40157</v>
      </c>
      <c r="BG1319" s="355">
        <v>2.1436E-2</v>
      </c>
      <c r="BH1319" s="624">
        <v>40101</v>
      </c>
      <c r="BI1319" s="355">
        <v>0.107181</v>
      </c>
      <c r="BJ1319" s="624">
        <v>40100</v>
      </c>
      <c r="BK1319" s="355">
        <v>2.9971999999999999E-2</v>
      </c>
    </row>
    <row r="1320" spans="3:63">
      <c r="C1320" s="624"/>
      <c r="D1320" s="355">
        <v>3.3980000000000003E-2</v>
      </c>
      <c r="AV1320" s="624"/>
      <c r="AX1320" s="624">
        <v>40105</v>
      </c>
      <c r="AY1320" s="355">
        <v>3.415E-2</v>
      </c>
      <c r="AZ1320" s="624">
        <v>40170</v>
      </c>
      <c r="BA1320" s="355">
        <v>1.4800000000000001E-2</v>
      </c>
      <c r="BB1320" s="624">
        <v>40101</v>
      </c>
      <c r="BC1320" s="355">
        <v>0.35720000000000002</v>
      </c>
      <c r="BD1320" s="624">
        <v>40102</v>
      </c>
      <c r="BE1320" s="355">
        <v>8.5110000000000005E-2</v>
      </c>
      <c r="BF1320" s="624">
        <v>40158</v>
      </c>
      <c r="BG1320" s="355">
        <v>2.1482000000000001E-2</v>
      </c>
      <c r="BH1320" s="624">
        <v>40102</v>
      </c>
      <c r="BI1320" s="355">
        <v>0.10644000000000001</v>
      </c>
      <c r="BJ1320" s="624">
        <v>40101</v>
      </c>
      <c r="BK1320" s="355">
        <v>2.9898000000000001E-2</v>
      </c>
    </row>
    <row r="1321" spans="3:63">
      <c r="C1321" s="624"/>
      <c r="D1321" s="355">
        <v>3.415E-2</v>
      </c>
      <c r="AV1321" s="624"/>
      <c r="AX1321" s="624">
        <v>40106</v>
      </c>
      <c r="AY1321" s="355">
        <v>3.422E-2</v>
      </c>
      <c r="AZ1321" s="624">
        <v>40171</v>
      </c>
      <c r="BA1321" s="355">
        <v>1.49E-2</v>
      </c>
      <c r="BB1321" s="624">
        <v>40102</v>
      </c>
      <c r="BC1321" s="355">
        <v>0.35410000000000003</v>
      </c>
      <c r="BD1321" s="624">
        <v>40105</v>
      </c>
      <c r="BE1321" s="355">
        <v>8.5589999999999999E-2</v>
      </c>
      <c r="BF1321" s="624">
        <v>40161</v>
      </c>
      <c r="BG1321" s="355">
        <v>2.1413000000000001E-2</v>
      </c>
      <c r="BH1321" s="624">
        <v>40105</v>
      </c>
      <c r="BI1321" s="355">
        <v>0.10638300000000001</v>
      </c>
      <c r="BJ1321" s="624">
        <v>40102</v>
      </c>
      <c r="BK1321" s="355">
        <v>2.9912999999999999E-2</v>
      </c>
    </row>
    <row r="1322" spans="3:63">
      <c r="C1322" s="624"/>
      <c r="D1322" s="355">
        <v>3.422E-2</v>
      </c>
      <c r="AV1322" s="624"/>
      <c r="AX1322" s="624">
        <v>40107</v>
      </c>
      <c r="AY1322" s="355">
        <v>3.4369999999999998E-2</v>
      </c>
      <c r="AZ1322" s="624">
        <v>40172</v>
      </c>
      <c r="BA1322" s="355">
        <v>1.4999999999999999E-2</v>
      </c>
      <c r="BB1322" s="624">
        <v>40105</v>
      </c>
      <c r="BC1322" s="355">
        <v>0.35930000000000001</v>
      </c>
      <c r="BD1322" s="624">
        <v>40106</v>
      </c>
      <c r="BE1322" s="355">
        <v>8.48E-2</v>
      </c>
      <c r="BF1322" s="624">
        <v>40162</v>
      </c>
      <c r="BG1322" s="355">
        <v>2.1413000000000001E-2</v>
      </c>
      <c r="BH1322" s="624">
        <v>40106</v>
      </c>
      <c r="BI1322" s="355">
        <v>0.10644000000000001</v>
      </c>
      <c r="BJ1322" s="624">
        <v>40105</v>
      </c>
      <c r="BK1322" s="355">
        <v>2.9994E-2</v>
      </c>
    </row>
    <row r="1323" spans="3:63">
      <c r="C1323" s="624"/>
      <c r="D1323" s="355">
        <v>3.4369999999999998E-2</v>
      </c>
      <c r="AV1323" s="624"/>
      <c r="AX1323" s="624">
        <v>40108</v>
      </c>
      <c r="AY1323" s="355">
        <v>3.44E-2</v>
      </c>
      <c r="AZ1323" s="624">
        <v>40175</v>
      </c>
      <c r="BA1323" s="355">
        <v>1.49E-2</v>
      </c>
      <c r="BB1323" s="624">
        <v>40106</v>
      </c>
      <c r="BC1323" s="355">
        <v>0.35880000000000001</v>
      </c>
      <c r="BD1323" s="624">
        <v>40107</v>
      </c>
      <c r="BE1323" s="355">
        <v>8.4510000000000002E-2</v>
      </c>
      <c r="BF1323" s="624">
        <v>40163</v>
      </c>
      <c r="BG1323" s="355">
        <v>2.1430000000000001E-2</v>
      </c>
      <c r="BH1323" s="624">
        <v>40107</v>
      </c>
      <c r="BI1323" s="355">
        <v>0.106157</v>
      </c>
      <c r="BJ1323" s="624">
        <v>40106</v>
      </c>
      <c r="BK1323" s="355">
        <v>2.9930999999999999E-2</v>
      </c>
    </row>
    <row r="1324" spans="3:63">
      <c r="C1324" s="624"/>
      <c r="D1324" s="355">
        <v>3.44E-2</v>
      </c>
      <c r="AV1324" s="624"/>
      <c r="AX1324" s="624">
        <v>40109</v>
      </c>
      <c r="AY1324" s="355">
        <v>3.4549999999999997E-2</v>
      </c>
      <c r="AZ1324" s="624">
        <v>40176</v>
      </c>
      <c r="BA1324" s="355">
        <v>1.49E-2</v>
      </c>
      <c r="BB1324" s="624">
        <v>40107</v>
      </c>
      <c r="BC1324" s="355">
        <v>0.3609</v>
      </c>
      <c r="BD1324" s="624">
        <v>40108</v>
      </c>
      <c r="BE1324" s="355">
        <v>8.3930000000000005E-2</v>
      </c>
      <c r="BF1324" s="624">
        <v>40164</v>
      </c>
      <c r="BG1324" s="355">
        <v>2.1332E-2</v>
      </c>
      <c r="BH1324" s="624">
        <v>40108</v>
      </c>
      <c r="BI1324" s="355">
        <v>0.10488</v>
      </c>
      <c r="BJ1324" s="624">
        <v>40107</v>
      </c>
      <c r="BK1324" s="355">
        <v>2.9926999999999999E-2</v>
      </c>
    </row>
    <row r="1325" spans="3:63">
      <c r="C1325" s="624"/>
      <c r="D1325" s="355">
        <v>3.4549999999999997E-2</v>
      </c>
      <c r="AV1325" s="624"/>
      <c r="AX1325" s="624">
        <v>40112</v>
      </c>
      <c r="AY1325" s="355">
        <v>3.4419999999999999E-2</v>
      </c>
      <c r="AZ1325" s="624">
        <v>40177</v>
      </c>
      <c r="BA1325" s="355">
        <v>1.49E-2</v>
      </c>
      <c r="BB1325" s="624">
        <v>40108</v>
      </c>
      <c r="BC1325" s="355">
        <v>0.36080000000000001</v>
      </c>
      <c r="BD1325" s="624">
        <v>40109</v>
      </c>
      <c r="BE1325" s="355">
        <v>8.455E-2</v>
      </c>
      <c r="BF1325" s="624">
        <v>40165</v>
      </c>
      <c r="BG1325" s="355">
        <v>2.1409000000000001E-2</v>
      </c>
      <c r="BH1325" s="624">
        <v>40109</v>
      </c>
      <c r="BI1325" s="355">
        <v>0.106045</v>
      </c>
      <c r="BJ1325" s="624">
        <v>40108</v>
      </c>
      <c r="BK1325" s="355">
        <v>2.9887E-2</v>
      </c>
    </row>
    <row r="1326" spans="3:63">
      <c r="C1326" s="624"/>
      <c r="D1326" s="355">
        <v>3.4419999999999999E-2</v>
      </c>
      <c r="AV1326" s="624"/>
      <c r="AX1326" s="624">
        <v>40113</v>
      </c>
      <c r="AY1326" s="355">
        <v>3.4130000000000001E-2</v>
      </c>
      <c r="AZ1326" s="624">
        <v>40178</v>
      </c>
      <c r="BA1326" s="355">
        <v>1.49E-2</v>
      </c>
      <c r="BB1326" s="624">
        <v>40109</v>
      </c>
      <c r="BC1326" s="355">
        <v>0.35930000000000001</v>
      </c>
      <c r="BD1326" s="624">
        <v>40112</v>
      </c>
      <c r="BE1326" s="355">
        <v>8.4430000000000005E-2</v>
      </c>
      <c r="BF1326" s="624">
        <v>40168</v>
      </c>
      <c r="BG1326" s="355">
        <v>2.1344999999999999E-2</v>
      </c>
      <c r="BH1326" s="624">
        <v>40112</v>
      </c>
      <c r="BI1326" s="355">
        <v>0.10543</v>
      </c>
      <c r="BJ1326" s="624">
        <v>40109</v>
      </c>
      <c r="BK1326" s="355">
        <v>2.9883E-2</v>
      </c>
    </row>
    <row r="1327" spans="3:63">
      <c r="C1327" s="624"/>
      <c r="D1327" s="355">
        <v>3.4130000000000001E-2</v>
      </c>
      <c r="AV1327" s="624"/>
      <c r="AX1327" s="624">
        <v>40114</v>
      </c>
      <c r="AY1327" s="355">
        <v>3.4180000000000002E-2</v>
      </c>
      <c r="AZ1327" s="624">
        <v>40182</v>
      </c>
      <c r="BA1327" s="355">
        <v>1.49E-2</v>
      </c>
      <c r="BB1327" s="624">
        <v>40112</v>
      </c>
      <c r="BC1327" s="355">
        <v>0.35389999999999999</v>
      </c>
      <c r="BD1327" s="624">
        <v>40113</v>
      </c>
      <c r="BE1327" s="355">
        <v>8.4150000000000003E-2</v>
      </c>
      <c r="BF1327" s="624">
        <v>40169</v>
      </c>
      <c r="BG1327" s="355">
        <v>2.1364999999999999E-2</v>
      </c>
      <c r="BH1327" s="624">
        <v>40113</v>
      </c>
      <c r="BI1327" s="355">
        <v>0.104877</v>
      </c>
      <c r="BJ1327" s="624">
        <v>40112</v>
      </c>
      <c r="BK1327" s="355">
        <v>2.9957999999999999E-2</v>
      </c>
    </row>
    <row r="1328" spans="3:63">
      <c r="C1328" s="624"/>
      <c r="D1328" s="355">
        <v>3.4180000000000002E-2</v>
      </c>
      <c r="AV1328" s="624"/>
      <c r="AX1328" s="624">
        <v>40115</v>
      </c>
      <c r="AY1328" s="355">
        <v>3.4270000000000002E-2</v>
      </c>
      <c r="AZ1328" s="624">
        <v>40183</v>
      </c>
      <c r="BA1328" s="355">
        <v>1.4800000000000001E-2</v>
      </c>
      <c r="BB1328" s="624">
        <v>40113</v>
      </c>
      <c r="BC1328" s="355">
        <v>0.35149999999999998</v>
      </c>
      <c r="BD1328" s="624">
        <v>40114</v>
      </c>
      <c r="BE1328" s="355">
        <v>8.3000000000000004E-2</v>
      </c>
      <c r="BF1328" s="624">
        <v>40170</v>
      </c>
      <c r="BG1328" s="355">
        <v>2.1333999999999999E-2</v>
      </c>
      <c r="BH1328" s="624">
        <v>40114</v>
      </c>
      <c r="BI1328" s="355">
        <v>0.104059</v>
      </c>
      <c r="BJ1328" s="624">
        <v>40113</v>
      </c>
      <c r="BK1328" s="355">
        <v>2.9949E-2</v>
      </c>
    </row>
    <row r="1329" spans="3:63">
      <c r="C1329" s="624"/>
      <c r="D1329" s="355">
        <v>3.4270000000000002E-2</v>
      </c>
      <c r="AV1329" s="624"/>
      <c r="AX1329" s="624">
        <v>40116</v>
      </c>
      <c r="AY1329" s="355">
        <v>3.431E-2</v>
      </c>
      <c r="AZ1329" s="624">
        <v>40184</v>
      </c>
      <c r="BA1329" s="355">
        <v>1.4800000000000001E-2</v>
      </c>
      <c r="BB1329" s="624">
        <v>40114</v>
      </c>
      <c r="BC1329" s="355">
        <v>0.34329999999999999</v>
      </c>
      <c r="BD1329" s="624">
        <v>40115</v>
      </c>
      <c r="BE1329" s="355">
        <v>8.4140000000000006E-2</v>
      </c>
      <c r="BF1329" s="624">
        <v>40171</v>
      </c>
      <c r="BG1329" s="355">
        <v>2.1436E-2</v>
      </c>
      <c r="BH1329" s="624">
        <v>40115</v>
      </c>
      <c r="BI1329" s="355">
        <v>0.10427500000000001</v>
      </c>
      <c r="BJ1329" s="624">
        <v>40114</v>
      </c>
      <c r="BK1329" s="355">
        <v>2.9877999999999998E-2</v>
      </c>
    </row>
    <row r="1330" spans="3:63">
      <c r="C1330" s="624"/>
      <c r="D1330" s="355">
        <v>3.431E-2</v>
      </c>
      <c r="AV1330" s="624"/>
      <c r="AX1330" s="624">
        <v>40119</v>
      </c>
      <c r="AY1330" s="355">
        <v>3.4200000000000001E-2</v>
      </c>
      <c r="AZ1330" s="624">
        <v>40185</v>
      </c>
      <c r="BA1330" s="355">
        <v>1.47E-2</v>
      </c>
      <c r="BB1330" s="624">
        <v>40115</v>
      </c>
      <c r="BC1330" s="355">
        <v>0.35110000000000002</v>
      </c>
      <c r="BD1330" s="624">
        <v>40116</v>
      </c>
      <c r="BE1330" s="355">
        <v>8.4209999999999993E-2</v>
      </c>
      <c r="BF1330" s="624">
        <v>40175</v>
      </c>
      <c r="BG1330" s="355">
        <v>2.1454999999999998E-2</v>
      </c>
      <c r="BH1330" s="624">
        <v>40116</v>
      </c>
      <c r="BI1330" s="355">
        <v>0.104712</v>
      </c>
      <c r="BJ1330" s="624">
        <v>40115</v>
      </c>
      <c r="BK1330" s="355">
        <v>2.9887E-2</v>
      </c>
    </row>
    <row r="1331" spans="3:63">
      <c r="C1331" s="624"/>
      <c r="D1331" s="355">
        <v>3.4200000000000001E-2</v>
      </c>
      <c r="AV1331" s="624"/>
      <c r="AX1331" s="624">
        <v>40120</v>
      </c>
      <c r="AY1331" s="355">
        <v>3.4079999999999999E-2</v>
      </c>
      <c r="AZ1331" s="624">
        <v>40186</v>
      </c>
      <c r="BA1331" s="355">
        <v>1.4800000000000001E-2</v>
      </c>
      <c r="BB1331" s="624">
        <v>40116</v>
      </c>
      <c r="BC1331" s="355">
        <v>0.3463</v>
      </c>
      <c r="BD1331" s="624">
        <v>40119</v>
      </c>
      <c r="BE1331" s="355">
        <v>8.4510000000000002E-2</v>
      </c>
      <c r="BF1331" s="624">
        <v>40176</v>
      </c>
      <c r="BG1331" s="355">
        <v>2.1426000000000001E-2</v>
      </c>
      <c r="BH1331" s="624">
        <v>40119</v>
      </c>
      <c r="BI1331" s="355">
        <v>0.104603</v>
      </c>
      <c r="BJ1331" s="624">
        <v>40116</v>
      </c>
      <c r="BK1331" s="355">
        <v>2.9891999999999998E-2</v>
      </c>
    </row>
    <row r="1332" spans="3:63">
      <c r="C1332" s="624"/>
      <c r="D1332" s="355">
        <v>3.4079999999999999E-2</v>
      </c>
      <c r="AV1332" s="624"/>
      <c r="AX1332" s="624">
        <v>40121</v>
      </c>
      <c r="AY1332" s="355">
        <v>3.4270000000000002E-2</v>
      </c>
      <c r="AZ1332" s="624">
        <v>40189</v>
      </c>
      <c r="BA1332" s="355">
        <v>1.49E-2</v>
      </c>
      <c r="BB1332" s="624">
        <v>40119</v>
      </c>
      <c r="BC1332" s="355">
        <v>0.34379999999999999</v>
      </c>
      <c r="BD1332" s="624">
        <v>40120</v>
      </c>
      <c r="BE1332" s="355">
        <v>8.4419999999999995E-2</v>
      </c>
      <c r="BF1332" s="624">
        <v>40177</v>
      </c>
      <c r="BG1332" s="355">
        <v>2.1392000000000001E-2</v>
      </c>
      <c r="BH1332" s="624">
        <v>40120</v>
      </c>
      <c r="BI1332" s="355">
        <v>0.104439</v>
      </c>
      <c r="BJ1332" s="624">
        <v>40119</v>
      </c>
      <c r="BK1332" s="355">
        <v>2.9888999999999999E-2</v>
      </c>
    </row>
    <row r="1333" spans="3:63">
      <c r="C1333" s="624"/>
      <c r="D1333" s="355">
        <v>3.4270000000000002E-2</v>
      </c>
      <c r="AV1333" s="624"/>
      <c r="AX1333" s="624">
        <v>40122</v>
      </c>
      <c r="AY1333" s="355">
        <v>3.4450000000000001E-2</v>
      </c>
      <c r="AZ1333" s="624">
        <v>40190</v>
      </c>
      <c r="BA1333" s="355">
        <v>1.49E-2</v>
      </c>
      <c r="BB1333" s="624">
        <v>40120</v>
      </c>
      <c r="BC1333" s="355">
        <v>0.3453</v>
      </c>
      <c r="BD1333" s="624">
        <v>40121</v>
      </c>
      <c r="BE1333" s="355">
        <v>8.5190000000000002E-2</v>
      </c>
      <c r="BF1333" s="624">
        <v>40178</v>
      </c>
      <c r="BG1333" s="355">
        <v>2.1493000000000002E-2</v>
      </c>
      <c r="BH1333" s="624">
        <v>40121</v>
      </c>
      <c r="BI1333" s="355">
        <v>0.105153</v>
      </c>
      <c r="BJ1333" s="624">
        <v>40120</v>
      </c>
      <c r="BK1333" s="355">
        <v>2.9881999999999999E-2</v>
      </c>
    </row>
    <row r="1334" spans="3:63">
      <c r="C1334" s="624"/>
      <c r="D1334" s="355">
        <v>3.4450000000000001E-2</v>
      </c>
      <c r="AV1334" s="624"/>
      <c r="AX1334" s="624">
        <v>40123</v>
      </c>
      <c r="AY1334" s="355">
        <v>3.44E-2</v>
      </c>
      <c r="AZ1334" s="624">
        <v>40191</v>
      </c>
      <c r="BA1334" s="355">
        <v>1.49E-2</v>
      </c>
      <c r="BB1334" s="624">
        <v>40121</v>
      </c>
      <c r="BC1334" s="355">
        <v>0.34949999999999998</v>
      </c>
      <c r="BD1334" s="624">
        <v>40122</v>
      </c>
      <c r="BE1334" s="355">
        <v>8.4900000000000003E-2</v>
      </c>
      <c r="BF1334" s="624">
        <v>40179</v>
      </c>
      <c r="BG1334" s="355">
        <v>2.1447999999999998E-2</v>
      </c>
      <c r="BH1334" s="624">
        <v>40122</v>
      </c>
      <c r="BI1334" s="355">
        <v>0.105153</v>
      </c>
      <c r="BJ1334" s="624">
        <v>40121</v>
      </c>
      <c r="BK1334" s="355">
        <v>2.9937999999999999E-2</v>
      </c>
    </row>
    <row r="1335" spans="3:63">
      <c r="C1335" s="624"/>
      <c r="D1335" s="355">
        <v>3.44E-2</v>
      </c>
      <c r="AV1335" s="624"/>
      <c r="AX1335" s="624">
        <v>40126</v>
      </c>
      <c r="AY1335" s="355">
        <v>3.4790000000000001E-2</v>
      </c>
      <c r="AZ1335" s="624">
        <v>40192</v>
      </c>
      <c r="BA1335" s="355">
        <v>1.49E-2</v>
      </c>
      <c r="BB1335" s="624">
        <v>40122</v>
      </c>
      <c r="BC1335" s="355">
        <v>0.34920000000000001</v>
      </c>
      <c r="BD1335" s="624">
        <v>40123</v>
      </c>
      <c r="BE1335" s="355">
        <v>8.5739999999999997E-2</v>
      </c>
      <c r="BF1335" s="624">
        <v>40182</v>
      </c>
      <c r="BG1335" s="355">
        <v>2.1597999999999999E-2</v>
      </c>
      <c r="BH1335" s="624">
        <v>40123</v>
      </c>
      <c r="BI1335" s="355">
        <v>0.105708</v>
      </c>
      <c r="BJ1335" s="624">
        <v>40122</v>
      </c>
      <c r="BK1335" s="355">
        <v>2.9936000000000001E-2</v>
      </c>
    </row>
    <row r="1336" spans="3:63">
      <c r="C1336" s="624"/>
      <c r="D1336" s="355">
        <v>3.4790000000000001E-2</v>
      </c>
      <c r="AV1336" s="624"/>
      <c r="AX1336" s="624">
        <v>40127</v>
      </c>
      <c r="AY1336" s="355">
        <v>3.4799999999999998E-2</v>
      </c>
      <c r="AZ1336" s="624">
        <v>40193</v>
      </c>
      <c r="BA1336" s="355">
        <v>1.49E-2</v>
      </c>
      <c r="BB1336" s="624">
        <v>40123</v>
      </c>
      <c r="BC1336" s="355">
        <v>0.35010000000000002</v>
      </c>
      <c r="BD1336" s="624">
        <v>40126</v>
      </c>
      <c r="BE1336" s="355">
        <v>8.6379999999999998E-2</v>
      </c>
      <c r="BF1336" s="624">
        <v>40183</v>
      </c>
      <c r="BG1336" s="355">
        <v>2.1625999999999999E-2</v>
      </c>
      <c r="BH1336" s="624">
        <v>40126</v>
      </c>
      <c r="BI1336" s="355">
        <v>0.10627</v>
      </c>
      <c r="BJ1336" s="624">
        <v>40123</v>
      </c>
      <c r="BK1336" s="355">
        <v>2.9968999999999999E-2</v>
      </c>
    </row>
    <row r="1337" spans="3:63">
      <c r="C1337" s="624"/>
      <c r="D1337" s="355">
        <v>3.4799999999999998E-2</v>
      </c>
      <c r="AV1337" s="624"/>
      <c r="AX1337" s="624">
        <v>40128</v>
      </c>
      <c r="AY1337" s="355">
        <v>3.483E-2</v>
      </c>
      <c r="AZ1337" s="624">
        <v>40196</v>
      </c>
      <c r="BA1337" s="355">
        <v>1.4800000000000001E-2</v>
      </c>
      <c r="BB1337" s="624">
        <v>40126</v>
      </c>
      <c r="BC1337" s="355">
        <v>0.35680000000000001</v>
      </c>
      <c r="BD1337" s="624">
        <v>40127</v>
      </c>
      <c r="BE1337" s="355">
        <v>8.6069999999999994E-2</v>
      </c>
      <c r="BF1337" s="624">
        <v>40184</v>
      </c>
      <c r="BG1337" s="355">
        <v>2.1805999999999999E-2</v>
      </c>
      <c r="BH1337" s="624">
        <v>40127</v>
      </c>
      <c r="BI1337" s="355">
        <v>0.106214</v>
      </c>
      <c r="BJ1337" s="624">
        <v>40126</v>
      </c>
      <c r="BK1337" s="355">
        <v>3.0016999999999999E-2</v>
      </c>
    </row>
    <row r="1338" spans="3:63">
      <c r="C1338" s="624"/>
      <c r="D1338" s="355">
        <v>3.483E-2</v>
      </c>
      <c r="AV1338" s="624"/>
      <c r="AX1338" s="624">
        <v>40129</v>
      </c>
      <c r="AY1338" s="355">
        <v>3.4610000000000002E-2</v>
      </c>
      <c r="AZ1338" s="624">
        <v>40197</v>
      </c>
      <c r="BA1338" s="355">
        <v>1.47E-2</v>
      </c>
      <c r="BB1338" s="624">
        <v>40127</v>
      </c>
      <c r="BC1338" s="355">
        <v>0.35880000000000001</v>
      </c>
      <c r="BD1338" s="624">
        <v>40128</v>
      </c>
      <c r="BE1338" s="355">
        <v>8.6430000000000007E-2</v>
      </c>
      <c r="BF1338" s="624">
        <v>40185</v>
      </c>
      <c r="BG1338" s="355">
        <v>2.1887E-2</v>
      </c>
      <c r="BH1338" s="624">
        <v>40128</v>
      </c>
      <c r="BI1338" s="355">
        <v>0.106462</v>
      </c>
      <c r="BJ1338" s="624">
        <v>40127</v>
      </c>
      <c r="BK1338" s="355">
        <v>3.0016999999999999E-2</v>
      </c>
    </row>
    <row r="1339" spans="3:63">
      <c r="C1339" s="624"/>
      <c r="D1339" s="355">
        <v>3.4610000000000002E-2</v>
      </c>
      <c r="AV1339" s="624"/>
      <c r="AX1339" s="624">
        <v>40130</v>
      </c>
      <c r="AY1339" s="355">
        <v>3.4660000000000003E-2</v>
      </c>
      <c r="AZ1339" s="624">
        <v>40198</v>
      </c>
      <c r="BA1339" s="355">
        <v>1.44E-2</v>
      </c>
      <c r="BB1339" s="624">
        <v>40128</v>
      </c>
      <c r="BC1339" s="355">
        <v>0.36259999999999998</v>
      </c>
      <c r="BD1339" s="624">
        <v>40129</v>
      </c>
      <c r="BE1339" s="355">
        <v>8.5980000000000001E-2</v>
      </c>
      <c r="BF1339" s="624">
        <v>40186</v>
      </c>
      <c r="BG1339" s="355">
        <v>2.1853000000000001E-2</v>
      </c>
      <c r="BH1339" s="624">
        <v>40129</v>
      </c>
      <c r="BI1339" s="355">
        <v>0.10627</v>
      </c>
      <c r="BJ1339" s="624">
        <v>40128</v>
      </c>
      <c r="BK1339" s="355">
        <v>3.0008E-2</v>
      </c>
    </row>
    <row r="1340" spans="3:63">
      <c r="C1340" s="624"/>
      <c r="D1340" s="355">
        <v>3.4660000000000003E-2</v>
      </c>
      <c r="AV1340" s="624"/>
      <c r="AX1340" s="624">
        <v>40133</v>
      </c>
      <c r="AY1340" s="355">
        <v>3.4860000000000002E-2</v>
      </c>
      <c r="AZ1340" s="624">
        <v>40199</v>
      </c>
      <c r="BA1340" s="355">
        <v>1.4500000000000001E-2</v>
      </c>
      <c r="BB1340" s="624">
        <v>40129</v>
      </c>
      <c r="BC1340" s="355">
        <v>0.35949999999999999</v>
      </c>
      <c r="BD1340" s="624">
        <v>40130</v>
      </c>
      <c r="BE1340" s="355">
        <v>8.6449999999999999E-2</v>
      </c>
      <c r="BF1340" s="624">
        <v>40189</v>
      </c>
      <c r="BG1340" s="355">
        <v>2.206E-2</v>
      </c>
      <c r="BH1340" s="624">
        <v>40130</v>
      </c>
      <c r="BI1340" s="355">
        <v>0.106667</v>
      </c>
      <c r="BJ1340" s="624">
        <v>40129</v>
      </c>
      <c r="BK1340" s="355">
        <v>3.0053E-2</v>
      </c>
    </row>
    <row r="1341" spans="3:63">
      <c r="C1341" s="624"/>
      <c r="D1341" s="355">
        <v>3.4860000000000002E-2</v>
      </c>
      <c r="AV1341" s="624"/>
      <c r="AX1341" s="624">
        <v>40134</v>
      </c>
      <c r="AY1341" s="355">
        <v>3.4709999999999998E-2</v>
      </c>
      <c r="AZ1341" s="624">
        <v>40200</v>
      </c>
      <c r="BA1341" s="355">
        <v>1.4500000000000001E-2</v>
      </c>
      <c r="BB1341" s="624">
        <v>40130</v>
      </c>
      <c r="BC1341" s="355">
        <v>0.36309999999999998</v>
      </c>
      <c r="BD1341" s="624">
        <v>40133</v>
      </c>
      <c r="BE1341" s="355">
        <v>8.6910000000000001E-2</v>
      </c>
      <c r="BF1341" s="624">
        <v>40190</v>
      </c>
      <c r="BG1341" s="355">
        <v>2.1905999999999998E-2</v>
      </c>
      <c r="BH1341" s="624">
        <v>40133</v>
      </c>
      <c r="BI1341" s="355">
        <v>0.10649599999999999</v>
      </c>
      <c r="BJ1341" s="624">
        <v>40130</v>
      </c>
      <c r="BK1341" s="355">
        <v>3.0086999999999999E-2</v>
      </c>
    </row>
    <row r="1342" spans="3:63">
      <c r="C1342" s="624"/>
      <c r="D1342" s="355">
        <v>3.4709999999999998E-2</v>
      </c>
      <c r="AV1342" s="624"/>
      <c r="AX1342" s="624">
        <v>40135</v>
      </c>
      <c r="AY1342" s="355">
        <v>3.483E-2</v>
      </c>
      <c r="AZ1342" s="624">
        <v>40203</v>
      </c>
      <c r="BA1342" s="355">
        <v>1.4500000000000001E-2</v>
      </c>
      <c r="BB1342" s="624">
        <v>40133</v>
      </c>
      <c r="BC1342" s="355">
        <v>0.36670000000000003</v>
      </c>
      <c r="BD1342" s="624">
        <v>40134</v>
      </c>
      <c r="BE1342" s="355">
        <v>8.6669999999999997E-2</v>
      </c>
      <c r="BF1342" s="624">
        <v>40191</v>
      </c>
      <c r="BG1342" s="355">
        <v>2.1898999999999998E-2</v>
      </c>
      <c r="BH1342" s="624">
        <v>40134</v>
      </c>
      <c r="BI1342" s="355">
        <v>0.10627</v>
      </c>
      <c r="BJ1342" s="624">
        <v>40133</v>
      </c>
      <c r="BK1342" s="355">
        <v>3.0120000000000001E-2</v>
      </c>
    </row>
    <row r="1343" spans="3:63">
      <c r="C1343" s="624"/>
      <c r="D1343" s="355">
        <v>3.483E-2</v>
      </c>
      <c r="AV1343" s="624"/>
      <c r="AX1343" s="624">
        <v>40136</v>
      </c>
      <c r="AY1343" s="355">
        <v>3.4709999999999998E-2</v>
      </c>
      <c r="AZ1343" s="624">
        <v>40204</v>
      </c>
      <c r="BA1343" s="355">
        <v>1.44E-2</v>
      </c>
      <c r="BB1343" s="624">
        <v>40134</v>
      </c>
      <c r="BC1343" s="355">
        <v>0.36359999999999998</v>
      </c>
      <c r="BD1343" s="624">
        <v>40135</v>
      </c>
      <c r="BE1343" s="355">
        <v>8.6660000000000001E-2</v>
      </c>
      <c r="BF1343" s="624">
        <v>40192</v>
      </c>
      <c r="BG1343" s="355">
        <v>2.1958999999999999E-2</v>
      </c>
      <c r="BH1343" s="624">
        <v>40135</v>
      </c>
      <c r="BI1343" s="355">
        <v>0.10649599999999999</v>
      </c>
      <c r="BJ1343" s="624">
        <v>40134</v>
      </c>
      <c r="BK1343" s="355">
        <v>3.0120000000000001E-2</v>
      </c>
    </row>
    <row r="1344" spans="3:63">
      <c r="C1344" s="624"/>
      <c r="D1344" s="355">
        <v>3.4709999999999998E-2</v>
      </c>
      <c r="AV1344" s="624"/>
      <c r="AX1344" s="624">
        <v>40137</v>
      </c>
      <c r="AY1344" s="355">
        <v>3.449E-2</v>
      </c>
      <c r="AZ1344" s="624">
        <v>40205</v>
      </c>
      <c r="BA1344" s="355">
        <v>1.43E-2</v>
      </c>
      <c r="BB1344" s="624">
        <v>40135</v>
      </c>
      <c r="BC1344" s="355">
        <v>0.36470000000000002</v>
      </c>
      <c r="BD1344" s="624">
        <v>40136</v>
      </c>
      <c r="BE1344" s="355">
        <v>8.6010000000000003E-2</v>
      </c>
      <c r="BF1344" s="624">
        <v>40193</v>
      </c>
      <c r="BG1344" s="355">
        <v>2.1919999999999999E-2</v>
      </c>
      <c r="BH1344" s="624">
        <v>40136</v>
      </c>
      <c r="BI1344" s="355">
        <v>0.104657</v>
      </c>
      <c r="BJ1344" s="624">
        <v>40135</v>
      </c>
      <c r="BK1344" s="355">
        <v>3.0161E-2</v>
      </c>
    </row>
    <row r="1345" spans="3:63">
      <c r="C1345" s="624"/>
      <c r="D1345" s="355">
        <v>3.449E-2</v>
      </c>
      <c r="AV1345" s="624"/>
      <c r="AX1345" s="624">
        <v>40140</v>
      </c>
      <c r="AY1345" s="355">
        <v>3.4729999999999997E-2</v>
      </c>
      <c r="AZ1345" s="624">
        <v>40206</v>
      </c>
      <c r="BA1345" s="355">
        <v>1.41E-2</v>
      </c>
      <c r="BB1345" s="624">
        <v>40136</v>
      </c>
      <c r="BC1345" s="355">
        <v>0.36099999999999999</v>
      </c>
      <c r="BD1345" s="624">
        <v>40137</v>
      </c>
      <c r="BE1345" s="355">
        <v>8.6410000000000001E-2</v>
      </c>
      <c r="BF1345" s="624">
        <v>40196</v>
      </c>
      <c r="BG1345" s="355">
        <v>2.1908E-2</v>
      </c>
      <c r="BH1345" s="624">
        <v>40137</v>
      </c>
      <c r="BI1345" s="355">
        <v>0.10543</v>
      </c>
      <c r="BJ1345" s="624">
        <v>40136</v>
      </c>
      <c r="BK1345" s="355">
        <v>3.0130000000000001E-2</v>
      </c>
    </row>
    <row r="1346" spans="3:63">
      <c r="C1346" s="624"/>
      <c r="D1346" s="355">
        <v>3.4729999999999997E-2</v>
      </c>
      <c r="AV1346" s="624"/>
      <c r="AX1346" s="624">
        <v>40141</v>
      </c>
      <c r="AY1346" s="355">
        <v>3.4709999999999998E-2</v>
      </c>
      <c r="AZ1346" s="624">
        <v>40207</v>
      </c>
      <c r="BA1346" s="355">
        <v>1.41E-2</v>
      </c>
      <c r="BB1346" s="624">
        <v>40137</v>
      </c>
      <c r="BC1346" s="355">
        <v>0.35799999999999998</v>
      </c>
      <c r="BD1346" s="624">
        <v>40140</v>
      </c>
      <c r="BE1346" s="355">
        <v>8.6709999999999995E-2</v>
      </c>
      <c r="BF1346" s="624">
        <v>40197</v>
      </c>
      <c r="BG1346" s="355">
        <v>2.1853000000000001E-2</v>
      </c>
      <c r="BH1346" s="624">
        <v>40140</v>
      </c>
      <c r="BI1346" s="355">
        <v>0.105708</v>
      </c>
      <c r="BJ1346" s="624">
        <v>40137</v>
      </c>
      <c r="BK1346" s="355">
        <v>3.0084E-2</v>
      </c>
    </row>
    <row r="1347" spans="3:63">
      <c r="C1347" s="624"/>
      <c r="D1347" s="355">
        <v>3.4709999999999998E-2</v>
      </c>
      <c r="AV1347" s="624"/>
      <c r="AX1347" s="624">
        <v>40142</v>
      </c>
      <c r="AY1347" s="355">
        <v>3.4750000000000003E-2</v>
      </c>
      <c r="AZ1347" s="624">
        <v>40210</v>
      </c>
      <c r="BA1347" s="355">
        <v>1.41E-2</v>
      </c>
      <c r="BB1347" s="624">
        <v>40140</v>
      </c>
      <c r="BC1347" s="355">
        <v>0.36299999999999999</v>
      </c>
      <c r="BD1347" s="624">
        <v>40141</v>
      </c>
      <c r="BE1347" s="355">
        <v>8.6550000000000002E-2</v>
      </c>
      <c r="BF1347" s="624">
        <v>40198</v>
      </c>
      <c r="BG1347" s="355">
        <v>2.1711000000000001E-2</v>
      </c>
      <c r="BH1347" s="624">
        <v>40141</v>
      </c>
      <c r="BI1347" s="355">
        <v>0.105152</v>
      </c>
      <c r="BJ1347" s="624">
        <v>40140</v>
      </c>
      <c r="BK1347" s="355">
        <v>3.0112E-2</v>
      </c>
    </row>
    <row r="1348" spans="3:63">
      <c r="C1348" s="624"/>
      <c r="D1348" s="355">
        <v>3.4750000000000003E-2</v>
      </c>
      <c r="AV1348" s="624"/>
      <c r="AX1348" s="624">
        <v>40143</v>
      </c>
      <c r="AY1348" s="355">
        <v>3.4180000000000002E-2</v>
      </c>
      <c r="AZ1348" s="624">
        <v>40211</v>
      </c>
      <c r="BA1348" s="355">
        <v>1.41E-2</v>
      </c>
      <c r="BB1348" s="624">
        <v>40141</v>
      </c>
      <c r="BC1348" s="355">
        <v>0.36320000000000002</v>
      </c>
      <c r="BD1348" s="624">
        <v>40142</v>
      </c>
      <c r="BE1348" s="355">
        <v>8.6760000000000004E-2</v>
      </c>
      <c r="BF1348" s="624">
        <v>40199</v>
      </c>
      <c r="BG1348" s="355">
        <v>2.1631000000000001E-2</v>
      </c>
      <c r="BH1348" s="624">
        <v>40142</v>
      </c>
      <c r="BI1348" s="355">
        <v>0.10638300000000001</v>
      </c>
      <c r="BJ1348" s="624">
        <v>40141</v>
      </c>
      <c r="BK1348" s="355">
        <v>3.0102E-2</v>
      </c>
    </row>
    <row r="1349" spans="3:63">
      <c r="C1349" s="624"/>
      <c r="D1349" s="355">
        <v>3.4180000000000002E-2</v>
      </c>
      <c r="AV1349" s="624"/>
      <c r="AX1349" s="624">
        <v>40144</v>
      </c>
      <c r="AY1349" s="355">
        <v>3.4090000000000002E-2</v>
      </c>
      <c r="AZ1349" s="624">
        <v>40212</v>
      </c>
      <c r="BA1349" s="355">
        <v>1.41E-2</v>
      </c>
      <c r="BB1349" s="624">
        <v>40142</v>
      </c>
      <c r="BC1349" s="355">
        <v>0.36890000000000001</v>
      </c>
      <c r="BD1349" s="624">
        <v>40143</v>
      </c>
      <c r="BE1349" s="355">
        <v>8.6370000000000002E-2</v>
      </c>
      <c r="BF1349" s="624">
        <v>40200</v>
      </c>
      <c r="BG1349" s="355">
        <v>2.1666000000000001E-2</v>
      </c>
      <c r="BH1349" s="624">
        <v>40143</v>
      </c>
      <c r="BI1349" s="355">
        <v>0.105876</v>
      </c>
      <c r="BJ1349" s="624">
        <v>40142</v>
      </c>
      <c r="BK1349" s="355">
        <v>3.0190999999999999E-2</v>
      </c>
    </row>
    <row r="1350" spans="3:63">
      <c r="C1350" s="624"/>
      <c r="D1350" s="355">
        <v>3.4090000000000002E-2</v>
      </c>
      <c r="AV1350" s="624"/>
      <c r="AX1350" s="624">
        <v>40147</v>
      </c>
      <c r="AY1350" s="355">
        <v>3.4169999999999999E-2</v>
      </c>
      <c r="AZ1350" s="624">
        <v>40213</v>
      </c>
      <c r="BA1350" s="355">
        <v>1.3899999999999999E-2</v>
      </c>
      <c r="BB1350" s="624">
        <v>40143</v>
      </c>
      <c r="BC1350" s="355">
        <v>0.36159999999999998</v>
      </c>
      <c r="BD1350" s="624">
        <v>40144</v>
      </c>
      <c r="BE1350" s="355">
        <v>8.5440000000000002E-2</v>
      </c>
      <c r="BF1350" s="624">
        <v>40203</v>
      </c>
      <c r="BG1350" s="355">
        <v>2.1697000000000001E-2</v>
      </c>
      <c r="BH1350" s="624">
        <v>40144</v>
      </c>
      <c r="BI1350" s="355">
        <v>0.105876</v>
      </c>
      <c r="BJ1350" s="624">
        <v>40143</v>
      </c>
      <c r="BK1350" s="355">
        <v>3.0165999999999998E-2</v>
      </c>
    </row>
    <row r="1351" spans="3:63">
      <c r="C1351" s="624"/>
      <c r="D1351" s="355">
        <v>3.4169999999999999E-2</v>
      </c>
      <c r="AV1351" s="624"/>
      <c r="AX1351" s="624">
        <v>40148</v>
      </c>
      <c r="AY1351" s="355">
        <v>3.4419999999999999E-2</v>
      </c>
      <c r="AZ1351" s="624">
        <v>40214</v>
      </c>
      <c r="BA1351" s="355">
        <v>1.38E-2</v>
      </c>
      <c r="BB1351" s="624">
        <v>40144</v>
      </c>
      <c r="BC1351" s="355">
        <v>0.3609</v>
      </c>
      <c r="BD1351" s="624">
        <v>40147</v>
      </c>
      <c r="BE1351" s="355">
        <v>8.591E-2</v>
      </c>
      <c r="BF1351" s="624">
        <v>40205</v>
      </c>
      <c r="BG1351" s="355">
        <v>2.1565999999999998E-2</v>
      </c>
      <c r="BH1351" s="624">
        <v>40147</v>
      </c>
      <c r="BI1351" s="355">
        <v>0.10568</v>
      </c>
      <c r="BJ1351" s="624">
        <v>40144</v>
      </c>
      <c r="BK1351" s="355">
        <v>3.0086999999999999E-2</v>
      </c>
    </row>
    <row r="1352" spans="3:63">
      <c r="C1352" s="624"/>
      <c r="D1352" s="355">
        <v>3.4419999999999999E-2</v>
      </c>
      <c r="AV1352" s="624"/>
      <c r="AX1352" s="624">
        <v>40149</v>
      </c>
      <c r="AY1352" s="355">
        <v>3.406E-2</v>
      </c>
      <c r="AZ1352" s="624">
        <v>40217</v>
      </c>
      <c r="BA1352" s="355">
        <v>1.38E-2</v>
      </c>
      <c r="BB1352" s="624">
        <v>40147</v>
      </c>
      <c r="BC1352" s="355">
        <v>0.36059999999999998</v>
      </c>
      <c r="BD1352" s="624">
        <v>40148</v>
      </c>
      <c r="BE1352" s="355">
        <v>8.652E-2</v>
      </c>
      <c r="BF1352" s="624">
        <v>40206</v>
      </c>
      <c r="BG1352" s="355">
        <v>2.1597999999999999E-2</v>
      </c>
      <c r="BH1352" s="624">
        <v>40148</v>
      </c>
      <c r="BI1352" s="355">
        <v>0.105764</v>
      </c>
      <c r="BJ1352" s="624">
        <v>40147</v>
      </c>
      <c r="BK1352" s="355">
        <v>3.0093000000000002E-2</v>
      </c>
    </row>
    <row r="1353" spans="3:63">
      <c r="C1353" s="624"/>
      <c r="D1353" s="355">
        <v>3.406E-2</v>
      </c>
      <c r="AV1353" s="624"/>
      <c r="AX1353" s="624">
        <v>40150</v>
      </c>
      <c r="AY1353" s="355">
        <v>3.4290000000000001E-2</v>
      </c>
      <c r="AZ1353" s="624">
        <v>40218</v>
      </c>
      <c r="BA1353" s="355">
        <v>1.3899999999999999E-2</v>
      </c>
      <c r="BB1353" s="624">
        <v>40148</v>
      </c>
      <c r="BC1353" s="355">
        <v>0.36649999999999999</v>
      </c>
      <c r="BD1353" s="624">
        <v>40149</v>
      </c>
      <c r="BE1353" s="355">
        <v>8.6690000000000003E-2</v>
      </c>
      <c r="BF1353" s="624">
        <v>40207</v>
      </c>
      <c r="BG1353" s="355">
        <v>2.1659000000000001E-2</v>
      </c>
      <c r="BH1353" s="624">
        <v>40149</v>
      </c>
      <c r="BI1353" s="355">
        <v>0.105949</v>
      </c>
      <c r="BJ1353" s="624">
        <v>40148</v>
      </c>
      <c r="BK1353" s="355">
        <v>3.0143E-2</v>
      </c>
    </row>
    <row r="1354" spans="3:63">
      <c r="C1354" s="624"/>
      <c r="D1354" s="355">
        <v>3.4290000000000001E-2</v>
      </c>
      <c r="AV1354" s="624"/>
      <c r="AX1354" s="624">
        <v>40151</v>
      </c>
      <c r="AY1354" s="355">
        <v>3.3910000000000003E-2</v>
      </c>
      <c r="AZ1354" s="624">
        <v>40219</v>
      </c>
      <c r="BA1354" s="355">
        <v>1.3899999999999999E-2</v>
      </c>
      <c r="BB1354" s="624">
        <v>40149</v>
      </c>
      <c r="BC1354" s="355">
        <v>0.36649999999999999</v>
      </c>
      <c r="BD1354" s="624">
        <v>40150</v>
      </c>
      <c r="BE1354" s="355">
        <v>8.6860000000000007E-2</v>
      </c>
      <c r="BF1354" s="624">
        <v>40210</v>
      </c>
      <c r="BG1354" s="355">
        <v>2.1600999999999999E-2</v>
      </c>
      <c r="BH1354" s="624">
        <v>40150</v>
      </c>
      <c r="BI1354" s="355">
        <v>0.106157</v>
      </c>
      <c r="BJ1354" s="624">
        <v>40149</v>
      </c>
      <c r="BK1354" s="355">
        <v>3.0136E-2</v>
      </c>
    </row>
    <row r="1355" spans="3:63">
      <c r="C1355" s="624"/>
      <c r="D1355" s="355">
        <v>3.3910000000000003E-2</v>
      </c>
      <c r="AV1355" s="624"/>
      <c r="AX1355" s="624">
        <v>40154</v>
      </c>
      <c r="AY1355" s="355">
        <v>3.3439999999999998E-2</v>
      </c>
      <c r="AZ1355" s="624">
        <v>40220</v>
      </c>
      <c r="BA1355" s="355">
        <v>1.3899999999999999E-2</v>
      </c>
      <c r="BB1355" s="624">
        <v>40150</v>
      </c>
      <c r="BC1355" s="355">
        <v>0.36749999999999999</v>
      </c>
      <c r="BD1355" s="624">
        <v>40151</v>
      </c>
      <c r="BE1355" s="355">
        <v>8.6720000000000005E-2</v>
      </c>
      <c r="BF1355" s="624">
        <v>40211</v>
      </c>
      <c r="BG1355" s="355">
        <v>2.1680000000000001E-2</v>
      </c>
      <c r="BH1355" s="624">
        <v>40151</v>
      </c>
      <c r="BI1355" s="355">
        <v>0.106214</v>
      </c>
      <c r="BJ1355" s="624">
        <v>40150</v>
      </c>
      <c r="BK1355" s="355">
        <v>3.0183999999999999E-2</v>
      </c>
    </row>
    <row r="1356" spans="3:63">
      <c r="C1356" s="624"/>
      <c r="D1356" s="355">
        <v>3.3439999999999998E-2</v>
      </c>
      <c r="AV1356" s="624"/>
      <c r="AX1356" s="624">
        <v>40155</v>
      </c>
      <c r="AY1356" s="355">
        <v>3.2680000000000001E-2</v>
      </c>
      <c r="AZ1356" s="624">
        <v>40221</v>
      </c>
      <c r="BA1356" s="355">
        <v>1.38E-2</v>
      </c>
      <c r="BB1356" s="624">
        <v>40151</v>
      </c>
      <c r="BC1356" s="355">
        <v>0.3659</v>
      </c>
      <c r="BD1356" s="624">
        <v>40154</v>
      </c>
      <c r="BE1356" s="355">
        <v>8.6699999999999999E-2</v>
      </c>
      <c r="BF1356" s="624">
        <v>40212</v>
      </c>
      <c r="BG1356" s="355">
        <v>2.1774999999999999E-2</v>
      </c>
      <c r="BH1356" s="624">
        <v>40154</v>
      </c>
      <c r="BI1356" s="355">
        <v>0.105764</v>
      </c>
      <c r="BJ1356" s="624">
        <v>40151</v>
      </c>
      <c r="BK1356" s="355">
        <v>3.0143E-2</v>
      </c>
    </row>
    <row r="1357" spans="3:63">
      <c r="C1357" s="624"/>
      <c r="D1357" s="355">
        <v>3.2680000000000001E-2</v>
      </c>
      <c r="AV1357" s="624"/>
      <c r="AX1357" s="624">
        <v>40156</v>
      </c>
      <c r="AY1357" s="355">
        <v>3.2829999999999998E-2</v>
      </c>
      <c r="AZ1357" s="624">
        <v>40224</v>
      </c>
      <c r="BA1357" s="355">
        <v>1.38E-2</v>
      </c>
      <c r="BB1357" s="624">
        <v>40154</v>
      </c>
      <c r="BC1357" s="355">
        <v>0.36449999999999999</v>
      </c>
      <c r="BD1357" s="624">
        <v>40155</v>
      </c>
      <c r="BE1357" s="355">
        <v>8.5949999999999999E-2</v>
      </c>
      <c r="BF1357" s="624">
        <v>40213</v>
      </c>
      <c r="BG1357" s="355">
        <v>2.1628999999999999E-2</v>
      </c>
      <c r="BH1357" s="624">
        <v>40155</v>
      </c>
      <c r="BI1357" s="355">
        <v>0.10543</v>
      </c>
      <c r="BJ1357" s="624">
        <v>40154</v>
      </c>
      <c r="BK1357" s="355">
        <v>3.0169999999999999E-2</v>
      </c>
    </row>
    <row r="1358" spans="3:63">
      <c r="C1358" s="624"/>
      <c r="D1358" s="355">
        <v>3.2829999999999998E-2</v>
      </c>
      <c r="AV1358" s="624"/>
      <c r="AX1358" s="624">
        <v>40157</v>
      </c>
      <c r="AY1358" s="355">
        <v>3.2870000000000003E-2</v>
      </c>
      <c r="AZ1358" s="624">
        <v>40225</v>
      </c>
      <c r="BA1358" s="355">
        <v>1.4E-2</v>
      </c>
      <c r="BB1358" s="624">
        <v>40155</v>
      </c>
      <c r="BC1358" s="355">
        <v>0.35639999999999999</v>
      </c>
      <c r="BD1358" s="624">
        <v>40156</v>
      </c>
      <c r="BE1358" s="355">
        <v>8.5940000000000003E-2</v>
      </c>
      <c r="BF1358" s="624">
        <v>40214</v>
      </c>
      <c r="BG1358" s="355">
        <v>2.1394E-2</v>
      </c>
      <c r="BH1358" s="624">
        <v>40156</v>
      </c>
      <c r="BI1358" s="355">
        <v>0.105653</v>
      </c>
      <c r="BJ1358" s="624">
        <v>40155</v>
      </c>
      <c r="BK1358" s="355">
        <v>3.0138999999999999E-2</v>
      </c>
    </row>
    <row r="1359" spans="3:63">
      <c r="C1359" s="624"/>
      <c r="D1359" s="355">
        <v>3.2870000000000003E-2</v>
      </c>
      <c r="AV1359" s="624"/>
      <c r="AX1359" s="624">
        <v>40158</v>
      </c>
      <c r="AY1359" s="355">
        <v>3.3070000000000002E-2</v>
      </c>
      <c r="AZ1359" s="624">
        <v>40226</v>
      </c>
      <c r="BA1359" s="355">
        <v>1.38E-2</v>
      </c>
      <c r="BB1359" s="624">
        <v>40156</v>
      </c>
      <c r="BC1359" s="355">
        <v>0.35410000000000003</v>
      </c>
      <c r="BD1359" s="624">
        <v>40157</v>
      </c>
      <c r="BE1359" s="355">
        <v>8.6050000000000001E-2</v>
      </c>
      <c r="BF1359" s="624">
        <v>40217</v>
      </c>
      <c r="BG1359" s="355">
        <v>2.1356E-2</v>
      </c>
      <c r="BH1359" s="624">
        <v>40157</v>
      </c>
      <c r="BI1359" s="355">
        <v>0.105876</v>
      </c>
      <c r="BJ1359" s="624">
        <v>40156</v>
      </c>
      <c r="BK1359" s="355">
        <v>3.0175E-2</v>
      </c>
    </row>
    <row r="1360" spans="3:63">
      <c r="C1360" s="624"/>
      <c r="D1360" s="355">
        <v>3.3070000000000002E-2</v>
      </c>
      <c r="AV1360" s="624"/>
      <c r="AX1360" s="624">
        <v>40161</v>
      </c>
      <c r="AY1360" s="355">
        <v>3.3259999999999998E-2</v>
      </c>
      <c r="AZ1360" s="624">
        <v>40227</v>
      </c>
      <c r="BA1360" s="355">
        <v>1.37E-2</v>
      </c>
      <c r="BB1360" s="624">
        <v>40157</v>
      </c>
      <c r="BC1360" s="355">
        <v>0.35449999999999998</v>
      </c>
      <c r="BD1360" s="624">
        <v>40158</v>
      </c>
      <c r="BE1360" s="355">
        <v>8.5779999999999995E-2</v>
      </c>
      <c r="BF1360" s="624">
        <v>40218</v>
      </c>
      <c r="BG1360" s="355">
        <v>2.1429E-2</v>
      </c>
      <c r="BH1360" s="624">
        <v>40158</v>
      </c>
      <c r="BI1360" s="355">
        <v>0.10596</v>
      </c>
      <c r="BJ1360" s="624">
        <v>40157</v>
      </c>
      <c r="BK1360" s="355">
        <v>3.0190999999999999E-2</v>
      </c>
    </row>
    <row r="1361" spans="3:63">
      <c r="C1361" s="624"/>
      <c r="D1361" s="355">
        <v>3.3259999999999998E-2</v>
      </c>
      <c r="AV1361" s="624"/>
      <c r="AX1361" s="624">
        <v>40162</v>
      </c>
      <c r="AY1361" s="355">
        <v>3.3119999999999997E-2</v>
      </c>
      <c r="AZ1361" s="624">
        <v>40228</v>
      </c>
      <c r="BA1361" s="355">
        <v>1.37E-2</v>
      </c>
      <c r="BB1361" s="624">
        <v>40158</v>
      </c>
      <c r="BC1361" s="355">
        <v>0.35199999999999998</v>
      </c>
      <c r="BD1361" s="624">
        <v>40161</v>
      </c>
      <c r="BE1361" s="355">
        <v>8.6230000000000001E-2</v>
      </c>
      <c r="BF1361" s="624">
        <v>40219</v>
      </c>
      <c r="BG1361" s="355">
        <v>2.1568E-2</v>
      </c>
      <c r="BH1361" s="624">
        <v>40161</v>
      </c>
      <c r="BI1361" s="355">
        <v>0.105558</v>
      </c>
      <c r="BJ1361" s="624">
        <v>40158</v>
      </c>
      <c r="BK1361" s="355">
        <v>3.0221000000000001E-2</v>
      </c>
    </row>
    <row r="1362" spans="3:63">
      <c r="C1362" s="624"/>
      <c r="D1362" s="355">
        <v>3.3119999999999997E-2</v>
      </c>
      <c r="AV1362" s="624"/>
      <c r="AX1362" s="624">
        <v>40163</v>
      </c>
      <c r="AY1362" s="355">
        <v>3.304E-2</v>
      </c>
      <c r="AZ1362" s="624">
        <v>40231</v>
      </c>
      <c r="BA1362" s="355">
        <v>1.37E-2</v>
      </c>
      <c r="BB1362" s="624">
        <v>40161</v>
      </c>
      <c r="BC1362" s="355">
        <v>0.35270000000000001</v>
      </c>
      <c r="BD1362" s="624">
        <v>40162</v>
      </c>
      <c r="BE1362" s="355">
        <v>8.5800000000000001E-2</v>
      </c>
      <c r="BF1362" s="624">
        <v>40220</v>
      </c>
      <c r="BG1362" s="355">
        <v>2.1547E-2</v>
      </c>
      <c r="BH1362" s="624">
        <v>40162</v>
      </c>
      <c r="BI1362" s="355">
        <v>0.105519</v>
      </c>
      <c r="BJ1362" s="624">
        <v>40161</v>
      </c>
      <c r="BK1362" s="355">
        <v>3.0186000000000001E-2</v>
      </c>
    </row>
    <row r="1363" spans="3:63">
      <c r="C1363" s="624"/>
      <c r="D1363" s="355">
        <v>3.304E-2</v>
      </c>
      <c r="AV1363" s="624"/>
      <c r="AX1363" s="624">
        <v>40164</v>
      </c>
      <c r="AY1363" s="355">
        <v>3.243E-2</v>
      </c>
      <c r="AZ1363" s="624">
        <v>40232</v>
      </c>
      <c r="BA1363" s="355">
        <v>1.3599999999999999E-2</v>
      </c>
      <c r="BB1363" s="624">
        <v>40162</v>
      </c>
      <c r="BC1363" s="355">
        <v>0.34549999999999997</v>
      </c>
      <c r="BD1363" s="624">
        <v>40163</v>
      </c>
      <c r="BE1363" s="355">
        <v>8.584E-2</v>
      </c>
      <c r="BF1363" s="624">
        <v>40224</v>
      </c>
      <c r="BG1363" s="355">
        <v>2.1586999999999999E-2</v>
      </c>
      <c r="BH1363" s="624">
        <v>40163</v>
      </c>
      <c r="BI1363" s="355">
        <v>0.105374</v>
      </c>
      <c r="BJ1363" s="624">
        <v>40162</v>
      </c>
      <c r="BK1363" s="355">
        <v>3.0164E-2</v>
      </c>
    </row>
    <row r="1364" spans="3:63">
      <c r="C1364" s="624"/>
      <c r="D1364" s="355">
        <v>3.243E-2</v>
      </c>
      <c r="AV1364" s="624"/>
      <c r="AX1364" s="624">
        <v>40165</v>
      </c>
      <c r="AY1364" s="355">
        <v>3.2640000000000002E-2</v>
      </c>
      <c r="AZ1364" s="624">
        <v>40233</v>
      </c>
      <c r="BA1364" s="355">
        <v>1.3599999999999999E-2</v>
      </c>
      <c r="BB1364" s="624">
        <v>40163</v>
      </c>
      <c r="BC1364" s="355">
        <v>0.34749999999999998</v>
      </c>
      <c r="BD1364" s="624">
        <v>40164</v>
      </c>
      <c r="BE1364" s="355">
        <v>8.4220000000000003E-2</v>
      </c>
      <c r="BF1364" s="624">
        <v>40225</v>
      </c>
      <c r="BG1364" s="355">
        <v>2.164E-2</v>
      </c>
      <c r="BH1364" s="624">
        <v>40164</v>
      </c>
      <c r="BI1364" s="355">
        <v>0.104493</v>
      </c>
      <c r="BJ1364" s="624">
        <v>40163</v>
      </c>
      <c r="BK1364" s="355">
        <v>3.0138999999999999E-2</v>
      </c>
    </row>
    <row r="1365" spans="3:63">
      <c r="C1365" s="624"/>
      <c r="D1365" s="355">
        <v>3.2640000000000002E-2</v>
      </c>
      <c r="AV1365" s="624"/>
      <c r="AX1365" s="624">
        <v>40168</v>
      </c>
      <c r="AY1365" s="355">
        <v>3.2770000000000001E-2</v>
      </c>
      <c r="AZ1365" s="624">
        <v>40234</v>
      </c>
      <c r="BA1365" s="355">
        <v>1.3599999999999999E-2</v>
      </c>
      <c r="BB1365" s="624">
        <v>40164</v>
      </c>
      <c r="BC1365" s="355">
        <v>0.3417</v>
      </c>
      <c r="BD1365" s="624">
        <v>40165</v>
      </c>
      <c r="BE1365" s="355">
        <v>8.5010000000000002E-2</v>
      </c>
      <c r="BF1365" s="624">
        <v>40226</v>
      </c>
      <c r="BG1365" s="355">
        <v>2.1687000000000001E-2</v>
      </c>
      <c r="BH1365" s="624">
        <v>40165</v>
      </c>
      <c r="BI1365" s="355">
        <v>0.105236</v>
      </c>
      <c r="BJ1365" s="624">
        <v>40164</v>
      </c>
      <c r="BK1365" s="355">
        <v>3.0092000000000001E-2</v>
      </c>
    </row>
    <row r="1366" spans="3:63">
      <c r="C1366" s="624"/>
      <c r="D1366" s="355">
        <v>3.2770000000000001E-2</v>
      </c>
      <c r="AV1366" s="624"/>
      <c r="AX1366" s="624">
        <v>40169</v>
      </c>
      <c r="AY1366" s="355">
        <v>3.2739999999999998E-2</v>
      </c>
      <c r="AZ1366" s="624">
        <v>40235</v>
      </c>
      <c r="BA1366" s="355">
        <v>1.3599999999999999E-2</v>
      </c>
      <c r="BB1366" s="624">
        <v>40165</v>
      </c>
      <c r="BC1366" s="355">
        <v>0.34129999999999999</v>
      </c>
      <c r="BD1366" s="624">
        <v>40168</v>
      </c>
      <c r="BE1366" s="355">
        <v>8.448E-2</v>
      </c>
      <c r="BF1366" s="624">
        <v>40227</v>
      </c>
      <c r="BG1366" s="355">
        <v>2.1610000000000001E-2</v>
      </c>
      <c r="BH1366" s="624">
        <v>40168</v>
      </c>
      <c r="BI1366" s="355">
        <v>0.105402</v>
      </c>
      <c r="BJ1366" s="624">
        <v>40165</v>
      </c>
      <c r="BK1366" s="355">
        <v>3.0161E-2</v>
      </c>
    </row>
    <row r="1367" spans="3:63">
      <c r="C1367" s="624"/>
      <c r="D1367" s="355">
        <v>3.2739999999999998E-2</v>
      </c>
      <c r="AV1367" s="624"/>
      <c r="AX1367" s="624">
        <v>40170</v>
      </c>
      <c r="AY1367" s="355">
        <v>3.3180000000000001E-2</v>
      </c>
      <c r="AZ1367" s="624">
        <v>40238</v>
      </c>
      <c r="BA1367" s="355">
        <v>1.3599999999999999E-2</v>
      </c>
      <c r="BB1367" s="624">
        <v>40168</v>
      </c>
      <c r="BC1367" s="355">
        <v>0.34010000000000001</v>
      </c>
      <c r="BD1367" s="624">
        <v>40169</v>
      </c>
      <c r="BE1367" s="355">
        <v>8.4669999999999995E-2</v>
      </c>
      <c r="BF1367" s="624">
        <v>40228</v>
      </c>
      <c r="BG1367" s="355">
        <v>2.1597999999999999E-2</v>
      </c>
      <c r="BH1367" s="624">
        <v>40169</v>
      </c>
      <c r="BI1367" s="355">
        <v>0.10543</v>
      </c>
      <c r="BJ1367" s="624">
        <v>40168</v>
      </c>
      <c r="BK1367" s="355">
        <v>3.0068000000000001E-2</v>
      </c>
    </row>
    <row r="1368" spans="3:63">
      <c r="C1368" s="624"/>
      <c r="D1368" s="355">
        <v>3.3180000000000001E-2</v>
      </c>
      <c r="AV1368" s="624"/>
      <c r="AX1368" s="624">
        <v>40171</v>
      </c>
      <c r="AY1368" s="355">
        <v>3.3759999999999998E-2</v>
      </c>
      <c r="AZ1368" s="624">
        <v>40239</v>
      </c>
      <c r="BA1368" s="355">
        <v>1.3599999999999999E-2</v>
      </c>
      <c r="BB1368" s="624">
        <v>40169</v>
      </c>
      <c r="BC1368" s="355">
        <v>0.3417</v>
      </c>
      <c r="BD1368" s="624">
        <v>40170</v>
      </c>
      <c r="BE1368" s="355">
        <v>8.4669999999999995E-2</v>
      </c>
      <c r="BF1368" s="624">
        <v>40231</v>
      </c>
      <c r="BG1368" s="355">
        <v>2.1684999999999999E-2</v>
      </c>
      <c r="BH1368" s="624">
        <v>40170</v>
      </c>
      <c r="BI1368" s="355">
        <v>0.105263</v>
      </c>
      <c r="BJ1368" s="624">
        <v>40169</v>
      </c>
      <c r="BK1368" s="355">
        <v>3.0071000000000001E-2</v>
      </c>
    </row>
    <row r="1369" spans="3:63">
      <c r="C1369" s="624"/>
      <c r="D1369" s="355">
        <v>3.3759999999999998E-2</v>
      </c>
      <c r="AV1369" s="624"/>
      <c r="AX1369" s="624">
        <v>40172</v>
      </c>
      <c r="AY1369" s="355">
        <v>3.3820000000000003E-2</v>
      </c>
      <c r="AZ1369" s="624">
        <v>40240</v>
      </c>
      <c r="BA1369" s="355">
        <v>1.37E-2</v>
      </c>
      <c r="BB1369" s="624">
        <v>40170</v>
      </c>
      <c r="BC1369" s="355">
        <v>0.34470000000000001</v>
      </c>
      <c r="BD1369" s="624">
        <v>40171</v>
      </c>
      <c r="BE1369" s="355">
        <v>8.4970000000000004E-2</v>
      </c>
      <c r="BF1369" s="624">
        <v>40232</v>
      </c>
      <c r="BG1369" s="355">
        <v>2.1610000000000001E-2</v>
      </c>
      <c r="BH1369" s="624">
        <v>40171</v>
      </c>
      <c r="BI1369" s="355">
        <v>0.105541</v>
      </c>
      <c r="BJ1369" s="624">
        <v>40170</v>
      </c>
      <c r="BK1369" s="355">
        <v>2.9991E-2</v>
      </c>
    </row>
    <row r="1370" spans="3:63">
      <c r="C1370" s="624"/>
      <c r="D1370" s="355">
        <v>3.3820000000000003E-2</v>
      </c>
      <c r="AV1370" s="624"/>
      <c r="AX1370" s="624">
        <v>40175</v>
      </c>
      <c r="AY1370" s="355">
        <v>3.3649999999999999E-2</v>
      </c>
      <c r="AZ1370" s="624">
        <v>40241</v>
      </c>
      <c r="BA1370" s="355">
        <v>1.3599999999999999E-2</v>
      </c>
      <c r="BB1370" s="624">
        <v>40171</v>
      </c>
      <c r="BC1370" s="355">
        <v>0.34710000000000002</v>
      </c>
      <c r="BD1370" s="624">
        <v>40172</v>
      </c>
      <c r="BE1370" s="355">
        <v>8.5139999999999993E-2</v>
      </c>
      <c r="BF1370" s="624">
        <v>40233</v>
      </c>
      <c r="BG1370" s="355">
        <v>2.1583999999999999E-2</v>
      </c>
      <c r="BH1370" s="624">
        <v>40172</v>
      </c>
      <c r="BI1370" s="355">
        <v>0.105513</v>
      </c>
      <c r="BJ1370" s="624">
        <v>40171</v>
      </c>
      <c r="BK1370" s="355">
        <v>3.0002999999999998E-2</v>
      </c>
    </row>
    <row r="1371" spans="3:63">
      <c r="C1371" s="624"/>
      <c r="D1371" s="355">
        <v>3.3649999999999999E-2</v>
      </c>
      <c r="AV1371" s="624"/>
      <c r="AX1371" s="624">
        <v>40176</v>
      </c>
      <c r="AY1371" s="355">
        <v>3.3160000000000002E-2</v>
      </c>
      <c r="AZ1371" s="624">
        <v>40242</v>
      </c>
      <c r="BA1371" s="355">
        <v>1.3599999999999999E-2</v>
      </c>
      <c r="BB1371" s="624">
        <v>40172</v>
      </c>
      <c r="BC1371" s="355">
        <v>0.34689999999999999</v>
      </c>
      <c r="BD1371" s="624">
        <v>40175</v>
      </c>
      <c r="BE1371" s="355">
        <v>8.5500000000000007E-2</v>
      </c>
      <c r="BF1371" s="624">
        <v>40234</v>
      </c>
      <c r="BG1371" s="355">
        <v>2.1562999999999999E-2</v>
      </c>
      <c r="BH1371" s="624">
        <v>40175</v>
      </c>
      <c r="BI1371" s="355">
        <v>0.10582</v>
      </c>
      <c r="BJ1371" s="624">
        <v>40172</v>
      </c>
      <c r="BK1371" s="355">
        <v>2.9989999999999999E-2</v>
      </c>
    </row>
    <row r="1372" spans="3:63">
      <c r="C1372" s="624"/>
      <c r="D1372" s="355">
        <v>3.3160000000000002E-2</v>
      </c>
      <c r="AV1372" s="624"/>
      <c r="AX1372" s="624">
        <v>40177</v>
      </c>
      <c r="AY1372" s="355">
        <v>3.2989999999999998E-2</v>
      </c>
      <c r="AZ1372" s="624">
        <v>40245</v>
      </c>
      <c r="BA1372" s="355">
        <v>1.3599999999999999E-2</v>
      </c>
      <c r="BB1372" s="624">
        <v>40175</v>
      </c>
      <c r="BC1372" s="355">
        <v>0.34520000000000001</v>
      </c>
      <c r="BD1372" s="624">
        <v>40176</v>
      </c>
      <c r="BE1372" s="355">
        <v>8.5709999999999995E-2</v>
      </c>
      <c r="BF1372" s="624">
        <v>40235</v>
      </c>
      <c r="BG1372" s="355">
        <v>2.1697999999999999E-2</v>
      </c>
      <c r="BH1372" s="624">
        <v>40176</v>
      </c>
      <c r="BI1372" s="355">
        <v>0.106005</v>
      </c>
      <c r="BJ1372" s="624">
        <v>40175</v>
      </c>
      <c r="BK1372" s="355">
        <v>2.9968999999999999E-2</v>
      </c>
    </row>
    <row r="1373" spans="3:63">
      <c r="C1373" s="624"/>
      <c r="D1373" s="355">
        <v>3.2989999999999998E-2</v>
      </c>
      <c r="AV1373" s="624"/>
      <c r="AX1373" s="624">
        <v>40178</v>
      </c>
      <c r="AY1373" s="355">
        <v>3.329E-2</v>
      </c>
      <c r="AZ1373" s="624">
        <v>40246</v>
      </c>
      <c r="BA1373" s="355">
        <v>1.3599999999999999E-2</v>
      </c>
      <c r="BB1373" s="624">
        <v>40176</v>
      </c>
      <c r="BC1373" s="355">
        <v>0.34699999999999998</v>
      </c>
      <c r="BD1373" s="624">
        <v>40177</v>
      </c>
      <c r="BE1373" s="355">
        <v>8.5800000000000001E-2</v>
      </c>
      <c r="BF1373" s="624">
        <v>40238</v>
      </c>
      <c r="BG1373" s="355">
        <v>2.1718000000000001E-2</v>
      </c>
      <c r="BH1373" s="624">
        <v>40177</v>
      </c>
      <c r="BI1373" s="355">
        <v>0.105989</v>
      </c>
      <c r="BJ1373" s="624">
        <v>40176</v>
      </c>
      <c r="BK1373" s="355">
        <v>2.9999000000000001E-2</v>
      </c>
    </row>
    <row r="1374" spans="3:63">
      <c r="C1374" s="624"/>
      <c r="D1374" s="355">
        <v>3.329E-2</v>
      </c>
      <c r="AV1374" s="624"/>
      <c r="AX1374" s="624">
        <v>40182</v>
      </c>
      <c r="AY1374" s="355">
        <v>3.322E-2</v>
      </c>
      <c r="AZ1374" s="624">
        <v>40247</v>
      </c>
      <c r="BA1374" s="355">
        <v>1.37E-2</v>
      </c>
      <c r="BB1374" s="624">
        <v>40177</v>
      </c>
      <c r="BC1374" s="355">
        <v>0.34689999999999999</v>
      </c>
      <c r="BD1374" s="624">
        <v>40178</v>
      </c>
      <c r="BE1374" s="355">
        <v>8.5860000000000006E-2</v>
      </c>
      <c r="BF1374" s="624">
        <v>40239</v>
      </c>
      <c r="BG1374" s="355">
        <v>2.1774999999999999E-2</v>
      </c>
      <c r="BH1374" s="624">
        <v>40178</v>
      </c>
      <c r="BI1374" s="355">
        <v>0.10649599999999999</v>
      </c>
      <c r="BJ1374" s="624">
        <v>40177</v>
      </c>
      <c r="BK1374" s="355">
        <v>2.9981000000000001E-2</v>
      </c>
    </row>
    <row r="1375" spans="3:63">
      <c r="C1375" s="624"/>
      <c r="D1375" s="355">
        <v>3.322E-2</v>
      </c>
      <c r="AV1375" s="624"/>
      <c r="AX1375" s="624">
        <v>40183</v>
      </c>
      <c r="AY1375" s="355">
        <v>3.3590000000000002E-2</v>
      </c>
      <c r="AZ1375" s="624">
        <v>40248</v>
      </c>
      <c r="BA1375" s="355">
        <v>1.37E-2</v>
      </c>
      <c r="BB1375" s="624">
        <v>40178</v>
      </c>
      <c r="BC1375" s="355">
        <v>0.34910000000000002</v>
      </c>
      <c r="BD1375" s="624">
        <v>40179</v>
      </c>
      <c r="BE1375" s="355">
        <v>8.6239999999999997E-2</v>
      </c>
      <c r="BF1375" s="624">
        <v>40240</v>
      </c>
      <c r="BG1375" s="355">
        <v>2.1881999999999999E-2</v>
      </c>
      <c r="BH1375" s="624">
        <v>40179</v>
      </c>
      <c r="BI1375" s="355">
        <v>0.10655299999999999</v>
      </c>
      <c r="BJ1375" s="624">
        <v>40178</v>
      </c>
      <c r="BK1375" s="355">
        <v>2.9968999999999999E-2</v>
      </c>
    </row>
    <row r="1376" spans="3:63">
      <c r="C1376" s="624"/>
      <c r="D1376" s="355">
        <v>3.3590000000000002E-2</v>
      </c>
      <c r="AV1376" s="624"/>
      <c r="AX1376" s="624">
        <v>40184</v>
      </c>
      <c r="AY1376" s="355">
        <v>3.3649999999999999E-2</v>
      </c>
      <c r="AZ1376" s="624">
        <v>40249</v>
      </c>
      <c r="BA1376" s="355">
        <v>1.38E-2</v>
      </c>
      <c r="BB1376" s="624">
        <v>40182</v>
      </c>
      <c r="BC1376" s="355">
        <v>0.35310000000000002</v>
      </c>
      <c r="BD1376" s="624">
        <v>40182</v>
      </c>
      <c r="BE1376" s="355">
        <v>8.6929999999999993E-2</v>
      </c>
      <c r="BF1376" s="624">
        <v>40241</v>
      </c>
      <c r="BG1376" s="355">
        <v>2.1832000000000001E-2</v>
      </c>
      <c r="BH1376" s="624">
        <v>40182</v>
      </c>
      <c r="BI1376" s="355">
        <v>0.106542</v>
      </c>
      <c r="BJ1376" s="624">
        <v>40179</v>
      </c>
      <c r="BK1376" s="355">
        <v>2.9994E-2</v>
      </c>
    </row>
    <row r="1377" spans="3:63">
      <c r="C1377" s="624"/>
      <c r="D1377" s="355">
        <v>3.3649999999999999E-2</v>
      </c>
      <c r="AV1377" s="624"/>
      <c r="AX1377" s="624">
        <v>40185</v>
      </c>
      <c r="AY1377" s="355">
        <v>3.3590000000000002E-2</v>
      </c>
      <c r="AZ1377" s="624">
        <v>40252</v>
      </c>
      <c r="BA1377" s="355">
        <v>1.37E-2</v>
      </c>
      <c r="BB1377" s="624">
        <v>40183</v>
      </c>
      <c r="BC1377" s="355">
        <v>0.35099999999999998</v>
      </c>
      <c r="BD1377" s="624">
        <v>40183</v>
      </c>
      <c r="BE1377" s="355">
        <v>8.7690000000000004E-2</v>
      </c>
      <c r="BF1377" s="624">
        <v>40242</v>
      </c>
      <c r="BG1377" s="355">
        <v>2.1925E-2</v>
      </c>
      <c r="BH1377" s="624">
        <v>40183</v>
      </c>
      <c r="BI1377" s="355">
        <v>0.107394</v>
      </c>
      <c r="BJ1377" s="624">
        <v>40182</v>
      </c>
      <c r="BK1377" s="355">
        <v>3.0091E-2</v>
      </c>
    </row>
    <row r="1378" spans="3:63">
      <c r="C1378" s="624"/>
      <c r="D1378" s="355">
        <v>3.3590000000000002E-2</v>
      </c>
      <c r="AV1378" s="624"/>
      <c r="AX1378" s="624">
        <v>40189</v>
      </c>
      <c r="AY1378" s="355">
        <v>3.4099999999999998E-2</v>
      </c>
      <c r="AZ1378" s="624">
        <v>40253</v>
      </c>
      <c r="BA1378" s="355">
        <v>1.38E-2</v>
      </c>
      <c r="BB1378" s="624">
        <v>40184</v>
      </c>
      <c r="BC1378" s="355">
        <v>0.35220000000000001</v>
      </c>
      <c r="BD1378" s="624">
        <v>40184</v>
      </c>
      <c r="BE1378" s="355">
        <v>8.8480000000000003E-2</v>
      </c>
      <c r="BF1378" s="624">
        <v>40245</v>
      </c>
      <c r="BG1378" s="355">
        <v>2.1968000000000001E-2</v>
      </c>
      <c r="BH1378" s="624">
        <v>40184</v>
      </c>
      <c r="BI1378" s="355">
        <v>0.10839500000000001</v>
      </c>
      <c r="BJ1378" s="624">
        <v>40183</v>
      </c>
      <c r="BK1378" s="355">
        <v>3.0151000000000001E-2</v>
      </c>
    </row>
    <row r="1379" spans="3:63">
      <c r="C1379" s="624"/>
      <c r="D1379" s="355">
        <v>3.4099999999999998E-2</v>
      </c>
      <c r="AV1379" s="624"/>
      <c r="AX1379" s="624">
        <v>40190</v>
      </c>
      <c r="AY1379" s="355">
        <v>3.3869999999999997E-2</v>
      </c>
      <c r="AZ1379" s="624">
        <v>40254</v>
      </c>
      <c r="BA1379" s="355">
        <v>1.38E-2</v>
      </c>
      <c r="BB1379" s="624">
        <v>40185</v>
      </c>
      <c r="BC1379" s="355">
        <v>0.3483</v>
      </c>
      <c r="BD1379" s="624">
        <v>40185</v>
      </c>
      <c r="BE1379" s="355">
        <v>8.7870000000000004E-2</v>
      </c>
      <c r="BF1379" s="624">
        <v>40246</v>
      </c>
      <c r="BG1379" s="355">
        <v>2.1947000000000001E-2</v>
      </c>
      <c r="BH1379" s="624">
        <v>40185</v>
      </c>
      <c r="BI1379" s="355">
        <v>0.10771799999999999</v>
      </c>
      <c r="BJ1379" s="624">
        <v>40184</v>
      </c>
      <c r="BK1379" s="355">
        <v>3.0172999999999998E-2</v>
      </c>
    </row>
    <row r="1380" spans="3:63">
      <c r="C1380" s="624"/>
      <c r="D1380" s="355">
        <v>3.3869999999999997E-2</v>
      </c>
      <c r="AV1380" s="624"/>
      <c r="AX1380" s="624">
        <v>40191</v>
      </c>
      <c r="AY1380" s="355">
        <v>3.3829999999999999E-2</v>
      </c>
      <c r="AZ1380" s="624">
        <v>40255</v>
      </c>
      <c r="BA1380" s="355">
        <v>1.3599999999999999E-2</v>
      </c>
      <c r="BB1380" s="624">
        <v>40186</v>
      </c>
      <c r="BC1380" s="355">
        <v>0.35460000000000003</v>
      </c>
      <c r="BD1380" s="624">
        <v>40186</v>
      </c>
      <c r="BE1380" s="355">
        <v>8.8929999999999995E-2</v>
      </c>
      <c r="BF1380" s="624">
        <v>40247</v>
      </c>
      <c r="BG1380" s="355">
        <v>2.2041000000000002E-2</v>
      </c>
      <c r="BH1380" s="624">
        <v>40186</v>
      </c>
      <c r="BI1380" s="355">
        <v>0.108501</v>
      </c>
      <c r="BJ1380" s="624">
        <v>40185</v>
      </c>
      <c r="BK1380" s="355">
        <v>3.0169999999999999E-2</v>
      </c>
    </row>
    <row r="1381" spans="3:63">
      <c r="C1381" s="624"/>
      <c r="D1381" s="355">
        <v>3.3829999999999999E-2</v>
      </c>
      <c r="AV1381" s="624"/>
      <c r="AX1381" s="624">
        <v>40192</v>
      </c>
      <c r="AY1381" s="355">
        <v>3.3959999999999997E-2</v>
      </c>
      <c r="AZ1381" s="624">
        <v>40256</v>
      </c>
      <c r="BA1381" s="355">
        <v>1.3599999999999999E-2</v>
      </c>
      <c r="BB1381" s="624">
        <v>40189</v>
      </c>
      <c r="BC1381" s="355">
        <v>0.35680000000000001</v>
      </c>
      <c r="BD1381" s="624">
        <v>40189</v>
      </c>
      <c r="BE1381" s="355">
        <v>8.9279999999999998E-2</v>
      </c>
      <c r="BF1381" s="624">
        <v>40248</v>
      </c>
      <c r="BG1381" s="355">
        <v>2.1923999999999999E-2</v>
      </c>
      <c r="BH1381" s="624">
        <v>40189</v>
      </c>
      <c r="BI1381" s="355">
        <v>0.109212</v>
      </c>
      <c r="BJ1381" s="624">
        <v>40186</v>
      </c>
      <c r="BK1381" s="355">
        <v>3.0204999999999999E-2</v>
      </c>
    </row>
    <row r="1382" spans="3:63">
      <c r="C1382" s="624"/>
      <c r="D1382" s="355">
        <v>3.3959999999999997E-2</v>
      </c>
      <c r="AV1382" s="624"/>
      <c r="AX1382" s="624">
        <v>40193</v>
      </c>
      <c r="AY1382" s="355">
        <v>3.3840000000000002E-2</v>
      </c>
      <c r="AZ1382" s="624">
        <v>40259</v>
      </c>
      <c r="BA1382" s="355">
        <v>1.3599999999999999E-2</v>
      </c>
      <c r="BB1382" s="624">
        <v>40190</v>
      </c>
      <c r="BC1382" s="355">
        <v>0.35549999999999998</v>
      </c>
      <c r="BD1382" s="624">
        <v>40190</v>
      </c>
      <c r="BE1382" s="355">
        <v>8.899E-2</v>
      </c>
      <c r="BF1382" s="624">
        <v>40249</v>
      </c>
      <c r="BG1382" s="355">
        <v>2.2006999999999999E-2</v>
      </c>
      <c r="BH1382" s="624">
        <v>40190</v>
      </c>
      <c r="BI1382" s="355">
        <v>0.109051</v>
      </c>
      <c r="BJ1382" s="624">
        <v>40189</v>
      </c>
      <c r="BK1382" s="355">
        <v>3.0256999999999999E-2</v>
      </c>
    </row>
    <row r="1383" spans="3:63">
      <c r="C1383" s="624"/>
      <c r="D1383" s="355">
        <v>3.3840000000000002E-2</v>
      </c>
      <c r="AV1383" s="624"/>
      <c r="AX1383" s="624">
        <v>40196</v>
      </c>
      <c r="AY1383" s="355">
        <v>3.3779999999999998E-2</v>
      </c>
      <c r="AZ1383" s="624">
        <v>40260</v>
      </c>
      <c r="BA1383" s="355">
        <v>1.35E-2</v>
      </c>
      <c r="BB1383" s="624">
        <v>40191</v>
      </c>
      <c r="BC1383" s="355">
        <v>0.35799999999999998</v>
      </c>
      <c r="BD1383" s="624">
        <v>40191</v>
      </c>
      <c r="BE1383" s="355">
        <v>8.9109999999999995E-2</v>
      </c>
      <c r="BF1383" s="624">
        <v>40252</v>
      </c>
      <c r="BG1383" s="355">
        <v>2.1939E-2</v>
      </c>
      <c r="BH1383" s="624">
        <v>40191</v>
      </c>
      <c r="BI1383" s="355">
        <v>0.109212</v>
      </c>
      <c r="BJ1383" s="624">
        <v>40190</v>
      </c>
      <c r="BK1383" s="355">
        <v>3.0256999999999999E-2</v>
      </c>
    </row>
    <row r="1384" spans="3:63">
      <c r="C1384" s="624"/>
      <c r="D1384" s="355">
        <v>3.3779999999999998E-2</v>
      </c>
      <c r="AV1384" s="624"/>
      <c r="AX1384" s="624">
        <v>40197</v>
      </c>
      <c r="AY1384" s="355">
        <v>3.3770000000000001E-2</v>
      </c>
      <c r="AZ1384" s="624">
        <v>40261</v>
      </c>
      <c r="BA1384" s="355">
        <v>1.3299999999999999E-2</v>
      </c>
      <c r="BB1384" s="624">
        <v>40192</v>
      </c>
      <c r="BC1384" s="355">
        <v>0.35849999999999999</v>
      </c>
      <c r="BD1384" s="624">
        <v>40192</v>
      </c>
      <c r="BE1384" s="355">
        <v>8.9050000000000004E-2</v>
      </c>
      <c r="BF1384" s="624">
        <v>40254</v>
      </c>
      <c r="BG1384" s="355">
        <v>2.2046E-2</v>
      </c>
      <c r="BH1384" s="624">
        <v>40192</v>
      </c>
      <c r="BI1384" s="355">
        <v>0.10915900000000001</v>
      </c>
      <c r="BJ1384" s="624">
        <v>40191</v>
      </c>
      <c r="BK1384" s="355">
        <v>3.0280000000000001E-2</v>
      </c>
    </row>
    <row r="1385" spans="3:63">
      <c r="C1385" s="624"/>
      <c r="D1385" s="355">
        <v>3.3770000000000001E-2</v>
      </c>
      <c r="AV1385" s="624"/>
      <c r="AX1385" s="624">
        <v>40198</v>
      </c>
      <c r="AY1385" s="355">
        <v>3.3599999999999998E-2</v>
      </c>
      <c r="AZ1385" s="624">
        <v>40262</v>
      </c>
      <c r="BA1385" s="355">
        <v>1.3299999999999999E-2</v>
      </c>
      <c r="BB1385" s="624">
        <v>40193</v>
      </c>
      <c r="BC1385" s="355">
        <v>0.35510000000000003</v>
      </c>
      <c r="BD1385" s="624">
        <v>40193</v>
      </c>
      <c r="BE1385" s="355">
        <v>8.9039999999999994E-2</v>
      </c>
      <c r="BF1385" s="624">
        <v>40255</v>
      </c>
      <c r="BG1385" s="355">
        <v>2.2019E-2</v>
      </c>
      <c r="BH1385" s="624">
        <v>40193</v>
      </c>
      <c r="BI1385" s="355">
        <v>0.108255</v>
      </c>
      <c r="BJ1385" s="624">
        <v>40192</v>
      </c>
      <c r="BK1385" s="355">
        <v>3.0440999999999999E-2</v>
      </c>
    </row>
    <row r="1386" spans="3:63">
      <c r="C1386" s="624"/>
      <c r="D1386" s="355">
        <v>3.3599999999999998E-2</v>
      </c>
      <c r="AV1386" s="624"/>
      <c r="AX1386" s="624">
        <v>40199</v>
      </c>
      <c r="AY1386" s="355">
        <v>3.3590000000000002E-2</v>
      </c>
      <c r="AZ1386" s="624">
        <v>40263</v>
      </c>
      <c r="BA1386" s="355">
        <v>1.34E-2</v>
      </c>
      <c r="BB1386" s="624">
        <v>40196</v>
      </c>
      <c r="BC1386" s="355">
        <v>0.3579</v>
      </c>
      <c r="BD1386" s="624">
        <v>40196</v>
      </c>
      <c r="BE1386" s="355">
        <v>8.8919999999999999E-2</v>
      </c>
      <c r="BF1386" s="624">
        <v>40256</v>
      </c>
      <c r="BG1386" s="355">
        <v>2.1977E-2</v>
      </c>
      <c r="BH1386" s="624">
        <v>40196</v>
      </c>
      <c r="BI1386" s="355">
        <v>0.108372</v>
      </c>
      <c r="BJ1386" s="624">
        <v>40193</v>
      </c>
      <c r="BK1386" s="355">
        <v>3.0414E-2</v>
      </c>
    </row>
    <row r="1387" spans="3:63">
      <c r="C1387" s="624"/>
      <c r="D1387" s="355">
        <v>3.3590000000000002E-2</v>
      </c>
      <c r="AV1387" s="624"/>
      <c r="AX1387" s="624">
        <v>40200</v>
      </c>
      <c r="AY1387" s="355">
        <v>3.3480000000000003E-2</v>
      </c>
      <c r="AZ1387" s="624">
        <v>40266</v>
      </c>
      <c r="BA1387" s="355">
        <v>1.35E-2</v>
      </c>
      <c r="BB1387" s="624">
        <v>40197</v>
      </c>
      <c r="BC1387" s="355">
        <v>0.35680000000000001</v>
      </c>
      <c r="BD1387" s="624">
        <v>40197</v>
      </c>
      <c r="BE1387" s="355">
        <v>8.8650000000000007E-2</v>
      </c>
      <c r="BF1387" s="624">
        <v>40259</v>
      </c>
      <c r="BG1387" s="355">
        <v>2.198E-2</v>
      </c>
      <c r="BH1387" s="624">
        <v>40197</v>
      </c>
      <c r="BI1387" s="355">
        <v>0.10828400000000001</v>
      </c>
      <c r="BJ1387" s="624">
        <v>40196</v>
      </c>
      <c r="BK1387" s="355">
        <v>3.0436999999999999E-2</v>
      </c>
    </row>
    <row r="1388" spans="3:63">
      <c r="C1388" s="624"/>
      <c r="D1388" s="355">
        <v>3.3480000000000003E-2</v>
      </c>
      <c r="AV1388" s="624"/>
      <c r="AX1388" s="624">
        <v>40203</v>
      </c>
      <c r="AY1388" s="355">
        <v>3.3210000000000003E-2</v>
      </c>
      <c r="AZ1388" s="624">
        <v>40267</v>
      </c>
      <c r="BA1388" s="355">
        <v>1.34E-2</v>
      </c>
      <c r="BB1388" s="624">
        <v>40198</v>
      </c>
      <c r="BC1388" s="355">
        <v>0.34820000000000001</v>
      </c>
      <c r="BD1388" s="624">
        <v>40198</v>
      </c>
      <c r="BE1388" s="355">
        <v>8.7840000000000001E-2</v>
      </c>
      <c r="BF1388" s="624">
        <v>40260</v>
      </c>
      <c r="BG1388" s="355">
        <v>2.2013999999999999E-2</v>
      </c>
      <c r="BH1388" s="624">
        <v>40198</v>
      </c>
      <c r="BI1388" s="355">
        <v>0.107469</v>
      </c>
      <c r="BJ1388" s="624">
        <v>40197</v>
      </c>
      <c r="BK1388" s="355">
        <v>3.0432000000000001E-2</v>
      </c>
    </row>
    <row r="1389" spans="3:63">
      <c r="C1389" s="624"/>
      <c r="D1389" s="355">
        <v>3.3210000000000003E-2</v>
      </c>
      <c r="AV1389" s="624"/>
      <c r="AX1389" s="624">
        <v>40204</v>
      </c>
      <c r="AY1389" s="355">
        <v>3.2960000000000003E-2</v>
      </c>
      <c r="AZ1389" s="624">
        <v>40268</v>
      </c>
      <c r="BA1389" s="355">
        <v>1.35E-2</v>
      </c>
      <c r="BB1389" s="624">
        <v>40199</v>
      </c>
      <c r="BC1389" s="355">
        <v>0.34399999999999997</v>
      </c>
      <c r="BD1389" s="624">
        <v>40199</v>
      </c>
      <c r="BE1389" s="355">
        <v>8.7209999999999996E-2</v>
      </c>
      <c r="BF1389" s="624">
        <v>40262</v>
      </c>
      <c r="BG1389" s="355">
        <v>2.1985000000000001E-2</v>
      </c>
      <c r="BH1389" s="624">
        <v>40199</v>
      </c>
      <c r="BI1389" s="355">
        <v>0.10770100000000001</v>
      </c>
      <c r="BJ1389" s="624">
        <v>40198</v>
      </c>
      <c r="BK1389" s="355">
        <v>3.0335000000000001E-2</v>
      </c>
    </row>
    <row r="1390" spans="3:63">
      <c r="C1390" s="624"/>
      <c r="D1390" s="355">
        <v>3.2960000000000003E-2</v>
      </c>
      <c r="AV1390" s="624"/>
      <c r="AX1390" s="624">
        <v>40205</v>
      </c>
      <c r="AY1390" s="355">
        <v>3.2980000000000002E-2</v>
      </c>
      <c r="AZ1390" s="624">
        <v>40269</v>
      </c>
      <c r="BA1390" s="355">
        <v>1.3599999999999999E-2</v>
      </c>
      <c r="BB1390" s="624">
        <v>40200</v>
      </c>
      <c r="BC1390" s="355">
        <v>0.34560000000000002</v>
      </c>
      <c r="BD1390" s="624">
        <v>40200</v>
      </c>
      <c r="BE1390" s="355">
        <v>8.6929999999999993E-2</v>
      </c>
      <c r="BF1390" s="624">
        <v>40263</v>
      </c>
      <c r="BG1390" s="355">
        <v>2.2099000000000001E-2</v>
      </c>
      <c r="BH1390" s="624">
        <v>40200</v>
      </c>
      <c r="BI1390" s="355">
        <v>0.10706599999999999</v>
      </c>
      <c r="BJ1390" s="624">
        <v>40199</v>
      </c>
      <c r="BK1390" s="355">
        <v>3.0325999999999999E-2</v>
      </c>
    </row>
    <row r="1391" spans="3:63">
      <c r="C1391" s="624"/>
      <c r="D1391" s="355">
        <v>3.2980000000000002E-2</v>
      </c>
      <c r="AV1391" s="624"/>
      <c r="AX1391" s="624">
        <v>40206</v>
      </c>
      <c r="AY1391" s="355">
        <v>3.2939999999999997E-2</v>
      </c>
      <c r="AZ1391" s="624">
        <v>40270</v>
      </c>
      <c r="BA1391" s="355">
        <v>1.35E-2</v>
      </c>
      <c r="BB1391" s="624">
        <v>40203</v>
      </c>
      <c r="BC1391" s="355">
        <v>0.34760000000000002</v>
      </c>
      <c r="BD1391" s="624">
        <v>40203</v>
      </c>
      <c r="BE1391" s="355">
        <v>8.7239999999999998E-2</v>
      </c>
      <c r="BF1391" s="624">
        <v>40266</v>
      </c>
      <c r="BG1391" s="355">
        <v>2.2273999999999999E-2</v>
      </c>
      <c r="BH1391" s="624">
        <v>40203</v>
      </c>
      <c r="BI1391" s="355">
        <v>0.107377</v>
      </c>
      <c r="BJ1391" s="624">
        <v>40200</v>
      </c>
      <c r="BK1391" s="355">
        <v>3.0266000000000001E-2</v>
      </c>
    </row>
    <row r="1392" spans="3:63">
      <c r="C1392" s="624"/>
      <c r="D1392" s="355">
        <v>3.2939999999999997E-2</v>
      </c>
      <c r="AV1392" s="624"/>
      <c r="AX1392" s="624">
        <v>40207</v>
      </c>
      <c r="AY1392" s="355">
        <v>3.2919999999999998E-2</v>
      </c>
      <c r="AZ1392" s="624">
        <v>40273</v>
      </c>
      <c r="BA1392" s="355">
        <v>1.3599999999999999E-2</v>
      </c>
      <c r="BB1392" s="624">
        <v>40204</v>
      </c>
      <c r="BC1392" s="355">
        <v>0.34510000000000002</v>
      </c>
      <c r="BD1392" s="624">
        <v>40204</v>
      </c>
      <c r="BE1392" s="355">
        <v>8.6220000000000005E-2</v>
      </c>
      <c r="BF1392" s="624">
        <v>40267</v>
      </c>
      <c r="BG1392" s="355">
        <v>2.2178E-2</v>
      </c>
      <c r="BH1392" s="624">
        <v>40204</v>
      </c>
      <c r="BI1392" s="355">
        <v>0.10661</v>
      </c>
      <c r="BJ1392" s="624">
        <v>40203</v>
      </c>
      <c r="BK1392" s="355">
        <v>3.0308000000000002E-2</v>
      </c>
    </row>
    <row r="1393" spans="3:63">
      <c r="C1393" s="624"/>
      <c r="D1393" s="355">
        <v>3.2919999999999998E-2</v>
      </c>
      <c r="AV1393" s="624"/>
      <c r="AX1393" s="624">
        <v>40210</v>
      </c>
      <c r="AY1393" s="355">
        <v>3.3009999999999998E-2</v>
      </c>
      <c r="AZ1393" s="624">
        <v>40274</v>
      </c>
      <c r="BA1393" s="355">
        <v>1.35E-2</v>
      </c>
      <c r="BB1393" s="624">
        <v>40205</v>
      </c>
      <c r="BC1393" s="355">
        <v>0.34260000000000002</v>
      </c>
      <c r="BD1393" s="624">
        <v>40205</v>
      </c>
      <c r="BE1393" s="355">
        <v>8.6199999999999999E-2</v>
      </c>
      <c r="BF1393" s="624">
        <v>40268</v>
      </c>
      <c r="BG1393" s="355">
        <v>2.2305999999999999E-2</v>
      </c>
      <c r="BH1393" s="624">
        <v>40205</v>
      </c>
      <c r="BI1393" s="355">
        <v>0.106276</v>
      </c>
      <c r="BJ1393" s="624">
        <v>40204</v>
      </c>
      <c r="BK1393" s="355">
        <v>3.0262000000000001E-2</v>
      </c>
    </row>
    <row r="1394" spans="3:63">
      <c r="C1394" s="624"/>
      <c r="D1394" s="355">
        <v>3.3009999999999998E-2</v>
      </c>
      <c r="AV1394" s="624"/>
      <c r="AX1394" s="624">
        <v>40211</v>
      </c>
      <c r="AY1394" s="355">
        <v>3.3230000000000003E-2</v>
      </c>
      <c r="AZ1394" s="624">
        <v>40275</v>
      </c>
      <c r="BA1394" s="355">
        <v>1.34E-2</v>
      </c>
      <c r="BB1394" s="624">
        <v>40206</v>
      </c>
      <c r="BC1394" s="355">
        <v>0.34250000000000003</v>
      </c>
      <c r="BD1394" s="624">
        <v>40206</v>
      </c>
      <c r="BE1394" s="355">
        <v>8.6679999999999993E-2</v>
      </c>
      <c r="BF1394" s="624">
        <v>40273</v>
      </c>
      <c r="BG1394" s="355">
        <v>2.2530000000000001E-2</v>
      </c>
      <c r="BH1394" s="624">
        <v>40206</v>
      </c>
      <c r="BI1394" s="355">
        <v>0.107268</v>
      </c>
      <c r="BJ1394" s="624">
        <v>40205</v>
      </c>
      <c r="BK1394" s="355">
        <v>3.0248000000000001E-2</v>
      </c>
    </row>
    <row r="1395" spans="3:63">
      <c r="C1395" s="624"/>
      <c r="D1395" s="355">
        <v>3.3230000000000003E-2</v>
      </c>
      <c r="AV1395" s="624"/>
      <c r="AX1395" s="624">
        <v>40212</v>
      </c>
      <c r="AY1395" s="355">
        <v>3.329E-2</v>
      </c>
      <c r="AZ1395" s="624">
        <v>40276</v>
      </c>
      <c r="BA1395" s="355">
        <v>1.34E-2</v>
      </c>
      <c r="BB1395" s="624">
        <v>40207</v>
      </c>
      <c r="BC1395" s="355">
        <v>0.34229999999999999</v>
      </c>
      <c r="BD1395" s="624">
        <v>40207</v>
      </c>
      <c r="BE1395" s="355">
        <v>8.6309999999999998E-2</v>
      </c>
      <c r="BF1395" s="624">
        <v>40274</v>
      </c>
      <c r="BG1395" s="355">
        <v>2.2487E-2</v>
      </c>
      <c r="BH1395" s="624">
        <v>40207</v>
      </c>
      <c r="BI1395" s="355">
        <v>0.106867</v>
      </c>
      <c r="BJ1395" s="624">
        <v>40206</v>
      </c>
      <c r="BK1395" s="355">
        <v>3.0197999999999999E-2</v>
      </c>
    </row>
    <row r="1396" spans="3:63">
      <c r="C1396" s="624"/>
      <c r="D1396" s="355">
        <v>3.329E-2</v>
      </c>
      <c r="AV1396" s="624"/>
      <c r="AX1396" s="624">
        <v>40213</v>
      </c>
      <c r="AY1396" s="355">
        <v>3.2800000000000003E-2</v>
      </c>
      <c r="AZ1396" s="624">
        <v>40277</v>
      </c>
      <c r="BA1396" s="355">
        <v>1.35E-2</v>
      </c>
      <c r="BB1396" s="624">
        <v>40210</v>
      </c>
      <c r="BC1396" s="355">
        <v>0.35010000000000002</v>
      </c>
      <c r="BD1396" s="624">
        <v>40210</v>
      </c>
      <c r="BE1396" s="355">
        <v>8.6220000000000005E-2</v>
      </c>
      <c r="BF1396" s="624">
        <v>40275</v>
      </c>
      <c r="BG1396" s="355">
        <v>2.2449E-2</v>
      </c>
      <c r="BH1396" s="624">
        <v>40210</v>
      </c>
      <c r="BI1396" s="355">
        <v>0.107997</v>
      </c>
      <c r="BJ1396" s="624">
        <v>40207</v>
      </c>
      <c r="BK1396" s="355">
        <v>3.0138999999999999E-2</v>
      </c>
    </row>
    <row r="1397" spans="3:63">
      <c r="C1397" s="624"/>
      <c r="D1397" s="355">
        <v>3.2800000000000003E-2</v>
      </c>
      <c r="AV1397" s="624"/>
      <c r="AX1397" s="624">
        <v>40214</v>
      </c>
      <c r="AY1397" s="355">
        <v>3.2779999999999997E-2</v>
      </c>
      <c r="AZ1397" s="624">
        <v>40280</v>
      </c>
      <c r="BA1397" s="355">
        <v>1.3599999999999999E-2</v>
      </c>
      <c r="BB1397" s="624">
        <v>40211</v>
      </c>
      <c r="BC1397" s="355">
        <v>0.3513</v>
      </c>
      <c r="BD1397" s="624">
        <v>40211</v>
      </c>
      <c r="BE1397" s="355">
        <v>8.6730000000000002E-2</v>
      </c>
      <c r="BF1397" s="624">
        <v>40276</v>
      </c>
      <c r="BG1397" s="355">
        <v>2.2540000000000001E-2</v>
      </c>
      <c r="BH1397" s="624">
        <v>40211</v>
      </c>
      <c r="BI1397" s="355">
        <v>0.106878</v>
      </c>
      <c r="BJ1397" s="624">
        <v>40210</v>
      </c>
      <c r="BK1397" s="355">
        <v>3.0183999999999999E-2</v>
      </c>
    </row>
    <row r="1398" spans="3:63">
      <c r="C1398" s="624"/>
      <c r="D1398" s="355">
        <v>3.2779999999999997E-2</v>
      </c>
      <c r="AV1398" s="624"/>
      <c r="AX1398" s="624">
        <v>40217</v>
      </c>
      <c r="AY1398" s="355">
        <v>3.2730000000000002E-2</v>
      </c>
      <c r="AZ1398" s="624">
        <v>40281</v>
      </c>
      <c r="BA1398" s="355">
        <v>1.3599999999999999E-2</v>
      </c>
      <c r="BB1398" s="624">
        <v>40212</v>
      </c>
      <c r="BC1398" s="355">
        <v>0.34710000000000002</v>
      </c>
      <c r="BD1398" s="624">
        <v>40212</v>
      </c>
      <c r="BE1398" s="355">
        <v>8.6800000000000002E-2</v>
      </c>
      <c r="BF1398" s="624">
        <v>40277</v>
      </c>
      <c r="BG1398" s="355">
        <v>2.2581E-2</v>
      </c>
      <c r="BH1398" s="624">
        <v>40212</v>
      </c>
      <c r="BI1398" s="355">
        <v>0.107654</v>
      </c>
      <c r="BJ1398" s="624">
        <v>40211</v>
      </c>
      <c r="BK1398" s="355">
        <v>3.0175E-2</v>
      </c>
    </row>
    <row r="1399" spans="3:63">
      <c r="C1399" s="624"/>
      <c r="D1399" s="355">
        <v>3.2730000000000002E-2</v>
      </c>
      <c r="AV1399" s="624"/>
      <c r="AX1399" s="624">
        <v>40218</v>
      </c>
      <c r="AY1399" s="355">
        <v>3.3070000000000002E-2</v>
      </c>
      <c r="AZ1399" s="624">
        <v>40282</v>
      </c>
      <c r="BA1399" s="355">
        <v>1.37E-2</v>
      </c>
      <c r="BB1399" s="624">
        <v>40213</v>
      </c>
      <c r="BC1399" s="355">
        <v>0.3367</v>
      </c>
      <c r="BD1399" s="624">
        <v>40213</v>
      </c>
      <c r="BE1399" s="355">
        <v>8.5070000000000007E-2</v>
      </c>
      <c r="BF1399" s="624">
        <v>40280</v>
      </c>
      <c r="BG1399" s="355">
        <v>2.2540000000000001E-2</v>
      </c>
      <c r="BH1399" s="624">
        <v>40213</v>
      </c>
      <c r="BI1399" s="355">
        <v>0.10700900000000001</v>
      </c>
      <c r="BJ1399" s="624">
        <v>40212</v>
      </c>
      <c r="BK1399" s="355">
        <v>3.0270999999999999E-2</v>
      </c>
    </row>
    <row r="1400" spans="3:63">
      <c r="C1400" s="624"/>
      <c r="D1400" s="355">
        <v>3.3070000000000002E-2</v>
      </c>
      <c r="AV1400" s="624"/>
      <c r="AX1400" s="624">
        <v>40219</v>
      </c>
      <c r="AY1400" s="355">
        <v>3.3000000000000002E-2</v>
      </c>
      <c r="AZ1400" s="624">
        <v>40283</v>
      </c>
      <c r="BA1400" s="355">
        <v>1.37E-2</v>
      </c>
      <c r="BB1400" s="624">
        <v>40214</v>
      </c>
      <c r="BC1400" s="355">
        <v>0.33379999999999999</v>
      </c>
      <c r="BD1400" s="624">
        <v>40214</v>
      </c>
      <c r="BE1400" s="355">
        <v>8.5059999999999997E-2</v>
      </c>
      <c r="BF1400" s="624">
        <v>40281</v>
      </c>
      <c r="BG1400" s="355">
        <v>2.2478000000000001E-2</v>
      </c>
      <c r="BH1400" s="624">
        <v>40214</v>
      </c>
      <c r="BI1400" s="355">
        <v>0.105848</v>
      </c>
      <c r="BJ1400" s="624">
        <v>40213</v>
      </c>
      <c r="BK1400" s="355">
        <v>3.0165999999999998E-2</v>
      </c>
    </row>
    <row r="1401" spans="3:63">
      <c r="C1401" s="624"/>
      <c r="D1401" s="355">
        <v>3.3000000000000002E-2</v>
      </c>
      <c r="AV1401" s="624"/>
      <c r="AX1401" s="624">
        <v>40220</v>
      </c>
      <c r="AY1401" s="355">
        <v>3.3180000000000001E-2</v>
      </c>
      <c r="AZ1401" s="624">
        <v>40284</v>
      </c>
      <c r="BA1401" s="355">
        <v>1.3599999999999999E-2</v>
      </c>
      <c r="BB1401" s="624">
        <v>40217</v>
      </c>
      <c r="BC1401" s="355">
        <v>0.33150000000000002</v>
      </c>
      <c r="BD1401" s="624">
        <v>40217</v>
      </c>
      <c r="BE1401" s="355">
        <v>8.5360000000000005E-2</v>
      </c>
      <c r="BF1401" s="624">
        <v>40283</v>
      </c>
      <c r="BG1401" s="355">
        <v>2.2502000000000001E-2</v>
      </c>
      <c r="BH1401" s="624">
        <v>40217</v>
      </c>
      <c r="BI1401" s="355">
        <v>0.10635500000000001</v>
      </c>
      <c r="BJ1401" s="624">
        <v>40214</v>
      </c>
      <c r="BK1401" s="355">
        <v>3.0193000000000001E-2</v>
      </c>
    </row>
    <row r="1402" spans="3:63">
      <c r="C1402" s="624"/>
      <c r="D1402" s="355">
        <v>3.3180000000000001E-2</v>
      </c>
      <c r="AV1402" s="624"/>
      <c r="AX1402" s="624">
        <v>40221</v>
      </c>
      <c r="AY1402" s="355">
        <v>3.3079999999999998E-2</v>
      </c>
      <c r="AZ1402" s="624">
        <v>40287</v>
      </c>
      <c r="BA1402" s="355">
        <v>1.3599999999999999E-2</v>
      </c>
      <c r="BB1402" s="624">
        <v>40218</v>
      </c>
      <c r="BC1402" s="355">
        <v>0.33929999999999999</v>
      </c>
      <c r="BD1402" s="624">
        <v>40218</v>
      </c>
      <c r="BE1402" s="355">
        <v>8.6470000000000005E-2</v>
      </c>
      <c r="BF1402" s="624">
        <v>40284</v>
      </c>
      <c r="BG1402" s="355">
        <v>2.2558000000000002E-2</v>
      </c>
      <c r="BH1402" s="624">
        <v>40218</v>
      </c>
      <c r="BI1402" s="355">
        <v>0.10725</v>
      </c>
      <c r="BJ1402" s="624">
        <v>40217</v>
      </c>
      <c r="BK1402" s="355">
        <v>3.0124999999999999E-2</v>
      </c>
    </row>
    <row r="1403" spans="3:63">
      <c r="C1403" s="624"/>
      <c r="D1403" s="355">
        <v>3.3079999999999998E-2</v>
      </c>
      <c r="AV1403" s="624"/>
      <c r="AX1403" s="624">
        <v>40224</v>
      </c>
      <c r="AY1403" s="355">
        <v>3.3070000000000002E-2</v>
      </c>
      <c r="AZ1403" s="624">
        <v>40288</v>
      </c>
      <c r="BA1403" s="355">
        <v>1.35E-2</v>
      </c>
      <c r="BB1403" s="624">
        <v>40219</v>
      </c>
      <c r="BC1403" s="355">
        <v>0.33810000000000001</v>
      </c>
      <c r="BD1403" s="624">
        <v>40219</v>
      </c>
      <c r="BE1403" s="355">
        <v>8.6139999999999994E-2</v>
      </c>
      <c r="BF1403" s="624">
        <v>40287</v>
      </c>
      <c r="BG1403" s="355">
        <v>2.2356000000000001E-2</v>
      </c>
      <c r="BH1403" s="624">
        <v>40219</v>
      </c>
      <c r="BI1403" s="355">
        <v>0.10675800000000001</v>
      </c>
      <c r="BJ1403" s="624">
        <v>40218</v>
      </c>
      <c r="BK1403" s="355">
        <v>3.0197999999999999E-2</v>
      </c>
    </row>
    <row r="1404" spans="3:63">
      <c r="C1404" s="624"/>
      <c r="D1404" s="355">
        <v>3.3070000000000002E-2</v>
      </c>
      <c r="AV1404" s="624"/>
      <c r="AX1404" s="624">
        <v>40225</v>
      </c>
      <c r="AY1404" s="355">
        <v>3.338E-2</v>
      </c>
      <c r="AZ1404" s="624">
        <v>40289</v>
      </c>
      <c r="BA1404" s="355">
        <v>1.34E-2</v>
      </c>
      <c r="BB1404" s="624">
        <v>40220</v>
      </c>
      <c r="BC1404" s="355">
        <v>0.3412</v>
      </c>
      <c r="BD1404" s="624">
        <v>40220</v>
      </c>
      <c r="BE1404" s="355">
        <v>8.6699999999999999E-2</v>
      </c>
      <c r="BF1404" s="624">
        <v>40288</v>
      </c>
      <c r="BG1404" s="355">
        <v>2.2467999999999998E-2</v>
      </c>
      <c r="BH1404" s="624">
        <v>40220</v>
      </c>
      <c r="BI1404" s="355">
        <v>0.106752</v>
      </c>
      <c r="BJ1404" s="624">
        <v>40219</v>
      </c>
      <c r="BK1404" s="355">
        <v>3.0138999999999999E-2</v>
      </c>
    </row>
    <row r="1405" spans="3:63">
      <c r="C1405" s="624"/>
      <c r="D1405" s="355">
        <v>3.338E-2</v>
      </c>
      <c r="AV1405" s="624"/>
      <c r="AX1405" s="624">
        <v>40226</v>
      </c>
      <c r="AY1405" s="355">
        <v>3.3189999999999997E-2</v>
      </c>
      <c r="AZ1405" s="624">
        <v>40290</v>
      </c>
      <c r="BA1405" s="355">
        <v>1.34E-2</v>
      </c>
      <c r="BB1405" s="624">
        <v>40221</v>
      </c>
      <c r="BC1405" s="355">
        <v>0.33910000000000001</v>
      </c>
      <c r="BD1405" s="624">
        <v>40221</v>
      </c>
      <c r="BE1405" s="355">
        <v>8.6260000000000003E-2</v>
      </c>
      <c r="BF1405" s="624">
        <v>40289</v>
      </c>
      <c r="BG1405" s="355">
        <v>2.2442E-2</v>
      </c>
      <c r="BH1405" s="624">
        <v>40221</v>
      </c>
      <c r="BI1405" s="355">
        <v>0.10706599999999999</v>
      </c>
      <c r="BJ1405" s="624">
        <v>40220</v>
      </c>
      <c r="BK1405" s="355">
        <v>3.0157E-2</v>
      </c>
    </row>
    <row r="1406" spans="3:63">
      <c r="C1406" s="624"/>
      <c r="D1406" s="355">
        <v>3.3189999999999997E-2</v>
      </c>
      <c r="AV1406" s="624"/>
      <c r="AX1406" s="624">
        <v>40227</v>
      </c>
      <c r="AY1406" s="355">
        <v>3.3259999999999998E-2</v>
      </c>
      <c r="AZ1406" s="624">
        <v>40291</v>
      </c>
      <c r="BA1406" s="355">
        <v>1.35E-2</v>
      </c>
      <c r="BB1406" s="624">
        <v>40224</v>
      </c>
      <c r="BC1406" s="355">
        <v>0.33729999999999999</v>
      </c>
      <c r="BD1406" s="624">
        <v>40224</v>
      </c>
      <c r="BE1406" s="355">
        <v>8.6529999999999996E-2</v>
      </c>
      <c r="BF1406" s="624">
        <v>40290</v>
      </c>
      <c r="BG1406" s="355">
        <v>2.2450000000000001E-2</v>
      </c>
      <c r="BH1406" s="624">
        <v>40224</v>
      </c>
      <c r="BI1406" s="355">
        <v>0.10695200000000001</v>
      </c>
      <c r="BJ1406" s="624">
        <v>40221</v>
      </c>
      <c r="BK1406" s="355">
        <v>3.0130000000000001E-2</v>
      </c>
    </row>
    <row r="1407" spans="3:63">
      <c r="C1407" s="624"/>
      <c r="D1407" s="355">
        <v>3.3259999999999998E-2</v>
      </c>
      <c r="AV1407" s="624"/>
      <c r="AX1407" s="624">
        <v>40228</v>
      </c>
      <c r="AY1407" s="355">
        <v>3.3360000000000001E-2</v>
      </c>
      <c r="AZ1407" s="624">
        <v>40294</v>
      </c>
      <c r="BA1407" s="355">
        <v>1.35E-2</v>
      </c>
      <c r="BB1407" s="624">
        <v>40225</v>
      </c>
      <c r="BC1407" s="355">
        <v>0.34610000000000002</v>
      </c>
      <c r="BD1407" s="624">
        <v>40225</v>
      </c>
      <c r="BE1407" s="355">
        <v>8.7169999999999997E-2</v>
      </c>
      <c r="BF1407" s="624">
        <v>40291</v>
      </c>
      <c r="BG1407" s="355">
        <v>2.2502000000000001E-2</v>
      </c>
      <c r="BH1407" s="624">
        <v>40225</v>
      </c>
      <c r="BI1407" s="355">
        <v>0.107394</v>
      </c>
      <c r="BJ1407" s="624">
        <v>40224</v>
      </c>
      <c r="BK1407" s="355">
        <v>3.0120000000000001E-2</v>
      </c>
    </row>
    <row r="1408" spans="3:63">
      <c r="C1408" s="624"/>
      <c r="D1408" s="355">
        <v>3.3360000000000001E-2</v>
      </c>
      <c r="AV1408" s="624"/>
      <c r="AX1408" s="624">
        <v>40231</v>
      </c>
      <c r="AY1408" s="355">
        <v>3.3419999999999998E-2</v>
      </c>
      <c r="AZ1408" s="624">
        <v>40295</v>
      </c>
      <c r="BA1408" s="355">
        <v>1.3299999999999999E-2</v>
      </c>
      <c r="BB1408" s="624">
        <v>40226</v>
      </c>
      <c r="BC1408" s="355">
        <v>0.34189999999999998</v>
      </c>
      <c r="BD1408" s="624">
        <v>40226</v>
      </c>
      <c r="BE1408" s="355">
        <v>8.7340000000000001E-2</v>
      </c>
      <c r="BF1408" s="624">
        <v>40294</v>
      </c>
      <c r="BG1408" s="355">
        <v>2.2523000000000001E-2</v>
      </c>
      <c r="BH1408" s="624">
        <v>40226</v>
      </c>
      <c r="BI1408" s="355">
        <v>0.10773000000000001</v>
      </c>
      <c r="BJ1408" s="624">
        <v>40225</v>
      </c>
      <c r="BK1408" s="355">
        <v>3.0175E-2</v>
      </c>
    </row>
    <row r="1409" spans="3:63">
      <c r="C1409" s="624"/>
      <c r="D1409" s="355">
        <v>3.3419999999999998E-2</v>
      </c>
      <c r="AV1409" s="624"/>
      <c r="AX1409" s="624">
        <v>40232</v>
      </c>
      <c r="AY1409" s="355">
        <v>3.3340000000000002E-2</v>
      </c>
      <c r="AZ1409" s="624">
        <v>40296</v>
      </c>
      <c r="BA1409" s="355">
        <v>1.3299999999999999E-2</v>
      </c>
      <c r="BB1409" s="624">
        <v>40227</v>
      </c>
      <c r="BC1409" s="355">
        <v>0.33760000000000001</v>
      </c>
      <c r="BD1409" s="624">
        <v>40227</v>
      </c>
      <c r="BE1409" s="355">
        <v>8.6959999999999996E-2</v>
      </c>
      <c r="BF1409" s="624">
        <v>40295</v>
      </c>
      <c r="BG1409" s="355">
        <v>2.2499999999999999E-2</v>
      </c>
      <c r="BH1409" s="624">
        <v>40227</v>
      </c>
      <c r="BI1409" s="355">
        <v>0.1074</v>
      </c>
      <c r="BJ1409" s="624">
        <v>40226</v>
      </c>
      <c r="BK1409" s="355">
        <v>3.0138999999999999E-2</v>
      </c>
    </row>
    <row r="1410" spans="3:63">
      <c r="C1410" s="624"/>
      <c r="D1410" s="355">
        <v>3.3340000000000002E-2</v>
      </c>
      <c r="AV1410" s="624"/>
      <c r="AX1410" s="624">
        <v>40233</v>
      </c>
      <c r="AY1410" s="355">
        <v>3.3300000000000003E-2</v>
      </c>
      <c r="AZ1410" s="624">
        <v>40297</v>
      </c>
      <c r="BA1410" s="355">
        <v>1.3299999999999999E-2</v>
      </c>
      <c r="BB1410" s="624">
        <v>40228</v>
      </c>
      <c r="BC1410" s="355">
        <v>0.34189999999999998</v>
      </c>
      <c r="BD1410" s="624">
        <v>40228</v>
      </c>
      <c r="BE1410" s="355">
        <v>8.6809999999999998E-2</v>
      </c>
      <c r="BF1410" s="624">
        <v>40296</v>
      </c>
      <c r="BG1410" s="355">
        <v>2.2398999999999999E-2</v>
      </c>
      <c r="BH1410" s="624">
        <v>40228</v>
      </c>
      <c r="BI1410" s="355">
        <v>0.107095</v>
      </c>
      <c r="BJ1410" s="624">
        <v>40227</v>
      </c>
      <c r="BK1410" s="355">
        <v>3.0130000000000001E-2</v>
      </c>
    </row>
    <row r="1411" spans="3:63">
      <c r="C1411" s="624"/>
      <c r="D1411" s="355">
        <v>3.3300000000000003E-2</v>
      </c>
      <c r="AV1411" s="624"/>
      <c r="AX1411" s="624">
        <v>40234</v>
      </c>
      <c r="AY1411" s="355">
        <v>3.3320000000000002E-2</v>
      </c>
      <c r="AZ1411" s="624">
        <v>40298</v>
      </c>
      <c r="BA1411" s="355">
        <v>1.34E-2</v>
      </c>
      <c r="BB1411" s="624">
        <v>40231</v>
      </c>
      <c r="BC1411" s="355">
        <v>0.34300000000000003</v>
      </c>
      <c r="BD1411" s="624">
        <v>40231</v>
      </c>
      <c r="BE1411" s="355">
        <v>8.7150000000000005E-2</v>
      </c>
      <c r="BF1411" s="624">
        <v>40297</v>
      </c>
      <c r="BG1411" s="355">
        <v>2.2471999999999999E-2</v>
      </c>
      <c r="BH1411" s="624">
        <v>40231</v>
      </c>
      <c r="BI1411" s="355">
        <v>0.10761900000000001</v>
      </c>
      <c r="BJ1411" s="624">
        <v>40228</v>
      </c>
      <c r="BK1411" s="355">
        <v>3.0085000000000001E-2</v>
      </c>
    </row>
    <row r="1412" spans="3:63">
      <c r="C1412" s="624"/>
      <c r="D1412" s="355">
        <v>3.3320000000000002E-2</v>
      </c>
      <c r="AV1412" s="624"/>
      <c r="AX1412" s="624">
        <v>40235</v>
      </c>
      <c r="AY1412" s="355">
        <v>3.3439999999999998E-2</v>
      </c>
      <c r="AZ1412" s="624">
        <v>40301</v>
      </c>
      <c r="BA1412" s="355">
        <v>1.3299999999999999E-2</v>
      </c>
      <c r="BB1412" s="624">
        <v>40232</v>
      </c>
      <c r="BC1412" s="355">
        <v>0.33800000000000002</v>
      </c>
      <c r="BD1412" s="624">
        <v>40232</v>
      </c>
      <c r="BE1412" s="355">
        <v>8.6349999999999996E-2</v>
      </c>
      <c r="BF1412" s="624">
        <v>40298</v>
      </c>
      <c r="BG1412" s="355">
        <v>2.2542E-2</v>
      </c>
      <c r="BH1412" s="624">
        <v>40232</v>
      </c>
      <c r="BI1412" s="355">
        <v>0.107614</v>
      </c>
      <c r="BJ1412" s="624">
        <v>40231</v>
      </c>
      <c r="BK1412" s="355">
        <v>3.0179999999999998E-2</v>
      </c>
    </row>
    <row r="1413" spans="3:63">
      <c r="C1413" s="624"/>
      <c r="D1413" s="355">
        <v>3.3439999999999998E-2</v>
      </c>
      <c r="AV1413" s="624"/>
      <c r="AX1413" s="624">
        <v>40238</v>
      </c>
      <c r="AY1413" s="355">
        <v>3.3419999999999998E-2</v>
      </c>
      <c r="AZ1413" s="624">
        <v>40302</v>
      </c>
      <c r="BA1413" s="355">
        <v>1.3100000000000001E-2</v>
      </c>
      <c r="BB1413" s="624">
        <v>40233</v>
      </c>
      <c r="BC1413" s="355">
        <v>0.34</v>
      </c>
      <c r="BD1413" s="624">
        <v>40233</v>
      </c>
      <c r="BE1413" s="355">
        <v>8.6690000000000003E-2</v>
      </c>
      <c r="BF1413" s="624">
        <v>40301</v>
      </c>
      <c r="BG1413" s="355">
        <v>2.2460000000000001E-2</v>
      </c>
      <c r="BH1413" s="624">
        <v>40233</v>
      </c>
      <c r="BI1413" s="355">
        <v>0.10702100000000001</v>
      </c>
      <c r="BJ1413" s="624">
        <v>40232</v>
      </c>
      <c r="BK1413" s="355">
        <v>3.0193000000000001E-2</v>
      </c>
    </row>
    <row r="1414" spans="3:63">
      <c r="C1414" s="624"/>
      <c r="D1414" s="355">
        <v>3.3419999999999998E-2</v>
      </c>
      <c r="AV1414" s="624"/>
      <c r="AX1414" s="624">
        <v>40239</v>
      </c>
      <c r="AY1414" s="355">
        <v>3.3529999999999997E-2</v>
      </c>
      <c r="AZ1414" s="624">
        <v>40303</v>
      </c>
      <c r="BA1414" s="355">
        <v>1.29E-2</v>
      </c>
      <c r="BB1414" s="624">
        <v>40234</v>
      </c>
      <c r="BC1414" s="355">
        <v>0.34110000000000001</v>
      </c>
      <c r="BD1414" s="624">
        <v>40234</v>
      </c>
      <c r="BE1414" s="355">
        <v>8.5949999999999999E-2</v>
      </c>
      <c r="BF1414" s="624">
        <v>40302</v>
      </c>
      <c r="BG1414" s="355">
        <v>2.2409999999999999E-2</v>
      </c>
      <c r="BH1414" s="624">
        <v>40234</v>
      </c>
      <c r="BI1414" s="355">
        <v>0.10698100000000001</v>
      </c>
      <c r="BJ1414" s="624">
        <v>40233</v>
      </c>
      <c r="BK1414" s="355">
        <v>3.0303E-2</v>
      </c>
    </row>
    <row r="1415" spans="3:63">
      <c r="C1415" s="624"/>
      <c r="D1415" s="355">
        <v>3.3529999999999997E-2</v>
      </c>
      <c r="AV1415" s="624"/>
      <c r="AX1415" s="624">
        <v>40240</v>
      </c>
      <c r="AY1415" s="355">
        <v>3.3570000000000003E-2</v>
      </c>
      <c r="AZ1415" s="624">
        <v>40304</v>
      </c>
      <c r="BA1415" s="355">
        <v>1.26E-2</v>
      </c>
      <c r="BB1415" s="624">
        <v>40235</v>
      </c>
      <c r="BC1415" s="355">
        <v>0.34570000000000001</v>
      </c>
      <c r="BD1415" s="624">
        <v>40235</v>
      </c>
      <c r="BE1415" s="355">
        <v>8.6660000000000001E-2</v>
      </c>
      <c r="BF1415" s="624">
        <v>40303</v>
      </c>
      <c r="BG1415" s="355">
        <v>2.2256000000000001E-2</v>
      </c>
      <c r="BH1415" s="624">
        <v>40235</v>
      </c>
      <c r="BI1415" s="355">
        <v>0.107239</v>
      </c>
      <c r="BJ1415" s="624">
        <v>40234</v>
      </c>
      <c r="BK1415" s="355">
        <v>3.0224999999999998E-2</v>
      </c>
    </row>
    <row r="1416" spans="3:63">
      <c r="C1416" s="624"/>
      <c r="D1416" s="355">
        <v>3.3570000000000003E-2</v>
      </c>
      <c r="AV1416" s="624"/>
      <c r="AX1416" s="624">
        <v>40241</v>
      </c>
      <c r="AY1416" s="355">
        <v>3.3489999999999999E-2</v>
      </c>
      <c r="AZ1416" s="624">
        <v>40305</v>
      </c>
      <c r="BA1416" s="355">
        <v>1.2699999999999999E-2</v>
      </c>
      <c r="BB1416" s="624">
        <v>40238</v>
      </c>
      <c r="BC1416" s="355">
        <v>0.34560000000000002</v>
      </c>
      <c r="BD1416" s="624">
        <v>40238</v>
      </c>
      <c r="BE1416" s="355">
        <v>8.6749999999999994E-2</v>
      </c>
      <c r="BF1416" s="624">
        <v>40304</v>
      </c>
      <c r="BG1416" s="355">
        <v>2.2072999999999999E-2</v>
      </c>
      <c r="BH1416" s="624">
        <v>40238</v>
      </c>
      <c r="BI1416" s="355">
        <v>0.10775899999999999</v>
      </c>
      <c r="BJ1416" s="624">
        <v>40235</v>
      </c>
      <c r="BK1416" s="355">
        <v>3.0256999999999999E-2</v>
      </c>
    </row>
    <row r="1417" spans="3:63">
      <c r="C1417" s="624"/>
      <c r="D1417" s="355">
        <v>3.3489999999999999E-2</v>
      </c>
      <c r="AV1417" s="624"/>
      <c r="AX1417" s="624">
        <v>40242</v>
      </c>
      <c r="AY1417" s="355">
        <v>3.3590000000000002E-2</v>
      </c>
      <c r="AZ1417" s="624">
        <v>40308</v>
      </c>
      <c r="BA1417" s="355">
        <v>1.2800000000000001E-2</v>
      </c>
      <c r="BB1417" s="624">
        <v>40239</v>
      </c>
      <c r="BC1417" s="355">
        <v>0.34770000000000001</v>
      </c>
      <c r="BD1417" s="624">
        <v>40239</v>
      </c>
      <c r="BE1417" s="355">
        <v>8.7179999999999994E-2</v>
      </c>
      <c r="BF1417" s="624">
        <v>40305</v>
      </c>
      <c r="BG1417" s="355">
        <v>2.1988000000000001E-2</v>
      </c>
      <c r="BH1417" s="624">
        <v>40239</v>
      </c>
      <c r="BI1417" s="355">
        <v>0.107527</v>
      </c>
      <c r="BJ1417" s="624">
        <v>40238</v>
      </c>
      <c r="BK1417" s="355">
        <v>3.0469E-2</v>
      </c>
    </row>
    <row r="1418" spans="3:63">
      <c r="C1418" s="624"/>
      <c r="D1418" s="355">
        <v>3.3590000000000002E-2</v>
      </c>
      <c r="AV1418" s="624"/>
      <c r="AX1418" s="624">
        <v>40245</v>
      </c>
      <c r="AY1418" s="355">
        <v>3.3610000000000001E-2</v>
      </c>
      <c r="AZ1418" s="624">
        <v>40309</v>
      </c>
      <c r="BA1418" s="355">
        <v>1.26E-2</v>
      </c>
      <c r="BB1418" s="624">
        <v>40240</v>
      </c>
      <c r="BC1418" s="355">
        <v>0.35060000000000002</v>
      </c>
      <c r="BD1418" s="624">
        <v>40240</v>
      </c>
      <c r="BE1418" s="355">
        <v>8.7459999999999996E-2</v>
      </c>
      <c r="BF1418" s="624">
        <v>40308</v>
      </c>
      <c r="BG1418" s="355">
        <v>2.2290000000000001E-2</v>
      </c>
      <c r="BH1418" s="624">
        <v>40240</v>
      </c>
      <c r="BI1418" s="355">
        <v>0.10775899999999999</v>
      </c>
      <c r="BJ1418" s="624">
        <v>40239</v>
      </c>
      <c r="BK1418" s="355">
        <v>3.0581000000000001E-2</v>
      </c>
    </row>
    <row r="1419" spans="3:63">
      <c r="C1419" s="624"/>
      <c r="D1419" s="355">
        <v>3.3610000000000001E-2</v>
      </c>
      <c r="AV1419" s="624"/>
      <c r="AX1419" s="624">
        <v>40246</v>
      </c>
      <c r="AY1419" s="355">
        <v>3.3619999999999997E-2</v>
      </c>
      <c r="AZ1419" s="624">
        <v>40310</v>
      </c>
      <c r="BA1419" s="355">
        <v>1.26E-2</v>
      </c>
      <c r="BB1419" s="624">
        <v>40241</v>
      </c>
      <c r="BC1419" s="355">
        <v>0.34849999999999998</v>
      </c>
      <c r="BD1419" s="624">
        <v>40241</v>
      </c>
      <c r="BE1419" s="355">
        <v>8.7359999999999993E-2</v>
      </c>
      <c r="BF1419" s="624">
        <v>40309</v>
      </c>
      <c r="BG1419" s="355">
        <v>2.2074E-2</v>
      </c>
      <c r="BH1419" s="624">
        <v>40241</v>
      </c>
      <c r="BI1419" s="355">
        <v>0.10770100000000001</v>
      </c>
      <c r="BJ1419" s="624">
        <v>40240</v>
      </c>
      <c r="BK1419" s="355">
        <v>3.0585999999999999E-2</v>
      </c>
    </row>
    <row r="1420" spans="3:63">
      <c r="C1420" s="624"/>
      <c r="D1420" s="355">
        <v>3.3619999999999997E-2</v>
      </c>
      <c r="AV1420" s="624"/>
      <c r="AX1420" s="624">
        <v>40247</v>
      </c>
      <c r="AY1420" s="355">
        <v>3.3860000000000001E-2</v>
      </c>
      <c r="AZ1420" s="624">
        <v>40311</v>
      </c>
      <c r="BA1420" s="355">
        <v>1.2500000000000001E-2</v>
      </c>
      <c r="BB1420" s="624">
        <v>40242</v>
      </c>
      <c r="BC1420" s="355">
        <v>0.35170000000000001</v>
      </c>
      <c r="BD1420" s="624">
        <v>40242</v>
      </c>
      <c r="BE1420" s="355">
        <v>8.795E-2</v>
      </c>
      <c r="BF1420" s="624">
        <v>40310</v>
      </c>
      <c r="BG1420" s="355">
        <v>2.2166000000000002E-2</v>
      </c>
      <c r="BH1420" s="624">
        <v>40242</v>
      </c>
      <c r="BI1420" s="355">
        <v>0.108519</v>
      </c>
      <c r="BJ1420" s="624">
        <v>40241</v>
      </c>
      <c r="BK1420" s="355">
        <v>3.0633000000000001E-2</v>
      </c>
    </row>
    <row r="1421" spans="3:63">
      <c r="C1421" s="624"/>
      <c r="D1421" s="355">
        <v>3.3860000000000001E-2</v>
      </c>
      <c r="AV1421" s="624"/>
      <c r="AX1421" s="624">
        <v>40248</v>
      </c>
      <c r="AY1421" s="355">
        <v>3.3950000000000001E-2</v>
      </c>
      <c r="AZ1421" s="624">
        <v>40312</v>
      </c>
      <c r="BA1421" s="355">
        <v>1.23E-2</v>
      </c>
      <c r="BB1421" s="624">
        <v>40245</v>
      </c>
      <c r="BC1421" s="355">
        <v>0.35239999999999999</v>
      </c>
      <c r="BD1421" s="624">
        <v>40245</v>
      </c>
      <c r="BE1421" s="355">
        <v>8.8340000000000002E-2</v>
      </c>
      <c r="BF1421" s="624">
        <v>40311</v>
      </c>
      <c r="BG1421" s="355">
        <v>2.2185E-2</v>
      </c>
      <c r="BH1421" s="624">
        <v>40245</v>
      </c>
      <c r="BI1421" s="355">
        <v>0.108873</v>
      </c>
      <c r="BJ1421" s="624">
        <v>40242</v>
      </c>
      <c r="BK1421" s="355">
        <v>3.0647000000000001E-2</v>
      </c>
    </row>
    <row r="1422" spans="3:63">
      <c r="C1422" s="624"/>
      <c r="D1422" s="355">
        <v>3.3950000000000001E-2</v>
      </c>
      <c r="AV1422" s="624"/>
      <c r="AX1422" s="624">
        <v>40249</v>
      </c>
      <c r="AY1422" s="355">
        <v>3.4139999999999997E-2</v>
      </c>
      <c r="AZ1422" s="624">
        <v>40315</v>
      </c>
      <c r="BA1422" s="355">
        <v>1.23E-2</v>
      </c>
      <c r="BB1422" s="624">
        <v>40246</v>
      </c>
      <c r="BC1422" s="355">
        <v>0.35170000000000001</v>
      </c>
      <c r="BD1422" s="624">
        <v>40246</v>
      </c>
      <c r="BE1422" s="355">
        <v>8.8139999999999996E-2</v>
      </c>
      <c r="BF1422" s="624">
        <v>40312</v>
      </c>
      <c r="BG1422" s="355">
        <v>2.2120999999999998E-2</v>
      </c>
      <c r="BH1422" s="624">
        <v>40246</v>
      </c>
      <c r="BI1422" s="355">
        <v>0.10857799999999999</v>
      </c>
      <c r="BJ1422" s="624">
        <v>40245</v>
      </c>
      <c r="BK1422" s="355">
        <v>3.0589999999999999E-2</v>
      </c>
    </row>
    <row r="1423" spans="3:63">
      <c r="C1423" s="624"/>
      <c r="D1423" s="355">
        <v>3.4139999999999997E-2</v>
      </c>
      <c r="AV1423" s="624"/>
      <c r="AX1423" s="624">
        <v>40252</v>
      </c>
      <c r="AY1423" s="355">
        <v>3.3980000000000003E-2</v>
      </c>
      <c r="AZ1423" s="624">
        <v>40316</v>
      </c>
      <c r="BA1423" s="355">
        <v>1.2E-2</v>
      </c>
      <c r="BB1423" s="624">
        <v>40247</v>
      </c>
      <c r="BC1423" s="355">
        <v>0.3518</v>
      </c>
      <c r="BD1423" s="624">
        <v>40247</v>
      </c>
      <c r="BE1423" s="355">
        <v>8.863E-2</v>
      </c>
      <c r="BF1423" s="624">
        <v>40315</v>
      </c>
      <c r="BG1423" s="355">
        <v>2.1915E-2</v>
      </c>
      <c r="BH1423" s="624">
        <v>40247</v>
      </c>
      <c r="BI1423" s="355">
        <v>0.10917</v>
      </c>
      <c r="BJ1423" s="624">
        <v>40246</v>
      </c>
      <c r="BK1423" s="355">
        <v>3.0575999999999999E-2</v>
      </c>
    </row>
    <row r="1424" spans="3:63">
      <c r="C1424" s="624"/>
      <c r="D1424" s="355">
        <v>3.3980000000000003E-2</v>
      </c>
      <c r="AV1424" s="624"/>
      <c r="AX1424" s="624">
        <v>40253</v>
      </c>
      <c r="AY1424" s="355">
        <v>3.4139999999999997E-2</v>
      </c>
      <c r="AZ1424" s="624">
        <v>40317</v>
      </c>
      <c r="BA1424" s="355">
        <v>1.2200000000000001E-2</v>
      </c>
      <c r="BB1424" s="624">
        <v>40248</v>
      </c>
      <c r="BC1424" s="355">
        <v>0.3508</v>
      </c>
      <c r="BD1424" s="624">
        <v>40248</v>
      </c>
      <c r="BE1424" s="355">
        <v>8.8419999999999999E-2</v>
      </c>
      <c r="BF1424" s="624">
        <v>40316</v>
      </c>
      <c r="BG1424" s="355">
        <v>2.1935E-2</v>
      </c>
      <c r="BH1424" s="624">
        <v>40248</v>
      </c>
      <c r="BI1424" s="355">
        <v>0.10893899999999999</v>
      </c>
      <c r="BJ1424" s="624">
        <v>40247</v>
      </c>
      <c r="BK1424" s="355">
        <v>3.0595000000000001E-2</v>
      </c>
    </row>
    <row r="1425" spans="3:63">
      <c r="C1425" s="624"/>
      <c r="D1425" s="355">
        <v>3.4139999999999997E-2</v>
      </c>
      <c r="AV1425" s="624"/>
      <c r="AX1425" s="624">
        <v>40254</v>
      </c>
      <c r="AY1425" s="355">
        <v>3.4279999999999998E-2</v>
      </c>
      <c r="AZ1425" s="624">
        <v>40318</v>
      </c>
      <c r="BA1425" s="355">
        <v>1.2200000000000001E-2</v>
      </c>
      <c r="BB1425" s="624">
        <v>40249</v>
      </c>
      <c r="BC1425" s="355">
        <v>0.35460000000000003</v>
      </c>
      <c r="BD1425" s="624">
        <v>40249</v>
      </c>
      <c r="BE1425" s="355">
        <v>8.8609999999999994E-2</v>
      </c>
      <c r="BF1425" s="624">
        <v>40317</v>
      </c>
      <c r="BG1425" s="355">
        <v>2.1568E-2</v>
      </c>
      <c r="BH1425" s="624">
        <v>40249</v>
      </c>
      <c r="BI1425" s="355">
        <v>0.10922999999999999</v>
      </c>
      <c r="BJ1425" s="624">
        <v>40248</v>
      </c>
      <c r="BK1425" s="355">
        <v>3.0589999999999999E-2</v>
      </c>
    </row>
    <row r="1426" spans="3:63">
      <c r="C1426" s="624"/>
      <c r="D1426" s="355">
        <v>3.4279999999999998E-2</v>
      </c>
      <c r="AV1426" s="624"/>
      <c r="AX1426" s="624">
        <v>40255</v>
      </c>
      <c r="AY1426" s="355">
        <v>3.4119999999999998E-2</v>
      </c>
      <c r="AZ1426" s="624">
        <v>40319</v>
      </c>
      <c r="BA1426" s="355">
        <v>1.23E-2</v>
      </c>
      <c r="BB1426" s="624">
        <v>40252</v>
      </c>
      <c r="BC1426" s="355">
        <v>0.35120000000000001</v>
      </c>
      <c r="BD1426" s="624">
        <v>40252</v>
      </c>
      <c r="BE1426" s="355">
        <v>8.8120000000000004E-2</v>
      </c>
      <c r="BF1426" s="624">
        <v>40318</v>
      </c>
      <c r="BG1426" s="355">
        <v>2.1354000000000001E-2</v>
      </c>
      <c r="BH1426" s="624">
        <v>40252</v>
      </c>
      <c r="BI1426" s="355">
        <v>0.109111</v>
      </c>
      <c r="BJ1426" s="624">
        <v>40249</v>
      </c>
      <c r="BK1426" s="355">
        <v>3.0735999999999999E-2</v>
      </c>
    </row>
    <row r="1427" spans="3:63">
      <c r="C1427" s="624"/>
      <c r="D1427" s="355">
        <v>3.4119999999999998E-2</v>
      </c>
      <c r="AV1427" s="624"/>
      <c r="AX1427" s="624">
        <v>40256</v>
      </c>
      <c r="AY1427" s="355">
        <v>3.4110000000000001E-2</v>
      </c>
      <c r="AZ1427" s="624">
        <v>40322</v>
      </c>
      <c r="BA1427" s="355">
        <v>1.21E-2</v>
      </c>
      <c r="BB1427" s="624">
        <v>40253</v>
      </c>
      <c r="BC1427" s="355">
        <v>0.35589999999999999</v>
      </c>
      <c r="BD1427" s="624">
        <v>40253</v>
      </c>
      <c r="BE1427" s="355">
        <v>8.8289999999999993E-2</v>
      </c>
      <c r="BF1427" s="624">
        <v>40319</v>
      </c>
      <c r="BG1427" s="355">
        <v>2.1304E-2</v>
      </c>
      <c r="BH1427" s="624">
        <v>40253</v>
      </c>
      <c r="BI1427" s="355">
        <v>0.10899200000000001</v>
      </c>
      <c r="BJ1427" s="624">
        <v>40252</v>
      </c>
      <c r="BK1427" s="355">
        <v>3.0721999999999999E-2</v>
      </c>
    </row>
    <row r="1428" spans="3:63">
      <c r="C1428" s="624"/>
      <c r="D1428" s="355">
        <v>3.4110000000000001E-2</v>
      </c>
      <c r="AV1428" s="624"/>
      <c r="AX1428" s="624">
        <v>40259</v>
      </c>
      <c r="AY1428" s="355">
        <v>3.3860000000000001E-2</v>
      </c>
      <c r="AZ1428" s="624">
        <v>40323</v>
      </c>
      <c r="BA1428" s="355">
        <v>1.2E-2</v>
      </c>
      <c r="BB1428" s="624">
        <v>40254</v>
      </c>
      <c r="BC1428" s="355">
        <v>0.3553</v>
      </c>
      <c r="BD1428" s="624">
        <v>40254</v>
      </c>
      <c r="BE1428" s="355">
        <v>8.8609999999999994E-2</v>
      </c>
      <c r="BF1428" s="624">
        <v>40322</v>
      </c>
      <c r="BG1428" s="355">
        <v>2.1287E-2</v>
      </c>
      <c r="BH1428" s="624">
        <v>40254</v>
      </c>
      <c r="BI1428" s="355">
        <v>0.109709</v>
      </c>
      <c r="BJ1428" s="624">
        <v>40253</v>
      </c>
      <c r="BK1428" s="355">
        <v>3.0835999999999999E-2</v>
      </c>
    </row>
    <row r="1429" spans="3:63">
      <c r="C1429" s="624"/>
      <c r="D1429" s="355">
        <v>3.3860000000000001E-2</v>
      </c>
      <c r="AV1429" s="624"/>
      <c r="AX1429" s="624">
        <v>40260</v>
      </c>
      <c r="AY1429" s="355">
        <v>3.3890000000000003E-2</v>
      </c>
      <c r="AZ1429" s="624">
        <v>40324</v>
      </c>
      <c r="BA1429" s="355">
        <v>1.18E-2</v>
      </c>
      <c r="BB1429" s="624">
        <v>40255</v>
      </c>
      <c r="BC1429" s="355">
        <v>0.3508</v>
      </c>
      <c r="BD1429" s="624">
        <v>40255</v>
      </c>
      <c r="BE1429" s="355">
        <v>8.8179999999999994E-2</v>
      </c>
      <c r="BF1429" s="624">
        <v>40323</v>
      </c>
      <c r="BG1429" s="355">
        <v>2.0964E-2</v>
      </c>
      <c r="BH1429" s="624">
        <v>40255</v>
      </c>
      <c r="BI1429" s="355">
        <v>0.10958900000000001</v>
      </c>
      <c r="BJ1429" s="624">
        <v>40254</v>
      </c>
      <c r="BK1429" s="355">
        <v>3.0979E-2</v>
      </c>
    </row>
    <row r="1430" spans="3:63">
      <c r="C1430" s="624"/>
      <c r="D1430" s="355">
        <v>3.3890000000000003E-2</v>
      </c>
      <c r="AV1430" s="624"/>
      <c r="AX1430" s="624">
        <v>40261</v>
      </c>
      <c r="AY1430" s="355">
        <v>3.3669999999999999E-2</v>
      </c>
      <c r="AZ1430" s="624">
        <v>40325</v>
      </c>
      <c r="BA1430" s="355">
        <v>1.2E-2</v>
      </c>
      <c r="BB1430" s="624">
        <v>40256</v>
      </c>
      <c r="BC1430" s="355">
        <v>0.34770000000000001</v>
      </c>
      <c r="BD1430" s="624">
        <v>40256</v>
      </c>
      <c r="BE1430" s="355">
        <v>8.8150000000000006E-2</v>
      </c>
      <c r="BF1430" s="624">
        <v>40324</v>
      </c>
      <c r="BG1430" s="355">
        <v>2.1144E-2</v>
      </c>
      <c r="BH1430" s="624">
        <v>40256</v>
      </c>
      <c r="BI1430" s="355">
        <v>0.10983</v>
      </c>
      <c r="BJ1430" s="624">
        <v>40255</v>
      </c>
      <c r="BK1430" s="355">
        <v>3.0960000000000001E-2</v>
      </c>
    </row>
    <row r="1431" spans="3:63">
      <c r="C1431" s="624"/>
      <c r="D1431" s="355">
        <v>3.3669999999999999E-2</v>
      </c>
      <c r="AV1431" s="624"/>
      <c r="AX1431" s="624">
        <v>40262</v>
      </c>
      <c r="AY1431" s="355">
        <v>3.3739999999999999E-2</v>
      </c>
      <c r="AZ1431" s="624">
        <v>40326</v>
      </c>
      <c r="BA1431" s="355">
        <v>1.1900000000000001E-2</v>
      </c>
      <c r="BB1431" s="624">
        <v>40259</v>
      </c>
      <c r="BC1431" s="355">
        <v>0.34870000000000001</v>
      </c>
      <c r="BD1431" s="624">
        <v>40259</v>
      </c>
      <c r="BE1431" s="355">
        <v>8.8120000000000004E-2</v>
      </c>
      <c r="BF1431" s="624">
        <v>40326</v>
      </c>
      <c r="BG1431" s="355">
        <v>2.1568E-2</v>
      </c>
      <c r="BH1431" s="624">
        <v>40259</v>
      </c>
      <c r="BI1431" s="355">
        <v>0.10958900000000001</v>
      </c>
      <c r="BJ1431" s="624">
        <v>40256</v>
      </c>
      <c r="BK1431" s="355">
        <v>3.0865E-2</v>
      </c>
    </row>
    <row r="1432" spans="3:63">
      <c r="C1432" s="624"/>
      <c r="D1432" s="355">
        <v>3.3739999999999999E-2</v>
      </c>
      <c r="AV1432" s="624"/>
      <c r="AX1432" s="624">
        <v>40263</v>
      </c>
      <c r="AY1432" s="355">
        <v>3.3790000000000001E-2</v>
      </c>
      <c r="AZ1432" s="624">
        <v>40329</v>
      </c>
      <c r="BA1432" s="355">
        <v>1.2E-2</v>
      </c>
      <c r="BB1432" s="624">
        <v>40260</v>
      </c>
      <c r="BC1432" s="355">
        <v>0.34739999999999999</v>
      </c>
      <c r="BD1432" s="624">
        <v>40260</v>
      </c>
      <c r="BE1432" s="355">
        <v>8.7989999999999999E-2</v>
      </c>
      <c r="BF1432" s="624">
        <v>40329</v>
      </c>
      <c r="BG1432" s="355">
        <v>2.1565999999999998E-2</v>
      </c>
      <c r="BH1432" s="624">
        <v>40260</v>
      </c>
      <c r="BI1432" s="355">
        <v>0.109709</v>
      </c>
      <c r="BJ1432" s="624">
        <v>40259</v>
      </c>
      <c r="BK1432" s="355">
        <v>3.0921000000000001E-2</v>
      </c>
    </row>
    <row r="1433" spans="3:63">
      <c r="C1433" s="624"/>
      <c r="D1433" s="355">
        <v>3.3790000000000001E-2</v>
      </c>
      <c r="AV1433" s="624"/>
      <c r="AX1433" s="624">
        <v>40266</v>
      </c>
      <c r="AY1433" s="355">
        <v>3.388E-2</v>
      </c>
      <c r="AZ1433" s="624">
        <v>40330</v>
      </c>
      <c r="BA1433" s="355">
        <v>1.1900000000000001E-2</v>
      </c>
      <c r="BB1433" s="624">
        <v>40261</v>
      </c>
      <c r="BC1433" s="355">
        <v>0.3422</v>
      </c>
      <c r="BD1433" s="624">
        <v>40261</v>
      </c>
      <c r="BE1433" s="355">
        <v>8.77E-2</v>
      </c>
      <c r="BF1433" s="624">
        <v>40330</v>
      </c>
      <c r="BG1433" s="355">
        <v>2.1207E-2</v>
      </c>
      <c r="BH1433" s="624">
        <v>40261</v>
      </c>
      <c r="BI1433" s="355">
        <v>0.109529</v>
      </c>
      <c r="BJ1433" s="624">
        <v>40260</v>
      </c>
      <c r="BK1433" s="355">
        <v>3.0917E-2</v>
      </c>
    </row>
    <row r="1434" spans="3:63">
      <c r="C1434" s="624"/>
      <c r="D1434" s="355">
        <v>3.388E-2</v>
      </c>
      <c r="AV1434" s="624"/>
      <c r="AX1434" s="624">
        <v>40267</v>
      </c>
      <c r="AY1434" s="355">
        <v>3.3869999999999997E-2</v>
      </c>
      <c r="AZ1434" s="624">
        <v>40331</v>
      </c>
      <c r="BA1434" s="355">
        <v>1.1900000000000001E-2</v>
      </c>
      <c r="BB1434" s="624">
        <v>40262</v>
      </c>
      <c r="BC1434" s="355">
        <v>0.34</v>
      </c>
      <c r="BD1434" s="624">
        <v>40262</v>
      </c>
      <c r="BE1434" s="355">
        <v>8.7340000000000001E-2</v>
      </c>
      <c r="BF1434" s="624">
        <v>40331</v>
      </c>
      <c r="BG1434" s="355">
        <v>2.1288000000000001E-2</v>
      </c>
      <c r="BH1434" s="624">
        <v>40262</v>
      </c>
      <c r="BI1434" s="355">
        <v>0.109529</v>
      </c>
      <c r="BJ1434" s="624">
        <v>40261</v>
      </c>
      <c r="BK1434" s="355">
        <v>3.0855E-2</v>
      </c>
    </row>
    <row r="1435" spans="3:63">
      <c r="C1435" s="624"/>
      <c r="D1435" s="355">
        <v>3.3869999999999997E-2</v>
      </c>
      <c r="AV1435" s="624"/>
      <c r="AX1435" s="624">
        <v>40268</v>
      </c>
      <c r="AY1435" s="355">
        <v>3.397E-2</v>
      </c>
      <c r="AZ1435" s="624">
        <v>40332</v>
      </c>
      <c r="BA1435" s="355">
        <v>1.18E-2</v>
      </c>
      <c r="BB1435" s="624">
        <v>40263</v>
      </c>
      <c r="BC1435" s="355">
        <v>0.34410000000000002</v>
      </c>
      <c r="BD1435" s="624">
        <v>40263</v>
      </c>
      <c r="BE1435" s="355">
        <v>8.7650000000000006E-2</v>
      </c>
      <c r="BF1435" s="624">
        <v>40332</v>
      </c>
      <c r="BG1435" s="355">
        <v>2.1419000000000001E-2</v>
      </c>
      <c r="BH1435" s="624">
        <v>40263</v>
      </c>
      <c r="BI1435" s="355">
        <v>0.10958900000000001</v>
      </c>
      <c r="BJ1435" s="624">
        <v>40262</v>
      </c>
      <c r="BK1435" s="355">
        <v>3.0821000000000001E-2</v>
      </c>
    </row>
    <row r="1436" spans="3:63">
      <c r="C1436" s="624"/>
      <c r="D1436" s="355">
        <v>3.397E-2</v>
      </c>
      <c r="AV1436" s="624"/>
      <c r="AX1436" s="624">
        <v>40269</v>
      </c>
      <c r="AY1436" s="355">
        <v>3.4209999999999997E-2</v>
      </c>
      <c r="AZ1436" s="624">
        <v>40333</v>
      </c>
      <c r="BA1436" s="355">
        <v>1.1599999999999999E-2</v>
      </c>
      <c r="BB1436" s="624">
        <v>40266</v>
      </c>
      <c r="BC1436" s="355">
        <v>0.34749999999999998</v>
      </c>
      <c r="BD1436" s="624">
        <v>40266</v>
      </c>
      <c r="BE1436" s="355">
        <v>8.8450000000000001E-2</v>
      </c>
      <c r="BF1436" s="624">
        <v>40333</v>
      </c>
      <c r="BG1436" s="355">
        <v>2.1346E-2</v>
      </c>
      <c r="BH1436" s="624">
        <v>40266</v>
      </c>
      <c r="BI1436" s="355">
        <v>0.110072</v>
      </c>
      <c r="BJ1436" s="624">
        <v>40263</v>
      </c>
      <c r="BK1436" s="355">
        <v>3.0861E-2</v>
      </c>
    </row>
    <row r="1437" spans="3:63">
      <c r="C1437" s="624"/>
      <c r="D1437" s="355">
        <v>3.4209999999999997E-2</v>
      </c>
      <c r="AV1437" s="624"/>
      <c r="AX1437" s="624">
        <v>40270</v>
      </c>
      <c r="AY1437" s="355">
        <v>3.4189999999999998E-2</v>
      </c>
      <c r="AZ1437" s="624">
        <v>40336</v>
      </c>
      <c r="BA1437" s="355">
        <v>1.15E-2</v>
      </c>
      <c r="BB1437" s="624">
        <v>40267</v>
      </c>
      <c r="BC1437" s="355">
        <v>0.34649999999999997</v>
      </c>
      <c r="BD1437" s="624">
        <v>40267</v>
      </c>
      <c r="BE1437" s="355">
        <v>8.8389999999999996E-2</v>
      </c>
      <c r="BF1437" s="624">
        <v>40336</v>
      </c>
      <c r="BG1437" s="355">
        <v>2.1233999999999999E-2</v>
      </c>
      <c r="BH1437" s="624">
        <v>40267</v>
      </c>
      <c r="BI1437" s="355">
        <v>0.10995099999999999</v>
      </c>
      <c r="BJ1437" s="624">
        <v>40266</v>
      </c>
      <c r="BK1437" s="355">
        <v>3.0911999999999999E-2</v>
      </c>
    </row>
    <row r="1438" spans="3:63">
      <c r="C1438" s="624"/>
      <c r="D1438" s="355">
        <v>3.4189999999999998E-2</v>
      </c>
      <c r="AV1438" s="624"/>
      <c r="AX1438" s="624">
        <v>40273</v>
      </c>
      <c r="AY1438" s="355">
        <v>3.4279999999999998E-2</v>
      </c>
      <c r="AZ1438" s="624">
        <v>40337</v>
      </c>
      <c r="BA1438" s="355">
        <v>1.15E-2</v>
      </c>
      <c r="BB1438" s="624">
        <v>40268</v>
      </c>
      <c r="BC1438" s="355">
        <v>0.34989999999999999</v>
      </c>
      <c r="BD1438" s="624">
        <v>40268</v>
      </c>
      <c r="BE1438" s="355">
        <v>8.8330000000000006E-2</v>
      </c>
      <c r="BF1438" s="624">
        <v>40337</v>
      </c>
      <c r="BG1438" s="355">
        <v>2.1304E-2</v>
      </c>
      <c r="BH1438" s="624">
        <v>40268</v>
      </c>
      <c r="BI1438" s="355">
        <v>0.10995099999999999</v>
      </c>
      <c r="BJ1438" s="624">
        <v>40267</v>
      </c>
      <c r="BK1438" s="355">
        <v>3.0922000000000002E-2</v>
      </c>
    </row>
    <row r="1439" spans="3:63">
      <c r="C1439" s="624"/>
      <c r="D1439" s="355">
        <v>3.4279999999999998E-2</v>
      </c>
      <c r="AV1439" s="624"/>
      <c r="AX1439" s="624">
        <v>40274</v>
      </c>
      <c r="AY1439" s="355">
        <v>3.4130000000000001E-2</v>
      </c>
      <c r="AZ1439" s="624">
        <v>40338</v>
      </c>
      <c r="BA1439" s="355">
        <v>1.15E-2</v>
      </c>
      <c r="BB1439" s="624">
        <v>40269</v>
      </c>
      <c r="BC1439" s="355">
        <v>0.35270000000000001</v>
      </c>
      <c r="BD1439" s="624">
        <v>40269</v>
      </c>
      <c r="BE1439" s="355">
        <v>8.8919999999999999E-2</v>
      </c>
      <c r="BF1439" s="624">
        <v>40338</v>
      </c>
      <c r="BG1439" s="355">
        <v>2.1264999999999999E-2</v>
      </c>
      <c r="BH1439" s="624">
        <v>40269</v>
      </c>
      <c r="BI1439" s="355">
        <v>0.110254</v>
      </c>
      <c r="BJ1439" s="624">
        <v>40268</v>
      </c>
      <c r="BK1439" s="355">
        <v>3.0921000000000001E-2</v>
      </c>
    </row>
    <row r="1440" spans="3:63">
      <c r="C1440" s="624"/>
      <c r="D1440" s="355">
        <v>3.4130000000000001E-2</v>
      </c>
      <c r="AV1440" s="624"/>
      <c r="AX1440" s="624">
        <v>40275</v>
      </c>
      <c r="AY1440" s="355">
        <v>3.4110000000000001E-2</v>
      </c>
      <c r="AZ1440" s="624">
        <v>40339</v>
      </c>
      <c r="BA1440" s="355">
        <v>1.17E-2</v>
      </c>
      <c r="BB1440" s="624">
        <v>40270</v>
      </c>
      <c r="BC1440" s="355">
        <v>0.35110000000000002</v>
      </c>
      <c r="BD1440" s="624">
        <v>40270</v>
      </c>
      <c r="BE1440" s="355">
        <v>8.8940000000000005E-2</v>
      </c>
      <c r="BF1440" s="624">
        <v>40339</v>
      </c>
      <c r="BG1440" s="355">
        <v>2.129E-2</v>
      </c>
      <c r="BH1440" s="624">
        <v>40270</v>
      </c>
      <c r="BI1440" s="355">
        <v>0.11026</v>
      </c>
      <c r="BJ1440" s="624">
        <v>40269</v>
      </c>
      <c r="BK1440" s="355">
        <v>3.0917E-2</v>
      </c>
    </row>
    <row r="1441" spans="3:63">
      <c r="C1441" s="624"/>
      <c r="D1441" s="355">
        <v>3.4110000000000001E-2</v>
      </c>
      <c r="AV1441" s="624"/>
      <c r="AX1441" s="624">
        <v>40276</v>
      </c>
      <c r="AY1441" s="355">
        <v>3.3989999999999999E-2</v>
      </c>
      <c r="AZ1441" s="624">
        <v>40340</v>
      </c>
      <c r="BA1441" s="355">
        <v>1.1599999999999999E-2</v>
      </c>
      <c r="BB1441" s="624">
        <v>40273</v>
      </c>
      <c r="BC1441" s="355">
        <v>0.3508</v>
      </c>
      <c r="BD1441" s="624">
        <v>40273</v>
      </c>
      <c r="BE1441" s="355">
        <v>8.9050000000000004E-2</v>
      </c>
      <c r="BF1441" s="624">
        <v>40340</v>
      </c>
      <c r="BG1441" s="355">
        <v>2.1349E-2</v>
      </c>
      <c r="BH1441" s="624">
        <v>40273</v>
      </c>
      <c r="BI1441" s="355">
        <v>0.110375</v>
      </c>
      <c r="BJ1441" s="624">
        <v>40270</v>
      </c>
      <c r="BK1441" s="355">
        <v>3.0911999999999999E-2</v>
      </c>
    </row>
    <row r="1442" spans="3:63">
      <c r="C1442" s="624"/>
      <c r="D1442" s="355">
        <v>3.3989999999999999E-2</v>
      </c>
      <c r="AV1442" s="624"/>
      <c r="AX1442" s="624">
        <v>40277</v>
      </c>
      <c r="AY1442" s="355">
        <v>3.4320000000000003E-2</v>
      </c>
      <c r="AZ1442" s="624">
        <v>40343</v>
      </c>
      <c r="BA1442" s="355">
        <v>1.18E-2</v>
      </c>
      <c r="BB1442" s="624">
        <v>40274</v>
      </c>
      <c r="BC1442" s="355">
        <v>0.34949999999999998</v>
      </c>
      <c r="BD1442" s="624">
        <v>40274</v>
      </c>
      <c r="BE1442" s="355">
        <v>8.9090000000000003E-2</v>
      </c>
      <c r="BF1442" s="624">
        <v>40343</v>
      </c>
      <c r="BG1442" s="355">
        <v>2.1510000000000001E-2</v>
      </c>
      <c r="BH1442" s="624">
        <v>40274</v>
      </c>
      <c r="BI1442" s="355">
        <v>0.11054600000000001</v>
      </c>
      <c r="BJ1442" s="624">
        <v>40273</v>
      </c>
      <c r="BK1442" s="355">
        <v>3.0879E-2</v>
      </c>
    </row>
    <row r="1443" spans="3:63">
      <c r="C1443" s="624"/>
      <c r="D1443" s="355">
        <v>3.4320000000000003E-2</v>
      </c>
      <c r="AV1443" s="624"/>
      <c r="AX1443" s="624">
        <v>40280</v>
      </c>
      <c r="AY1443" s="355">
        <v>3.4470000000000001E-2</v>
      </c>
      <c r="AZ1443" s="624">
        <v>40344</v>
      </c>
      <c r="BA1443" s="355">
        <v>1.1900000000000001E-2</v>
      </c>
      <c r="BB1443" s="624">
        <v>40275</v>
      </c>
      <c r="BC1443" s="355">
        <v>0.34820000000000001</v>
      </c>
      <c r="BD1443" s="624">
        <v>40275</v>
      </c>
      <c r="BE1443" s="355">
        <v>8.9080000000000006E-2</v>
      </c>
      <c r="BF1443" s="624">
        <v>40344</v>
      </c>
      <c r="BG1443" s="355">
        <v>2.1472999999999999E-2</v>
      </c>
      <c r="BH1443" s="624">
        <v>40275</v>
      </c>
      <c r="BI1443" s="355">
        <v>0.110461</v>
      </c>
      <c r="BJ1443" s="624">
        <v>40274</v>
      </c>
      <c r="BK1443" s="355">
        <v>3.0893E-2</v>
      </c>
    </row>
    <row r="1444" spans="3:63">
      <c r="C1444" s="624"/>
      <c r="D1444" s="355">
        <v>3.4470000000000001E-2</v>
      </c>
      <c r="AV1444" s="624"/>
      <c r="AX1444" s="624">
        <v>40281</v>
      </c>
      <c r="AY1444" s="355">
        <v>3.4430000000000002E-2</v>
      </c>
      <c r="AZ1444" s="624">
        <v>40345</v>
      </c>
      <c r="BA1444" s="355">
        <v>1.1900000000000001E-2</v>
      </c>
      <c r="BB1444" s="624">
        <v>40276</v>
      </c>
      <c r="BC1444" s="355">
        <v>0.34739999999999999</v>
      </c>
      <c r="BD1444" s="624">
        <v>40276</v>
      </c>
      <c r="BE1444" s="355">
        <v>8.9010000000000006E-2</v>
      </c>
      <c r="BF1444" s="624">
        <v>40345</v>
      </c>
      <c r="BG1444" s="355">
        <v>2.1481E-2</v>
      </c>
      <c r="BH1444" s="624">
        <v>40276</v>
      </c>
      <c r="BI1444" s="355">
        <v>0.110522</v>
      </c>
      <c r="BJ1444" s="624">
        <v>40275</v>
      </c>
      <c r="BK1444" s="355">
        <v>3.0911999999999999E-2</v>
      </c>
    </row>
    <row r="1445" spans="3:63">
      <c r="C1445" s="624"/>
      <c r="D1445" s="355">
        <v>3.4430000000000002E-2</v>
      </c>
      <c r="AV1445" s="624"/>
      <c r="AX1445" s="624">
        <v>40282</v>
      </c>
      <c r="AY1445" s="355">
        <v>3.4540000000000001E-2</v>
      </c>
      <c r="AZ1445" s="624">
        <v>40346</v>
      </c>
      <c r="BA1445" s="355">
        <v>1.1900000000000001E-2</v>
      </c>
      <c r="BB1445" s="624">
        <v>40277</v>
      </c>
      <c r="BC1445" s="355">
        <v>0.3488</v>
      </c>
      <c r="BD1445" s="624">
        <v>40277</v>
      </c>
      <c r="BE1445" s="355">
        <v>8.9709999999999998E-2</v>
      </c>
      <c r="BF1445" s="624">
        <v>40346</v>
      </c>
      <c r="BG1445" s="355">
        <v>2.1593999999999999E-2</v>
      </c>
      <c r="BH1445" s="624">
        <v>40277</v>
      </c>
      <c r="BI1445" s="355">
        <v>0.11083999999999999</v>
      </c>
      <c r="BJ1445" s="624">
        <v>40276</v>
      </c>
      <c r="BK1445" s="355">
        <v>3.0964999999999999E-2</v>
      </c>
    </row>
    <row r="1446" spans="3:63">
      <c r="C1446" s="624"/>
      <c r="D1446" s="355">
        <v>3.4540000000000001E-2</v>
      </c>
      <c r="AV1446" s="624"/>
      <c r="AX1446" s="624">
        <v>40283</v>
      </c>
      <c r="AY1446" s="355">
        <v>3.4470000000000001E-2</v>
      </c>
      <c r="AZ1446" s="624">
        <v>40347</v>
      </c>
      <c r="BA1446" s="355">
        <v>1.1900000000000001E-2</v>
      </c>
      <c r="BB1446" s="624">
        <v>40280</v>
      </c>
      <c r="BC1446" s="355">
        <v>0.35220000000000001</v>
      </c>
      <c r="BD1446" s="624">
        <v>40280</v>
      </c>
      <c r="BE1446" s="355">
        <v>8.9639999999999997E-2</v>
      </c>
      <c r="BF1446" s="624">
        <v>40347</v>
      </c>
      <c r="BG1446" s="355">
        <v>2.1663999999999999E-2</v>
      </c>
      <c r="BH1446" s="624">
        <v>40280</v>
      </c>
      <c r="BI1446" s="355">
        <v>0.110889</v>
      </c>
      <c r="BJ1446" s="624">
        <v>40277</v>
      </c>
      <c r="BK1446" s="355">
        <v>3.1119000000000001E-2</v>
      </c>
    </row>
    <row r="1447" spans="3:63">
      <c r="C1447" s="624"/>
      <c r="D1447" s="355">
        <v>3.4470000000000001E-2</v>
      </c>
      <c r="AV1447" s="624"/>
      <c r="AX1447" s="624">
        <v>40284</v>
      </c>
      <c r="AY1447" s="355">
        <v>3.44E-2</v>
      </c>
      <c r="AZ1447" s="624">
        <v>40350</v>
      </c>
      <c r="BA1447" s="355">
        <v>1.18E-2</v>
      </c>
      <c r="BB1447" s="624">
        <v>40281</v>
      </c>
      <c r="BC1447" s="355">
        <v>0.35149999999999998</v>
      </c>
      <c r="BD1447" s="624">
        <v>40281</v>
      </c>
      <c r="BE1447" s="355">
        <v>8.9270000000000002E-2</v>
      </c>
      <c r="BF1447" s="624">
        <v>40350</v>
      </c>
      <c r="BG1447" s="355">
        <v>2.1850999999999999E-2</v>
      </c>
      <c r="BH1447" s="624">
        <v>40281</v>
      </c>
      <c r="BI1447" s="355">
        <v>0.110739</v>
      </c>
      <c r="BJ1447" s="624">
        <v>40280</v>
      </c>
      <c r="BK1447" s="355">
        <v>3.0901999999999999E-2</v>
      </c>
    </row>
    <row r="1448" spans="3:63">
      <c r="C1448" s="624"/>
      <c r="D1448" s="355">
        <v>3.44E-2</v>
      </c>
      <c r="AV1448" s="624"/>
      <c r="AX1448" s="624">
        <v>40287</v>
      </c>
      <c r="AY1448" s="355">
        <v>3.4290000000000001E-2</v>
      </c>
      <c r="AZ1448" s="624">
        <v>40351</v>
      </c>
      <c r="BA1448" s="355">
        <v>1.18E-2</v>
      </c>
      <c r="BB1448" s="624">
        <v>40282</v>
      </c>
      <c r="BC1448" s="355">
        <v>0.3538</v>
      </c>
      <c r="BD1448" s="624">
        <v>40282</v>
      </c>
      <c r="BE1448" s="355">
        <v>9.0069999999999997E-2</v>
      </c>
      <c r="BF1448" s="624">
        <v>40351</v>
      </c>
      <c r="BG1448" s="355">
        <v>2.1625999999999999E-2</v>
      </c>
      <c r="BH1448" s="624">
        <v>40282</v>
      </c>
      <c r="BI1448" s="355">
        <v>0.11107400000000001</v>
      </c>
      <c r="BJ1448" s="624">
        <v>40281</v>
      </c>
      <c r="BK1448" s="355">
        <v>3.0907E-2</v>
      </c>
    </row>
    <row r="1449" spans="3:63">
      <c r="C1449" s="624"/>
      <c r="D1449" s="355">
        <v>3.4290000000000001E-2</v>
      </c>
      <c r="AV1449" s="624"/>
      <c r="AX1449" s="624">
        <v>40288</v>
      </c>
      <c r="AY1449" s="355">
        <v>3.4320000000000003E-2</v>
      </c>
      <c r="AZ1449" s="624">
        <v>40352</v>
      </c>
      <c r="BA1449" s="355">
        <v>1.18E-2</v>
      </c>
      <c r="BB1449" s="624">
        <v>40283</v>
      </c>
      <c r="BC1449" s="355">
        <v>0.35189999999999999</v>
      </c>
      <c r="BD1449" s="624">
        <v>40283</v>
      </c>
      <c r="BE1449" s="355">
        <v>9.0060000000000001E-2</v>
      </c>
      <c r="BF1449" s="624">
        <v>40352</v>
      </c>
      <c r="BG1449" s="355">
        <v>2.1649999999999999E-2</v>
      </c>
      <c r="BH1449" s="624">
        <v>40283</v>
      </c>
      <c r="BI1449" s="355">
        <v>0.110914</v>
      </c>
      <c r="BJ1449" s="624">
        <v>40282</v>
      </c>
      <c r="BK1449" s="355">
        <v>3.1036999999999999E-2</v>
      </c>
    </row>
    <row r="1450" spans="3:63">
      <c r="C1450" s="624"/>
      <c r="D1450" s="355">
        <v>3.4320000000000003E-2</v>
      </c>
      <c r="AV1450" s="624"/>
      <c r="AX1450" s="624">
        <v>40289</v>
      </c>
      <c r="AY1450" s="355">
        <v>3.4329999999999999E-2</v>
      </c>
      <c r="AZ1450" s="624">
        <v>40353</v>
      </c>
      <c r="BA1450" s="355">
        <v>1.1900000000000001E-2</v>
      </c>
      <c r="BB1450" s="624">
        <v>40284</v>
      </c>
      <c r="BC1450" s="355">
        <v>0.34810000000000002</v>
      </c>
      <c r="BD1450" s="624">
        <v>40284</v>
      </c>
      <c r="BE1450" s="355">
        <v>8.9840000000000003E-2</v>
      </c>
      <c r="BF1450" s="624">
        <v>40353</v>
      </c>
      <c r="BG1450" s="355">
        <v>2.1513000000000001E-2</v>
      </c>
      <c r="BH1450" s="624">
        <v>40284</v>
      </c>
      <c r="BI1450" s="355">
        <v>0.111012</v>
      </c>
      <c r="BJ1450" s="624">
        <v>40283</v>
      </c>
      <c r="BK1450" s="355">
        <v>3.1026999999999999E-2</v>
      </c>
    </row>
    <row r="1451" spans="3:63">
      <c r="C1451" s="624"/>
      <c r="D1451" s="355">
        <v>3.4329999999999999E-2</v>
      </c>
      <c r="AV1451" s="624"/>
      <c r="AX1451" s="624">
        <v>40290</v>
      </c>
      <c r="AY1451" s="355">
        <v>3.4189999999999998E-2</v>
      </c>
      <c r="AZ1451" s="624">
        <v>40354</v>
      </c>
      <c r="BA1451" s="355">
        <v>1.1900000000000001E-2</v>
      </c>
      <c r="BB1451" s="624">
        <v>40287</v>
      </c>
      <c r="BC1451" s="355">
        <v>0.34660000000000002</v>
      </c>
      <c r="BD1451" s="624">
        <v>40287</v>
      </c>
      <c r="BE1451" s="355">
        <v>8.9389999999999997E-2</v>
      </c>
      <c r="BF1451" s="624">
        <v>40354</v>
      </c>
      <c r="BG1451" s="355">
        <v>2.1603000000000001E-2</v>
      </c>
      <c r="BH1451" s="624">
        <v>40287</v>
      </c>
      <c r="BI1451" s="355">
        <v>0.110675</v>
      </c>
      <c r="BJ1451" s="624">
        <v>40284</v>
      </c>
      <c r="BK1451" s="355">
        <v>3.1014E-2</v>
      </c>
    </row>
    <row r="1452" spans="3:63">
      <c r="C1452" s="624"/>
      <c r="D1452" s="355">
        <v>3.4189999999999998E-2</v>
      </c>
      <c r="AV1452" s="624"/>
      <c r="AX1452" s="624">
        <v>40291</v>
      </c>
      <c r="AY1452" s="355">
        <v>3.4340000000000002E-2</v>
      </c>
      <c r="AZ1452" s="624">
        <v>40357</v>
      </c>
      <c r="BA1452" s="355">
        <v>1.17E-2</v>
      </c>
      <c r="BB1452" s="624">
        <v>40288</v>
      </c>
      <c r="BC1452" s="355">
        <v>0.34599999999999997</v>
      </c>
      <c r="BD1452" s="624">
        <v>40288</v>
      </c>
      <c r="BE1452" s="355">
        <v>8.9789999999999995E-2</v>
      </c>
      <c r="BF1452" s="624">
        <v>40357</v>
      </c>
      <c r="BG1452" s="355">
        <v>2.164E-2</v>
      </c>
      <c r="BH1452" s="624">
        <v>40288</v>
      </c>
      <c r="BI1452" s="355">
        <v>0.11108</v>
      </c>
      <c r="BJ1452" s="624">
        <v>40287</v>
      </c>
      <c r="BK1452" s="355">
        <v>3.1042E-2</v>
      </c>
    </row>
    <row r="1453" spans="3:63">
      <c r="C1453" s="624"/>
      <c r="D1453" s="355">
        <v>3.4340000000000002E-2</v>
      </c>
      <c r="AV1453" s="624"/>
      <c r="AX1453" s="624">
        <v>40294</v>
      </c>
      <c r="AY1453" s="355">
        <v>3.4430000000000002E-2</v>
      </c>
      <c r="AZ1453" s="624">
        <v>40358</v>
      </c>
      <c r="BA1453" s="355">
        <v>1.1599999999999999E-2</v>
      </c>
      <c r="BB1453" s="624">
        <v>40289</v>
      </c>
      <c r="BC1453" s="355">
        <v>0.34660000000000002</v>
      </c>
      <c r="BD1453" s="624">
        <v>40289</v>
      </c>
      <c r="BE1453" s="355">
        <v>9.0149999999999994E-2</v>
      </c>
      <c r="BF1453" s="624">
        <v>40358</v>
      </c>
      <c r="BG1453" s="355">
        <v>2.1514999999999999E-2</v>
      </c>
      <c r="BH1453" s="624">
        <v>40289</v>
      </c>
      <c r="BI1453" s="355">
        <v>0.11101900000000001</v>
      </c>
      <c r="BJ1453" s="624">
        <v>40288</v>
      </c>
      <c r="BK1453" s="355">
        <v>3.1085000000000002E-2</v>
      </c>
    </row>
    <row r="1454" spans="3:63">
      <c r="C1454" s="624"/>
      <c r="D1454" s="355">
        <v>3.4430000000000002E-2</v>
      </c>
      <c r="AV1454" s="624"/>
      <c r="AX1454" s="624">
        <v>40295</v>
      </c>
      <c r="AY1454" s="355">
        <v>3.4000000000000002E-2</v>
      </c>
      <c r="AZ1454" s="624">
        <v>40359</v>
      </c>
      <c r="BA1454" s="355">
        <v>1.17E-2</v>
      </c>
      <c r="BB1454" s="624">
        <v>40290</v>
      </c>
      <c r="BC1454" s="355">
        <v>0.34150000000000003</v>
      </c>
      <c r="BD1454" s="624">
        <v>40290</v>
      </c>
      <c r="BE1454" s="355">
        <v>9.0130000000000002E-2</v>
      </c>
      <c r="BF1454" s="624">
        <v>40359</v>
      </c>
      <c r="BG1454" s="355">
        <v>2.1527000000000001E-2</v>
      </c>
      <c r="BH1454" s="624">
        <v>40290</v>
      </c>
      <c r="BI1454" s="355">
        <v>0.11089499999999999</v>
      </c>
      <c r="BJ1454" s="624">
        <v>40289</v>
      </c>
      <c r="BK1454" s="355">
        <v>3.107E-2</v>
      </c>
    </row>
    <row r="1455" spans="3:63">
      <c r="C1455" s="624"/>
      <c r="D1455" s="355">
        <v>3.4000000000000002E-2</v>
      </c>
      <c r="AV1455" s="624"/>
      <c r="AX1455" s="624">
        <v>40296</v>
      </c>
      <c r="AY1455" s="355">
        <v>3.4079999999999999E-2</v>
      </c>
      <c r="AZ1455" s="624">
        <v>40360</v>
      </c>
      <c r="BA1455" s="355">
        <v>1.2E-2</v>
      </c>
      <c r="BB1455" s="624">
        <v>40291</v>
      </c>
      <c r="BC1455" s="355">
        <v>0.3448</v>
      </c>
      <c r="BD1455" s="624">
        <v>40291</v>
      </c>
      <c r="BE1455" s="355">
        <v>9.0270000000000003E-2</v>
      </c>
      <c r="BF1455" s="624">
        <v>40360</v>
      </c>
      <c r="BG1455" s="355">
        <v>2.1468000000000001E-2</v>
      </c>
      <c r="BH1455" s="624">
        <v>40291</v>
      </c>
      <c r="BI1455" s="355">
        <v>0.11126</v>
      </c>
      <c r="BJ1455" s="624">
        <v>40290</v>
      </c>
      <c r="BK1455" s="355">
        <v>3.0969E-2</v>
      </c>
    </row>
    <row r="1456" spans="3:63">
      <c r="C1456" s="624"/>
      <c r="D1456" s="355">
        <v>3.4079999999999999E-2</v>
      </c>
      <c r="AV1456" s="624"/>
      <c r="AX1456" s="624">
        <v>40297</v>
      </c>
      <c r="AY1456" s="355">
        <v>3.4200000000000001E-2</v>
      </c>
      <c r="AZ1456" s="624">
        <v>40361</v>
      </c>
      <c r="BA1456" s="355">
        <v>1.2E-2</v>
      </c>
      <c r="BB1456" s="624">
        <v>40294</v>
      </c>
      <c r="BC1456" s="355">
        <v>0.3448</v>
      </c>
      <c r="BD1456" s="624">
        <v>40294</v>
      </c>
      <c r="BE1456" s="355">
        <v>9.0539999999999995E-2</v>
      </c>
      <c r="BF1456" s="624">
        <v>40361</v>
      </c>
      <c r="BG1456" s="355">
        <v>2.1374000000000001E-2</v>
      </c>
      <c r="BH1456" s="624">
        <v>40294</v>
      </c>
      <c r="BI1456" s="355">
        <v>0.11101900000000001</v>
      </c>
      <c r="BJ1456" s="624">
        <v>40291</v>
      </c>
      <c r="BK1456" s="355">
        <v>3.1046000000000001E-2</v>
      </c>
    </row>
    <row r="1457" spans="3:63">
      <c r="C1457" s="624"/>
      <c r="D1457" s="355">
        <v>3.4200000000000001E-2</v>
      </c>
      <c r="AV1457" s="624"/>
      <c r="AX1457" s="624">
        <v>40298</v>
      </c>
      <c r="AY1457" s="355">
        <v>3.422E-2</v>
      </c>
      <c r="AZ1457" s="624">
        <v>40364</v>
      </c>
      <c r="BA1457" s="355">
        <v>1.2E-2</v>
      </c>
      <c r="BB1457" s="624">
        <v>40295</v>
      </c>
      <c r="BC1457" s="355">
        <v>0.33500000000000002</v>
      </c>
      <c r="BD1457" s="624">
        <v>40295</v>
      </c>
      <c r="BE1457" s="355">
        <v>8.9469999999999994E-2</v>
      </c>
      <c r="BF1457" s="624">
        <v>40364</v>
      </c>
      <c r="BG1457" s="355">
        <v>2.1377E-2</v>
      </c>
      <c r="BH1457" s="624">
        <v>40295</v>
      </c>
      <c r="BI1457" s="355">
        <v>0.11101900000000001</v>
      </c>
      <c r="BJ1457" s="624">
        <v>40294</v>
      </c>
      <c r="BK1457" s="355">
        <v>3.1104E-2</v>
      </c>
    </row>
    <row r="1458" spans="3:63">
      <c r="C1458" s="624"/>
      <c r="D1458" s="355">
        <v>3.422E-2</v>
      </c>
      <c r="AV1458" s="624"/>
      <c r="AX1458" s="624">
        <v>40301</v>
      </c>
      <c r="AY1458" s="355">
        <v>3.406E-2</v>
      </c>
      <c r="AZ1458" s="624">
        <v>40365</v>
      </c>
      <c r="BA1458" s="355">
        <v>1.21E-2</v>
      </c>
      <c r="BB1458" s="624">
        <v>40296</v>
      </c>
      <c r="BC1458" s="355">
        <v>0.33829999999999999</v>
      </c>
      <c r="BD1458" s="624">
        <v>40296</v>
      </c>
      <c r="BE1458" s="355">
        <v>8.9630000000000001E-2</v>
      </c>
      <c r="BF1458" s="624">
        <v>40365</v>
      </c>
      <c r="BG1458" s="355">
        <v>2.1319000000000001E-2</v>
      </c>
      <c r="BH1458" s="624">
        <v>40296</v>
      </c>
      <c r="BI1458" s="355">
        <v>0.110528</v>
      </c>
      <c r="BJ1458" s="624">
        <v>40295</v>
      </c>
      <c r="BK1458" s="355">
        <v>3.0993E-2</v>
      </c>
    </row>
    <row r="1459" spans="3:63">
      <c r="C1459" s="624"/>
      <c r="D1459" s="355">
        <v>3.406E-2</v>
      </c>
      <c r="AV1459" s="624"/>
      <c r="AX1459" s="624">
        <v>40302</v>
      </c>
      <c r="AY1459" s="355">
        <v>3.3790000000000001E-2</v>
      </c>
      <c r="AZ1459" s="624">
        <v>40366</v>
      </c>
      <c r="BA1459" s="355">
        <v>1.2200000000000001E-2</v>
      </c>
      <c r="BB1459" s="624">
        <v>40297</v>
      </c>
      <c r="BC1459" s="355">
        <v>0.3387</v>
      </c>
      <c r="BD1459" s="624">
        <v>40297</v>
      </c>
      <c r="BE1459" s="355">
        <v>9.0039999999999995E-2</v>
      </c>
      <c r="BF1459" s="624">
        <v>40366</v>
      </c>
      <c r="BG1459" s="355">
        <v>2.1262E-2</v>
      </c>
      <c r="BH1459" s="624">
        <v>40297</v>
      </c>
      <c r="BI1459" s="355">
        <v>0.110957</v>
      </c>
      <c r="BJ1459" s="624">
        <v>40296</v>
      </c>
      <c r="BK1459" s="355">
        <v>3.0938E-2</v>
      </c>
    </row>
    <row r="1460" spans="3:63">
      <c r="C1460" s="624"/>
      <c r="D1460" s="355">
        <v>3.3790000000000001E-2</v>
      </c>
      <c r="AV1460" s="624"/>
      <c r="AX1460" s="624">
        <v>40303</v>
      </c>
      <c r="AY1460" s="355">
        <v>3.3270000000000001E-2</v>
      </c>
      <c r="AZ1460" s="624">
        <v>40367</v>
      </c>
      <c r="BA1460" s="355">
        <v>1.2200000000000001E-2</v>
      </c>
      <c r="BB1460" s="624">
        <v>40298</v>
      </c>
      <c r="BC1460" s="355">
        <v>0.33839999999999998</v>
      </c>
      <c r="BD1460" s="624">
        <v>40298</v>
      </c>
      <c r="BE1460" s="355">
        <v>8.9959999999999998E-2</v>
      </c>
      <c r="BF1460" s="624">
        <v>40367</v>
      </c>
      <c r="BG1460" s="355">
        <v>2.1336999999999998E-2</v>
      </c>
      <c r="BH1460" s="624">
        <v>40298</v>
      </c>
      <c r="BI1460" s="355">
        <v>0.110926</v>
      </c>
      <c r="BJ1460" s="624">
        <v>40297</v>
      </c>
      <c r="BK1460" s="355">
        <v>3.0984000000000001E-2</v>
      </c>
    </row>
    <row r="1461" spans="3:63">
      <c r="C1461" s="624"/>
      <c r="D1461" s="355">
        <v>3.3270000000000001E-2</v>
      </c>
      <c r="AV1461" s="624"/>
      <c r="AX1461" s="624">
        <v>40304</v>
      </c>
      <c r="AY1461" s="355">
        <v>3.2570000000000002E-2</v>
      </c>
      <c r="AZ1461" s="624">
        <v>40368</v>
      </c>
      <c r="BA1461" s="355">
        <v>1.2200000000000001E-2</v>
      </c>
      <c r="BB1461" s="624">
        <v>40301</v>
      </c>
      <c r="BC1461" s="355">
        <v>0.3367</v>
      </c>
      <c r="BD1461" s="624">
        <v>40301</v>
      </c>
      <c r="BE1461" s="355">
        <v>8.9849999999999999E-2</v>
      </c>
      <c r="BF1461" s="624">
        <v>40368</v>
      </c>
      <c r="BG1461" s="355">
        <v>2.1432E-2</v>
      </c>
      <c r="BH1461" s="624">
        <v>40301</v>
      </c>
      <c r="BI1461" s="355">
        <v>0.110773</v>
      </c>
      <c r="BJ1461" s="624">
        <v>40298</v>
      </c>
      <c r="BK1461" s="355">
        <v>3.1005999999999999E-2</v>
      </c>
    </row>
    <row r="1462" spans="3:63">
      <c r="C1462" s="624"/>
      <c r="D1462" s="355">
        <v>3.2570000000000002E-2</v>
      </c>
      <c r="AV1462" s="624"/>
      <c r="AX1462" s="624">
        <v>40305</v>
      </c>
      <c r="AY1462" s="355">
        <v>3.2820000000000002E-2</v>
      </c>
      <c r="AZ1462" s="624">
        <v>40371</v>
      </c>
      <c r="BA1462" s="355">
        <v>1.21E-2</v>
      </c>
      <c r="BB1462" s="624">
        <v>40302</v>
      </c>
      <c r="BC1462" s="355">
        <v>0.32290000000000002</v>
      </c>
      <c r="BD1462" s="624">
        <v>40302</v>
      </c>
      <c r="BE1462" s="355">
        <v>8.8270000000000001E-2</v>
      </c>
      <c r="BF1462" s="624">
        <v>40371</v>
      </c>
      <c r="BG1462" s="355">
        <v>2.1378999999999999E-2</v>
      </c>
      <c r="BH1462" s="624">
        <v>40302</v>
      </c>
      <c r="BI1462" s="355">
        <v>0.110711</v>
      </c>
      <c r="BJ1462" s="624">
        <v>40301</v>
      </c>
      <c r="BK1462" s="355">
        <v>3.0883000000000001E-2</v>
      </c>
    </row>
    <row r="1463" spans="3:63">
      <c r="C1463" s="624"/>
      <c r="D1463" s="355">
        <v>3.2820000000000002E-2</v>
      </c>
      <c r="AV1463" s="624"/>
      <c r="AX1463" s="624">
        <v>40308</v>
      </c>
      <c r="AY1463" s="355">
        <v>3.313E-2</v>
      </c>
      <c r="AZ1463" s="624">
        <v>40372</v>
      </c>
      <c r="BA1463" s="355">
        <v>1.2200000000000001E-2</v>
      </c>
      <c r="BB1463" s="624">
        <v>40303</v>
      </c>
      <c r="BC1463" s="355">
        <v>0.31390000000000001</v>
      </c>
      <c r="BD1463" s="624">
        <v>40303</v>
      </c>
      <c r="BE1463" s="355">
        <v>8.7400000000000005E-2</v>
      </c>
      <c r="BF1463" s="624">
        <v>40372</v>
      </c>
      <c r="BG1463" s="355">
        <v>2.1377E-2</v>
      </c>
      <c r="BH1463" s="624">
        <v>40303</v>
      </c>
      <c r="BI1463" s="355">
        <v>0.107643</v>
      </c>
      <c r="BJ1463" s="624">
        <v>40302</v>
      </c>
      <c r="BK1463" s="355">
        <v>3.0941E-2</v>
      </c>
    </row>
    <row r="1464" spans="3:63">
      <c r="C1464" s="624"/>
      <c r="D1464" s="355">
        <v>3.313E-2</v>
      </c>
      <c r="AV1464" s="624"/>
      <c r="AX1464" s="624">
        <v>40309</v>
      </c>
      <c r="AY1464" s="355">
        <v>3.3140000000000003E-2</v>
      </c>
      <c r="AZ1464" s="624">
        <v>40373</v>
      </c>
      <c r="BA1464" s="355">
        <v>1.2200000000000001E-2</v>
      </c>
      <c r="BB1464" s="624">
        <v>40304</v>
      </c>
      <c r="BC1464" s="355">
        <v>0.30080000000000001</v>
      </c>
      <c r="BD1464" s="624">
        <v>40304</v>
      </c>
      <c r="BE1464" s="355">
        <v>8.6379999999999998E-2</v>
      </c>
      <c r="BF1464" s="624">
        <v>40373</v>
      </c>
      <c r="BG1464" s="355">
        <v>2.1409999999999998E-2</v>
      </c>
      <c r="BH1464" s="624">
        <v>40304</v>
      </c>
      <c r="BI1464" s="355">
        <v>0.105519</v>
      </c>
      <c r="BJ1464" s="624">
        <v>40303</v>
      </c>
      <c r="BK1464" s="355">
        <v>3.0875E-2</v>
      </c>
    </row>
    <row r="1465" spans="3:63">
      <c r="C1465" s="624"/>
      <c r="D1465" s="355">
        <v>3.3140000000000003E-2</v>
      </c>
      <c r="AV1465" s="624"/>
      <c r="AX1465" s="624">
        <v>40310</v>
      </c>
      <c r="AY1465" s="355">
        <v>3.3300000000000003E-2</v>
      </c>
      <c r="AZ1465" s="624">
        <v>40374</v>
      </c>
      <c r="BA1465" s="355">
        <v>1.24E-2</v>
      </c>
      <c r="BB1465" s="624">
        <v>40305</v>
      </c>
      <c r="BC1465" s="355">
        <v>0.30980000000000002</v>
      </c>
      <c r="BD1465" s="624">
        <v>40305</v>
      </c>
      <c r="BE1465" s="355">
        <v>8.6849999999999997E-2</v>
      </c>
      <c r="BF1465" s="624">
        <v>40374</v>
      </c>
      <c r="BG1465" s="355">
        <v>2.1454999999999998E-2</v>
      </c>
      <c r="BH1465" s="624">
        <v>40305</v>
      </c>
      <c r="BI1465" s="355">
        <v>0.107707</v>
      </c>
      <c r="BJ1465" s="624">
        <v>40304</v>
      </c>
      <c r="BK1465" s="355">
        <v>3.1012999999999999E-2</v>
      </c>
    </row>
    <row r="1466" spans="3:63">
      <c r="C1466" s="624"/>
      <c r="D1466" s="355">
        <v>3.3300000000000003E-2</v>
      </c>
      <c r="AV1466" s="624"/>
      <c r="AX1466" s="624">
        <v>40311</v>
      </c>
      <c r="AY1466" s="355">
        <v>3.3279999999999997E-2</v>
      </c>
      <c r="AZ1466" s="624">
        <v>40375</v>
      </c>
      <c r="BA1466" s="355">
        <v>1.23E-2</v>
      </c>
      <c r="BB1466" s="624">
        <v>40308</v>
      </c>
      <c r="BC1466" s="355">
        <v>0.31819999999999998</v>
      </c>
      <c r="BD1466" s="624">
        <v>40308</v>
      </c>
      <c r="BE1466" s="355">
        <v>8.8340000000000002E-2</v>
      </c>
      <c r="BF1466" s="624">
        <v>40375</v>
      </c>
      <c r="BG1466" s="355">
        <v>2.1378999999999999E-2</v>
      </c>
      <c r="BH1466" s="624">
        <v>40308</v>
      </c>
      <c r="BI1466" s="355">
        <v>0.110175</v>
      </c>
      <c r="BJ1466" s="624">
        <v>40305</v>
      </c>
      <c r="BK1466" s="355">
        <v>3.099E-2</v>
      </c>
    </row>
    <row r="1467" spans="3:63">
      <c r="C1467" s="624"/>
      <c r="D1467" s="355">
        <v>3.3279999999999997E-2</v>
      </c>
      <c r="AV1467" s="624"/>
      <c r="AX1467" s="624">
        <v>40312</v>
      </c>
      <c r="AY1467" s="355">
        <v>3.2779999999999997E-2</v>
      </c>
      <c r="AZ1467" s="624">
        <v>40378</v>
      </c>
      <c r="BA1467" s="355">
        <v>1.23E-2</v>
      </c>
      <c r="BB1467" s="624">
        <v>40309</v>
      </c>
      <c r="BC1467" s="355">
        <v>0.3145</v>
      </c>
      <c r="BD1467" s="624">
        <v>40309</v>
      </c>
      <c r="BE1467" s="355">
        <v>8.8099999999999998E-2</v>
      </c>
      <c r="BF1467" s="624">
        <v>40378</v>
      </c>
      <c r="BG1467" s="355">
        <v>2.1236000000000001E-2</v>
      </c>
      <c r="BH1467" s="624">
        <v>40309</v>
      </c>
      <c r="BI1467" s="355">
        <v>0.10977000000000001</v>
      </c>
      <c r="BJ1467" s="624">
        <v>40308</v>
      </c>
      <c r="BK1467" s="355">
        <v>3.1022000000000001E-2</v>
      </c>
    </row>
    <row r="1468" spans="3:63">
      <c r="C1468" s="624"/>
      <c r="D1468" s="355">
        <v>3.2779999999999997E-2</v>
      </c>
      <c r="AV1468" s="624"/>
      <c r="AX1468" s="624">
        <v>40315</v>
      </c>
      <c r="AY1468" s="355">
        <v>3.2750000000000001E-2</v>
      </c>
      <c r="AZ1468" s="624">
        <v>40379</v>
      </c>
      <c r="BA1468" s="355">
        <v>1.23E-2</v>
      </c>
      <c r="BB1468" s="624">
        <v>40310</v>
      </c>
      <c r="BC1468" s="355">
        <v>0.31909999999999999</v>
      </c>
      <c r="BD1468" s="624">
        <v>40310</v>
      </c>
      <c r="BE1468" s="355">
        <v>8.8099999999999998E-2</v>
      </c>
      <c r="BF1468" s="624">
        <v>40379</v>
      </c>
      <c r="BG1468" s="355">
        <v>2.1115999999999999E-2</v>
      </c>
      <c r="BH1468" s="624">
        <v>40310</v>
      </c>
      <c r="BI1468" s="355">
        <v>0.10979999999999999</v>
      </c>
      <c r="BJ1468" s="624">
        <v>40309</v>
      </c>
      <c r="BK1468" s="355">
        <v>3.0941E-2</v>
      </c>
    </row>
    <row r="1469" spans="3:63">
      <c r="C1469" s="624"/>
      <c r="D1469" s="355">
        <v>3.2750000000000001E-2</v>
      </c>
      <c r="AV1469" s="624"/>
      <c r="AX1469" s="624">
        <v>40316</v>
      </c>
      <c r="AY1469" s="355">
        <v>3.2770000000000001E-2</v>
      </c>
      <c r="AZ1469" s="624">
        <v>40380</v>
      </c>
      <c r="BA1469" s="355">
        <v>1.21E-2</v>
      </c>
      <c r="BB1469" s="624">
        <v>40311</v>
      </c>
      <c r="BC1469" s="355">
        <v>0.31719999999999998</v>
      </c>
      <c r="BD1469" s="624">
        <v>40311</v>
      </c>
      <c r="BE1469" s="355">
        <v>8.8179999999999994E-2</v>
      </c>
      <c r="BF1469" s="624">
        <v>40380</v>
      </c>
      <c r="BG1469" s="355">
        <v>2.12E-2</v>
      </c>
      <c r="BH1469" s="624">
        <v>40311</v>
      </c>
      <c r="BI1469" s="355">
        <v>0.109685</v>
      </c>
      <c r="BJ1469" s="624">
        <v>40310</v>
      </c>
      <c r="BK1469" s="355">
        <v>3.0974000000000002E-2</v>
      </c>
    </row>
    <row r="1470" spans="3:63">
      <c r="C1470" s="624"/>
      <c r="D1470" s="355">
        <v>3.2770000000000001E-2</v>
      </c>
      <c r="AV1470" s="624"/>
      <c r="AX1470" s="624">
        <v>40317</v>
      </c>
      <c r="AY1470" s="355">
        <v>3.2640000000000002E-2</v>
      </c>
      <c r="AZ1470" s="624">
        <v>40381</v>
      </c>
      <c r="BA1470" s="355">
        <v>1.2200000000000001E-2</v>
      </c>
      <c r="BB1470" s="624">
        <v>40312</v>
      </c>
      <c r="BC1470" s="355">
        <v>0.308</v>
      </c>
      <c r="BD1470" s="624">
        <v>40312</v>
      </c>
      <c r="BE1470" s="355">
        <v>8.727E-2</v>
      </c>
      <c r="BF1470" s="624">
        <v>40381</v>
      </c>
      <c r="BG1470" s="355">
        <v>2.1298999999999998E-2</v>
      </c>
      <c r="BH1470" s="624">
        <v>40312</v>
      </c>
      <c r="BI1470" s="355">
        <v>0.109523</v>
      </c>
      <c r="BJ1470" s="624">
        <v>40311</v>
      </c>
      <c r="BK1470" s="355">
        <v>3.0887999999999999E-2</v>
      </c>
    </row>
    <row r="1471" spans="3:63">
      <c r="C1471" s="624"/>
      <c r="D1471" s="355">
        <v>3.2640000000000002E-2</v>
      </c>
      <c r="AV1471" s="624"/>
      <c r="AX1471" s="624">
        <v>40318</v>
      </c>
      <c r="AY1471" s="355">
        <v>3.1910000000000001E-2</v>
      </c>
      <c r="AZ1471" s="624">
        <v>40382</v>
      </c>
      <c r="BA1471" s="355">
        <v>1.2200000000000001E-2</v>
      </c>
      <c r="BB1471" s="624">
        <v>40315</v>
      </c>
      <c r="BC1471" s="355">
        <v>0.30840000000000001</v>
      </c>
      <c r="BD1471" s="624">
        <v>40315</v>
      </c>
      <c r="BE1471" s="355">
        <v>8.6679999999999993E-2</v>
      </c>
      <c r="BF1471" s="624">
        <v>40382</v>
      </c>
      <c r="BG1471" s="355">
        <v>2.1256000000000001E-2</v>
      </c>
      <c r="BH1471" s="624">
        <v>40315</v>
      </c>
      <c r="BI1471" s="355">
        <v>0.10921500000000001</v>
      </c>
      <c r="BJ1471" s="624">
        <v>40312</v>
      </c>
      <c r="BK1471" s="355">
        <v>3.0807000000000001E-2</v>
      </c>
    </row>
    <row r="1472" spans="3:63">
      <c r="C1472" s="624"/>
      <c r="D1472" s="355">
        <v>3.1910000000000001E-2</v>
      </c>
      <c r="AV1472" s="624"/>
      <c r="AX1472" s="624">
        <v>40319</v>
      </c>
      <c r="AY1472" s="355">
        <v>3.2230000000000002E-2</v>
      </c>
      <c r="AZ1472" s="624">
        <v>40385</v>
      </c>
      <c r="BA1472" s="355">
        <v>1.23E-2</v>
      </c>
      <c r="BB1472" s="624">
        <v>40316</v>
      </c>
      <c r="BC1472" s="355">
        <v>0.30070000000000002</v>
      </c>
      <c r="BD1472" s="624">
        <v>40316</v>
      </c>
      <c r="BE1472" s="355">
        <v>8.6389999999999995E-2</v>
      </c>
      <c r="BF1472" s="624">
        <v>40385</v>
      </c>
      <c r="BG1472" s="355">
        <v>2.1312999999999999E-2</v>
      </c>
      <c r="BH1472" s="624">
        <v>40316</v>
      </c>
      <c r="BI1472" s="355">
        <v>0.10961899999999999</v>
      </c>
      <c r="BJ1472" s="624">
        <v>40315</v>
      </c>
      <c r="BK1472" s="355">
        <v>3.0883000000000001E-2</v>
      </c>
    </row>
    <row r="1473" spans="3:63">
      <c r="C1473" s="624"/>
      <c r="D1473" s="355">
        <v>3.2230000000000002E-2</v>
      </c>
      <c r="AV1473" s="624"/>
      <c r="AX1473" s="624">
        <v>40322</v>
      </c>
      <c r="AY1473" s="355">
        <v>3.2210000000000003E-2</v>
      </c>
      <c r="AZ1473" s="624">
        <v>40386</v>
      </c>
      <c r="BA1473" s="355">
        <v>1.2200000000000001E-2</v>
      </c>
      <c r="BB1473" s="624">
        <v>40317</v>
      </c>
      <c r="BC1473" s="355">
        <v>0.30359999999999998</v>
      </c>
      <c r="BD1473" s="624">
        <v>40317</v>
      </c>
      <c r="BE1473" s="355">
        <v>8.5419999999999996E-2</v>
      </c>
      <c r="BF1473" s="624">
        <v>40386</v>
      </c>
      <c r="BG1473" s="355">
        <v>2.1396999999999999E-2</v>
      </c>
      <c r="BH1473" s="624">
        <v>40317</v>
      </c>
      <c r="BI1473" s="355">
        <v>0.108254</v>
      </c>
      <c r="BJ1473" s="624">
        <v>40316</v>
      </c>
      <c r="BK1473" s="355">
        <v>3.0941E-2</v>
      </c>
    </row>
    <row r="1474" spans="3:63">
      <c r="C1474" s="624"/>
      <c r="D1474" s="355">
        <v>3.2210000000000003E-2</v>
      </c>
      <c r="AV1474" s="624"/>
      <c r="AX1474" s="624">
        <v>40323</v>
      </c>
      <c r="AY1474" s="355">
        <v>3.1809999999999998E-2</v>
      </c>
      <c r="AZ1474" s="624">
        <v>40387</v>
      </c>
      <c r="BA1474" s="355">
        <v>1.2200000000000001E-2</v>
      </c>
      <c r="BB1474" s="624">
        <v>40318</v>
      </c>
      <c r="BC1474" s="355">
        <v>0.2999</v>
      </c>
      <c r="BD1474" s="624">
        <v>40318</v>
      </c>
      <c r="BE1474" s="355">
        <v>8.2540000000000002E-2</v>
      </c>
      <c r="BF1474" s="624">
        <v>40387</v>
      </c>
      <c r="BG1474" s="355">
        <v>2.137E-2</v>
      </c>
      <c r="BH1474" s="624">
        <v>40318</v>
      </c>
      <c r="BI1474" s="355">
        <v>0.10773000000000001</v>
      </c>
      <c r="BJ1474" s="624">
        <v>40317</v>
      </c>
      <c r="BK1474" s="355">
        <v>3.0869000000000001E-2</v>
      </c>
    </row>
    <row r="1475" spans="3:63">
      <c r="C1475" s="624"/>
      <c r="D1475" s="355">
        <v>3.1809999999999998E-2</v>
      </c>
      <c r="AV1475" s="624"/>
      <c r="AX1475" s="624">
        <v>40324</v>
      </c>
      <c r="AY1475" s="355">
        <v>3.209E-2</v>
      </c>
      <c r="AZ1475" s="624">
        <v>40388</v>
      </c>
      <c r="BA1475" s="355">
        <v>1.23E-2</v>
      </c>
      <c r="BB1475" s="624">
        <v>40319</v>
      </c>
      <c r="BC1475" s="355">
        <v>0.30559999999999998</v>
      </c>
      <c r="BD1475" s="624">
        <v>40319</v>
      </c>
      <c r="BE1475" s="355">
        <v>8.2439999999999999E-2</v>
      </c>
      <c r="BF1475" s="624">
        <v>40388</v>
      </c>
      <c r="BG1475" s="355">
        <v>2.1475000000000001E-2</v>
      </c>
      <c r="BH1475" s="624">
        <v>40319</v>
      </c>
      <c r="BI1475" s="355">
        <v>0.10778799999999999</v>
      </c>
      <c r="BJ1475" s="624">
        <v>40318</v>
      </c>
      <c r="BK1475" s="355">
        <v>3.0802E-2</v>
      </c>
    </row>
    <row r="1476" spans="3:63">
      <c r="C1476" s="624"/>
      <c r="D1476" s="355">
        <v>3.209E-2</v>
      </c>
      <c r="AV1476" s="624"/>
      <c r="AX1476" s="624">
        <v>40325</v>
      </c>
      <c r="AY1476" s="355">
        <v>3.2739999999999998E-2</v>
      </c>
      <c r="AZ1476" s="624">
        <v>40389</v>
      </c>
      <c r="BA1476" s="355">
        <v>1.23E-2</v>
      </c>
      <c r="BB1476" s="624">
        <v>40322</v>
      </c>
      <c r="BC1476" s="355">
        <v>0.3014</v>
      </c>
      <c r="BD1476" s="624">
        <v>40322</v>
      </c>
      <c r="BE1476" s="355">
        <v>8.2049999999999998E-2</v>
      </c>
      <c r="BF1476" s="624">
        <v>40389</v>
      </c>
      <c r="BG1476" s="355">
        <v>2.1519E-2</v>
      </c>
      <c r="BH1476" s="624">
        <v>40322</v>
      </c>
      <c r="BI1476" s="355">
        <v>0.10778799999999999</v>
      </c>
      <c r="BJ1476" s="624">
        <v>40319</v>
      </c>
      <c r="BK1476" s="355">
        <v>3.0865E-2</v>
      </c>
    </row>
    <row r="1477" spans="3:63">
      <c r="C1477" s="624"/>
      <c r="D1477" s="355">
        <v>3.2739999999999998E-2</v>
      </c>
      <c r="AV1477" s="624"/>
      <c r="AX1477" s="624">
        <v>40326</v>
      </c>
      <c r="AY1477" s="355">
        <v>3.2469999999999999E-2</v>
      </c>
      <c r="AZ1477" s="624">
        <v>40392</v>
      </c>
      <c r="BA1477" s="355">
        <v>1.23E-2</v>
      </c>
      <c r="BB1477" s="624">
        <v>40323</v>
      </c>
      <c r="BC1477" s="355">
        <v>0.29849999999999999</v>
      </c>
      <c r="BD1477" s="624">
        <v>40323</v>
      </c>
      <c r="BE1477" s="355">
        <v>8.0100000000000005E-2</v>
      </c>
      <c r="BF1477" s="624">
        <v>40392</v>
      </c>
      <c r="BG1477" s="355">
        <v>2.1734E-2</v>
      </c>
      <c r="BH1477" s="624">
        <v>40323</v>
      </c>
      <c r="BI1477" s="355">
        <v>0.106326</v>
      </c>
      <c r="BJ1477" s="624">
        <v>40322</v>
      </c>
      <c r="BK1477" s="355">
        <v>3.0839999999999999E-2</v>
      </c>
    </row>
    <row r="1478" spans="3:63">
      <c r="C1478" s="624"/>
      <c r="D1478" s="355">
        <v>3.2469999999999999E-2</v>
      </c>
      <c r="AV1478" s="624"/>
      <c r="AX1478" s="624">
        <v>40329</v>
      </c>
      <c r="AY1478" s="355">
        <v>3.2370000000000003E-2</v>
      </c>
      <c r="AZ1478" s="624">
        <v>40393</v>
      </c>
      <c r="BA1478" s="355">
        <v>1.24E-2</v>
      </c>
      <c r="BB1478" s="624">
        <v>40324</v>
      </c>
      <c r="BC1478" s="355">
        <v>0.2949</v>
      </c>
      <c r="BD1478" s="624">
        <v>40324</v>
      </c>
      <c r="BE1478" s="355">
        <v>8.0610000000000001E-2</v>
      </c>
      <c r="BF1478" s="624">
        <v>40393</v>
      </c>
      <c r="BG1478" s="355">
        <v>2.1683000000000001E-2</v>
      </c>
      <c r="BH1478" s="624">
        <v>40324</v>
      </c>
      <c r="BI1478" s="355">
        <v>0.10721</v>
      </c>
      <c r="BJ1478" s="624">
        <v>40323</v>
      </c>
      <c r="BK1478" s="355">
        <v>3.0731000000000001E-2</v>
      </c>
    </row>
    <row r="1479" spans="3:63">
      <c r="C1479" s="624"/>
      <c r="D1479" s="355">
        <v>3.2370000000000003E-2</v>
      </c>
      <c r="AV1479" s="624"/>
      <c r="AX1479" s="624">
        <v>40330</v>
      </c>
      <c r="AY1479" s="355">
        <v>3.2129999999999999E-2</v>
      </c>
      <c r="AZ1479" s="624">
        <v>40394</v>
      </c>
      <c r="BA1479" s="355">
        <v>1.24E-2</v>
      </c>
      <c r="BB1479" s="624">
        <v>40325</v>
      </c>
      <c r="BC1479" s="355">
        <v>0.30480000000000002</v>
      </c>
      <c r="BD1479" s="624">
        <v>40325</v>
      </c>
      <c r="BE1479" s="355">
        <v>8.2710000000000006E-2</v>
      </c>
      <c r="BF1479" s="624">
        <v>40394</v>
      </c>
      <c r="BG1479" s="355">
        <v>2.1706E-2</v>
      </c>
      <c r="BH1479" s="624">
        <v>40325</v>
      </c>
      <c r="BI1479" s="355">
        <v>0.108372</v>
      </c>
      <c r="BJ1479" s="624">
        <v>40324</v>
      </c>
      <c r="BK1479" s="355">
        <v>3.0717999999999999E-2</v>
      </c>
    </row>
    <row r="1480" spans="3:63">
      <c r="C1480" s="624"/>
      <c r="D1480" s="355">
        <v>3.2129999999999999E-2</v>
      </c>
      <c r="AV1480" s="624"/>
      <c r="AX1480" s="624">
        <v>40331</v>
      </c>
      <c r="AY1480" s="355">
        <v>3.2099999999999997E-2</v>
      </c>
      <c r="AZ1480" s="624">
        <v>40395</v>
      </c>
      <c r="BA1480" s="355">
        <v>1.24E-2</v>
      </c>
      <c r="BB1480" s="624">
        <v>40326</v>
      </c>
      <c r="BC1480" s="355">
        <v>0.30130000000000001</v>
      </c>
      <c r="BD1480" s="624">
        <v>40326</v>
      </c>
      <c r="BE1480" s="355">
        <v>8.2100000000000006E-2</v>
      </c>
      <c r="BF1480" s="624">
        <v>40395</v>
      </c>
      <c r="BG1480" s="355">
        <v>2.1652999999999999E-2</v>
      </c>
      <c r="BH1480" s="624">
        <v>40326</v>
      </c>
      <c r="BI1480" s="355">
        <v>0.109111</v>
      </c>
      <c r="BJ1480" s="624">
        <v>40325</v>
      </c>
      <c r="BK1480" s="355">
        <v>3.0721999999999999E-2</v>
      </c>
    </row>
    <row r="1481" spans="3:63">
      <c r="C1481" s="624"/>
      <c r="D1481" s="355">
        <v>3.2099999999999997E-2</v>
      </c>
      <c r="AV1481" s="624"/>
      <c r="AX1481" s="624">
        <v>40332</v>
      </c>
      <c r="AY1481" s="355">
        <v>3.209E-2</v>
      </c>
      <c r="AZ1481" s="624">
        <v>40396</v>
      </c>
      <c r="BA1481" s="355">
        <v>1.2500000000000001E-2</v>
      </c>
      <c r="BB1481" s="624">
        <v>40329</v>
      </c>
      <c r="BC1481" s="355">
        <v>0.30180000000000001</v>
      </c>
      <c r="BD1481" s="624">
        <v>40329</v>
      </c>
      <c r="BE1481" s="355">
        <v>8.2989999999999994E-2</v>
      </c>
      <c r="BF1481" s="624">
        <v>40396</v>
      </c>
      <c r="BG1481" s="355">
        <v>2.1666000000000001E-2</v>
      </c>
      <c r="BH1481" s="624">
        <v>40329</v>
      </c>
      <c r="BI1481" s="355">
        <v>0.108933</v>
      </c>
      <c r="BJ1481" s="624">
        <v>40326</v>
      </c>
      <c r="BK1481" s="355">
        <v>3.0713000000000001E-2</v>
      </c>
    </row>
    <row r="1482" spans="3:63">
      <c r="C1482" s="624"/>
      <c r="D1482" s="355">
        <v>3.209E-2</v>
      </c>
      <c r="AV1482" s="624"/>
      <c r="AX1482" s="624">
        <v>40333</v>
      </c>
      <c r="AY1482" s="355">
        <v>3.1649999999999998E-2</v>
      </c>
      <c r="AZ1482" s="624">
        <v>40399</v>
      </c>
      <c r="BA1482" s="355">
        <v>1.2500000000000001E-2</v>
      </c>
      <c r="BB1482" s="624">
        <v>40330</v>
      </c>
      <c r="BC1482" s="355">
        <v>0.29730000000000001</v>
      </c>
      <c r="BD1482" s="624">
        <v>40330</v>
      </c>
      <c r="BE1482" s="355">
        <v>8.1269999999999995E-2</v>
      </c>
      <c r="BF1482" s="624">
        <v>40399</v>
      </c>
      <c r="BG1482" s="355">
        <v>2.1679E-2</v>
      </c>
      <c r="BH1482" s="624">
        <v>40330</v>
      </c>
      <c r="BI1482" s="355">
        <v>0.108319</v>
      </c>
      <c r="BJ1482" s="624">
        <v>40329</v>
      </c>
      <c r="BK1482" s="355">
        <v>3.075E-2</v>
      </c>
    </row>
    <row r="1483" spans="3:63">
      <c r="C1483" s="624"/>
      <c r="D1483" s="355">
        <v>3.1649999999999998E-2</v>
      </c>
      <c r="AV1483" s="624"/>
      <c r="AX1483" s="624">
        <v>40336</v>
      </c>
      <c r="AY1483" s="355">
        <v>3.1399999999999997E-2</v>
      </c>
      <c r="AZ1483" s="624">
        <v>40400</v>
      </c>
      <c r="BA1483" s="355">
        <v>1.2500000000000001E-2</v>
      </c>
      <c r="BB1483" s="624">
        <v>40331</v>
      </c>
      <c r="BC1483" s="355">
        <v>0.29949999999999999</v>
      </c>
      <c r="BD1483" s="624">
        <v>40331</v>
      </c>
      <c r="BE1483" s="355">
        <v>8.3199999999999996E-2</v>
      </c>
      <c r="BF1483" s="624">
        <v>40400</v>
      </c>
      <c r="BG1483" s="355">
        <v>2.1554E-2</v>
      </c>
      <c r="BH1483" s="624">
        <v>40331</v>
      </c>
      <c r="BI1483" s="355">
        <v>0.10828400000000001</v>
      </c>
      <c r="BJ1483" s="624">
        <v>40330</v>
      </c>
      <c r="BK1483" s="355">
        <v>3.0675000000000001E-2</v>
      </c>
    </row>
    <row r="1484" spans="3:63">
      <c r="C1484" s="624"/>
      <c r="D1484" s="355">
        <v>3.1399999999999997E-2</v>
      </c>
      <c r="AV1484" s="624"/>
      <c r="AX1484" s="624">
        <v>40337</v>
      </c>
      <c r="AY1484" s="355">
        <v>3.1449999999999999E-2</v>
      </c>
      <c r="AZ1484" s="624">
        <v>40401</v>
      </c>
      <c r="BA1484" s="355">
        <v>1.2200000000000001E-2</v>
      </c>
      <c r="BB1484" s="624">
        <v>40332</v>
      </c>
      <c r="BC1484" s="355">
        <v>0.29509999999999997</v>
      </c>
      <c r="BD1484" s="624">
        <v>40332</v>
      </c>
      <c r="BE1484" s="355">
        <v>8.2680000000000003E-2</v>
      </c>
      <c r="BF1484" s="624">
        <v>40401</v>
      </c>
      <c r="BG1484" s="355">
        <v>2.1413000000000001E-2</v>
      </c>
      <c r="BH1484" s="624">
        <v>40332</v>
      </c>
      <c r="BI1484" s="355">
        <v>0.108755</v>
      </c>
      <c r="BJ1484" s="624">
        <v>40331</v>
      </c>
      <c r="BK1484" s="355">
        <v>3.0693999999999999E-2</v>
      </c>
    </row>
    <row r="1485" spans="3:63">
      <c r="C1485" s="624"/>
      <c r="D1485" s="355">
        <v>3.1449999999999999E-2</v>
      </c>
      <c r="AV1485" s="624"/>
      <c r="AX1485" s="624">
        <v>40338</v>
      </c>
      <c r="AY1485" s="355">
        <v>3.1550000000000002E-2</v>
      </c>
      <c r="AZ1485" s="624">
        <v>40402</v>
      </c>
      <c r="BA1485" s="355">
        <v>1.2200000000000001E-2</v>
      </c>
      <c r="BB1485" s="624">
        <v>40333</v>
      </c>
      <c r="BC1485" s="355">
        <v>0.2863</v>
      </c>
      <c r="BD1485" s="624">
        <v>40333</v>
      </c>
      <c r="BE1485" s="355">
        <v>8.1680000000000003E-2</v>
      </c>
      <c r="BF1485" s="624">
        <v>40402</v>
      </c>
      <c r="BG1485" s="355">
        <v>2.1381000000000001E-2</v>
      </c>
      <c r="BH1485" s="624">
        <v>40333</v>
      </c>
      <c r="BI1485" s="355">
        <v>0.107113</v>
      </c>
      <c r="BJ1485" s="624">
        <v>40332</v>
      </c>
      <c r="BK1485" s="355">
        <v>3.0703000000000001E-2</v>
      </c>
    </row>
    <row r="1486" spans="3:63">
      <c r="C1486" s="624"/>
      <c r="D1486" s="355">
        <v>3.1550000000000002E-2</v>
      </c>
      <c r="AV1486" s="624"/>
      <c r="AX1486" s="624">
        <v>40339</v>
      </c>
      <c r="AY1486" s="355">
        <v>3.1800000000000002E-2</v>
      </c>
      <c r="AZ1486" s="624">
        <v>40403</v>
      </c>
      <c r="BA1486" s="355">
        <v>1.2200000000000001E-2</v>
      </c>
      <c r="BB1486" s="624">
        <v>40336</v>
      </c>
      <c r="BC1486" s="355">
        <v>0.28660000000000002</v>
      </c>
      <c r="BD1486" s="624">
        <v>40336</v>
      </c>
      <c r="BE1486" s="355">
        <v>8.0600000000000005E-2</v>
      </c>
      <c r="BF1486" s="624">
        <v>40403</v>
      </c>
      <c r="BG1486" s="355">
        <v>2.1382000000000002E-2</v>
      </c>
      <c r="BH1486" s="624">
        <v>40336</v>
      </c>
      <c r="BI1486" s="355">
        <v>0.107585</v>
      </c>
      <c r="BJ1486" s="624">
        <v>40333</v>
      </c>
      <c r="BK1486" s="355">
        <v>3.0655999999999999E-2</v>
      </c>
    </row>
    <row r="1487" spans="3:63">
      <c r="C1487" s="624"/>
      <c r="D1487" s="355">
        <v>3.1800000000000002E-2</v>
      </c>
      <c r="AV1487" s="624"/>
      <c r="AX1487" s="624">
        <v>40340</v>
      </c>
      <c r="AY1487" s="355">
        <v>3.1730000000000001E-2</v>
      </c>
      <c r="AZ1487" s="624">
        <v>40406</v>
      </c>
      <c r="BA1487" s="355">
        <v>1.2200000000000001E-2</v>
      </c>
      <c r="BB1487" s="624">
        <v>40337</v>
      </c>
      <c r="BC1487" s="355">
        <v>0.28999999999999998</v>
      </c>
      <c r="BD1487" s="624">
        <v>40337</v>
      </c>
      <c r="BE1487" s="355">
        <v>8.1019999999999995E-2</v>
      </c>
      <c r="BF1487" s="624">
        <v>40406</v>
      </c>
      <c r="BG1487" s="355">
        <v>2.137E-2</v>
      </c>
      <c r="BH1487" s="624">
        <v>40337</v>
      </c>
      <c r="BI1487" s="355">
        <v>0.10770100000000001</v>
      </c>
      <c r="BJ1487" s="624">
        <v>40336</v>
      </c>
      <c r="BK1487" s="355">
        <v>3.0641999999999999E-2</v>
      </c>
    </row>
    <row r="1488" spans="3:63">
      <c r="C1488" s="624"/>
      <c r="D1488" s="355">
        <v>3.1730000000000001E-2</v>
      </c>
      <c r="AV1488" s="624"/>
      <c r="AX1488" s="624">
        <v>40343</v>
      </c>
      <c r="AY1488" s="355">
        <v>3.1879999999999999E-2</v>
      </c>
      <c r="AZ1488" s="624">
        <v>40407</v>
      </c>
      <c r="BA1488" s="355">
        <v>1.23E-2</v>
      </c>
      <c r="BB1488" s="624">
        <v>40338</v>
      </c>
      <c r="BC1488" s="355">
        <v>0.28889999999999999</v>
      </c>
      <c r="BD1488" s="624">
        <v>40338</v>
      </c>
      <c r="BE1488" s="355">
        <v>7.9850000000000004E-2</v>
      </c>
      <c r="BF1488" s="624">
        <v>40407</v>
      </c>
      <c r="BG1488" s="355">
        <v>2.1440000000000001E-2</v>
      </c>
      <c r="BH1488" s="624">
        <v>40338</v>
      </c>
      <c r="BI1488" s="355">
        <v>0.108167</v>
      </c>
      <c r="BJ1488" s="624">
        <v>40337</v>
      </c>
      <c r="BK1488" s="355">
        <v>3.0665000000000001E-2</v>
      </c>
    </row>
    <row r="1489" spans="3:63">
      <c r="C1489" s="624"/>
      <c r="D1489" s="355">
        <v>3.1879999999999999E-2</v>
      </c>
      <c r="AV1489" s="624"/>
      <c r="AX1489" s="624">
        <v>40344</v>
      </c>
      <c r="AY1489" s="355">
        <v>3.1989999999999998E-2</v>
      </c>
      <c r="AZ1489" s="624">
        <v>40408</v>
      </c>
      <c r="BA1489" s="355">
        <v>1.23E-2</v>
      </c>
      <c r="BB1489" s="624">
        <v>40339</v>
      </c>
      <c r="BC1489" s="355">
        <v>0.29659999999999997</v>
      </c>
      <c r="BD1489" s="624">
        <v>40339</v>
      </c>
      <c r="BE1489" s="355">
        <v>8.072E-2</v>
      </c>
      <c r="BF1489" s="624">
        <v>40408</v>
      </c>
      <c r="BG1489" s="355">
        <v>2.1468000000000001E-2</v>
      </c>
      <c r="BH1489" s="624">
        <v>40339</v>
      </c>
      <c r="BI1489" s="355">
        <v>0.108519</v>
      </c>
      <c r="BJ1489" s="624">
        <v>40338</v>
      </c>
      <c r="BK1489" s="355">
        <v>3.0679999999999999E-2</v>
      </c>
    </row>
    <row r="1490" spans="3:63">
      <c r="C1490" s="624"/>
      <c r="D1490" s="355">
        <v>3.1989999999999998E-2</v>
      </c>
      <c r="AV1490" s="624"/>
      <c r="AX1490" s="624">
        <v>40345</v>
      </c>
      <c r="AY1490" s="355">
        <v>3.2039999999999999E-2</v>
      </c>
      <c r="AZ1490" s="624">
        <v>40409</v>
      </c>
      <c r="BA1490" s="355">
        <v>1.2200000000000001E-2</v>
      </c>
      <c r="BB1490" s="624">
        <v>40340</v>
      </c>
      <c r="BC1490" s="355">
        <v>0.29509999999999997</v>
      </c>
      <c r="BD1490" s="624">
        <v>40340</v>
      </c>
      <c r="BE1490" s="355">
        <v>8.0269999999999994E-2</v>
      </c>
      <c r="BF1490" s="624">
        <v>40410</v>
      </c>
      <c r="BG1490" s="355">
        <v>2.1427000000000002E-2</v>
      </c>
      <c r="BH1490" s="624">
        <v>40340</v>
      </c>
      <c r="BI1490" s="355">
        <v>0.108755</v>
      </c>
      <c r="BJ1490" s="624">
        <v>40339</v>
      </c>
      <c r="BK1490" s="355">
        <v>3.0807000000000001E-2</v>
      </c>
    </row>
    <row r="1491" spans="3:63">
      <c r="C1491" s="624"/>
      <c r="D1491" s="355">
        <v>3.2039999999999999E-2</v>
      </c>
      <c r="AV1491" s="624"/>
      <c r="AX1491" s="624">
        <v>40346</v>
      </c>
      <c r="AY1491" s="355">
        <v>3.2219999999999999E-2</v>
      </c>
      <c r="AZ1491" s="624">
        <v>40410</v>
      </c>
      <c r="BA1491" s="355">
        <v>1.21E-2</v>
      </c>
      <c r="BB1491" s="624">
        <v>40343</v>
      </c>
      <c r="BC1491" s="355">
        <v>0.30009999999999998</v>
      </c>
      <c r="BD1491" s="624">
        <v>40343</v>
      </c>
      <c r="BE1491" s="355">
        <v>8.2019999999999996E-2</v>
      </c>
      <c r="BF1491" s="624">
        <v>40413</v>
      </c>
      <c r="BG1491" s="355">
        <v>2.1434999999999999E-2</v>
      </c>
      <c r="BH1491" s="624">
        <v>40343</v>
      </c>
      <c r="BI1491" s="355">
        <v>0.109004</v>
      </c>
      <c r="BJ1491" s="624">
        <v>40340</v>
      </c>
      <c r="BK1491" s="355">
        <v>3.0818000000000002E-2</v>
      </c>
    </row>
    <row r="1492" spans="3:63">
      <c r="C1492" s="624"/>
      <c r="D1492" s="355">
        <v>3.2219999999999999E-2</v>
      </c>
      <c r="AV1492" s="624"/>
      <c r="AX1492" s="624">
        <v>40347</v>
      </c>
      <c r="AY1492" s="355">
        <v>3.2289999999999999E-2</v>
      </c>
      <c r="AZ1492" s="624">
        <v>40413</v>
      </c>
      <c r="BA1492" s="355">
        <v>1.2E-2</v>
      </c>
      <c r="BB1492" s="624">
        <v>40344</v>
      </c>
      <c r="BC1492" s="355">
        <v>0.30370000000000003</v>
      </c>
      <c r="BD1492" s="624">
        <v>40344</v>
      </c>
      <c r="BE1492" s="355">
        <v>8.2369999999999999E-2</v>
      </c>
      <c r="BF1492" s="624">
        <v>40414</v>
      </c>
      <c r="BG1492" s="355">
        <v>2.1315000000000001E-2</v>
      </c>
      <c r="BH1492" s="624">
        <v>40344</v>
      </c>
      <c r="BI1492" s="355">
        <v>0.109051</v>
      </c>
      <c r="BJ1492" s="624">
        <v>40343</v>
      </c>
      <c r="BK1492" s="355">
        <v>3.0897999999999998E-2</v>
      </c>
    </row>
    <row r="1493" spans="3:63">
      <c r="C1493" s="624"/>
      <c r="D1493" s="355">
        <v>3.2289999999999999E-2</v>
      </c>
      <c r="AV1493" s="624"/>
      <c r="AX1493" s="624">
        <v>40350</v>
      </c>
      <c r="AY1493" s="355">
        <v>3.2419999999999997E-2</v>
      </c>
      <c r="AZ1493" s="624">
        <v>40414</v>
      </c>
      <c r="BA1493" s="355">
        <v>1.2E-2</v>
      </c>
      <c r="BB1493" s="624">
        <v>40345</v>
      </c>
      <c r="BC1493" s="355">
        <v>0.30280000000000001</v>
      </c>
      <c r="BD1493" s="624">
        <v>40345</v>
      </c>
      <c r="BE1493" s="355">
        <v>8.2589999999999997E-2</v>
      </c>
      <c r="BF1493" s="624">
        <v>40415</v>
      </c>
      <c r="BG1493" s="355">
        <v>2.1316999999999999E-2</v>
      </c>
      <c r="BH1493" s="624">
        <v>40345</v>
      </c>
      <c r="BI1493" s="355">
        <v>0.109349</v>
      </c>
      <c r="BJ1493" s="624">
        <v>40344</v>
      </c>
      <c r="BK1493" s="355">
        <v>3.0811999999999999E-2</v>
      </c>
    </row>
    <row r="1494" spans="3:63">
      <c r="C1494" s="624"/>
      <c r="D1494" s="355">
        <v>3.2419999999999997E-2</v>
      </c>
      <c r="AV1494" s="624"/>
      <c r="AX1494" s="624">
        <v>40351</v>
      </c>
      <c r="AY1494" s="355">
        <v>3.2340000000000001E-2</v>
      </c>
      <c r="AZ1494" s="624">
        <v>40415</v>
      </c>
      <c r="BA1494" s="355">
        <v>1.2E-2</v>
      </c>
      <c r="BB1494" s="624">
        <v>40346</v>
      </c>
      <c r="BC1494" s="355">
        <v>0.30399999999999999</v>
      </c>
      <c r="BD1494" s="624">
        <v>40346</v>
      </c>
      <c r="BE1494" s="355">
        <v>8.2390000000000005E-2</v>
      </c>
      <c r="BF1494" s="624">
        <v>40416</v>
      </c>
      <c r="BG1494" s="355">
        <v>2.1344999999999999E-2</v>
      </c>
      <c r="BH1494" s="624">
        <v>40346</v>
      </c>
      <c r="BI1494" s="355">
        <v>0.109559</v>
      </c>
      <c r="BJ1494" s="624">
        <v>40345</v>
      </c>
      <c r="BK1494" s="355">
        <v>3.0911999999999999E-2</v>
      </c>
    </row>
    <row r="1495" spans="3:63">
      <c r="C1495" s="624"/>
      <c r="D1495" s="355">
        <v>3.2340000000000001E-2</v>
      </c>
      <c r="AV1495" s="624"/>
      <c r="AX1495" s="624">
        <v>40352</v>
      </c>
      <c r="AY1495" s="355">
        <v>3.2259999999999997E-2</v>
      </c>
      <c r="AZ1495" s="624">
        <v>40416</v>
      </c>
      <c r="BA1495" s="355">
        <v>1.2E-2</v>
      </c>
      <c r="BB1495" s="624">
        <v>40347</v>
      </c>
      <c r="BC1495" s="355">
        <v>0.30630000000000002</v>
      </c>
      <c r="BD1495" s="624">
        <v>40347</v>
      </c>
      <c r="BE1495" s="355">
        <v>8.3720000000000003E-2</v>
      </c>
      <c r="BF1495" s="624">
        <v>40417</v>
      </c>
      <c r="BG1495" s="355">
        <v>2.1323000000000002E-2</v>
      </c>
      <c r="BH1495" s="624">
        <v>40347</v>
      </c>
      <c r="BI1495" s="355">
        <v>0.11018699999999999</v>
      </c>
      <c r="BJ1495" s="624">
        <v>40346</v>
      </c>
      <c r="BK1495" s="355">
        <v>3.0887999999999999E-2</v>
      </c>
    </row>
    <row r="1496" spans="3:63">
      <c r="C1496" s="624"/>
      <c r="D1496" s="355">
        <v>3.2259999999999997E-2</v>
      </c>
      <c r="AV1496" s="624"/>
      <c r="AX1496" s="624">
        <v>40353</v>
      </c>
      <c r="AY1496" s="355">
        <v>3.2210000000000003E-2</v>
      </c>
      <c r="AZ1496" s="624">
        <v>40417</v>
      </c>
      <c r="BA1496" s="355">
        <v>1.21E-2</v>
      </c>
      <c r="BB1496" s="624">
        <v>40350</v>
      </c>
      <c r="BC1496" s="355">
        <v>0.30330000000000001</v>
      </c>
      <c r="BD1496" s="624">
        <v>40350</v>
      </c>
      <c r="BE1496" s="355">
        <v>8.4919999999999995E-2</v>
      </c>
      <c r="BF1496" s="624">
        <v>40420</v>
      </c>
      <c r="BG1496" s="355">
        <v>2.1314E-2</v>
      </c>
      <c r="BH1496" s="624">
        <v>40350</v>
      </c>
      <c r="BI1496" s="355">
        <v>0.11101900000000001</v>
      </c>
      <c r="BJ1496" s="624">
        <v>40347</v>
      </c>
      <c r="BK1496" s="355">
        <v>3.0865E-2</v>
      </c>
    </row>
    <row r="1497" spans="3:63">
      <c r="C1497" s="624"/>
      <c r="D1497" s="355">
        <v>3.2210000000000003E-2</v>
      </c>
      <c r="AV1497" s="624"/>
      <c r="AX1497" s="624">
        <v>40354</v>
      </c>
      <c r="AY1497" s="355">
        <v>3.2259999999999997E-2</v>
      </c>
      <c r="AZ1497" s="624">
        <v>40420</v>
      </c>
      <c r="BA1497" s="355">
        <v>1.2E-2</v>
      </c>
      <c r="BB1497" s="624">
        <v>40351</v>
      </c>
      <c r="BC1497" s="355">
        <v>0.30170000000000002</v>
      </c>
      <c r="BD1497" s="624">
        <v>40351</v>
      </c>
      <c r="BE1497" s="355">
        <v>8.4029999999999994E-2</v>
      </c>
      <c r="BF1497" s="624">
        <v>40421</v>
      </c>
      <c r="BG1497" s="355">
        <v>2.1243000000000001E-2</v>
      </c>
      <c r="BH1497" s="624">
        <v>40351</v>
      </c>
      <c r="BI1497" s="355">
        <v>0.110773</v>
      </c>
      <c r="BJ1497" s="624">
        <v>40350</v>
      </c>
      <c r="BK1497" s="355">
        <v>3.1016999999999999E-2</v>
      </c>
    </row>
    <row r="1498" spans="3:63">
      <c r="C1498" s="624"/>
      <c r="D1498" s="355">
        <v>3.2259999999999997E-2</v>
      </c>
      <c r="AV1498" s="624"/>
      <c r="AX1498" s="624">
        <v>40357</v>
      </c>
      <c r="AY1498" s="355">
        <v>3.2190000000000003E-2</v>
      </c>
      <c r="AZ1498" s="624">
        <v>40421</v>
      </c>
      <c r="BA1498" s="355">
        <v>1.21E-2</v>
      </c>
      <c r="BB1498" s="624">
        <v>40352</v>
      </c>
      <c r="BC1498" s="355">
        <v>0.3029</v>
      </c>
      <c r="BD1498" s="624">
        <v>40352</v>
      </c>
      <c r="BE1498" s="355">
        <v>8.4320000000000006E-2</v>
      </c>
      <c r="BF1498" s="624">
        <v>40422</v>
      </c>
      <c r="BG1498" s="355">
        <v>2.1364999999999999E-2</v>
      </c>
      <c r="BH1498" s="624">
        <v>40352</v>
      </c>
      <c r="BI1498" s="355">
        <v>0.110467</v>
      </c>
      <c r="BJ1498" s="624">
        <v>40351</v>
      </c>
      <c r="BK1498" s="355">
        <v>3.0925999999999999E-2</v>
      </c>
    </row>
    <row r="1499" spans="3:63">
      <c r="C1499" s="624"/>
      <c r="D1499" s="355">
        <v>3.2190000000000003E-2</v>
      </c>
      <c r="AV1499" s="624"/>
      <c r="AX1499" s="624">
        <v>40358</v>
      </c>
      <c r="AY1499" s="355">
        <v>3.1919999999999997E-2</v>
      </c>
      <c r="AZ1499" s="624">
        <v>40422</v>
      </c>
      <c r="BA1499" s="355">
        <v>1.21E-2</v>
      </c>
      <c r="BB1499" s="624">
        <v>40353</v>
      </c>
      <c r="BC1499" s="355">
        <v>0.2994</v>
      </c>
      <c r="BD1499" s="624">
        <v>40353</v>
      </c>
      <c r="BE1499" s="355">
        <v>8.3320000000000005E-2</v>
      </c>
      <c r="BF1499" s="624">
        <v>40423</v>
      </c>
      <c r="BG1499" s="355">
        <v>2.1403999999999999E-2</v>
      </c>
      <c r="BH1499" s="624">
        <v>40353</v>
      </c>
      <c r="BI1499" s="355">
        <v>0.11054</v>
      </c>
      <c r="BJ1499" s="624">
        <v>40352</v>
      </c>
      <c r="BK1499" s="355">
        <v>3.0901999999999999E-2</v>
      </c>
    </row>
    <row r="1500" spans="3:63">
      <c r="C1500" s="624"/>
      <c r="D1500" s="355">
        <v>3.1919999999999997E-2</v>
      </c>
      <c r="AV1500" s="624"/>
      <c r="AX1500" s="624">
        <v>40359</v>
      </c>
      <c r="AY1500" s="355">
        <v>3.1989999999999998E-2</v>
      </c>
      <c r="AZ1500" s="624">
        <v>40423</v>
      </c>
      <c r="BA1500" s="355">
        <v>1.21E-2</v>
      </c>
      <c r="BB1500" s="624">
        <v>40354</v>
      </c>
      <c r="BC1500" s="355">
        <v>0.30059999999999998</v>
      </c>
      <c r="BD1500" s="624">
        <v>40354</v>
      </c>
      <c r="BE1500" s="355">
        <v>8.3199999999999996E-2</v>
      </c>
      <c r="BF1500" s="624">
        <v>40424</v>
      </c>
      <c r="BG1500" s="355">
        <v>2.1441000000000002E-2</v>
      </c>
      <c r="BH1500" s="624">
        <v>40354</v>
      </c>
      <c r="BI1500" s="355">
        <v>0.110163</v>
      </c>
      <c r="BJ1500" s="624">
        <v>40353</v>
      </c>
      <c r="BK1500" s="355">
        <v>3.0863999999999999E-2</v>
      </c>
    </row>
    <row r="1501" spans="3:63">
      <c r="C1501" s="624"/>
      <c r="D1501" s="355">
        <v>3.1989999999999998E-2</v>
      </c>
      <c r="AV1501" s="624"/>
      <c r="AX1501" s="624">
        <v>40360</v>
      </c>
      <c r="AY1501" s="355">
        <v>3.1989999999999998E-2</v>
      </c>
      <c r="AZ1501" s="624">
        <v>40424</v>
      </c>
      <c r="BA1501" s="355">
        <v>1.2200000000000001E-2</v>
      </c>
      <c r="BB1501" s="624">
        <v>40357</v>
      </c>
      <c r="BC1501" s="355">
        <v>0.2954</v>
      </c>
      <c r="BD1501" s="624">
        <v>40357</v>
      </c>
      <c r="BE1501" s="355">
        <v>8.3260000000000001E-2</v>
      </c>
      <c r="BF1501" s="624">
        <v>40427</v>
      </c>
      <c r="BG1501" s="355">
        <v>2.1486999999999999E-2</v>
      </c>
      <c r="BH1501" s="624">
        <v>40357</v>
      </c>
      <c r="BI1501" s="355">
        <v>0.110773</v>
      </c>
      <c r="BJ1501" s="624">
        <v>40354</v>
      </c>
      <c r="BK1501" s="355">
        <v>3.0884000000000002E-2</v>
      </c>
    </row>
    <row r="1502" spans="3:63">
      <c r="C1502" s="624"/>
      <c r="D1502" s="355">
        <v>3.1989999999999998E-2</v>
      </c>
      <c r="AV1502" s="624"/>
      <c r="AX1502" s="624">
        <v>40361</v>
      </c>
      <c r="AY1502" s="355">
        <v>3.2169999999999997E-2</v>
      </c>
      <c r="AZ1502" s="624">
        <v>40427</v>
      </c>
      <c r="BA1502" s="355">
        <v>1.2200000000000001E-2</v>
      </c>
      <c r="BB1502" s="624">
        <v>40358</v>
      </c>
      <c r="BC1502" s="355">
        <v>0.29339999999999999</v>
      </c>
      <c r="BD1502" s="624">
        <v>40358</v>
      </c>
      <c r="BE1502" s="355">
        <v>8.1320000000000003E-2</v>
      </c>
      <c r="BF1502" s="624">
        <v>40428</v>
      </c>
      <c r="BG1502" s="355">
        <v>2.1346E-2</v>
      </c>
      <c r="BH1502" s="624">
        <v>40358</v>
      </c>
      <c r="BI1502" s="355">
        <v>0.110406</v>
      </c>
      <c r="BJ1502" s="624">
        <v>40357</v>
      </c>
      <c r="BK1502" s="355">
        <v>3.0855E-2</v>
      </c>
    </row>
    <row r="1503" spans="3:63">
      <c r="C1503" s="624"/>
      <c r="D1503" s="355">
        <v>3.2169999999999997E-2</v>
      </c>
      <c r="AV1503" s="624"/>
      <c r="AX1503" s="624">
        <v>40364</v>
      </c>
      <c r="AY1503" s="355">
        <v>3.211E-2</v>
      </c>
      <c r="AZ1503" s="624">
        <v>40428</v>
      </c>
      <c r="BA1503" s="355">
        <v>1.2E-2</v>
      </c>
      <c r="BB1503" s="624">
        <v>40359</v>
      </c>
      <c r="BC1503" s="355">
        <v>0.29509999999999997</v>
      </c>
      <c r="BD1503" s="624">
        <v>40359</v>
      </c>
      <c r="BE1503" s="355">
        <v>8.1939999999999999E-2</v>
      </c>
      <c r="BF1503" s="624">
        <v>40429</v>
      </c>
      <c r="BG1503" s="355">
        <v>2.1444999999999999E-2</v>
      </c>
      <c r="BH1503" s="624">
        <v>40359</v>
      </c>
      <c r="BI1503" s="355">
        <v>0.110467</v>
      </c>
      <c r="BJ1503" s="624">
        <v>40358</v>
      </c>
      <c r="BK1503" s="355">
        <v>3.0869000000000001E-2</v>
      </c>
    </row>
    <row r="1504" spans="3:63">
      <c r="C1504" s="624"/>
      <c r="D1504" s="355">
        <v>3.211E-2</v>
      </c>
      <c r="AV1504" s="624"/>
      <c r="AX1504" s="624">
        <v>40365</v>
      </c>
      <c r="AY1504" s="355">
        <v>3.227E-2</v>
      </c>
      <c r="AZ1504" s="624">
        <v>40429</v>
      </c>
      <c r="BA1504" s="355">
        <v>1.21E-2</v>
      </c>
      <c r="BB1504" s="624">
        <v>40360</v>
      </c>
      <c r="BC1504" s="355">
        <v>0.30080000000000001</v>
      </c>
      <c r="BD1504" s="624">
        <v>40360</v>
      </c>
      <c r="BE1504" s="355">
        <v>8.1820000000000004E-2</v>
      </c>
      <c r="BF1504" s="624">
        <v>40430</v>
      </c>
      <c r="BG1504" s="355">
        <v>2.1519E-2</v>
      </c>
      <c r="BH1504" s="624">
        <v>40360</v>
      </c>
      <c r="BI1504" s="355">
        <v>0.110467</v>
      </c>
      <c r="BJ1504" s="624">
        <v>40359</v>
      </c>
      <c r="BK1504" s="355">
        <v>3.0845000000000001E-2</v>
      </c>
    </row>
    <row r="1505" spans="3:63">
      <c r="C1505" s="624"/>
      <c r="D1505" s="355">
        <v>3.227E-2</v>
      </c>
      <c r="AV1505" s="624"/>
      <c r="AX1505" s="624">
        <v>40366</v>
      </c>
      <c r="AY1505" s="355">
        <v>3.2239999999999998E-2</v>
      </c>
      <c r="AZ1505" s="624">
        <v>40430</v>
      </c>
      <c r="BA1505" s="355">
        <v>1.21E-2</v>
      </c>
      <c r="BB1505" s="624">
        <v>40361</v>
      </c>
      <c r="BC1505" s="355">
        <v>0.30249999999999999</v>
      </c>
      <c r="BD1505" s="624">
        <v>40361</v>
      </c>
      <c r="BE1505" s="355">
        <v>8.1299999999999997E-2</v>
      </c>
      <c r="BF1505" s="624">
        <v>40434</v>
      </c>
      <c r="BG1505" s="355">
        <v>2.1555999999999999E-2</v>
      </c>
      <c r="BH1505" s="624">
        <v>40361</v>
      </c>
      <c r="BI1505" s="355">
        <v>0.110157</v>
      </c>
      <c r="BJ1505" s="624">
        <v>40360</v>
      </c>
      <c r="BK1505" s="355">
        <v>3.0893E-2</v>
      </c>
    </row>
    <row r="1506" spans="3:63">
      <c r="C1506" s="624"/>
      <c r="D1506" s="355">
        <v>3.2239999999999998E-2</v>
      </c>
      <c r="AV1506" s="624"/>
      <c r="AX1506" s="624">
        <v>40367</v>
      </c>
      <c r="AY1506" s="355">
        <v>3.243E-2</v>
      </c>
      <c r="AZ1506" s="624">
        <v>40431</v>
      </c>
      <c r="BA1506" s="355">
        <v>1.21E-2</v>
      </c>
      <c r="BB1506" s="624">
        <v>40364</v>
      </c>
      <c r="BC1506" s="355">
        <v>0.30459999999999998</v>
      </c>
      <c r="BD1506" s="624">
        <v>40364</v>
      </c>
      <c r="BE1506" s="355">
        <v>8.1629999999999994E-2</v>
      </c>
      <c r="BF1506" s="624">
        <v>40435</v>
      </c>
      <c r="BG1506" s="355">
        <v>2.1527000000000001E-2</v>
      </c>
      <c r="BH1506" s="624">
        <v>40364</v>
      </c>
      <c r="BI1506" s="355">
        <v>0.110345</v>
      </c>
      <c r="BJ1506" s="624">
        <v>40361</v>
      </c>
      <c r="BK1506" s="355">
        <v>3.0856000000000001E-2</v>
      </c>
    </row>
    <row r="1507" spans="3:63">
      <c r="C1507" s="624"/>
      <c r="D1507" s="355">
        <v>3.243E-2</v>
      </c>
      <c r="AV1507" s="624"/>
      <c r="AX1507" s="624">
        <v>40368</v>
      </c>
      <c r="AY1507" s="355">
        <v>3.2419999999999997E-2</v>
      </c>
      <c r="AZ1507" s="624">
        <v>40434</v>
      </c>
      <c r="BA1507" s="355">
        <v>1.23E-2</v>
      </c>
      <c r="BB1507" s="624">
        <v>40365</v>
      </c>
      <c r="BC1507" s="355">
        <v>0.30730000000000002</v>
      </c>
      <c r="BD1507" s="624">
        <v>40365</v>
      </c>
      <c r="BE1507" s="355">
        <v>8.2210000000000005E-2</v>
      </c>
      <c r="BF1507" s="624">
        <v>40436</v>
      </c>
      <c r="BG1507" s="355">
        <v>2.1566999999999999E-2</v>
      </c>
      <c r="BH1507" s="624">
        <v>40365</v>
      </c>
      <c r="BI1507" s="355">
        <v>0.11028399999999999</v>
      </c>
      <c r="BJ1507" s="624">
        <v>40364</v>
      </c>
      <c r="BK1507" s="355">
        <v>3.0825999999999999E-2</v>
      </c>
    </row>
    <row r="1508" spans="3:63">
      <c r="C1508" s="624"/>
      <c r="D1508" s="355">
        <v>3.2419999999999997E-2</v>
      </c>
      <c r="AV1508" s="624"/>
      <c r="AX1508" s="624">
        <v>40371</v>
      </c>
      <c r="AY1508" s="355">
        <v>3.2500000000000001E-2</v>
      </c>
      <c r="AZ1508" s="624">
        <v>40435</v>
      </c>
      <c r="BA1508" s="355">
        <v>1.23E-2</v>
      </c>
      <c r="BB1508" s="624">
        <v>40366</v>
      </c>
      <c r="BC1508" s="355">
        <v>0.30909999999999999</v>
      </c>
      <c r="BD1508" s="624">
        <v>40366</v>
      </c>
      <c r="BE1508" s="355">
        <v>8.2239999999999994E-2</v>
      </c>
      <c r="BF1508" s="624">
        <v>40437</v>
      </c>
      <c r="BG1508" s="355">
        <v>2.1668E-2</v>
      </c>
      <c r="BH1508" s="624">
        <v>40366</v>
      </c>
      <c r="BI1508" s="355">
        <v>0.110163</v>
      </c>
      <c r="BJ1508" s="624">
        <v>40365</v>
      </c>
      <c r="BK1508" s="355">
        <v>3.0835999999999999E-2</v>
      </c>
    </row>
    <row r="1509" spans="3:63">
      <c r="C1509" s="624"/>
      <c r="D1509" s="355">
        <v>3.2500000000000001E-2</v>
      </c>
      <c r="AV1509" s="624"/>
      <c r="AX1509" s="624">
        <v>40372</v>
      </c>
      <c r="AY1509" s="355">
        <v>3.2689999999999997E-2</v>
      </c>
      <c r="AZ1509" s="624">
        <v>40436</v>
      </c>
      <c r="BA1509" s="355">
        <v>1.23E-2</v>
      </c>
      <c r="BB1509" s="624">
        <v>40367</v>
      </c>
      <c r="BC1509" s="355">
        <v>0.31130000000000002</v>
      </c>
      <c r="BD1509" s="624">
        <v>40367</v>
      </c>
      <c r="BE1509" s="355">
        <v>8.2720000000000002E-2</v>
      </c>
      <c r="BF1509" s="624">
        <v>40438</v>
      </c>
      <c r="BG1509" s="355">
        <v>2.1814E-2</v>
      </c>
      <c r="BH1509" s="624">
        <v>40367</v>
      </c>
      <c r="BI1509" s="355">
        <v>0.110345</v>
      </c>
      <c r="BJ1509" s="624">
        <v>40366</v>
      </c>
      <c r="BK1509" s="355">
        <v>3.0802E-2</v>
      </c>
    </row>
    <row r="1510" spans="3:63">
      <c r="C1510" s="624"/>
      <c r="D1510" s="355">
        <v>3.2689999999999997E-2</v>
      </c>
      <c r="AV1510" s="624"/>
      <c r="AX1510" s="624">
        <v>40373</v>
      </c>
      <c r="AY1510" s="355">
        <v>3.2719999999999999E-2</v>
      </c>
      <c r="AZ1510" s="624">
        <v>40437</v>
      </c>
      <c r="BA1510" s="355">
        <v>1.24E-2</v>
      </c>
      <c r="BB1510" s="624">
        <v>40368</v>
      </c>
      <c r="BC1510" s="355">
        <v>0.31040000000000001</v>
      </c>
      <c r="BD1510" s="624">
        <v>40368</v>
      </c>
      <c r="BE1510" s="355">
        <v>8.3589999999999998E-2</v>
      </c>
      <c r="BF1510" s="624">
        <v>40441</v>
      </c>
      <c r="BG1510" s="355">
        <v>2.1881000000000001E-2</v>
      </c>
      <c r="BH1510" s="624">
        <v>40368</v>
      </c>
      <c r="BI1510" s="355">
        <v>0.11058900000000001</v>
      </c>
      <c r="BJ1510" s="624">
        <v>40367</v>
      </c>
      <c r="BK1510" s="355">
        <v>3.0835999999999999E-2</v>
      </c>
    </row>
    <row r="1511" spans="3:63">
      <c r="C1511" s="624"/>
      <c r="D1511" s="355">
        <v>3.2719999999999999E-2</v>
      </c>
      <c r="AV1511" s="624"/>
      <c r="AX1511" s="624">
        <v>40374</v>
      </c>
      <c r="AY1511" s="355">
        <v>3.2919999999999998E-2</v>
      </c>
      <c r="AZ1511" s="624">
        <v>40438</v>
      </c>
      <c r="BA1511" s="355">
        <v>1.24E-2</v>
      </c>
      <c r="BB1511" s="624">
        <v>40371</v>
      </c>
      <c r="BC1511" s="355">
        <v>0.3095</v>
      </c>
      <c r="BD1511" s="624">
        <v>40371</v>
      </c>
      <c r="BE1511" s="355">
        <v>8.2989999999999994E-2</v>
      </c>
      <c r="BF1511" s="624">
        <v>40442</v>
      </c>
      <c r="BG1511" s="355">
        <v>2.1894E-2</v>
      </c>
      <c r="BH1511" s="624">
        <v>40371</v>
      </c>
      <c r="BI1511" s="355">
        <v>0.110717</v>
      </c>
      <c r="BJ1511" s="624">
        <v>40368</v>
      </c>
      <c r="BK1511" s="355">
        <v>3.0988999999999999E-2</v>
      </c>
    </row>
    <row r="1512" spans="3:63">
      <c r="C1512" s="624"/>
      <c r="D1512" s="355">
        <v>3.2919999999999998E-2</v>
      </c>
      <c r="AV1512" s="624"/>
      <c r="AX1512" s="624">
        <v>40375</v>
      </c>
      <c r="AY1512" s="355">
        <v>3.2770000000000001E-2</v>
      </c>
      <c r="AZ1512" s="624">
        <v>40441</v>
      </c>
      <c r="BA1512" s="355">
        <v>1.24E-2</v>
      </c>
      <c r="BB1512" s="624">
        <v>40372</v>
      </c>
      <c r="BC1512" s="355">
        <v>0.31280000000000002</v>
      </c>
      <c r="BD1512" s="624">
        <v>40372</v>
      </c>
      <c r="BE1512" s="355">
        <v>8.3360000000000004E-2</v>
      </c>
      <c r="BF1512" s="624">
        <v>40443</v>
      </c>
      <c r="BG1512" s="355">
        <v>2.1935E-2</v>
      </c>
      <c r="BH1512" s="624">
        <v>40372</v>
      </c>
      <c r="BI1512" s="355">
        <v>0.110406</v>
      </c>
      <c r="BJ1512" s="624">
        <v>40371</v>
      </c>
      <c r="BK1512" s="355">
        <v>3.0903E-2</v>
      </c>
    </row>
    <row r="1513" spans="3:63">
      <c r="C1513" s="624"/>
      <c r="D1513" s="355">
        <v>3.2770000000000001E-2</v>
      </c>
      <c r="AV1513" s="624"/>
      <c r="AX1513" s="624">
        <v>40378</v>
      </c>
      <c r="AY1513" s="355">
        <v>3.2759999999999997E-2</v>
      </c>
      <c r="AZ1513" s="624">
        <v>40442</v>
      </c>
      <c r="BA1513" s="355">
        <v>1.26E-2</v>
      </c>
      <c r="BB1513" s="624">
        <v>40373</v>
      </c>
      <c r="BC1513" s="355">
        <v>0.31430000000000002</v>
      </c>
      <c r="BD1513" s="624">
        <v>40373</v>
      </c>
      <c r="BE1513" s="355">
        <v>8.3470000000000003E-2</v>
      </c>
      <c r="BF1513" s="624">
        <v>40444</v>
      </c>
      <c r="BG1513" s="355">
        <v>2.1902999999999999E-2</v>
      </c>
      <c r="BH1513" s="624">
        <v>40373</v>
      </c>
      <c r="BI1513" s="355">
        <v>0.110564</v>
      </c>
      <c r="BJ1513" s="624">
        <v>40372</v>
      </c>
      <c r="BK1513" s="355">
        <v>3.0911999999999999E-2</v>
      </c>
    </row>
    <row r="1514" spans="3:63">
      <c r="C1514" s="624"/>
      <c r="D1514" s="355">
        <v>3.2759999999999997E-2</v>
      </c>
      <c r="AV1514" s="624"/>
      <c r="AX1514" s="624">
        <v>40379</v>
      </c>
      <c r="AY1514" s="355">
        <v>3.2779999999999997E-2</v>
      </c>
      <c r="AZ1514" s="624">
        <v>40443</v>
      </c>
      <c r="BA1514" s="355">
        <v>1.2699999999999999E-2</v>
      </c>
      <c r="BB1514" s="624">
        <v>40374</v>
      </c>
      <c r="BC1514" s="355">
        <v>0.31790000000000002</v>
      </c>
      <c r="BD1514" s="624">
        <v>40374</v>
      </c>
      <c r="BE1514" s="355">
        <v>8.362E-2</v>
      </c>
      <c r="BF1514" s="624">
        <v>40445</v>
      </c>
      <c r="BG1514" s="355">
        <v>2.2096999999999999E-2</v>
      </c>
      <c r="BH1514" s="624">
        <v>40374</v>
      </c>
      <c r="BI1514" s="355">
        <v>0.11065</v>
      </c>
      <c r="BJ1514" s="624">
        <v>40373</v>
      </c>
      <c r="BK1514" s="355">
        <v>3.0941E-2</v>
      </c>
    </row>
    <row r="1515" spans="3:63">
      <c r="C1515" s="624"/>
      <c r="D1515" s="355">
        <v>3.2779999999999997E-2</v>
      </c>
      <c r="AV1515" s="624"/>
      <c r="AX1515" s="624">
        <v>40380</v>
      </c>
      <c r="AY1515" s="355">
        <v>3.2770000000000001E-2</v>
      </c>
      <c r="AZ1515" s="624">
        <v>40444</v>
      </c>
      <c r="BA1515" s="355">
        <v>1.26E-2</v>
      </c>
      <c r="BB1515" s="624">
        <v>40375</v>
      </c>
      <c r="BC1515" s="355">
        <v>0.31480000000000002</v>
      </c>
      <c r="BD1515" s="624">
        <v>40375</v>
      </c>
      <c r="BE1515" s="355">
        <v>8.2250000000000004E-2</v>
      </c>
      <c r="BF1515" s="624">
        <v>40448</v>
      </c>
      <c r="BG1515" s="355">
        <v>2.2217000000000001E-2</v>
      </c>
      <c r="BH1515" s="624">
        <v>40375</v>
      </c>
      <c r="BI1515" s="355">
        <v>0.110528</v>
      </c>
      <c r="BJ1515" s="624">
        <v>40374</v>
      </c>
      <c r="BK1515" s="355">
        <v>3.1026999999999999E-2</v>
      </c>
    </row>
    <row r="1516" spans="3:63">
      <c r="C1516" s="624"/>
      <c r="D1516" s="355">
        <v>3.2770000000000001E-2</v>
      </c>
      <c r="AV1516" s="624"/>
      <c r="AX1516" s="624">
        <v>40381</v>
      </c>
      <c r="AY1516" s="355">
        <v>3.2939999999999997E-2</v>
      </c>
      <c r="AZ1516" s="624">
        <v>40445</v>
      </c>
      <c r="BA1516" s="355">
        <v>1.2800000000000001E-2</v>
      </c>
      <c r="BB1516" s="624">
        <v>40378</v>
      </c>
      <c r="BC1516" s="355">
        <v>0.31369999999999998</v>
      </c>
      <c r="BD1516" s="624">
        <v>40378</v>
      </c>
      <c r="BE1516" s="355">
        <v>8.2390000000000005E-2</v>
      </c>
      <c r="BF1516" s="624">
        <v>40449</v>
      </c>
      <c r="BG1516" s="355">
        <v>2.2141999999999998E-2</v>
      </c>
      <c r="BH1516" s="624">
        <v>40378</v>
      </c>
      <c r="BI1516" s="355">
        <v>0.110345</v>
      </c>
      <c r="BJ1516" s="624">
        <v>40375</v>
      </c>
      <c r="BK1516" s="355">
        <v>3.1004E-2</v>
      </c>
    </row>
    <row r="1517" spans="3:63">
      <c r="C1517" s="624"/>
      <c r="D1517" s="355">
        <v>3.2939999999999997E-2</v>
      </c>
      <c r="AV1517" s="624"/>
      <c r="AX1517" s="624">
        <v>40382</v>
      </c>
      <c r="AY1517" s="355">
        <v>3.2969999999999999E-2</v>
      </c>
      <c r="AZ1517" s="624">
        <v>40448</v>
      </c>
      <c r="BA1517" s="355">
        <v>1.2699999999999999E-2</v>
      </c>
      <c r="BB1517" s="624">
        <v>40379</v>
      </c>
      <c r="BC1517" s="355">
        <v>0.31340000000000001</v>
      </c>
      <c r="BD1517" s="624">
        <v>40379</v>
      </c>
      <c r="BE1517" s="355">
        <v>8.3169999999999994E-2</v>
      </c>
      <c r="BF1517" s="624">
        <v>40450</v>
      </c>
      <c r="BG1517" s="355">
        <v>2.2246999999999999E-2</v>
      </c>
      <c r="BH1517" s="624">
        <v>40379</v>
      </c>
      <c r="BI1517" s="355">
        <v>0.11043</v>
      </c>
      <c r="BJ1517" s="624">
        <v>40378</v>
      </c>
      <c r="BK1517" s="355">
        <v>3.0970000000000001E-2</v>
      </c>
    </row>
    <row r="1518" spans="3:63">
      <c r="C1518" s="624"/>
      <c r="D1518" s="355">
        <v>3.2969999999999999E-2</v>
      </c>
      <c r="AV1518" s="624"/>
      <c r="AX1518" s="624">
        <v>40385</v>
      </c>
      <c r="AY1518" s="355">
        <v>3.3090000000000001E-2</v>
      </c>
      <c r="AZ1518" s="624">
        <v>40449</v>
      </c>
      <c r="BA1518" s="355">
        <v>1.2800000000000001E-2</v>
      </c>
      <c r="BB1518" s="624">
        <v>40380</v>
      </c>
      <c r="BC1518" s="355">
        <v>0.3105</v>
      </c>
      <c r="BD1518" s="624">
        <v>40380</v>
      </c>
      <c r="BE1518" s="355">
        <v>8.3019999999999997E-2</v>
      </c>
      <c r="BF1518" s="624">
        <v>40451</v>
      </c>
      <c r="BG1518" s="355">
        <v>2.2253999999999999E-2</v>
      </c>
      <c r="BH1518" s="624">
        <v>40380</v>
      </c>
      <c r="BI1518" s="355">
        <v>0.110345</v>
      </c>
      <c r="BJ1518" s="624">
        <v>40379</v>
      </c>
      <c r="BK1518" s="355">
        <v>3.1014E-2</v>
      </c>
    </row>
    <row r="1519" spans="3:63">
      <c r="C1519" s="624"/>
      <c r="D1519" s="355">
        <v>3.3090000000000001E-2</v>
      </c>
      <c r="AV1519" s="624"/>
      <c r="AX1519" s="624">
        <v>40386</v>
      </c>
      <c r="AY1519" s="355">
        <v>3.3090000000000001E-2</v>
      </c>
      <c r="AZ1519" s="624">
        <v>40450</v>
      </c>
      <c r="BA1519" s="355">
        <v>1.2800000000000001E-2</v>
      </c>
      <c r="BB1519" s="624">
        <v>40381</v>
      </c>
      <c r="BC1519" s="355">
        <v>0.31580000000000003</v>
      </c>
      <c r="BD1519" s="624">
        <v>40381</v>
      </c>
      <c r="BE1519" s="355">
        <v>8.3470000000000003E-2</v>
      </c>
      <c r="BF1519" s="624">
        <v>40452</v>
      </c>
      <c r="BG1519" s="355">
        <v>2.2474000000000001E-2</v>
      </c>
      <c r="BH1519" s="624">
        <v>40381</v>
      </c>
      <c r="BI1519" s="355">
        <v>0.110467</v>
      </c>
      <c r="BJ1519" s="624">
        <v>40380</v>
      </c>
      <c r="BK1519" s="355">
        <v>3.0960000000000001E-2</v>
      </c>
    </row>
    <row r="1520" spans="3:63">
      <c r="C1520" s="624"/>
      <c r="D1520" s="355">
        <v>3.3090000000000001E-2</v>
      </c>
      <c r="AV1520" s="624"/>
      <c r="AX1520" s="624">
        <v>40387</v>
      </c>
      <c r="AY1520" s="355">
        <v>3.3059999999999999E-2</v>
      </c>
      <c r="AZ1520" s="624">
        <v>40451</v>
      </c>
      <c r="BA1520" s="355">
        <v>1.2800000000000001E-2</v>
      </c>
      <c r="BB1520" s="624">
        <v>40382</v>
      </c>
      <c r="BC1520" s="355">
        <v>0.318</v>
      </c>
      <c r="BD1520" s="624">
        <v>40382</v>
      </c>
      <c r="BE1520" s="355">
        <v>8.3659999999999998E-2</v>
      </c>
      <c r="BF1520" s="624">
        <v>40455</v>
      </c>
      <c r="BG1520" s="355">
        <v>2.2433000000000002E-2</v>
      </c>
      <c r="BH1520" s="624">
        <v>40382</v>
      </c>
      <c r="BI1520" s="355">
        <v>0.110528</v>
      </c>
      <c r="BJ1520" s="624">
        <v>40381</v>
      </c>
      <c r="BK1520" s="355">
        <v>3.1008000000000001E-2</v>
      </c>
    </row>
    <row r="1521" spans="3:63">
      <c r="C1521" s="624"/>
      <c r="D1521" s="355">
        <v>3.3059999999999999E-2</v>
      </c>
      <c r="AV1521" s="624"/>
      <c r="AX1521" s="624">
        <v>40388</v>
      </c>
      <c r="AY1521" s="355">
        <v>3.3090000000000001E-2</v>
      </c>
      <c r="AZ1521" s="624">
        <v>40452</v>
      </c>
      <c r="BA1521" s="355">
        <v>1.29E-2</v>
      </c>
      <c r="BB1521" s="624">
        <v>40385</v>
      </c>
      <c r="BC1521" s="355">
        <v>0.32300000000000001</v>
      </c>
      <c r="BD1521" s="624">
        <v>40385</v>
      </c>
      <c r="BE1521" s="355">
        <v>8.4250000000000005E-2</v>
      </c>
      <c r="BF1521" s="624">
        <v>40456</v>
      </c>
      <c r="BG1521" s="355">
        <v>2.2411E-2</v>
      </c>
      <c r="BH1521" s="624">
        <v>40385</v>
      </c>
      <c r="BI1521" s="355">
        <v>0.110711</v>
      </c>
      <c r="BJ1521" s="624">
        <v>40382</v>
      </c>
      <c r="BK1521" s="355">
        <v>3.1032000000000001E-2</v>
      </c>
    </row>
    <row r="1522" spans="3:63">
      <c r="C1522" s="624"/>
      <c r="D1522" s="355">
        <v>3.3090000000000001E-2</v>
      </c>
      <c r="AV1522" s="624"/>
      <c r="AX1522" s="624">
        <v>40389</v>
      </c>
      <c r="AY1522" s="355">
        <v>3.3090000000000001E-2</v>
      </c>
      <c r="AZ1522" s="624">
        <v>40455</v>
      </c>
      <c r="BA1522" s="355">
        <v>1.29E-2</v>
      </c>
      <c r="BB1522" s="624">
        <v>40386</v>
      </c>
      <c r="BC1522" s="355">
        <v>0.32450000000000001</v>
      </c>
      <c r="BD1522" s="624">
        <v>40386</v>
      </c>
      <c r="BE1522" s="355">
        <v>8.4519999999999998E-2</v>
      </c>
      <c r="BF1522" s="624">
        <v>40457</v>
      </c>
      <c r="BG1522" s="355">
        <v>2.2471999999999999E-2</v>
      </c>
      <c r="BH1522" s="624">
        <v>40386</v>
      </c>
      <c r="BI1522" s="355">
        <v>0.11089499999999999</v>
      </c>
      <c r="BJ1522" s="624">
        <v>40385</v>
      </c>
      <c r="BK1522" s="355">
        <v>3.1047000000000002E-2</v>
      </c>
    </row>
    <row r="1523" spans="3:63">
      <c r="C1523" s="624"/>
      <c r="D1523" s="355">
        <v>3.3090000000000001E-2</v>
      </c>
      <c r="AV1523" s="624"/>
      <c r="AX1523" s="624">
        <v>40392</v>
      </c>
      <c r="AY1523" s="355">
        <v>3.3320000000000002E-2</v>
      </c>
      <c r="AZ1523" s="624">
        <v>40456</v>
      </c>
      <c r="BA1523" s="355">
        <v>1.2999999999999999E-2</v>
      </c>
      <c r="BB1523" s="624">
        <v>40387</v>
      </c>
      <c r="BC1523" s="355">
        <v>0.3246</v>
      </c>
      <c r="BD1523" s="624">
        <v>40387</v>
      </c>
      <c r="BE1523" s="355">
        <v>8.3790000000000003E-2</v>
      </c>
      <c r="BF1523" s="624">
        <v>40458</v>
      </c>
      <c r="BG1523" s="355">
        <v>2.2623999999999998E-2</v>
      </c>
      <c r="BH1523" s="624">
        <v>40387</v>
      </c>
      <c r="BI1523" s="355">
        <v>0.11108</v>
      </c>
      <c r="BJ1523" s="624">
        <v>40386</v>
      </c>
      <c r="BK1523" s="355">
        <v>3.1050999999999999E-2</v>
      </c>
    </row>
    <row r="1524" spans="3:63">
      <c r="C1524" s="624"/>
      <c r="D1524" s="355">
        <v>3.3320000000000002E-2</v>
      </c>
      <c r="AV1524" s="624"/>
      <c r="AX1524" s="624">
        <v>40393</v>
      </c>
      <c r="AY1524" s="355">
        <v>3.3640000000000003E-2</v>
      </c>
      <c r="AZ1524" s="624">
        <v>40457</v>
      </c>
      <c r="BA1524" s="355">
        <v>1.3100000000000001E-2</v>
      </c>
      <c r="BB1524" s="624">
        <v>40388</v>
      </c>
      <c r="BC1524" s="355">
        <v>0.3261</v>
      </c>
      <c r="BD1524" s="624">
        <v>40388</v>
      </c>
      <c r="BE1524" s="355">
        <v>8.4239999999999995E-2</v>
      </c>
      <c r="BF1524" s="624">
        <v>40459</v>
      </c>
      <c r="BG1524" s="355">
        <v>2.2506999999999999E-2</v>
      </c>
      <c r="BH1524" s="624">
        <v>40388</v>
      </c>
      <c r="BI1524" s="355">
        <v>0.111514</v>
      </c>
      <c r="BJ1524" s="624">
        <v>40387</v>
      </c>
      <c r="BK1524" s="355">
        <v>3.1050999999999999E-2</v>
      </c>
    </row>
    <row r="1525" spans="3:63">
      <c r="C1525" s="624"/>
      <c r="D1525" s="355">
        <v>3.3640000000000003E-2</v>
      </c>
      <c r="AV1525" s="624"/>
      <c r="AX1525" s="624">
        <v>40394</v>
      </c>
      <c r="AY1525" s="355">
        <v>3.354E-2</v>
      </c>
      <c r="AZ1525" s="624">
        <v>40458</v>
      </c>
      <c r="BA1525" s="355">
        <v>1.3100000000000001E-2</v>
      </c>
      <c r="BB1525" s="624">
        <v>40389</v>
      </c>
      <c r="BC1525" s="355">
        <v>0.32540000000000002</v>
      </c>
      <c r="BD1525" s="624">
        <v>40389</v>
      </c>
      <c r="BE1525" s="355">
        <v>8.4589999999999999E-2</v>
      </c>
      <c r="BF1525" s="624">
        <v>40462</v>
      </c>
      <c r="BG1525" s="355">
        <v>2.2506999999999999E-2</v>
      </c>
      <c r="BH1525" s="624">
        <v>40389</v>
      </c>
      <c r="BI1525" s="355">
        <v>0.112139</v>
      </c>
      <c r="BJ1525" s="624">
        <v>40388</v>
      </c>
      <c r="BK1525" s="355">
        <v>3.1022999999999998E-2</v>
      </c>
    </row>
    <row r="1526" spans="3:63">
      <c r="C1526" s="624"/>
      <c r="D1526" s="355">
        <v>3.354E-2</v>
      </c>
      <c r="AV1526" s="624"/>
      <c r="AX1526" s="624">
        <v>40395</v>
      </c>
      <c r="AY1526" s="355">
        <v>3.3509999999999998E-2</v>
      </c>
      <c r="AZ1526" s="624">
        <v>40459</v>
      </c>
      <c r="BA1526" s="355">
        <v>1.3100000000000001E-2</v>
      </c>
      <c r="BB1526" s="624">
        <v>40392</v>
      </c>
      <c r="BC1526" s="355">
        <v>0.33100000000000002</v>
      </c>
      <c r="BD1526" s="624">
        <v>40392</v>
      </c>
      <c r="BE1526" s="355">
        <v>8.5639999999999994E-2</v>
      </c>
      <c r="BF1526" s="624">
        <v>40463</v>
      </c>
      <c r="BG1526" s="355">
        <v>2.2388999999999999E-2</v>
      </c>
      <c r="BH1526" s="624">
        <v>40392</v>
      </c>
      <c r="BI1526" s="355">
        <v>0.11182599999999999</v>
      </c>
      <c r="BJ1526" s="624">
        <v>40389</v>
      </c>
      <c r="BK1526" s="355">
        <v>3.1008000000000001E-2</v>
      </c>
    </row>
    <row r="1527" spans="3:63">
      <c r="C1527" s="624"/>
      <c r="D1527" s="355">
        <v>3.3509999999999998E-2</v>
      </c>
      <c r="AV1527" s="624"/>
      <c r="AX1527" s="624">
        <v>40396</v>
      </c>
      <c r="AY1527" s="355">
        <v>3.3529999999999997E-2</v>
      </c>
      <c r="AZ1527" s="624">
        <v>40462</v>
      </c>
      <c r="BA1527" s="355">
        <v>1.2999999999999999E-2</v>
      </c>
      <c r="BB1527" s="624">
        <v>40393</v>
      </c>
      <c r="BC1527" s="355">
        <v>0.33040000000000003</v>
      </c>
      <c r="BD1527" s="624">
        <v>40393</v>
      </c>
      <c r="BE1527" s="355">
        <v>8.5529999999999995E-2</v>
      </c>
      <c r="BF1527" s="624">
        <v>40464</v>
      </c>
      <c r="BG1527" s="355">
        <v>2.2463E-2</v>
      </c>
      <c r="BH1527" s="624">
        <v>40393</v>
      </c>
      <c r="BI1527" s="355">
        <v>0.111888</v>
      </c>
      <c r="BJ1527" s="624">
        <v>40392</v>
      </c>
      <c r="BK1527" s="355">
        <v>3.1095000000000001E-2</v>
      </c>
    </row>
    <row r="1528" spans="3:63">
      <c r="C1528" s="624"/>
      <c r="D1528" s="355">
        <v>3.3529999999999997E-2</v>
      </c>
      <c r="AV1528" s="624"/>
      <c r="AX1528" s="624">
        <v>40399</v>
      </c>
      <c r="AY1528" s="355">
        <v>3.3410000000000002E-2</v>
      </c>
      <c r="AZ1528" s="624">
        <v>40463</v>
      </c>
      <c r="BA1528" s="355">
        <v>1.3100000000000001E-2</v>
      </c>
      <c r="BB1528" s="624">
        <v>40394</v>
      </c>
      <c r="BC1528" s="355">
        <v>0.33019999999999999</v>
      </c>
      <c r="BD1528" s="624">
        <v>40394</v>
      </c>
      <c r="BE1528" s="355">
        <v>8.5790000000000005E-2</v>
      </c>
      <c r="BF1528" s="624">
        <v>40465</v>
      </c>
      <c r="BG1528" s="355">
        <v>2.266E-2</v>
      </c>
      <c r="BH1528" s="624">
        <v>40394</v>
      </c>
      <c r="BI1528" s="355">
        <v>0.11170099999999999</v>
      </c>
      <c r="BJ1528" s="624">
        <v>40393</v>
      </c>
      <c r="BK1528" s="355">
        <v>3.1129E-2</v>
      </c>
    </row>
    <row r="1529" spans="3:63">
      <c r="C1529" s="624"/>
      <c r="D1529" s="355">
        <v>3.3410000000000002E-2</v>
      </c>
      <c r="AV1529" s="624"/>
      <c r="AX1529" s="624">
        <v>40400</v>
      </c>
      <c r="AY1529" s="355">
        <v>3.3309999999999999E-2</v>
      </c>
      <c r="AZ1529" s="624">
        <v>40464</v>
      </c>
      <c r="BA1529" s="355">
        <v>1.3100000000000001E-2</v>
      </c>
      <c r="BB1529" s="624">
        <v>40395</v>
      </c>
      <c r="BC1529" s="355">
        <v>0.33050000000000002</v>
      </c>
      <c r="BD1529" s="624">
        <v>40395</v>
      </c>
      <c r="BE1529" s="355">
        <v>8.5699999999999998E-2</v>
      </c>
      <c r="BF1529" s="624">
        <v>40466</v>
      </c>
      <c r="BG1529" s="355">
        <v>2.2674E-2</v>
      </c>
      <c r="BH1529" s="624">
        <v>40395</v>
      </c>
      <c r="BI1529" s="355">
        <v>0.11195099999999999</v>
      </c>
      <c r="BJ1529" s="624">
        <v>40394</v>
      </c>
      <c r="BK1529" s="355">
        <v>3.1137999999999999E-2</v>
      </c>
    </row>
    <row r="1530" spans="3:63">
      <c r="C1530" s="624"/>
      <c r="D1530" s="355">
        <v>3.3309999999999999E-2</v>
      </c>
      <c r="AV1530" s="624"/>
      <c r="AX1530" s="624">
        <v>40401</v>
      </c>
      <c r="AY1530" s="355">
        <v>3.2849999999999997E-2</v>
      </c>
      <c r="AZ1530" s="624">
        <v>40465</v>
      </c>
      <c r="BA1530" s="355">
        <v>1.32E-2</v>
      </c>
      <c r="BB1530" s="624">
        <v>40396</v>
      </c>
      <c r="BC1530" s="355">
        <v>0.33300000000000002</v>
      </c>
      <c r="BD1530" s="624">
        <v>40396</v>
      </c>
      <c r="BE1530" s="355">
        <v>8.6480000000000001E-2</v>
      </c>
      <c r="BF1530" s="624">
        <v>40469</v>
      </c>
      <c r="BG1530" s="355">
        <v>2.2533999999999998E-2</v>
      </c>
      <c r="BH1530" s="624">
        <v>40396</v>
      </c>
      <c r="BI1530" s="355">
        <v>0.111863</v>
      </c>
      <c r="BJ1530" s="624">
        <v>40395</v>
      </c>
      <c r="BK1530" s="355">
        <v>3.1182000000000001E-2</v>
      </c>
    </row>
    <row r="1531" spans="3:63">
      <c r="C1531" s="624"/>
      <c r="D1531" s="355">
        <v>3.2849999999999997E-2</v>
      </c>
      <c r="AV1531" s="624"/>
      <c r="AX1531" s="624">
        <v>40402</v>
      </c>
      <c r="AY1531" s="355">
        <v>3.2680000000000001E-2</v>
      </c>
      <c r="AZ1531" s="624">
        <v>40466</v>
      </c>
      <c r="BA1531" s="355">
        <v>1.32E-2</v>
      </c>
      <c r="BB1531" s="624">
        <v>40399</v>
      </c>
      <c r="BC1531" s="355">
        <v>0.33339999999999997</v>
      </c>
      <c r="BD1531" s="624">
        <v>40399</v>
      </c>
      <c r="BE1531" s="355">
        <v>8.6099999999999996E-2</v>
      </c>
      <c r="BF1531" s="624">
        <v>40470</v>
      </c>
      <c r="BG1531" s="355">
        <v>2.2542E-2</v>
      </c>
      <c r="BH1531" s="624">
        <v>40399</v>
      </c>
      <c r="BI1531" s="355">
        <v>0.11195099999999999</v>
      </c>
      <c r="BJ1531" s="624">
        <v>40396</v>
      </c>
      <c r="BK1531" s="355">
        <v>3.1269999999999999E-2</v>
      </c>
    </row>
    <row r="1532" spans="3:63">
      <c r="C1532" s="624"/>
      <c r="D1532" s="355">
        <v>3.2680000000000001E-2</v>
      </c>
      <c r="AV1532" s="624"/>
      <c r="AX1532" s="624">
        <v>40403</v>
      </c>
      <c r="AY1532" s="355">
        <v>3.2680000000000001E-2</v>
      </c>
      <c r="AZ1532" s="624">
        <v>40469</v>
      </c>
      <c r="BA1532" s="355">
        <v>1.3100000000000001E-2</v>
      </c>
      <c r="BB1532" s="624">
        <v>40400</v>
      </c>
      <c r="BC1532" s="355">
        <v>0.33179999999999998</v>
      </c>
      <c r="BD1532" s="624">
        <v>40400</v>
      </c>
      <c r="BE1532" s="355">
        <v>8.5389999999999994E-2</v>
      </c>
      <c r="BF1532" s="624">
        <v>40471</v>
      </c>
      <c r="BG1532" s="355">
        <v>2.2544000000000002E-2</v>
      </c>
      <c r="BH1532" s="624">
        <v>40400</v>
      </c>
      <c r="BI1532" s="355">
        <v>0.111638</v>
      </c>
      <c r="BJ1532" s="624">
        <v>40399</v>
      </c>
      <c r="BK1532" s="355">
        <v>3.1333E-2</v>
      </c>
    </row>
    <row r="1533" spans="3:63">
      <c r="C1533" s="624"/>
      <c r="D1533" s="355">
        <v>3.2680000000000001E-2</v>
      </c>
      <c r="AV1533" s="624"/>
      <c r="AX1533" s="624">
        <v>40406</v>
      </c>
      <c r="AY1533" s="355">
        <v>3.279E-2</v>
      </c>
      <c r="AZ1533" s="624">
        <v>40470</v>
      </c>
      <c r="BA1533" s="355">
        <v>1.29E-2</v>
      </c>
      <c r="BB1533" s="624">
        <v>40401</v>
      </c>
      <c r="BC1533" s="355">
        <v>0.32090000000000002</v>
      </c>
      <c r="BD1533" s="624">
        <v>40401</v>
      </c>
      <c r="BE1533" s="355">
        <v>8.4220000000000003E-2</v>
      </c>
      <c r="BF1533" s="624">
        <v>40472</v>
      </c>
      <c r="BG1533" s="355">
        <v>2.2568000000000001E-2</v>
      </c>
      <c r="BH1533" s="624">
        <v>40401</v>
      </c>
      <c r="BI1533" s="355">
        <v>0.111266</v>
      </c>
      <c r="BJ1533" s="624">
        <v>40400</v>
      </c>
      <c r="BK1533" s="355">
        <v>3.1230999999999998E-2</v>
      </c>
    </row>
    <row r="1534" spans="3:63">
      <c r="C1534" s="624"/>
      <c r="D1534" s="355">
        <v>3.279E-2</v>
      </c>
      <c r="AV1534" s="624"/>
      <c r="AX1534" s="624">
        <v>40407</v>
      </c>
      <c r="AY1534" s="355">
        <v>3.2989999999999998E-2</v>
      </c>
      <c r="AZ1534" s="624">
        <v>40471</v>
      </c>
      <c r="BA1534" s="355">
        <v>1.32E-2</v>
      </c>
      <c r="BB1534" s="624">
        <v>40402</v>
      </c>
      <c r="BC1534" s="355">
        <v>0.32050000000000001</v>
      </c>
      <c r="BD1534" s="624">
        <v>40402</v>
      </c>
      <c r="BE1534" s="355">
        <v>8.4239999999999995E-2</v>
      </c>
      <c r="BF1534" s="624">
        <v>40473</v>
      </c>
      <c r="BG1534" s="355">
        <v>2.2426999999999999E-2</v>
      </c>
      <c r="BH1534" s="624">
        <v>40402</v>
      </c>
      <c r="BI1534" s="355">
        <v>0.11101900000000001</v>
      </c>
      <c r="BJ1534" s="624">
        <v>40401</v>
      </c>
      <c r="BK1534" s="355">
        <v>3.1322000000000003E-2</v>
      </c>
    </row>
    <row r="1535" spans="3:63">
      <c r="C1535" s="624"/>
      <c r="D1535" s="355">
        <v>3.2989999999999998E-2</v>
      </c>
      <c r="AV1535" s="624"/>
      <c r="AX1535" s="624">
        <v>40408</v>
      </c>
      <c r="AY1535" s="355">
        <v>3.2849999999999997E-2</v>
      </c>
      <c r="AZ1535" s="624">
        <v>40472</v>
      </c>
      <c r="BA1535" s="355">
        <v>1.3100000000000001E-2</v>
      </c>
      <c r="BB1535" s="624">
        <v>40403</v>
      </c>
      <c r="BC1535" s="355">
        <v>0.31840000000000002</v>
      </c>
      <c r="BD1535" s="624">
        <v>40403</v>
      </c>
      <c r="BE1535" s="355">
        <v>8.4190000000000001E-2</v>
      </c>
      <c r="BF1535" s="624">
        <v>40476</v>
      </c>
      <c r="BG1535" s="355">
        <v>2.2544999999999999E-2</v>
      </c>
      <c r="BH1535" s="624">
        <v>40403</v>
      </c>
      <c r="BI1535" s="355">
        <v>0.11142100000000001</v>
      </c>
      <c r="BJ1535" s="624">
        <v>40402</v>
      </c>
      <c r="BK1535" s="355">
        <v>3.1333E-2</v>
      </c>
    </row>
    <row r="1536" spans="3:63">
      <c r="C1536" s="624"/>
      <c r="D1536" s="355">
        <v>3.2849999999999997E-2</v>
      </c>
      <c r="AV1536" s="624"/>
      <c r="AX1536" s="624">
        <v>40409</v>
      </c>
      <c r="AY1536" s="355">
        <v>3.279E-2</v>
      </c>
      <c r="AZ1536" s="624">
        <v>40473</v>
      </c>
      <c r="BA1536" s="355">
        <v>1.3100000000000001E-2</v>
      </c>
      <c r="BB1536" s="624">
        <v>40406</v>
      </c>
      <c r="BC1536" s="355">
        <v>0.32200000000000001</v>
      </c>
      <c r="BD1536" s="624">
        <v>40406</v>
      </c>
      <c r="BE1536" s="355">
        <v>8.4470000000000003E-2</v>
      </c>
      <c r="BF1536" s="624">
        <v>40477</v>
      </c>
      <c r="BG1536" s="355">
        <v>2.2501E-2</v>
      </c>
      <c r="BH1536" s="624">
        <v>40406</v>
      </c>
      <c r="BI1536" s="355">
        <v>0.111328</v>
      </c>
      <c r="BJ1536" s="624">
        <v>40403</v>
      </c>
      <c r="BK1536" s="355">
        <v>3.1348000000000001E-2</v>
      </c>
    </row>
    <row r="1537" spans="3:63">
      <c r="C1537" s="624"/>
      <c r="D1537" s="355">
        <v>3.279E-2</v>
      </c>
      <c r="AV1537" s="624"/>
      <c r="AX1537" s="624">
        <v>40410</v>
      </c>
      <c r="AY1537" s="355">
        <v>3.2660000000000002E-2</v>
      </c>
      <c r="AZ1537" s="624">
        <v>40476</v>
      </c>
      <c r="BA1537" s="355">
        <v>1.3100000000000001E-2</v>
      </c>
      <c r="BB1537" s="624">
        <v>40407</v>
      </c>
      <c r="BC1537" s="355">
        <v>0.32669999999999999</v>
      </c>
      <c r="BD1537" s="624">
        <v>40407</v>
      </c>
      <c r="BE1537" s="355">
        <v>8.5209999999999994E-2</v>
      </c>
      <c r="BF1537" s="624">
        <v>40478</v>
      </c>
      <c r="BG1537" s="355">
        <v>2.2495000000000001E-2</v>
      </c>
      <c r="BH1537" s="624">
        <v>40407</v>
      </c>
      <c r="BI1537" s="355">
        <v>0.11157599999999999</v>
      </c>
      <c r="BJ1537" s="624">
        <v>40406</v>
      </c>
      <c r="BK1537" s="355">
        <v>3.1432000000000002E-2</v>
      </c>
    </row>
    <row r="1538" spans="3:63">
      <c r="C1538" s="624"/>
      <c r="D1538" s="355">
        <v>3.2660000000000002E-2</v>
      </c>
      <c r="AV1538" s="624"/>
      <c r="AX1538" s="624">
        <v>40413</v>
      </c>
      <c r="AY1538" s="355">
        <v>3.2579999999999998E-2</v>
      </c>
      <c r="AZ1538" s="624">
        <v>40477</v>
      </c>
      <c r="BA1538" s="355">
        <v>1.29E-2</v>
      </c>
      <c r="BB1538" s="624">
        <v>40408</v>
      </c>
      <c r="BC1538" s="355">
        <v>0.32629999999999998</v>
      </c>
      <c r="BD1538" s="624">
        <v>40408</v>
      </c>
      <c r="BE1538" s="355">
        <v>8.5279999999999995E-2</v>
      </c>
      <c r="BF1538" s="624">
        <v>40479</v>
      </c>
      <c r="BG1538" s="355">
        <v>2.2457000000000001E-2</v>
      </c>
      <c r="BH1538" s="624">
        <v>40408</v>
      </c>
      <c r="BI1538" s="355">
        <v>0.11154500000000001</v>
      </c>
      <c r="BJ1538" s="624">
        <v>40407</v>
      </c>
      <c r="BK1538" s="355">
        <v>3.1452000000000001E-2</v>
      </c>
    </row>
    <row r="1539" spans="3:63">
      <c r="C1539" s="624"/>
      <c r="D1539" s="355">
        <v>3.2579999999999998E-2</v>
      </c>
      <c r="AV1539" s="624"/>
      <c r="AX1539" s="624">
        <v>40414</v>
      </c>
      <c r="AY1539" s="355">
        <v>3.2439999999999997E-2</v>
      </c>
      <c r="AZ1539" s="624">
        <v>40478</v>
      </c>
      <c r="BA1539" s="355">
        <v>1.2800000000000001E-2</v>
      </c>
      <c r="BB1539" s="624">
        <v>40409</v>
      </c>
      <c r="BC1539" s="355">
        <v>0.32300000000000001</v>
      </c>
      <c r="BD1539" s="624">
        <v>40409</v>
      </c>
      <c r="BE1539" s="355">
        <v>8.4949999999999998E-2</v>
      </c>
      <c r="BF1539" s="624">
        <v>40480</v>
      </c>
      <c r="BG1539" s="355">
        <v>2.2502000000000001E-2</v>
      </c>
      <c r="BH1539" s="624">
        <v>40409</v>
      </c>
      <c r="BI1539" s="355">
        <v>0.111514</v>
      </c>
      <c r="BJ1539" s="624">
        <v>40408</v>
      </c>
      <c r="BK1539" s="355">
        <v>3.1614999999999997E-2</v>
      </c>
    </row>
    <row r="1540" spans="3:63">
      <c r="C1540" s="624"/>
      <c r="D1540" s="355">
        <v>3.2439999999999997E-2</v>
      </c>
      <c r="AV1540" s="624"/>
      <c r="AX1540" s="624">
        <v>40415</v>
      </c>
      <c r="AY1540" s="355">
        <v>3.2320000000000002E-2</v>
      </c>
      <c r="AZ1540" s="624">
        <v>40479</v>
      </c>
      <c r="BA1540" s="355">
        <v>1.29E-2</v>
      </c>
      <c r="BB1540" s="624">
        <v>40410</v>
      </c>
      <c r="BC1540" s="355">
        <v>0.31969999999999998</v>
      </c>
      <c r="BD1540" s="624">
        <v>40410</v>
      </c>
      <c r="BE1540" s="355">
        <v>8.4449999999999997E-2</v>
      </c>
      <c r="BF1540" s="624">
        <v>40483</v>
      </c>
      <c r="BG1540" s="355">
        <v>2.2485000000000002E-2</v>
      </c>
      <c r="BH1540" s="624">
        <v>40410</v>
      </c>
      <c r="BI1540" s="355">
        <v>0.11119800000000001</v>
      </c>
      <c r="BJ1540" s="624">
        <v>40409</v>
      </c>
      <c r="BK1540" s="355">
        <v>3.1706999999999999E-2</v>
      </c>
    </row>
    <row r="1541" spans="3:63">
      <c r="C1541" s="624"/>
      <c r="D1541" s="355">
        <v>3.2320000000000002E-2</v>
      </c>
      <c r="AV1541" s="624"/>
      <c r="AX1541" s="624">
        <v>40416</v>
      </c>
      <c r="AY1541" s="355">
        <v>3.2550000000000003E-2</v>
      </c>
      <c r="AZ1541" s="624">
        <v>40480</v>
      </c>
      <c r="BA1541" s="355">
        <v>1.2999999999999999E-2</v>
      </c>
      <c r="BB1541" s="624">
        <v>40413</v>
      </c>
      <c r="BC1541" s="355">
        <v>0.315</v>
      </c>
      <c r="BD1541" s="624">
        <v>40413</v>
      </c>
      <c r="BE1541" s="355">
        <v>8.4459999999999993E-2</v>
      </c>
      <c r="BF1541" s="624">
        <v>40484</v>
      </c>
      <c r="BG1541" s="355">
        <v>2.2536E-2</v>
      </c>
      <c r="BH1541" s="624">
        <v>40413</v>
      </c>
      <c r="BI1541" s="355">
        <v>0.111359</v>
      </c>
      <c r="BJ1541" s="624">
        <v>40410</v>
      </c>
      <c r="BK1541" s="355">
        <v>3.1615999999999998E-2</v>
      </c>
    </row>
    <row r="1542" spans="3:63">
      <c r="C1542" s="624"/>
      <c r="D1542" s="355">
        <v>3.2550000000000003E-2</v>
      </c>
      <c r="AV1542" s="624"/>
      <c r="AX1542" s="624">
        <v>40417</v>
      </c>
      <c r="AY1542" s="355">
        <v>3.2599999999999997E-2</v>
      </c>
      <c r="AZ1542" s="624">
        <v>40483</v>
      </c>
      <c r="BA1542" s="355">
        <v>1.29E-2</v>
      </c>
      <c r="BB1542" s="624">
        <v>40414</v>
      </c>
      <c r="BC1542" s="355">
        <v>0.31509999999999999</v>
      </c>
      <c r="BD1542" s="624">
        <v>40414</v>
      </c>
      <c r="BE1542" s="355">
        <v>8.3820000000000006E-2</v>
      </c>
      <c r="BF1542" s="624">
        <v>40485</v>
      </c>
      <c r="BG1542" s="355">
        <v>2.2543000000000001E-2</v>
      </c>
      <c r="BH1542" s="624">
        <v>40414</v>
      </c>
      <c r="BI1542" s="355">
        <v>0.11129</v>
      </c>
      <c r="BJ1542" s="624">
        <v>40413</v>
      </c>
      <c r="BK1542" s="355">
        <v>3.1812E-2</v>
      </c>
    </row>
    <row r="1543" spans="3:63">
      <c r="C1543" s="624"/>
      <c r="D1543" s="355">
        <v>3.2599999999999997E-2</v>
      </c>
      <c r="AV1543" s="624"/>
      <c r="AX1543" s="624">
        <v>40420</v>
      </c>
      <c r="AY1543" s="355">
        <v>3.2509999999999997E-2</v>
      </c>
      <c r="AZ1543" s="624">
        <v>40484</v>
      </c>
      <c r="BA1543" s="355">
        <v>1.2999999999999999E-2</v>
      </c>
      <c r="BB1543" s="624">
        <v>40415</v>
      </c>
      <c r="BC1543" s="355">
        <v>0.31659999999999999</v>
      </c>
      <c r="BD1543" s="624">
        <v>40415</v>
      </c>
      <c r="BE1543" s="355">
        <v>8.3250000000000005E-2</v>
      </c>
      <c r="BF1543" s="624">
        <v>40486</v>
      </c>
      <c r="BG1543" s="355">
        <v>2.2613999999999999E-2</v>
      </c>
      <c r="BH1543" s="624">
        <v>40415</v>
      </c>
      <c r="BI1543" s="355">
        <v>0.111328</v>
      </c>
      <c r="BJ1543" s="624">
        <v>40414</v>
      </c>
      <c r="BK1543" s="355">
        <v>3.1764000000000001E-2</v>
      </c>
    </row>
    <row r="1544" spans="3:63">
      <c r="C1544" s="624"/>
      <c r="D1544" s="355">
        <v>3.2509999999999997E-2</v>
      </c>
      <c r="AV1544" s="624"/>
      <c r="AX1544" s="624">
        <v>40421</v>
      </c>
      <c r="AY1544" s="355">
        <v>3.245E-2</v>
      </c>
      <c r="AZ1544" s="624">
        <v>40485</v>
      </c>
      <c r="BA1544" s="355">
        <v>1.3100000000000001E-2</v>
      </c>
      <c r="BB1544" s="624">
        <v>40416</v>
      </c>
      <c r="BC1544" s="355">
        <v>0.31780000000000003</v>
      </c>
      <c r="BD1544" s="624">
        <v>40416</v>
      </c>
      <c r="BE1544" s="355">
        <v>8.3760000000000001E-2</v>
      </c>
      <c r="BF1544" s="624">
        <v>40490</v>
      </c>
      <c r="BG1544" s="355">
        <v>2.2516999999999999E-2</v>
      </c>
      <c r="BH1544" s="624">
        <v>40416</v>
      </c>
      <c r="BI1544" s="355">
        <v>0.111235</v>
      </c>
      <c r="BJ1544" s="624">
        <v>40415</v>
      </c>
      <c r="BK1544" s="355">
        <v>3.1725999999999997E-2</v>
      </c>
    </row>
    <row r="1545" spans="3:63">
      <c r="C1545" s="624"/>
      <c r="D1545" s="355">
        <v>3.245E-2</v>
      </c>
      <c r="AV1545" s="624"/>
      <c r="AX1545" s="624">
        <v>40422</v>
      </c>
      <c r="AY1545" s="355">
        <v>3.2550000000000003E-2</v>
      </c>
      <c r="AZ1545" s="624">
        <v>40486</v>
      </c>
      <c r="BA1545" s="355">
        <v>1.32E-2</v>
      </c>
      <c r="BB1545" s="624">
        <v>40417</v>
      </c>
      <c r="BC1545" s="355">
        <v>0.32179999999999997</v>
      </c>
      <c r="BD1545" s="624">
        <v>40417</v>
      </c>
      <c r="BE1545" s="355">
        <v>8.3960000000000007E-2</v>
      </c>
      <c r="BF1545" s="624">
        <v>40491</v>
      </c>
      <c r="BG1545" s="355">
        <v>2.2568000000000001E-2</v>
      </c>
      <c r="BH1545" s="624">
        <v>40417</v>
      </c>
      <c r="BI1545" s="355">
        <v>0.110767</v>
      </c>
      <c r="BJ1545" s="624">
        <v>40416</v>
      </c>
      <c r="BK1545" s="355">
        <v>3.1888E-2</v>
      </c>
    </row>
    <row r="1546" spans="3:63">
      <c r="C1546" s="624"/>
      <c r="D1546" s="355">
        <v>3.2550000000000003E-2</v>
      </c>
      <c r="AV1546" s="624"/>
      <c r="AX1546" s="624">
        <v>40423</v>
      </c>
      <c r="AY1546" s="355">
        <v>3.2570000000000002E-2</v>
      </c>
      <c r="AZ1546" s="624">
        <v>40487</v>
      </c>
      <c r="BA1546" s="355">
        <v>1.3100000000000001E-2</v>
      </c>
      <c r="BB1546" s="624">
        <v>40420</v>
      </c>
      <c r="BC1546" s="355">
        <v>0.31680000000000003</v>
      </c>
      <c r="BD1546" s="624">
        <v>40420</v>
      </c>
      <c r="BE1546" s="355">
        <v>8.3549999999999999E-2</v>
      </c>
      <c r="BF1546" s="624">
        <v>40492</v>
      </c>
      <c r="BG1546" s="355">
        <v>2.2565999999999999E-2</v>
      </c>
      <c r="BH1546" s="624">
        <v>40420</v>
      </c>
      <c r="BI1546" s="355">
        <v>0.110656</v>
      </c>
      <c r="BJ1546" s="624">
        <v>40417</v>
      </c>
      <c r="BK1546" s="355">
        <v>3.1959000000000001E-2</v>
      </c>
    </row>
    <row r="1547" spans="3:63">
      <c r="C1547" s="624"/>
      <c r="D1547" s="355">
        <v>3.2570000000000002E-2</v>
      </c>
      <c r="AV1547" s="624"/>
      <c r="AX1547" s="624">
        <v>40424</v>
      </c>
      <c r="AY1547" s="355">
        <v>3.27E-2</v>
      </c>
      <c r="AZ1547" s="624">
        <v>40490</v>
      </c>
      <c r="BA1547" s="355">
        <v>1.2999999999999999E-2</v>
      </c>
      <c r="BB1547" s="624">
        <v>40421</v>
      </c>
      <c r="BC1547" s="355">
        <v>0.31659999999999999</v>
      </c>
      <c r="BD1547" s="624">
        <v>40421</v>
      </c>
      <c r="BE1547" s="355">
        <v>8.3470000000000003E-2</v>
      </c>
      <c r="BF1547" s="624">
        <v>40493</v>
      </c>
      <c r="BG1547" s="355">
        <v>2.2741999999999998E-2</v>
      </c>
      <c r="BH1547" s="624">
        <v>40421</v>
      </c>
      <c r="BI1547" s="355">
        <v>0.110681</v>
      </c>
      <c r="BJ1547" s="624">
        <v>40420</v>
      </c>
      <c r="BK1547" s="355">
        <v>3.1954000000000003E-2</v>
      </c>
    </row>
    <row r="1548" spans="3:63">
      <c r="C1548" s="624"/>
      <c r="D1548" s="355">
        <v>3.27E-2</v>
      </c>
      <c r="AV1548" s="624"/>
      <c r="AX1548" s="624">
        <v>40427</v>
      </c>
      <c r="AY1548" s="355">
        <v>3.2660000000000002E-2</v>
      </c>
      <c r="AZ1548" s="624">
        <v>40491</v>
      </c>
      <c r="BA1548" s="355">
        <v>1.2800000000000001E-2</v>
      </c>
      <c r="BB1548" s="624">
        <v>40422</v>
      </c>
      <c r="BC1548" s="355">
        <v>0.3226</v>
      </c>
      <c r="BD1548" s="624">
        <v>40422</v>
      </c>
      <c r="BE1548" s="355">
        <v>8.4709999999999994E-2</v>
      </c>
      <c r="BF1548" s="624">
        <v>40494</v>
      </c>
      <c r="BG1548" s="355">
        <v>2.2311000000000001E-2</v>
      </c>
      <c r="BH1548" s="624">
        <v>40422</v>
      </c>
      <c r="BI1548" s="355">
        <v>0.11129699999999999</v>
      </c>
      <c r="BJ1548" s="624">
        <v>40421</v>
      </c>
      <c r="BK1548" s="355">
        <v>3.1975000000000003E-2</v>
      </c>
    </row>
    <row r="1549" spans="3:63">
      <c r="C1549" s="624"/>
      <c r="D1549" s="355">
        <v>3.2660000000000002E-2</v>
      </c>
      <c r="AV1549" s="624"/>
      <c r="AX1549" s="624">
        <v>40428</v>
      </c>
      <c r="AY1549" s="355">
        <v>3.2349999999999997E-2</v>
      </c>
      <c r="AZ1549" s="624">
        <v>40492</v>
      </c>
      <c r="BA1549" s="355">
        <v>1.29E-2</v>
      </c>
      <c r="BB1549" s="624">
        <v>40423</v>
      </c>
      <c r="BC1549" s="355">
        <v>0.32429999999999998</v>
      </c>
      <c r="BD1549" s="624">
        <v>40423</v>
      </c>
      <c r="BE1549" s="355">
        <v>8.4879999999999997E-2</v>
      </c>
      <c r="BF1549" s="624">
        <v>40497</v>
      </c>
      <c r="BG1549" s="355">
        <v>2.2109E-2</v>
      </c>
      <c r="BH1549" s="624">
        <v>40423</v>
      </c>
      <c r="BI1549" s="355">
        <v>0.111105</v>
      </c>
      <c r="BJ1549" s="624">
        <v>40422</v>
      </c>
      <c r="BK1549" s="355">
        <v>3.2093000000000003E-2</v>
      </c>
    </row>
    <row r="1550" spans="3:63">
      <c r="C1550" s="624"/>
      <c r="D1550" s="355">
        <v>3.2349999999999997E-2</v>
      </c>
      <c r="AV1550" s="624"/>
      <c r="AX1550" s="624">
        <v>40429</v>
      </c>
      <c r="AY1550" s="355">
        <v>3.2410000000000001E-2</v>
      </c>
      <c r="AZ1550" s="624">
        <v>40493</v>
      </c>
      <c r="BA1550" s="355">
        <v>1.2699999999999999E-2</v>
      </c>
      <c r="BB1550" s="624">
        <v>40424</v>
      </c>
      <c r="BC1550" s="355">
        <v>0.3276</v>
      </c>
      <c r="BD1550" s="624">
        <v>40424</v>
      </c>
      <c r="BE1550" s="355">
        <v>8.5459999999999994E-2</v>
      </c>
      <c r="BF1550" s="624">
        <v>40498</v>
      </c>
      <c r="BG1550" s="355">
        <v>2.2075000000000001E-2</v>
      </c>
      <c r="BH1550" s="624">
        <v>40424</v>
      </c>
      <c r="BI1550" s="355">
        <v>0.11142100000000001</v>
      </c>
      <c r="BJ1550" s="624">
        <v>40423</v>
      </c>
      <c r="BK1550" s="355">
        <v>3.2107999999999998E-2</v>
      </c>
    </row>
    <row r="1551" spans="3:63">
      <c r="C1551" s="624"/>
      <c r="D1551" s="355">
        <v>3.2410000000000001E-2</v>
      </c>
      <c r="AV1551" s="624"/>
      <c r="AX1551" s="624">
        <v>40430</v>
      </c>
      <c r="AY1551" s="355">
        <v>3.2370000000000003E-2</v>
      </c>
      <c r="AZ1551" s="624">
        <v>40494</v>
      </c>
      <c r="BA1551" s="355">
        <v>1.2800000000000001E-2</v>
      </c>
      <c r="BB1551" s="624">
        <v>40427</v>
      </c>
      <c r="BC1551" s="355">
        <v>0.32779999999999998</v>
      </c>
      <c r="BD1551" s="624">
        <v>40427</v>
      </c>
      <c r="BE1551" s="355">
        <v>8.5360000000000005E-2</v>
      </c>
      <c r="BF1551" s="624">
        <v>40500</v>
      </c>
      <c r="BG1551" s="355">
        <v>2.2110000000000001E-2</v>
      </c>
      <c r="BH1551" s="624">
        <v>40427</v>
      </c>
      <c r="BI1551" s="355">
        <v>0.11122899999999999</v>
      </c>
      <c r="BJ1551" s="624">
        <v>40424</v>
      </c>
      <c r="BK1551" s="355">
        <v>3.2087999999999998E-2</v>
      </c>
    </row>
    <row r="1552" spans="3:63">
      <c r="C1552" s="624"/>
      <c r="D1552" s="355">
        <v>3.2370000000000003E-2</v>
      </c>
      <c r="AV1552" s="624"/>
      <c r="AX1552" s="624">
        <v>40431</v>
      </c>
      <c r="AY1552" s="355">
        <v>3.2349999999999997E-2</v>
      </c>
      <c r="AZ1552" s="624">
        <v>40497</v>
      </c>
      <c r="BA1552" s="355">
        <v>1.2699999999999999E-2</v>
      </c>
      <c r="BB1552" s="624">
        <v>40428</v>
      </c>
      <c r="BC1552" s="355">
        <v>0.32140000000000002</v>
      </c>
      <c r="BD1552" s="624">
        <v>40428</v>
      </c>
      <c r="BE1552" s="355">
        <v>8.4809999999999997E-2</v>
      </c>
      <c r="BF1552" s="624">
        <v>40501</v>
      </c>
      <c r="BG1552" s="355">
        <v>2.2079000000000001E-2</v>
      </c>
      <c r="BH1552" s="624">
        <v>40428</v>
      </c>
      <c r="BI1552" s="355">
        <v>0.110834</v>
      </c>
      <c r="BJ1552" s="624">
        <v>40427</v>
      </c>
      <c r="BK1552" s="355">
        <v>3.2139000000000001E-2</v>
      </c>
    </row>
    <row r="1553" spans="3:63">
      <c r="C1553" s="624"/>
      <c r="D1553" s="355">
        <v>3.2349999999999997E-2</v>
      </c>
      <c r="AV1553" s="624"/>
      <c r="AX1553" s="624">
        <v>40434</v>
      </c>
      <c r="AY1553" s="355">
        <v>3.2629999999999999E-2</v>
      </c>
      <c r="AZ1553" s="624">
        <v>40498</v>
      </c>
      <c r="BA1553" s="355">
        <v>1.26E-2</v>
      </c>
      <c r="BB1553" s="624">
        <v>40429</v>
      </c>
      <c r="BC1553" s="355">
        <v>0.32279999999999998</v>
      </c>
      <c r="BD1553" s="624">
        <v>40429</v>
      </c>
      <c r="BE1553" s="355">
        <v>8.5459999999999994E-2</v>
      </c>
      <c r="BF1553" s="624">
        <v>40504</v>
      </c>
      <c r="BG1553" s="355">
        <v>2.2019E-2</v>
      </c>
      <c r="BH1553" s="624">
        <v>40429</v>
      </c>
      <c r="BI1553" s="355">
        <v>0.111204</v>
      </c>
      <c r="BJ1553" s="624">
        <v>40428</v>
      </c>
      <c r="BK1553" s="355">
        <v>3.2098000000000002E-2</v>
      </c>
    </row>
    <row r="1554" spans="3:63">
      <c r="C1554" s="624"/>
      <c r="D1554" s="355">
        <v>3.2629999999999999E-2</v>
      </c>
      <c r="AV1554" s="624"/>
      <c r="AX1554" s="624">
        <v>40435</v>
      </c>
      <c r="AY1554" s="355">
        <v>3.27E-2</v>
      </c>
      <c r="AZ1554" s="624">
        <v>40499</v>
      </c>
      <c r="BA1554" s="355">
        <v>1.26E-2</v>
      </c>
      <c r="BB1554" s="624">
        <v>40430</v>
      </c>
      <c r="BC1554" s="355">
        <v>0.32200000000000001</v>
      </c>
      <c r="BD1554" s="624">
        <v>40430</v>
      </c>
      <c r="BE1554" s="355">
        <v>8.5819999999999994E-2</v>
      </c>
      <c r="BF1554" s="624">
        <v>40505</v>
      </c>
      <c r="BG1554" s="355">
        <v>2.1944000000000002E-2</v>
      </c>
      <c r="BH1554" s="624">
        <v>40430</v>
      </c>
      <c r="BI1554" s="355">
        <v>0.111638</v>
      </c>
      <c r="BJ1554" s="624">
        <v>40429</v>
      </c>
      <c r="BK1554" s="355">
        <v>3.2237000000000002E-2</v>
      </c>
    </row>
    <row r="1555" spans="3:63">
      <c r="C1555" s="624"/>
      <c r="D1555" s="355">
        <v>3.27E-2</v>
      </c>
      <c r="AV1555" s="624"/>
      <c r="AX1555" s="624">
        <v>40436</v>
      </c>
      <c r="AY1555" s="355">
        <v>3.2300000000000002E-2</v>
      </c>
      <c r="AZ1555" s="624">
        <v>40500</v>
      </c>
      <c r="BA1555" s="355">
        <v>1.2699999999999999E-2</v>
      </c>
      <c r="BB1555" s="624">
        <v>40431</v>
      </c>
      <c r="BC1555" s="355">
        <v>0.32169999999999999</v>
      </c>
      <c r="BD1555" s="624">
        <v>40431</v>
      </c>
      <c r="BE1555" s="355">
        <v>8.5809999999999997E-2</v>
      </c>
      <c r="BF1555" s="624">
        <v>40506</v>
      </c>
      <c r="BG1555" s="355">
        <v>2.1881999999999999E-2</v>
      </c>
      <c r="BH1555" s="624">
        <v>40431</v>
      </c>
      <c r="BI1555" s="355">
        <v>0.111788</v>
      </c>
      <c r="BJ1555" s="624">
        <v>40430</v>
      </c>
      <c r="BK1555" s="355">
        <v>3.2389000000000001E-2</v>
      </c>
    </row>
    <row r="1556" spans="3:63">
      <c r="C1556" s="624"/>
      <c r="D1556" s="355">
        <v>3.2300000000000002E-2</v>
      </c>
      <c r="AV1556" s="624"/>
      <c r="AX1556" s="624">
        <v>40437</v>
      </c>
      <c r="AY1556" s="355">
        <v>3.2000000000000001E-2</v>
      </c>
      <c r="AZ1556" s="624">
        <v>40501</v>
      </c>
      <c r="BA1556" s="355">
        <v>1.2800000000000001E-2</v>
      </c>
      <c r="BB1556" s="624">
        <v>40434</v>
      </c>
      <c r="BC1556" s="355">
        <v>0.32769999999999999</v>
      </c>
      <c r="BD1556" s="624">
        <v>40434</v>
      </c>
      <c r="BE1556" s="355">
        <v>8.6319999999999994E-2</v>
      </c>
      <c r="BF1556" s="624">
        <v>40507</v>
      </c>
      <c r="BG1556" s="355">
        <v>2.1965999999999999E-2</v>
      </c>
      <c r="BH1556" s="624">
        <v>40434</v>
      </c>
      <c r="BI1556" s="355">
        <v>0.111904</v>
      </c>
      <c r="BJ1556" s="624">
        <v>40431</v>
      </c>
      <c r="BK1556" s="355">
        <v>3.2467999999999997E-2</v>
      </c>
    </row>
    <row r="1557" spans="3:63">
      <c r="C1557" s="624"/>
      <c r="D1557" s="355">
        <v>3.2000000000000001E-2</v>
      </c>
      <c r="AV1557" s="624"/>
      <c r="AX1557" s="624">
        <v>40438</v>
      </c>
      <c r="AY1557" s="355">
        <v>3.2230000000000002E-2</v>
      </c>
      <c r="AZ1557" s="624">
        <v>40504</v>
      </c>
      <c r="BA1557" s="355">
        <v>1.2800000000000001E-2</v>
      </c>
      <c r="BB1557" s="624">
        <v>40435</v>
      </c>
      <c r="BC1557" s="355">
        <v>0.33129999999999998</v>
      </c>
      <c r="BD1557" s="624">
        <v>40435</v>
      </c>
      <c r="BE1557" s="355">
        <v>8.6300000000000002E-2</v>
      </c>
      <c r="BF1557" s="624">
        <v>40508</v>
      </c>
      <c r="BG1557" s="355">
        <v>2.1805999999999999E-2</v>
      </c>
      <c r="BH1557" s="624">
        <v>40435</v>
      </c>
      <c r="BI1557" s="355">
        <v>0.111433</v>
      </c>
      <c r="BJ1557" s="624">
        <v>40434</v>
      </c>
      <c r="BK1557" s="355">
        <v>3.2568E-2</v>
      </c>
    </row>
    <row r="1558" spans="3:63">
      <c r="C1558" s="624"/>
      <c r="D1558" s="355">
        <v>3.2230000000000002E-2</v>
      </c>
      <c r="AV1558" s="624"/>
      <c r="AX1558" s="624">
        <v>40441</v>
      </c>
      <c r="AY1558" s="355">
        <v>3.2230000000000002E-2</v>
      </c>
      <c r="AZ1558" s="624">
        <v>40505</v>
      </c>
      <c r="BA1558" s="355">
        <v>1.2500000000000001E-2</v>
      </c>
      <c r="BB1558" s="624">
        <v>40436</v>
      </c>
      <c r="BC1558" s="355">
        <v>0.33</v>
      </c>
      <c r="BD1558" s="624">
        <v>40436</v>
      </c>
      <c r="BE1558" s="355">
        <v>8.6279999999999996E-2</v>
      </c>
      <c r="BF1558" s="624">
        <v>40511</v>
      </c>
      <c r="BG1558" s="355">
        <v>2.1767999999999999E-2</v>
      </c>
      <c r="BH1558" s="624">
        <v>40436</v>
      </c>
      <c r="BI1558" s="355">
        <v>0.11157599999999999</v>
      </c>
      <c r="BJ1558" s="624">
        <v>40435</v>
      </c>
      <c r="BK1558" s="355">
        <v>3.2530999999999997E-2</v>
      </c>
    </row>
    <row r="1559" spans="3:63">
      <c r="C1559" s="624"/>
      <c r="D1559" s="355">
        <v>3.2230000000000002E-2</v>
      </c>
      <c r="AV1559" s="624"/>
      <c r="AX1559" s="624">
        <v>40442</v>
      </c>
      <c r="AY1559" s="355">
        <v>3.2370000000000003E-2</v>
      </c>
      <c r="AZ1559" s="624">
        <v>40506</v>
      </c>
      <c r="BA1559" s="355">
        <v>1.2500000000000001E-2</v>
      </c>
      <c r="BB1559" s="624">
        <v>40437</v>
      </c>
      <c r="BC1559" s="355">
        <v>0.33079999999999998</v>
      </c>
      <c r="BD1559" s="624">
        <v>40437</v>
      </c>
      <c r="BE1559" s="355">
        <v>8.5999999999999993E-2</v>
      </c>
      <c r="BF1559" s="624">
        <v>40512</v>
      </c>
      <c r="BG1559" s="355">
        <v>2.1791000000000001E-2</v>
      </c>
      <c r="BH1559" s="624">
        <v>40437</v>
      </c>
      <c r="BI1559" s="355">
        <v>0.111526</v>
      </c>
      <c r="BJ1559" s="624">
        <v>40436</v>
      </c>
      <c r="BK1559" s="355">
        <v>3.2483999999999999E-2</v>
      </c>
    </row>
    <row r="1560" spans="3:63">
      <c r="C1560" s="624"/>
      <c r="D1560" s="355">
        <v>3.2370000000000003E-2</v>
      </c>
      <c r="AV1560" s="624"/>
      <c r="AX1560" s="624">
        <v>40443</v>
      </c>
      <c r="AY1560" s="355">
        <v>3.2259999999999997E-2</v>
      </c>
      <c r="AZ1560" s="624">
        <v>40507</v>
      </c>
      <c r="BA1560" s="355">
        <v>1.2500000000000001E-2</v>
      </c>
      <c r="BB1560" s="624">
        <v>40438</v>
      </c>
      <c r="BC1560" s="355">
        <v>0.32969999999999999</v>
      </c>
      <c r="BD1560" s="624">
        <v>40438</v>
      </c>
      <c r="BE1560" s="355">
        <v>8.6360000000000006E-2</v>
      </c>
      <c r="BF1560" s="624">
        <v>40513</v>
      </c>
      <c r="BG1560" s="355">
        <v>2.2034000000000002E-2</v>
      </c>
      <c r="BH1560" s="624">
        <v>40438</v>
      </c>
      <c r="BI1560" s="355">
        <v>0.111414</v>
      </c>
      <c r="BJ1560" s="624">
        <v>40437</v>
      </c>
      <c r="BK1560" s="355">
        <v>3.2488999999999997E-2</v>
      </c>
    </row>
    <row r="1561" spans="3:63">
      <c r="C1561" s="624"/>
      <c r="D1561" s="355">
        <v>3.2259999999999997E-2</v>
      </c>
      <c r="AV1561" s="624"/>
      <c r="AX1561" s="624">
        <v>40444</v>
      </c>
      <c r="AY1561" s="355">
        <v>3.2219999999999999E-2</v>
      </c>
      <c r="AZ1561" s="624">
        <v>40508</v>
      </c>
      <c r="BA1561" s="355">
        <v>1.24E-2</v>
      </c>
      <c r="BB1561" s="624">
        <v>40441</v>
      </c>
      <c r="BC1561" s="355">
        <v>0.33150000000000002</v>
      </c>
      <c r="BD1561" s="624">
        <v>40441</v>
      </c>
      <c r="BE1561" s="355">
        <v>8.6290000000000006E-2</v>
      </c>
      <c r="BF1561" s="624">
        <v>40514</v>
      </c>
      <c r="BG1561" s="355">
        <v>2.2082000000000001E-2</v>
      </c>
      <c r="BH1561" s="624">
        <v>40441</v>
      </c>
      <c r="BI1561" s="355">
        <v>0.111458</v>
      </c>
      <c r="BJ1561" s="624">
        <v>40438</v>
      </c>
      <c r="BK1561" s="355">
        <v>3.2525999999999999E-2</v>
      </c>
    </row>
    <row r="1562" spans="3:63">
      <c r="C1562" s="624"/>
      <c r="D1562" s="355">
        <v>3.2219999999999999E-2</v>
      </c>
      <c r="AV1562" s="624"/>
      <c r="AX1562" s="624">
        <v>40445</v>
      </c>
      <c r="AY1562" s="355">
        <v>3.2570000000000002E-2</v>
      </c>
      <c r="AZ1562" s="624">
        <v>40511</v>
      </c>
      <c r="BA1562" s="355">
        <v>1.23E-2</v>
      </c>
      <c r="BB1562" s="624">
        <v>40442</v>
      </c>
      <c r="BC1562" s="355">
        <v>0.33650000000000002</v>
      </c>
      <c r="BD1562" s="624">
        <v>40442</v>
      </c>
      <c r="BE1562" s="355">
        <v>8.6660000000000001E-2</v>
      </c>
      <c r="BF1562" s="624">
        <v>40515</v>
      </c>
      <c r="BG1562" s="355">
        <v>2.2172999999999998E-2</v>
      </c>
      <c r="BH1562" s="624">
        <v>40442</v>
      </c>
      <c r="BI1562" s="355">
        <v>0.11157599999999999</v>
      </c>
      <c r="BJ1562" s="624">
        <v>40441</v>
      </c>
      <c r="BK1562" s="355">
        <v>3.2530999999999997E-2</v>
      </c>
    </row>
    <row r="1563" spans="3:63">
      <c r="C1563" s="624"/>
      <c r="D1563" s="355">
        <v>3.2570000000000002E-2</v>
      </c>
      <c r="AV1563" s="624"/>
      <c r="AX1563" s="624">
        <v>40448</v>
      </c>
      <c r="AY1563" s="355">
        <v>3.2730000000000002E-2</v>
      </c>
      <c r="AZ1563" s="624">
        <v>40512</v>
      </c>
      <c r="BA1563" s="355">
        <v>1.21E-2</v>
      </c>
      <c r="BB1563" s="624">
        <v>40443</v>
      </c>
      <c r="BC1563" s="355">
        <v>0.3392</v>
      </c>
      <c r="BD1563" s="624">
        <v>40443</v>
      </c>
      <c r="BE1563" s="355">
        <v>8.6879999999999999E-2</v>
      </c>
      <c r="BF1563" s="624">
        <v>40518</v>
      </c>
      <c r="BG1563" s="355">
        <v>2.2246999999999999E-2</v>
      </c>
      <c r="BH1563" s="624">
        <v>40443</v>
      </c>
      <c r="BI1563" s="355">
        <v>0.111763</v>
      </c>
      <c r="BJ1563" s="624">
        <v>40442</v>
      </c>
      <c r="BK1563" s="355">
        <v>3.2515000000000002E-2</v>
      </c>
    </row>
    <row r="1564" spans="3:63">
      <c r="C1564" s="624"/>
      <c r="D1564" s="355">
        <v>3.2730000000000002E-2</v>
      </c>
      <c r="AV1564" s="624"/>
      <c r="AX1564" s="624">
        <v>40449</v>
      </c>
      <c r="AY1564" s="355">
        <v>3.2910000000000002E-2</v>
      </c>
      <c r="AZ1564" s="624">
        <v>40513</v>
      </c>
      <c r="BA1564" s="355">
        <v>1.23E-2</v>
      </c>
      <c r="BB1564" s="624">
        <v>40444</v>
      </c>
      <c r="BC1564" s="355">
        <v>0.33510000000000001</v>
      </c>
      <c r="BD1564" s="624">
        <v>40444</v>
      </c>
      <c r="BE1564" s="355">
        <v>8.6599999999999996E-2</v>
      </c>
      <c r="BF1564" s="624">
        <v>40519</v>
      </c>
      <c r="BG1564" s="355">
        <v>2.2398999999999999E-2</v>
      </c>
      <c r="BH1564" s="624">
        <v>40444</v>
      </c>
      <c r="BI1564" s="355">
        <v>0.111483</v>
      </c>
      <c r="BJ1564" s="624">
        <v>40443</v>
      </c>
      <c r="BK1564" s="355">
        <v>3.2564999999999997E-2</v>
      </c>
    </row>
    <row r="1565" spans="3:63">
      <c r="C1565" s="624"/>
      <c r="D1565" s="355">
        <v>3.2910000000000002E-2</v>
      </c>
      <c r="AV1565" s="624"/>
      <c r="AX1565" s="624">
        <v>40450</v>
      </c>
      <c r="AY1565" s="355">
        <v>3.2890000000000003E-2</v>
      </c>
      <c r="AZ1565" s="624">
        <v>40514</v>
      </c>
      <c r="BA1565" s="355">
        <v>1.24E-2</v>
      </c>
      <c r="BB1565" s="624">
        <v>40445</v>
      </c>
      <c r="BC1565" s="355">
        <v>0.34129999999999999</v>
      </c>
      <c r="BD1565" s="624">
        <v>40445</v>
      </c>
      <c r="BE1565" s="355">
        <v>8.702E-2</v>
      </c>
      <c r="BF1565" s="624">
        <v>40520</v>
      </c>
      <c r="BG1565" s="355">
        <v>2.2183000000000001E-2</v>
      </c>
      <c r="BH1565" s="624">
        <v>40445</v>
      </c>
      <c r="BI1565" s="355">
        <v>0.111751</v>
      </c>
      <c r="BJ1565" s="624">
        <v>40444</v>
      </c>
      <c r="BK1565" s="355">
        <v>3.2586999999999998E-2</v>
      </c>
    </row>
    <row r="1566" spans="3:63">
      <c r="C1566" s="624"/>
      <c r="D1566" s="355">
        <v>3.2890000000000003E-2</v>
      </c>
      <c r="AV1566" s="624"/>
      <c r="AX1566" s="624">
        <v>40451</v>
      </c>
      <c r="AY1566" s="355">
        <v>3.27E-2</v>
      </c>
      <c r="AZ1566" s="624">
        <v>40515</v>
      </c>
      <c r="BA1566" s="355">
        <v>1.2500000000000001E-2</v>
      </c>
      <c r="BB1566" s="624">
        <v>40448</v>
      </c>
      <c r="BC1566" s="355">
        <v>0.34</v>
      </c>
      <c r="BD1566" s="624">
        <v>40448</v>
      </c>
      <c r="BE1566" s="355">
        <v>8.7169999999999997E-2</v>
      </c>
      <c r="BF1566" s="624">
        <v>40521</v>
      </c>
      <c r="BG1566" s="355">
        <v>2.2114000000000002E-2</v>
      </c>
      <c r="BH1566" s="624">
        <v>40448</v>
      </c>
      <c r="BI1566" s="355">
        <v>0.111794</v>
      </c>
      <c r="BJ1566" s="624">
        <v>40445</v>
      </c>
      <c r="BK1566" s="355">
        <v>3.2568E-2</v>
      </c>
    </row>
    <row r="1567" spans="3:63">
      <c r="C1567" s="624"/>
      <c r="D1567" s="355">
        <v>3.27E-2</v>
      </c>
      <c r="AV1567" s="624"/>
      <c r="AX1567" s="624">
        <v>40452</v>
      </c>
      <c r="AY1567" s="355">
        <v>3.288E-2</v>
      </c>
      <c r="AZ1567" s="624">
        <v>40518</v>
      </c>
      <c r="BA1567" s="355">
        <v>1.24E-2</v>
      </c>
      <c r="BB1567" s="624">
        <v>40449</v>
      </c>
      <c r="BC1567" s="355">
        <v>0.34239999999999998</v>
      </c>
      <c r="BD1567" s="624">
        <v>40449</v>
      </c>
      <c r="BE1567" s="355">
        <v>8.7279999999999996E-2</v>
      </c>
      <c r="BF1567" s="624">
        <v>40522</v>
      </c>
      <c r="BG1567" s="355">
        <v>2.2194999999999999E-2</v>
      </c>
      <c r="BH1567" s="624">
        <v>40449</v>
      </c>
      <c r="BI1567" s="355">
        <v>0.111688</v>
      </c>
      <c r="BJ1567" s="624">
        <v>40448</v>
      </c>
      <c r="BK1567" s="355">
        <v>3.2684999999999999E-2</v>
      </c>
    </row>
    <row r="1568" spans="3:63">
      <c r="C1568" s="624"/>
      <c r="D1568" s="355">
        <v>3.288E-2</v>
      </c>
      <c r="AV1568" s="624"/>
      <c r="AX1568" s="624">
        <v>40455</v>
      </c>
      <c r="AY1568" s="355">
        <v>3.2820000000000002E-2</v>
      </c>
      <c r="AZ1568" s="624">
        <v>40519</v>
      </c>
      <c r="BA1568" s="355">
        <v>1.24E-2</v>
      </c>
      <c r="BB1568" s="624">
        <v>40450</v>
      </c>
      <c r="BC1568" s="355">
        <v>0.34260000000000002</v>
      </c>
      <c r="BD1568" s="624">
        <v>40450</v>
      </c>
      <c r="BE1568" s="355">
        <v>8.7709999999999996E-2</v>
      </c>
      <c r="BF1568" s="624">
        <v>40525</v>
      </c>
      <c r="BG1568" s="355">
        <v>2.2152999999999999E-2</v>
      </c>
      <c r="BH1568" s="624">
        <v>40450</v>
      </c>
      <c r="BI1568" s="355">
        <v>0.112221</v>
      </c>
      <c r="BJ1568" s="624">
        <v>40449</v>
      </c>
      <c r="BK1568" s="355">
        <v>3.2675000000000003E-2</v>
      </c>
    </row>
    <row r="1569" spans="3:63">
      <c r="C1569" s="624"/>
      <c r="D1569" s="355">
        <v>3.2820000000000002E-2</v>
      </c>
      <c r="AV1569" s="624"/>
      <c r="AX1569" s="624">
        <v>40456</v>
      </c>
      <c r="AY1569" s="355">
        <v>3.3300000000000003E-2</v>
      </c>
      <c r="AZ1569" s="624">
        <v>40520</v>
      </c>
      <c r="BA1569" s="355">
        <v>1.24E-2</v>
      </c>
      <c r="BB1569" s="624">
        <v>40451</v>
      </c>
      <c r="BC1569" s="355">
        <v>0.34399999999999997</v>
      </c>
      <c r="BD1569" s="624">
        <v>40451</v>
      </c>
      <c r="BE1569" s="355">
        <v>8.7859999999999994E-2</v>
      </c>
      <c r="BF1569" s="624">
        <v>40526</v>
      </c>
      <c r="BG1569" s="355">
        <v>2.2246999999999999E-2</v>
      </c>
      <c r="BH1569" s="624">
        <v>40451</v>
      </c>
      <c r="BI1569" s="355">
        <v>0.112202</v>
      </c>
      <c r="BJ1569" s="624">
        <v>40450</v>
      </c>
      <c r="BK1569" s="355">
        <v>3.2846E-2</v>
      </c>
    </row>
    <row r="1570" spans="3:63">
      <c r="C1570" s="624"/>
      <c r="D1570" s="355">
        <v>3.3300000000000003E-2</v>
      </c>
      <c r="AV1570" s="624"/>
      <c r="AX1570" s="624">
        <v>40457</v>
      </c>
      <c r="AY1570" s="355">
        <v>3.356E-2</v>
      </c>
      <c r="AZ1570" s="624">
        <v>40521</v>
      </c>
      <c r="BA1570" s="355">
        <v>1.24E-2</v>
      </c>
      <c r="BB1570" s="624">
        <v>40452</v>
      </c>
      <c r="BC1570" s="355">
        <v>0.34989999999999999</v>
      </c>
      <c r="BD1570" s="624">
        <v>40452</v>
      </c>
      <c r="BE1570" s="355">
        <v>8.8830000000000006E-2</v>
      </c>
      <c r="BF1570" s="624">
        <v>40527</v>
      </c>
      <c r="BG1570" s="355">
        <v>2.2026E-2</v>
      </c>
      <c r="BH1570" s="624">
        <v>40452</v>
      </c>
      <c r="BI1570" s="355">
        <v>0.112454</v>
      </c>
      <c r="BJ1570" s="624">
        <v>40451</v>
      </c>
      <c r="BK1570" s="355">
        <v>3.3024999999999999E-2</v>
      </c>
    </row>
    <row r="1571" spans="3:63">
      <c r="C1571" s="624"/>
      <c r="D1571" s="355">
        <v>3.356E-2</v>
      </c>
      <c r="AV1571" s="624"/>
      <c r="AX1571" s="624">
        <v>40458</v>
      </c>
      <c r="AY1571" s="355">
        <v>3.3570000000000003E-2</v>
      </c>
      <c r="AZ1571" s="624">
        <v>40522</v>
      </c>
      <c r="BA1571" s="355">
        <v>1.24E-2</v>
      </c>
      <c r="BB1571" s="624">
        <v>40455</v>
      </c>
      <c r="BC1571" s="355">
        <v>0.3453</v>
      </c>
      <c r="BD1571" s="624">
        <v>40455</v>
      </c>
      <c r="BE1571" s="355">
        <v>8.8870000000000005E-2</v>
      </c>
      <c r="BF1571" s="624">
        <v>40528</v>
      </c>
      <c r="BG1571" s="355">
        <v>2.2053E-2</v>
      </c>
      <c r="BH1571" s="624">
        <v>40455</v>
      </c>
      <c r="BI1571" s="355">
        <v>0.11182599999999999</v>
      </c>
      <c r="BJ1571" s="624">
        <v>40452</v>
      </c>
      <c r="BK1571" s="355">
        <v>3.3262E-2</v>
      </c>
    </row>
    <row r="1572" spans="3:63">
      <c r="C1572" s="624"/>
      <c r="D1572" s="355">
        <v>3.3570000000000003E-2</v>
      </c>
      <c r="AV1572" s="624"/>
      <c r="AX1572" s="624">
        <v>40459</v>
      </c>
      <c r="AY1572" s="355">
        <v>3.3509999999999998E-2</v>
      </c>
      <c r="AZ1572" s="624">
        <v>40525</v>
      </c>
      <c r="BA1572" s="355">
        <v>1.2699999999999999E-2</v>
      </c>
      <c r="BB1572" s="624">
        <v>40456</v>
      </c>
      <c r="BC1572" s="355">
        <v>0.35070000000000001</v>
      </c>
      <c r="BD1572" s="624">
        <v>40456</v>
      </c>
      <c r="BE1572" s="355">
        <v>8.9039999999999994E-2</v>
      </c>
      <c r="BF1572" s="624">
        <v>40532</v>
      </c>
      <c r="BG1572" s="355">
        <v>2.2048000000000002E-2</v>
      </c>
      <c r="BH1572" s="624">
        <v>40456</v>
      </c>
      <c r="BI1572" s="355">
        <v>0.111829</v>
      </c>
      <c r="BJ1572" s="624">
        <v>40455</v>
      </c>
      <c r="BK1572" s="355">
        <v>3.3112999999999997E-2</v>
      </c>
    </row>
    <row r="1573" spans="3:63">
      <c r="C1573" s="624"/>
      <c r="D1573" s="355">
        <v>3.3509999999999998E-2</v>
      </c>
      <c r="AV1573" s="624"/>
      <c r="AX1573" s="624">
        <v>40462</v>
      </c>
      <c r="AY1573" s="355">
        <v>3.3419999999999998E-2</v>
      </c>
      <c r="AZ1573" s="624">
        <v>40526</v>
      </c>
      <c r="BA1573" s="355">
        <v>1.2699999999999999E-2</v>
      </c>
      <c r="BB1573" s="624">
        <v>40457</v>
      </c>
      <c r="BC1573" s="355">
        <v>0.3513</v>
      </c>
      <c r="BD1573" s="624">
        <v>40457</v>
      </c>
      <c r="BE1573" s="355">
        <v>8.967E-2</v>
      </c>
      <c r="BF1573" s="624">
        <v>40533</v>
      </c>
      <c r="BG1573" s="355">
        <v>2.2119E-2</v>
      </c>
      <c r="BH1573" s="624">
        <v>40457</v>
      </c>
      <c r="BI1573" s="355">
        <v>0.112076</v>
      </c>
      <c r="BJ1573" s="624">
        <v>40456</v>
      </c>
      <c r="BK1573" s="355">
        <v>3.3203000000000003E-2</v>
      </c>
    </row>
    <row r="1574" spans="3:63">
      <c r="C1574" s="624"/>
      <c r="D1574" s="355">
        <v>3.3419999999999998E-2</v>
      </c>
      <c r="AV1574" s="624"/>
      <c r="AX1574" s="624">
        <v>40463</v>
      </c>
      <c r="AY1574" s="355">
        <v>3.3329999999999999E-2</v>
      </c>
      <c r="AZ1574" s="624">
        <v>40527</v>
      </c>
      <c r="BA1574" s="355">
        <v>1.2500000000000001E-2</v>
      </c>
      <c r="BB1574" s="624">
        <v>40458</v>
      </c>
      <c r="BC1574" s="355">
        <v>0.35049999999999998</v>
      </c>
      <c r="BD1574" s="624">
        <v>40458</v>
      </c>
      <c r="BE1574" s="355">
        <v>8.9050000000000004E-2</v>
      </c>
      <c r="BF1574" s="624">
        <v>40534</v>
      </c>
      <c r="BG1574" s="355">
        <v>2.2217000000000001E-2</v>
      </c>
      <c r="BH1574" s="624">
        <v>40458</v>
      </c>
      <c r="BI1574" s="355">
        <v>0.111888</v>
      </c>
      <c r="BJ1574" s="624">
        <v>40457</v>
      </c>
      <c r="BK1574" s="355">
        <v>3.3473000000000003E-2</v>
      </c>
    </row>
    <row r="1575" spans="3:63">
      <c r="C1575" s="624"/>
      <c r="D1575" s="355">
        <v>3.3329999999999999E-2</v>
      </c>
      <c r="AV1575" s="624"/>
      <c r="AX1575" s="624">
        <v>40464</v>
      </c>
      <c r="AY1575" s="355">
        <v>3.3230000000000003E-2</v>
      </c>
      <c r="AZ1575" s="624">
        <v>40528</v>
      </c>
      <c r="BA1575" s="355">
        <v>1.2699999999999999E-2</v>
      </c>
      <c r="BB1575" s="624">
        <v>40459</v>
      </c>
      <c r="BC1575" s="355">
        <v>0.35160000000000002</v>
      </c>
      <c r="BD1575" s="624">
        <v>40459</v>
      </c>
      <c r="BE1575" s="355">
        <v>8.9770000000000003E-2</v>
      </c>
      <c r="BF1575" s="624">
        <v>40535</v>
      </c>
      <c r="BG1575" s="355">
        <v>2.2185E-2</v>
      </c>
      <c r="BH1575" s="624">
        <v>40459</v>
      </c>
      <c r="BI1575" s="355">
        <v>0.11219899999999999</v>
      </c>
      <c r="BJ1575" s="624">
        <v>40458</v>
      </c>
      <c r="BK1575" s="355">
        <v>3.3377999999999998E-2</v>
      </c>
    </row>
    <row r="1576" spans="3:63">
      <c r="C1576" s="624"/>
      <c r="D1576" s="355">
        <v>3.3230000000000003E-2</v>
      </c>
      <c r="AV1576" s="624"/>
      <c r="AX1576" s="624">
        <v>40465</v>
      </c>
      <c r="AY1576" s="355">
        <v>3.3279999999999997E-2</v>
      </c>
      <c r="AZ1576" s="624">
        <v>40529</v>
      </c>
      <c r="BA1576" s="355">
        <v>1.2500000000000001E-2</v>
      </c>
      <c r="BB1576" s="624">
        <v>40462</v>
      </c>
      <c r="BC1576" s="355">
        <v>0.35089999999999999</v>
      </c>
      <c r="BD1576" s="624">
        <v>40462</v>
      </c>
      <c r="BE1576" s="355">
        <v>8.9270000000000002E-2</v>
      </c>
      <c r="BF1576" s="624">
        <v>40536</v>
      </c>
      <c r="BG1576" s="355">
        <v>2.2166000000000002E-2</v>
      </c>
      <c r="BH1576" s="624">
        <v>40462</v>
      </c>
      <c r="BI1576" s="355">
        <v>0.112013</v>
      </c>
      <c r="BJ1576" s="624">
        <v>40459</v>
      </c>
      <c r="BK1576" s="355">
        <v>3.3377999999999998E-2</v>
      </c>
    </row>
    <row r="1577" spans="3:63">
      <c r="C1577" s="624"/>
      <c r="D1577" s="355">
        <v>3.3279999999999997E-2</v>
      </c>
      <c r="AV1577" s="624"/>
      <c r="AX1577" s="624">
        <v>40466</v>
      </c>
      <c r="AY1577" s="355">
        <v>3.2930000000000001E-2</v>
      </c>
      <c r="AZ1577" s="624">
        <v>40532</v>
      </c>
      <c r="BA1577" s="355">
        <v>1.24E-2</v>
      </c>
      <c r="BB1577" s="624">
        <v>40463</v>
      </c>
      <c r="BC1577" s="355">
        <v>0.35189999999999999</v>
      </c>
      <c r="BD1577" s="624">
        <v>40463</v>
      </c>
      <c r="BE1577" s="355">
        <v>8.8910000000000003E-2</v>
      </c>
      <c r="BF1577" s="624">
        <v>40539</v>
      </c>
      <c r="BG1577" s="355">
        <v>2.2103999999999999E-2</v>
      </c>
      <c r="BH1577" s="624">
        <v>40463</v>
      </c>
      <c r="BI1577" s="355">
        <v>0.111888</v>
      </c>
      <c r="BJ1577" s="624">
        <v>40462</v>
      </c>
      <c r="BK1577" s="355">
        <v>3.3266999999999998E-2</v>
      </c>
    </row>
    <row r="1578" spans="3:63">
      <c r="C1578" s="624"/>
      <c r="D1578" s="355">
        <v>3.2930000000000001E-2</v>
      </c>
      <c r="AV1578" s="624"/>
      <c r="AX1578" s="624">
        <v>40469</v>
      </c>
      <c r="AY1578" s="355">
        <v>3.2910000000000002E-2</v>
      </c>
      <c r="AZ1578" s="624">
        <v>40533</v>
      </c>
      <c r="BA1578" s="355">
        <v>1.23E-2</v>
      </c>
      <c r="BB1578" s="624">
        <v>40464</v>
      </c>
      <c r="BC1578" s="355">
        <v>0.3574</v>
      </c>
      <c r="BD1578" s="624">
        <v>40464</v>
      </c>
      <c r="BE1578" s="355">
        <v>8.9749999999999996E-2</v>
      </c>
      <c r="BF1578" s="624">
        <v>40540</v>
      </c>
      <c r="BG1578" s="355">
        <v>2.2211999999999999E-2</v>
      </c>
      <c r="BH1578" s="624">
        <v>40464</v>
      </c>
      <c r="BI1578" s="355">
        <v>0.112092</v>
      </c>
      <c r="BJ1578" s="624">
        <v>40463</v>
      </c>
      <c r="BK1578" s="355">
        <v>3.3377999999999998E-2</v>
      </c>
    </row>
    <row r="1579" spans="3:63">
      <c r="C1579" s="624"/>
      <c r="D1579" s="355">
        <v>3.2910000000000002E-2</v>
      </c>
      <c r="AV1579" s="624"/>
      <c r="AX1579" s="624">
        <v>40470</v>
      </c>
      <c r="AY1579" s="355">
        <v>3.2509999999999997E-2</v>
      </c>
      <c r="AZ1579" s="624">
        <v>40534</v>
      </c>
      <c r="BA1579" s="355">
        <v>1.2200000000000001E-2</v>
      </c>
      <c r="BB1579" s="624">
        <v>40465</v>
      </c>
      <c r="BC1579" s="355">
        <v>0.3609</v>
      </c>
      <c r="BD1579" s="624">
        <v>40465</v>
      </c>
      <c r="BE1579" s="355">
        <v>8.9789999999999995E-2</v>
      </c>
      <c r="BF1579" s="624">
        <v>40541</v>
      </c>
      <c r="BG1579" s="355">
        <v>2.2202E-2</v>
      </c>
      <c r="BH1579" s="624">
        <v>40465</v>
      </c>
      <c r="BI1579" s="355">
        <v>0.111995</v>
      </c>
      <c r="BJ1579" s="624">
        <v>40464</v>
      </c>
      <c r="BK1579" s="355">
        <v>3.3512E-2</v>
      </c>
    </row>
    <row r="1580" spans="3:63">
      <c r="C1580" s="624"/>
      <c r="D1580" s="355">
        <v>3.2509999999999997E-2</v>
      </c>
      <c r="AV1580" s="624"/>
      <c r="AX1580" s="624">
        <v>40471</v>
      </c>
      <c r="AY1580" s="355">
        <v>3.2570000000000002E-2</v>
      </c>
      <c r="AZ1580" s="624">
        <v>40535</v>
      </c>
      <c r="BA1580" s="355">
        <v>1.24E-2</v>
      </c>
      <c r="BB1580" s="624">
        <v>40466</v>
      </c>
      <c r="BC1580" s="355">
        <v>0.35849999999999999</v>
      </c>
      <c r="BD1580" s="624">
        <v>40466</v>
      </c>
      <c r="BE1580" s="355">
        <v>8.9859999999999995E-2</v>
      </c>
      <c r="BF1580" s="624">
        <v>40542</v>
      </c>
      <c r="BG1580" s="355">
        <v>2.2279E-2</v>
      </c>
      <c r="BH1580" s="624">
        <v>40466</v>
      </c>
      <c r="BI1580" s="355">
        <v>0.11236</v>
      </c>
      <c r="BJ1580" s="624">
        <v>40465</v>
      </c>
      <c r="BK1580" s="355">
        <v>3.3506000000000001E-2</v>
      </c>
    </row>
    <row r="1581" spans="3:63">
      <c r="C1581" s="624"/>
      <c r="D1581" s="355">
        <v>3.2570000000000002E-2</v>
      </c>
      <c r="AV1581" s="624"/>
      <c r="AX1581" s="624">
        <v>40472</v>
      </c>
      <c r="AY1581" s="355">
        <v>3.261E-2</v>
      </c>
      <c r="AZ1581" s="624">
        <v>40536</v>
      </c>
      <c r="BA1581" s="355">
        <v>1.2500000000000001E-2</v>
      </c>
      <c r="BB1581" s="624">
        <v>40469</v>
      </c>
      <c r="BC1581" s="355">
        <v>0.35510000000000003</v>
      </c>
      <c r="BD1581" s="624">
        <v>40469</v>
      </c>
      <c r="BE1581" s="355">
        <v>8.9230000000000004E-2</v>
      </c>
      <c r="BF1581" s="624">
        <v>40543</v>
      </c>
      <c r="BG1581" s="355">
        <v>2.2364999999999999E-2</v>
      </c>
      <c r="BH1581" s="624">
        <v>40469</v>
      </c>
      <c r="BI1581" s="355">
        <v>0.112123</v>
      </c>
      <c r="BJ1581" s="624">
        <v>40466</v>
      </c>
      <c r="BK1581" s="355">
        <v>3.3496999999999999E-2</v>
      </c>
    </row>
    <row r="1582" spans="3:63">
      <c r="C1582" s="624"/>
      <c r="D1582" s="355">
        <v>3.261E-2</v>
      </c>
      <c r="AV1582" s="624"/>
      <c r="AX1582" s="624">
        <v>40473</v>
      </c>
      <c r="AY1582" s="355">
        <v>3.2910000000000002E-2</v>
      </c>
      <c r="AZ1582" s="624">
        <v>40539</v>
      </c>
      <c r="BA1582" s="355">
        <v>1.24E-2</v>
      </c>
      <c r="BB1582" s="624">
        <v>40470</v>
      </c>
      <c r="BC1582" s="355">
        <v>0.3458</v>
      </c>
      <c r="BD1582" s="624">
        <v>40470</v>
      </c>
      <c r="BE1582" s="355">
        <v>8.7749999999999995E-2</v>
      </c>
      <c r="BF1582" s="624">
        <v>40546</v>
      </c>
      <c r="BG1582" s="355">
        <v>2.2408999999999998E-2</v>
      </c>
      <c r="BH1582" s="624">
        <v>40470</v>
      </c>
      <c r="BI1582" s="355">
        <v>0.112013</v>
      </c>
      <c r="BJ1582" s="624">
        <v>40469</v>
      </c>
      <c r="BK1582" s="355">
        <v>3.3466999999999997E-2</v>
      </c>
    </row>
    <row r="1583" spans="3:63">
      <c r="C1583" s="624"/>
      <c r="D1583" s="355">
        <v>3.2910000000000002E-2</v>
      </c>
      <c r="AV1583" s="624"/>
      <c r="AX1583" s="624">
        <v>40476</v>
      </c>
      <c r="AY1583" s="355">
        <v>3.295E-2</v>
      </c>
      <c r="AZ1583" s="624">
        <v>40540</v>
      </c>
      <c r="BA1583" s="355">
        <v>1.23E-2</v>
      </c>
      <c r="BB1583" s="624">
        <v>40471</v>
      </c>
      <c r="BC1583" s="355">
        <v>0.3533</v>
      </c>
      <c r="BD1583" s="624">
        <v>40471</v>
      </c>
      <c r="BE1583" s="355">
        <v>8.9160000000000003E-2</v>
      </c>
      <c r="BF1583" s="624">
        <v>40547</v>
      </c>
      <c r="BG1583" s="355">
        <v>2.2262000000000001E-2</v>
      </c>
      <c r="BH1583" s="624">
        <v>40471</v>
      </c>
      <c r="BI1583" s="355">
        <v>0.111888</v>
      </c>
      <c r="BJ1583" s="624">
        <v>40470</v>
      </c>
      <c r="BK1583" s="355">
        <v>3.3373E-2</v>
      </c>
    </row>
    <row r="1584" spans="3:63">
      <c r="C1584" s="624"/>
      <c r="D1584" s="355">
        <v>3.295E-2</v>
      </c>
      <c r="AV1584" s="624"/>
      <c r="AX1584" s="624">
        <v>40477</v>
      </c>
      <c r="AY1584" s="355">
        <v>3.2820000000000002E-2</v>
      </c>
      <c r="AZ1584" s="624">
        <v>40541</v>
      </c>
      <c r="BA1584" s="355">
        <v>1.2500000000000001E-2</v>
      </c>
      <c r="BB1584" s="624">
        <v>40472</v>
      </c>
      <c r="BC1584" s="355">
        <v>0.3498</v>
      </c>
      <c r="BD1584" s="624">
        <v>40472</v>
      </c>
      <c r="BE1584" s="355">
        <v>8.8370000000000004E-2</v>
      </c>
      <c r="BF1584" s="624">
        <v>40548</v>
      </c>
      <c r="BG1584" s="355">
        <v>2.2062999999999999E-2</v>
      </c>
      <c r="BH1584" s="624">
        <v>40472</v>
      </c>
      <c r="BI1584" s="355">
        <v>0.11195099999999999</v>
      </c>
      <c r="BJ1584" s="624">
        <v>40471</v>
      </c>
      <c r="BK1584" s="355">
        <v>3.3427999999999999E-2</v>
      </c>
    </row>
    <row r="1585" spans="3:63">
      <c r="C1585" s="624"/>
      <c r="D1585" s="355">
        <v>3.2820000000000002E-2</v>
      </c>
      <c r="AV1585" s="624"/>
      <c r="AX1585" s="624">
        <v>40478</v>
      </c>
      <c r="AY1585" s="355">
        <v>3.2570000000000002E-2</v>
      </c>
      <c r="AZ1585" s="624">
        <v>40542</v>
      </c>
      <c r="BA1585" s="355">
        <v>1.26E-2</v>
      </c>
      <c r="BB1585" s="624">
        <v>40473</v>
      </c>
      <c r="BC1585" s="355">
        <v>0.35210000000000002</v>
      </c>
      <c r="BD1585" s="624">
        <v>40473</v>
      </c>
      <c r="BE1585" s="355">
        <v>8.8830000000000006E-2</v>
      </c>
      <c r="BF1585" s="624">
        <v>40549</v>
      </c>
      <c r="BG1585" s="355">
        <v>2.2048000000000002E-2</v>
      </c>
      <c r="BH1585" s="624">
        <v>40473</v>
      </c>
      <c r="BI1585" s="355">
        <v>0.111888</v>
      </c>
      <c r="BJ1585" s="624">
        <v>40472</v>
      </c>
      <c r="BK1585" s="355">
        <v>3.3445000000000003E-2</v>
      </c>
    </row>
    <row r="1586" spans="3:63">
      <c r="C1586" s="624"/>
      <c r="D1586" s="355">
        <v>3.2570000000000002E-2</v>
      </c>
      <c r="AV1586" s="624"/>
      <c r="AX1586" s="624">
        <v>40479</v>
      </c>
      <c r="AY1586" s="355">
        <v>3.2680000000000001E-2</v>
      </c>
      <c r="AZ1586" s="624">
        <v>40543</v>
      </c>
      <c r="BA1586" s="355">
        <v>1.26E-2</v>
      </c>
      <c r="BB1586" s="624">
        <v>40476</v>
      </c>
      <c r="BC1586" s="355">
        <v>0.35549999999999998</v>
      </c>
      <c r="BD1586" s="624">
        <v>40476</v>
      </c>
      <c r="BE1586" s="355">
        <v>8.949E-2</v>
      </c>
      <c r="BF1586" s="624">
        <v>40550</v>
      </c>
      <c r="BG1586" s="355">
        <v>2.2033000000000001E-2</v>
      </c>
      <c r="BH1586" s="624">
        <v>40476</v>
      </c>
      <c r="BI1586" s="355">
        <v>0.112391</v>
      </c>
      <c r="BJ1586" s="624">
        <v>40473</v>
      </c>
      <c r="BK1586" s="355">
        <v>3.3316999999999999E-2</v>
      </c>
    </row>
    <row r="1587" spans="3:63">
      <c r="C1587" s="624"/>
      <c r="D1587" s="355">
        <v>3.2680000000000001E-2</v>
      </c>
      <c r="AV1587" s="624"/>
      <c r="AX1587" s="624">
        <v>40480</v>
      </c>
      <c r="AY1587" s="355">
        <v>3.2550000000000003E-2</v>
      </c>
      <c r="AZ1587" s="624">
        <v>40546</v>
      </c>
      <c r="BA1587" s="355">
        <v>1.26E-2</v>
      </c>
      <c r="BB1587" s="624">
        <v>40477</v>
      </c>
      <c r="BC1587" s="355">
        <v>0.35239999999999999</v>
      </c>
      <c r="BD1587" s="624">
        <v>40477</v>
      </c>
      <c r="BE1587" s="355">
        <v>8.8980000000000004E-2</v>
      </c>
      <c r="BF1587" s="624">
        <v>40553</v>
      </c>
      <c r="BG1587" s="355">
        <v>2.2051000000000001E-2</v>
      </c>
      <c r="BH1587" s="624">
        <v>40477</v>
      </c>
      <c r="BI1587" s="355">
        <v>0.112139</v>
      </c>
      <c r="BJ1587" s="624">
        <v>40476</v>
      </c>
      <c r="BK1587" s="355">
        <v>3.3494999999999997E-2</v>
      </c>
    </row>
    <row r="1588" spans="3:63">
      <c r="C1588" s="624"/>
      <c r="D1588" s="355">
        <v>3.2550000000000003E-2</v>
      </c>
      <c r="AV1588" s="624"/>
      <c r="AX1588" s="624">
        <v>40483</v>
      </c>
      <c r="AY1588" s="355">
        <v>3.245E-2</v>
      </c>
      <c r="AZ1588" s="624">
        <v>40547</v>
      </c>
      <c r="BA1588" s="355">
        <v>1.2500000000000001E-2</v>
      </c>
      <c r="BB1588" s="624">
        <v>40478</v>
      </c>
      <c r="BC1588" s="355">
        <v>0.34760000000000002</v>
      </c>
      <c r="BD1588" s="624">
        <v>40478</v>
      </c>
      <c r="BE1588" s="355">
        <v>8.8239999999999999E-2</v>
      </c>
      <c r="BF1588" s="624">
        <v>40554</v>
      </c>
      <c r="BG1588" s="355">
        <v>2.2169999999999999E-2</v>
      </c>
      <c r="BH1588" s="624">
        <v>40478</v>
      </c>
      <c r="BI1588" s="355">
        <v>0.111639</v>
      </c>
      <c r="BJ1588" s="624">
        <v>40477</v>
      </c>
      <c r="BK1588" s="355">
        <v>3.3417000000000002E-2</v>
      </c>
    </row>
    <row r="1589" spans="3:63">
      <c r="C1589" s="624"/>
      <c r="D1589" s="355">
        <v>3.245E-2</v>
      </c>
      <c r="AV1589" s="624"/>
      <c r="AX1589" s="624">
        <v>40484</v>
      </c>
      <c r="AY1589" s="355">
        <v>3.2500000000000001E-2</v>
      </c>
      <c r="AZ1589" s="624">
        <v>40548</v>
      </c>
      <c r="BA1589" s="355">
        <v>1.24E-2</v>
      </c>
      <c r="BB1589" s="624">
        <v>40479</v>
      </c>
      <c r="BC1589" s="355">
        <v>0.35049999999999998</v>
      </c>
      <c r="BD1589" s="624">
        <v>40479</v>
      </c>
      <c r="BE1589" s="355">
        <v>8.9010000000000006E-2</v>
      </c>
      <c r="BF1589" s="624">
        <v>40555</v>
      </c>
      <c r="BG1589" s="355">
        <v>2.2210000000000001E-2</v>
      </c>
      <c r="BH1589" s="624">
        <v>40479</v>
      </c>
      <c r="BI1589" s="355">
        <v>0.11204500000000001</v>
      </c>
      <c r="BJ1589" s="624">
        <v>40478</v>
      </c>
      <c r="BK1589" s="355">
        <v>3.3339000000000001E-2</v>
      </c>
    </row>
    <row r="1590" spans="3:63">
      <c r="C1590" s="624"/>
      <c r="D1590" s="355">
        <v>3.2500000000000001E-2</v>
      </c>
      <c r="AV1590" s="624"/>
      <c r="AX1590" s="624">
        <v>40485</v>
      </c>
      <c r="AY1590" s="355">
        <v>3.2590000000000001E-2</v>
      </c>
      <c r="AZ1590" s="624">
        <v>40549</v>
      </c>
      <c r="BA1590" s="355">
        <v>1.23E-2</v>
      </c>
      <c r="BB1590" s="624">
        <v>40480</v>
      </c>
      <c r="BC1590" s="355">
        <v>0.35139999999999999</v>
      </c>
      <c r="BD1590" s="624">
        <v>40480</v>
      </c>
      <c r="BE1590" s="355">
        <v>8.9230000000000004E-2</v>
      </c>
      <c r="BF1590" s="624">
        <v>40556</v>
      </c>
      <c r="BG1590" s="355">
        <v>2.2168E-2</v>
      </c>
      <c r="BH1590" s="624">
        <v>40480</v>
      </c>
      <c r="BI1590" s="355">
        <v>0.111919</v>
      </c>
      <c r="BJ1590" s="624">
        <v>40479</v>
      </c>
      <c r="BK1590" s="355">
        <v>3.3389000000000002E-2</v>
      </c>
    </row>
    <row r="1591" spans="3:63">
      <c r="C1591" s="624"/>
      <c r="D1591" s="355">
        <v>3.2590000000000001E-2</v>
      </c>
      <c r="AV1591" s="624"/>
      <c r="AX1591" s="624">
        <v>40486</v>
      </c>
      <c r="AY1591" s="355">
        <v>3.2710000000000003E-2</v>
      </c>
      <c r="AZ1591" s="624">
        <v>40550</v>
      </c>
      <c r="BA1591" s="355">
        <v>1.2200000000000001E-2</v>
      </c>
      <c r="BB1591" s="624">
        <v>40483</v>
      </c>
      <c r="BC1591" s="355">
        <v>0.35010000000000002</v>
      </c>
      <c r="BD1591" s="624">
        <v>40483</v>
      </c>
      <c r="BE1591" s="355">
        <v>8.9550000000000005E-2</v>
      </c>
      <c r="BF1591" s="624">
        <v>40557</v>
      </c>
      <c r="BG1591" s="355">
        <v>2.2041999999999999E-2</v>
      </c>
      <c r="BH1591" s="624">
        <v>40483</v>
      </c>
      <c r="BI1591" s="355">
        <v>0.111857</v>
      </c>
      <c r="BJ1591" s="624">
        <v>40480</v>
      </c>
      <c r="BK1591" s="355">
        <v>3.3456E-2</v>
      </c>
    </row>
    <row r="1592" spans="3:63">
      <c r="C1592" s="624"/>
      <c r="D1592" s="355">
        <v>3.2710000000000003E-2</v>
      </c>
      <c r="AV1592" s="624"/>
      <c r="AX1592" s="624">
        <v>40487</v>
      </c>
      <c r="AY1592" s="355">
        <v>3.2599999999999997E-2</v>
      </c>
      <c r="AZ1592" s="624">
        <v>40553</v>
      </c>
      <c r="BA1592" s="355">
        <v>1.2200000000000001E-2</v>
      </c>
      <c r="BB1592" s="624">
        <v>40484</v>
      </c>
      <c r="BC1592" s="355">
        <v>0.35570000000000002</v>
      </c>
      <c r="BD1592" s="624">
        <v>40484</v>
      </c>
      <c r="BE1592" s="355">
        <v>8.992E-2</v>
      </c>
      <c r="BF1592" s="624">
        <v>40560</v>
      </c>
      <c r="BG1592" s="355">
        <v>2.1995000000000001E-2</v>
      </c>
      <c r="BH1592" s="624">
        <v>40484</v>
      </c>
      <c r="BI1592" s="355">
        <v>0.112108</v>
      </c>
      <c r="BJ1592" s="624">
        <v>40483</v>
      </c>
      <c r="BK1592" s="355">
        <v>3.3501000000000003E-2</v>
      </c>
    </row>
    <row r="1593" spans="3:63">
      <c r="C1593" s="624"/>
      <c r="D1593" s="355">
        <v>3.2599999999999997E-2</v>
      </c>
      <c r="AV1593" s="624"/>
      <c r="AX1593" s="624">
        <v>40490</v>
      </c>
      <c r="AY1593" s="355">
        <v>3.2489999999999998E-2</v>
      </c>
      <c r="AZ1593" s="624">
        <v>40554</v>
      </c>
      <c r="BA1593" s="355">
        <v>1.2200000000000001E-2</v>
      </c>
      <c r="BB1593" s="624">
        <v>40485</v>
      </c>
      <c r="BC1593" s="355">
        <v>0.3614</v>
      </c>
      <c r="BD1593" s="624">
        <v>40485</v>
      </c>
      <c r="BE1593" s="355">
        <v>9.0130000000000002E-2</v>
      </c>
      <c r="BF1593" s="624">
        <v>40561</v>
      </c>
      <c r="BG1593" s="355">
        <v>2.1999999999999999E-2</v>
      </c>
      <c r="BH1593" s="624">
        <v>40485</v>
      </c>
      <c r="BI1593" s="355">
        <v>0.112139</v>
      </c>
      <c r="BJ1593" s="624">
        <v>40484</v>
      </c>
      <c r="BK1593" s="355">
        <v>3.3535000000000002E-2</v>
      </c>
    </row>
    <row r="1594" spans="3:63">
      <c r="C1594" s="624"/>
      <c r="D1594" s="355">
        <v>3.2489999999999998E-2</v>
      </c>
      <c r="AV1594" s="624"/>
      <c r="AX1594" s="624">
        <v>40491</v>
      </c>
      <c r="AY1594" s="355">
        <v>3.245E-2</v>
      </c>
      <c r="AZ1594" s="624">
        <v>40555</v>
      </c>
      <c r="BA1594" s="355">
        <v>1.24E-2</v>
      </c>
      <c r="BB1594" s="624">
        <v>40486</v>
      </c>
      <c r="BC1594" s="355">
        <v>0.36430000000000001</v>
      </c>
      <c r="BD1594" s="624">
        <v>40486</v>
      </c>
      <c r="BE1594" s="355">
        <v>9.0270000000000003E-2</v>
      </c>
      <c r="BF1594" s="624">
        <v>40562</v>
      </c>
      <c r="BG1594" s="355">
        <v>2.2051000000000001E-2</v>
      </c>
      <c r="BH1594" s="624">
        <v>40486</v>
      </c>
      <c r="BI1594" s="355">
        <v>0.11251800000000001</v>
      </c>
      <c r="BJ1594" s="624">
        <v>40485</v>
      </c>
      <c r="BK1594" s="355">
        <v>3.3619999999999997E-2</v>
      </c>
    </row>
    <row r="1595" spans="3:63">
      <c r="C1595" s="624"/>
      <c r="D1595" s="355">
        <v>3.245E-2</v>
      </c>
      <c r="AV1595" s="624"/>
      <c r="AX1595" s="624">
        <v>40492</v>
      </c>
      <c r="AY1595" s="355">
        <v>3.2629999999999999E-2</v>
      </c>
      <c r="AZ1595" s="624">
        <v>40556</v>
      </c>
      <c r="BA1595" s="355">
        <v>1.2699999999999999E-2</v>
      </c>
      <c r="BB1595" s="624">
        <v>40487</v>
      </c>
      <c r="BC1595" s="355">
        <v>0.35859999999999997</v>
      </c>
      <c r="BD1595" s="624">
        <v>40487</v>
      </c>
      <c r="BE1595" s="355">
        <v>9.0190000000000006E-2</v>
      </c>
      <c r="BF1595" s="624">
        <v>40563</v>
      </c>
      <c r="BG1595" s="355">
        <v>2.1961000000000001E-2</v>
      </c>
      <c r="BH1595" s="624">
        <v>40487</v>
      </c>
      <c r="BI1595" s="355">
        <v>0.11237900000000001</v>
      </c>
      <c r="BJ1595" s="624">
        <v>40486</v>
      </c>
      <c r="BK1595" s="355">
        <v>3.3693000000000001E-2</v>
      </c>
    </row>
    <row r="1596" spans="3:63">
      <c r="C1596" s="624"/>
      <c r="D1596" s="355">
        <v>3.2629999999999999E-2</v>
      </c>
      <c r="AV1596" s="624"/>
      <c r="AX1596" s="624">
        <v>40493</v>
      </c>
      <c r="AY1596" s="355">
        <v>3.2649999999999998E-2</v>
      </c>
      <c r="AZ1596" s="624">
        <v>40557</v>
      </c>
      <c r="BA1596" s="355">
        <v>1.2699999999999999E-2</v>
      </c>
      <c r="BB1596" s="624">
        <v>40490</v>
      </c>
      <c r="BC1596" s="355">
        <v>0.35399999999999998</v>
      </c>
      <c r="BD1596" s="624">
        <v>40490</v>
      </c>
      <c r="BE1596" s="355">
        <v>8.9569999999999997E-2</v>
      </c>
      <c r="BF1596" s="624">
        <v>40564</v>
      </c>
      <c r="BG1596" s="355">
        <v>2.1919999999999999E-2</v>
      </c>
      <c r="BH1596" s="624">
        <v>40490</v>
      </c>
      <c r="BI1596" s="355">
        <v>0.112265</v>
      </c>
      <c r="BJ1596" s="624">
        <v>40487</v>
      </c>
      <c r="BK1596" s="355">
        <v>3.3739999999999999E-2</v>
      </c>
    </row>
    <row r="1597" spans="3:63">
      <c r="C1597" s="624"/>
      <c r="D1597" s="355">
        <v>3.2649999999999998E-2</v>
      </c>
      <c r="AV1597" s="624"/>
      <c r="AX1597" s="624">
        <v>40494</v>
      </c>
      <c r="AY1597" s="355">
        <v>3.243E-2</v>
      </c>
      <c r="AZ1597" s="624">
        <v>40560</v>
      </c>
      <c r="BA1597" s="355">
        <v>1.2699999999999999E-2</v>
      </c>
      <c r="BB1597" s="624">
        <v>40491</v>
      </c>
      <c r="BC1597" s="355">
        <v>0.3528</v>
      </c>
      <c r="BD1597" s="624">
        <v>40491</v>
      </c>
      <c r="BE1597" s="355">
        <v>8.9289999999999994E-2</v>
      </c>
      <c r="BF1597" s="624">
        <v>40567</v>
      </c>
      <c r="BG1597" s="355">
        <v>2.1992999999999999E-2</v>
      </c>
      <c r="BH1597" s="624">
        <v>40491</v>
      </c>
      <c r="BI1597" s="355">
        <v>0.111857</v>
      </c>
      <c r="BJ1597" s="624">
        <v>40490</v>
      </c>
      <c r="BK1597" s="355">
        <v>3.3727E-2</v>
      </c>
    </row>
    <row r="1598" spans="3:63">
      <c r="C1598" s="624"/>
      <c r="D1598" s="355">
        <v>3.243E-2</v>
      </c>
      <c r="AV1598" s="624"/>
      <c r="AX1598" s="624">
        <v>40497</v>
      </c>
      <c r="AY1598" s="355">
        <v>3.227E-2</v>
      </c>
      <c r="AZ1598" s="624">
        <v>40561</v>
      </c>
      <c r="BA1598" s="355">
        <v>1.2800000000000001E-2</v>
      </c>
      <c r="BB1598" s="624">
        <v>40492</v>
      </c>
      <c r="BC1598" s="355">
        <v>0.35389999999999999</v>
      </c>
      <c r="BD1598" s="624">
        <v>40492</v>
      </c>
      <c r="BE1598" s="355">
        <v>9.042E-2</v>
      </c>
      <c r="BF1598" s="624">
        <v>40568</v>
      </c>
      <c r="BG1598" s="355">
        <v>2.1881999999999999E-2</v>
      </c>
      <c r="BH1598" s="624">
        <v>40492</v>
      </c>
      <c r="BI1598" s="355">
        <v>0.112454</v>
      </c>
      <c r="BJ1598" s="624">
        <v>40491</v>
      </c>
      <c r="BK1598" s="355">
        <v>3.3806999999999997E-2</v>
      </c>
    </row>
    <row r="1599" spans="3:63">
      <c r="C1599" s="624"/>
      <c r="D1599" s="355">
        <v>3.227E-2</v>
      </c>
      <c r="AV1599" s="624"/>
      <c r="AX1599" s="624">
        <v>40498</v>
      </c>
      <c r="AY1599" s="355">
        <v>3.2000000000000001E-2</v>
      </c>
      <c r="AZ1599" s="624">
        <v>40562</v>
      </c>
      <c r="BA1599" s="355">
        <v>1.29E-2</v>
      </c>
      <c r="BB1599" s="624">
        <v>40493</v>
      </c>
      <c r="BC1599" s="355">
        <v>0.3478</v>
      </c>
      <c r="BD1599" s="624">
        <v>40493</v>
      </c>
      <c r="BE1599" s="355">
        <v>8.9990000000000001E-2</v>
      </c>
      <c r="BF1599" s="624">
        <v>40569</v>
      </c>
      <c r="BG1599" s="355">
        <v>2.1932E-2</v>
      </c>
      <c r="BH1599" s="624">
        <v>40493</v>
      </c>
      <c r="BI1599" s="355">
        <v>0.112014</v>
      </c>
      <c r="BJ1599" s="624">
        <v>40492</v>
      </c>
      <c r="BK1599" s="355">
        <v>3.3790000000000001E-2</v>
      </c>
    </row>
    <row r="1600" spans="3:63">
      <c r="C1600" s="624"/>
      <c r="D1600" s="355">
        <v>3.2000000000000001E-2</v>
      </c>
      <c r="AV1600" s="624"/>
      <c r="AX1600" s="624">
        <v>40499</v>
      </c>
      <c r="AY1600" s="355">
        <v>3.193E-2</v>
      </c>
      <c r="AZ1600" s="624">
        <v>40563</v>
      </c>
      <c r="BA1600" s="355">
        <v>1.2800000000000001E-2</v>
      </c>
      <c r="BB1600" s="624">
        <v>40494</v>
      </c>
      <c r="BC1600" s="355">
        <v>0.34720000000000001</v>
      </c>
      <c r="BD1600" s="624">
        <v>40494</v>
      </c>
      <c r="BE1600" s="355">
        <v>8.8650000000000007E-2</v>
      </c>
      <c r="BF1600" s="624">
        <v>40570</v>
      </c>
      <c r="BG1600" s="355">
        <v>2.1891000000000001E-2</v>
      </c>
      <c r="BH1600" s="624">
        <v>40494</v>
      </c>
      <c r="BI1600" s="355">
        <v>0.11129699999999999</v>
      </c>
      <c r="BJ1600" s="624">
        <v>40493</v>
      </c>
      <c r="BK1600" s="355">
        <v>3.3591000000000003E-2</v>
      </c>
    </row>
    <row r="1601" spans="3:63">
      <c r="C1601" s="624"/>
      <c r="D1601" s="355">
        <v>3.193E-2</v>
      </c>
      <c r="AV1601" s="624"/>
      <c r="AX1601" s="624">
        <v>40500</v>
      </c>
      <c r="AY1601" s="355">
        <v>3.2219999999999999E-2</v>
      </c>
      <c r="AZ1601" s="624">
        <v>40564</v>
      </c>
      <c r="BA1601" s="355">
        <v>1.29E-2</v>
      </c>
      <c r="BB1601" s="624">
        <v>40497</v>
      </c>
      <c r="BC1601" s="355">
        <v>0.34599999999999997</v>
      </c>
      <c r="BD1601" s="624">
        <v>40497</v>
      </c>
      <c r="BE1601" s="355">
        <v>8.7859999999999994E-2</v>
      </c>
      <c r="BF1601" s="624">
        <v>40571</v>
      </c>
      <c r="BG1601" s="355">
        <v>2.1853999999999998E-2</v>
      </c>
      <c r="BH1601" s="624">
        <v>40497</v>
      </c>
      <c r="BI1601" s="355">
        <v>0.111328</v>
      </c>
      <c r="BJ1601" s="624">
        <v>40494</v>
      </c>
      <c r="BK1601" s="355">
        <v>3.3501000000000003E-2</v>
      </c>
    </row>
    <row r="1602" spans="3:63">
      <c r="C1602" s="624"/>
      <c r="D1602" s="355">
        <v>3.2219999999999999E-2</v>
      </c>
      <c r="AV1602" s="624"/>
      <c r="AX1602" s="624">
        <v>40501</v>
      </c>
      <c r="AY1602" s="355">
        <v>3.2169999999999997E-2</v>
      </c>
      <c r="AZ1602" s="624">
        <v>40567</v>
      </c>
      <c r="BA1602" s="355">
        <v>1.2999999999999999E-2</v>
      </c>
      <c r="BB1602" s="624">
        <v>40498</v>
      </c>
      <c r="BC1602" s="355">
        <v>0.34010000000000001</v>
      </c>
      <c r="BD1602" s="624">
        <v>40498</v>
      </c>
      <c r="BE1602" s="355">
        <v>8.8279999999999997E-2</v>
      </c>
      <c r="BF1602" s="624">
        <v>40574</v>
      </c>
      <c r="BG1602" s="355">
        <v>2.1781999999999999E-2</v>
      </c>
      <c r="BH1602" s="624">
        <v>40498</v>
      </c>
      <c r="BI1602" s="355">
        <v>0.11117299999999999</v>
      </c>
      <c r="BJ1602" s="624">
        <v>40497</v>
      </c>
      <c r="BK1602" s="355">
        <v>3.3501000000000003E-2</v>
      </c>
    </row>
    <row r="1603" spans="3:63">
      <c r="C1603" s="624"/>
      <c r="D1603" s="355">
        <v>3.2169999999999997E-2</v>
      </c>
      <c r="AV1603" s="624"/>
      <c r="AX1603" s="624">
        <v>40504</v>
      </c>
      <c r="AY1603" s="355">
        <v>3.2120000000000003E-2</v>
      </c>
      <c r="AZ1603" s="624">
        <v>40568</v>
      </c>
      <c r="BA1603" s="355">
        <v>1.3100000000000001E-2</v>
      </c>
      <c r="BB1603" s="624">
        <v>40499</v>
      </c>
      <c r="BC1603" s="355">
        <v>0.3422</v>
      </c>
      <c r="BD1603" s="624">
        <v>40499</v>
      </c>
      <c r="BE1603" s="355">
        <v>8.7169999999999997E-2</v>
      </c>
      <c r="BF1603" s="624">
        <v>40575</v>
      </c>
      <c r="BG1603" s="355">
        <v>2.1989999999999999E-2</v>
      </c>
      <c r="BH1603" s="624">
        <v>40499</v>
      </c>
      <c r="BI1603" s="355">
        <v>0.111204</v>
      </c>
      <c r="BJ1603" s="624">
        <v>40498</v>
      </c>
      <c r="BK1603" s="355">
        <v>3.3377999999999998E-2</v>
      </c>
    </row>
    <row r="1604" spans="3:63">
      <c r="C1604" s="624"/>
      <c r="D1604" s="355">
        <v>3.2120000000000003E-2</v>
      </c>
      <c r="AV1604" s="624"/>
      <c r="AX1604" s="624">
        <v>40505</v>
      </c>
      <c r="AY1604" s="355">
        <v>3.1809999999999998E-2</v>
      </c>
      <c r="AZ1604" s="624">
        <v>40569</v>
      </c>
      <c r="BA1604" s="355">
        <v>1.3100000000000001E-2</v>
      </c>
      <c r="BB1604" s="624">
        <v>40500</v>
      </c>
      <c r="BC1604" s="355">
        <v>0.3468</v>
      </c>
      <c r="BD1604" s="624">
        <v>40500</v>
      </c>
      <c r="BE1604" s="355">
        <v>8.8599999999999998E-2</v>
      </c>
      <c r="BF1604" s="624">
        <v>40576</v>
      </c>
      <c r="BG1604" s="355">
        <v>2.1954000000000001E-2</v>
      </c>
      <c r="BH1604" s="624">
        <v>40500</v>
      </c>
      <c r="BI1604" s="355">
        <v>0.111638</v>
      </c>
      <c r="BJ1604" s="624">
        <v>40499</v>
      </c>
      <c r="BK1604" s="355">
        <v>3.3377999999999998E-2</v>
      </c>
    </row>
    <row r="1605" spans="3:63">
      <c r="C1605" s="624"/>
      <c r="D1605" s="355">
        <v>3.1809999999999998E-2</v>
      </c>
      <c r="AV1605" s="624"/>
      <c r="AX1605" s="624">
        <v>40506</v>
      </c>
      <c r="AY1605" s="355">
        <v>3.1899999999999998E-2</v>
      </c>
      <c r="AZ1605" s="624">
        <v>40570</v>
      </c>
      <c r="BA1605" s="355">
        <v>1.3100000000000001E-2</v>
      </c>
      <c r="BB1605" s="624">
        <v>40501</v>
      </c>
      <c r="BC1605" s="355">
        <v>0.34739999999999999</v>
      </c>
      <c r="BD1605" s="624">
        <v>40501</v>
      </c>
      <c r="BE1605" s="355">
        <v>8.8459999999999997E-2</v>
      </c>
      <c r="BF1605" s="624">
        <v>40577</v>
      </c>
      <c r="BG1605" s="355">
        <v>2.1939E-2</v>
      </c>
      <c r="BH1605" s="624">
        <v>40501</v>
      </c>
      <c r="BI1605" s="355">
        <v>0.111704</v>
      </c>
      <c r="BJ1605" s="624">
        <v>40500</v>
      </c>
      <c r="BK1605" s="355">
        <v>3.3427999999999999E-2</v>
      </c>
    </row>
    <row r="1606" spans="3:63">
      <c r="C1606" s="624"/>
      <c r="D1606" s="355">
        <v>3.1899999999999998E-2</v>
      </c>
      <c r="AV1606" s="624"/>
      <c r="AX1606" s="624">
        <v>40507</v>
      </c>
      <c r="AY1606" s="355">
        <v>3.2079999999999997E-2</v>
      </c>
      <c r="AZ1606" s="624">
        <v>40571</v>
      </c>
      <c r="BA1606" s="355">
        <v>1.2999999999999999E-2</v>
      </c>
      <c r="BB1606" s="624">
        <v>40504</v>
      </c>
      <c r="BC1606" s="355">
        <v>0.34539999999999998</v>
      </c>
      <c r="BD1606" s="624">
        <v>40504</v>
      </c>
      <c r="BE1606" s="355">
        <v>8.8700000000000001E-2</v>
      </c>
      <c r="BF1606" s="624">
        <v>40578</v>
      </c>
      <c r="BG1606" s="355">
        <v>2.1935E-2</v>
      </c>
      <c r="BH1606" s="624">
        <v>40504</v>
      </c>
      <c r="BI1606" s="355">
        <v>0.11195099999999999</v>
      </c>
      <c r="BJ1606" s="624">
        <v>40501</v>
      </c>
      <c r="BK1606" s="355">
        <v>3.3383000000000003E-2</v>
      </c>
    </row>
    <row r="1607" spans="3:63">
      <c r="C1607" s="624"/>
      <c r="D1607" s="355">
        <v>3.2079999999999997E-2</v>
      </c>
      <c r="AV1607" s="624"/>
      <c r="AX1607" s="624">
        <v>40508</v>
      </c>
      <c r="AY1607" s="355">
        <v>3.1850000000000003E-2</v>
      </c>
      <c r="AZ1607" s="624">
        <v>40574</v>
      </c>
      <c r="BA1607" s="355">
        <v>1.3100000000000001E-2</v>
      </c>
      <c r="BB1607" s="624">
        <v>40505</v>
      </c>
      <c r="BC1607" s="355">
        <v>0.33579999999999999</v>
      </c>
      <c r="BD1607" s="624">
        <v>40505</v>
      </c>
      <c r="BE1607" s="355">
        <v>8.5349999999999995E-2</v>
      </c>
      <c r="BF1607" s="624">
        <v>40581</v>
      </c>
      <c r="BG1607" s="355">
        <v>2.2055999999999999E-2</v>
      </c>
      <c r="BH1607" s="624">
        <v>40505</v>
      </c>
      <c r="BI1607" s="355">
        <v>0.111266</v>
      </c>
      <c r="BJ1607" s="624">
        <v>40504</v>
      </c>
      <c r="BK1607" s="355">
        <v>3.3343999999999999E-2</v>
      </c>
    </row>
    <row r="1608" spans="3:63">
      <c r="C1608" s="624"/>
      <c r="D1608" s="355">
        <v>3.1850000000000003E-2</v>
      </c>
      <c r="AV1608" s="624"/>
      <c r="AX1608" s="624">
        <v>40511</v>
      </c>
      <c r="AY1608" s="355">
        <v>3.184E-2</v>
      </c>
      <c r="AZ1608" s="624">
        <v>40575</v>
      </c>
      <c r="BA1608" s="355">
        <v>1.3299999999999999E-2</v>
      </c>
      <c r="BB1608" s="624">
        <v>40506</v>
      </c>
      <c r="BC1608" s="355">
        <v>0.3367</v>
      </c>
      <c r="BD1608" s="624">
        <v>40506</v>
      </c>
      <c r="BE1608" s="355">
        <v>8.7160000000000001E-2</v>
      </c>
      <c r="BF1608" s="624">
        <v>40582</v>
      </c>
      <c r="BG1608" s="355">
        <v>2.2076999999999999E-2</v>
      </c>
      <c r="BH1608" s="624">
        <v>40506</v>
      </c>
      <c r="BI1608" s="355">
        <v>0.111514</v>
      </c>
      <c r="BJ1608" s="624">
        <v>40505</v>
      </c>
      <c r="BK1608" s="355">
        <v>3.3244999999999997E-2</v>
      </c>
    </row>
    <row r="1609" spans="3:63">
      <c r="C1609" s="624"/>
      <c r="D1609" s="355">
        <v>3.184E-2</v>
      </c>
      <c r="AV1609" s="624"/>
      <c r="AX1609" s="624">
        <v>40512</v>
      </c>
      <c r="AY1609" s="355">
        <v>3.1699999999999999E-2</v>
      </c>
      <c r="AZ1609" s="624">
        <v>40576</v>
      </c>
      <c r="BA1609" s="355">
        <v>1.3299999999999999E-2</v>
      </c>
      <c r="BB1609" s="624">
        <v>40507</v>
      </c>
      <c r="BC1609" s="355">
        <v>0.33579999999999999</v>
      </c>
      <c r="BD1609" s="624">
        <v>40507</v>
      </c>
      <c r="BE1609" s="355">
        <v>8.745E-2</v>
      </c>
      <c r="BF1609" s="624">
        <v>40583</v>
      </c>
      <c r="BG1609" s="355">
        <v>2.1984E-2</v>
      </c>
      <c r="BH1609" s="624">
        <v>40507</v>
      </c>
      <c r="BI1609" s="355">
        <v>0.111514</v>
      </c>
      <c r="BJ1609" s="624">
        <v>40506</v>
      </c>
      <c r="BK1609" s="355">
        <v>3.3293000000000003E-2</v>
      </c>
    </row>
    <row r="1610" spans="3:63">
      <c r="C1610" s="624"/>
      <c r="D1610" s="355">
        <v>3.1699999999999999E-2</v>
      </c>
      <c r="AV1610" s="624"/>
      <c r="AX1610" s="624">
        <v>40513</v>
      </c>
      <c r="AY1610" s="355">
        <v>3.1879999999999999E-2</v>
      </c>
      <c r="AZ1610" s="624">
        <v>40577</v>
      </c>
      <c r="BA1610" s="355">
        <v>1.3100000000000001E-2</v>
      </c>
      <c r="BB1610" s="624">
        <v>40508</v>
      </c>
      <c r="BC1610" s="355">
        <v>0.32800000000000001</v>
      </c>
      <c r="BD1610" s="624">
        <v>40508</v>
      </c>
      <c r="BE1610" s="355">
        <v>8.6230000000000001E-2</v>
      </c>
      <c r="BF1610" s="624">
        <v>40584</v>
      </c>
      <c r="BG1610" s="355">
        <v>2.1869E-2</v>
      </c>
      <c r="BH1610" s="624">
        <v>40508</v>
      </c>
      <c r="BI1610" s="355">
        <v>0.11089499999999999</v>
      </c>
      <c r="BJ1610" s="624">
        <v>40507</v>
      </c>
      <c r="BK1610" s="355">
        <v>3.3311E-2</v>
      </c>
    </row>
    <row r="1611" spans="3:63">
      <c r="C1611" s="624"/>
      <c r="D1611" s="355">
        <v>3.1879999999999999E-2</v>
      </c>
      <c r="AV1611" s="624"/>
      <c r="AX1611" s="624">
        <v>40514</v>
      </c>
      <c r="AY1611" s="355">
        <v>3.2009999999999997E-2</v>
      </c>
      <c r="AZ1611" s="624">
        <v>40578</v>
      </c>
      <c r="BA1611" s="355">
        <v>1.3100000000000001E-2</v>
      </c>
      <c r="BB1611" s="624">
        <v>40511</v>
      </c>
      <c r="BC1611" s="355">
        <v>0.3211</v>
      </c>
      <c r="BD1611" s="624">
        <v>40511</v>
      </c>
      <c r="BE1611" s="355">
        <v>8.609E-2</v>
      </c>
      <c r="BF1611" s="624">
        <v>40585</v>
      </c>
      <c r="BG1611" s="355">
        <v>2.1888999999999999E-2</v>
      </c>
      <c r="BH1611" s="624">
        <v>40511</v>
      </c>
      <c r="BI1611" s="355">
        <v>0.110558</v>
      </c>
      <c r="BJ1611" s="624">
        <v>40508</v>
      </c>
      <c r="BK1611" s="355">
        <v>3.3036000000000003E-2</v>
      </c>
    </row>
    <row r="1612" spans="3:63">
      <c r="C1612" s="624"/>
      <c r="D1612" s="355">
        <v>3.2009999999999997E-2</v>
      </c>
      <c r="AV1612" s="624"/>
      <c r="AX1612" s="624">
        <v>40515</v>
      </c>
      <c r="AY1612" s="355">
        <v>3.2129999999999999E-2</v>
      </c>
      <c r="AZ1612" s="624">
        <v>40581</v>
      </c>
      <c r="BA1612" s="355">
        <v>1.3100000000000001E-2</v>
      </c>
      <c r="BB1612" s="624">
        <v>40512</v>
      </c>
      <c r="BC1612" s="355">
        <v>0.32269999999999999</v>
      </c>
      <c r="BD1612" s="624">
        <v>40512</v>
      </c>
      <c r="BE1612" s="355">
        <v>8.6290000000000006E-2</v>
      </c>
      <c r="BF1612" s="624">
        <v>40588</v>
      </c>
      <c r="BG1612" s="355">
        <v>2.198E-2</v>
      </c>
      <c r="BH1612" s="624">
        <v>40512</v>
      </c>
      <c r="BI1612" s="355">
        <v>0.1104</v>
      </c>
      <c r="BJ1612" s="624">
        <v>40511</v>
      </c>
      <c r="BK1612" s="355">
        <v>3.3085000000000003E-2</v>
      </c>
    </row>
    <row r="1613" spans="3:63">
      <c r="C1613" s="624"/>
      <c r="D1613" s="355">
        <v>3.2129999999999999E-2</v>
      </c>
      <c r="AV1613" s="624"/>
      <c r="AX1613" s="624">
        <v>40518</v>
      </c>
      <c r="AY1613" s="355">
        <v>3.2050000000000002E-2</v>
      </c>
      <c r="AZ1613" s="624">
        <v>40582</v>
      </c>
      <c r="BA1613" s="355">
        <v>1.32E-2</v>
      </c>
      <c r="BB1613" s="624">
        <v>40513</v>
      </c>
      <c r="BC1613" s="355">
        <v>0.32840000000000003</v>
      </c>
      <c r="BD1613" s="624">
        <v>40513</v>
      </c>
      <c r="BE1613" s="355">
        <v>8.7359999999999993E-2</v>
      </c>
      <c r="BF1613" s="624">
        <v>40589</v>
      </c>
      <c r="BG1613" s="355">
        <v>2.1965999999999999E-2</v>
      </c>
      <c r="BH1613" s="624">
        <v>40513</v>
      </c>
      <c r="BI1613" s="355">
        <v>0.11089499999999999</v>
      </c>
      <c r="BJ1613" s="624">
        <v>40512</v>
      </c>
      <c r="BK1613" s="355">
        <v>3.3106999999999998E-2</v>
      </c>
    </row>
    <row r="1614" spans="3:63">
      <c r="C1614" s="624"/>
      <c r="D1614" s="355">
        <v>3.2050000000000002E-2</v>
      </c>
      <c r="AV1614" s="624"/>
      <c r="AX1614" s="624">
        <v>40519</v>
      </c>
      <c r="AY1614" s="355">
        <v>3.2070000000000001E-2</v>
      </c>
      <c r="AZ1614" s="624">
        <v>40583</v>
      </c>
      <c r="BA1614" s="355">
        <v>1.3299999999999999E-2</v>
      </c>
      <c r="BB1614" s="624">
        <v>40514</v>
      </c>
      <c r="BC1614" s="355">
        <v>0.33150000000000002</v>
      </c>
      <c r="BD1614" s="624">
        <v>40514</v>
      </c>
      <c r="BE1614" s="355">
        <v>8.7370000000000003E-2</v>
      </c>
      <c r="BF1614" s="624">
        <v>40591</v>
      </c>
      <c r="BG1614" s="355">
        <v>2.2053E-2</v>
      </c>
      <c r="BH1614" s="624">
        <v>40514</v>
      </c>
      <c r="BI1614" s="355">
        <v>0.11124100000000001</v>
      </c>
      <c r="BJ1614" s="624">
        <v>40513</v>
      </c>
      <c r="BK1614" s="355">
        <v>3.3272000000000003E-2</v>
      </c>
    </row>
    <row r="1615" spans="3:63">
      <c r="C1615" s="624"/>
      <c r="D1615" s="355">
        <v>3.2070000000000001E-2</v>
      </c>
      <c r="AV1615" s="624"/>
      <c r="AX1615" s="624">
        <v>40520</v>
      </c>
      <c r="AY1615" s="355">
        <v>3.2169999999999997E-2</v>
      </c>
      <c r="AZ1615" s="624">
        <v>40584</v>
      </c>
      <c r="BA1615" s="355">
        <v>1.32E-2</v>
      </c>
      <c r="BB1615" s="624">
        <v>40515</v>
      </c>
      <c r="BC1615" s="355">
        <v>0.3372</v>
      </c>
      <c r="BD1615" s="624">
        <v>40515</v>
      </c>
      <c r="BE1615" s="355">
        <v>8.8340000000000002E-2</v>
      </c>
      <c r="BF1615" s="624">
        <v>40592</v>
      </c>
      <c r="BG1615" s="355">
        <v>2.2126E-2</v>
      </c>
      <c r="BH1615" s="624">
        <v>40515</v>
      </c>
      <c r="BI1615" s="355">
        <v>0.11121399999999999</v>
      </c>
      <c r="BJ1615" s="624">
        <v>40514</v>
      </c>
      <c r="BK1615" s="355">
        <v>3.3321999999999997E-2</v>
      </c>
    </row>
    <row r="1616" spans="3:63">
      <c r="C1616" s="624"/>
      <c r="D1616" s="355">
        <v>3.2169999999999997E-2</v>
      </c>
      <c r="AV1616" s="624"/>
      <c r="AX1616" s="624">
        <v>40521</v>
      </c>
      <c r="AY1616" s="355">
        <v>3.2329999999999998E-2</v>
      </c>
      <c r="AZ1616" s="624">
        <v>40585</v>
      </c>
      <c r="BA1616" s="355">
        <v>1.3100000000000001E-2</v>
      </c>
      <c r="BB1616" s="624">
        <v>40518</v>
      </c>
      <c r="BC1616" s="355">
        <v>0.33210000000000001</v>
      </c>
      <c r="BD1616" s="624">
        <v>40518</v>
      </c>
      <c r="BE1616" s="355">
        <v>8.7999999999999995E-2</v>
      </c>
      <c r="BF1616" s="624">
        <v>40595</v>
      </c>
      <c r="BG1616" s="355">
        <v>2.223E-2</v>
      </c>
      <c r="BH1616" s="624">
        <v>40518</v>
      </c>
      <c r="BI1616" s="355">
        <v>0.110988</v>
      </c>
      <c r="BJ1616" s="624">
        <v>40515</v>
      </c>
      <c r="BK1616" s="355">
        <v>3.3311E-2</v>
      </c>
    </row>
    <row r="1617" spans="3:63">
      <c r="C1617" s="624"/>
      <c r="D1617" s="355">
        <v>3.2329999999999998E-2</v>
      </c>
      <c r="AV1617" s="624"/>
      <c r="AX1617" s="624">
        <v>40522</v>
      </c>
      <c r="AY1617" s="355">
        <v>3.2340000000000001E-2</v>
      </c>
      <c r="AZ1617" s="624">
        <v>40588</v>
      </c>
      <c r="BA1617" s="355">
        <v>1.2999999999999999E-2</v>
      </c>
      <c r="BB1617" s="624">
        <v>40519</v>
      </c>
      <c r="BC1617" s="355">
        <v>0.32950000000000002</v>
      </c>
      <c r="BD1617" s="624">
        <v>40519</v>
      </c>
      <c r="BE1617" s="355">
        <v>8.7929999999999994E-2</v>
      </c>
      <c r="BF1617" s="624">
        <v>40596</v>
      </c>
      <c r="BG1617" s="355">
        <v>2.2089999999999999E-2</v>
      </c>
      <c r="BH1617" s="624">
        <v>40519</v>
      </c>
      <c r="BI1617" s="355">
        <v>0.11108</v>
      </c>
      <c r="BJ1617" s="624">
        <v>40518</v>
      </c>
      <c r="BK1617" s="355">
        <v>3.3302999999999999E-2</v>
      </c>
    </row>
    <row r="1618" spans="3:63">
      <c r="C1618" s="624"/>
      <c r="D1618" s="355">
        <v>3.2340000000000001E-2</v>
      </c>
      <c r="AV1618" s="624"/>
      <c r="AX1618" s="624">
        <v>40525</v>
      </c>
      <c r="AY1618" s="355">
        <v>3.2539999999999999E-2</v>
      </c>
      <c r="AZ1618" s="624">
        <v>40589</v>
      </c>
      <c r="BA1618" s="355">
        <v>1.2999999999999999E-2</v>
      </c>
      <c r="BB1618" s="624">
        <v>40520</v>
      </c>
      <c r="BC1618" s="355">
        <v>0.32919999999999999</v>
      </c>
      <c r="BD1618" s="624">
        <v>40520</v>
      </c>
      <c r="BE1618" s="355">
        <v>8.7559999999999999E-2</v>
      </c>
      <c r="BF1618" s="624">
        <v>40597</v>
      </c>
      <c r="BG1618" s="355">
        <v>2.2155999999999999E-2</v>
      </c>
      <c r="BH1618" s="624">
        <v>40520</v>
      </c>
      <c r="BI1618" s="355">
        <v>0.11086500000000001</v>
      </c>
      <c r="BJ1618" s="624">
        <v>40519</v>
      </c>
      <c r="BK1618" s="355">
        <v>3.3300000000000003E-2</v>
      </c>
    </row>
    <row r="1619" spans="3:63">
      <c r="C1619" s="624"/>
      <c r="D1619" s="355">
        <v>3.2539999999999999E-2</v>
      </c>
      <c r="AV1619" s="624"/>
      <c r="AX1619" s="624">
        <v>40526</v>
      </c>
      <c r="AY1619" s="355">
        <v>3.261E-2</v>
      </c>
      <c r="AZ1619" s="624">
        <v>40590</v>
      </c>
      <c r="BA1619" s="355">
        <v>1.3100000000000001E-2</v>
      </c>
      <c r="BB1619" s="624">
        <v>40521</v>
      </c>
      <c r="BC1619" s="355">
        <v>0.32819999999999999</v>
      </c>
      <c r="BD1619" s="624">
        <v>40521</v>
      </c>
      <c r="BE1619" s="355">
        <v>8.8039999999999993E-2</v>
      </c>
      <c r="BF1619" s="624">
        <v>40598</v>
      </c>
      <c r="BG1619" s="355">
        <v>2.1991E-2</v>
      </c>
      <c r="BH1619" s="624">
        <v>40521</v>
      </c>
      <c r="BI1619" s="355">
        <v>0.110954</v>
      </c>
      <c r="BJ1619" s="624">
        <v>40520</v>
      </c>
      <c r="BK1619" s="355">
        <v>3.3191999999999999E-2</v>
      </c>
    </row>
    <row r="1620" spans="3:63">
      <c r="C1620" s="624"/>
      <c r="D1620" s="355">
        <v>3.261E-2</v>
      </c>
      <c r="AV1620" s="624"/>
      <c r="AX1620" s="624">
        <v>40527</v>
      </c>
      <c r="AY1620" s="355">
        <v>3.2469999999999999E-2</v>
      </c>
      <c r="AZ1620" s="624">
        <v>40591</v>
      </c>
      <c r="BA1620" s="355">
        <v>1.32E-2</v>
      </c>
      <c r="BB1620" s="624">
        <v>40522</v>
      </c>
      <c r="BC1620" s="355">
        <v>0.32829999999999998</v>
      </c>
      <c r="BD1620" s="624">
        <v>40522</v>
      </c>
      <c r="BE1620" s="355">
        <v>8.7690000000000004E-2</v>
      </c>
      <c r="BF1620" s="624">
        <v>40599</v>
      </c>
      <c r="BG1620" s="355">
        <v>2.2065000000000001E-2</v>
      </c>
      <c r="BH1620" s="624">
        <v>40522</v>
      </c>
      <c r="BI1620" s="355">
        <v>0.11097600000000001</v>
      </c>
      <c r="BJ1620" s="624">
        <v>40521</v>
      </c>
      <c r="BK1620" s="355">
        <v>3.3238999999999998E-2</v>
      </c>
    </row>
    <row r="1621" spans="3:63">
      <c r="C1621" s="624"/>
      <c r="D1621" s="355">
        <v>3.2469999999999999E-2</v>
      </c>
      <c r="AV1621" s="624"/>
      <c r="AX1621" s="624">
        <v>40528</v>
      </c>
      <c r="AY1621" s="355">
        <v>3.2539999999999999E-2</v>
      </c>
      <c r="AZ1621" s="624">
        <v>40592</v>
      </c>
      <c r="BA1621" s="355">
        <v>1.3299999999999999E-2</v>
      </c>
      <c r="BB1621" s="624">
        <v>40525</v>
      </c>
      <c r="BC1621" s="355">
        <v>0.3352</v>
      </c>
      <c r="BD1621" s="624">
        <v>40525</v>
      </c>
      <c r="BE1621" s="355">
        <v>8.7779999999999997E-2</v>
      </c>
      <c r="BF1621" s="624">
        <v>40602</v>
      </c>
      <c r="BG1621" s="355">
        <v>2.2089000000000001E-2</v>
      </c>
      <c r="BH1621" s="624">
        <v>40525</v>
      </c>
      <c r="BI1621" s="355">
        <v>0.11106199999999999</v>
      </c>
      <c r="BJ1621" s="624">
        <v>40522</v>
      </c>
      <c r="BK1621" s="355">
        <v>3.3244999999999997E-2</v>
      </c>
    </row>
    <row r="1622" spans="3:63">
      <c r="C1622" s="624"/>
      <c r="D1622" s="355">
        <v>3.2539999999999999E-2</v>
      </c>
      <c r="AV1622" s="624"/>
      <c r="AX1622" s="624">
        <v>40529</v>
      </c>
      <c r="AY1622" s="355">
        <v>3.2500000000000001E-2</v>
      </c>
      <c r="AZ1622" s="624">
        <v>40595</v>
      </c>
      <c r="BA1622" s="355">
        <v>1.3299999999999999E-2</v>
      </c>
      <c r="BB1622" s="624">
        <v>40526</v>
      </c>
      <c r="BC1622" s="355">
        <v>0.33539999999999998</v>
      </c>
      <c r="BD1622" s="624">
        <v>40526</v>
      </c>
      <c r="BE1622" s="355">
        <v>8.7550000000000003E-2</v>
      </c>
      <c r="BF1622" s="624">
        <v>40603</v>
      </c>
      <c r="BG1622" s="355">
        <v>2.2246999999999999E-2</v>
      </c>
      <c r="BH1622" s="624">
        <v>40526</v>
      </c>
      <c r="BI1622" s="355">
        <v>0.111003</v>
      </c>
      <c r="BJ1622" s="624">
        <v>40525</v>
      </c>
      <c r="BK1622" s="355">
        <v>3.3300000000000003E-2</v>
      </c>
    </row>
    <row r="1623" spans="3:63">
      <c r="C1623" s="624"/>
      <c r="D1623" s="355">
        <v>3.2500000000000001E-2</v>
      </c>
      <c r="AV1623" s="624"/>
      <c r="AX1623" s="624">
        <v>40532</v>
      </c>
      <c r="AY1623" s="355">
        <v>3.2460000000000003E-2</v>
      </c>
      <c r="AZ1623" s="624">
        <v>40596</v>
      </c>
      <c r="BA1623" s="355">
        <v>1.3299999999999999E-2</v>
      </c>
      <c r="BB1623" s="624">
        <v>40527</v>
      </c>
      <c r="BC1623" s="355">
        <v>0.33090000000000003</v>
      </c>
      <c r="BD1623" s="624">
        <v>40527</v>
      </c>
      <c r="BE1623" s="355">
        <v>8.6040000000000005E-2</v>
      </c>
      <c r="BF1623" s="624">
        <v>40605</v>
      </c>
      <c r="BG1623" s="355">
        <v>2.2199E-2</v>
      </c>
      <c r="BH1623" s="624">
        <v>40527</v>
      </c>
      <c r="BI1623" s="355">
        <v>0.110834</v>
      </c>
      <c r="BJ1623" s="624">
        <v>40526</v>
      </c>
      <c r="BK1623" s="355">
        <v>3.3288999999999999E-2</v>
      </c>
    </row>
    <row r="1624" spans="3:63">
      <c r="C1624" s="624"/>
      <c r="D1624" s="355">
        <v>3.2460000000000003E-2</v>
      </c>
      <c r="AV1624" s="624"/>
      <c r="AX1624" s="624">
        <v>40533</v>
      </c>
      <c r="AY1624" s="355">
        <v>3.2480000000000002E-2</v>
      </c>
      <c r="AZ1624" s="624">
        <v>40597</v>
      </c>
      <c r="BA1624" s="355">
        <v>1.3299999999999999E-2</v>
      </c>
      <c r="BB1624" s="624">
        <v>40528</v>
      </c>
      <c r="BC1624" s="355">
        <v>0.3322</v>
      </c>
      <c r="BD1624" s="624">
        <v>40528</v>
      </c>
      <c r="BE1624" s="355">
        <v>8.6529999999999996E-2</v>
      </c>
      <c r="BF1624" s="624">
        <v>40606</v>
      </c>
      <c r="BG1624" s="355">
        <v>2.2227E-2</v>
      </c>
      <c r="BH1624" s="624">
        <v>40528</v>
      </c>
      <c r="BI1624" s="355">
        <v>0.11068699999999999</v>
      </c>
      <c r="BJ1624" s="624">
        <v>40527</v>
      </c>
      <c r="BK1624" s="355">
        <v>3.3228000000000001E-2</v>
      </c>
    </row>
    <row r="1625" spans="3:63">
      <c r="C1625" s="624"/>
      <c r="D1625" s="355">
        <v>3.2480000000000002E-2</v>
      </c>
      <c r="AV1625" s="624"/>
      <c r="AX1625" s="624">
        <v>40534</v>
      </c>
      <c r="AY1625" s="355">
        <v>3.2599999999999997E-2</v>
      </c>
      <c r="AZ1625" s="624">
        <v>40598</v>
      </c>
      <c r="BA1625" s="355">
        <v>1.34E-2</v>
      </c>
      <c r="BB1625" s="624">
        <v>40529</v>
      </c>
      <c r="BC1625" s="355">
        <v>0.33100000000000002</v>
      </c>
      <c r="BD1625" s="624">
        <v>40529</v>
      </c>
      <c r="BE1625" s="355">
        <v>8.6069999999999994E-2</v>
      </c>
      <c r="BF1625" s="624">
        <v>40609</v>
      </c>
      <c r="BG1625" s="355">
        <v>2.2196E-2</v>
      </c>
      <c r="BH1625" s="624">
        <v>40529</v>
      </c>
      <c r="BI1625" s="355">
        <v>0.11068699999999999</v>
      </c>
      <c r="BJ1625" s="624">
        <v>40528</v>
      </c>
      <c r="BK1625" s="355">
        <v>3.3179E-2</v>
      </c>
    </row>
    <row r="1626" spans="3:63">
      <c r="C1626" s="624"/>
      <c r="D1626" s="355">
        <v>3.2599999999999997E-2</v>
      </c>
      <c r="AV1626" s="624"/>
      <c r="AX1626" s="624">
        <v>40535</v>
      </c>
      <c r="AY1626" s="355">
        <v>3.2719999999999999E-2</v>
      </c>
      <c r="AZ1626" s="624">
        <v>40599</v>
      </c>
      <c r="BA1626" s="355">
        <v>1.3299999999999999E-2</v>
      </c>
      <c r="BB1626" s="624">
        <v>40532</v>
      </c>
      <c r="BC1626" s="355">
        <v>0.32790000000000002</v>
      </c>
      <c r="BD1626" s="624">
        <v>40532</v>
      </c>
      <c r="BE1626" s="355">
        <v>8.6440000000000003E-2</v>
      </c>
      <c r="BF1626" s="624">
        <v>40610</v>
      </c>
      <c r="BG1626" s="355">
        <v>2.2176999999999999E-2</v>
      </c>
      <c r="BH1626" s="624">
        <v>40532</v>
      </c>
      <c r="BI1626" s="355">
        <v>0.110607</v>
      </c>
      <c r="BJ1626" s="624">
        <v>40529</v>
      </c>
      <c r="BK1626" s="355">
        <v>3.3189999999999997E-2</v>
      </c>
    </row>
    <row r="1627" spans="3:63">
      <c r="C1627" s="624"/>
      <c r="D1627" s="355">
        <v>3.2719999999999999E-2</v>
      </c>
      <c r="AV1627" s="624"/>
      <c r="AX1627" s="624">
        <v>40536</v>
      </c>
      <c r="AY1627" s="355">
        <v>3.2820000000000002E-2</v>
      </c>
      <c r="AZ1627" s="624">
        <v>40602</v>
      </c>
      <c r="BA1627" s="355">
        <v>1.3299999999999999E-2</v>
      </c>
      <c r="BB1627" s="624">
        <v>40533</v>
      </c>
      <c r="BC1627" s="355">
        <v>0.32719999999999999</v>
      </c>
      <c r="BD1627" s="624">
        <v>40533</v>
      </c>
      <c r="BE1627" s="355">
        <v>8.6269999999999999E-2</v>
      </c>
      <c r="BF1627" s="624">
        <v>40611</v>
      </c>
      <c r="BG1627" s="355">
        <v>2.2217000000000001E-2</v>
      </c>
      <c r="BH1627" s="624">
        <v>40533</v>
      </c>
      <c r="BI1627" s="355">
        <v>0.11058900000000001</v>
      </c>
      <c r="BJ1627" s="624">
        <v>40532</v>
      </c>
      <c r="BK1627" s="355">
        <v>3.3134999999999998E-2</v>
      </c>
    </row>
    <row r="1628" spans="3:63">
      <c r="C1628" s="624"/>
      <c r="D1628" s="355">
        <v>3.2820000000000002E-2</v>
      </c>
      <c r="AV1628" s="624"/>
      <c r="AX1628" s="624">
        <v>40539</v>
      </c>
      <c r="AY1628" s="355">
        <v>3.2910000000000002E-2</v>
      </c>
      <c r="AZ1628" s="624">
        <v>40603</v>
      </c>
      <c r="BA1628" s="355">
        <v>1.32E-2</v>
      </c>
      <c r="BB1628" s="624">
        <v>40534</v>
      </c>
      <c r="BC1628" s="355">
        <v>0.32840000000000003</v>
      </c>
      <c r="BD1628" s="624">
        <v>40534</v>
      </c>
      <c r="BE1628" s="355">
        <v>8.6900000000000005E-2</v>
      </c>
      <c r="BF1628" s="624">
        <v>40612</v>
      </c>
      <c r="BG1628" s="355">
        <v>2.2131999999999999E-2</v>
      </c>
      <c r="BH1628" s="624">
        <v>40534</v>
      </c>
      <c r="BI1628" s="355">
        <v>0.110626</v>
      </c>
      <c r="BJ1628" s="624">
        <v>40533</v>
      </c>
      <c r="BK1628" s="355">
        <v>3.3151E-2</v>
      </c>
    </row>
    <row r="1629" spans="3:63">
      <c r="C1629" s="624"/>
      <c r="D1629" s="355">
        <v>3.2910000000000002E-2</v>
      </c>
      <c r="AV1629" s="624"/>
      <c r="AX1629" s="624">
        <v>40540</v>
      </c>
      <c r="AY1629" s="355">
        <v>3.2980000000000002E-2</v>
      </c>
      <c r="AZ1629" s="624">
        <v>40604</v>
      </c>
      <c r="BA1629" s="355">
        <v>1.3299999999999999E-2</v>
      </c>
      <c r="BB1629" s="624">
        <v>40535</v>
      </c>
      <c r="BC1629" s="355">
        <v>0.33079999999999998</v>
      </c>
      <c r="BD1629" s="624">
        <v>40535</v>
      </c>
      <c r="BE1629" s="355">
        <v>8.6669999999999997E-2</v>
      </c>
      <c r="BF1629" s="624">
        <v>40613</v>
      </c>
      <c r="BG1629" s="355">
        <v>2.2106000000000001E-2</v>
      </c>
      <c r="BH1629" s="624">
        <v>40535</v>
      </c>
      <c r="BI1629" s="355">
        <v>0.110669</v>
      </c>
      <c r="BJ1629" s="624">
        <v>40534</v>
      </c>
      <c r="BK1629" s="355">
        <v>3.3156999999999999E-2</v>
      </c>
    </row>
    <row r="1630" spans="3:63">
      <c r="C1630" s="624"/>
      <c r="D1630" s="355">
        <v>3.2980000000000002E-2</v>
      </c>
      <c r="AV1630" s="624"/>
      <c r="AX1630" s="624">
        <v>40541</v>
      </c>
      <c r="AY1630" s="355">
        <v>3.2899999999999999E-2</v>
      </c>
      <c r="AZ1630" s="624">
        <v>40605</v>
      </c>
      <c r="BA1630" s="355">
        <v>1.35E-2</v>
      </c>
      <c r="BB1630" s="624">
        <v>40536</v>
      </c>
      <c r="BC1630" s="355">
        <v>0.33069999999999999</v>
      </c>
      <c r="BD1630" s="624">
        <v>40536</v>
      </c>
      <c r="BE1630" s="355">
        <v>8.6900000000000005E-2</v>
      </c>
      <c r="BF1630" s="624">
        <v>40616</v>
      </c>
      <c r="BG1630" s="355">
        <v>2.2168E-2</v>
      </c>
      <c r="BH1630" s="624">
        <v>40536</v>
      </c>
      <c r="BI1630" s="355">
        <v>0.110656</v>
      </c>
      <c r="BJ1630" s="624">
        <v>40535</v>
      </c>
      <c r="BK1630" s="355">
        <v>3.3151E-2</v>
      </c>
    </row>
    <row r="1631" spans="3:63">
      <c r="C1631" s="624"/>
      <c r="D1631" s="355">
        <v>3.2899999999999999E-2</v>
      </c>
      <c r="AV1631" s="624"/>
      <c r="AX1631" s="624">
        <v>40542</v>
      </c>
      <c r="AY1631" s="355">
        <v>3.2739999999999998E-2</v>
      </c>
      <c r="AZ1631" s="624">
        <v>40606</v>
      </c>
      <c r="BA1631" s="355">
        <v>1.35E-2</v>
      </c>
      <c r="BB1631" s="624">
        <v>40539</v>
      </c>
      <c r="BC1631" s="355">
        <v>0.33069999999999999</v>
      </c>
      <c r="BD1631" s="624">
        <v>40539</v>
      </c>
      <c r="BE1631" s="355">
        <v>8.6929999999999993E-2</v>
      </c>
      <c r="BF1631" s="624">
        <v>40617</v>
      </c>
      <c r="BG1631" s="355">
        <v>2.2098E-2</v>
      </c>
      <c r="BH1631" s="624">
        <v>40539</v>
      </c>
      <c r="BI1631" s="355">
        <v>0.110662</v>
      </c>
      <c r="BJ1631" s="624">
        <v>40536</v>
      </c>
      <c r="BK1631" s="355">
        <v>3.3124000000000001E-2</v>
      </c>
    </row>
    <row r="1632" spans="3:63">
      <c r="C1632" s="624"/>
      <c r="D1632" s="355">
        <v>3.2739999999999998E-2</v>
      </c>
      <c r="AV1632" s="624"/>
      <c r="AX1632" s="624">
        <v>40543</v>
      </c>
      <c r="AY1632" s="355">
        <v>3.2770000000000001E-2</v>
      </c>
      <c r="AZ1632" s="624">
        <v>40609</v>
      </c>
      <c r="BA1632" s="355">
        <v>1.35E-2</v>
      </c>
      <c r="BB1632" s="624">
        <v>40540</v>
      </c>
      <c r="BC1632" s="355">
        <v>0.32850000000000001</v>
      </c>
      <c r="BD1632" s="624">
        <v>40540</v>
      </c>
      <c r="BE1632" s="355">
        <v>8.7279999999999996E-2</v>
      </c>
      <c r="BF1632" s="624">
        <v>40618</v>
      </c>
      <c r="BG1632" s="355">
        <v>2.2162999999999999E-2</v>
      </c>
      <c r="BH1632" s="624">
        <v>40540</v>
      </c>
      <c r="BI1632" s="355">
        <v>0.110903</v>
      </c>
      <c r="BJ1632" s="624">
        <v>40539</v>
      </c>
      <c r="BK1632" s="355">
        <v>3.3128999999999999E-2</v>
      </c>
    </row>
    <row r="1633" spans="3:63">
      <c r="C1633" s="624"/>
      <c r="D1633" s="355">
        <v>3.2770000000000001E-2</v>
      </c>
      <c r="AV1633" s="624"/>
      <c r="AX1633" s="624">
        <v>40546</v>
      </c>
      <c r="AY1633" s="355">
        <v>3.2739999999999998E-2</v>
      </c>
      <c r="AZ1633" s="624">
        <v>40610</v>
      </c>
      <c r="BA1633" s="355">
        <v>1.34E-2</v>
      </c>
      <c r="BB1633" s="624">
        <v>40541</v>
      </c>
      <c r="BC1633" s="355">
        <v>0.33329999999999999</v>
      </c>
      <c r="BD1633" s="624">
        <v>40541</v>
      </c>
      <c r="BE1633" s="355">
        <v>8.7499999999999994E-2</v>
      </c>
      <c r="BF1633" s="624">
        <v>40619</v>
      </c>
      <c r="BG1633" s="355">
        <v>2.2128999999999999E-2</v>
      </c>
      <c r="BH1633" s="624">
        <v>40541</v>
      </c>
      <c r="BI1633" s="355">
        <v>0.111281</v>
      </c>
      <c r="BJ1633" s="624">
        <v>40540</v>
      </c>
      <c r="BK1633" s="355">
        <v>3.3134999999999998E-2</v>
      </c>
    </row>
    <row r="1634" spans="3:63">
      <c r="C1634" s="624"/>
      <c r="D1634" s="355">
        <v>3.2739999999999998E-2</v>
      </c>
      <c r="AV1634" s="624"/>
      <c r="AX1634" s="624">
        <v>40547</v>
      </c>
      <c r="AY1634" s="355">
        <v>3.2669999999999998E-2</v>
      </c>
      <c r="AZ1634" s="624">
        <v>40611</v>
      </c>
      <c r="BA1634" s="355">
        <v>1.34E-2</v>
      </c>
      <c r="BB1634" s="624">
        <v>40542</v>
      </c>
      <c r="BC1634" s="355">
        <v>0.33550000000000002</v>
      </c>
      <c r="BD1634" s="624">
        <v>40542</v>
      </c>
      <c r="BE1634" s="355">
        <v>8.8520000000000001E-2</v>
      </c>
      <c r="BF1634" s="624">
        <v>40620</v>
      </c>
      <c r="BG1634" s="355">
        <v>2.2158000000000001E-2</v>
      </c>
      <c r="BH1634" s="624">
        <v>40542</v>
      </c>
      <c r="BI1634" s="355">
        <v>0.11129699999999999</v>
      </c>
      <c r="BJ1634" s="624">
        <v>40541</v>
      </c>
      <c r="BK1634" s="355">
        <v>3.3168000000000003E-2</v>
      </c>
    </row>
    <row r="1635" spans="3:63">
      <c r="C1635" s="624"/>
      <c r="D1635" s="355">
        <v>3.2669999999999998E-2</v>
      </c>
      <c r="AV1635" s="624"/>
      <c r="AX1635" s="624">
        <v>40548</v>
      </c>
      <c r="AY1635" s="355">
        <v>3.2469999999999999E-2</v>
      </c>
      <c r="AZ1635" s="624">
        <v>40612</v>
      </c>
      <c r="BA1635" s="355">
        <v>1.34E-2</v>
      </c>
      <c r="BB1635" s="624">
        <v>40543</v>
      </c>
      <c r="BC1635" s="355">
        <v>0.33760000000000001</v>
      </c>
      <c r="BD1635" s="624">
        <v>40543</v>
      </c>
      <c r="BE1635" s="355">
        <v>8.9010000000000006E-2</v>
      </c>
      <c r="BF1635" s="624">
        <v>40623</v>
      </c>
      <c r="BG1635" s="355">
        <v>2.2218999999999999E-2</v>
      </c>
      <c r="BH1635" s="624">
        <v>40543</v>
      </c>
      <c r="BI1635" s="355">
        <v>0.11101800000000001</v>
      </c>
      <c r="BJ1635" s="624">
        <v>40542</v>
      </c>
      <c r="BK1635" s="355">
        <v>3.3189999999999997E-2</v>
      </c>
    </row>
    <row r="1636" spans="3:63">
      <c r="C1636" s="624"/>
      <c r="D1636" s="355">
        <v>3.2469999999999999E-2</v>
      </c>
      <c r="AV1636" s="624"/>
      <c r="AX1636" s="624">
        <v>40549</v>
      </c>
      <c r="AY1636" s="355">
        <v>3.2669999999999998E-2</v>
      </c>
      <c r="AZ1636" s="624">
        <v>40613</v>
      </c>
      <c r="BA1636" s="355">
        <v>1.35E-2</v>
      </c>
      <c r="BB1636" s="624">
        <v>40546</v>
      </c>
      <c r="BC1636" s="355">
        <v>0.3382</v>
      </c>
      <c r="BD1636" s="624">
        <v>40546</v>
      </c>
      <c r="BE1636" s="355">
        <v>8.8999999999999996E-2</v>
      </c>
      <c r="BF1636" s="624">
        <v>40624</v>
      </c>
      <c r="BG1636" s="355">
        <v>2.2249000000000001E-2</v>
      </c>
      <c r="BH1636" s="624">
        <v>40546</v>
      </c>
      <c r="BI1636" s="355">
        <v>0.11167000000000001</v>
      </c>
      <c r="BJ1636" s="624">
        <v>40543</v>
      </c>
      <c r="BK1636" s="355">
        <v>3.3300000000000003E-2</v>
      </c>
    </row>
    <row r="1637" spans="3:63">
      <c r="C1637" s="624"/>
      <c r="D1637" s="355">
        <v>3.2669999999999998E-2</v>
      </c>
      <c r="AV1637" s="624"/>
      <c r="AX1637" s="624">
        <v>40550</v>
      </c>
      <c r="AY1637" s="355">
        <v>3.2550000000000003E-2</v>
      </c>
      <c r="AZ1637" s="624">
        <v>40616</v>
      </c>
      <c r="BA1637" s="355">
        <v>1.3599999999999999E-2</v>
      </c>
      <c r="BB1637" s="624">
        <v>40547</v>
      </c>
      <c r="BC1637" s="355">
        <v>0.34229999999999999</v>
      </c>
      <c r="BD1637" s="624">
        <v>40547</v>
      </c>
      <c r="BE1637" s="355">
        <v>8.8840000000000002E-2</v>
      </c>
      <c r="BF1637" s="624">
        <v>40625</v>
      </c>
      <c r="BG1637" s="355">
        <v>2.2304000000000001E-2</v>
      </c>
      <c r="BH1637" s="624">
        <v>40547</v>
      </c>
      <c r="BI1637" s="355">
        <v>0.11133999999999999</v>
      </c>
      <c r="BJ1637" s="624">
        <v>40546</v>
      </c>
      <c r="BK1637" s="355">
        <v>3.3244999999999997E-2</v>
      </c>
    </row>
    <row r="1638" spans="3:63">
      <c r="C1638" s="624"/>
      <c r="D1638" s="355">
        <v>3.2550000000000003E-2</v>
      </c>
      <c r="AV1638" s="624"/>
      <c r="AX1638" s="624">
        <v>40553</v>
      </c>
      <c r="AY1638" s="355">
        <v>3.2599999999999997E-2</v>
      </c>
      <c r="AZ1638" s="624">
        <v>40617</v>
      </c>
      <c r="BA1638" s="355">
        <v>1.3599999999999999E-2</v>
      </c>
      <c r="BB1638" s="624">
        <v>40548</v>
      </c>
      <c r="BC1638" s="355">
        <v>0.33979999999999999</v>
      </c>
      <c r="BD1638" s="624">
        <v>40548</v>
      </c>
      <c r="BE1638" s="355">
        <v>8.8950000000000001E-2</v>
      </c>
      <c r="BF1638" s="624">
        <v>40626</v>
      </c>
      <c r="BG1638" s="355">
        <v>2.2348E-2</v>
      </c>
      <c r="BH1638" s="624">
        <v>40548</v>
      </c>
      <c r="BI1638" s="355">
        <v>0.11130900000000001</v>
      </c>
      <c r="BJ1638" s="624">
        <v>40547</v>
      </c>
      <c r="BK1638" s="355">
        <v>3.3228000000000001E-2</v>
      </c>
    </row>
    <row r="1639" spans="3:63">
      <c r="C1639" s="624"/>
      <c r="D1639" s="355">
        <v>3.2599999999999997E-2</v>
      </c>
      <c r="AV1639" s="624"/>
      <c r="AX1639" s="624">
        <v>40554</v>
      </c>
      <c r="AY1639" s="355">
        <v>3.2759999999999997E-2</v>
      </c>
      <c r="AZ1639" s="624">
        <v>40618</v>
      </c>
      <c r="BA1639" s="355">
        <v>1.35E-2</v>
      </c>
      <c r="BB1639" s="624">
        <v>40549</v>
      </c>
      <c r="BC1639" s="355">
        <v>0.33579999999999999</v>
      </c>
      <c r="BD1639" s="624">
        <v>40549</v>
      </c>
      <c r="BE1639" s="355">
        <v>8.8999999999999996E-2</v>
      </c>
      <c r="BF1639" s="624">
        <v>40627</v>
      </c>
      <c r="BG1639" s="355">
        <v>2.2384000000000001E-2</v>
      </c>
      <c r="BH1639" s="624">
        <v>40549</v>
      </c>
      <c r="BI1639" s="355">
        <v>0.11101900000000001</v>
      </c>
      <c r="BJ1639" s="624">
        <v>40548</v>
      </c>
      <c r="BK1639" s="355">
        <v>3.3069000000000001E-2</v>
      </c>
    </row>
    <row r="1640" spans="3:63">
      <c r="C1640" s="624"/>
      <c r="D1640" s="355">
        <v>3.2759999999999997E-2</v>
      </c>
      <c r="AV1640" s="624"/>
      <c r="AX1640" s="624">
        <v>40555</v>
      </c>
      <c r="AY1640" s="355">
        <v>3.322E-2</v>
      </c>
      <c r="AZ1640" s="624">
        <v>40619</v>
      </c>
      <c r="BA1640" s="355">
        <v>1.3599999999999999E-2</v>
      </c>
      <c r="BB1640" s="624">
        <v>40550</v>
      </c>
      <c r="BC1640" s="355">
        <v>0.33210000000000001</v>
      </c>
      <c r="BD1640" s="624">
        <v>40550</v>
      </c>
      <c r="BE1640" s="355">
        <v>8.9109999999999995E-2</v>
      </c>
      <c r="BF1640" s="624">
        <v>40630</v>
      </c>
      <c r="BG1640" s="355">
        <v>2.2301999999999999E-2</v>
      </c>
      <c r="BH1640" s="624">
        <v>40550</v>
      </c>
      <c r="BI1640" s="355">
        <v>0.110849</v>
      </c>
      <c r="BJ1640" s="624">
        <v>40549</v>
      </c>
      <c r="BK1640" s="355">
        <v>3.3057999999999997E-2</v>
      </c>
    </row>
    <row r="1641" spans="3:63">
      <c r="C1641" s="624"/>
      <c r="D1641" s="355">
        <v>3.322E-2</v>
      </c>
      <c r="AV1641" s="624"/>
      <c r="AX1641" s="624">
        <v>40556</v>
      </c>
      <c r="AY1641" s="355">
        <v>3.3399999999999999E-2</v>
      </c>
      <c r="AZ1641" s="624">
        <v>40620</v>
      </c>
      <c r="BA1641" s="355">
        <v>1.38E-2</v>
      </c>
      <c r="BB1641" s="624">
        <v>40553</v>
      </c>
      <c r="BC1641" s="355">
        <v>0.33160000000000001</v>
      </c>
      <c r="BD1641" s="624">
        <v>40553</v>
      </c>
      <c r="BE1641" s="355">
        <v>8.8760000000000006E-2</v>
      </c>
      <c r="BF1641" s="624">
        <v>40631</v>
      </c>
      <c r="BG1641" s="355">
        <v>2.2332999999999999E-2</v>
      </c>
      <c r="BH1641" s="624">
        <v>40553</v>
      </c>
      <c r="BI1641" s="355">
        <v>0.110461</v>
      </c>
      <c r="BJ1641" s="624">
        <v>40550</v>
      </c>
      <c r="BK1641" s="355">
        <v>3.2916000000000001E-2</v>
      </c>
    </row>
    <row r="1642" spans="3:63">
      <c r="C1642" s="624"/>
      <c r="D1642" s="355">
        <v>3.3399999999999999E-2</v>
      </c>
      <c r="AV1642" s="624"/>
      <c r="AX1642" s="624">
        <v>40557</v>
      </c>
      <c r="AY1642" s="355">
        <v>3.3360000000000001E-2</v>
      </c>
      <c r="AZ1642" s="624">
        <v>40623</v>
      </c>
      <c r="BA1642" s="355">
        <v>1.38E-2</v>
      </c>
      <c r="BB1642" s="624">
        <v>40554</v>
      </c>
      <c r="BC1642" s="355">
        <v>0.33629999999999999</v>
      </c>
      <c r="BD1642" s="624">
        <v>40554</v>
      </c>
      <c r="BE1642" s="355">
        <v>8.9010000000000006E-2</v>
      </c>
      <c r="BF1642" s="624">
        <v>40632</v>
      </c>
      <c r="BG1642" s="355">
        <v>2.2345E-2</v>
      </c>
      <c r="BH1642" s="624">
        <v>40554</v>
      </c>
      <c r="BI1642" s="355">
        <v>0.110571</v>
      </c>
      <c r="BJ1642" s="624">
        <v>40553</v>
      </c>
      <c r="BK1642" s="355">
        <v>3.2605000000000002E-2</v>
      </c>
    </row>
    <row r="1643" spans="3:63">
      <c r="C1643" s="624"/>
      <c r="D1643" s="355">
        <v>3.3360000000000001E-2</v>
      </c>
      <c r="AV1643" s="624"/>
      <c r="AX1643" s="624">
        <v>40560</v>
      </c>
      <c r="AY1643" s="355">
        <v>3.3360000000000001E-2</v>
      </c>
      <c r="AZ1643" s="624">
        <v>40624</v>
      </c>
      <c r="BA1643" s="355">
        <v>1.37E-2</v>
      </c>
      <c r="BB1643" s="624">
        <v>40555</v>
      </c>
      <c r="BC1643" s="355">
        <v>0.34200000000000003</v>
      </c>
      <c r="BD1643" s="624">
        <v>40555</v>
      </c>
      <c r="BE1643" s="355">
        <v>8.9849999999999999E-2</v>
      </c>
      <c r="BF1643" s="624">
        <v>40633</v>
      </c>
      <c r="BG1643" s="355">
        <v>2.2428E-2</v>
      </c>
      <c r="BH1643" s="624">
        <v>40555</v>
      </c>
      <c r="BI1643" s="355">
        <v>0.110681</v>
      </c>
      <c r="BJ1643" s="624">
        <v>40554</v>
      </c>
      <c r="BK1643" s="355">
        <v>3.2732999999999998E-2</v>
      </c>
    </row>
    <row r="1644" spans="3:63">
      <c r="C1644" s="624"/>
      <c r="D1644" s="355">
        <v>3.3360000000000001E-2</v>
      </c>
      <c r="AV1644" s="624"/>
      <c r="AX1644" s="624">
        <v>40561</v>
      </c>
      <c r="AY1644" s="355">
        <v>3.3439999999999998E-2</v>
      </c>
      <c r="AZ1644" s="624">
        <v>40625</v>
      </c>
      <c r="BA1644" s="355">
        <v>1.3599999999999999E-2</v>
      </c>
      <c r="BB1644" s="624">
        <v>40556</v>
      </c>
      <c r="BC1644" s="355">
        <v>0.34520000000000001</v>
      </c>
      <c r="BD1644" s="624">
        <v>40556</v>
      </c>
      <c r="BE1644" s="355">
        <v>8.992E-2</v>
      </c>
      <c r="BF1644" s="624">
        <v>40638</v>
      </c>
      <c r="BG1644" s="355">
        <v>2.2512000000000001E-2</v>
      </c>
      <c r="BH1644" s="624">
        <v>40556</v>
      </c>
      <c r="BI1644" s="355">
        <v>0.110497</v>
      </c>
      <c r="BJ1644" s="624">
        <v>40555</v>
      </c>
      <c r="BK1644" s="355">
        <v>3.2987000000000002E-2</v>
      </c>
    </row>
    <row r="1645" spans="3:63">
      <c r="C1645" s="624"/>
      <c r="D1645" s="355">
        <v>3.3439999999999998E-2</v>
      </c>
      <c r="AV1645" s="624"/>
      <c r="AX1645" s="624">
        <v>40562</v>
      </c>
      <c r="AY1645" s="355">
        <v>3.3520000000000001E-2</v>
      </c>
      <c r="AZ1645" s="624">
        <v>40626</v>
      </c>
      <c r="BA1645" s="355">
        <v>1.37E-2</v>
      </c>
      <c r="BB1645" s="624">
        <v>40557</v>
      </c>
      <c r="BC1645" s="355">
        <v>0.34539999999999998</v>
      </c>
      <c r="BD1645" s="624">
        <v>40557</v>
      </c>
      <c r="BE1645" s="355">
        <v>8.9730000000000004E-2</v>
      </c>
      <c r="BF1645" s="624">
        <v>40639</v>
      </c>
      <c r="BG1645" s="355">
        <v>2.2638999999999999E-2</v>
      </c>
      <c r="BH1645" s="624">
        <v>40557</v>
      </c>
      <c r="BI1645" s="355">
        <v>0.110314</v>
      </c>
      <c r="BJ1645" s="624">
        <v>40556</v>
      </c>
      <c r="BK1645" s="355">
        <v>3.2819000000000001E-2</v>
      </c>
    </row>
    <row r="1646" spans="3:63">
      <c r="C1646" s="624"/>
      <c r="D1646" s="355">
        <v>3.3520000000000001E-2</v>
      </c>
      <c r="AV1646" s="624"/>
      <c r="AX1646" s="624">
        <v>40563</v>
      </c>
      <c r="AY1646" s="355">
        <v>3.3320000000000002E-2</v>
      </c>
      <c r="AZ1646" s="624">
        <v>40627</v>
      </c>
      <c r="BA1646" s="355">
        <v>1.3599999999999999E-2</v>
      </c>
      <c r="BB1646" s="624">
        <v>40560</v>
      </c>
      <c r="BC1646" s="355">
        <v>0.34350000000000003</v>
      </c>
      <c r="BD1646" s="624">
        <v>40560</v>
      </c>
      <c r="BE1646" s="355">
        <v>8.9639999999999997E-2</v>
      </c>
      <c r="BF1646" s="624">
        <v>40640</v>
      </c>
      <c r="BG1646" s="355">
        <v>2.2623999999999998E-2</v>
      </c>
      <c r="BH1646" s="624">
        <v>40560</v>
      </c>
      <c r="BI1646" s="355">
        <v>0.110375</v>
      </c>
      <c r="BJ1646" s="624">
        <v>40557</v>
      </c>
      <c r="BK1646" s="355">
        <v>3.2862000000000002E-2</v>
      </c>
    </row>
    <row r="1647" spans="3:63">
      <c r="C1647" s="624"/>
      <c r="D1647" s="355">
        <v>3.3320000000000002E-2</v>
      </c>
      <c r="AV1647" s="624"/>
      <c r="AX1647" s="624">
        <v>40564</v>
      </c>
      <c r="AY1647" s="355">
        <v>3.3430000000000001E-2</v>
      </c>
      <c r="AZ1647" s="624">
        <v>40630</v>
      </c>
      <c r="BA1647" s="355">
        <v>1.3599999999999999E-2</v>
      </c>
      <c r="BB1647" s="624">
        <v>40561</v>
      </c>
      <c r="BC1647" s="355">
        <v>0.3458</v>
      </c>
      <c r="BD1647" s="624">
        <v>40561</v>
      </c>
      <c r="BE1647" s="355">
        <v>8.9940000000000006E-2</v>
      </c>
      <c r="BF1647" s="624">
        <v>40641</v>
      </c>
      <c r="BG1647" s="355">
        <v>2.2689999999999998E-2</v>
      </c>
      <c r="BH1647" s="624">
        <v>40561</v>
      </c>
      <c r="BI1647" s="355">
        <v>0.11058900000000001</v>
      </c>
      <c r="BJ1647" s="624">
        <v>40560</v>
      </c>
      <c r="BK1647" s="355">
        <v>3.2711999999999998E-2</v>
      </c>
    </row>
    <row r="1648" spans="3:63">
      <c r="C1648" s="624"/>
      <c r="D1648" s="355">
        <v>3.3430000000000001E-2</v>
      </c>
      <c r="AV1648" s="624"/>
      <c r="AX1648" s="624">
        <v>40567</v>
      </c>
      <c r="AY1648" s="355">
        <v>3.3550000000000003E-2</v>
      </c>
      <c r="AZ1648" s="624">
        <v>40631</v>
      </c>
      <c r="BA1648" s="355">
        <v>1.3599999999999999E-2</v>
      </c>
      <c r="BB1648" s="624">
        <v>40562</v>
      </c>
      <c r="BC1648" s="355">
        <v>0.34799999999999998</v>
      </c>
      <c r="BD1648" s="624">
        <v>40562</v>
      </c>
      <c r="BE1648" s="355">
        <v>8.9599999999999999E-2</v>
      </c>
      <c r="BF1648" s="624">
        <v>40644</v>
      </c>
      <c r="BG1648" s="355">
        <v>2.2530000000000001E-2</v>
      </c>
      <c r="BH1648" s="624">
        <v>40562</v>
      </c>
      <c r="BI1648" s="355">
        <v>0.110497</v>
      </c>
      <c r="BJ1648" s="624">
        <v>40561</v>
      </c>
      <c r="BK1648" s="355">
        <v>3.2835999999999997E-2</v>
      </c>
    </row>
    <row r="1649" spans="3:63">
      <c r="C1649" s="624"/>
      <c r="D1649" s="355">
        <v>3.3550000000000003E-2</v>
      </c>
      <c r="AV1649" s="624"/>
      <c r="AX1649" s="624">
        <v>40568</v>
      </c>
      <c r="AY1649" s="355">
        <v>3.3649999999999999E-2</v>
      </c>
      <c r="AZ1649" s="624">
        <v>40632</v>
      </c>
      <c r="BA1649" s="355">
        <v>1.3599999999999999E-2</v>
      </c>
      <c r="BB1649" s="624">
        <v>40563</v>
      </c>
      <c r="BC1649" s="355">
        <v>0.34599999999999997</v>
      </c>
      <c r="BD1649" s="624">
        <v>40563</v>
      </c>
      <c r="BE1649" s="355">
        <v>8.9130000000000001E-2</v>
      </c>
      <c r="BF1649" s="624">
        <v>40646</v>
      </c>
      <c r="BG1649" s="355">
        <v>2.2468999999999999E-2</v>
      </c>
      <c r="BH1649" s="624">
        <v>40563</v>
      </c>
      <c r="BI1649" s="355">
        <v>0.110206</v>
      </c>
      <c r="BJ1649" s="624">
        <v>40562</v>
      </c>
      <c r="BK1649" s="355">
        <v>3.2792000000000002E-2</v>
      </c>
    </row>
    <row r="1650" spans="3:63">
      <c r="C1650" s="624"/>
      <c r="D1650" s="355">
        <v>3.3649999999999999E-2</v>
      </c>
      <c r="AV1650" s="624"/>
      <c r="AX1650" s="624">
        <v>40569</v>
      </c>
      <c r="AY1650" s="355">
        <v>3.3689999999999998E-2</v>
      </c>
      <c r="AZ1650" s="624">
        <v>40633</v>
      </c>
      <c r="BA1650" s="355">
        <v>1.37E-2</v>
      </c>
      <c r="BB1650" s="624">
        <v>40564</v>
      </c>
      <c r="BC1650" s="355">
        <v>0.35120000000000001</v>
      </c>
      <c r="BD1650" s="624">
        <v>40564</v>
      </c>
      <c r="BE1650" s="355">
        <v>8.9249999999999996E-2</v>
      </c>
      <c r="BF1650" s="624">
        <v>40648</v>
      </c>
      <c r="BG1650" s="355">
        <v>2.2554999999999999E-2</v>
      </c>
      <c r="BH1650" s="624">
        <v>40564</v>
      </c>
      <c r="BI1650" s="355">
        <v>0.11038100000000001</v>
      </c>
      <c r="BJ1650" s="624">
        <v>40563</v>
      </c>
      <c r="BK1650" s="355">
        <v>3.2668999999999997E-2</v>
      </c>
    </row>
    <row r="1651" spans="3:63">
      <c r="C1651" s="624"/>
      <c r="D1651" s="355">
        <v>3.3689999999999998E-2</v>
      </c>
      <c r="AV1651" s="624"/>
      <c r="AX1651" s="624">
        <v>40570</v>
      </c>
      <c r="AY1651" s="355">
        <v>3.3849999999999998E-2</v>
      </c>
      <c r="AZ1651" s="624">
        <v>40634</v>
      </c>
      <c r="BA1651" s="355">
        <v>1.3899999999999999E-2</v>
      </c>
      <c r="BB1651" s="624">
        <v>40567</v>
      </c>
      <c r="BC1651" s="355">
        <v>0.3518</v>
      </c>
      <c r="BD1651" s="624">
        <v>40567</v>
      </c>
      <c r="BE1651" s="355">
        <v>8.9450000000000002E-2</v>
      </c>
      <c r="BF1651" s="624">
        <v>40651</v>
      </c>
      <c r="BG1651" s="355">
        <v>2.2495000000000001E-2</v>
      </c>
      <c r="BH1651" s="624">
        <v>40567</v>
      </c>
      <c r="BI1651" s="355">
        <v>0.11043600000000001</v>
      </c>
      <c r="BJ1651" s="624">
        <v>40564</v>
      </c>
      <c r="BK1651" s="355">
        <v>3.2622999999999999E-2</v>
      </c>
    </row>
    <row r="1652" spans="3:63">
      <c r="C1652" s="624"/>
      <c r="D1652" s="355">
        <v>3.3849999999999998E-2</v>
      </c>
      <c r="AV1652" s="624"/>
      <c r="AX1652" s="624">
        <v>40571</v>
      </c>
      <c r="AY1652" s="355">
        <v>3.356E-2</v>
      </c>
      <c r="AZ1652" s="624">
        <v>40637</v>
      </c>
      <c r="BA1652" s="355">
        <v>1.38E-2</v>
      </c>
      <c r="BB1652" s="624">
        <v>40568</v>
      </c>
      <c r="BC1652" s="355">
        <v>0.35260000000000002</v>
      </c>
      <c r="BD1652" s="624">
        <v>40568</v>
      </c>
      <c r="BE1652" s="355">
        <v>8.9270000000000002E-2</v>
      </c>
      <c r="BF1652" s="624">
        <v>40652</v>
      </c>
      <c r="BG1652" s="355">
        <v>2.2478999999999999E-2</v>
      </c>
      <c r="BH1652" s="624">
        <v>40568</v>
      </c>
      <c r="BI1652" s="355">
        <v>0.110662</v>
      </c>
      <c r="BJ1652" s="624">
        <v>40567</v>
      </c>
      <c r="BK1652" s="355">
        <v>3.2326000000000001E-2</v>
      </c>
    </row>
    <row r="1653" spans="3:63">
      <c r="C1653" s="624"/>
      <c r="D1653" s="355">
        <v>3.356E-2</v>
      </c>
      <c r="AV1653" s="624"/>
      <c r="AX1653" s="624">
        <v>40574</v>
      </c>
      <c r="AY1653" s="355">
        <v>3.3570000000000003E-2</v>
      </c>
      <c r="AZ1653" s="624">
        <v>40638</v>
      </c>
      <c r="BA1653" s="355">
        <v>1.3899999999999999E-2</v>
      </c>
      <c r="BB1653" s="624">
        <v>40569</v>
      </c>
      <c r="BC1653" s="355">
        <v>0.35320000000000001</v>
      </c>
      <c r="BD1653" s="624">
        <v>40569</v>
      </c>
      <c r="BE1653" s="355">
        <v>8.9649999999999994E-2</v>
      </c>
      <c r="BF1653" s="624">
        <v>40653</v>
      </c>
      <c r="BG1653" s="355">
        <v>2.2558000000000002E-2</v>
      </c>
      <c r="BH1653" s="624">
        <v>40569</v>
      </c>
      <c r="BI1653" s="355">
        <v>0.11078499999999999</v>
      </c>
      <c r="BJ1653" s="624">
        <v>40568</v>
      </c>
      <c r="BK1653" s="355">
        <v>3.2300000000000002E-2</v>
      </c>
    </row>
    <row r="1654" spans="3:63">
      <c r="C1654" s="624"/>
      <c r="D1654" s="355">
        <v>3.3570000000000003E-2</v>
      </c>
      <c r="AV1654" s="624"/>
      <c r="AX1654" s="624">
        <v>40575</v>
      </c>
      <c r="AY1654" s="355">
        <v>3.39E-2</v>
      </c>
      <c r="AZ1654" s="624">
        <v>40639</v>
      </c>
      <c r="BA1654" s="355">
        <v>1.4E-2</v>
      </c>
      <c r="BB1654" s="624">
        <v>40570</v>
      </c>
      <c r="BC1654" s="355">
        <v>0.35149999999999998</v>
      </c>
      <c r="BD1654" s="624">
        <v>40570</v>
      </c>
      <c r="BE1654" s="355">
        <v>8.9880000000000002E-2</v>
      </c>
      <c r="BF1654" s="624">
        <v>40654</v>
      </c>
      <c r="BG1654" s="355">
        <v>2.2540000000000001E-2</v>
      </c>
      <c r="BH1654" s="624">
        <v>40570</v>
      </c>
      <c r="BI1654" s="355">
        <v>0.110822</v>
      </c>
      <c r="BJ1654" s="624">
        <v>40569</v>
      </c>
      <c r="BK1654" s="355">
        <v>3.2499E-2</v>
      </c>
    </row>
    <row r="1655" spans="3:63">
      <c r="C1655" s="624"/>
      <c r="D1655" s="355">
        <v>3.39E-2</v>
      </c>
      <c r="AV1655" s="624"/>
      <c r="AX1655" s="624">
        <v>40576</v>
      </c>
      <c r="AY1655" s="355">
        <v>3.397E-2</v>
      </c>
      <c r="AZ1655" s="624">
        <v>40640</v>
      </c>
      <c r="BA1655" s="355">
        <v>1.4E-2</v>
      </c>
      <c r="BB1655" s="624">
        <v>40571</v>
      </c>
      <c r="BC1655" s="355">
        <v>0.34460000000000002</v>
      </c>
      <c r="BD1655" s="624">
        <v>40571</v>
      </c>
      <c r="BE1655" s="355">
        <v>8.9130000000000001E-2</v>
      </c>
      <c r="BF1655" s="624">
        <v>40658</v>
      </c>
      <c r="BG1655" s="355">
        <v>2.2478000000000001E-2</v>
      </c>
      <c r="BH1655" s="624">
        <v>40571</v>
      </c>
      <c r="BI1655" s="355">
        <v>0.110988</v>
      </c>
      <c r="BJ1655" s="624">
        <v>40570</v>
      </c>
      <c r="BK1655" s="355">
        <v>3.2431000000000001E-2</v>
      </c>
    </row>
    <row r="1656" spans="3:63">
      <c r="C1656" s="624"/>
      <c r="D1656" s="355">
        <v>3.397E-2</v>
      </c>
      <c r="AV1656" s="624"/>
      <c r="AX1656" s="624">
        <v>40577</v>
      </c>
      <c r="AY1656" s="355">
        <v>3.3980000000000003E-2</v>
      </c>
      <c r="AZ1656" s="624">
        <v>40641</v>
      </c>
      <c r="BA1656" s="355">
        <v>1.43E-2</v>
      </c>
      <c r="BB1656" s="624">
        <v>40574</v>
      </c>
      <c r="BC1656" s="355">
        <v>0.34839999999999999</v>
      </c>
      <c r="BD1656" s="624">
        <v>40574</v>
      </c>
      <c r="BE1656" s="355">
        <v>8.9289999999999994E-2</v>
      </c>
      <c r="BF1656" s="624">
        <v>40659</v>
      </c>
      <c r="BG1656" s="355">
        <v>2.2463E-2</v>
      </c>
      <c r="BH1656" s="624">
        <v>40574</v>
      </c>
      <c r="BI1656" s="355">
        <v>0.110522</v>
      </c>
      <c r="BJ1656" s="624">
        <v>40571</v>
      </c>
      <c r="BK1656" s="355">
        <v>3.2231999999999997E-2</v>
      </c>
    </row>
    <row r="1657" spans="3:63">
      <c r="C1657" s="624"/>
      <c r="D1657" s="355">
        <v>3.3980000000000003E-2</v>
      </c>
      <c r="AV1657" s="624"/>
      <c r="AX1657" s="624">
        <v>40578</v>
      </c>
      <c r="AY1657" s="355">
        <v>3.4020000000000002E-2</v>
      </c>
      <c r="AZ1657" s="624">
        <v>40644</v>
      </c>
      <c r="BA1657" s="355">
        <v>1.43E-2</v>
      </c>
      <c r="BB1657" s="624">
        <v>40575</v>
      </c>
      <c r="BC1657" s="355">
        <v>0.35470000000000002</v>
      </c>
      <c r="BD1657" s="624">
        <v>40575</v>
      </c>
      <c r="BE1657" s="355">
        <v>9.0550000000000005E-2</v>
      </c>
      <c r="BF1657" s="624">
        <v>40660</v>
      </c>
      <c r="BG1657" s="355">
        <v>2.2505000000000001E-2</v>
      </c>
      <c r="BH1657" s="624">
        <v>40575</v>
      </c>
      <c r="BI1657" s="355">
        <v>0.11088099999999999</v>
      </c>
      <c r="BJ1657" s="624">
        <v>40574</v>
      </c>
      <c r="BK1657" s="355">
        <v>3.2351999999999999E-2</v>
      </c>
    </row>
    <row r="1658" spans="3:63">
      <c r="C1658" s="624"/>
      <c r="D1658" s="355">
        <v>3.4020000000000002E-2</v>
      </c>
      <c r="AV1658" s="624"/>
      <c r="AX1658" s="624">
        <v>40581</v>
      </c>
      <c r="AY1658" s="355">
        <v>3.4160000000000003E-2</v>
      </c>
      <c r="AZ1658" s="624">
        <v>40645</v>
      </c>
      <c r="BA1658" s="355">
        <v>1.43E-2</v>
      </c>
      <c r="BB1658" s="624">
        <v>40576</v>
      </c>
      <c r="BC1658" s="355">
        <v>0.35360000000000003</v>
      </c>
      <c r="BD1658" s="624">
        <v>40576</v>
      </c>
      <c r="BE1658" s="355">
        <v>9.0630000000000002E-2</v>
      </c>
      <c r="BF1658" s="624">
        <v>40661</v>
      </c>
      <c r="BG1658" s="355">
        <v>2.2506000000000002E-2</v>
      </c>
      <c r="BH1658" s="624">
        <v>40576</v>
      </c>
      <c r="BI1658" s="355">
        <v>0.110859</v>
      </c>
      <c r="BJ1658" s="624">
        <v>40575</v>
      </c>
      <c r="BK1658" s="355">
        <v>3.2414999999999999E-2</v>
      </c>
    </row>
    <row r="1659" spans="3:63">
      <c r="C1659" s="624"/>
      <c r="D1659" s="355">
        <v>3.4160000000000003E-2</v>
      </c>
      <c r="AV1659" s="624"/>
      <c r="AX1659" s="624">
        <v>40582</v>
      </c>
      <c r="AY1659" s="355">
        <v>3.4160000000000003E-2</v>
      </c>
      <c r="AZ1659" s="624">
        <v>40646</v>
      </c>
      <c r="BA1659" s="355">
        <v>1.4200000000000001E-2</v>
      </c>
      <c r="BB1659" s="624">
        <v>40577</v>
      </c>
      <c r="BC1659" s="355">
        <v>0.3493</v>
      </c>
      <c r="BD1659" s="624">
        <v>40577</v>
      </c>
      <c r="BE1659" s="355">
        <v>9.0499999999999997E-2</v>
      </c>
      <c r="BF1659" s="624">
        <v>40662</v>
      </c>
      <c r="BG1659" s="355">
        <v>2.2617000000000002E-2</v>
      </c>
      <c r="BH1659" s="624">
        <v>40577</v>
      </c>
      <c r="BI1659" s="355">
        <v>0.11074199999999999</v>
      </c>
      <c r="BJ1659" s="624">
        <v>40576</v>
      </c>
      <c r="BK1659" s="355">
        <v>3.2414999999999999E-2</v>
      </c>
    </row>
    <row r="1660" spans="3:63">
      <c r="C1660" s="624"/>
      <c r="D1660" s="355">
        <v>3.4160000000000003E-2</v>
      </c>
      <c r="AV1660" s="624"/>
      <c r="AX1660" s="624">
        <v>40583</v>
      </c>
      <c r="AY1660" s="355">
        <v>3.4160000000000003E-2</v>
      </c>
      <c r="AZ1660" s="624">
        <v>40647</v>
      </c>
      <c r="BA1660" s="355">
        <v>1.43E-2</v>
      </c>
      <c r="BB1660" s="624">
        <v>40578</v>
      </c>
      <c r="BC1660" s="355">
        <v>0.34910000000000002</v>
      </c>
      <c r="BD1660" s="624">
        <v>40578</v>
      </c>
      <c r="BE1660" s="355">
        <v>9.0340000000000004E-2</v>
      </c>
      <c r="BF1660" s="624">
        <v>40665</v>
      </c>
      <c r="BG1660" s="355">
        <v>2.2556E-2</v>
      </c>
      <c r="BH1660" s="624">
        <v>40578</v>
      </c>
      <c r="BI1660" s="355">
        <v>0.111607</v>
      </c>
      <c r="BJ1660" s="624">
        <v>40577</v>
      </c>
      <c r="BK1660" s="355">
        <v>3.2367E-2</v>
      </c>
    </row>
    <row r="1661" spans="3:63">
      <c r="C1661" s="624"/>
      <c r="D1661" s="355">
        <v>3.4160000000000003E-2</v>
      </c>
      <c r="AV1661" s="624"/>
      <c r="AX1661" s="624">
        <v>40584</v>
      </c>
      <c r="AY1661" s="355">
        <v>3.4070000000000003E-2</v>
      </c>
      <c r="AZ1661" s="624">
        <v>40648</v>
      </c>
      <c r="BA1661" s="355">
        <v>1.4200000000000001E-2</v>
      </c>
      <c r="BB1661" s="624">
        <v>40581</v>
      </c>
      <c r="BC1661" s="355">
        <v>0.3503</v>
      </c>
      <c r="BD1661" s="624">
        <v>40581</v>
      </c>
      <c r="BE1661" s="355">
        <v>9.0639999999999998E-2</v>
      </c>
      <c r="BF1661" s="624">
        <v>40666</v>
      </c>
      <c r="BG1661" s="355">
        <v>2.2464000000000001E-2</v>
      </c>
      <c r="BH1661" s="624">
        <v>40581</v>
      </c>
      <c r="BI1661" s="355">
        <v>0.11217299999999999</v>
      </c>
      <c r="BJ1661" s="624">
        <v>40578</v>
      </c>
      <c r="BK1661" s="355">
        <v>3.2467999999999997E-2</v>
      </c>
    </row>
    <row r="1662" spans="3:63">
      <c r="C1662" s="624"/>
      <c r="D1662" s="355">
        <v>3.4070000000000003E-2</v>
      </c>
      <c r="AV1662" s="624"/>
      <c r="AX1662" s="624">
        <v>40585</v>
      </c>
      <c r="AY1662" s="355">
        <v>3.4139999999999997E-2</v>
      </c>
      <c r="AZ1662" s="624">
        <v>40651</v>
      </c>
      <c r="BA1662" s="355">
        <v>1.4E-2</v>
      </c>
      <c r="BB1662" s="624">
        <v>40582</v>
      </c>
      <c r="BC1662" s="355">
        <v>0.35020000000000001</v>
      </c>
      <c r="BD1662" s="624">
        <v>40582</v>
      </c>
      <c r="BE1662" s="355">
        <v>9.0789999999999996E-2</v>
      </c>
      <c r="BF1662" s="624">
        <v>40667</v>
      </c>
      <c r="BG1662" s="355">
        <v>2.2487E-2</v>
      </c>
      <c r="BH1662" s="624">
        <v>40582</v>
      </c>
      <c r="BI1662" s="355">
        <v>0.11236</v>
      </c>
      <c r="BJ1662" s="624">
        <v>40581</v>
      </c>
      <c r="BK1662" s="355">
        <v>3.2572999999999998E-2</v>
      </c>
    </row>
    <row r="1663" spans="3:63">
      <c r="C1663" s="624"/>
      <c r="D1663" s="355">
        <v>3.4139999999999997E-2</v>
      </c>
      <c r="AV1663" s="624"/>
      <c r="AX1663" s="624">
        <v>40588</v>
      </c>
      <c r="AY1663" s="355">
        <v>3.4139999999999997E-2</v>
      </c>
      <c r="AZ1663" s="624">
        <v>40652</v>
      </c>
      <c r="BA1663" s="355">
        <v>1.4200000000000001E-2</v>
      </c>
      <c r="BB1663" s="624">
        <v>40583</v>
      </c>
      <c r="BC1663" s="355">
        <v>0.35160000000000002</v>
      </c>
      <c r="BD1663" s="624">
        <v>40583</v>
      </c>
      <c r="BE1663" s="355">
        <v>9.0200000000000002E-2</v>
      </c>
      <c r="BF1663" s="624">
        <v>40668</v>
      </c>
      <c r="BG1663" s="355">
        <v>2.2339000000000001E-2</v>
      </c>
      <c r="BH1663" s="624">
        <v>40583</v>
      </c>
      <c r="BI1663" s="355">
        <v>0.112076</v>
      </c>
      <c r="BJ1663" s="624">
        <v>40582</v>
      </c>
      <c r="BK1663" s="355">
        <v>3.2457E-2</v>
      </c>
    </row>
    <row r="1664" spans="3:63">
      <c r="C1664" s="624"/>
      <c r="D1664" s="355">
        <v>3.4139999999999997E-2</v>
      </c>
      <c r="AV1664" s="624"/>
      <c r="AX1664" s="624">
        <v>40589</v>
      </c>
      <c r="AY1664" s="355">
        <v>3.4090000000000002E-2</v>
      </c>
      <c r="AZ1664" s="624">
        <v>40653</v>
      </c>
      <c r="BA1664" s="355">
        <v>1.43E-2</v>
      </c>
      <c r="BB1664" s="624">
        <v>40584</v>
      </c>
      <c r="BC1664" s="355">
        <v>0.34689999999999999</v>
      </c>
      <c r="BD1664" s="624">
        <v>40584</v>
      </c>
      <c r="BE1664" s="355">
        <v>8.9450000000000002E-2</v>
      </c>
      <c r="BF1664" s="624">
        <v>40669</v>
      </c>
      <c r="BG1664" s="355">
        <v>2.2325000000000001E-2</v>
      </c>
      <c r="BH1664" s="624">
        <v>40584</v>
      </c>
      <c r="BI1664" s="355">
        <v>0.112013</v>
      </c>
      <c r="BJ1664" s="624">
        <v>40583</v>
      </c>
      <c r="BK1664" s="355">
        <v>3.2525999999999999E-2</v>
      </c>
    </row>
    <row r="1665" spans="3:63">
      <c r="C1665" s="624"/>
      <c r="D1665" s="355">
        <v>3.4090000000000002E-2</v>
      </c>
      <c r="AV1665" s="624"/>
      <c r="AX1665" s="624">
        <v>40590</v>
      </c>
      <c r="AY1665" s="355">
        <v>3.4229999999999997E-2</v>
      </c>
      <c r="AZ1665" s="624">
        <v>40654</v>
      </c>
      <c r="BA1665" s="355">
        <v>1.44E-2</v>
      </c>
      <c r="BB1665" s="624">
        <v>40585</v>
      </c>
      <c r="BC1665" s="355">
        <v>0.34589999999999999</v>
      </c>
      <c r="BD1665" s="624">
        <v>40585</v>
      </c>
      <c r="BE1665" s="355">
        <v>8.9349999999999999E-2</v>
      </c>
      <c r="BF1665" s="624">
        <v>40672</v>
      </c>
      <c r="BG1665" s="355">
        <v>2.2363000000000001E-2</v>
      </c>
      <c r="BH1665" s="624">
        <v>40585</v>
      </c>
      <c r="BI1665" s="355">
        <v>0.112023</v>
      </c>
      <c r="BJ1665" s="624">
        <v>40584</v>
      </c>
      <c r="BK1665" s="355">
        <v>3.2446000000000003E-2</v>
      </c>
    </row>
    <row r="1666" spans="3:63">
      <c r="C1666" s="624"/>
      <c r="D1666" s="355">
        <v>3.4229999999999997E-2</v>
      </c>
      <c r="AV1666" s="624"/>
      <c r="AX1666" s="624">
        <v>40591</v>
      </c>
      <c r="AY1666" s="355">
        <v>3.4200000000000001E-2</v>
      </c>
      <c r="AZ1666" s="624">
        <v>40655</v>
      </c>
      <c r="BA1666" s="355">
        <v>1.4500000000000001E-2</v>
      </c>
      <c r="BB1666" s="624">
        <v>40588</v>
      </c>
      <c r="BC1666" s="355">
        <v>0.3417</v>
      </c>
      <c r="BD1666" s="624">
        <v>40588</v>
      </c>
      <c r="BE1666" s="355">
        <v>8.8969999999999994E-2</v>
      </c>
      <c r="BF1666" s="624">
        <v>40673</v>
      </c>
      <c r="BG1666" s="355">
        <v>2.2343999999999999E-2</v>
      </c>
      <c r="BH1666" s="624">
        <v>40588</v>
      </c>
      <c r="BI1666" s="355">
        <v>0.11231099999999999</v>
      </c>
      <c r="BJ1666" s="624">
        <v>40585</v>
      </c>
      <c r="BK1666" s="355">
        <v>3.2530999999999997E-2</v>
      </c>
    </row>
    <row r="1667" spans="3:63">
      <c r="C1667" s="624"/>
      <c r="D1667" s="355">
        <v>3.4200000000000001E-2</v>
      </c>
      <c r="AV1667" s="624"/>
      <c r="AX1667" s="624">
        <v>40592</v>
      </c>
      <c r="AY1667" s="355">
        <v>3.4329999999999999E-2</v>
      </c>
      <c r="AZ1667" s="624">
        <v>40658</v>
      </c>
      <c r="BA1667" s="355">
        <v>1.4500000000000001E-2</v>
      </c>
      <c r="BB1667" s="624">
        <v>40589</v>
      </c>
      <c r="BC1667" s="355">
        <v>0.34329999999999999</v>
      </c>
      <c r="BD1667" s="624">
        <v>40589</v>
      </c>
      <c r="BE1667" s="355">
        <v>8.8950000000000001E-2</v>
      </c>
      <c r="BF1667" s="624">
        <v>40674</v>
      </c>
      <c r="BG1667" s="355">
        <v>2.2373000000000001E-2</v>
      </c>
      <c r="BH1667" s="624">
        <v>40589</v>
      </c>
      <c r="BI1667" s="355">
        <v>0.11217100000000001</v>
      </c>
      <c r="BJ1667" s="624">
        <v>40588</v>
      </c>
      <c r="BK1667" s="355">
        <v>3.2530999999999997E-2</v>
      </c>
    </row>
    <row r="1668" spans="3:63">
      <c r="C1668" s="624"/>
      <c r="D1668" s="355">
        <v>3.4329999999999999E-2</v>
      </c>
      <c r="AV1668" s="624"/>
      <c r="AX1668" s="624">
        <v>40595</v>
      </c>
      <c r="AY1668" s="355">
        <v>3.4299999999999997E-2</v>
      </c>
      <c r="AZ1668" s="624">
        <v>40659</v>
      </c>
      <c r="BA1668" s="355">
        <v>1.4500000000000001E-2</v>
      </c>
      <c r="BB1668" s="624">
        <v>40590</v>
      </c>
      <c r="BC1668" s="355">
        <v>0.34739999999999999</v>
      </c>
      <c r="BD1668" s="624">
        <v>40590</v>
      </c>
      <c r="BE1668" s="355">
        <v>8.9620000000000005E-2</v>
      </c>
      <c r="BF1668" s="624">
        <v>40675</v>
      </c>
      <c r="BG1668" s="355">
        <v>2.2223E-2</v>
      </c>
      <c r="BH1668" s="624">
        <v>40590</v>
      </c>
      <c r="BI1668" s="355">
        <v>0.112568</v>
      </c>
      <c r="BJ1668" s="624">
        <v>40589</v>
      </c>
      <c r="BK1668" s="355">
        <v>3.2551999999999998E-2</v>
      </c>
    </row>
    <row r="1669" spans="3:63">
      <c r="C1669" s="624"/>
      <c r="D1669" s="355">
        <v>3.4299999999999997E-2</v>
      </c>
      <c r="AV1669" s="624"/>
      <c r="AX1669" s="624">
        <v>40596</v>
      </c>
      <c r="AY1669" s="355">
        <v>3.4139999999999997E-2</v>
      </c>
      <c r="AZ1669" s="624">
        <v>40660</v>
      </c>
      <c r="BA1669" s="355">
        <v>1.47E-2</v>
      </c>
      <c r="BB1669" s="624">
        <v>40591</v>
      </c>
      <c r="BC1669" s="355">
        <v>0.34870000000000001</v>
      </c>
      <c r="BD1669" s="624">
        <v>40591</v>
      </c>
      <c r="BE1669" s="355">
        <v>8.9899999999999994E-2</v>
      </c>
      <c r="BF1669" s="624">
        <v>40676</v>
      </c>
      <c r="BG1669" s="355">
        <v>2.2287000000000001E-2</v>
      </c>
      <c r="BH1669" s="624">
        <v>40591</v>
      </c>
      <c r="BI1669" s="355">
        <v>0.11269899999999999</v>
      </c>
      <c r="BJ1669" s="624">
        <v>40590</v>
      </c>
      <c r="BK1669" s="355">
        <v>3.2668999999999997E-2</v>
      </c>
    </row>
    <row r="1670" spans="3:63">
      <c r="C1670" s="624"/>
      <c r="D1670" s="355">
        <v>3.4139999999999997E-2</v>
      </c>
      <c r="AV1670" s="624"/>
      <c r="AX1670" s="624">
        <v>40597</v>
      </c>
      <c r="AY1670" s="355">
        <v>3.4270000000000002E-2</v>
      </c>
      <c r="AZ1670" s="624">
        <v>40661</v>
      </c>
      <c r="BA1670" s="355">
        <v>1.49E-2</v>
      </c>
      <c r="BB1670" s="624">
        <v>40592</v>
      </c>
      <c r="BC1670" s="355">
        <v>0.34939999999999999</v>
      </c>
      <c r="BD1670" s="624">
        <v>40592</v>
      </c>
      <c r="BE1670" s="355">
        <v>8.9859999999999995E-2</v>
      </c>
      <c r="BF1670" s="624">
        <v>40679</v>
      </c>
      <c r="BG1670" s="355">
        <v>2.2145000000000001E-2</v>
      </c>
      <c r="BH1670" s="624">
        <v>40592</v>
      </c>
      <c r="BI1670" s="355">
        <v>0.11294700000000001</v>
      </c>
      <c r="BJ1670" s="624">
        <v>40591</v>
      </c>
      <c r="BK1670" s="355">
        <v>3.2663999999999999E-2</v>
      </c>
    </row>
    <row r="1671" spans="3:63">
      <c r="C1671" s="624"/>
      <c r="D1671" s="355">
        <v>3.4270000000000002E-2</v>
      </c>
      <c r="AV1671" s="624"/>
      <c r="AX1671" s="624">
        <v>40598</v>
      </c>
      <c r="AY1671" s="355">
        <v>3.456E-2</v>
      </c>
      <c r="AZ1671" s="624">
        <v>40662</v>
      </c>
      <c r="BA1671" s="355">
        <v>1.4999999999999999E-2</v>
      </c>
      <c r="BB1671" s="624">
        <v>40595</v>
      </c>
      <c r="BC1671" s="355">
        <v>0.34689999999999999</v>
      </c>
      <c r="BD1671" s="624">
        <v>40595</v>
      </c>
      <c r="BE1671" s="355">
        <v>8.9319999999999997E-2</v>
      </c>
      <c r="BF1671" s="624">
        <v>40681</v>
      </c>
      <c r="BG1671" s="355">
        <v>2.2194999999999999E-2</v>
      </c>
      <c r="BH1671" s="624">
        <v>40595</v>
      </c>
      <c r="BI1671" s="355">
        <v>0.113068</v>
      </c>
      <c r="BJ1671" s="624">
        <v>40592</v>
      </c>
      <c r="BK1671" s="355">
        <v>3.2744000000000002E-2</v>
      </c>
    </row>
    <row r="1672" spans="3:63">
      <c r="C1672" s="624"/>
      <c r="D1672" s="355">
        <v>3.456E-2</v>
      </c>
      <c r="AV1672" s="624"/>
      <c r="AX1672" s="624">
        <v>40599</v>
      </c>
      <c r="AY1672" s="355">
        <v>3.4599999999999999E-2</v>
      </c>
      <c r="AZ1672" s="624">
        <v>40665</v>
      </c>
      <c r="BA1672" s="355">
        <v>1.49E-2</v>
      </c>
      <c r="BB1672" s="624">
        <v>40596</v>
      </c>
      <c r="BC1672" s="355">
        <v>0.34339999999999998</v>
      </c>
      <c r="BD1672" s="624">
        <v>40596</v>
      </c>
      <c r="BE1672" s="355">
        <v>8.8389999999999996E-2</v>
      </c>
      <c r="BF1672" s="624">
        <v>40682</v>
      </c>
      <c r="BG1672" s="355">
        <v>2.2231999999999998E-2</v>
      </c>
      <c r="BH1672" s="624">
        <v>40596</v>
      </c>
      <c r="BI1672" s="355">
        <v>0.112765</v>
      </c>
      <c r="BJ1672" s="624">
        <v>40595</v>
      </c>
      <c r="BK1672" s="355">
        <v>3.2754999999999999E-2</v>
      </c>
    </row>
    <row r="1673" spans="3:63">
      <c r="C1673" s="624"/>
      <c r="D1673" s="355">
        <v>3.4599999999999999E-2</v>
      </c>
      <c r="AV1673" s="624"/>
      <c r="AX1673" s="624">
        <v>40602</v>
      </c>
      <c r="AY1673" s="355">
        <v>3.4639999999999997E-2</v>
      </c>
      <c r="AZ1673" s="624">
        <v>40666</v>
      </c>
      <c r="BA1673" s="355">
        <v>1.49E-2</v>
      </c>
      <c r="BB1673" s="624">
        <v>40597</v>
      </c>
      <c r="BC1673" s="355">
        <v>0.34570000000000001</v>
      </c>
      <c r="BD1673" s="624">
        <v>40597</v>
      </c>
      <c r="BE1673" s="355">
        <v>8.8459999999999997E-2</v>
      </c>
      <c r="BF1673" s="624">
        <v>40683</v>
      </c>
      <c r="BG1673" s="355">
        <v>2.2217000000000001E-2</v>
      </c>
      <c r="BH1673" s="624">
        <v>40597</v>
      </c>
      <c r="BI1673" s="355">
        <v>0.112803</v>
      </c>
      <c r="BJ1673" s="624">
        <v>40596</v>
      </c>
      <c r="BK1673" s="355">
        <v>3.2658E-2</v>
      </c>
    </row>
    <row r="1674" spans="3:63">
      <c r="C1674" s="624"/>
      <c r="D1674" s="355">
        <v>3.4639999999999997E-2</v>
      </c>
      <c r="AV1674" s="624"/>
      <c r="AX1674" s="624">
        <v>40603</v>
      </c>
      <c r="AY1674" s="355">
        <v>3.4790000000000001E-2</v>
      </c>
      <c r="AZ1674" s="624">
        <v>40667</v>
      </c>
      <c r="BA1674" s="355">
        <v>1.4999999999999999E-2</v>
      </c>
      <c r="BB1674" s="624">
        <v>40598</v>
      </c>
      <c r="BC1674" s="355">
        <v>0.34670000000000001</v>
      </c>
      <c r="BD1674" s="624">
        <v>40598</v>
      </c>
      <c r="BE1674" s="355">
        <v>8.8590000000000002E-2</v>
      </c>
      <c r="BF1674" s="624">
        <v>40686</v>
      </c>
      <c r="BG1674" s="355">
        <v>2.2103000000000001E-2</v>
      </c>
      <c r="BH1674" s="624">
        <v>40598</v>
      </c>
      <c r="BI1674" s="355">
        <v>0.11305800000000001</v>
      </c>
      <c r="BJ1674" s="624">
        <v>40597</v>
      </c>
      <c r="BK1674" s="355">
        <v>3.2653000000000001E-2</v>
      </c>
    </row>
    <row r="1675" spans="3:63">
      <c r="C1675" s="624"/>
      <c r="D1675" s="355">
        <v>3.4790000000000001E-2</v>
      </c>
      <c r="AV1675" s="624"/>
      <c r="AX1675" s="624">
        <v>40604</v>
      </c>
      <c r="AY1675" s="355">
        <v>3.5220000000000001E-2</v>
      </c>
      <c r="AZ1675" s="624">
        <v>40668</v>
      </c>
      <c r="BA1675" s="355">
        <v>1.46E-2</v>
      </c>
      <c r="BB1675" s="624">
        <v>40599</v>
      </c>
      <c r="BC1675" s="355">
        <v>0.34539999999999998</v>
      </c>
      <c r="BD1675" s="624">
        <v>40599</v>
      </c>
      <c r="BE1675" s="355">
        <v>8.8959999999999997E-2</v>
      </c>
      <c r="BF1675" s="624">
        <v>40687</v>
      </c>
      <c r="BG1675" s="355">
        <v>2.2119E-2</v>
      </c>
      <c r="BH1675" s="624">
        <v>40599</v>
      </c>
      <c r="BI1675" s="355">
        <v>0.11333699999999999</v>
      </c>
      <c r="BJ1675" s="624">
        <v>40598</v>
      </c>
      <c r="BK1675" s="355">
        <v>3.2668999999999997E-2</v>
      </c>
    </row>
    <row r="1676" spans="3:63">
      <c r="C1676" s="624"/>
      <c r="D1676" s="355">
        <v>3.5220000000000001E-2</v>
      </c>
      <c r="AV1676" s="624"/>
      <c r="AX1676" s="624">
        <v>40605</v>
      </c>
      <c r="AY1676" s="355">
        <v>3.5499999999999997E-2</v>
      </c>
      <c r="AZ1676" s="624">
        <v>40669</v>
      </c>
      <c r="BA1676" s="355">
        <v>1.44E-2</v>
      </c>
      <c r="BB1676" s="624">
        <v>40602</v>
      </c>
      <c r="BC1676" s="355">
        <v>0.34889999999999999</v>
      </c>
      <c r="BD1676" s="624">
        <v>40602</v>
      </c>
      <c r="BE1676" s="355">
        <v>8.8859999999999995E-2</v>
      </c>
      <c r="BF1676" s="624">
        <v>40688</v>
      </c>
      <c r="BG1676" s="355">
        <v>2.2058999999999999E-2</v>
      </c>
      <c r="BH1676" s="624">
        <v>40602</v>
      </c>
      <c r="BI1676" s="355">
        <v>0.113401</v>
      </c>
      <c r="BJ1676" s="624">
        <v>40599</v>
      </c>
      <c r="BK1676" s="355">
        <v>3.2658E-2</v>
      </c>
    </row>
    <row r="1677" spans="3:63">
      <c r="C1677" s="624"/>
      <c r="D1677" s="355">
        <v>3.5499999999999997E-2</v>
      </c>
      <c r="AV1677" s="624"/>
      <c r="AX1677" s="624">
        <v>40606</v>
      </c>
      <c r="AY1677" s="355">
        <v>3.5499999999999997E-2</v>
      </c>
      <c r="AZ1677" s="624">
        <v>40672</v>
      </c>
      <c r="BA1677" s="355">
        <v>1.4500000000000001E-2</v>
      </c>
      <c r="BB1677" s="624">
        <v>40603</v>
      </c>
      <c r="BC1677" s="355">
        <v>0.3453</v>
      </c>
      <c r="BD1677" s="624">
        <v>40603</v>
      </c>
      <c r="BE1677" s="355">
        <v>8.8660000000000003E-2</v>
      </c>
      <c r="BF1677" s="624">
        <v>40689</v>
      </c>
      <c r="BG1677" s="355">
        <v>2.2072999999999999E-2</v>
      </c>
      <c r="BH1677" s="624">
        <v>40603</v>
      </c>
      <c r="BI1677" s="355">
        <v>0.113508</v>
      </c>
      <c r="BJ1677" s="624">
        <v>40602</v>
      </c>
      <c r="BK1677" s="355">
        <v>3.2636999999999999E-2</v>
      </c>
    </row>
    <row r="1678" spans="3:63">
      <c r="C1678" s="624"/>
      <c r="D1678" s="355">
        <v>3.5499999999999997E-2</v>
      </c>
      <c r="AV1678" s="624"/>
      <c r="AX1678" s="624">
        <v>40609</v>
      </c>
      <c r="AY1678" s="355">
        <v>3.5409999999999997E-2</v>
      </c>
      <c r="AZ1678" s="624">
        <v>40673</v>
      </c>
      <c r="BA1678" s="355">
        <v>1.4500000000000001E-2</v>
      </c>
      <c r="BB1678" s="624">
        <v>40604</v>
      </c>
      <c r="BC1678" s="355">
        <v>0.3488</v>
      </c>
      <c r="BD1678" s="624">
        <v>40604</v>
      </c>
      <c r="BE1678" s="355">
        <v>8.8980000000000004E-2</v>
      </c>
      <c r="BF1678" s="624">
        <v>40690</v>
      </c>
      <c r="BG1678" s="355">
        <v>2.2141000000000001E-2</v>
      </c>
      <c r="BH1678" s="624">
        <v>40604</v>
      </c>
      <c r="BI1678" s="355">
        <v>0.113508</v>
      </c>
      <c r="BJ1678" s="624">
        <v>40603</v>
      </c>
      <c r="BK1678" s="355">
        <v>3.2723000000000002E-2</v>
      </c>
    </row>
    <row r="1679" spans="3:63">
      <c r="C1679" s="624"/>
      <c r="D1679" s="355">
        <v>3.5409999999999997E-2</v>
      </c>
      <c r="AV1679" s="624"/>
      <c r="AX1679" s="624">
        <v>40610</v>
      </c>
      <c r="AY1679" s="355">
        <v>3.5360000000000003E-2</v>
      </c>
      <c r="AZ1679" s="624">
        <v>40674</v>
      </c>
      <c r="BA1679" s="355">
        <v>1.43E-2</v>
      </c>
      <c r="BB1679" s="624">
        <v>40605</v>
      </c>
      <c r="BC1679" s="355">
        <v>0.35039999999999999</v>
      </c>
      <c r="BD1679" s="624">
        <v>40605</v>
      </c>
      <c r="BE1679" s="355">
        <v>8.9599999999999999E-2</v>
      </c>
      <c r="BF1679" s="624">
        <v>40693</v>
      </c>
      <c r="BG1679" s="355">
        <v>2.2183000000000001E-2</v>
      </c>
      <c r="BH1679" s="624">
        <v>40605</v>
      </c>
      <c r="BI1679" s="355">
        <v>0.11360099999999999</v>
      </c>
      <c r="BJ1679" s="624">
        <v>40604</v>
      </c>
      <c r="BK1679" s="355">
        <v>3.2744000000000002E-2</v>
      </c>
    </row>
    <row r="1680" spans="3:63">
      <c r="C1680" s="624"/>
      <c r="D1680" s="355">
        <v>3.5360000000000003E-2</v>
      </c>
      <c r="AV1680" s="624"/>
      <c r="AX1680" s="624">
        <v>40611</v>
      </c>
      <c r="AY1680" s="355">
        <v>3.526E-2</v>
      </c>
      <c r="AZ1680" s="624">
        <v>40675</v>
      </c>
      <c r="BA1680" s="355">
        <v>1.4200000000000001E-2</v>
      </c>
      <c r="BB1680" s="624">
        <v>40606</v>
      </c>
      <c r="BC1680" s="355">
        <v>0.35139999999999999</v>
      </c>
      <c r="BD1680" s="624">
        <v>40606</v>
      </c>
      <c r="BE1680" s="355">
        <v>8.9510000000000006E-2</v>
      </c>
      <c r="BF1680" s="624">
        <v>40694</v>
      </c>
      <c r="BG1680" s="355">
        <v>2.2194999999999999E-2</v>
      </c>
      <c r="BH1680" s="624">
        <v>40606</v>
      </c>
      <c r="BI1680" s="355">
        <v>0.113856</v>
      </c>
      <c r="BJ1680" s="624">
        <v>40605</v>
      </c>
      <c r="BK1680" s="355">
        <v>3.2825E-2</v>
      </c>
    </row>
    <row r="1681" spans="3:63">
      <c r="C1681" s="624"/>
      <c r="D1681" s="355">
        <v>3.526E-2</v>
      </c>
      <c r="AV1681" s="624"/>
      <c r="AX1681" s="624">
        <v>40612</v>
      </c>
      <c r="AY1681" s="355">
        <v>3.4959999999999998E-2</v>
      </c>
      <c r="AZ1681" s="624">
        <v>40676</v>
      </c>
      <c r="BA1681" s="355">
        <v>1.4200000000000001E-2</v>
      </c>
      <c r="BB1681" s="624">
        <v>40609</v>
      </c>
      <c r="BC1681" s="355">
        <v>0.3518</v>
      </c>
      <c r="BD1681" s="624">
        <v>40609</v>
      </c>
      <c r="BE1681" s="355">
        <v>8.9370000000000005E-2</v>
      </c>
      <c r="BF1681" s="624">
        <v>40695</v>
      </c>
      <c r="BG1681" s="355">
        <v>2.2298999999999999E-2</v>
      </c>
      <c r="BH1681" s="624">
        <v>40609</v>
      </c>
      <c r="BI1681" s="355">
        <v>0.11383</v>
      </c>
      <c r="BJ1681" s="624">
        <v>40606</v>
      </c>
      <c r="BK1681" s="355">
        <v>3.2841000000000002E-2</v>
      </c>
    </row>
    <row r="1682" spans="3:63">
      <c r="C1682" s="624"/>
      <c r="D1682" s="355">
        <v>3.4959999999999998E-2</v>
      </c>
      <c r="AV1682" s="624"/>
      <c r="AX1682" s="624">
        <v>40613</v>
      </c>
      <c r="AY1682" s="355">
        <v>3.4930000000000003E-2</v>
      </c>
      <c r="AZ1682" s="624">
        <v>40679</v>
      </c>
      <c r="BA1682" s="355">
        <v>1.43E-2</v>
      </c>
      <c r="BB1682" s="624">
        <v>40610</v>
      </c>
      <c r="BC1682" s="355">
        <v>0.35020000000000001</v>
      </c>
      <c r="BD1682" s="624">
        <v>40610</v>
      </c>
      <c r="BE1682" s="355">
        <v>8.9609999999999995E-2</v>
      </c>
      <c r="BF1682" s="624">
        <v>40696</v>
      </c>
      <c r="BG1682" s="355">
        <v>2.2304000000000001E-2</v>
      </c>
      <c r="BH1682" s="624">
        <v>40610</v>
      </c>
      <c r="BI1682" s="355">
        <v>0.113843</v>
      </c>
      <c r="BJ1682" s="624">
        <v>40609</v>
      </c>
      <c r="BK1682" s="355">
        <v>3.2883999999999997E-2</v>
      </c>
    </row>
    <row r="1683" spans="3:63">
      <c r="C1683" s="624"/>
      <c r="D1683" s="355">
        <v>3.4930000000000003E-2</v>
      </c>
      <c r="AV1683" s="624"/>
      <c r="AX1683" s="624">
        <v>40616</v>
      </c>
      <c r="AY1683" s="355">
        <v>3.508E-2</v>
      </c>
      <c r="AZ1683" s="624">
        <v>40680</v>
      </c>
      <c r="BA1683" s="355">
        <v>1.4500000000000001E-2</v>
      </c>
      <c r="BB1683" s="624">
        <v>40611</v>
      </c>
      <c r="BC1683" s="355">
        <v>0.3493</v>
      </c>
      <c r="BD1683" s="624">
        <v>40611</v>
      </c>
      <c r="BE1683" s="355">
        <v>8.9590000000000003E-2</v>
      </c>
      <c r="BF1683" s="624">
        <v>40697</v>
      </c>
      <c r="BG1683" s="355">
        <v>2.2315999999999999E-2</v>
      </c>
      <c r="BH1683" s="624">
        <v>40611</v>
      </c>
      <c r="BI1683" s="355">
        <v>0.11396000000000001</v>
      </c>
      <c r="BJ1683" s="624">
        <v>40610</v>
      </c>
      <c r="BK1683" s="355">
        <v>3.2946000000000003E-2</v>
      </c>
    </row>
    <row r="1684" spans="3:63">
      <c r="C1684" s="624"/>
      <c r="D1684" s="355">
        <v>3.508E-2</v>
      </c>
      <c r="AV1684" s="624"/>
      <c r="AX1684" s="624">
        <v>40617</v>
      </c>
      <c r="AY1684" s="355">
        <v>3.4779999999999998E-2</v>
      </c>
      <c r="AZ1684" s="624">
        <v>40681</v>
      </c>
      <c r="BA1684" s="355">
        <v>1.46E-2</v>
      </c>
      <c r="BB1684" s="624">
        <v>40612</v>
      </c>
      <c r="BC1684" s="355">
        <v>0.34360000000000002</v>
      </c>
      <c r="BD1684" s="624">
        <v>40612</v>
      </c>
      <c r="BE1684" s="355">
        <v>8.8789999999999994E-2</v>
      </c>
      <c r="BF1684" s="624">
        <v>40700</v>
      </c>
      <c r="BG1684" s="355">
        <v>2.2341E-2</v>
      </c>
      <c r="BH1684" s="624">
        <v>40612</v>
      </c>
      <c r="BI1684" s="355">
        <v>0.11385199999999999</v>
      </c>
      <c r="BJ1684" s="624">
        <v>40611</v>
      </c>
      <c r="BK1684" s="355">
        <v>3.3002999999999998E-2</v>
      </c>
    </row>
    <row r="1685" spans="3:63">
      <c r="C1685" s="624"/>
      <c r="D1685" s="355">
        <v>3.4779999999999998E-2</v>
      </c>
      <c r="AV1685" s="624"/>
      <c r="AX1685" s="624">
        <v>40618</v>
      </c>
      <c r="AY1685" s="355">
        <v>3.4849999999999999E-2</v>
      </c>
      <c r="AZ1685" s="624">
        <v>40682</v>
      </c>
      <c r="BA1685" s="355">
        <v>1.4800000000000001E-2</v>
      </c>
      <c r="BB1685" s="624">
        <v>40613</v>
      </c>
      <c r="BC1685" s="355">
        <v>0.34739999999999999</v>
      </c>
      <c r="BD1685" s="624">
        <v>40613</v>
      </c>
      <c r="BE1685" s="355">
        <v>8.9020000000000002E-2</v>
      </c>
      <c r="BF1685" s="624">
        <v>40701</v>
      </c>
      <c r="BG1685" s="355">
        <v>2.2381000000000002E-2</v>
      </c>
      <c r="BH1685" s="624">
        <v>40613</v>
      </c>
      <c r="BI1685" s="355">
        <v>0.11398</v>
      </c>
      <c r="BJ1685" s="624">
        <v>40612</v>
      </c>
      <c r="BK1685" s="355">
        <v>3.2878999999999999E-2</v>
      </c>
    </row>
    <row r="1686" spans="3:63">
      <c r="C1686" s="624"/>
      <c r="D1686" s="355">
        <v>3.4849999999999999E-2</v>
      </c>
      <c r="AV1686" s="624"/>
      <c r="AX1686" s="624">
        <v>40619</v>
      </c>
      <c r="AY1686" s="355">
        <v>3.4959999999999998E-2</v>
      </c>
      <c r="AZ1686" s="624">
        <v>40683</v>
      </c>
      <c r="BA1686" s="355">
        <v>1.46E-2</v>
      </c>
      <c r="BB1686" s="624">
        <v>40616</v>
      </c>
      <c r="BC1686" s="355">
        <v>0.34739999999999999</v>
      </c>
      <c r="BD1686" s="624">
        <v>40616</v>
      </c>
      <c r="BE1686" s="355">
        <v>8.8719999999999993E-2</v>
      </c>
      <c r="BF1686" s="624">
        <v>40702</v>
      </c>
      <c r="BG1686" s="355">
        <v>2.2369E-2</v>
      </c>
      <c r="BH1686" s="624">
        <v>40616</v>
      </c>
      <c r="BI1686" s="355">
        <v>0.114286</v>
      </c>
      <c r="BJ1686" s="624">
        <v>40613</v>
      </c>
      <c r="BK1686" s="355">
        <v>3.2899999999999999E-2</v>
      </c>
    </row>
    <row r="1687" spans="3:63">
      <c r="C1687" s="624"/>
      <c r="D1687" s="355">
        <v>3.4959999999999998E-2</v>
      </c>
      <c r="AV1687" s="624"/>
      <c r="AX1687" s="624">
        <v>40620</v>
      </c>
      <c r="AY1687" s="355">
        <v>3.5180000000000003E-2</v>
      </c>
      <c r="AZ1687" s="624">
        <v>40686</v>
      </c>
      <c r="BA1687" s="355">
        <v>1.4500000000000001E-2</v>
      </c>
      <c r="BB1687" s="624">
        <v>40617</v>
      </c>
      <c r="BC1687" s="355">
        <v>0.3463</v>
      </c>
      <c r="BD1687" s="624">
        <v>40617</v>
      </c>
      <c r="BE1687" s="355">
        <v>8.7929999999999994E-2</v>
      </c>
      <c r="BF1687" s="624">
        <v>40703</v>
      </c>
      <c r="BG1687" s="355">
        <v>2.2356000000000001E-2</v>
      </c>
      <c r="BH1687" s="624">
        <v>40617</v>
      </c>
      <c r="BI1687" s="355">
        <v>0.11394700000000001</v>
      </c>
      <c r="BJ1687" s="624">
        <v>40616</v>
      </c>
      <c r="BK1687" s="355">
        <v>3.2981999999999997E-2</v>
      </c>
    </row>
    <row r="1688" spans="3:63">
      <c r="C1688" s="624"/>
      <c r="D1688" s="355">
        <v>3.5180000000000003E-2</v>
      </c>
      <c r="AV1688" s="624"/>
      <c r="AX1688" s="624">
        <v>40623</v>
      </c>
      <c r="AY1688" s="355">
        <v>3.5389999999999998E-2</v>
      </c>
      <c r="AZ1688" s="624">
        <v>40687</v>
      </c>
      <c r="BA1688" s="355">
        <v>1.4500000000000001E-2</v>
      </c>
      <c r="BB1688" s="624">
        <v>40618</v>
      </c>
      <c r="BC1688" s="355">
        <v>0.33910000000000001</v>
      </c>
      <c r="BD1688" s="624">
        <v>40618</v>
      </c>
      <c r="BE1688" s="355">
        <v>8.7809999999999999E-2</v>
      </c>
      <c r="BF1688" s="624">
        <v>40704</v>
      </c>
      <c r="BG1688" s="355">
        <v>2.2363999999999998E-2</v>
      </c>
      <c r="BH1688" s="624">
        <v>40618</v>
      </c>
      <c r="BI1688" s="355">
        <v>0.113959</v>
      </c>
      <c r="BJ1688" s="624">
        <v>40617</v>
      </c>
      <c r="BK1688" s="355">
        <v>3.2895000000000001E-2</v>
      </c>
    </row>
    <row r="1689" spans="3:63">
      <c r="C1689" s="624"/>
      <c r="D1689" s="355">
        <v>3.5389999999999998E-2</v>
      </c>
      <c r="AV1689" s="624"/>
      <c r="AX1689" s="624">
        <v>40624</v>
      </c>
      <c r="AY1689" s="355">
        <v>3.5430000000000003E-2</v>
      </c>
      <c r="AZ1689" s="624">
        <v>40688</v>
      </c>
      <c r="BA1689" s="355">
        <v>1.44E-2</v>
      </c>
      <c r="BB1689" s="624">
        <v>40619</v>
      </c>
      <c r="BC1689" s="355">
        <v>0.3448</v>
      </c>
      <c r="BD1689" s="624">
        <v>40619</v>
      </c>
      <c r="BE1689" s="355">
        <v>8.8230000000000003E-2</v>
      </c>
      <c r="BF1689" s="624">
        <v>40707</v>
      </c>
      <c r="BG1689" s="355">
        <v>2.2291999999999999E-2</v>
      </c>
      <c r="BH1689" s="624">
        <v>40619</v>
      </c>
      <c r="BI1689" s="355">
        <v>0.113895</v>
      </c>
      <c r="BJ1689" s="624">
        <v>40618</v>
      </c>
      <c r="BK1689" s="355">
        <v>3.2944000000000001E-2</v>
      </c>
    </row>
    <row r="1690" spans="3:63">
      <c r="C1690" s="624"/>
      <c r="D1690" s="355">
        <v>3.5430000000000003E-2</v>
      </c>
      <c r="AV1690" s="624"/>
      <c r="AX1690" s="624">
        <v>40625</v>
      </c>
      <c r="AY1690" s="355">
        <v>3.5249999999999997E-2</v>
      </c>
      <c r="AZ1690" s="624">
        <v>40689</v>
      </c>
      <c r="BA1690" s="355">
        <v>1.46E-2</v>
      </c>
      <c r="BB1690" s="624">
        <v>40620</v>
      </c>
      <c r="BC1690" s="355">
        <v>0.3488</v>
      </c>
      <c r="BD1690" s="624">
        <v>40620</v>
      </c>
      <c r="BE1690" s="355">
        <v>8.8919999999999999E-2</v>
      </c>
      <c r="BF1690" s="624">
        <v>40708</v>
      </c>
      <c r="BG1690" s="355">
        <v>2.2352E-2</v>
      </c>
      <c r="BH1690" s="624">
        <v>40620</v>
      </c>
      <c r="BI1690" s="355">
        <v>0.11405800000000001</v>
      </c>
      <c r="BJ1690" s="624">
        <v>40619</v>
      </c>
      <c r="BK1690" s="355">
        <v>3.2992E-2</v>
      </c>
    </row>
    <row r="1691" spans="3:63">
      <c r="C1691" s="624"/>
      <c r="D1691" s="355">
        <v>3.5249999999999997E-2</v>
      </c>
      <c r="AV1691" s="624"/>
      <c r="AX1691" s="624">
        <v>40626</v>
      </c>
      <c r="AY1691" s="355">
        <v>3.5369999999999999E-2</v>
      </c>
      <c r="AZ1691" s="624">
        <v>40690</v>
      </c>
      <c r="BA1691" s="355">
        <v>1.47E-2</v>
      </c>
      <c r="BB1691" s="624">
        <v>40623</v>
      </c>
      <c r="BC1691" s="355">
        <v>0.35320000000000001</v>
      </c>
      <c r="BD1691" s="624">
        <v>40623</v>
      </c>
      <c r="BE1691" s="355">
        <v>8.9419999999999999E-2</v>
      </c>
      <c r="BF1691" s="624">
        <v>40709</v>
      </c>
      <c r="BG1691" s="355">
        <v>2.2341E-2</v>
      </c>
      <c r="BH1691" s="624">
        <v>40623</v>
      </c>
      <c r="BI1691" s="355">
        <v>0.11483400000000001</v>
      </c>
      <c r="BJ1691" s="624">
        <v>40620</v>
      </c>
      <c r="BK1691" s="355">
        <v>3.3020000000000001E-2</v>
      </c>
    </row>
    <row r="1692" spans="3:63">
      <c r="C1692" s="624"/>
      <c r="D1692" s="355">
        <v>3.5369999999999999E-2</v>
      </c>
      <c r="AV1692" s="624"/>
      <c r="AX1692" s="624">
        <v>40627</v>
      </c>
      <c r="AY1692" s="355">
        <v>3.5270000000000003E-2</v>
      </c>
      <c r="AZ1692" s="624">
        <v>40693</v>
      </c>
      <c r="BA1692" s="355">
        <v>1.4800000000000001E-2</v>
      </c>
      <c r="BB1692" s="624">
        <v>40624</v>
      </c>
      <c r="BC1692" s="355">
        <v>0.35210000000000002</v>
      </c>
      <c r="BD1692" s="624">
        <v>40624</v>
      </c>
      <c r="BE1692" s="355">
        <v>8.9099999999999999E-2</v>
      </c>
      <c r="BF1692" s="624">
        <v>40710</v>
      </c>
      <c r="BG1692" s="355">
        <v>2.2266999999999999E-2</v>
      </c>
      <c r="BH1692" s="624">
        <v>40624</v>
      </c>
      <c r="BI1692" s="355">
        <v>0.11491</v>
      </c>
      <c r="BJ1692" s="624">
        <v>40623</v>
      </c>
      <c r="BK1692" s="355">
        <v>3.3047E-2</v>
      </c>
    </row>
    <row r="1693" spans="3:63">
      <c r="C1693" s="624"/>
      <c r="D1693" s="355">
        <v>3.5270000000000003E-2</v>
      </c>
      <c r="AV1693" s="624"/>
      <c r="AX1693" s="624">
        <v>40630</v>
      </c>
      <c r="AY1693" s="355">
        <v>3.5290000000000002E-2</v>
      </c>
      <c r="AZ1693" s="624">
        <v>40694</v>
      </c>
      <c r="BA1693" s="355">
        <v>1.49E-2</v>
      </c>
      <c r="BB1693" s="624">
        <v>40625</v>
      </c>
      <c r="BC1693" s="355">
        <v>0.34939999999999999</v>
      </c>
      <c r="BD1693" s="624">
        <v>40625</v>
      </c>
      <c r="BE1693" s="355">
        <v>8.8709999999999997E-2</v>
      </c>
      <c r="BF1693" s="624">
        <v>40711</v>
      </c>
      <c r="BG1693" s="355">
        <v>2.2284999999999999E-2</v>
      </c>
      <c r="BH1693" s="624">
        <v>40625</v>
      </c>
      <c r="BI1693" s="355">
        <v>0.114768</v>
      </c>
      <c r="BJ1693" s="624">
        <v>40624</v>
      </c>
      <c r="BK1693" s="355">
        <v>3.3101999999999999E-2</v>
      </c>
    </row>
    <row r="1694" spans="3:63">
      <c r="C1694" s="624"/>
      <c r="D1694" s="355">
        <v>3.5290000000000002E-2</v>
      </c>
      <c r="AV1694" s="624"/>
      <c r="AX1694" s="624">
        <v>40631</v>
      </c>
      <c r="AY1694" s="355">
        <v>3.526E-2</v>
      </c>
      <c r="AZ1694" s="624">
        <v>40695</v>
      </c>
      <c r="BA1694" s="355">
        <v>1.47E-2</v>
      </c>
      <c r="BB1694" s="624">
        <v>40626</v>
      </c>
      <c r="BC1694" s="355">
        <v>0.35320000000000001</v>
      </c>
      <c r="BD1694" s="624">
        <v>40626</v>
      </c>
      <c r="BE1694" s="355">
        <v>8.931E-2</v>
      </c>
      <c r="BF1694" s="624">
        <v>40714</v>
      </c>
      <c r="BG1694" s="355">
        <v>2.2217000000000001E-2</v>
      </c>
      <c r="BH1694" s="624">
        <v>40626</v>
      </c>
      <c r="BI1694" s="355">
        <v>0.11487700000000001</v>
      </c>
      <c r="BJ1694" s="624">
        <v>40625</v>
      </c>
      <c r="BK1694" s="355">
        <v>3.3047E-2</v>
      </c>
    </row>
    <row r="1695" spans="3:63">
      <c r="C1695" s="624"/>
      <c r="D1695" s="355">
        <v>3.526E-2</v>
      </c>
      <c r="AV1695" s="624"/>
      <c r="AX1695" s="624">
        <v>40632</v>
      </c>
      <c r="AY1695" s="355">
        <v>3.508E-2</v>
      </c>
      <c r="AZ1695" s="624">
        <v>40696</v>
      </c>
      <c r="BA1695" s="355">
        <v>1.49E-2</v>
      </c>
      <c r="BB1695" s="624">
        <v>40627</v>
      </c>
      <c r="BC1695" s="355">
        <v>0.35060000000000002</v>
      </c>
      <c r="BD1695" s="624">
        <v>40627</v>
      </c>
      <c r="BE1695" s="355">
        <v>9.0130000000000002E-2</v>
      </c>
      <c r="BF1695" s="624">
        <v>40715</v>
      </c>
      <c r="BG1695" s="355">
        <v>2.2297999999999998E-2</v>
      </c>
      <c r="BH1695" s="624">
        <v>40627</v>
      </c>
      <c r="BI1695" s="355">
        <v>0.114787</v>
      </c>
      <c r="BJ1695" s="624">
        <v>40626</v>
      </c>
      <c r="BK1695" s="355">
        <v>3.3047E-2</v>
      </c>
    </row>
    <row r="1696" spans="3:63">
      <c r="C1696" s="624"/>
      <c r="D1696" s="355">
        <v>3.508E-2</v>
      </c>
      <c r="AV1696" s="624"/>
      <c r="AX1696" s="624">
        <v>40633</v>
      </c>
      <c r="AY1696" s="355">
        <v>3.5229999999999997E-2</v>
      </c>
      <c r="AZ1696" s="624">
        <v>40697</v>
      </c>
      <c r="BA1696" s="355">
        <v>1.49E-2</v>
      </c>
      <c r="BB1696" s="624">
        <v>40630</v>
      </c>
      <c r="BC1696" s="355">
        <v>0.3523</v>
      </c>
      <c r="BD1696" s="624">
        <v>40630</v>
      </c>
      <c r="BE1696" s="355">
        <v>8.9819999999999997E-2</v>
      </c>
      <c r="BF1696" s="624">
        <v>40716</v>
      </c>
      <c r="BG1696" s="355">
        <v>2.2275E-2</v>
      </c>
      <c r="BH1696" s="624">
        <v>40630</v>
      </c>
      <c r="BI1696" s="355">
        <v>0.114814</v>
      </c>
      <c r="BJ1696" s="624">
        <v>40627</v>
      </c>
      <c r="BK1696" s="355">
        <v>3.3069000000000001E-2</v>
      </c>
    </row>
    <row r="1697" spans="3:63">
      <c r="C1697" s="624"/>
      <c r="D1697" s="355">
        <v>3.5229999999999997E-2</v>
      </c>
      <c r="AV1697" s="624"/>
      <c r="AX1697" s="624">
        <v>40634</v>
      </c>
      <c r="AY1697" s="355">
        <v>3.542E-2</v>
      </c>
      <c r="AZ1697" s="624">
        <v>40700</v>
      </c>
      <c r="BA1697" s="355">
        <v>1.47E-2</v>
      </c>
      <c r="BB1697" s="624">
        <v>40631</v>
      </c>
      <c r="BC1697" s="355">
        <v>0.35320000000000001</v>
      </c>
      <c r="BD1697" s="624">
        <v>40631</v>
      </c>
      <c r="BE1697" s="355">
        <v>9.0050000000000005E-2</v>
      </c>
      <c r="BF1697" s="624">
        <v>40717</v>
      </c>
      <c r="BG1697" s="355">
        <v>2.2245999999999998E-2</v>
      </c>
      <c r="BH1697" s="624">
        <v>40631</v>
      </c>
      <c r="BI1697" s="355">
        <v>0.11483699999999999</v>
      </c>
      <c r="BJ1697" s="624">
        <v>40630</v>
      </c>
      <c r="BK1697" s="355">
        <v>3.2981999999999997E-2</v>
      </c>
    </row>
    <row r="1698" spans="3:63">
      <c r="C1698" s="624"/>
      <c r="D1698" s="355">
        <v>3.542E-2</v>
      </c>
      <c r="AV1698" s="624"/>
      <c r="AX1698" s="624">
        <v>40637</v>
      </c>
      <c r="AY1698" s="355">
        <v>3.5319999999999997E-2</v>
      </c>
      <c r="AZ1698" s="624">
        <v>40701</v>
      </c>
      <c r="BA1698" s="355">
        <v>1.4800000000000001E-2</v>
      </c>
      <c r="BB1698" s="624">
        <v>40632</v>
      </c>
      <c r="BC1698" s="355">
        <v>0.3518</v>
      </c>
      <c r="BD1698" s="624">
        <v>40632</v>
      </c>
      <c r="BE1698" s="355">
        <v>9.0999999999999998E-2</v>
      </c>
      <c r="BF1698" s="624">
        <v>40718</v>
      </c>
      <c r="BG1698" s="355">
        <v>2.2225999999999999E-2</v>
      </c>
      <c r="BH1698" s="624">
        <v>40632</v>
      </c>
      <c r="BI1698" s="355">
        <v>0.114718</v>
      </c>
      <c r="BJ1698" s="624">
        <v>40631</v>
      </c>
      <c r="BK1698" s="355">
        <v>3.2987000000000002E-2</v>
      </c>
    </row>
    <row r="1699" spans="3:63">
      <c r="C1699" s="624"/>
      <c r="D1699" s="355">
        <v>3.5319999999999997E-2</v>
      </c>
      <c r="AV1699" s="624"/>
      <c r="AX1699" s="624">
        <v>40638</v>
      </c>
      <c r="AY1699" s="355">
        <v>3.5389999999999998E-2</v>
      </c>
      <c r="AZ1699" s="624">
        <v>40702</v>
      </c>
      <c r="BA1699" s="355">
        <v>1.4800000000000001E-2</v>
      </c>
      <c r="BB1699" s="624">
        <v>40633</v>
      </c>
      <c r="BC1699" s="355">
        <v>0.35170000000000001</v>
      </c>
      <c r="BD1699" s="624">
        <v>40633</v>
      </c>
      <c r="BE1699" s="355">
        <v>9.0870000000000006E-2</v>
      </c>
      <c r="BF1699" s="624">
        <v>40721</v>
      </c>
      <c r="BG1699" s="355">
        <v>2.2202E-2</v>
      </c>
      <c r="BH1699" s="624">
        <v>40633</v>
      </c>
      <c r="BI1699" s="355">
        <v>0.114844</v>
      </c>
      <c r="BJ1699" s="624">
        <v>40632</v>
      </c>
      <c r="BK1699" s="355">
        <v>3.2981999999999997E-2</v>
      </c>
    </row>
    <row r="1700" spans="3:63">
      <c r="C1700" s="624"/>
      <c r="D1700" s="355">
        <v>3.5389999999999998E-2</v>
      </c>
      <c r="AV1700" s="624"/>
      <c r="AX1700" s="624">
        <v>40639</v>
      </c>
      <c r="AY1700" s="355">
        <v>3.5560000000000001E-2</v>
      </c>
      <c r="AZ1700" s="624">
        <v>40703</v>
      </c>
      <c r="BA1700" s="355">
        <v>1.4800000000000001E-2</v>
      </c>
      <c r="BB1700" s="624">
        <v>40634</v>
      </c>
      <c r="BC1700" s="355">
        <v>0.3543</v>
      </c>
      <c r="BD1700" s="624">
        <v>40634</v>
      </c>
      <c r="BE1700" s="355">
        <v>9.2119999999999994E-2</v>
      </c>
      <c r="BF1700" s="624">
        <v>40722</v>
      </c>
      <c r="BG1700" s="355">
        <v>2.2204000000000002E-2</v>
      </c>
      <c r="BH1700" s="624">
        <v>40634</v>
      </c>
      <c r="BI1700" s="355">
        <v>0.115078</v>
      </c>
      <c r="BJ1700" s="624">
        <v>40633</v>
      </c>
      <c r="BK1700" s="355">
        <v>3.3024999999999999E-2</v>
      </c>
    </row>
    <row r="1701" spans="3:63">
      <c r="C1701" s="624"/>
      <c r="D1701" s="355">
        <v>3.5560000000000001E-2</v>
      </c>
      <c r="AV1701" s="624"/>
      <c r="AX1701" s="624">
        <v>40640</v>
      </c>
      <c r="AY1701" s="355">
        <v>3.5430000000000003E-2</v>
      </c>
      <c r="AZ1701" s="624">
        <v>40704</v>
      </c>
      <c r="BA1701" s="355">
        <v>1.47E-2</v>
      </c>
      <c r="BB1701" s="624">
        <v>40637</v>
      </c>
      <c r="BC1701" s="355">
        <v>0.35310000000000002</v>
      </c>
      <c r="BD1701" s="624">
        <v>40637</v>
      </c>
      <c r="BE1701" s="355">
        <v>9.196E-2</v>
      </c>
      <c r="BF1701" s="624">
        <v>40723</v>
      </c>
      <c r="BG1701" s="355">
        <v>2.2289E-2</v>
      </c>
      <c r="BH1701" s="624">
        <v>40637</v>
      </c>
      <c r="BI1701" s="355">
        <v>0.11541999999999999</v>
      </c>
      <c r="BJ1701" s="624">
        <v>40634</v>
      </c>
      <c r="BK1701" s="355">
        <v>3.3036000000000003E-2</v>
      </c>
    </row>
    <row r="1702" spans="3:63">
      <c r="C1702" s="624"/>
      <c r="D1702" s="355">
        <v>3.5430000000000003E-2</v>
      </c>
      <c r="AV1702" s="624"/>
      <c r="AX1702" s="624">
        <v>40641</v>
      </c>
      <c r="AY1702" s="355">
        <v>3.5720000000000002E-2</v>
      </c>
      <c r="AZ1702" s="624">
        <v>40707</v>
      </c>
      <c r="BA1702" s="355">
        <v>1.44E-2</v>
      </c>
      <c r="BB1702" s="624">
        <v>40638</v>
      </c>
      <c r="BC1702" s="355">
        <v>0.35620000000000002</v>
      </c>
      <c r="BD1702" s="624">
        <v>40638</v>
      </c>
      <c r="BE1702" s="355">
        <v>9.1910000000000006E-2</v>
      </c>
      <c r="BF1702" s="624">
        <v>40724</v>
      </c>
      <c r="BG1702" s="355">
        <v>2.2411E-2</v>
      </c>
      <c r="BH1702" s="624">
        <v>40638</v>
      </c>
      <c r="BI1702" s="355">
        <v>0.11557000000000001</v>
      </c>
      <c r="BJ1702" s="624">
        <v>40637</v>
      </c>
      <c r="BK1702" s="355">
        <v>3.3091000000000002E-2</v>
      </c>
    </row>
    <row r="1703" spans="3:63">
      <c r="C1703" s="624"/>
      <c r="D1703" s="355">
        <v>3.5720000000000002E-2</v>
      </c>
      <c r="AV1703" s="624"/>
      <c r="AX1703" s="624">
        <v>40644</v>
      </c>
      <c r="AY1703" s="355">
        <v>3.5659999999999997E-2</v>
      </c>
      <c r="AZ1703" s="624">
        <v>40708</v>
      </c>
      <c r="BA1703" s="355">
        <v>1.44E-2</v>
      </c>
      <c r="BB1703" s="624">
        <v>40639</v>
      </c>
      <c r="BC1703" s="355">
        <v>0.36080000000000001</v>
      </c>
      <c r="BD1703" s="624">
        <v>40639</v>
      </c>
      <c r="BE1703" s="355">
        <v>9.2170000000000002E-2</v>
      </c>
      <c r="BF1703" s="624">
        <v>40725</v>
      </c>
      <c r="BG1703" s="355">
        <v>2.2411E-2</v>
      </c>
      <c r="BH1703" s="624">
        <v>40639</v>
      </c>
      <c r="BI1703" s="355">
        <v>0.115604</v>
      </c>
      <c r="BJ1703" s="624">
        <v>40638</v>
      </c>
      <c r="BK1703" s="355">
        <v>3.3134999999999998E-2</v>
      </c>
    </row>
    <row r="1704" spans="3:63">
      <c r="C1704" s="624"/>
      <c r="D1704" s="355">
        <v>3.5659999999999997E-2</v>
      </c>
      <c r="AV1704" s="624"/>
      <c r="AX1704" s="624">
        <v>40645</v>
      </c>
      <c r="AY1704" s="355">
        <v>3.5529999999999999E-2</v>
      </c>
      <c r="AZ1704" s="624">
        <v>40709</v>
      </c>
      <c r="BA1704" s="355">
        <v>1.4E-2</v>
      </c>
      <c r="BB1704" s="624">
        <v>40640</v>
      </c>
      <c r="BC1704" s="355">
        <v>0.36070000000000002</v>
      </c>
      <c r="BD1704" s="624">
        <v>40640</v>
      </c>
      <c r="BE1704" s="355">
        <v>9.1899999999999996E-2</v>
      </c>
      <c r="BF1704" s="624">
        <v>40728</v>
      </c>
      <c r="BG1704" s="355">
        <v>2.2506999999999999E-2</v>
      </c>
      <c r="BH1704" s="624">
        <v>40640</v>
      </c>
      <c r="BI1704" s="355">
        <v>0.115374</v>
      </c>
      <c r="BJ1704" s="624">
        <v>40639</v>
      </c>
      <c r="BK1704" s="355">
        <v>3.3161999999999997E-2</v>
      </c>
    </row>
    <row r="1705" spans="3:63">
      <c r="C1705" s="624"/>
      <c r="D1705" s="355">
        <v>3.5529999999999999E-2</v>
      </c>
      <c r="AV1705" s="624"/>
      <c r="AX1705" s="624">
        <v>40646</v>
      </c>
      <c r="AY1705" s="355">
        <v>3.5450000000000002E-2</v>
      </c>
      <c r="AZ1705" s="624">
        <v>40710</v>
      </c>
      <c r="BA1705" s="355">
        <v>1.4E-2</v>
      </c>
      <c r="BB1705" s="624">
        <v>40641</v>
      </c>
      <c r="BC1705" s="355">
        <v>0.36570000000000003</v>
      </c>
      <c r="BD1705" s="624">
        <v>40641</v>
      </c>
      <c r="BE1705" s="355">
        <v>9.2689999999999995E-2</v>
      </c>
      <c r="BF1705" s="624">
        <v>40729</v>
      </c>
      <c r="BG1705" s="355">
        <v>2.2544999999999999E-2</v>
      </c>
      <c r="BH1705" s="624">
        <v>40641</v>
      </c>
      <c r="BI1705" s="355">
        <v>0.11561399999999999</v>
      </c>
      <c r="BJ1705" s="624">
        <v>40640</v>
      </c>
      <c r="BK1705" s="355">
        <v>3.3256000000000001E-2</v>
      </c>
    </row>
    <row r="1706" spans="3:63">
      <c r="C1706" s="624"/>
      <c r="D1706" s="355">
        <v>3.5450000000000002E-2</v>
      </c>
      <c r="AV1706" s="624"/>
      <c r="AX1706" s="624">
        <v>40647</v>
      </c>
      <c r="AY1706" s="355">
        <v>3.5459999999999998E-2</v>
      </c>
      <c r="AZ1706" s="624">
        <v>40711</v>
      </c>
      <c r="BA1706" s="355">
        <v>1.4200000000000001E-2</v>
      </c>
      <c r="BB1706" s="624">
        <v>40644</v>
      </c>
      <c r="BC1706" s="355">
        <v>0.36370000000000002</v>
      </c>
      <c r="BD1706" s="624">
        <v>40644</v>
      </c>
      <c r="BE1706" s="355">
        <v>9.1920000000000002E-2</v>
      </c>
      <c r="BF1706" s="624">
        <v>40730</v>
      </c>
      <c r="BG1706" s="355">
        <v>2.2478000000000001E-2</v>
      </c>
      <c r="BH1706" s="624">
        <v>40644</v>
      </c>
      <c r="BI1706" s="355">
        <v>0.11554</v>
      </c>
      <c r="BJ1706" s="624">
        <v>40641</v>
      </c>
      <c r="BK1706" s="355">
        <v>3.3355999999999997E-2</v>
      </c>
    </row>
    <row r="1707" spans="3:63">
      <c r="C1707" s="624"/>
      <c r="D1707" s="355">
        <v>3.5459999999999998E-2</v>
      </c>
      <c r="AV1707" s="624"/>
      <c r="AX1707" s="624">
        <v>40648</v>
      </c>
      <c r="AY1707" s="355">
        <v>3.5540000000000002E-2</v>
      </c>
      <c r="AZ1707" s="624">
        <v>40714</v>
      </c>
      <c r="BA1707" s="355">
        <v>1.43E-2</v>
      </c>
      <c r="BB1707" s="624">
        <v>40645</v>
      </c>
      <c r="BC1707" s="355">
        <v>0.3629</v>
      </c>
      <c r="BD1707" s="624">
        <v>40645</v>
      </c>
      <c r="BE1707" s="355">
        <v>9.1660000000000005E-2</v>
      </c>
      <c r="BF1707" s="624">
        <v>40731</v>
      </c>
      <c r="BG1707" s="355">
        <v>2.2506000000000002E-2</v>
      </c>
      <c r="BH1707" s="624">
        <v>40645</v>
      </c>
      <c r="BI1707" s="355">
        <v>0.11554399999999999</v>
      </c>
      <c r="BJ1707" s="624">
        <v>40644</v>
      </c>
      <c r="BK1707" s="355">
        <v>3.3211999999999998E-2</v>
      </c>
    </row>
    <row r="1708" spans="3:63">
      <c r="C1708" s="624"/>
      <c r="D1708" s="355">
        <v>3.5540000000000002E-2</v>
      </c>
      <c r="AV1708" s="624"/>
      <c r="AX1708" s="624">
        <v>40651</v>
      </c>
      <c r="AY1708" s="355">
        <v>3.5299999999999998E-2</v>
      </c>
      <c r="AZ1708" s="624">
        <v>40715</v>
      </c>
      <c r="BA1708" s="355">
        <v>1.44E-2</v>
      </c>
      <c r="BB1708" s="624">
        <v>40646</v>
      </c>
      <c r="BC1708" s="355">
        <v>0.36449999999999999</v>
      </c>
      <c r="BD1708" s="624">
        <v>40646</v>
      </c>
      <c r="BE1708" s="355">
        <v>9.1810000000000003E-2</v>
      </c>
      <c r="BF1708" s="624">
        <v>40732</v>
      </c>
      <c r="BG1708" s="355">
        <v>2.2561000000000001E-2</v>
      </c>
      <c r="BH1708" s="624">
        <v>40646</v>
      </c>
      <c r="BI1708" s="355">
        <v>0.11551400000000001</v>
      </c>
      <c r="BJ1708" s="624">
        <v>40645</v>
      </c>
      <c r="BK1708" s="355">
        <v>3.3189999999999997E-2</v>
      </c>
    </row>
    <row r="1709" spans="3:63">
      <c r="C1709" s="624"/>
      <c r="D1709" s="355">
        <v>3.5299999999999998E-2</v>
      </c>
      <c r="AV1709" s="624"/>
      <c r="AX1709" s="624">
        <v>40652</v>
      </c>
      <c r="AY1709" s="355">
        <v>3.5319999999999997E-2</v>
      </c>
      <c r="AZ1709" s="624">
        <v>40716</v>
      </c>
      <c r="BA1709" s="355">
        <v>1.4200000000000001E-2</v>
      </c>
      <c r="BB1709" s="624">
        <v>40647</v>
      </c>
      <c r="BC1709" s="355">
        <v>0.36709999999999998</v>
      </c>
      <c r="BD1709" s="624">
        <v>40647</v>
      </c>
      <c r="BE1709" s="355">
        <v>9.2109999999999997E-2</v>
      </c>
      <c r="BF1709" s="624">
        <v>40735</v>
      </c>
      <c r="BG1709" s="355">
        <v>2.2481000000000001E-2</v>
      </c>
      <c r="BH1709" s="624">
        <v>40647</v>
      </c>
      <c r="BI1709" s="355">
        <v>0.115453</v>
      </c>
      <c r="BJ1709" s="624">
        <v>40646</v>
      </c>
      <c r="BK1709" s="355">
        <v>3.3173000000000001E-2</v>
      </c>
    </row>
    <row r="1710" spans="3:63">
      <c r="C1710" s="624"/>
      <c r="D1710" s="355">
        <v>3.5319999999999997E-2</v>
      </c>
      <c r="AV1710" s="624"/>
      <c r="AX1710" s="624">
        <v>40653</v>
      </c>
      <c r="AY1710" s="355">
        <v>3.5619999999999999E-2</v>
      </c>
      <c r="AZ1710" s="624">
        <v>40717</v>
      </c>
      <c r="BA1710" s="355">
        <v>1.4200000000000001E-2</v>
      </c>
      <c r="BB1710" s="624">
        <v>40648</v>
      </c>
      <c r="BC1710" s="355">
        <v>0.36549999999999999</v>
      </c>
      <c r="BD1710" s="624">
        <v>40648</v>
      </c>
      <c r="BE1710" s="355">
        <v>9.1829999999999995E-2</v>
      </c>
      <c r="BF1710" s="624">
        <v>40736</v>
      </c>
      <c r="BG1710" s="355">
        <v>2.2366E-2</v>
      </c>
      <c r="BH1710" s="624">
        <v>40648</v>
      </c>
      <c r="BI1710" s="355">
        <v>0.11546099999999999</v>
      </c>
      <c r="BJ1710" s="624">
        <v>40647</v>
      </c>
      <c r="BK1710" s="355">
        <v>3.3205999999999999E-2</v>
      </c>
    </row>
    <row r="1711" spans="3:63">
      <c r="C1711" s="624"/>
      <c r="D1711" s="355">
        <v>3.5619999999999999E-2</v>
      </c>
      <c r="AV1711" s="624"/>
      <c r="AX1711" s="624">
        <v>40654</v>
      </c>
      <c r="AY1711" s="355">
        <v>3.5720000000000002E-2</v>
      </c>
      <c r="AZ1711" s="624">
        <v>40718</v>
      </c>
      <c r="BA1711" s="355">
        <v>1.4E-2</v>
      </c>
      <c r="BB1711" s="624">
        <v>40651</v>
      </c>
      <c r="BC1711" s="355">
        <v>0.35659999999999997</v>
      </c>
      <c r="BD1711" s="624">
        <v>40651</v>
      </c>
      <c r="BE1711" s="355">
        <v>9.171E-2</v>
      </c>
      <c r="BF1711" s="624">
        <v>40737</v>
      </c>
      <c r="BG1711" s="355">
        <v>2.2461999999999999E-2</v>
      </c>
      <c r="BH1711" s="624">
        <v>40651</v>
      </c>
      <c r="BI1711" s="355">
        <v>0.11504200000000001</v>
      </c>
      <c r="BJ1711" s="624">
        <v>40648</v>
      </c>
      <c r="BK1711" s="355">
        <v>3.3189999999999997E-2</v>
      </c>
    </row>
    <row r="1712" spans="3:63">
      <c r="C1712" s="624"/>
      <c r="D1712" s="355">
        <v>3.5720000000000002E-2</v>
      </c>
      <c r="AV1712" s="624"/>
      <c r="AX1712" s="624">
        <v>40655</v>
      </c>
      <c r="AY1712" s="355">
        <v>3.5709999999999999E-2</v>
      </c>
      <c r="AZ1712" s="624">
        <v>40721</v>
      </c>
      <c r="BA1712" s="355">
        <v>1.41E-2</v>
      </c>
      <c r="BB1712" s="624">
        <v>40652</v>
      </c>
      <c r="BC1712" s="355">
        <v>0.36130000000000001</v>
      </c>
      <c r="BD1712" s="624">
        <v>40652</v>
      </c>
      <c r="BE1712" s="355">
        <v>9.2109999999999997E-2</v>
      </c>
      <c r="BF1712" s="624">
        <v>40738</v>
      </c>
      <c r="BG1712" s="355">
        <v>2.2467999999999998E-2</v>
      </c>
      <c r="BH1712" s="624">
        <v>40652</v>
      </c>
      <c r="BI1712" s="355">
        <v>0.115247</v>
      </c>
      <c r="BJ1712" s="624">
        <v>40651</v>
      </c>
      <c r="BK1712" s="355">
        <v>3.3201000000000001E-2</v>
      </c>
    </row>
    <row r="1713" spans="3:63">
      <c r="C1713" s="624"/>
      <c r="D1713" s="355">
        <v>3.5709999999999999E-2</v>
      </c>
      <c r="AV1713" s="624"/>
      <c r="AX1713" s="624">
        <v>40658</v>
      </c>
      <c r="AY1713" s="355">
        <v>3.5889999999999998E-2</v>
      </c>
      <c r="AZ1713" s="624">
        <v>40722</v>
      </c>
      <c r="BA1713" s="355">
        <v>1.41E-2</v>
      </c>
      <c r="BB1713" s="624">
        <v>40653</v>
      </c>
      <c r="BC1713" s="355">
        <v>0.36580000000000001</v>
      </c>
      <c r="BD1713" s="624">
        <v>40653</v>
      </c>
      <c r="BE1713" s="355">
        <v>9.2869999999999994E-2</v>
      </c>
      <c r="BF1713" s="624">
        <v>40739</v>
      </c>
      <c r="BG1713" s="355">
        <v>2.2463E-2</v>
      </c>
      <c r="BH1713" s="624">
        <v>40653</v>
      </c>
      <c r="BI1713" s="355">
        <v>0.115768</v>
      </c>
      <c r="BJ1713" s="624">
        <v>40652</v>
      </c>
      <c r="BK1713" s="355">
        <v>3.3293999999999997E-2</v>
      </c>
    </row>
    <row r="1714" spans="3:63">
      <c r="C1714" s="624"/>
      <c r="D1714" s="355">
        <v>3.5889999999999998E-2</v>
      </c>
      <c r="AV1714" s="624"/>
      <c r="AX1714" s="624">
        <v>40659</v>
      </c>
      <c r="AY1714" s="355">
        <v>3.601E-2</v>
      </c>
      <c r="AZ1714" s="624">
        <v>40723</v>
      </c>
      <c r="BA1714" s="355">
        <v>1.41E-2</v>
      </c>
      <c r="BB1714" s="624">
        <v>40654</v>
      </c>
      <c r="BC1714" s="355">
        <v>0.36899999999999999</v>
      </c>
      <c r="BD1714" s="624">
        <v>40654</v>
      </c>
      <c r="BE1714" s="355">
        <v>9.2460000000000001E-2</v>
      </c>
      <c r="BF1714" s="624">
        <v>40742</v>
      </c>
      <c r="BG1714" s="355">
        <v>2.2433999999999999E-2</v>
      </c>
      <c r="BH1714" s="624">
        <v>40654</v>
      </c>
      <c r="BI1714" s="355">
        <v>0.116077</v>
      </c>
      <c r="BJ1714" s="624">
        <v>40653</v>
      </c>
      <c r="BK1714" s="355">
        <v>3.3411000000000003E-2</v>
      </c>
    </row>
    <row r="1715" spans="3:63">
      <c r="C1715" s="624"/>
      <c r="D1715" s="355">
        <v>3.601E-2</v>
      </c>
      <c r="AV1715" s="624"/>
      <c r="AX1715" s="624">
        <v>40660</v>
      </c>
      <c r="AY1715" s="355">
        <v>3.6200000000000003E-2</v>
      </c>
      <c r="AZ1715" s="624">
        <v>40724</v>
      </c>
      <c r="BA1715" s="355">
        <v>1.44E-2</v>
      </c>
      <c r="BB1715" s="624">
        <v>40655</v>
      </c>
      <c r="BC1715" s="355">
        <v>0.36859999999999998</v>
      </c>
      <c r="BD1715" s="624">
        <v>40655</v>
      </c>
      <c r="BE1715" s="355">
        <v>9.2480000000000007E-2</v>
      </c>
      <c r="BF1715" s="624">
        <v>40743</v>
      </c>
      <c r="BG1715" s="355">
        <v>2.2474000000000001E-2</v>
      </c>
      <c r="BH1715" s="624">
        <v>40655</v>
      </c>
      <c r="BI1715" s="355">
        <v>0.116009</v>
      </c>
      <c r="BJ1715" s="624">
        <v>40654</v>
      </c>
      <c r="BK1715" s="355">
        <v>3.3411000000000003E-2</v>
      </c>
    </row>
    <row r="1716" spans="3:63">
      <c r="C1716" s="624"/>
      <c r="D1716" s="355">
        <v>3.6200000000000003E-2</v>
      </c>
      <c r="AV1716" s="624"/>
      <c r="AX1716" s="624">
        <v>40661</v>
      </c>
      <c r="AY1716" s="355">
        <v>3.6360000000000003E-2</v>
      </c>
      <c r="AZ1716" s="624">
        <v>40725</v>
      </c>
      <c r="BA1716" s="355">
        <v>1.4500000000000001E-2</v>
      </c>
      <c r="BB1716" s="624">
        <v>40658</v>
      </c>
      <c r="BC1716" s="355">
        <v>0.36959999999999998</v>
      </c>
      <c r="BD1716" s="624">
        <v>40658</v>
      </c>
      <c r="BE1716" s="355">
        <v>9.2600000000000002E-2</v>
      </c>
      <c r="BF1716" s="624">
        <v>40744</v>
      </c>
      <c r="BG1716" s="355">
        <v>2.2487E-2</v>
      </c>
      <c r="BH1716" s="624">
        <v>40658</v>
      </c>
      <c r="BI1716" s="355">
        <v>0.116171</v>
      </c>
      <c r="BJ1716" s="624">
        <v>40655</v>
      </c>
      <c r="BK1716" s="355">
        <v>3.3405999999999998E-2</v>
      </c>
    </row>
    <row r="1717" spans="3:63">
      <c r="C1717" s="624"/>
      <c r="D1717" s="355">
        <v>3.6360000000000003E-2</v>
      </c>
      <c r="AV1717" s="624"/>
      <c r="AX1717" s="624">
        <v>40662</v>
      </c>
      <c r="AY1717" s="355">
        <v>3.6490000000000002E-2</v>
      </c>
      <c r="AZ1717" s="624">
        <v>40728</v>
      </c>
      <c r="BA1717" s="355">
        <v>1.4500000000000001E-2</v>
      </c>
      <c r="BB1717" s="624">
        <v>40659</v>
      </c>
      <c r="BC1717" s="355">
        <v>0.3715</v>
      </c>
      <c r="BD1717" s="624">
        <v>40659</v>
      </c>
      <c r="BE1717" s="355">
        <v>9.2399999999999996E-2</v>
      </c>
      <c r="BF1717" s="624">
        <v>40745</v>
      </c>
      <c r="BG1717" s="355">
        <v>2.2468999999999999E-2</v>
      </c>
      <c r="BH1717" s="624">
        <v>40659</v>
      </c>
      <c r="BI1717" s="355">
        <v>0.11564000000000001</v>
      </c>
      <c r="BJ1717" s="624">
        <v>40658</v>
      </c>
      <c r="BK1717" s="355">
        <v>3.3433999999999998E-2</v>
      </c>
    </row>
    <row r="1718" spans="3:63">
      <c r="C1718" s="624"/>
      <c r="D1718" s="355">
        <v>3.6490000000000002E-2</v>
      </c>
      <c r="AV1718" s="624"/>
      <c r="AX1718" s="624">
        <v>40665</v>
      </c>
      <c r="AY1718" s="355">
        <v>3.6560000000000002E-2</v>
      </c>
      <c r="AZ1718" s="624">
        <v>40729</v>
      </c>
      <c r="BA1718" s="355">
        <v>1.43E-2</v>
      </c>
      <c r="BB1718" s="624">
        <v>40660</v>
      </c>
      <c r="BC1718" s="355">
        <v>0.37680000000000002</v>
      </c>
      <c r="BD1718" s="624">
        <v>40660</v>
      </c>
      <c r="BE1718" s="355">
        <v>9.3420000000000003E-2</v>
      </c>
      <c r="BF1718" s="624">
        <v>40746</v>
      </c>
      <c r="BG1718" s="355">
        <v>2.2546E-2</v>
      </c>
      <c r="BH1718" s="624">
        <v>40660</v>
      </c>
      <c r="BI1718" s="355">
        <v>0.115942</v>
      </c>
      <c r="BJ1718" s="624">
        <v>40659</v>
      </c>
      <c r="BK1718" s="355">
        <v>3.3389000000000002E-2</v>
      </c>
    </row>
    <row r="1719" spans="3:63">
      <c r="C1719" s="624"/>
      <c r="D1719" s="355">
        <v>3.6560000000000002E-2</v>
      </c>
      <c r="AV1719" s="624"/>
      <c r="AX1719" s="624">
        <v>40666</v>
      </c>
      <c r="AY1719" s="355">
        <v>3.6560000000000002E-2</v>
      </c>
      <c r="AZ1719" s="624">
        <v>40730</v>
      </c>
      <c r="BA1719" s="355">
        <v>1.4200000000000001E-2</v>
      </c>
      <c r="BB1719" s="624">
        <v>40661</v>
      </c>
      <c r="BC1719" s="355">
        <v>0.37640000000000001</v>
      </c>
      <c r="BD1719" s="624">
        <v>40661</v>
      </c>
      <c r="BE1719" s="355">
        <v>9.3259999999999996E-2</v>
      </c>
      <c r="BF1719" s="624">
        <v>40749</v>
      </c>
      <c r="BG1719" s="355">
        <v>2.2523000000000001E-2</v>
      </c>
      <c r="BH1719" s="624">
        <v>40661</v>
      </c>
      <c r="BI1719" s="355">
        <v>0.116442</v>
      </c>
      <c r="BJ1719" s="624">
        <v>40660</v>
      </c>
      <c r="BK1719" s="355">
        <v>3.3405999999999998E-2</v>
      </c>
    </row>
    <row r="1720" spans="3:63">
      <c r="C1720" s="624"/>
      <c r="D1720" s="355">
        <v>3.6560000000000002E-2</v>
      </c>
      <c r="AV1720" s="624"/>
      <c r="AX1720" s="624">
        <v>40667</v>
      </c>
      <c r="AY1720" s="355">
        <v>3.6560000000000002E-2</v>
      </c>
      <c r="AZ1720" s="624">
        <v>40731</v>
      </c>
      <c r="BA1720" s="355">
        <v>1.43E-2</v>
      </c>
      <c r="BB1720" s="624">
        <v>40662</v>
      </c>
      <c r="BC1720" s="355">
        <v>0.37680000000000002</v>
      </c>
      <c r="BD1720" s="624">
        <v>40662</v>
      </c>
      <c r="BE1720" s="355">
        <v>9.3549999999999994E-2</v>
      </c>
      <c r="BF1720" s="624">
        <v>40750</v>
      </c>
      <c r="BG1720" s="355">
        <v>2.2634999999999999E-2</v>
      </c>
      <c r="BH1720" s="624">
        <v>40662</v>
      </c>
      <c r="BI1720" s="355">
        <v>0.116816</v>
      </c>
      <c r="BJ1720" s="624">
        <v>40661</v>
      </c>
      <c r="BK1720" s="355">
        <v>3.3456E-2</v>
      </c>
    </row>
    <row r="1721" spans="3:63">
      <c r="C1721" s="624"/>
      <c r="D1721" s="355">
        <v>3.6560000000000002E-2</v>
      </c>
      <c r="AV1721" s="624"/>
      <c r="AX1721" s="624">
        <v>40668</v>
      </c>
      <c r="AY1721" s="355">
        <v>3.5990000000000001E-2</v>
      </c>
      <c r="AZ1721" s="624">
        <v>40732</v>
      </c>
      <c r="BA1721" s="355">
        <v>1.41E-2</v>
      </c>
      <c r="BB1721" s="624">
        <v>40665</v>
      </c>
      <c r="BC1721" s="355">
        <v>0.37759999999999999</v>
      </c>
      <c r="BD1721" s="624">
        <v>40665</v>
      </c>
      <c r="BE1721" s="355">
        <v>9.3700000000000006E-2</v>
      </c>
      <c r="BF1721" s="624">
        <v>40751</v>
      </c>
      <c r="BG1721" s="355">
        <v>2.2682000000000001E-2</v>
      </c>
      <c r="BH1721" s="624">
        <v>40665</v>
      </c>
      <c r="BI1721" s="355">
        <v>0.117062</v>
      </c>
      <c r="BJ1721" s="624">
        <v>40662</v>
      </c>
      <c r="BK1721" s="355">
        <v>3.3466999999999997E-2</v>
      </c>
    </row>
    <row r="1722" spans="3:63">
      <c r="C1722" s="624"/>
      <c r="D1722" s="355">
        <v>3.5990000000000001E-2</v>
      </c>
      <c r="AV1722" s="624"/>
      <c r="AX1722" s="624">
        <v>40669</v>
      </c>
      <c r="AY1722" s="355">
        <v>3.6080000000000001E-2</v>
      </c>
      <c r="AZ1722" s="624">
        <v>40735</v>
      </c>
      <c r="BA1722" s="355">
        <v>1.3899999999999999E-2</v>
      </c>
      <c r="BB1722" s="624">
        <v>40666</v>
      </c>
      <c r="BC1722" s="355">
        <v>0.37609999999999999</v>
      </c>
      <c r="BD1722" s="624">
        <v>40666</v>
      </c>
      <c r="BE1722" s="355">
        <v>9.3179999999999999E-2</v>
      </c>
      <c r="BF1722" s="624">
        <v>40752</v>
      </c>
      <c r="BG1722" s="355">
        <v>2.2686000000000001E-2</v>
      </c>
      <c r="BH1722" s="624">
        <v>40666</v>
      </c>
      <c r="BI1722" s="355">
        <v>0.11702799999999999</v>
      </c>
      <c r="BJ1722" s="624">
        <v>40665</v>
      </c>
      <c r="BK1722" s="355">
        <v>3.3466999999999997E-2</v>
      </c>
    </row>
    <row r="1723" spans="3:63">
      <c r="C1723" s="624"/>
      <c r="D1723" s="355">
        <v>3.6080000000000001E-2</v>
      </c>
      <c r="AV1723" s="624"/>
      <c r="AX1723" s="624">
        <v>40672</v>
      </c>
      <c r="AY1723" s="355">
        <v>3.5839999999999997E-2</v>
      </c>
      <c r="AZ1723" s="624">
        <v>40736</v>
      </c>
      <c r="BA1723" s="355">
        <v>1.37E-2</v>
      </c>
      <c r="BB1723" s="624">
        <v>40667</v>
      </c>
      <c r="BC1723" s="355">
        <v>0.37519999999999998</v>
      </c>
      <c r="BD1723" s="624">
        <v>40667</v>
      </c>
      <c r="BE1723" s="355">
        <v>9.2789999999999997E-2</v>
      </c>
      <c r="BF1723" s="624">
        <v>40753</v>
      </c>
      <c r="BG1723" s="355">
        <v>2.2633E-2</v>
      </c>
      <c r="BH1723" s="624">
        <v>40667</v>
      </c>
      <c r="BI1723" s="355">
        <v>0.11695899999999999</v>
      </c>
      <c r="BJ1723" s="624">
        <v>40666</v>
      </c>
      <c r="BK1723" s="355">
        <v>3.3321999999999997E-2</v>
      </c>
    </row>
    <row r="1724" spans="3:63">
      <c r="C1724" s="624"/>
      <c r="D1724" s="355">
        <v>3.5839999999999997E-2</v>
      </c>
      <c r="AV1724" s="624"/>
      <c r="AX1724" s="624">
        <v>40673</v>
      </c>
      <c r="AY1724" s="355">
        <v>3.6089999999999997E-2</v>
      </c>
      <c r="AZ1724" s="624">
        <v>40737</v>
      </c>
      <c r="BA1724" s="355">
        <v>1.37E-2</v>
      </c>
      <c r="BB1724" s="624">
        <v>40668</v>
      </c>
      <c r="BC1724" s="355">
        <v>0.3664</v>
      </c>
      <c r="BD1724" s="624">
        <v>40668</v>
      </c>
      <c r="BE1724" s="355">
        <v>9.2329999999999995E-2</v>
      </c>
      <c r="BF1724" s="624">
        <v>40756</v>
      </c>
      <c r="BG1724" s="355">
        <v>2.2700999999999999E-2</v>
      </c>
      <c r="BH1724" s="624">
        <v>40668</v>
      </c>
      <c r="BI1724" s="355">
        <v>0.116077</v>
      </c>
      <c r="BJ1724" s="624">
        <v>40667</v>
      </c>
      <c r="BK1724" s="355">
        <v>3.3256000000000001E-2</v>
      </c>
    </row>
    <row r="1725" spans="3:63">
      <c r="C1725" s="624"/>
      <c r="D1725" s="355">
        <v>3.6089999999999997E-2</v>
      </c>
      <c r="AV1725" s="624"/>
      <c r="AX1725" s="624">
        <v>40674</v>
      </c>
      <c r="AY1725" s="355">
        <v>3.5830000000000001E-2</v>
      </c>
      <c r="AZ1725" s="624">
        <v>40738</v>
      </c>
      <c r="BA1725" s="355">
        <v>1.37E-2</v>
      </c>
      <c r="BB1725" s="624">
        <v>40669</v>
      </c>
      <c r="BC1725" s="355">
        <v>0.3629</v>
      </c>
      <c r="BD1725" s="624">
        <v>40669</v>
      </c>
      <c r="BE1725" s="355">
        <v>9.2200000000000004E-2</v>
      </c>
      <c r="BF1725" s="624">
        <v>40757</v>
      </c>
      <c r="BG1725" s="355">
        <v>2.2585000000000001E-2</v>
      </c>
      <c r="BH1725" s="624">
        <v>40669</v>
      </c>
      <c r="BI1725" s="355">
        <v>0.11658399999999999</v>
      </c>
      <c r="BJ1725" s="624">
        <v>40668</v>
      </c>
      <c r="BK1725" s="355">
        <v>3.3041000000000001E-2</v>
      </c>
    </row>
    <row r="1726" spans="3:63">
      <c r="C1726" s="624"/>
      <c r="D1726" s="355">
        <v>3.5830000000000001E-2</v>
      </c>
      <c r="AV1726" s="624"/>
      <c r="AX1726" s="624">
        <v>40675</v>
      </c>
      <c r="AY1726" s="355">
        <v>3.5810000000000002E-2</v>
      </c>
      <c r="AZ1726" s="624">
        <v>40739</v>
      </c>
      <c r="BA1726" s="355">
        <v>1.38E-2</v>
      </c>
      <c r="BB1726" s="624">
        <v>40672</v>
      </c>
      <c r="BC1726" s="355">
        <v>0.36549999999999999</v>
      </c>
      <c r="BD1726" s="624">
        <v>40672</v>
      </c>
      <c r="BE1726" s="355">
        <v>9.2609999999999998E-2</v>
      </c>
      <c r="BF1726" s="624">
        <v>40758</v>
      </c>
      <c r="BG1726" s="355">
        <v>2.2568000000000001E-2</v>
      </c>
      <c r="BH1726" s="624">
        <v>40672</v>
      </c>
      <c r="BI1726" s="355">
        <v>0.11690399999999999</v>
      </c>
      <c r="BJ1726" s="624">
        <v>40669</v>
      </c>
      <c r="BK1726" s="355">
        <v>3.3106999999999998E-2</v>
      </c>
    </row>
    <row r="1727" spans="3:63">
      <c r="C1727" s="624"/>
      <c r="D1727" s="355">
        <v>3.5810000000000002E-2</v>
      </c>
      <c r="AV1727" s="624"/>
      <c r="AX1727" s="624">
        <v>40676</v>
      </c>
      <c r="AY1727" s="355">
        <v>3.5520000000000003E-2</v>
      </c>
      <c r="AZ1727" s="624">
        <v>40742</v>
      </c>
      <c r="BA1727" s="355">
        <v>1.3599999999999999E-2</v>
      </c>
      <c r="BB1727" s="624">
        <v>40673</v>
      </c>
      <c r="BC1727" s="355">
        <v>0.36709999999999998</v>
      </c>
      <c r="BD1727" s="624">
        <v>40673</v>
      </c>
      <c r="BE1727" s="355">
        <v>9.264E-2</v>
      </c>
      <c r="BF1727" s="624">
        <v>40759</v>
      </c>
      <c r="BG1727" s="355">
        <v>2.2445E-2</v>
      </c>
      <c r="BH1727" s="624">
        <v>40673</v>
      </c>
      <c r="BI1727" s="355">
        <v>0.116894</v>
      </c>
      <c r="BJ1727" s="624">
        <v>40672</v>
      </c>
      <c r="BK1727" s="355">
        <v>3.3168000000000003E-2</v>
      </c>
    </row>
    <row r="1728" spans="3:63">
      <c r="C1728" s="624"/>
      <c r="D1728" s="355">
        <v>3.5520000000000003E-2</v>
      </c>
      <c r="AV1728" s="624"/>
      <c r="AX1728" s="624">
        <v>40679</v>
      </c>
      <c r="AY1728" s="355">
        <v>3.5520000000000003E-2</v>
      </c>
      <c r="AZ1728" s="624">
        <v>40743</v>
      </c>
      <c r="BA1728" s="355">
        <v>1.3599999999999999E-2</v>
      </c>
      <c r="BB1728" s="624">
        <v>40674</v>
      </c>
      <c r="BC1728" s="355">
        <v>0.36270000000000002</v>
      </c>
      <c r="BD1728" s="624">
        <v>40674</v>
      </c>
      <c r="BE1728" s="355">
        <v>9.2380000000000004E-2</v>
      </c>
      <c r="BF1728" s="624">
        <v>40760</v>
      </c>
      <c r="BG1728" s="355">
        <v>2.2349999999999998E-2</v>
      </c>
      <c r="BH1728" s="624">
        <v>40674</v>
      </c>
      <c r="BI1728" s="355">
        <v>0.11698600000000001</v>
      </c>
      <c r="BJ1728" s="624">
        <v>40673</v>
      </c>
      <c r="BK1728" s="355">
        <v>3.3201000000000001E-2</v>
      </c>
    </row>
    <row r="1729" spans="3:63">
      <c r="C1729" s="624"/>
      <c r="D1729" s="355">
        <v>3.5520000000000003E-2</v>
      </c>
      <c r="AV1729" s="624"/>
      <c r="AX1729" s="624">
        <v>40680</v>
      </c>
      <c r="AY1729" s="355">
        <v>3.551E-2</v>
      </c>
      <c r="AZ1729" s="624">
        <v>40744</v>
      </c>
      <c r="BA1729" s="355">
        <v>1.3599999999999999E-2</v>
      </c>
      <c r="BB1729" s="624">
        <v>40675</v>
      </c>
      <c r="BC1729" s="355">
        <v>0.36420000000000002</v>
      </c>
      <c r="BD1729" s="624">
        <v>40675</v>
      </c>
      <c r="BE1729" s="355">
        <v>9.1910000000000006E-2</v>
      </c>
      <c r="BF1729" s="624">
        <v>40763</v>
      </c>
      <c r="BG1729" s="355">
        <v>2.2235000000000001E-2</v>
      </c>
      <c r="BH1729" s="624">
        <v>40675</v>
      </c>
      <c r="BI1729" s="355">
        <v>0.11702799999999999</v>
      </c>
      <c r="BJ1729" s="624">
        <v>40674</v>
      </c>
      <c r="BK1729" s="355">
        <v>3.3124000000000001E-2</v>
      </c>
    </row>
    <row r="1730" spans="3:63">
      <c r="C1730" s="624"/>
      <c r="D1730" s="355">
        <v>3.551E-2</v>
      </c>
      <c r="AV1730" s="624"/>
      <c r="AX1730" s="624">
        <v>40681</v>
      </c>
      <c r="AY1730" s="355">
        <v>3.5749999999999997E-2</v>
      </c>
      <c r="AZ1730" s="624">
        <v>40745</v>
      </c>
      <c r="BA1730" s="355">
        <v>1.37E-2</v>
      </c>
      <c r="BB1730" s="624">
        <v>40676</v>
      </c>
      <c r="BC1730" s="355">
        <v>0.35830000000000001</v>
      </c>
      <c r="BD1730" s="624">
        <v>40676</v>
      </c>
      <c r="BE1730" s="355">
        <v>9.1810000000000003E-2</v>
      </c>
      <c r="BF1730" s="624">
        <v>40764</v>
      </c>
      <c r="BG1730" s="355">
        <v>2.2117000000000001E-2</v>
      </c>
      <c r="BH1730" s="624">
        <v>40676</v>
      </c>
      <c r="BI1730" s="355">
        <v>0.116857</v>
      </c>
      <c r="BJ1730" s="624">
        <v>40675</v>
      </c>
      <c r="BK1730" s="355">
        <v>3.3047E-2</v>
      </c>
    </row>
    <row r="1731" spans="3:63">
      <c r="C1731" s="624"/>
      <c r="D1731" s="355">
        <v>3.5749999999999997E-2</v>
      </c>
      <c r="AV1731" s="624"/>
      <c r="AX1731" s="624">
        <v>40682</v>
      </c>
      <c r="AY1731" s="355">
        <v>3.5790000000000002E-2</v>
      </c>
      <c r="AZ1731" s="624">
        <v>40746</v>
      </c>
      <c r="BA1731" s="355">
        <v>1.37E-2</v>
      </c>
      <c r="BB1731" s="624">
        <v>40679</v>
      </c>
      <c r="BC1731" s="355">
        <v>0.35980000000000001</v>
      </c>
      <c r="BD1731" s="624">
        <v>40679</v>
      </c>
      <c r="BE1731" s="355">
        <v>9.1189999999999993E-2</v>
      </c>
      <c r="BF1731" s="624">
        <v>40765</v>
      </c>
      <c r="BG1731" s="355">
        <v>2.2093000000000002E-2</v>
      </c>
      <c r="BH1731" s="624">
        <v>40679</v>
      </c>
      <c r="BI1731" s="355">
        <v>0.116645</v>
      </c>
      <c r="BJ1731" s="624">
        <v>40676</v>
      </c>
      <c r="BK1731" s="355">
        <v>3.3014000000000002E-2</v>
      </c>
    </row>
    <row r="1732" spans="3:63">
      <c r="C1732" s="624"/>
      <c r="D1732" s="355">
        <v>3.5790000000000002E-2</v>
      </c>
      <c r="AV1732" s="624"/>
      <c r="AX1732" s="624">
        <v>40683</v>
      </c>
      <c r="AY1732" s="355">
        <v>3.5490000000000001E-2</v>
      </c>
      <c r="AZ1732" s="624">
        <v>40749</v>
      </c>
      <c r="BA1732" s="355">
        <v>1.38E-2</v>
      </c>
      <c r="BB1732" s="624">
        <v>40680</v>
      </c>
      <c r="BC1732" s="355">
        <v>0.3624</v>
      </c>
      <c r="BD1732" s="624">
        <v>40680</v>
      </c>
      <c r="BE1732" s="355">
        <v>9.1649999999999995E-2</v>
      </c>
      <c r="BF1732" s="624">
        <v>40766</v>
      </c>
      <c r="BG1732" s="355">
        <v>2.2026E-2</v>
      </c>
      <c r="BH1732" s="624">
        <v>40680</v>
      </c>
      <c r="BI1732" s="355">
        <v>0.116517</v>
      </c>
      <c r="BJ1732" s="624">
        <v>40679</v>
      </c>
      <c r="BK1732" s="355">
        <v>3.2948999999999999E-2</v>
      </c>
    </row>
    <row r="1733" spans="3:63">
      <c r="C1733" s="624"/>
      <c r="D1733" s="355">
        <v>3.5490000000000001E-2</v>
      </c>
      <c r="AV1733" s="624"/>
      <c r="AX1733" s="624">
        <v>40686</v>
      </c>
      <c r="AY1733" s="355">
        <v>3.5090000000000003E-2</v>
      </c>
      <c r="AZ1733" s="624">
        <v>40750</v>
      </c>
      <c r="BA1733" s="355">
        <v>1.4E-2</v>
      </c>
      <c r="BB1733" s="624">
        <v>40681</v>
      </c>
      <c r="BC1733" s="355">
        <v>0.36399999999999999</v>
      </c>
      <c r="BD1733" s="624">
        <v>40681</v>
      </c>
      <c r="BE1733" s="355">
        <v>9.1880000000000003E-2</v>
      </c>
      <c r="BF1733" s="624">
        <v>40767</v>
      </c>
      <c r="BG1733" s="355">
        <v>2.2053E-2</v>
      </c>
      <c r="BH1733" s="624">
        <v>40681</v>
      </c>
      <c r="BI1733" s="355">
        <v>0.116823</v>
      </c>
      <c r="BJ1733" s="624">
        <v>40680</v>
      </c>
      <c r="BK1733" s="355">
        <v>3.2992E-2</v>
      </c>
    </row>
    <row r="1734" spans="3:63">
      <c r="C1734" s="624"/>
      <c r="D1734" s="355">
        <v>3.5090000000000003E-2</v>
      </c>
      <c r="AV1734" s="624"/>
      <c r="AX1734" s="624">
        <v>40687</v>
      </c>
      <c r="AY1734" s="355">
        <v>3.526E-2</v>
      </c>
      <c r="AZ1734" s="624">
        <v>40751</v>
      </c>
      <c r="BA1734" s="355">
        <v>1.4E-2</v>
      </c>
      <c r="BB1734" s="624">
        <v>40682</v>
      </c>
      <c r="BC1734" s="355">
        <v>0.36509999999999998</v>
      </c>
      <c r="BD1734" s="624">
        <v>40682</v>
      </c>
      <c r="BE1734" s="355">
        <v>9.2240000000000003E-2</v>
      </c>
      <c r="BF1734" s="624">
        <v>40771</v>
      </c>
      <c r="BG1734" s="355">
        <v>2.2034999999999999E-2</v>
      </c>
      <c r="BH1734" s="624">
        <v>40682</v>
      </c>
      <c r="BI1734" s="355">
        <v>0.116857</v>
      </c>
      <c r="BJ1734" s="624">
        <v>40681</v>
      </c>
      <c r="BK1734" s="355">
        <v>3.3024999999999999E-2</v>
      </c>
    </row>
    <row r="1735" spans="3:63">
      <c r="C1735" s="624"/>
      <c r="D1735" s="355">
        <v>3.526E-2</v>
      </c>
      <c r="AV1735" s="624"/>
      <c r="AX1735" s="624">
        <v>40688</v>
      </c>
      <c r="AY1735" s="355">
        <v>3.5189999999999999E-2</v>
      </c>
      <c r="AZ1735" s="624">
        <v>40752</v>
      </c>
      <c r="BA1735" s="355">
        <v>1.4E-2</v>
      </c>
      <c r="BB1735" s="624">
        <v>40683</v>
      </c>
      <c r="BC1735" s="355">
        <v>0.36099999999999999</v>
      </c>
      <c r="BD1735" s="624">
        <v>40683</v>
      </c>
      <c r="BE1735" s="355">
        <v>9.2299999999999993E-2</v>
      </c>
      <c r="BF1735" s="624">
        <v>40772</v>
      </c>
      <c r="BG1735" s="355">
        <v>2.2022E-2</v>
      </c>
      <c r="BH1735" s="624">
        <v>40683</v>
      </c>
      <c r="BI1735" s="355">
        <v>0.11695899999999999</v>
      </c>
      <c r="BJ1735" s="624">
        <v>40682</v>
      </c>
      <c r="BK1735" s="355">
        <v>3.3057999999999997E-2</v>
      </c>
    </row>
    <row r="1736" spans="3:63">
      <c r="C1736" s="624"/>
      <c r="D1736" s="355">
        <v>3.5189999999999999E-2</v>
      </c>
      <c r="AV1736" s="624"/>
      <c r="AX1736" s="624">
        <v>40689</v>
      </c>
      <c r="AY1736" s="355">
        <v>3.5389999999999998E-2</v>
      </c>
      <c r="AZ1736" s="624">
        <v>40753</v>
      </c>
      <c r="BA1736" s="355">
        <v>1.4E-2</v>
      </c>
      <c r="BB1736" s="624">
        <v>40686</v>
      </c>
      <c r="BC1736" s="355">
        <v>0.35580000000000001</v>
      </c>
      <c r="BD1736" s="624">
        <v>40686</v>
      </c>
      <c r="BE1736" s="355">
        <v>9.1289999999999996E-2</v>
      </c>
      <c r="BF1736" s="624">
        <v>40773</v>
      </c>
      <c r="BG1736" s="355">
        <v>2.1859E-2</v>
      </c>
      <c r="BH1736" s="624">
        <v>40686</v>
      </c>
      <c r="BI1736" s="355">
        <v>0.116448</v>
      </c>
      <c r="BJ1736" s="624">
        <v>40683</v>
      </c>
      <c r="BK1736" s="355">
        <v>3.3019E-2</v>
      </c>
    </row>
    <row r="1737" spans="3:63">
      <c r="C1737" s="624"/>
      <c r="D1737" s="355">
        <v>3.5389999999999998E-2</v>
      </c>
      <c r="AV1737" s="624"/>
      <c r="AX1737" s="624">
        <v>40690</v>
      </c>
      <c r="AY1737" s="355">
        <v>3.569E-2</v>
      </c>
      <c r="AZ1737" s="624">
        <v>40756</v>
      </c>
      <c r="BA1737" s="355">
        <v>1.4E-2</v>
      </c>
      <c r="BB1737" s="624">
        <v>40687</v>
      </c>
      <c r="BC1737" s="355">
        <v>0.35699999999999998</v>
      </c>
      <c r="BD1737" s="624">
        <v>40687</v>
      </c>
      <c r="BE1737" s="355">
        <v>9.1439999999999994E-2</v>
      </c>
      <c r="BF1737" s="624">
        <v>40777</v>
      </c>
      <c r="BG1737" s="355">
        <v>2.1897E-2</v>
      </c>
      <c r="BH1737" s="624">
        <v>40687</v>
      </c>
      <c r="BI1737" s="355">
        <v>0.11672</v>
      </c>
      <c r="BJ1737" s="624">
        <v>40686</v>
      </c>
      <c r="BK1737" s="355">
        <v>3.2926999999999998E-2</v>
      </c>
    </row>
    <row r="1738" spans="3:63">
      <c r="C1738" s="624"/>
      <c r="D1738" s="355">
        <v>3.569E-2</v>
      </c>
      <c r="AV1738" s="624"/>
      <c r="AX1738" s="624">
        <v>40693</v>
      </c>
      <c r="AY1738" s="355">
        <v>3.5610000000000003E-2</v>
      </c>
      <c r="AZ1738" s="624">
        <v>40757</v>
      </c>
      <c r="BA1738" s="355">
        <v>1.4E-2</v>
      </c>
      <c r="BB1738" s="624">
        <v>40688</v>
      </c>
      <c r="BC1738" s="355">
        <v>0.35520000000000002</v>
      </c>
      <c r="BD1738" s="624">
        <v>40688</v>
      </c>
      <c r="BE1738" s="355">
        <v>9.0660000000000004E-2</v>
      </c>
      <c r="BF1738" s="624">
        <v>40778</v>
      </c>
      <c r="BG1738" s="355">
        <v>2.1918E-2</v>
      </c>
      <c r="BH1738" s="624">
        <v>40688</v>
      </c>
      <c r="BI1738" s="355">
        <v>0.116414</v>
      </c>
      <c r="BJ1738" s="624">
        <v>40687</v>
      </c>
      <c r="BK1738" s="355">
        <v>3.2911000000000003E-2</v>
      </c>
    </row>
    <row r="1739" spans="3:63">
      <c r="C1739" s="624"/>
      <c r="D1739" s="355">
        <v>3.5610000000000003E-2</v>
      </c>
      <c r="AV1739" s="624"/>
      <c r="AX1739" s="624">
        <v>40694</v>
      </c>
      <c r="AY1739" s="355">
        <v>3.5749999999999997E-2</v>
      </c>
      <c r="AZ1739" s="624">
        <v>40758</v>
      </c>
      <c r="BA1739" s="355">
        <v>1.4E-2</v>
      </c>
      <c r="BB1739" s="624">
        <v>40689</v>
      </c>
      <c r="BC1739" s="355">
        <v>0.35499999999999998</v>
      </c>
      <c r="BD1739" s="624">
        <v>40689</v>
      </c>
      <c r="BE1739" s="355">
        <v>9.2020000000000005E-2</v>
      </c>
      <c r="BF1739" s="624">
        <v>40779</v>
      </c>
      <c r="BG1739" s="355">
        <v>2.1743999999999999E-2</v>
      </c>
      <c r="BH1739" s="624">
        <v>40689</v>
      </c>
      <c r="BI1739" s="355">
        <v>0.11651599999999999</v>
      </c>
      <c r="BJ1739" s="624">
        <v>40688</v>
      </c>
      <c r="BK1739" s="355">
        <v>3.2862000000000002E-2</v>
      </c>
    </row>
    <row r="1740" spans="3:63">
      <c r="C1740" s="624"/>
      <c r="D1740" s="355">
        <v>3.5749999999999997E-2</v>
      </c>
      <c r="AV1740" s="624"/>
      <c r="AX1740" s="624">
        <v>40695</v>
      </c>
      <c r="AY1740" s="355">
        <v>3.569E-2</v>
      </c>
      <c r="AZ1740" s="624">
        <v>40759</v>
      </c>
      <c r="BA1740" s="355">
        <v>1.38E-2</v>
      </c>
      <c r="BB1740" s="624">
        <v>40690</v>
      </c>
      <c r="BC1740" s="355">
        <v>0.36080000000000001</v>
      </c>
      <c r="BD1740" s="624">
        <v>40690</v>
      </c>
      <c r="BE1740" s="355">
        <v>9.2490000000000003E-2</v>
      </c>
      <c r="BF1740" s="624">
        <v>40780</v>
      </c>
      <c r="BG1740" s="355">
        <v>2.1715999999999999E-2</v>
      </c>
      <c r="BH1740" s="624">
        <v>40690</v>
      </c>
      <c r="BI1740" s="355">
        <v>0.11665200000000001</v>
      </c>
      <c r="BJ1740" s="624">
        <v>40689</v>
      </c>
      <c r="BK1740" s="355">
        <v>3.2883999999999997E-2</v>
      </c>
    </row>
    <row r="1741" spans="3:63">
      <c r="C1741" s="624"/>
      <c r="D1741" s="355">
        <v>3.569E-2</v>
      </c>
      <c r="AV1741" s="624"/>
      <c r="AX1741" s="624">
        <v>40696</v>
      </c>
      <c r="AY1741" s="355">
        <v>3.5880000000000002E-2</v>
      </c>
      <c r="AZ1741" s="624">
        <v>40760</v>
      </c>
      <c r="BA1741" s="355">
        <v>1.4E-2</v>
      </c>
      <c r="BB1741" s="624">
        <v>40693</v>
      </c>
      <c r="BC1741" s="355">
        <v>0.35899999999999999</v>
      </c>
      <c r="BD1741" s="624">
        <v>40693</v>
      </c>
      <c r="BE1741" s="355">
        <v>9.2609999999999998E-2</v>
      </c>
      <c r="BF1741" s="624">
        <v>40781</v>
      </c>
      <c r="BG1741" s="355">
        <v>2.1666000000000001E-2</v>
      </c>
      <c r="BH1741" s="624">
        <v>40693</v>
      </c>
      <c r="BI1741" s="355">
        <v>0.11702799999999999</v>
      </c>
      <c r="BJ1741" s="624">
        <v>40690</v>
      </c>
      <c r="BK1741" s="355">
        <v>3.2992E-2</v>
      </c>
    </row>
    <row r="1742" spans="3:63">
      <c r="C1742" s="624"/>
      <c r="D1742" s="355">
        <v>3.5880000000000002E-2</v>
      </c>
      <c r="AV1742" s="624"/>
      <c r="AX1742" s="624">
        <v>40697</v>
      </c>
      <c r="AY1742" s="355">
        <v>3.5970000000000002E-2</v>
      </c>
      <c r="AZ1742" s="624">
        <v>40763</v>
      </c>
      <c r="BA1742" s="355">
        <v>1.38E-2</v>
      </c>
      <c r="BB1742" s="624">
        <v>40694</v>
      </c>
      <c r="BC1742" s="355">
        <v>0.36459999999999998</v>
      </c>
      <c r="BD1742" s="624">
        <v>40694</v>
      </c>
      <c r="BE1742" s="355">
        <v>9.2799999999999994E-2</v>
      </c>
      <c r="BF1742" s="624">
        <v>40784</v>
      </c>
      <c r="BG1742" s="355">
        <v>2.1711000000000001E-2</v>
      </c>
      <c r="BH1742" s="624">
        <v>40694</v>
      </c>
      <c r="BI1742" s="355">
        <v>0.117062</v>
      </c>
      <c r="BJ1742" s="624">
        <v>40693</v>
      </c>
      <c r="BK1742" s="355">
        <v>3.2975999999999998E-2</v>
      </c>
    </row>
    <row r="1743" spans="3:63">
      <c r="C1743" s="624"/>
      <c r="D1743" s="355">
        <v>3.5970000000000002E-2</v>
      </c>
      <c r="AV1743" s="624"/>
      <c r="AX1743" s="624">
        <v>40700</v>
      </c>
      <c r="AY1743" s="355">
        <v>3.5900000000000001E-2</v>
      </c>
      <c r="AZ1743" s="624">
        <v>40764</v>
      </c>
      <c r="BA1743" s="355">
        <v>1.37E-2</v>
      </c>
      <c r="BB1743" s="624">
        <v>40695</v>
      </c>
      <c r="BC1743" s="355">
        <v>0.36109999999999998</v>
      </c>
      <c r="BD1743" s="624">
        <v>40695</v>
      </c>
      <c r="BE1743" s="355">
        <v>9.2460000000000001E-2</v>
      </c>
      <c r="BF1743" s="624">
        <v>40785</v>
      </c>
      <c r="BG1743" s="355">
        <v>2.1694000000000001E-2</v>
      </c>
      <c r="BH1743" s="624">
        <v>40695</v>
      </c>
      <c r="BI1743" s="355">
        <v>0.11704100000000001</v>
      </c>
      <c r="BJ1743" s="624">
        <v>40694</v>
      </c>
      <c r="BK1743" s="355">
        <v>3.2998E-2</v>
      </c>
    </row>
    <row r="1744" spans="3:63">
      <c r="C1744" s="624"/>
      <c r="D1744" s="355">
        <v>3.5900000000000001E-2</v>
      </c>
      <c r="AV1744" s="624"/>
      <c r="AX1744" s="624">
        <v>40701</v>
      </c>
      <c r="AY1744" s="355">
        <v>3.61E-2</v>
      </c>
      <c r="AZ1744" s="624">
        <v>40765</v>
      </c>
      <c r="BA1744" s="355">
        <v>1.38E-2</v>
      </c>
      <c r="BB1744" s="624">
        <v>40696</v>
      </c>
      <c r="BC1744" s="355">
        <v>0.36720000000000003</v>
      </c>
      <c r="BD1744" s="624">
        <v>40696</v>
      </c>
      <c r="BE1744" s="355">
        <v>9.2850000000000002E-2</v>
      </c>
      <c r="BF1744" s="624">
        <v>40788</v>
      </c>
      <c r="BG1744" s="355">
        <v>2.1835E-2</v>
      </c>
      <c r="BH1744" s="624">
        <v>40696</v>
      </c>
      <c r="BI1744" s="355">
        <v>0.117076</v>
      </c>
      <c r="BJ1744" s="624">
        <v>40695</v>
      </c>
      <c r="BK1744" s="355">
        <v>3.3041000000000001E-2</v>
      </c>
    </row>
    <row r="1745" spans="3:63">
      <c r="C1745" s="624"/>
      <c r="D1745" s="355">
        <v>3.61E-2</v>
      </c>
      <c r="AV1745" s="624"/>
      <c r="AX1745" s="624">
        <v>40702</v>
      </c>
      <c r="AY1745" s="355">
        <v>3.6040000000000003E-2</v>
      </c>
      <c r="AZ1745" s="624">
        <v>40766</v>
      </c>
      <c r="BA1745" s="355">
        <v>1.3899999999999999E-2</v>
      </c>
      <c r="BB1745" s="624">
        <v>40697</v>
      </c>
      <c r="BC1745" s="355">
        <v>0.36980000000000002</v>
      </c>
      <c r="BD1745" s="624">
        <v>40697</v>
      </c>
      <c r="BE1745" s="355">
        <v>9.2859999999999998E-2</v>
      </c>
      <c r="BF1745" s="624">
        <v>40791</v>
      </c>
      <c r="BG1745" s="355">
        <v>2.1741E-2</v>
      </c>
      <c r="BH1745" s="624">
        <v>40697</v>
      </c>
      <c r="BI1745" s="355">
        <v>0.11735</v>
      </c>
      <c r="BJ1745" s="624">
        <v>40696</v>
      </c>
      <c r="BK1745" s="355">
        <v>3.3014000000000002E-2</v>
      </c>
    </row>
    <row r="1746" spans="3:63">
      <c r="C1746" s="624"/>
      <c r="D1746" s="355">
        <v>3.6040000000000003E-2</v>
      </c>
      <c r="AV1746" s="624"/>
      <c r="AX1746" s="624">
        <v>40703</v>
      </c>
      <c r="AY1746" s="355">
        <v>3.601E-2</v>
      </c>
      <c r="AZ1746" s="624">
        <v>40767</v>
      </c>
      <c r="BA1746" s="355">
        <v>1.4E-2</v>
      </c>
      <c r="BB1746" s="624">
        <v>40700</v>
      </c>
      <c r="BC1746" s="355">
        <v>0.36820000000000003</v>
      </c>
      <c r="BD1746" s="624">
        <v>40700</v>
      </c>
      <c r="BE1746" s="355">
        <v>9.2490000000000003E-2</v>
      </c>
      <c r="BF1746" s="624">
        <v>40792</v>
      </c>
      <c r="BG1746" s="355">
        <v>2.1683999999999998E-2</v>
      </c>
      <c r="BH1746" s="624">
        <v>40700</v>
      </c>
      <c r="BI1746" s="355">
        <v>0.117405</v>
      </c>
      <c r="BJ1746" s="624">
        <v>40697</v>
      </c>
      <c r="BK1746" s="355">
        <v>3.3041000000000001E-2</v>
      </c>
    </row>
    <row r="1747" spans="3:63">
      <c r="C1747" s="624"/>
      <c r="D1747" s="355">
        <v>3.601E-2</v>
      </c>
      <c r="AV1747" s="624"/>
      <c r="AX1747" s="624">
        <v>40704</v>
      </c>
      <c r="AY1747" s="355">
        <v>3.5720000000000002E-2</v>
      </c>
      <c r="AZ1747" s="624">
        <v>40770</v>
      </c>
      <c r="BA1747" s="355">
        <v>1.41E-2</v>
      </c>
      <c r="BB1747" s="624">
        <v>40701</v>
      </c>
      <c r="BC1747" s="355">
        <v>0.373</v>
      </c>
      <c r="BD1747" s="624">
        <v>40701</v>
      </c>
      <c r="BE1747" s="355">
        <v>9.2509999999999995E-2</v>
      </c>
      <c r="BF1747" s="624">
        <v>40793</v>
      </c>
      <c r="BG1747" s="355">
        <v>2.1659999999999999E-2</v>
      </c>
      <c r="BH1747" s="624">
        <v>40701</v>
      </c>
      <c r="BI1747" s="355">
        <v>0.117606</v>
      </c>
      <c r="BJ1747" s="624">
        <v>40700</v>
      </c>
      <c r="BK1747" s="355">
        <v>3.2987000000000002E-2</v>
      </c>
    </row>
    <row r="1748" spans="3:63">
      <c r="C1748" s="624"/>
      <c r="D1748" s="355">
        <v>3.5720000000000002E-2</v>
      </c>
      <c r="AV1748" s="624"/>
      <c r="AX1748" s="624">
        <v>40707</v>
      </c>
      <c r="AY1748" s="355">
        <v>3.5790000000000002E-2</v>
      </c>
      <c r="AZ1748" s="624">
        <v>40771</v>
      </c>
      <c r="BA1748" s="355">
        <v>1.41E-2</v>
      </c>
      <c r="BB1748" s="624">
        <v>40702</v>
      </c>
      <c r="BC1748" s="355">
        <v>0.36909999999999998</v>
      </c>
      <c r="BD1748" s="624">
        <v>40702</v>
      </c>
      <c r="BE1748" s="355">
        <v>9.2469999999999997E-2</v>
      </c>
      <c r="BF1748" s="624">
        <v>40794</v>
      </c>
      <c r="BG1748" s="355">
        <v>2.1645999999999999E-2</v>
      </c>
      <c r="BH1748" s="624">
        <v>40702</v>
      </c>
      <c r="BI1748" s="355">
        <v>0.117474</v>
      </c>
      <c r="BJ1748" s="624">
        <v>40701</v>
      </c>
      <c r="BK1748" s="355">
        <v>3.3047E-2</v>
      </c>
    </row>
    <row r="1749" spans="3:63">
      <c r="C1749" s="624"/>
      <c r="D1749" s="355">
        <v>3.5790000000000002E-2</v>
      </c>
      <c r="AV1749" s="624"/>
      <c r="AX1749" s="624">
        <v>40708</v>
      </c>
      <c r="AY1749" s="355">
        <v>3.5860000000000003E-2</v>
      </c>
      <c r="AZ1749" s="624">
        <v>40772</v>
      </c>
      <c r="BA1749" s="355">
        <v>1.41E-2</v>
      </c>
      <c r="BB1749" s="624">
        <v>40703</v>
      </c>
      <c r="BC1749" s="355">
        <v>0.36799999999999999</v>
      </c>
      <c r="BD1749" s="624">
        <v>40703</v>
      </c>
      <c r="BE1749" s="355">
        <v>9.2319999999999999E-2</v>
      </c>
      <c r="BF1749" s="624">
        <v>40795</v>
      </c>
      <c r="BG1749" s="355">
        <v>2.1474E-2</v>
      </c>
      <c r="BH1749" s="624">
        <v>40703</v>
      </c>
      <c r="BI1749" s="355">
        <v>0.117323</v>
      </c>
      <c r="BJ1749" s="624">
        <v>40702</v>
      </c>
      <c r="BK1749" s="355">
        <v>3.2905999999999998E-2</v>
      </c>
    </row>
    <row r="1750" spans="3:63">
      <c r="C1750" s="624"/>
      <c r="D1750" s="355">
        <v>3.5860000000000003E-2</v>
      </c>
      <c r="AV1750" s="624"/>
      <c r="AX1750" s="624">
        <v>40709</v>
      </c>
      <c r="AY1750" s="355">
        <v>3.5529999999999999E-2</v>
      </c>
      <c r="AZ1750" s="624">
        <v>40773</v>
      </c>
      <c r="BA1750" s="355">
        <v>1.4E-2</v>
      </c>
      <c r="BB1750" s="624">
        <v>40704</v>
      </c>
      <c r="BC1750" s="355">
        <v>0.36420000000000002</v>
      </c>
      <c r="BD1750" s="624">
        <v>40704</v>
      </c>
      <c r="BE1750" s="355">
        <v>9.1999999999999998E-2</v>
      </c>
      <c r="BF1750" s="624">
        <v>40798</v>
      </c>
      <c r="BG1750" s="355">
        <v>2.1173999999999998E-2</v>
      </c>
      <c r="BH1750" s="624">
        <v>40704</v>
      </c>
      <c r="BI1750" s="355">
        <v>0.117233</v>
      </c>
      <c r="BJ1750" s="624">
        <v>40703</v>
      </c>
      <c r="BK1750" s="355">
        <v>3.2872999999999999E-2</v>
      </c>
    </row>
    <row r="1751" spans="3:63">
      <c r="C1751" s="624"/>
      <c r="D1751" s="355">
        <v>3.5529999999999999E-2</v>
      </c>
      <c r="AV1751" s="624"/>
      <c r="AX1751" s="624">
        <v>40710</v>
      </c>
      <c r="AY1751" s="355">
        <v>3.5549999999999998E-2</v>
      </c>
      <c r="AZ1751" s="624">
        <v>40774</v>
      </c>
      <c r="BA1751" s="355">
        <v>1.4E-2</v>
      </c>
      <c r="BB1751" s="624">
        <v>40707</v>
      </c>
      <c r="BC1751" s="355">
        <v>0.36649999999999999</v>
      </c>
      <c r="BD1751" s="624">
        <v>40707</v>
      </c>
      <c r="BE1751" s="355">
        <v>9.2179999999999998E-2</v>
      </c>
      <c r="BF1751" s="624">
        <v>40799</v>
      </c>
      <c r="BG1751" s="355">
        <v>2.1013E-2</v>
      </c>
      <c r="BH1751" s="624">
        <v>40707</v>
      </c>
      <c r="BI1751" s="355">
        <v>0.11698</v>
      </c>
      <c r="BJ1751" s="624">
        <v>40704</v>
      </c>
      <c r="BK1751" s="355">
        <v>3.2851999999999999E-2</v>
      </c>
    </row>
    <row r="1752" spans="3:63">
      <c r="C1752" s="624"/>
      <c r="D1752" s="355">
        <v>3.5549999999999998E-2</v>
      </c>
      <c r="AV1752" s="624"/>
      <c r="AX1752" s="624">
        <v>40711</v>
      </c>
      <c r="AY1752" s="355">
        <v>3.5680000000000003E-2</v>
      </c>
      <c r="AZ1752" s="624">
        <v>40777</v>
      </c>
      <c r="BA1752" s="355">
        <v>1.4200000000000001E-2</v>
      </c>
      <c r="BB1752" s="624">
        <v>40708</v>
      </c>
      <c r="BC1752" s="355">
        <v>0.36709999999999998</v>
      </c>
      <c r="BD1752" s="624">
        <v>40708</v>
      </c>
      <c r="BE1752" s="355">
        <v>9.2319999999999999E-2</v>
      </c>
      <c r="BF1752" s="624">
        <v>40800</v>
      </c>
      <c r="BG1752" s="355">
        <v>2.0986000000000001E-2</v>
      </c>
      <c r="BH1752" s="624">
        <v>40708</v>
      </c>
      <c r="BI1752" s="355">
        <v>0.117233</v>
      </c>
      <c r="BJ1752" s="624">
        <v>40707</v>
      </c>
      <c r="BK1752" s="355">
        <v>3.2819000000000001E-2</v>
      </c>
    </row>
    <row r="1753" spans="3:63">
      <c r="C1753" s="624"/>
      <c r="D1753" s="355">
        <v>3.5680000000000003E-2</v>
      </c>
      <c r="AV1753" s="624"/>
      <c r="AX1753" s="624">
        <v>40714</v>
      </c>
      <c r="AY1753" s="355">
        <v>3.56E-2</v>
      </c>
      <c r="AZ1753" s="624">
        <v>40778</v>
      </c>
      <c r="BA1753" s="355">
        <v>1.41E-2</v>
      </c>
      <c r="BB1753" s="624">
        <v>40709</v>
      </c>
      <c r="BC1753" s="355">
        <v>0.3594</v>
      </c>
      <c r="BD1753" s="624">
        <v>40709</v>
      </c>
      <c r="BE1753" s="355">
        <v>9.1999999999999998E-2</v>
      </c>
      <c r="BF1753" s="624">
        <v>40801</v>
      </c>
      <c r="BG1753" s="355">
        <v>2.1028000000000002E-2</v>
      </c>
      <c r="BH1753" s="624">
        <v>40709</v>
      </c>
      <c r="BI1753" s="355">
        <v>0.116993</v>
      </c>
      <c r="BJ1753" s="624">
        <v>40708</v>
      </c>
      <c r="BK1753" s="355">
        <v>3.2837999999999999E-2</v>
      </c>
    </row>
    <row r="1754" spans="3:63">
      <c r="C1754" s="624"/>
      <c r="D1754" s="355">
        <v>3.56E-2</v>
      </c>
      <c r="AV1754" s="624"/>
      <c r="AX1754" s="624">
        <v>40715</v>
      </c>
      <c r="AY1754" s="355">
        <v>3.585E-2</v>
      </c>
      <c r="AZ1754" s="624">
        <v>40779</v>
      </c>
      <c r="BA1754" s="355">
        <v>1.41E-2</v>
      </c>
      <c r="BB1754" s="624">
        <v>40710</v>
      </c>
      <c r="BC1754" s="355">
        <v>0.35670000000000002</v>
      </c>
      <c r="BD1754" s="624">
        <v>40710</v>
      </c>
      <c r="BE1754" s="355">
        <v>9.1770000000000004E-2</v>
      </c>
      <c r="BF1754" s="624">
        <v>40802</v>
      </c>
      <c r="BG1754" s="355">
        <v>2.1158E-2</v>
      </c>
      <c r="BH1754" s="624">
        <v>40710</v>
      </c>
      <c r="BI1754" s="355">
        <v>0.116178</v>
      </c>
      <c r="BJ1754" s="624">
        <v>40709</v>
      </c>
      <c r="BK1754" s="355">
        <v>3.2742E-2</v>
      </c>
    </row>
    <row r="1755" spans="3:63">
      <c r="C1755" s="624"/>
      <c r="D1755" s="355">
        <v>3.585E-2</v>
      </c>
      <c r="AV1755" s="624"/>
      <c r="AX1755" s="624">
        <v>40716</v>
      </c>
      <c r="AY1755" s="355">
        <v>3.5770000000000003E-2</v>
      </c>
      <c r="AZ1755" s="624">
        <v>40780</v>
      </c>
      <c r="BA1755" s="355">
        <v>1.41E-2</v>
      </c>
      <c r="BB1755" s="624">
        <v>40711</v>
      </c>
      <c r="BC1755" s="355">
        <v>0.36020000000000002</v>
      </c>
      <c r="BD1755" s="624">
        <v>40711</v>
      </c>
      <c r="BE1755" s="355">
        <v>9.1999999999999998E-2</v>
      </c>
      <c r="BF1755" s="624">
        <v>40805</v>
      </c>
      <c r="BG1755" s="355">
        <v>2.0915E-2</v>
      </c>
      <c r="BH1755" s="624">
        <v>40711</v>
      </c>
      <c r="BI1755" s="355">
        <v>0.116428</v>
      </c>
      <c r="BJ1755" s="624">
        <v>40710</v>
      </c>
      <c r="BK1755" s="355">
        <v>3.2627000000000003E-2</v>
      </c>
    </row>
    <row r="1756" spans="3:63">
      <c r="C1756" s="624"/>
      <c r="D1756" s="355">
        <v>3.5770000000000003E-2</v>
      </c>
      <c r="AV1756" s="624"/>
      <c r="AX1756" s="624">
        <v>40717</v>
      </c>
      <c r="AY1756" s="355">
        <v>3.5409999999999997E-2</v>
      </c>
      <c r="AZ1756" s="624">
        <v>40781</v>
      </c>
      <c r="BA1756" s="355">
        <v>1.4200000000000001E-2</v>
      </c>
      <c r="BB1756" s="624">
        <v>40714</v>
      </c>
      <c r="BC1756" s="355">
        <v>0.35859999999999997</v>
      </c>
      <c r="BD1756" s="624">
        <v>40714</v>
      </c>
      <c r="BE1756" s="355">
        <v>9.2219999999999996E-2</v>
      </c>
      <c r="BF1756" s="624">
        <v>40806</v>
      </c>
      <c r="BG1756" s="355">
        <v>2.0809000000000001E-2</v>
      </c>
      <c r="BH1756" s="624">
        <v>40714</v>
      </c>
      <c r="BI1756" s="355">
        <v>0.11604299999999999</v>
      </c>
      <c r="BJ1756" s="624">
        <v>40711</v>
      </c>
      <c r="BK1756" s="355">
        <v>3.2754999999999999E-2</v>
      </c>
    </row>
    <row r="1757" spans="3:63">
      <c r="C1757" s="624"/>
      <c r="D1757" s="355">
        <v>3.5409999999999997E-2</v>
      </c>
      <c r="AV1757" s="624"/>
      <c r="AX1757" s="624">
        <v>40718</v>
      </c>
      <c r="AY1757" s="355">
        <v>3.5400000000000001E-2</v>
      </c>
      <c r="AZ1757" s="624">
        <v>40784</v>
      </c>
      <c r="BA1757" s="355">
        <v>1.43E-2</v>
      </c>
      <c r="BB1757" s="624">
        <v>40715</v>
      </c>
      <c r="BC1757" s="355">
        <v>0.36209999999999998</v>
      </c>
      <c r="BD1757" s="624">
        <v>40715</v>
      </c>
      <c r="BE1757" s="355">
        <v>9.2869999999999994E-2</v>
      </c>
      <c r="BF1757" s="624">
        <v>40807</v>
      </c>
      <c r="BG1757" s="355">
        <v>2.0691000000000001E-2</v>
      </c>
      <c r="BH1757" s="624">
        <v>40715</v>
      </c>
      <c r="BI1757" s="355">
        <v>0.116245</v>
      </c>
      <c r="BJ1757" s="624">
        <v>40714</v>
      </c>
      <c r="BK1757" s="355">
        <v>3.2723000000000002E-2</v>
      </c>
    </row>
    <row r="1758" spans="3:63">
      <c r="C1758" s="624"/>
      <c r="D1758" s="355">
        <v>3.5400000000000001E-2</v>
      </c>
      <c r="AV1758" s="624"/>
      <c r="AX1758" s="624">
        <v>40721</v>
      </c>
      <c r="AY1758" s="355">
        <v>3.5479999999999998E-2</v>
      </c>
      <c r="AZ1758" s="624">
        <v>40785</v>
      </c>
      <c r="BA1758" s="355">
        <v>1.4200000000000001E-2</v>
      </c>
      <c r="BB1758" s="624">
        <v>40716</v>
      </c>
      <c r="BC1758" s="355">
        <v>0.3604</v>
      </c>
      <c r="BD1758" s="624">
        <v>40716</v>
      </c>
      <c r="BE1758" s="355">
        <v>9.2740000000000003E-2</v>
      </c>
      <c r="BF1758" s="624">
        <v>40808</v>
      </c>
      <c r="BG1758" s="355">
        <v>2.0168999999999999E-2</v>
      </c>
      <c r="BH1758" s="624">
        <v>40716</v>
      </c>
      <c r="BI1758" s="355">
        <v>0.11655</v>
      </c>
      <c r="BJ1758" s="624">
        <v>40715</v>
      </c>
      <c r="BK1758" s="355">
        <v>3.2771000000000002E-2</v>
      </c>
    </row>
    <row r="1759" spans="3:63">
      <c r="C1759" s="624"/>
      <c r="D1759" s="355">
        <v>3.5479999999999998E-2</v>
      </c>
      <c r="AV1759" s="624"/>
      <c r="AX1759" s="624">
        <v>40722</v>
      </c>
      <c r="AY1759" s="355">
        <v>3.5569999999999997E-2</v>
      </c>
      <c r="AZ1759" s="624">
        <v>40786</v>
      </c>
      <c r="BA1759" s="355">
        <v>1.4200000000000001E-2</v>
      </c>
      <c r="BB1759" s="624">
        <v>40717</v>
      </c>
      <c r="BC1759" s="355">
        <v>0.35709999999999997</v>
      </c>
      <c r="BD1759" s="624">
        <v>40717</v>
      </c>
      <c r="BE1759" s="355">
        <v>9.2859999999999998E-2</v>
      </c>
      <c r="BF1759" s="624">
        <v>40809</v>
      </c>
      <c r="BG1759" s="355">
        <v>2.0227999999999999E-2</v>
      </c>
      <c r="BH1759" s="624">
        <v>40717</v>
      </c>
      <c r="BI1759" s="355">
        <v>0.116245</v>
      </c>
      <c r="BJ1759" s="624">
        <v>40716</v>
      </c>
      <c r="BK1759" s="355">
        <v>3.2835000000000003E-2</v>
      </c>
    </row>
    <row r="1760" spans="3:63">
      <c r="C1760" s="624"/>
      <c r="D1760" s="355">
        <v>3.5569999999999997E-2</v>
      </c>
      <c r="AV1760" s="624"/>
      <c r="AX1760" s="624">
        <v>40723</v>
      </c>
      <c r="AY1760" s="355">
        <v>3.5790000000000002E-2</v>
      </c>
      <c r="AZ1760" s="624">
        <v>40787</v>
      </c>
      <c r="BA1760" s="355">
        <v>1.4200000000000001E-2</v>
      </c>
      <c r="BB1760" s="624">
        <v>40718</v>
      </c>
      <c r="BC1760" s="355">
        <v>0.35580000000000001</v>
      </c>
      <c r="BD1760" s="624">
        <v>40718</v>
      </c>
      <c r="BE1760" s="355">
        <v>9.2649999999999996E-2</v>
      </c>
      <c r="BF1760" s="624">
        <v>40812</v>
      </c>
      <c r="BG1760" s="355">
        <v>2.0219000000000001E-2</v>
      </c>
      <c r="BH1760" s="624">
        <v>40718</v>
      </c>
      <c r="BI1760" s="355">
        <v>0.116198</v>
      </c>
      <c r="BJ1760" s="624">
        <v>40717</v>
      </c>
      <c r="BK1760" s="355">
        <v>3.2680000000000001E-2</v>
      </c>
    </row>
    <row r="1761" spans="3:63">
      <c r="C1761" s="624"/>
      <c r="D1761" s="355">
        <v>3.5790000000000002E-2</v>
      </c>
      <c r="AV1761" s="624"/>
      <c r="AX1761" s="624">
        <v>40724</v>
      </c>
      <c r="AY1761" s="355">
        <v>3.5869999999999999E-2</v>
      </c>
      <c r="AZ1761" s="624">
        <v>40788</v>
      </c>
      <c r="BA1761" s="355">
        <v>1.41E-2</v>
      </c>
      <c r="BB1761" s="624">
        <v>40721</v>
      </c>
      <c r="BC1761" s="355">
        <v>0.35730000000000001</v>
      </c>
      <c r="BD1761" s="624">
        <v>40721</v>
      </c>
      <c r="BE1761" s="355">
        <v>9.214E-2</v>
      </c>
      <c r="BF1761" s="624">
        <v>40813</v>
      </c>
      <c r="BG1761" s="355">
        <v>2.0382000000000001E-2</v>
      </c>
      <c r="BH1761" s="624">
        <v>40721</v>
      </c>
      <c r="BI1761" s="355">
        <v>0.115969</v>
      </c>
      <c r="BJ1761" s="624">
        <v>40718</v>
      </c>
      <c r="BK1761" s="355">
        <v>3.2594999999999999E-2</v>
      </c>
    </row>
    <row r="1762" spans="3:63">
      <c r="C1762" s="624"/>
      <c r="D1762" s="355">
        <v>3.5869999999999999E-2</v>
      </c>
      <c r="AV1762" s="624"/>
      <c r="AX1762" s="624">
        <v>40725</v>
      </c>
      <c r="AY1762" s="355">
        <v>3.5979999999999998E-2</v>
      </c>
      <c r="AZ1762" s="624">
        <v>40791</v>
      </c>
      <c r="BA1762" s="355">
        <v>1.3899999999999999E-2</v>
      </c>
      <c r="BB1762" s="624">
        <v>40722</v>
      </c>
      <c r="BC1762" s="355">
        <v>0.35830000000000001</v>
      </c>
      <c r="BD1762" s="624">
        <v>40722</v>
      </c>
      <c r="BE1762" s="355">
        <v>9.2549999999999993E-2</v>
      </c>
      <c r="BF1762" s="624">
        <v>40814</v>
      </c>
      <c r="BG1762" s="355">
        <v>2.051E-2</v>
      </c>
      <c r="BH1762" s="624">
        <v>40722</v>
      </c>
      <c r="BI1762" s="355">
        <v>0.116198</v>
      </c>
      <c r="BJ1762" s="624">
        <v>40721</v>
      </c>
      <c r="BK1762" s="355">
        <v>3.2405000000000003E-2</v>
      </c>
    </row>
    <row r="1763" spans="3:63">
      <c r="C1763" s="624"/>
      <c r="D1763" s="355">
        <v>3.5979999999999998E-2</v>
      </c>
      <c r="AV1763" s="624"/>
      <c r="AX1763" s="624">
        <v>40728</v>
      </c>
      <c r="AY1763" s="355">
        <v>3.5959999999999999E-2</v>
      </c>
      <c r="AZ1763" s="624">
        <v>40792</v>
      </c>
      <c r="BA1763" s="355">
        <v>1.37E-2</v>
      </c>
      <c r="BB1763" s="624">
        <v>40723</v>
      </c>
      <c r="BC1763" s="355">
        <v>0.36209999999999998</v>
      </c>
      <c r="BD1763" s="624">
        <v>40723</v>
      </c>
      <c r="BE1763" s="355">
        <v>9.3189999999999995E-2</v>
      </c>
      <c r="BF1763" s="624">
        <v>40815</v>
      </c>
      <c r="BG1763" s="355">
        <v>2.0427000000000001E-2</v>
      </c>
      <c r="BH1763" s="624">
        <v>40723</v>
      </c>
      <c r="BI1763" s="355">
        <v>0.116245</v>
      </c>
      <c r="BJ1763" s="624">
        <v>40722</v>
      </c>
      <c r="BK1763" s="355">
        <v>3.2273999999999997E-2</v>
      </c>
    </row>
    <row r="1764" spans="3:63">
      <c r="C1764" s="624"/>
      <c r="D1764" s="355">
        <v>3.5959999999999999E-2</v>
      </c>
      <c r="AV1764" s="624"/>
      <c r="AX1764" s="624">
        <v>40729</v>
      </c>
      <c r="AY1764" s="355">
        <v>3.585E-2</v>
      </c>
      <c r="AZ1764" s="624">
        <v>40793</v>
      </c>
      <c r="BA1764" s="355">
        <v>1.4E-2</v>
      </c>
      <c r="BB1764" s="624">
        <v>40724</v>
      </c>
      <c r="BC1764" s="355">
        <v>0.36459999999999998</v>
      </c>
      <c r="BD1764" s="624">
        <v>40724</v>
      </c>
      <c r="BE1764" s="355">
        <v>9.3590000000000007E-2</v>
      </c>
      <c r="BF1764" s="624">
        <v>40819</v>
      </c>
      <c r="BG1764" s="355">
        <v>2.0344000000000001E-2</v>
      </c>
      <c r="BH1764" s="624">
        <v>40724</v>
      </c>
      <c r="BI1764" s="355">
        <v>0.11659799999999999</v>
      </c>
      <c r="BJ1764" s="624">
        <v>40723</v>
      </c>
      <c r="BK1764" s="355">
        <v>3.2467999999999997E-2</v>
      </c>
    </row>
    <row r="1765" spans="3:63">
      <c r="C1765" s="624"/>
      <c r="D1765" s="355">
        <v>3.585E-2</v>
      </c>
      <c r="AV1765" s="624"/>
      <c r="AX1765" s="624">
        <v>40730</v>
      </c>
      <c r="AY1765" s="355">
        <v>3.5729999999999998E-2</v>
      </c>
      <c r="AZ1765" s="624">
        <v>40794</v>
      </c>
      <c r="BA1765" s="355">
        <v>1.37E-2</v>
      </c>
      <c r="BB1765" s="624">
        <v>40725</v>
      </c>
      <c r="BC1765" s="355">
        <v>0.36840000000000001</v>
      </c>
      <c r="BD1765" s="624">
        <v>40725</v>
      </c>
      <c r="BE1765" s="355">
        <v>9.3859999999999999E-2</v>
      </c>
      <c r="BF1765" s="624">
        <v>40820</v>
      </c>
      <c r="BG1765" s="355">
        <v>2.0237000000000002E-2</v>
      </c>
      <c r="BH1765" s="624">
        <v>40725</v>
      </c>
      <c r="BI1765" s="355">
        <v>0.11711299999999999</v>
      </c>
      <c r="BJ1765" s="624">
        <v>40724</v>
      </c>
      <c r="BK1765" s="355">
        <v>3.2551999999999998E-2</v>
      </c>
    </row>
    <row r="1766" spans="3:63">
      <c r="C1766" s="624"/>
      <c r="D1766" s="355">
        <v>3.5729999999999998E-2</v>
      </c>
      <c r="AV1766" s="624"/>
      <c r="AX1766" s="624">
        <v>40731</v>
      </c>
      <c r="AY1766" s="355">
        <v>3.5880000000000002E-2</v>
      </c>
      <c r="AZ1766" s="624">
        <v>40795</v>
      </c>
      <c r="BA1766" s="355">
        <v>1.35E-2</v>
      </c>
      <c r="BB1766" s="624">
        <v>40728</v>
      </c>
      <c r="BC1766" s="355">
        <v>0.36930000000000002</v>
      </c>
      <c r="BD1766" s="624">
        <v>40728</v>
      </c>
      <c r="BE1766" s="355">
        <v>9.4170000000000004E-2</v>
      </c>
      <c r="BF1766" s="624">
        <v>40821</v>
      </c>
      <c r="BG1766" s="355">
        <v>2.0264000000000001E-2</v>
      </c>
      <c r="BH1766" s="624">
        <v>40728</v>
      </c>
      <c r="BI1766" s="355">
        <v>0.117336</v>
      </c>
      <c r="BJ1766" s="624">
        <v>40725</v>
      </c>
      <c r="BK1766" s="355">
        <v>3.2547E-2</v>
      </c>
    </row>
    <row r="1767" spans="3:63">
      <c r="C1767" s="624"/>
      <c r="D1767" s="355">
        <v>3.5880000000000002E-2</v>
      </c>
      <c r="AV1767" s="624"/>
      <c r="AX1767" s="624">
        <v>40732</v>
      </c>
      <c r="AY1767" s="355">
        <v>3.569E-2</v>
      </c>
      <c r="AZ1767" s="624">
        <v>40798</v>
      </c>
      <c r="BA1767" s="355">
        <v>1.3599999999999999E-2</v>
      </c>
      <c r="BB1767" s="624">
        <v>40729</v>
      </c>
      <c r="BC1767" s="355">
        <v>0.36520000000000002</v>
      </c>
      <c r="BD1767" s="624">
        <v>40729</v>
      </c>
      <c r="BE1767" s="355">
        <v>9.3679999999999999E-2</v>
      </c>
      <c r="BF1767" s="624">
        <v>40823</v>
      </c>
      <c r="BG1767" s="355">
        <v>2.0343E-2</v>
      </c>
      <c r="BH1767" s="624">
        <v>40729</v>
      </c>
      <c r="BI1767" s="355">
        <v>0.117199</v>
      </c>
      <c r="BJ1767" s="624">
        <v>40728</v>
      </c>
      <c r="BK1767" s="355">
        <v>3.2851999999999999E-2</v>
      </c>
    </row>
    <row r="1768" spans="3:63">
      <c r="C1768" s="624"/>
      <c r="D1768" s="355">
        <v>3.569E-2</v>
      </c>
      <c r="AV1768" s="624"/>
      <c r="AX1768" s="624">
        <v>40735</v>
      </c>
      <c r="AY1768" s="355">
        <v>3.5360000000000003E-2</v>
      </c>
      <c r="AZ1768" s="624">
        <v>40799</v>
      </c>
      <c r="BA1768" s="355">
        <v>1.3599999999999999E-2</v>
      </c>
      <c r="BB1768" s="624">
        <v>40730</v>
      </c>
      <c r="BC1768" s="355">
        <v>0.36230000000000001</v>
      </c>
      <c r="BD1768" s="624">
        <v>40730</v>
      </c>
      <c r="BE1768" s="355">
        <v>9.3710000000000002E-2</v>
      </c>
      <c r="BF1768" s="624">
        <v>40826</v>
      </c>
      <c r="BG1768" s="355">
        <v>2.0419E-2</v>
      </c>
      <c r="BH1768" s="624">
        <v>40730</v>
      </c>
      <c r="BI1768" s="355">
        <v>0.116976</v>
      </c>
      <c r="BJ1768" s="624">
        <v>40729</v>
      </c>
      <c r="BK1768" s="355">
        <v>3.2798000000000001E-2</v>
      </c>
    </row>
    <row r="1769" spans="3:63">
      <c r="C1769" s="624"/>
      <c r="D1769" s="355">
        <v>3.5360000000000003E-2</v>
      </c>
      <c r="AV1769" s="624"/>
      <c r="AX1769" s="624">
        <v>40736</v>
      </c>
      <c r="AY1769" s="355">
        <v>3.5299999999999998E-2</v>
      </c>
      <c r="AZ1769" s="624">
        <v>40800</v>
      </c>
      <c r="BA1769" s="355">
        <v>1.3599999999999999E-2</v>
      </c>
      <c r="BB1769" s="624">
        <v>40731</v>
      </c>
      <c r="BC1769" s="355">
        <v>0.3654</v>
      </c>
      <c r="BD1769" s="624">
        <v>40731</v>
      </c>
      <c r="BE1769" s="355">
        <v>9.4009999999999996E-2</v>
      </c>
      <c r="BF1769" s="624">
        <v>40827</v>
      </c>
      <c r="BG1769" s="355">
        <v>2.0271000000000001E-2</v>
      </c>
      <c r="BH1769" s="624">
        <v>40731</v>
      </c>
      <c r="BI1769" s="355">
        <v>0.117062</v>
      </c>
      <c r="BJ1769" s="624">
        <v>40730</v>
      </c>
      <c r="BK1769" s="355">
        <v>3.2829999999999998E-2</v>
      </c>
    </row>
    <row r="1770" spans="3:63">
      <c r="C1770" s="624"/>
      <c r="D1770" s="355">
        <v>3.5299999999999998E-2</v>
      </c>
      <c r="AV1770" s="624"/>
      <c r="AX1770" s="624">
        <v>40737</v>
      </c>
      <c r="AY1770" s="355">
        <v>3.5700000000000003E-2</v>
      </c>
      <c r="AZ1770" s="624">
        <v>40801</v>
      </c>
      <c r="BA1770" s="355">
        <v>1.38E-2</v>
      </c>
      <c r="BB1770" s="624">
        <v>40732</v>
      </c>
      <c r="BC1770" s="355">
        <v>0.36130000000000001</v>
      </c>
      <c r="BD1770" s="624">
        <v>40732</v>
      </c>
      <c r="BE1770" s="355">
        <v>9.4649999999999998E-2</v>
      </c>
      <c r="BF1770" s="624">
        <v>40828</v>
      </c>
      <c r="BG1770" s="355">
        <v>2.0424000000000001E-2</v>
      </c>
      <c r="BH1770" s="624">
        <v>40732</v>
      </c>
      <c r="BI1770" s="355">
        <v>0.117405</v>
      </c>
      <c r="BJ1770" s="624">
        <v>40731</v>
      </c>
      <c r="BK1770" s="355">
        <v>3.2987000000000002E-2</v>
      </c>
    </row>
    <row r="1771" spans="3:63">
      <c r="C1771" s="624"/>
      <c r="D1771" s="355">
        <v>3.5700000000000003E-2</v>
      </c>
      <c r="AV1771" s="624"/>
      <c r="AX1771" s="624">
        <v>40738</v>
      </c>
      <c r="AY1771" s="355">
        <v>3.5520000000000003E-2</v>
      </c>
      <c r="AZ1771" s="624">
        <v>40802</v>
      </c>
      <c r="BA1771" s="355">
        <v>1.37E-2</v>
      </c>
      <c r="BB1771" s="624">
        <v>40735</v>
      </c>
      <c r="BC1771" s="355">
        <v>0.35070000000000001</v>
      </c>
      <c r="BD1771" s="624">
        <v>40735</v>
      </c>
      <c r="BE1771" s="355">
        <v>9.4530000000000003E-2</v>
      </c>
      <c r="BF1771" s="624">
        <v>40829</v>
      </c>
      <c r="BG1771" s="355">
        <v>2.0354000000000001E-2</v>
      </c>
      <c r="BH1771" s="624">
        <v>40735</v>
      </c>
      <c r="BI1771" s="355">
        <v>0.117147</v>
      </c>
      <c r="BJ1771" s="624">
        <v>40732</v>
      </c>
      <c r="BK1771" s="355">
        <v>3.3091000000000002E-2</v>
      </c>
    </row>
    <row r="1772" spans="3:63">
      <c r="C1772" s="624"/>
      <c r="D1772" s="355">
        <v>3.5520000000000003E-2</v>
      </c>
      <c r="AV1772" s="624"/>
      <c r="AX1772" s="624">
        <v>40739</v>
      </c>
      <c r="AY1772" s="355">
        <v>3.5659999999999997E-2</v>
      </c>
      <c r="AZ1772" s="624">
        <v>40805</v>
      </c>
      <c r="BA1772" s="355">
        <v>1.3599999999999999E-2</v>
      </c>
      <c r="BB1772" s="624">
        <v>40736</v>
      </c>
      <c r="BC1772" s="355">
        <v>0.34620000000000001</v>
      </c>
      <c r="BD1772" s="624">
        <v>40736</v>
      </c>
      <c r="BE1772" s="355">
        <v>9.3630000000000005E-2</v>
      </c>
      <c r="BF1772" s="624">
        <v>40830</v>
      </c>
      <c r="BG1772" s="355">
        <v>2.0399E-2</v>
      </c>
      <c r="BH1772" s="624">
        <v>40736</v>
      </c>
      <c r="BI1772" s="355">
        <v>0.11658399999999999</v>
      </c>
      <c r="BJ1772" s="624">
        <v>40735</v>
      </c>
      <c r="BK1772" s="355">
        <v>3.2975999999999998E-2</v>
      </c>
    </row>
    <row r="1773" spans="3:63">
      <c r="C1773" s="624"/>
      <c r="D1773" s="355">
        <v>3.5659999999999997E-2</v>
      </c>
      <c r="AV1773" s="624"/>
      <c r="AX1773" s="624">
        <v>40742</v>
      </c>
      <c r="AY1773" s="355">
        <v>3.5529999999999999E-2</v>
      </c>
      <c r="AZ1773" s="624">
        <v>40806</v>
      </c>
      <c r="BA1773" s="355">
        <v>1.35E-2</v>
      </c>
      <c r="BB1773" s="624">
        <v>40737</v>
      </c>
      <c r="BC1773" s="355">
        <v>0.3528</v>
      </c>
      <c r="BD1773" s="624">
        <v>40737</v>
      </c>
      <c r="BE1773" s="355">
        <v>9.4640000000000002E-2</v>
      </c>
      <c r="BF1773" s="624">
        <v>40833</v>
      </c>
      <c r="BG1773" s="355">
        <v>2.0428000000000002E-2</v>
      </c>
      <c r="BH1773" s="624">
        <v>40737</v>
      </c>
      <c r="BI1773" s="355">
        <v>0.117123</v>
      </c>
      <c r="BJ1773" s="624">
        <v>40736</v>
      </c>
      <c r="BK1773" s="355">
        <v>3.2960000000000003E-2</v>
      </c>
    </row>
    <row r="1774" spans="3:63">
      <c r="C1774" s="624"/>
      <c r="D1774" s="355">
        <v>3.5529999999999999E-2</v>
      </c>
      <c r="AV1774" s="624"/>
      <c r="AX1774" s="624">
        <v>40743</v>
      </c>
      <c r="AY1774" s="355">
        <v>3.5630000000000002E-2</v>
      </c>
      <c r="AZ1774" s="624">
        <v>40807</v>
      </c>
      <c r="BA1774" s="355">
        <v>1.34E-2</v>
      </c>
      <c r="BB1774" s="624">
        <v>40738</v>
      </c>
      <c r="BC1774" s="355">
        <v>0.35110000000000002</v>
      </c>
      <c r="BD1774" s="624">
        <v>40738</v>
      </c>
      <c r="BE1774" s="355">
        <v>9.4469999999999998E-2</v>
      </c>
      <c r="BF1774" s="624">
        <v>40834</v>
      </c>
      <c r="BG1774" s="355">
        <v>2.0286999999999999E-2</v>
      </c>
      <c r="BH1774" s="624">
        <v>40738</v>
      </c>
      <c r="BI1774" s="355">
        <v>0.11725099999999999</v>
      </c>
      <c r="BJ1774" s="624">
        <v>40737</v>
      </c>
      <c r="BK1774" s="355">
        <v>3.3217000000000003E-2</v>
      </c>
    </row>
    <row r="1775" spans="3:63">
      <c r="C1775" s="624"/>
      <c r="D1775" s="355">
        <v>3.5630000000000002E-2</v>
      </c>
      <c r="AV1775" s="624"/>
      <c r="AX1775" s="624">
        <v>40744</v>
      </c>
      <c r="AY1775" s="355">
        <v>3.5740000000000001E-2</v>
      </c>
      <c r="AZ1775" s="624">
        <v>40808</v>
      </c>
      <c r="BA1775" s="355">
        <v>1.32E-2</v>
      </c>
      <c r="BB1775" s="624">
        <v>40739</v>
      </c>
      <c r="BC1775" s="355">
        <v>0.35270000000000001</v>
      </c>
      <c r="BD1775" s="624">
        <v>40739</v>
      </c>
      <c r="BE1775" s="355">
        <v>9.4539999999999999E-2</v>
      </c>
      <c r="BF1775" s="624">
        <v>40835</v>
      </c>
      <c r="BG1775" s="355">
        <v>2.0341999999999999E-2</v>
      </c>
      <c r="BH1775" s="624">
        <v>40739</v>
      </c>
      <c r="BI1775" s="355">
        <v>0.117062</v>
      </c>
      <c r="BJ1775" s="624">
        <v>40738</v>
      </c>
      <c r="BK1775" s="355">
        <v>3.3260999999999999E-2</v>
      </c>
    </row>
    <row r="1776" spans="3:63">
      <c r="C1776" s="624"/>
      <c r="D1776" s="355">
        <v>3.5740000000000001E-2</v>
      </c>
      <c r="AV1776" s="624"/>
      <c r="AX1776" s="624">
        <v>40745</v>
      </c>
      <c r="AY1776" s="355">
        <v>3.6130000000000002E-2</v>
      </c>
      <c r="AZ1776" s="624">
        <v>40809</v>
      </c>
      <c r="BA1776" s="355">
        <v>1.32E-2</v>
      </c>
      <c r="BB1776" s="624">
        <v>40742</v>
      </c>
      <c r="BC1776" s="355">
        <v>0.35</v>
      </c>
      <c r="BD1776" s="624">
        <v>40742</v>
      </c>
      <c r="BE1776" s="355">
        <v>9.461E-2</v>
      </c>
      <c r="BF1776" s="624">
        <v>40836</v>
      </c>
      <c r="BG1776" s="355">
        <v>2.0077999999999999E-2</v>
      </c>
      <c r="BH1776" s="624">
        <v>40742</v>
      </c>
      <c r="BI1776" s="355">
        <v>0.116857</v>
      </c>
      <c r="BJ1776" s="624">
        <v>40739</v>
      </c>
      <c r="BK1776" s="355">
        <v>3.3272000000000003E-2</v>
      </c>
    </row>
    <row r="1777" spans="3:63">
      <c r="C1777" s="624"/>
      <c r="D1777" s="355">
        <v>3.6130000000000002E-2</v>
      </c>
      <c r="AV1777" s="624"/>
      <c r="AX1777" s="624">
        <v>40746</v>
      </c>
      <c r="AY1777" s="355">
        <v>3.601E-2</v>
      </c>
      <c r="AZ1777" s="624">
        <v>40812</v>
      </c>
      <c r="BA1777" s="355">
        <v>1.3299999999999999E-2</v>
      </c>
      <c r="BB1777" s="624">
        <v>40743</v>
      </c>
      <c r="BC1777" s="355">
        <v>0.35260000000000002</v>
      </c>
      <c r="BD1777" s="624">
        <v>40743</v>
      </c>
      <c r="BE1777" s="355">
        <v>9.4829999999999998E-2</v>
      </c>
      <c r="BF1777" s="624">
        <v>40837</v>
      </c>
      <c r="BG1777" s="355">
        <v>1.9990000000000001E-2</v>
      </c>
      <c r="BH1777" s="624">
        <v>40743</v>
      </c>
      <c r="BI1777" s="355">
        <v>0.116993</v>
      </c>
      <c r="BJ1777" s="624">
        <v>40742</v>
      </c>
      <c r="BK1777" s="355">
        <v>3.3333000000000002E-2</v>
      </c>
    </row>
    <row r="1778" spans="3:63">
      <c r="C1778" s="624"/>
      <c r="D1778" s="355">
        <v>3.601E-2</v>
      </c>
      <c r="AV1778" s="624"/>
      <c r="AX1778" s="624">
        <v>40749</v>
      </c>
      <c r="AY1778" s="355">
        <v>3.6110000000000003E-2</v>
      </c>
      <c r="AZ1778" s="624">
        <v>40813</v>
      </c>
      <c r="BA1778" s="355">
        <v>1.34E-2</v>
      </c>
      <c r="BB1778" s="624">
        <v>40744</v>
      </c>
      <c r="BC1778" s="355">
        <v>0.35589999999999999</v>
      </c>
      <c r="BD1778" s="624">
        <v>40744</v>
      </c>
      <c r="BE1778" s="355">
        <v>9.4899999999999998E-2</v>
      </c>
      <c r="BF1778" s="624">
        <v>40840</v>
      </c>
      <c r="BG1778" s="355">
        <v>2.0067999999999999E-2</v>
      </c>
      <c r="BH1778" s="624">
        <v>40744</v>
      </c>
      <c r="BI1778" s="355">
        <v>0.11711000000000001</v>
      </c>
      <c r="BJ1778" s="624">
        <v>40743</v>
      </c>
      <c r="BK1778" s="355">
        <v>3.3439000000000003E-2</v>
      </c>
    </row>
    <row r="1779" spans="3:63">
      <c r="C1779" s="624"/>
      <c r="D1779" s="355">
        <v>3.6110000000000003E-2</v>
      </c>
      <c r="AV1779" s="624"/>
      <c r="AX1779" s="624">
        <v>40750</v>
      </c>
      <c r="AY1779" s="355">
        <v>3.6360000000000003E-2</v>
      </c>
      <c r="AZ1779" s="624">
        <v>40814</v>
      </c>
      <c r="BA1779" s="355">
        <v>1.3299999999999999E-2</v>
      </c>
      <c r="BB1779" s="624">
        <v>40745</v>
      </c>
      <c r="BC1779" s="355">
        <v>0.36259999999999998</v>
      </c>
      <c r="BD1779" s="624">
        <v>40745</v>
      </c>
      <c r="BE1779" s="355">
        <v>9.5149999999999998E-2</v>
      </c>
      <c r="BF1779" s="624">
        <v>40841</v>
      </c>
      <c r="BG1779" s="355">
        <v>2.0195999999999999E-2</v>
      </c>
      <c r="BH1779" s="624">
        <v>40745</v>
      </c>
      <c r="BI1779" s="355">
        <v>0.11709600000000001</v>
      </c>
      <c r="BJ1779" s="624">
        <v>40744</v>
      </c>
      <c r="BK1779" s="355">
        <v>3.3456E-2</v>
      </c>
    </row>
    <row r="1780" spans="3:63">
      <c r="C1780" s="624"/>
      <c r="D1780" s="355">
        <v>3.6360000000000003E-2</v>
      </c>
      <c r="AV1780" s="624"/>
      <c r="AX1780" s="624">
        <v>40751</v>
      </c>
      <c r="AY1780" s="355">
        <v>3.6269999999999997E-2</v>
      </c>
      <c r="AZ1780" s="624">
        <v>40815</v>
      </c>
      <c r="BA1780" s="355">
        <v>1.34E-2</v>
      </c>
      <c r="BB1780" s="624">
        <v>40746</v>
      </c>
      <c r="BC1780" s="355">
        <v>0.36020000000000002</v>
      </c>
      <c r="BD1780" s="624">
        <v>40746</v>
      </c>
      <c r="BE1780" s="355">
        <v>9.5079999999999998E-2</v>
      </c>
      <c r="BF1780" s="624">
        <v>40844</v>
      </c>
      <c r="BG1780" s="355">
        <v>2.0507999999999998E-2</v>
      </c>
      <c r="BH1780" s="624">
        <v>40746</v>
      </c>
      <c r="BI1780" s="355">
        <v>0.117509</v>
      </c>
      <c r="BJ1780" s="624">
        <v>40745</v>
      </c>
      <c r="BK1780" s="355">
        <v>3.3529000000000003E-2</v>
      </c>
    </row>
    <row r="1781" spans="3:63">
      <c r="C1781" s="624"/>
      <c r="D1781" s="355">
        <v>3.6269999999999997E-2</v>
      </c>
      <c r="AV1781" s="624"/>
      <c r="AX1781" s="624">
        <v>40752</v>
      </c>
      <c r="AY1781" s="355">
        <v>3.6269999999999997E-2</v>
      </c>
      <c r="AZ1781" s="624">
        <v>40816</v>
      </c>
      <c r="BA1781" s="355">
        <v>1.32E-2</v>
      </c>
      <c r="BB1781" s="624">
        <v>40749</v>
      </c>
      <c r="BC1781" s="355">
        <v>0.35849999999999999</v>
      </c>
      <c r="BD1781" s="624">
        <v>40749</v>
      </c>
      <c r="BE1781" s="355">
        <v>9.4829999999999998E-2</v>
      </c>
      <c r="BF1781" s="624">
        <v>40847</v>
      </c>
      <c r="BG1781" s="355">
        <v>2.0539999999999999E-2</v>
      </c>
      <c r="BH1781" s="624">
        <v>40749</v>
      </c>
      <c r="BI1781" s="355">
        <v>0.11726399999999999</v>
      </c>
      <c r="BJ1781" s="624">
        <v>40746</v>
      </c>
      <c r="BK1781" s="355">
        <v>3.3574E-2</v>
      </c>
    </row>
    <row r="1782" spans="3:63">
      <c r="C1782" s="624"/>
      <c r="D1782" s="355">
        <v>3.6269999999999997E-2</v>
      </c>
      <c r="AV1782" s="624"/>
      <c r="AX1782" s="624">
        <v>40753</v>
      </c>
      <c r="AY1782" s="355">
        <v>3.6229999999999998E-2</v>
      </c>
      <c r="AZ1782" s="624">
        <v>40819</v>
      </c>
      <c r="BA1782" s="355">
        <v>1.2999999999999999E-2</v>
      </c>
      <c r="BB1782" s="624">
        <v>40750</v>
      </c>
      <c r="BC1782" s="355">
        <v>0.36280000000000001</v>
      </c>
      <c r="BD1782" s="624">
        <v>40750</v>
      </c>
      <c r="BE1782" s="355">
        <v>9.5329999999999998E-2</v>
      </c>
      <c r="BF1782" s="624">
        <v>40848</v>
      </c>
      <c r="BG1782" s="355">
        <v>2.0295000000000001E-2</v>
      </c>
      <c r="BH1782" s="624">
        <v>40750</v>
      </c>
      <c r="BI1782" s="355">
        <v>0.11754299999999999</v>
      </c>
      <c r="BJ1782" s="624">
        <v>40749</v>
      </c>
      <c r="BK1782" s="355">
        <v>3.363E-2</v>
      </c>
    </row>
    <row r="1783" spans="3:63">
      <c r="C1783" s="624"/>
      <c r="D1783" s="355">
        <v>3.6229999999999998E-2</v>
      </c>
      <c r="AV1783" s="624"/>
      <c r="AX1783" s="624">
        <v>40756</v>
      </c>
      <c r="AY1783" s="355">
        <v>3.6020000000000003E-2</v>
      </c>
      <c r="AZ1783" s="624">
        <v>40820</v>
      </c>
      <c r="BA1783" s="355">
        <v>1.3100000000000001E-2</v>
      </c>
      <c r="BB1783" s="624">
        <v>40751</v>
      </c>
      <c r="BC1783" s="355">
        <v>0.35670000000000002</v>
      </c>
      <c r="BD1783" s="624">
        <v>40751</v>
      </c>
      <c r="BE1783" s="355">
        <v>9.4890000000000002E-2</v>
      </c>
      <c r="BF1783" s="624">
        <v>40849</v>
      </c>
      <c r="BG1783" s="355">
        <v>2.0330999999999998E-2</v>
      </c>
      <c r="BH1783" s="624">
        <v>40751</v>
      </c>
      <c r="BI1783" s="355">
        <v>0.11788999999999999</v>
      </c>
      <c r="BJ1783" s="624">
        <v>40750</v>
      </c>
      <c r="BK1783" s="355">
        <v>3.3693000000000001E-2</v>
      </c>
    </row>
    <row r="1784" spans="3:63">
      <c r="C1784" s="624"/>
      <c r="D1784" s="355">
        <v>3.6020000000000003E-2</v>
      </c>
      <c r="AV1784" s="624"/>
      <c r="AX1784" s="624">
        <v>40757</v>
      </c>
      <c r="AY1784" s="355">
        <v>3.594E-2</v>
      </c>
      <c r="AZ1784" s="624">
        <v>40821</v>
      </c>
      <c r="BA1784" s="355">
        <v>1.3100000000000001E-2</v>
      </c>
      <c r="BB1784" s="624">
        <v>40752</v>
      </c>
      <c r="BC1784" s="355">
        <v>0.35730000000000001</v>
      </c>
      <c r="BD1784" s="624">
        <v>40752</v>
      </c>
      <c r="BE1784" s="355">
        <v>9.5219999999999999E-2</v>
      </c>
      <c r="BF1784" s="624">
        <v>40850</v>
      </c>
      <c r="BG1784" s="355">
        <v>2.0348999999999999E-2</v>
      </c>
      <c r="BH1784" s="624">
        <v>40752</v>
      </c>
      <c r="BI1784" s="355">
        <v>0.117585</v>
      </c>
      <c r="BJ1784" s="624">
        <v>40751</v>
      </c>
      <c r="BK1784" s="355">
        <v>3.3607999999999999E-2</v>
      </c>
    </row>
    <row r="1785" spans="3:63">
      <c r="C1785" s="624"/>
      <c r="D1785" s="355">
        <v>3.594E-2</v>
      </c>
      <c r="AV1785" s="624"/>
      <c r="AX1785" s="624">
        <v>40758</v>
      </c>
      <c r="AY1785" s="355">
        <v>3.5900000000000001E-2</v>
      </c>
      <c r="AZ1785" s="624">
        <v>40822</v>
      </c>
      <c r="BA1785" s="355">
        <v>1.32E-2</v>
      </c>
      <c r="BB1785" s="624">
        <v>40753</v>
      </c>
      <c r="BC1785" s="355">
        <v>0.36020000000000002</v>
      </c>
      <c r="BD1785" s="624">
        <v>40753</v>
      </c>
      <c r="BE1785" s="355">
        <v>9.4920000000000004E-2</v>
      </c>
      <c r="BF1785" s="624">
        <v>40851</v>
      </c>
      <c r="BG1785" s="355">
        <v>2.0362000000000002E-2</v>
      </c>
      <c r="BH1785" s="624">
        <v>40753</v>
      </c>
      <c r="BI1785" s="355">
        <v>0.11757099999999999</v>
      </c>
      <c r="BJ1785" s="624">
        <v>40752</v>
      </c>
      <c r="BK1785" s="355">
        <v>3.3675999999999998E-2</v>
      </c>
    </row>
    <row r="1786" spans="3:63">
      <c r="C1786" s="624"/>
      <c r="D1786" s="355">
        <v>3.5900000000000001E-2</v>
      </c>
      <c r="AV1786" s="624"/>
      <c r="AX1786" s="624">
        <v>40759</v>
      </c>
      <c r="AY1786" s="355">
        <v>3.551E-2</v>
      </c>
      <c r="AZ1786" s="624">
        <v>40823</v>
      </c>
      <c r="BA1786" s="355">
        <v>1.32E-2</v>
      </c>
      <c r="BB1786" s="624">
        <v>40756</v>
      </c>
      <c r="BC1786" s="355">
        <v>0.35670000000000002</v>
      </c>
      <c r="BD1786" s="624">
        <v>40756</v>
      </c>
      <c r="BE1786" s="355">
        <v>9.5369999999999996E-2</v>
      </c>
      <c r="BF1786" s="624">
        <v>40855</v>
      </c>
      <c r="BG1786" s="355">
        <v>2.0222E-2</v>
      </c>
      <c r="BH1786" s="624">
        <v>40756</v>
      </c>
      <c r="BI1786" s="355">
        <v>0.118154</v>
      </c>
      <c r="BJ1786" s="624">
        <v>40753</v>
      </c>
      <c r="BK1786" s="355">
        <v>3.3607999999999999E-2</v>
      </c>
    </row>
    <row r="1787" spans="3:63">
      <c r="C1787" s="624"/>
      <c r="D1787" s="355">
        <v>3.551E-2</v>
      </c>
      <c r="AV1787" s="624"/>
      <c r="AX1787" s="624">
        <v>40760</v>
      </c>
      <c r="AY1787" s="355">
        <v>3.5499999999999997E-2</v>
      </c>
      <c r="AZ1787" s="624">
        <v>40826</v>
      </c>
      <c r="BA1787" s="355">
        <v>1.35E-2</v>
      </c>
      <c r="BB1787" s="624">
        <v>40757</v>
      </c>
      <c r="BC1787" s="355">
        <v>0.35270000000000001</v>
      </c>
      <c r="BD1787" s="624">
        <v>40757</v>
      </c>
      <c r="BE1787" s="355">
        <v>9.4880000000000006E-2</v>
      </c>
      <c r="BF1787" s="624">
        <v>40856</v>
      </c>
      <c r="BG1787" s="355">
        <v>1.9925999999999999E-2</v>
      </c>
      <c r="BH1787" s="624">
        <v>40757</v>
      </c>
      <c r="BI1787" s="355">
        <v>0.117803</v>
      </c>
      <c r="BJ1787" s="624">
        <v>40756</v>
      </c>
      <c r="BK1787" s="355">
        <v>3.3663999999999999E-2</v>
      </c>
    </row>
    <row r="1788" spans="3:63">
      <c r="C1788" s="624"/>
      <c r="D1788" s="355">
        <v>3.5499999999999997E-2</v>
      </c>
      <c r="AV1788" s="624"/>
      <c r="AX1788" s="624">
        <v>40763</v>
      </c>
      <c r="AY1788" s="355">
        <v>3.449E-2</v>
      </c>
      <c r="AZ1788" s="624">
        <v>40827</v>
      </c>
      <c r="BA1788" s="355">
        <v>1.35E-2</v>
      </c>
      <c r="BB1788" s="624">
        <v>40758</v>
      </c>
      <c r="BC1788" s="355">
        <v>0.35580000000000001</v>
      </c>
      <c r="BD1788" s="624">
        <v>40758</v>
      </c>
      <c r="BE1788" s="355">
        <v>9.4409999999999994E-2</v>
      </c>
      <c r="BF1788" s="624">
        <v>40858</v>
      </c>
      <c r="BG1788" s="355">
        <v>1.9942999999999999E-2</v>
      </c>
      <c r="BH1788" s="624">
        <v>40758</v>
      </c>
      <c r="BI1788" s="355">
        <v>0.11794200000000001</v>
      </c>
      <c r="BJ1788" s="624">
        <v>40757</v>
      </c>
      <c r="BK1788" s="355">
        <v>3.3545999999999999E-2</v>
      </c>
    </row>
    <row r="1789" spans="3:63">
      <c r="C1789" s="624"/>
      <c r="D1789" s="355">
        <v>3.449E-2</v>
      </c>
      <c r="AV1789" s="624"/>
      <c r="AX1789" s="624">
        <v>40764</v>
      </c>
      <c r="AY1789" s="355">
        <v>3.3840000000000002E-2</v>
      </c>
      <c r="AZ1789" s="624">
        <v>40828</v>
      </c>
      <c r="BA1789" s="355">
        <v>1.37E-2</v>
      </c>
      <c r="BB1789" s="624">
        <v>40759</v>
      </c>
      <c r="BC1789" s="355">
        <v>0.34849999999999998</v>
      </c>
      <c r="BD1789" s="624">
        <v>40759</v>
      </c>
      <c r="BE1789" s="355">
        <v>9.3479999999999994E-2</v>
      </c>
      <c r="BF1789" s="624">
        <v>40861</v>
      </c>
      <c r="BG1789" s="355">
        <v>1.9834999999999998E-2</v>
      </c>
      <c r="BH1789" s="624">
        <v>40759</v>
      </c>
      <c r="BI1789" s="355">
        <v>0.11752600000000001</v>
      </c>
      <c r="BJ1789" s="624">
        <v>40758</v>
      </c>
      <c r="BK1789" s="355">
        <v>3.3591000000000003E-2</v>
      </c>
    </row>
    <row r="1790" spans="3:63">
      <c r="C1790" s="624"/>
      <c r="D1790" s="355">
        <v>3.3840000000000002E-2</v>
      </c>
      <c r="AV1790" s="624"/>
      <c r="AX1790" s="624">
        <v>40765</v>
      </c>
      <c r="AY1790" s="355">
        <v>3.3680000000000002E-2</v>
      </c>
      <c r="AZ1790" s="624">
        <v>40829</v>
      </c>
      <c r="BA1790" s="355">
        <v>1.38E-2</v>
      </c>
      <c r="BB1790" s="624">
        <v>40760</v>
      </c>
      <c r="BC1790" s="355">
        <v>0.35399999999999998</v>
      </c>
      <c r="BD1790" s="624">
        <v>40760</v>
      </c>
      <c r="BE1790" s="355">
        <v>9.4500000000000001E-2</v>
      </c>
      <c r="BF1790" s="624">
        <v>40862</v>
      </c>
      <c r="BG1790" s="355">
        <v>1.9732E-2</v>
      </c>
      <c r="BH1790" s="624">
        <v>40760</v>
      </c>
      <c r="BI1790" s="355">
        <v>0.11665200000000001</v>
      </c>
      <c r="BJ1790" s="624">
        <v>40759</v>
      </c>
      <c r="BK1790" s="355">
        <v>3.3383000000000003E-2</v>
      </c>
    </row>
    <row r="1791" spans="3:63">
      <c r="C1791" s="624"/>
      <c r="D1791" s="355">
        <v>3.3680000000000002E-2</v>
      </c>
      <c r="AV1791" s="624"/>
      <c r="AX1791" s="624">
        <v>40766</v>
      </c>
      <c r="AY1791" s="355">
        <v>3.388E-2</v>
      </c>
      <c r="AZ1791" s="624">
        <v>40830</v>
      </c>
      <c r="BA1791" s="355">
        <v>1.38E-2</v>
      </c>
      <c r="BB1791" s="624">
        <v>40763</v>
      </c>
      <c r="BC1791" s="355">
        <v>0.34760000000000002</v>
      </c>
      <c r="BD1791" s="624">
        <v>40763</v>
      </c>
      <c r="BE1791" s="355">
        <v>9.2100000000000001E-2</v>
      </c>
      <c r="BF1791" s="624">
        <v>40863</v>
      </c>
      <c r="BG1791" s="355">
        <v>1.9706000000000001E-2</v>
      </c>
      <c r="BH1791" s="624">
        <v>40763</v>
      </c>
      <c r="BI1791" s="355">
        <v>0.116976</v>
      </c>
      <c r="BJ1791" s="624">
        <v>40760</v>
      </c>
      <c r="BK1791" s="355">
        <v>3.3635999999999999E-2</v>
      </c>
    </row>
    <row r="1792" spans="3:63">
      <c r="C1792" s="624"/>
      <c r="D1792" s="355">
        <v>3.388E-2</v>
      </c>
      <c r="AV1792" s="624"/>
      <c r="AX1792" s="624">
        <v>40767</v>
      </c>
      <c r="AY1792" s="355">
        <v>3.4320000000000003E-2</v>
      </c>
      <c r="AZ1792" s="624">
        <v>40833</v>
      </c>
      <c r="BA1792" s="355">
        <v>1.37E-2</v>
      </c>
      <c r="BB1792" s="624">
        <v>40764</v>
      </c>
      <c r="BC1792" s="355">
        <v>0.35220000000000001</v>
      </c>
      <c r="BD1792" s="624">
        <v>40764</v>
      </c>
      <c r="BE1792" s="355">
        <v>9.2719999999999997E-2</v>
      </c>
      <c r="BF1792" s="624">
        <v>40864</v>
      </c>
      <c r="BG1792" s="355">
        <v>1.9619000000000001E-2</v>
      </c>
      <c r="BH1792" s="624">
        <v>40764</v>
      </c>
      <c r="BI1792" s="355">
        <v>0.11643100000000001</v>
      </c>
      <c r="BJ1792" s="624">
        <v>40763</v>
      </c>
      <c r="BK1792" s="355">
        <v>3.3389000000000002E-2</v>
      </c>
    </row>
    <row r="1793" spans="3:63">
      <c r="C1793" s="624"/>
      <c r="D1793" s="355">
        <v>3.4320000000000003E-2</v>
      </c>
      <c r="AV1793" s="624"/>
      <c r="AX1793" s="624">
        <v>40770</v>
      </c>
      <c r="AY1793" s="355">
        <v>3.4950000000000002E-2</v>
      </c>
      <c r="AZ1793" s="624">
        <v>40834</v>
      </c>
      <c r="BA1793" s="355">
        <v>1.38E-2</v>
      </c>
      <c r="BB1793" s="624">
        <v>40765</v>
      </c>
      <c r="BC1793" s="355">
        <v>0.33600000000000002</v>
      </c>
      <c r="BD1793" s="624">
        <v>40765</v>
      </c>
      <c r="BE1793" s="355">
        <v>9.239E-2</v>
      </c>
      <c r="BF1793" s="624">
        <v>40865</v>
      </c>
      <c r="BG1793" s="355">
        <v>1.9514E-2</v>
      </c>
      <c r="BH1793" s="624">
        <v>40765</v>
      </c>
      <c r="BI1793" s="355">
        <v>0.117199</v>
      </c>
      <c r="BJ1793" s="624">
        <v>40764</v>
      </c>
      <c r="BK1793" s="355">
        <v>3.3501000000000003E-2</v>
      </c>
    </row>
    <row r="1794" spans="3:63">
      <c r="C1794" s="624"/>
      <c r="D1794" s="355">
        <v>3.4950000000000002E-2</v>
      </c>
      <c r="AV1794" s="624"/>
      <c r="AX1794" s="624">
        <v>40771</v>
      </c>
      <c r="AY1794" s="355">
        <v>3.4849999999999999E-2</v>
      </c>
      <c r="AZ1794" s="624">
        <v>40835</v>
      </c>
      <c r="BA1794" s="355">
        <v>1.38E-2</v>
      </c>
      <c r="BB1794" s="624">
        <v>40766</v>
      </c>
      <c r="BC1794" s="355">
        <v>0.34339999999999998</v>
      </c>
      <c r="BD1794" s="624">
        <v>40766</v>
      </c>
      <c r="BE1794" s="355">
        <v>9.2799999999999994E-2</v>
      </c>
      <c r="BF1794" s="624">
        <v>40868</v>
      </c>
      <c r="BG1794" s="355">
        <v>1.9115E-2</v>
      </c>
      <c r="BH1794" s="624">
        <v>40766</v>
      </c>
      <c r="BI1794" s="355">
        <v>0.116857</v>
      </c>
      <c r="BJ1794" s="624">
        <v>40765</v>
      </c>
      <c r="BK1794" s="355">
        <v>3.3478000000000001E-2</v>
      </c>
    </row>
    <row r="1795" spans="3:63">
      <c r="C1795" s="624"/>
      <c r="D1795" s="355">
        <v>3.4849999999999999E-2</v>
      </c>
      <c r="AV1795" s="624"/>
      <c r="AX1795" s="624">
        <v>40772</v>
      </c>
      <c r="AY1795" s="355">
        <v>3.4770000000000002E-2</v>
      </c>
      <c r="AZ1795" s="624">
        <v>40836</v>
      </c>
      <c r="BA1795" s="355">
        <v>1.38E-2</v>
      </c>
      <c r="BB1795" s="624">
        <v>40767</v>
      </c>
      <c r="BC1795" s="355">
        <v>0.34239999999999998</v>
      </c>
      <c r="BD1795" s="624">
        <v>40767</v>
      </c>
      <c r="BE1795" s="355">
        <v>9.2619999999999994E-2</v>
      </c>
      <c r="BF1795" s="624">
        <v>40869</v>
      </c>
      <c r="BG1795" s="355">
        <v>1.9068000000000002E-2</v>
      </c>
      <c r="BH1795" s="624">
        <v>40767</v>
      </c>
      <c r="BI1795" s="355">
        <v>0.11680500000000001</v>
      </c>
      <c r="BJ1795" s="624">
        <v>40766</v>
      </c>
      <c r="BK1795" s="355">
        <v>3.3377999999999998E-2</v>
      </c>
    </row>
    <row r="1796" spans="3:63">
      <c r="C1796" s="624"/>
      <c r="D1796" s="355">
        <v>3.4770000000000002E-2</v>
      </c>
      <c r="AV1796" s="624"/>
      <c r="AX1796" s="624">
        <v>40773</v>
      </c>
      <c r="AY1796" s="355">
        <v>3.4380000000000001E-2</v>
      </c>
      <c r="AZ1796" s="624">
        <v>40837</v>
      </c>
      <c r="BA1796" s="355">
        <v>1.3899999999999999E-2</v>
      </c>
      <c r="BB1796" s="624">
        <v>40770</v>
      </c>
      <c r="BC1796" s="355">
        <v>0.34899999999999998</v>
      </c>
      <c r="BD1796" s="624">
        <v>40770</v>
      </c>
      <c r="BE1796" s="355">
        <v>9.2679999999999998E-2</v>
      </c>
      <c r="BF1796" s="624">
        <v>40870</v>
      </c>
      <c r="BG1796" s="355">
        <v>1.9060000000000001E-2</v>
      </c>
      <c r="BH1796" s="624">
        <v>40770</v>
      </c>
      <c r="BI1796" s="355">
        <v>0.11713</v>
      </c>
      <c r="BJ1796" s="624">
        <v>40767</v>
      </c>
      <c r="BK1796" s="355">
        <v>3.3405999999999998E-2</v>
      </c>
    </row>
    <row r="1797" spans="3:63">
      <c r="C1797" s="624"/>
      <c r="D1797" s="355">
        <v>3.4380000000000001E-2</v>
      </c>
      <c r="AV1797" s="624"/>
      <c r="AX1797" s="624">
        <v>40774</v>
      </c>
      <c r="AY1797" s="355">
        <v>3.4340000000000002E-2</v>
      </c>
      <c r="AZ1797" s="624">
        <v>40840</v>
      </c>
      <c r="BA1797" s="355">
        <v>1.4E-2</v>
      </c>
      <c r="BB1797" s="624">
        <v>40771</v>
      </c>
      <c r="BC1797" s="355">
        <v>0.34760000000000002</v>
      </c>
      <c r="BD1797" s="624">
        <v>40771</v>
      </c>
      <c r="BE1797" s="355">
        <v>9.3509999999999996E-2</v>
      </c>
      <c r="BF1797" s="624">
        <v>40871</v>
      </c>
      <c r="BG1797" s="355">
        <v>1.9220000000000001E-2</v>
      </c>
      <c r="BH1797" s="624">
        <v>40771</v>
      </c>
      <c r="BI1797" s="355">
        <v>0.117268</v>
      </c>
      <c r="BJ1797" s="624">
        <v>40770</v>
      </c>
      <c r="BK1797" s="355">
        <v>3.3512E-2</v>
      </c>
    </row>
    <row r="1798" spans="3:63">
      <c r="C1798" s="624"/>
      <c r="D1798" s="355">
        <v>3.4340000000000002E-2</v>
      </c>
      <c r="AV1798" s="624"/>
      <c r="AX1798" s="624">
        <v>40777</v>
      </c>
      <c r="AY1798" s="355">
        <v>3.4340000000000002E-2</v>
      </c>
      <c r="AZ1798" s="624">
        <v>40841</v>
      </c>
      <c r="BA1798" s="355">
        <v>1.3899999999999999E-2</v>
      </c>
      <c r="BB1798" s="624">
        <v>40772</v>
      </c>
      <c r="BC1798" s="355">
        <v>0.34870000000000001</v>
      </c>
      <c r="BD1798" s="624">
        <v>40772</v>
      </c>
      <c r="BE1798" s="355">
        <v>9.357E-2</v>
      </c>
      <c r="BF1798" s="624">
        <v>40872</v>
      </c>
      <c r="BG1798" s="355">
        <v>1.9137000000000001E-2</v>
      </c>
      <c r="BH1798" s="624">
        <v>40772</v>
      </c>
      <c r="BI1798" s="355">
        <v>0.117405</v>
      </c>
      <c r="BJ1798" s="624">
        <v>40771</v>
      </c>
      <c r="BK1798" s="355">
        <v>3.3501000000000003E-2</v>
      </c>
    </row>
    <row r="1799" spans="3:63">
      <c r="C1799" s="624"/>
      <c r="D1799" s="355">
        <v>3.4340000000000002E-2</v>
      </c>
      <c r="AV1799" s="624"/>
      <c r="AX1799" s="624">
        <v>40778</v>
      </c>
      <c r="AY1799" s="355">
        <v>3.4540000000000001E-2</v>
      </c>
      <c r="AZ1799" s="624">
        <v>40842</v>
      </c>
      <c r="BA1799" s="355">
        <v>1.3899999999999999E-2</v>
      </c>
      <c r="BB1799" s="624">
        <v>40773</v>
      </c>
      <c r="BC1799" s="355">
        <v>0.34260000000000002</v>
      </c>
      <c r="BD1799" s="624">
        <v>40773</v>
      </c>
      <c r="BE1799" s="355">
        <v>9.2619999999999994E-2</v>
      </c>
      <c r="BF1799" s="624">
        <v>40875</v>
      </c>
      <c r="BG1799" s="355">
        <v>1.9222E-2</v>
      </c>
      <c r="BH1799" s="624">
        <v>40773</v>
      </c>
      <c r="BI1799" s="355">
        <v>0.116788</v>
      </c>
      <c r="BJ1799" s="624">
        <v>40772</v>
      </c>
      <c r="BK1799" s="355">
        <v>3.3489999999999999E-2</v>
      </c>
    </row>
    <row r="1800" spans="3:63">
      <c r="C1800" s="624"/>
      <c r="D1800" s="355">
        <v>3.4540000000000001E-2</v>
      </c>
      <c r="AV1800" s="624"/>
      <c r="AX1800" s="624">
        <v>40779</v>
      </c>
      <c r="AY1800" s="355">
        <v>3.4590000000000003E-2</v>
      </c>
      <c r="AZ1800" s="624">
        <v>40843</v>
      </c>
      <c r="BA1800" s="355">
        <v>1.4200000000000001E-2</v>
      </c>
      <c r="BB1800" s="624">
        <v>40774</v>
      </c>
      <c r="BC1800" s="355">
        <v>0.34470000000000001</v>
      </c>
      <c r="BD1800" s="624">
        <v>40774</v>
      </c>
      <c r="BE1800" s="355">
        <v>9.1969999999999996E-2</v>
      </c>
      <c r="BF1800" s="624">
        <v>40876</v>
      </c>
      <c r="BG1800" s="355">
        <v>1.9213999999999998E-2</v>
      </c>
      <c r="BH1800" s="624">
        <v>40774</v>
      </c>
      <c r="BI1800" s="355">
        <v>0.11666899999999999</v>
      </c>
      <c r="BJ1800" s="624">
        <v>40773</v>
      </c>
      <c r="BK1800" s="355">
        <v>3.3450000000000001E-2</v>
      </c>
    </row>
    <row r="1801" spans="3:63">
      <c r="C1801" s="624"/>
      <c r="D1801" s="355">
        <v>3.4590000000000003E-2</v>
      </c>
      <c r="AV1801" s="624"/>
      <c r="AX1801" s="624">
        <v>40780</v>
      </c>
      <c r="AY1801" s="355">
        <v>3.4599999999999999E-2</v>
      </c>
      <c r="AZ1801" s="624">
        <v>40844</v>
      </c>
      <c r="BA1801" s="355">
        <v>1.4E-2</v>
      </c>
      <c r="BB1801" s="624">
        <v>40777</v>
      </c>
      <c r="BC1801" s="355">
        <v>0.34429999999999999</v>
      </c>
      <c r="BD1801" s="624">
        <v>40777</v>
      </c>
      <c r="BE1801" s="355">
        <v>9.2200000000000004E-2</v>
      </c>
      <c r="BF1801" s="624">
        <v>40877</v>
      </c>
      <c r="BG1801" s="355">
        <v>1.9186999999999999E-2</v>
      </c>
      <c r="BH1801" s="624">
        <v>40777</v>
      </c>
      <c r="BI1801" s="355">
        <v>0.117062</v>
      </c>
      <c r="BJ1801" s="624">
        <v>40774</v>
      </c>
      <c r="BK1801" s="355">
        <v>3.354E-2</v>
      </c>
    </row>
    <row r="1802" spans="3:63">
      <c r="C1802" s="624"/>
      <c r="D1802" s="355">
        <v>3.4599999999999999E-2</v>
      </c>
      <c r="AV1802" s="624"/>
      <c r="AX1802" s="624">
        <v>40781</v>
      </c>
      <c r="AY1802" s="355">
        <v>3.4720000000000001E-2</v>
      </c>
      <c r="AZ1802" s="624">
        <v>40847</v>
      </c>
      <c r="BA1802" s="355">
        <v>1.38E-2</v>
      </c>
      <c r="BB1802" s="624">
        <v>40778</v>
      </c>
      <c r="BC1802" s="355">
        <v>0.34860000000000002</v>
      </c>
      <c r="BD1802" s="624">
        <v>40778</v>
      </c>
      <c r="BE1802" s="355">
        <v>9.282E-2</v>
      </c>
      <c r="BF1802" s="624">
        <v>40878</v>
      </c>
      <c r="BG1802" s="355">
        <v>1.9460999999999999E-2</v>
      </c>
      <c r="BH1802" s="624">
        <v>40778</v>
      </c>
      <c r="BI1802" s="355">
        <v>0.117062</v>
      </c>
      <c r="BJ1802" s="624">
        <v>40777</v>
      </c>
      <c r="BK1802" s="355">
        <v>3.3512E-2</v>
      </c>
    </row>
    <row r="1803" spans="3:63">
      <c r="C1803" s="624"/>
      <c r="D1803" s="355">
        <v>3.4720000000000001E-2</v>
      </c>
      <c r="AV1803" s="624"/>
      <c r="AX1803" s="624">
        <v>40784</v>
      </c>
      <c r="AY1803" s="355">
        <v>3.4700000000000002E-2</v>
      </c>
      <c r="AZ1803" s="624">
        <v>40848</v>
      </c>
      <c r="BA1803" s="355">
        <v>1.3599999999999999E-2</v>
      </c>
      <c r="BB1803" s="624">
        <v>40779</v>
      </c>
      <c r="BC1803" s="355">
        <v>0.34570000000000001</v>
      </c>
      <c r="BD1803" s="624">
        <v>40779</v>
      </c>
      <c r="BE1803" s="355">
        <v>9.2299999999999993E-2</v>
      </c>
      <c r="BF1803" s="624">
        <v>40879</v>
      </c>
      <c r="BG1803" s="355">
        <v>1.9564000000000002E-2</v>
      </c>
      <c r="BH1803" s="624">
        <v>40779</v>
      </c>
      <c r="BI1803" s="355">
        <v>0.11689099999999999</v>
      </c>
      <c r="BJ1803" s="624">
        <v>40778</v>
      </c>
      <c r="BK1803" s="355">
        <v>3.3512E-2</v>
      </c>
    </row>
    <row r="1804" spans="3:63">
      <c r="C1804" s="624"/>
      <c r="D1804" s="355">
        <v>3.4700000000000002E-2</v>
      </c>
      <c r="AV1804" s="624"/>
      <c r="AX1804" s="624">
        <v>40785</v>
      </c>
      <c r="AY1804" s="355">
        <v>3.4610000000000002E-2</v>
      </c>
      <c r="AZ1804" s="624">
        <v>40849</v>
      </c>
      <c r="BA1804" s="355">
        <v>1.3599999999999999E-2</v>
      </c>
      <c r="BB1804" s="624">
        <v>40780</v>
      </c>
      <c r="BC1804" s="355">
        <v>0.3448</v>
      </c>
      <c r="BD1804" s="624">
        <v>40780</v>
      </c>
      <c r="BE1804" s="355">
        <v>9.1850000000000001E-2</v>
      </c>
      <c r="BF1804" s="624">
        <v>40882</v>
      </c>
      <c r="BG1804" s="355">
        <v>1.9469E-2</v>
      </c>
      <c r="BH1804" s="624">
        <v>40780</v>
      </c>
      <c r="BI1804" s="355">
        <v>0.11634</v>
      </c>
      <c r="BJ1804" s="624">
        <v>40779</v>
      </c>
      <c r="BK1804" s="355">
        <v>3.3411000000000003E-2</v>
      </c>
    </row>
    <row r="1805" spans="3:63">
      <c r="C1805" s="624"/>
      <c r="D1805" s="355">
        <v>3.4610000000000002E-2</v>
      </c>
      <c r="AV1805" s="624"/>
      <c r="AX1805" s="624">
        <v>40786</v>
      </c>
      <c r="AY1805" s="355">
        <v>3.456E-2</v>
      </c>
      <c r="AZ1805" s="624">
        <v>40850</v>
      </c>
      <c r="BA1805" s="355">
        <v>1.3599999999999999E-2</v>
      </c>
      <c r="BB1805" s="624">
        <v>40781</v>
      </c>
      <c r="BC1805" s="355">
        <v>0.34910000000000002</v>
      </c>
      <c r="BD1805" s="624">
        <v>40781</v>
      </c>
      <c r="BE1805" s="355">
        <v>9.282E-2</v>
      </c>
      <c r="BF1805" s="624">
        <v>40884</v>
      </c>
      <c r="BG1805" s="355">
        <v>1.9366000000000001E-2</v>
      </c>
      <c r="BH1805" s="624">
        <v>40781</v>
      </c>
      <c r="BI1805" s="355">
        <v>0.11672</v>
      </c>
      <c r="BJ1805" s="624">
        <v>40780</v>
      </c>
      <c r="BK1805" s="355">
        <v>3.3321999999999997E-2</v>
      </c>
    </row>
    <row r="1806" spans="3:63">
      <c r="C1806" s="624"/>
      <c r="D1806" s="355">
        <v>3.456E-2</v>
      </c>
      <c r="AV1806" s="624"/>
      <c r="AX1806" s="624">
        <v>40787</v>
      </c>
      <c r="AY1806" s="355">
        <v>3.4529999999999998E-2</v>
      </c>
      <c r="AZ1806" s="624">
        <v>40851</v>
      </c>
      <c r="BA1806" s="355">
        <v>1.34E-2</v>
      </c>
      <c r="BB1806" s="624">
        <v>40784</v>
      </c>
      <c r="BC1806" s="355">
        <v>0.3503</v>
      </c>
      <c r="BD1806" s="624">
        <v>40784</v>
      </c>
      <c r="BE1806" s="355">
        <v>9.3090000000000006E-2</v>
      </c>
      <c r="BF1806" s="624">
        <v>40885</v>
      </c>
      <c r="BG1806" s="355">
        <v>1.9335000000000001E-2</v>
      </c>
      <c r="BH1806" s="624">
        <v>40784</v>
      </c>
      <c r="BI1806" s="355">
        <v>0.11722</v>
      </c>
      <c r="BJ1806" s="624">
        <v>40781</v>
      </c>
      <c r="BK1806" s="355">
        <v>3.3376999999999997E-2</v>
      </c>
    </row>
    <row r="1807" spans="3:63">
      <c r="C1807" s="624"/>
      <c r="D1807" s="355">
        <v>3.4529999999999998E-2</v>
      </c>
      <c r="AV1807" s="624"/>
      <c r="AX1807" s="624">
        <v>40788</v>
      </c>
      <c r="AY1807" s="355">
        <v>3.4279999999999998E-2</v>
      </c>
      <c r="AZ1807" s="624">
        <v>40854</v>
      </c>
      <c r="BA1807" s="355">
        <v>1.35E-2</v>
      </c>
      <c r="BB1807" s="624">
        <v>40785</v>
      </c>
      <c r="BC1807" s="355">
        <v>0.34760000000000002</v>
      </c>
      <c r="BD1807" s="624">
        <v>40785</v>
      </c>
      <c r="BE1807" s="355">
        <v>9.3119999999999994E-2</v>
      </c>
      <c r="BF1807" s="624">
        <v>40886</v>
      </c>
      <c r="BG1807" s="355">
        <v>1.9269999999999999E-2</v>
      </c>
      <c r="BH1807" s="624">
        <v>40785</v>
      </c>
      <c r="BI1807" s="355">
        <v>0.117058</v>
      </c>
      <c r="BJ1807" s="624">
        <v>40784</v>
      </c>
      <c r="BK1807" s="355">
        <v>3.3343999999999999E-2</v>
      </c>
    </row>
    <row r="1808" spans="3:63">
      <c r="C1808" s="624"/>
      <c r="D1808" s="355">
        <v>3.4279999999999998E-2</v>
      </c>
      <c r="AV1808" s="624"/>
      <c r="AX1808" s="624">
        <v>40791</v>
      </c>
      <c r="AY1808" s="355">
        <v>3.3930000000000002E-2</v>
      </c>
      <c r="AZ1808" s="624">
        <v>40855</v>
      </c>
      <c r="BA1808" s="355">
        <v>1.35E-2</v>
      </c>
      <c r="BB1808" s="624">
        <v>40786</v>
      </c>
      <c r="BC1808" s="355">
        <v>0.3473</v>
      </c>
      <c r="BD1808" s="624">
        <v>40786</v>
      </c>
      <c r="BE1808" s="355">
        <v>9.3810000000000004E-2</v>
      </c>
      <c r="BF1808" s="624">
        <v>40889</v>
      </c>
      <c r="BG1808" s="355">
        <v>1.8967999999999999E-2</v>
      </c>
      <c r="BH1808" s="624">
        <v>40786</v>
      </c>
      <c r="BI1808" s="355">
        <v>0.117288</v>
      </c>
      <c r="BJ1808" s="624">
        <v>40785</v>
      </c>
      <c r="BK1808" s="355">
        <v>3.3333000000000002E-2</v>
      </c>
    </row>
    <row r="1809" spans="3:63">
      <c r="C1809" s="624"/>
      <c r="D1809" s="355">
        <v>3.3930000000000002E-2</v>
      </c>
      <c r="AV1809" s="624"/>
      <c r="AX1809" s="624">
        <v>40792</v>
      </c>
      <c r="AY1809" s="355">
        <v>3.3779999999999998E-2</v>
      </c>
      <c r="AZ1809" s="624">
        <v>40856</v>
      </c>
      <c r="BA1809" s="355">
        <v>1.3299999999999999E-2</v>
      </c>
      <c r="BB1809" s="624">
        <v>40787</v>
      </c>
      <c r="BC1809" s="355">
        <v>0.34379999999999999</v>
      </c>
      <c r="BD1809" s="624">
        <v>40787</v>
      </c>
      <c r="BE1809" s="355">
        <v>9.3990000000000004E-2</v>
      </c>
      <c r="BF1809" s="624">
        <v>40890</v>
      </c>
      <c r="BG1809" s="355">
        <v>1.8827E-2</v>
      </c>
      <c r="BH1809" s="624">
        <v>40787</v>
      </c>
      <c r="BI1809" s="355">
        <v>0.117233</v>
      </c>
      <c r="BJ1809" s="624">
        <v>40786</v>
      </c>
      <c r="BK1809" s="355">
        <v>3.3395000000000001E-2</v>
      </c>
    </row>
    <row r="1810" spans="3:63">
      <c r="C1810" s="624"/>
      <c r="D1810" s="355">
        <v>3.3779999999999998E-2</v>
      </c>
      <c r="AV1810" s="624"/>
      <c r="AX1810" s="624">
        <v>40793</v>
      </c>
      <c r="AY1810" s="355">
        <v>3.3950000000000001E-2</v>
      </c>
      <c r="AZ1810" s="624">
        <v>40857</v>
      </c>
      <c r="BA1810" s="355">
        <v>1.34E-2</v>
      </c>
      <c r="BB1810" s="624">
        <v>40788</v>
      </c>
      <c r="BC1810" s="355">
        <v>0.33910000000000001</v>
      </c>
      <c r="BD1810" s="624">
        <v>40788</v>
      </c>
      <c r="BE1810" s="355">
        <v>9.3869999999999995E-2</v>
      </c>
      <c r="BF1810" s="624">
        <v>40891</v>
      </c>
      <c r="BG1810" s="355">
        <v>1.8544000000000001E-2</v>
      </c>
      <c r="BH1810" s="624">
        <v>40788</v>
      </c>
      <c r="BI1810" s="355">
        <v>0.11722</v>
      </c>
      <c r="BJ1810" s="624">
        <v>40787</v>
      </c>
      <c r="BK1810" s="355">
        <v>3.3389000000000002E-2</v>
      </c>
    </row>
    <row r="1811" spans="3:63">
      <c r="C1811" s="624"/>
      <c r="D1811" s="355">
        <v>3.3950000000000001E-2</v>
      </c>
      <c r="AV1811" s="624"/>
      <c r="AX1811" s="624">
        <v>40794</v>
      </c>
      <c r="AY1811" s="355">
        <v>3.3680000000000002E-2</v>
      </c>
      <c r="AZ1811" s="624">
        <v>40858</v>
      </c>
      <c r="BA1811" s="355">
        <v>1.34E-2</v>
      </c>
      <c r="BB1811" s="624">
        <v>40791</v>
      </c>
      <c r="BC1811" s="355">
        <v>0.3342</v>
      </c>
      <c r="BD1811" s="624">
        <v>40791</v>
      </c>
      <c r="BE1811" s="355">
        <v>9.3439999999999995E-2</v>
      </c>
      <c r="BF1811" s="624">
        <v>40892</v>
      </c>
      <c r="BG1811" s="355">
        <v>1.8773999999999999E-2</v>
      </c>
      <c r="BH1811" s="624">
        <v>40791</v>
      </c>
      <c r="BI1811" s="355">
        <v>0.11713</v>
      </c>
      <c r="BJ1811" s="624">
        <v>40788</v>
      </c>
      <c r="BK1811" s="355">
        <v>3.3433999999999998E-2</v>
      </c>
    </row>
    <row r="1812" spans="3:63">
      <c r="C1812" s="624"/>
      <c r="D1812" s="355">
        <v>3.3680000000000002E-2</v>
      </c>
      <c r="AV1812" s="624"/>
      <c r="AX1812" s="624">
        <v>40795</v>
      </c>
      <c r="AY1812" s="355">
        <v>3.3309999999999999E-2</v>
      </c>
      <c r="AZ1812" s="624">
        <v>40861</v>
      </c>
      <c r="BA1812" s="355">
        <v>1.3299999999999999E-2</v>
      </c>
      <c r="BB1812" s="624">
        <v>40792</v>
      </c>
      <c r="BC1812" s="355">
        <v>0.33050000000000002</v>
      </c>
      <c r="BD1812" s="624">
        <v>40792</v>
      </c>
      <c r="BE1812" s="355">
        <v>9.282E-2</v>
      </c>
      <c r="BF1812" s="624">
        <v>40893</v>
      </c>
      <c r="BG1812" s="355">
        <v>1.9044999999999999E-2</v>
      </c>
      <c r="BH1812" s="624">
        <v>40792</v>
      </c>
      <c r="BI1812" s="355">
        <v>0.116857</v>
      </c>
      <c r="BJ1812" s="624">
        <v>40791</v>
      </c>
      <c r="BK1812" s="355">
        <v>3.3422E-2</v>
      </c>
    </row>
    <row r="1813" spans="3:63">
      <c r="C1813" s="624"/>
      <c r="D1813" s="355">
        <v>3.3309999999999999E-2</v>
      </c>
      <c r="AV1813" s="624"/>
      <c r="AX1813" s="624">
        <v>40798</v>
      </c>
      <c r="AY1813" s="355">
        <v>3.3090000000000001E-2</v>
      </c>
      <c r="AZ1813" s="624">
        <v>40862</v>
      </c>
      <c r="BA1813" s="355">
        <v>1.32E-2</v>
      </c>
      <c r="BB1813" s="624">
        <v>40793</v>
      </c>
      <c r="BC1813" s="355">
        <v>0.33560000000000001</v>
      </c>
      <c r="BD1813" s="624">
        <v>40793</v>
      </c>
      <c r="BE1813" s="355">
        <v>9.3469999999999998E-2</v>
      </c>
      <c r="BF1813" s="624">
        <v>40896</v>
      </c>
      <c r="BG1813" s="355">
        <v>1.8977999999999998E-2</v>
      </c>
      <c r="BH1813" s="624">
        <v>40793</v>
      </c>
      <c r="BI1813" s="355">
        <v>0.117117</v>
      </c>
      <c r="BJ1813" s="624">
        <v>40792</v>
      </c>
      <c r="BK1813" s="355">
        <v>3.3383000000000003E-2</v>
      </c>
    </row>
    <row r="1814" spans="3:63">
      <c r="C1814" s="624"/>
      <c r="D1814" s="355">
        <v>3.3090000000000001E-2</v>
      </c>
      <c r="AV1814" s="624"/>
      <c r="AX1814" s="624">
        <v>40799</v>
      </c>
      <c r="AY1814" s="355">
        <v>3.3059999999999999E-2</v>
      </c>
      <c r="AZ1814" s="624">
        <v>40863</v>
      </c>
      <c r="BA1814" s="355">
        <v>1.3100000000000001E-2</v>
      </c>
      <c r="BB1814" s="624">
        <v>40794</v>
      </c>
      <c r="BC1814" s="355">
        <v>0.32579999999999998</v>
      </c>
      <c r="BD1814" s="624">
        <v>40794</v>
      </c>
      <c r="BE1814" s="355">
        <v>9.2710000000000001E-2</v>
      </c>
      <c r="BF1814" s="624">
        <v>40897</v>
      </c>
      <c r="BG1814" s="355">
        <v>1.8880000000000001E-2</v>
      </c>
      <c r="BH1814" s="624">
        <v>40794</v>
      </c>
      <c r="BI1814" s="355">
        <v>0.11672</v>
      </c>
      <c r="BJ1814" s="624">
        <v>40793</v>
      </c>
      <c r="BK1814" s="355">
        <v>3.3349999999999998E-2</v>
      </c>
    </row>
    <row r="1815" spans="3:63">
      <c r="C1815" s="624"/>
      <c r="D1815" s="355">
        <v>3.3059999999999999E-2</v>
      </c>
      <c r="AV1815" s="624"/>
      <c r="AX1815" s="624">
        <v>40800</v>
      </c>
      <c r="AY1815" s="355">
        <v>3.2849999999999997E-2</v>
      </c>
      <c r="AZ1815" s="624">
        <v>40864</v>
      </c>
      <c r="BA1815" s="355">
        <v>1.3100000000000001E-2</v>
      </c>
      <c r="BB1815" s="624">
        <v>40795</v>
      </c>
      <c r="BC1815" s="355">
        <v>0.31780000000000003</v>
      </c>
      <c r="BD1815" s="624">
        <v>40795</v>
      </c>
      <c r="BE1815" s="355">
        <v>9.2799999999999994E-2</v>
      </c>
      <c r="BF1815" s="624">
        <v>40898</v>
      </c>
      <c r="BG1815" s="355">
        <v>1.8963000000000001E-2</v>
      </c>
      <c r="BH1815" s="624">
        <v>40795</v>
      </c>
      <c r="BI1815" s="355">
        <v>0.116659</v>
      </c>
      <c r="BJ1815" s="624">
        <v>40794</v>
      </c>
      <c r="BK1815" s="355">
        <v>3.3321999999999997E-2</v>
      </c>
    </row>
    <row r="1816" spans="3:63">
      <c r="C1816" s="624"/>
      <c r="D1816" s="355">
        <v>3.2849999999999997E-2</v>
      </c>
      <c r="AV1816" s="624"/>
      <c r="AX1816" s="624">
        <v>40801</v>
      </c>
      <c r="AY1816" s="355">
        <v>3.2890000000000003E-2</v>
      </c>
      <c r="AZ1816" s="624">
        <v>40865</v>
      </c>
      <c r="BA1816" s="355">
        <v>1.2999999999999999E-2</v>
      </c>
      <c r="BB1816" s="624">
        <v>40798</v>
      </c>
      <c r="BC1816" s="355">
        <v>0.316</v>
      </c>
      <c r="BD1816" s="624">
        <v>40798</v>
      </c>
      <c r="BE1816" s="355">
        <v>9.2999999999999999E-2</v>
      </c>
      <c r="BF1816" s="624">
        <v>40899</v>
      </c>
      <c r="BG1816" s="355">
        <v>1.9012999999999999E-2</v>
      </c>
      <c r="BH1816" s="624">
        <v>40798</v>
      </c>
      <c r="BI1816" s="355">
        <v>0.11604299999999999</v>
      </c>
      <c r="BJ1816" s="624">
        <v>40795</v>
      </c>
      <c r="BK1816" s="355">
        <v>3.3244999999999997E-2</v>
      </c>
    </row>
    <row r="1817" spans="3:63">
      <c r="C1817" s="624"/>
      <c r="D1817" s="355">
        <v>3.2890000000000003E-2</v>
      </c>
      <c r="AV1817" s="624"/>
      <c r="AX1817" s="624">
        <v>40802</v>
      </c>
      <c r="AY1817" s="355">
        <v>3.2719999999999999E-2</v>
      </c>
      <c r="AZ1817" s="624">
        <v>40868</v>
      </c>
      <c r="BA1817" s="355">
        <v>1.2999999999999999E-2</v>
      </c>
      <c r="BB1817" s="624">
        <v>40799</v>
      </c>
      <c r="BC1817" s="355">
        <v>0.31590000000000001</v>
      </c>
      <c r="BD1817" s="624">
        <v>40799</v>
      </c>
      <c r="BE1817" s="355">
        <v>9.0700000000000003E-2</v>
      </c>
      <c r="BF1817" s="624">
        <v>40900</v>
      </c>
      <c r="BG1817" s="355">
        <v>1.8939000000000001E-2</v>
      </c>
      <c r="BH1817" s="624">
        <v>40799</v>
      </c>
      <c r="BI1817" s="355">
        <v>0.114811</v>
      </c>
      <c r="BJ1817" s="624">
        <v>40798</v>
      </c>
      <c r="BK1817" s="355">
        <v>3.3168000000000003E-2</v>
      </c>
    </row>
    <row r="1818" spans="3:63">
      <c r="C1818" s="624"/>
      <c r="D1818" s="355">
        <v>3.2719999999999999E-2</v>
      </c>
      <c r="AV1818" s="624"/>
      <c r="AX1818" s="624">
        <v>40805</v>
      </c>
      <c r="AY1818" s="355">
        <v>3.1960000000000002E-2</v>
      </c>
      <c r="AZ1818" s="624">
        <v>40869</v>
      </c>
      <c r="BA1818" s="355">
        <v>1.2999999999999999E-2</v>
      </c>
      <c r="BB1818" s="624">
        <v>40800</v>
      </c>
      <c r="BC1818" s="355">
        <v>0.31369999999999998</v>
      </c>
      <c r="BD1818" s="624">
        <v>40800</v>
      </c>
      <c r="BE1818" s="355">
        <v>9.0429999999999996E-2</v>
      </c>
      <c r="BF1818" s="624">
        <v>40903</v>
      </c>
      <c r="BG1818" s="355">
        <v>1.8964999999999999E-2</v>
      </c>
      <c r="BH1818" s="624">
        <v>40800</v>
      </c>
      <c r="BI1818" s="355">
        <v>0.11383</v>
      </c>
      <c r="BJ1818" s="624">
        <v>40799</v>
      </c>
      <c r="BK1818" s="355">
        <v>3.3118000000000002E-2</v>
      </c>
    </row>
    <row r="1819" spans="3:63">
      <c r="C1819" s="624"/>
      <c r="D1819" s="355">
        <v>3.1960000000000002E-2</v>
      </c>
      <c r="AV1819" s="624"/>
      <c r="AX1819" s="624">
        <v>40806</v>
      </c>
      <c r="AY1819" s="355">
        <v>3.1800000000000002E-2</v>
      </c>
      <c r="AZ1819" s="624">
        <v>40870</v>
      </c>
      <c r="BA1819" s="355">
        <v>1.29E-2</v>
      </c>
      <c r="BB1819" s="624">
        <v>40801</v>
      </c>
      <c r="BC1819" s="355">
        <v>0.3211</v>
      </c>
      <c r="BD1819" s="624">
        <v>40801</v>
      </c>
      <c r="BE1819" s="355">
        <v>8.9859999999999995E-2</v>
      </c>
      <c r="BF1819" s="624">
        <v>40904</v>
      </c>
      <c r="BG1819" s="355">
        <v>1.8859999999999998E-2</v>
      </c>
      <c r="BH1819" s="624">
        <v>40801</v>
      </c>
      <c r="BI1819" s="355">
        <v>0.113798</v>
      </c>
      <c r="BJ1819" s="624">
        <v>40800</v>
      </c>
      <c r="BK1819" s="355">
        <v>3.3024999999999999E-2</v>
      </c>
    </row>
    <row r="1820" spans="3:63">
      <c r="C1820" s="624"/>
      <c r="D1820" s="355">
        <v>3.1800000000000002E-2</v>
      </c>
      <c r="AV1820" s="624"/>
      <c r="AX1820" s="624">
        <v>40807</v>
      </c>
      <c r="AY1820" s="355">
        <v>3.1640000000000001E-2</v>
      </c>
      <c r="AZ1820" s="624">
        <v>40871</v>
      </c>
      <c r="BA1820" s="355">
        <v>1.29E-2</v>
      </c>
      <c r="BB1820" s="624">
        <v>40802</v>
      </c>
      <c r="BC1820" s="355">
        <v>0.32090000000000002</v>
      </c>
      <c r="BD1820" s="624">
        <v>40802</v>
      </c>
      <c r="BE1820" s="355">
        <v>8.9980000000000004E-2</v>
      </c>
      <c r="BF1820" s="624">
        <v>40905</v>
      </c>
      <c r="BG1820" s="355">
        <v>1.8904000000000001E-2</v>
      </c>
      <c r="BH1820" s="624">
        <v>40802</v>
      </c>
      <c r="BI1820" s="355">
        <v>0.113876</v>
      </c>
      <c r="BJ1820" s="624">
        <v>40801</v>
      </c>
      <c r="BK1820" s="355">
        <v>3.2975999999999998E-2</v>
      </c>
    </row>
    <row r="1821" spans="3:63">
      <c r="C1821" s="624"/>
      <c r="D1821" s="355">
        <v>3.1640000000000001E-2</v>
      </c>
      <c r="AV1821" s="624"/>
      <c r="AX1821" s="624">
        <v>40808</v>
      </c>
      <c r="AY1821" s="355">
        <v>3.1179999999999999E-2</v>
      </c>
      <c r="AZ1821" s="624">
        <v>40872</v>
      </c>
      <c r="BA1821" s="355">
        <v>1.2800000000000001E-2</v>
      </c>
      <c r="BB1821" s="624">
        <v>40805</v>
      </c>
      <c r="BC1821" s="355">
        <v>0.31319999999999998</v>
      </c>
      <c r="BD1821" s="624">
        <v>40805</v>
      </c>
      <c r="BE1821" s="355">
        <v>8.7770000000000001E-2</v>
      </c>
      <c r="BF1821" s="624">
        <v>40906</v>
      </c>
      <c r="BG1821" s="355">
        <v>1.8846999999999999E-2</v>
      </c>
      <c r="BH1821" s="624">
        <v>40805</v>
      </c>
      <c r="BI1821" s="355">
        <v>0.111638</v>
      </c>
      <c r="BJ1821" s="624">
        <v>40802</v>
      </c>
      <c r="BK1821" s="355">
        <v>3.2953999999999997E-2</v>
      </c>
    </row>
    <row r="1822" spans="3:63">
      <c r="C1822" s="624"/>
      <c r="D1822" s="355">
        <v>3.1179999999999999E-2</v>
      </c>
      <c r="AV1822" s="624"/>
      <c r="AX1822" s="624">
        <v>40809</v>
      </c>
      <c r="AY1822" s="355">
        <v>3.1130000000000001E-2</v>
      </c>
      <c r="AZ1822" s="624">
        <v>40875</v>
      </c>
      <c r="BA1822" s="355">
        <v>1.29E-2</v>
      </c>
      <c r="BB1822" s="624">
        <v>40806</v>
      </c>
      <c r="BC1822" s="355">
        <v>0.31280000000000002</v>
      </c>
      <c r="BD1822" s="624">
        <v>40806</v>
      </c>
      <c r="BE1822" s="355">
        <v>8.7650000000000006E-2</v>
      </c>
      <c r="BF1822" s="624">
        <v>40907</v>
      </c>
      <c r="BG1822" s="355">
        <v>1.8821999999999998E-2</v>
      </c>
      <c r="BH1822" s="624">
        <v>40806</v>
      </c>
      <c r="BI1822" s="355">
        <v>0.112328</v>
      </c>
      <c r="BJ1822" s="624">
        <v>40805</v>
      </c>
      <c r="BK1822" s="355">
        <v>3.2723000000000002E-2</v>
      </c>
    </row>
    <row r="1823" spans="3:63">
      <c r="C1823" s="624"/>
      <c r="D1823" s="355">
        <v>3.1130000000000001E-2</v>
      </c>
      <c r="AV1823" s="624"/>
      <c r="AX1823" s="624">
        <v>40812</v>
      </c>
      <c r="AY1823" s="355">
        <v>3.083E-2</v>
      </c>
      <c r="AZ1823" s="624">
        <v>40876</v>
      </c>
      <c r="BA1823" s="355">
        <v>1.29E-2</v>
      </c>
      <c r="BB1823" s="624">
        <v>40807</v>
      </c>
      <c r="BC1823" s="355">
        <v>0.3034</v>
      </c>
      <c r="BD1823" s="624">
        <v>40807</v>
      </c>
      <c r="BE1823" s="355">
        <v>8.6989999999999998E-2</v>
      </c>
      <c r="BF1823" s="624">
        <v>40910</v>
      </c>
      <c r="BG1823" s="355">
        <v>1.8759999999999999E-2</v>
      </c>
      <c r="BH1823" s="624">
        <v>40807</v>
      </c>
      <c r="BI1823" s="355">
        <v>0.110193</v>
      </c>
      <c r="BJ1823" s="624">
        <v>40806</v>
      </c>
      <c r="BK1823" s="355">
        <v>3.2883999999999997E-2</v>
      </c>
    </row>
    <row r="1824" spans="3:63">
      <c r="C1824" s="624"/>
      <c r="D1824" s="355">
        <v>3.083E-2</v>
      </c>
      <c r="AV1824" s="624"/>
      <c r="AX1824" s="624">
        <v>40813</v>
      </c>
      <c r="AY1824" s="355">
        <v>3.15E-2</v>
      </c>
      <c r="AZ1824" s="624">
        <v>40877</v>
      </c>
      <c r="BA1824" s="355">
        <v>1.29E-2</v>
      </c>
      <c r="BB1824" s="624">
        <v>40808</v>
      </c>
      <c r="BC1824" s="355">
        <v>0.29809999999999998</v>
      </c>
      <c r="BD1824" s="624">
        <v>40808</v>
      </c>
      <c r="BE1824" s="355">
        <v>8.48E-2</v>
      </c>
      <c r="BF1824" s="624">
        <v>40911</v>
      </c>
      <c r="BG1824" s="355">
        <v>1.8793000000000001E-2</v>
      </c>
      <c r="BH1824" s="624">
        <v>40808</v>
      </c>
      <c r="BI1824" s="355">
        <v>0.10986</v>
      </c>
      <c r="BJ1824" s="624">
        <v>40807</v>
      </c>
      <c r="BK1824" s="355">
        <v>3.2658E-2</v>
      </c>
    </row>
    <row r="1825" spans="3:63">
      <c r="C1825" s="624"/>
      <c r="D1825" s="355">
        <v>3.15E-2</v>
      </c>
      <c r="AV1825" s="624"/>
      <c r="AX1825" s="624">
        <v>40814</v>
      </c>
      <c r="AY1825" s="355">
        <v>3.1379999999999998E-2</v>
      </c>
      <c r="AZ1825" s="624">
        <v>40878</v>
      </c>
      <c r="BA1825" s="355">
        <v>1.2999999999999999E-2</v>
      </c>
      <c r="BB1825" s="624">
        <v>40809</v>
      </c>
      <c r="BC1825" s="355">
        <v>0.30819999999999997</v>
      </c>
      <c r="BD1825" s="624">
        <v>40809</v>
      </c>
      <c r="BE1825" s="355">
        <v>8.5769999999999999E-2</v>
      </c>
      <c r="BF1825" s="624">
        <v>40912</v>
      </c>
      <c r="BG1825" s="355">
        <v>1.8841E-2</v>
      </c>
      <c r="BH1825" s="624">
        <v>40809</v>
      </c>
      <c r="BI1825" s="355">
        <v>0.110683</v>
      </c>
      <c r="BJ1825" s="624">
        <v>40808</v>
      </c>
      <c r="BK1825" s="355">
        <v>3.2467999999999997E-2</v>
      </c>
    </row>
    <row r="1826" spans="3:63">
      <c r="C1826" s="624"/>
      <c r="D1826" s="355">
        <v>3.1379999999999998E-2</v>
      </c>
      <c r="AV1826" s="624"/>
      <c r="AX1826" s="624">
        <v>40815</v>
      </c>
      <c r="AY1826" s="355">
        <v>3.1329999999999997E-2</v>
      </c>
      <c r="AZ1826" s="624">
        <v>40879</v>
      </c>
      <c r="BA1826" s="355">
        <v>1.29E-2</v>
      </c>
      <c r="BB1826" s="624">
        <v>40812</v>
      </c>
      <c r="BC1826" s="355">
        <v>0.30630000000000002</v>
      </c>
      <c r="BD1826" s="624">
        <v>40812</v>
      </c>
      <c r="BE1826" s="355">
        <v>8.4659999999999999E-2</v>
      </c>
      <c r="BF1826" s="624">
        <v>40913</v>
      </c>
      <c r="BG1826" s="355">
        <v>1.8896E-2</v>
      </c>
      <c r="BH1826" s="624">
        <v>40812</v>
      </c>
      <c r="BI1826" s="355">
        <v>0.110011</v>
      </c>
      <c r="BJ1826" s="624">
        <v>40809</v>
      </c>
      <c r="BK1826" s="355">
        <v>3.2326000000000001E-2</v>
      </c>
    </row>
    <row r="1827" spans="3:63">
      <c r="C1827" s="624"/>
      <c r="D1827" s="355">
        <v>3.1329999999999997E-2</v>
      </c>
      <c r="AV1827" s="624"/>
      <c r="AX1827" s="624">
        <v>40816</v>
      </c>
      <c r="AY1827" s="355">
        <v>3.1E-2</v>
      </c>
      <c r="AZ1827" s="624">
        <v>40882</v>
      </c>
      <c r="BA1827" s="355">
        <v>1.2999999999999999E-2</v>
      </c>
      <c r="BB1827" s="624">
        <v>40813</v>
      </c>
      <c r="BC1827" s="355">
        <v>0.3095</v>
      </c>
      <c r="BD1827" s="624">
        <v>40813</v>
      </c>
      <c r="BE1827" s="355">
        <v>8.5589999999999999E-2</v>
      </c>
      <c r="BF1827" s="624">
        <v>40914</v>
      </c>
      <c r="BG1827" s="355">
        <v>1.8970000000000001E-2</v>
      </c>
      <c r="BH1827" s="624">
        <v>40813</v>
      </c>
      <c r="BI1827" s="355">
        <v>0.112582</v>
      </c>
      <c r="BJ1827" s="624">
        <v>40812</v>
      </c>
      <c r="BK1827" s="355">
        <v>3.2122999999999999E-2</v>
      </c>
    </row>
    <row r="1828" spans="3:63">
      <c r="C1828" s="624"/>
      <c r="D1828" s="355">
        <v>3.1E-2</v>
      </c>
      <c r="AV1828" s="624"/>
      <c r="AX1828" s="624">
        <v>40819</v>
      </c>
      <c r="AY1828" s="355">
        <v>3.0519999999999999E-2</v>
      </c>
      <c r="AZ1828" s="624">
        <v>40883</v>
      </c>
      <c r="BA1828" s="355">
        <v>1.2999999999999999E-2</v>
      </c>
      <c r="BB1828" s="624">
        <v>40814</v>
      </c>
      <c r="BC1828" s="355">
        <v>0.30480000000000002</v>
      </c>
      <c r="BD1828" s="624">
        <v>40814</v>
      </c>
      <c r="BE1828" s="355">
        <v>8.4909999999999999E-2</v>
      </c>
      <c r="BF1828" s="624">
        <v>40917</v>
      </c>
      <c r="BG1828" s="355">
        <v>1.9078000000000001E-2</v>
      </c>
      <c r="BH1828" s="624">
        <v>40814</v>
      </c>
      <c r="BI1828" s="355">
        <v>0.10965</v>
      </c>
      <c r="BJ1828" s="624">
        <v>40813</v>
      </c>
      <c r="BK1828" s="355">
        <v>3.2393999999999999E-2</v>
      </c>
    </row>
    <row r="1829" spans="3:63">
      <c r="C1829" s="624"/>
      <c r="D1829" s="355">
        <v>3.0519999999999999E-2</v>
      </c>
      <c r="AV1829" s="624"/>
      <c r="AX1829" s="624">
        <v>40820</v>
      </c>
      <c r="AY1829" s="355">
        <v>3.0609999999999998E-2</v>
      </c>
      <c r="AZ1829" s="624">
        <v>40884</v>
      </c>
      <c r="BA1829" s="355">
        <v>1.2999999999999999E-2</v>
      </c>
      <c r="BB1829" s="624">
        <v>40815</v>
      </c>
      <c r="BC1829" s="355">
        <v>0.30690000000000001</v>
      </c>
      <c r="BD1829" s="624">
        <v>40815</v>
      </c>
      <c r="BE1829" s="355">
        <v>8.5169999999999996E-2</v>
      </c>
      <c r="BF1829" s="624">
        <v>40918</v>
      </c>
      <c r="BG1829" s="355">
        <v>1.9310999999999998E-2</v>
      </c>
      <c r="BH1829" s="624">
        <v>40815</v>
      </c>
      <c r="BI1829" s="355">
        <v>0.110619</v>
      </c>
      <c r="BJ1829" s="624">
        <v>40814</v>
      </c>
      <c r="BK1829" s="355">
        <v>3.2184999999999998E-2</v>
      </c>
    </row>
    <row r="1830" spans="3:63">
      <c r="C1830" s="624"/>
      <c r="D1830" s="355">
        <v>3.0609999999999998E-2</v>
      </c>
      <c r="AV1830" s="624"/>
      <c r="AX1830" s="624">
        <v>40821</v>
      </c>
      <c r="AY1830" s="355">
        <v>3.0759999999999999E-2</v>
      </c>
      <c r="AZ1830" s="624">
        <v>40885</v>
      </c>
      <c r="BA1830" s="355">
        <v>1.29E-2</v>
      </c>
      <c r="BB1830" s="624">
        <v>40816</v>
      </c>
      <c r="BC1830" s="355">
        <v>0.30299999999999999</v>
      </c>
      <c r="BD1830" s="624">
        <v>40816</v>
      </c>
      <c r="BE1830" s="355">
        <v>8.4489999999999996E-2</v>
      </c>
      <c r="BF1830" s="624">
        <v>40919</v>
      </c>
      <c r="BG1830" s="355">
        <v>1.9292E-2</v>
      </c>
      <c r="BH1830" s="624">
        <v>40816</v>
      </c>
      <c r="BI1830" s="355">
        <v>0.110073</v>
      </c>
      <c r="BJ1830" s="624">
        <v>40815</v>
      </c>
      <c r="BK1830" s="355">
        <v>3.2081999999999999E-2</v>
      </c>
    </row>
    <row r="1831" spans="3:63">
      <c r="C1831" s="624"/>
      <c r="D1831" s="355">
        <v>3.0759999999999999E-2</v>
      </c>
      <c r="AV1831" s="624"/>
      <c r="AX1831" s="624">
        <v>40822</v>
      </c>
      <c r="AY1831" s="355">
        <v>3.0949999999999998E-2</v>
      </c>
      <c r="AZ1831" s="624">
        <v>40886</v>
      </c>
      <c r="BA1831" s="355">
        <v>1.2999999999999999E-2</v>
      </c>
      <c r="BB1831" s="624">
        <v>40819</v>
      </c>
      <c r="BC1831" s="355">
        <v>0.29830000000000001</v>
      </c>
      <c r="BD1831" s="624">
        <v>40819</v>
      </c>
      <c r="BE1831" s="355">
        <v>8.4409999999999999E-2</v>
      </c>
      <c r="BF1831" s="624">
        <v>40920</v>
      </c>
      <c r="BG1831" s="355">
        <v>1.9406E-2</v>
      </c>
      <c r="BH1831" s="624">
        <v>40819</v>
      </c>
      <c r="BI1831" s="355">
        <v>0.111882</v>
      </c>
      <c r="BJ1831" s="624">
        <v>40816</v>
      </c>
      <c r="BK1831" s="355">
        <v>3.2056000000000001E-2</v>
      </c>
    </row>
    <row r="1832" spans="3:63">
      <c r="C1832" s="624"/>
      <c r="D1832" s="355">
        <v>3.0949999999999998E-2</v>
      </c>
      <c r="AV1832" s="624"/>
      <c r="AX1832" s="624">
        <v>40823</v>
      </c>
      <c r="AY1832" s="355">
        <v>3.0880000000000001E-2</v>
      </c>
      <c r="AZ1832" s="624">
        <v>40889</v>
      </c>
      <c r="BA1832" s="355">
        <v>1.29E-2</v>
      </c>
      <c r="BB1832" s="624">
        <v>40820</v>
      </c>
      <c r="BC1832" s="355">
        <v>0.30349999999999999</v>
      </c>
      <c r="BD1832" s="624">
        <v>40820</v>
      </c>
      <c r="BE1832" s="355">
        <v>8.3809999999999996E-2</v>
      </c>
      <c r="BF1832" s="624">
        <v>40921</v>
      </c>
      <c r="BG1832" s="355">
        <v>1.9413E-2</v>
      </c>
      <c r="BH1832" s="624">
        <v>40820</v>
      </c>
      <c r="BI1832" s="355">
        <v>0.110927</v>
      </c>
      <c r="BJ1832" s="624">
        <v>40819</v>
      </c>
      <c r="BK1832" s="355">
        <v>3.2032999999999999E-2</v>
      </c>
    </row>
    <row r="1833" spans="3:63">
      <c r="C1833" s="624"/>
      <c r="D1833" s="355">
        <v>3.0880000000000001E-2</v>
      </c>
      <c r="AV1833" s="624"/>
      <c r="AX1833" s="624">
        <v>40826</v>
      </c>
      <c r="AY1833" s="355">
        <v>3.1710000000000002E-2</v>
      </c>
      <c r="AZ1833" s="624">
        <v>40890</v>
      </c>
      <c r="BA1833" s="355">
        <v>1.2800000000000001E-2</v>
      </c>
      <c r="BB1833" s="624">
        <v>40821</v>
      </c>
      <c r="BC1833" s="355">
        <v>0.30470000000000003</v>
      </c>
      <c r="BD1833" s="624">
        <v>40821</v>
      </c>
      <c r="BE1833" s="355">
        <v>8.4309999999999996E-2</v>
      </c>
      <c r="BF1833" s="624">
        <v>40924</v>
      </c>
      <c r="BG1833" s="355">
        <v>1.9446000000000001E-2</v>
      </c>
      <c r="BH1833" s="624">
        <v>40821</v>
      </c>
      <c r="BI1833" s="355">
        <v>0.111857</v>
      </c>
      <c r="BJ1833" s="624">
        <v>40820</v>
      </c>
      <c r="BK1833" s="355">
        <v>3.2072000000000003E-2</v>
      </c>
    </row>
    <row r="1834" spans="3:63">
      <c r="C1834" s="624"/>
      <c r="D1834" s="355">
        <v>3.1710000000000002E-2</v>
      </c>
      <c r="AV1834" s="624"/>
      <c r="AX1834" s="624">
        <v>40827</v>
      </c>
      <c r="AY1834" s="355">
        <v>3.1690000000000003E-2</v>
      </c>
      <c r="AZ1834" s="624">
        <v>40891</v>
      </c>
      <c r="BA1834" s="355">
        <v>1.29E-2</v>
      </c>
      <c r="BB1834" s="624">
        <v>40822</v>
      </c>
      <c r="BC1834" s="355">
        <v>0.30730000000000002</v>
      </c>
      <c r="BD1834" s="624">
        <v>40822</v>
      </c>
      <c r="BE1834" s="355">
        <v>8.4599999999999995E-2</v>
      </c>
      <c r="BF1834" s="624">
        <v>40925</v>
      </c>
      <c r="BG1834" s="355">
        <v>1.9709999999999998E-2</v>
      </c>
      <c r="BH1834" s="624">
        <v>40822</v>
      </c>
      <c r="BI1834" s="355">
        <v>0.112899</v>
      </c>
      <c r="BJ1834" s="624">
        <v>40821</v>
      </c>
      <c r="BK1834" s="355">
        <v>3.2118000000000001E-2</v>
      </c>
    </row>
    <row r="1835" spans="3:63">
      <c r="C1835" s="624"/>
      <c r="D1835" s="355">
        <v>3.1690000000000003E-2</v>
      </c>
      <c r="AV1835" s="624"/>
      <c r="AX1835" s="624">
        <v>40828</v>
      </c>
      <c r="AY1835" s="355">
        <v>3.2140000000000002E-2</v>
      </c>
      <c r="AZ1835" s="624">
        <v>40892</v>
      </c>
      <c r="BA1835" s="355">
        <v>1.2800000000000001E-2</v>
      </c>
      <c r="BB1835" s="624">
        <v>40823</v>
      </c>
      <c r="BC1835" s="355">
        <v>0.30559999999999998</v>
      </c>
      <c r="BD1835" s="624">
        <v>40823</v>
      </c>
      <c r="BE1835" s="355">
        <v>8.4570000000000006E-2</v>
      </c>
      <c r="BF1835" s="624">
        <v>40926</v>
      </c>
      <c r="BG1835" s="355">
        <v>1.984E-2</v>
      </c>
      <c r="BH1835" s="624">
        <v>40823</v>
      </c>
      <c r="BI1835" s="355">
        <v>0.111247</v>
      </c>
      <c r="BJ1835" s="624">
        <v>40822</v>
      </c>
      <c r="BK1835" s="355">
        <v>3.2247999999999999E-2</v>
      </c>
    </row>
    <row r="1836" spans="3:63">
      <c r="C1836" s="624"/>
      <c r="D1836" s="355">
        <v>3.2140000000000002E-2</v>
      </c>
      <c r="AV1836" s="624"/>
      <c r="AX1836" s="624">
        <v>40829</v>
      </c>
      <c r="AY1836" s="355">
        <v>3.2050000000000002E-2</v>
      </c>
      <c r="AZ1836" s="624">
        <v>40893</v>
      </c>
      <c r="BA1836" s="355">
        <v>1.29E-2</v>
      </c>
      <c r="BB1836" s="624">
        <v>40826</v>
      </c>
      <c r="BC1836" s="355">
        <v>0.31690000000000002</v>
      </c>
      <c r="BD1836" s="624">
        <v>40826</v>
      </c>
      <c r="BE1836" s="355">
        <v>8.5489999999999997E-2</v>
      </c>
      <c r="BF1836" s="624">
        <v>40927</v>
      </c>
      <c r="BG1836" s="355">
        <v>1.9876000000000001E-2</v>
      </c>
      <c r="BH1836" s="624">
        <v>40826</v>
      </c>
      <c r="BI1836" s="355">
        <v>0.11257499999999999</v>
      </c>
      <c r="BJ1836" s="624">
        <v>40823</v>
      </c>
      <c r="BK1836" s="355">
        <v>3.2279000000000002E-2</v>
      </c>
    </row>
    <row r="1837" spans="3:63">
      <c r="C1837" s="624"/>
      <c r="D1837" s="355">
        <v>3.2050000000000002E-2</v>
      </c>
      <c r="AV1837" s="624"/>
      <c r="AX1837" s="624">
        <v>40830</v>
      </c>
      <c r="AY1837" s="355">
        <v>3.2399999999999998E-2</v>
      </c>
      <c r="AZ1837" s="624">
        <v>40896</v>
      </c>
      <c r="BA1837" s="355">
        <v>1.2699999999999999E-2</v>
      </c>
      <c r="BB1837" s="624">
        <v>40827</v>
      </c>
      <c r="BC1837" s="355">
        <v>0.316</v>
      </c>
      <c r="BD1837" s="624">
        <v>40827</v>
      </c>
      <c r="BE1837" s="355">
        <v>8.5349999999999995E-2</v>
      </c>
      <c r="BF1837" s="624">
        <v>40928</v>
      </c>
      <c r="BG1837" s="355">
        <v>1.9882E-2</v>
      </c>
      <c r="BH1837" s="624">
        <v>40827</v>
      </c>
      <c r="BI1837" s="355">
        <v>0.11241</v>
      </c>
      <c r="BJ1837" s="624">
        <v>40826</v>
      </c>
      <c r="BK1837" s="355">
        <v>3.2409E-2</v>
      </c>
    </row>
    <row r="1838" spans="3:63">
      <c r="C1838" s="624"/>
      <c r="D1838" s="355">
        <v>3.2399999999999998E-2</v>
      </c>
      <c r="AV1838" s="624"/>
      <c r="AX1838" s="624">
        <v>40833</v>
      </c>
      <c r="AY1838" s="355">
        <v>3.2300000000000002E-2</v>
      </c>
      <c r="AZ1838" s="624">
        <v>40897</v>
      </c>
      <c r="BA1838" s="355">
        <v>1.2699999999999999E-2</v>
      </c>
      <c r="BB1838" s="624">
        <v>40828</v>
      </c>
      <c r="BC1838" s="355">
        <v>0.32150000000000001</v>
      </c>
      <c r="BD1838" s="624">
        <v>40828</v>
      </c>
      <c r="BE1838" s="355">
        <v>8.5800000000000001E-2</v>
      </c>
      <c r="BF1838" s="624">
        <v>40931</v>
      </c>
      <c r="BG1838" s="355">
        <v>2.0005999999999999E-2</v>
      </c>
      <c r="BH1838" s="624">
        <v>40828</v>
      </c>
      <c r="BI1838" s="355">
        <v>0.11305800000000001</v>
      </c>
      <c r="BJ1838" s="624">
        <v>40827</v>
      </c>
      <c r="BK1838" s="355">
        <v>3.2321000000000003E-2</v>
      </c>
    </row>
    <row r="1839" spans="3:63">
      <c r="C1839" s="624"/>
      <c r="D1839" s="355">
        <v>3.2300000000000002E-2</v>
      </c>
      <c r="AV1839" s="624"/>
      <c r="AX1839" s="624">
        <v>40834</v>
      </c>
      <c r="AY1839" s="355">
        <v>3.2059999999999998E-2</v>
      </c>
      <c r="AZ1839" s="624">
        <v>40898</v>
      </c>
      <c r="BA1839" s="355">
        <v>1.2699999999999999E-2</v>
      </c>
      <c r="BB1839" s="624">
        <v>40829</v>
      </c>
      <c r="BC1839" s="355">
        <v>0.32050000000000001</v>
      </c>
      <c r="BD1839" s="624">
        <v>40829</v>
      </c>
      <c r="BE1839" s="355">
        <v>8.6599999999999996E-2</v>
      </c>
      <c r="BF1839" s="624">
        <v>40932</v>
      </c>
      <c r="BG1839" s="355">
        <v>1.9990999999999998E-2</v>
      </c>
      <c r="BH1839" s="624">
        <v>40829</v>
      </c>
      <c r="BI1839" s="355">
        <v>0.11283799999999999</v>
      </c>
      <c r="BJ1839" s="624">
        <v>40828</v>
      </c>
      <c r="BK1839" s="355">
        <v>3.2461999999999998E-2</v>
      </c>
    </row>
    <row r="1840" spans="3:63">
      <c r="C1840" s="624"/>
      <c r="D1840" s="355">
        <v>3.2059999999999998E-2</v>
      </c>
      <c r="AV1840" s="624"/>
      <c r="AX1840" s="624">
        <v>40835</v>
      </c>
      <c r="AY1840" s="355">
        <v>3.2239999999999998E-2</v>
      </c>
      <c r="AZ1840" s="624">
        <v>40899</v>
      </c>
      <c r="BA1840" s="355">
        <v>1.2699999999999999E-2</v>
      </c>
      <c r="BB1840" s="624">
        <v>40830</v>
      </c>
      <c r="BC1840" s="355">
        <v>0.3226</v>
      </c>
      <c r="BD1840" s="624">
        <v>40830</v>
      </c>
      <c r="BE1840" s="355">
        <v>8.6550000000000002E-2</v>
      </c>
      <c r="BF1840" s="624">
        <v>40933</v>
      </c>
      <c r="BG1840" s="355">
        <v>1.9906E-2</v>
      </c>
      <c r="BH1840" s="624">
        <v>40830</v>
      </c>
      <c r="BI1840" s="355">
        <v>0.113007</v>
      </c>
      <c r="BJ1840" s="624">
        <v>40829</v>
      </c>
      <c r="BK1840" s="355">
        <v>3.2393999999999999E-2</v>
      </c>
    </row>
    <row r="1841" spans="3:63">
      <c r="C1841" s="624"/>
      <c r="D1841" s="355">
        <v>3.2239999999999998E-2</v>
      </c>
      <c r="AV1841" s="624"/>
      <c r="AX1841" s="624">
        <v>40836</v>
      </c>
      <c r="AY1841" s="355">
        <v>3.1899999999999998E-2</v>
      </c>
      <c r="AZ1841" s="624">
        <v>40900</v>
      </c>
      <c r="BA1841" s="355">
        <v>1.26E-2</v>
      </c>
      <c r="BB1841" s="624">
        <v>40833</v>
      </c>
      <c r="BC1841" s="355">
        <v>0.31540000000000001</v>
      </c>
      <c r="BD1841" s="624">
        <v>40833</v>
      </c>
      <c r="BE1841" s="355">
        <v>8.6929999999999993E-2</v>
      </c>
      <c r="BF1841" s="624">
        <v>40935</v>
      </c>
      <c r="BG1841" s="355">
        <v>2.0243000000000001E-2</v>
      </c>
      <c r="BH1841" s="624">
        <v>40833</v>
      </c>
      <c r="BI1841" s="355">
        <v>0.112486</v>
      </c>
      <c r="BJ1841" s="624">
        <v>40830</v>
      </c>
      <c r="BK1841" s="355">
        <v>3.2509999999999997E-2</v>
      </c>
    </row>
    <row r="1842" spans="3:63">
      <c r="C1842" s="624"/>
      <c r="D1842" s="355">
        <v>3.1899999999999998E-2</v>
      </c>
      <c r="AV1842" s="624"/>
      <c r="AX1842" s="624">
        <v>40837</v>
      </c>
      <c r="AY1842" s="355">
        <v>3.2199999999999999E-2</v>
      </c>
      <c r="AZ1842" s="624">
        <v>40903</v>
      </c>
      <c r="BA1842" s="355">
        <v>1.2699999999999999E-2</v>
      </c>
      <c r="BB1842" s="624">
        <v>40834</v>
      </c>
      <c r="BC1842" s="355">
        <v>0.31590000000000001</v>
      </c>
      <c r="BD1842" s="624">
        <v>40834</v>
      </c>
      <c r="BE1842" s="355">
        <v>8.7080000000000005E-2</v>
      </c>
      <c r="BF1842" s="624">
        <v>40938</v>
      </c>
      <c r="BG1842" s="355">
        <v>2.0087000000000001E-2</v>
      </c>
      <c r="BH1842" s="624">
        <v>40834</v>
      </c>
      <c r="BI1842" s="355">
        <v>0.113026</v>
      </c>
      <c r="BJ1842" s="624">
        <v>40833</v>
      </c>
      <c r="BK1842" s="355">
        <v>3.2611000000000001E-2</v>
      </c>
    </row>
    <row r="1843" spans="3:63">
      <c r="C1843" s="624"/>
      <c r="D1843" s="355">
        <v>3.2199999999999999E-2</v>
      </c>
      <c r="AV1843" s="624"/>
      <c r="AX1843" s="624">
        <v>40840</v>
      </c>
      <c r="AY1843" s="355">
        <v>3.2759999999999997E-2</v>
      </c>
      <c r="AZ1843" s="624">
        <v>40904</v>
      </c>
      <c r="BA1843" s="355">
        <v>1.2699999999999999E-2</v>
      </c>
      <c r="BB1843" s="624">
        <v>40835</v>
      </c>
      <c r="BC1843" s="355">
        <v>0.31680000000000003</v>
      </c>
      <c r="BD1843" s="624">
        <v>40835</v>
      </c>
      <c r="BE1843" s="355">
        <v>8.8099999999999998E-2</v>
      </c>
      <c r="BF1843" s="624">
        <v>40939</v>
      </c>
      <c r="BG1843" s="355">
        <v>2.0187E-2</v>
      </c>
      <c r="BH1843" s="624">
        <v>40835</v>
      </c>
      <c r="BI1843" s="355">
        <v>0.113701</v>
      </c>
      <c r="BJ1843" s="624">
        <v>40834</v>
      </c>
      <c r="BK1843" s="355">
        <v>3.2584000000000002E-2</v>
      </c>
    </row>
    <row r="1844" spans="3:63">
      <c r="C1844" s="624"/>
      <c r="D1844" s="355">
        <v>3.2759999999999997E-2</v>
      </c>
      <c r="AV1844" s="624"/>
      <c r="AX1844" s="624">
        <v>40841</v>
      </c>
      <c r="AY1844" s="355">
        <v>3.279E-2</v>
      </c>
      <c r="AZ1844" s="624">
        <v>40905</v>
      </c>
      <c r="BA1844" s="355">
        <v>1.24E-2</v>
      </c>
      <c r="BB1844" s="624">
        <v>40836</v>
      </c>
      <c r="BC1844" s="355">
        <v>0.313</v>
      </c>
      <c r="BD1844" s="624">
        <v>40836</v>
      </c>
      <c r="BE1844" s="355">
        <v>8.7139999999999995E-2</v>
      </c>
      <c r="BF1844" s="624">
        <v>40940</v>
      </c>
      <c r="BG1844" s="355">
        <v>2.0369000000000002E-2</v>
      </c>
      <c r="BH1844" s="624">
        <v>40836</v>
      </c>
      <c r="BI1844" s="355">
        <v>0.11229699999999999</v>
      </c>
      <c r="BJ1844" s="624">
        <v>40835</v>
      </c>
      <c r="BK1844" s="355">
        <v>3.2467999999999997E-2</v>
      </c>
    </row>
    <row r="1845" spans="3:63">
      <c r="C1845" s="624"/>
      <c r="D1845" s="355">
        <v>3.279E-2</v>
      </c>
      <c r="AV1845" s="624"/>
      <c r="AX1845" s="624">
        <v>40842</v>
      </c>
      <c r="AY1845" s="355">
        <v>3.2629999999999999E-2</v>
      </c>
      <c r="AZ1845" s="624">
        <v>40906</v>
      </c>
      <c r="BA1845" s="355">
        <v>1.24E-2</v>
      </c>
      <c r="BB1845" s="624">
        <v>40837</v>
      </c>
      <c r="BC1845" s="355">
        <v>0.31630000000000003</v>
      </c>
      <c r="BD1845" s="624">
        <v>40837</v>
      </c>
      <c r="BE1845" s="355">
        <v>8.7319999999999995E-2</v>
      </c>
      <c r="BF1845" s="624">
        <v>40941</v>
      </c>
      <c r="BG1845" s="355">
        <v>2.0396000000000001E-2</v>
      </c>
      <c r="BH1845" s="624">
        <v>40837</v>
      </c>
      <c r="BI1845" s="355">
        <v>0.112708</v>
      </c>
      <c r="BJ1845" s="624">
        <v>40836</v>
      </c>
      <c r="BK1845" s="355">
        <v>3.2226999999999999E-2</v>
      </c>
    </row>
    <row r="1846" spans="3:63">
      <c r="C1846" s="624"/>
      <c r="D1846" s="355">
        <v>3.2629999999999999E-2</v>
      </c>
      <c r="AV1846" s="624"/>
      <c r="AX1846" s="624">
        <v>40843</v>
      </c>
      <c r="AY1846" s="355">
        <v>3.3450000000000001E-2</v>
      </c>
      <c r="AZ1846" s="624">
        <v>40907</v>
      </c>
      <c r="BA1846" s="355">
        <v>1.21E-2</v>
      </c>
      <c r="BB1846" s="624">
        <v>40840</v>
      </c>
      <c r="BC1846" s="355">
        <v>0.3196</v>
      </c>
      <c r="BD1846" s="624">
        <v>40840</v>
      </c>
      <c r="BE1846" s="355">
        <v>8.8270000000000001E-2</v>
      </c>
      <c r="BF1846" s="624">
        <v>40942</v>
      </c>
      <c r="BG1846" s="355">
        <v>2.0486000000000001E-2</v>
      </c>
      <c r="BH1846" s="624">
        <v>40840</v>
      </c>
      <c r="BI1846" s="355">
        <v>0.11318599999999999</v>
      </c>
      <c r="BJ1846" s="624">
        <v>40837</v>
      </c>
      <c r="BK1846" s="355">
        <v>3.2330999999999999E-2</v>
      </c>
    </row>
    <row r="1847" spans="3:63">
      <c r="C1847" s="624"/>
      <c r="D1847" s="355">
        <v>3.3450000000000001E-2</v>
      </c>
      <c r="AV1847" s="624"/>
      <c r="AX1847" s="624">
        <v>40844</v>
      </c>
      <c r="AY1847" s="355">
        <v>3.3529999999999997E-2</v>
      </c>
      <c r="AZ1847" s="624">
        <v>40910</v>
      </c>
      <c r="BA1847" s="355">
        <v>1.21E-2</v>
      </c>
      <c r="BB1847" s="624">
        <v>40841</v>
      </c>
      <c r="BC1847" s="355">
        <v>0.31850000000000001</v>
      </c>
      <c r="BD1847" s="624">
        <v>40841</v>
      </c>
      <c r="BE1847" s="355">
        <v>8.838E-2</v>
      </c>
      <c r="BF1847" s="624">
        <v>40945</v>
      </c>
      <c r="BG1847" s="355">
        <v>2.0386000000000001E-2</v>
      </c>
      <c r="BH1847" s="624">
        <v>40841</v>
      </c>
      <c r="BI1847" s="355">
        <v>0.113026</v>
      </c>
      <c r="BJ1847" s="624">
        <v>40840</v>
      </c>
      <c r="BK1847" s="355">
        <v>3.2457E-2</v>
      </c>
    </row>
    <row r="1848" spans="3:63">
      <c r="C1848" s="624"/>
      <c r="D1848" s="355">
        <v>3.3529999999999997E-2</v>
      </c>
      <c r="AV1848" s="624"/>
      <c r="AX1848" s="624">
        <v>40847</v>
      </c>
      <c r="AY1848" s="355">
        <v>3.295E-2</v>
      </c>
      <c r="AZ1848" s="624">
        <v>40911</v>
      </c>
      <c r="BA1848" s="355">
        <v>1.2200000000000001E-2</v>
      </c>
      <c r="BB1848" s="624">
        <v>40842</v>
      </c>
      <c r="BC1848" s="355">
        <v>0.31740000000000002</v>
      </c>
      <c r="BD1848" s="624">
        <v>40842</v>
      </c>
      <c r="BE1848" s="355">
        <v>8.8389999999999996E-2</v>
      </c>
      <c r="BF1848" s="624">
        <v>40946</v>
      </c>
      <c r="BG1848" s="355">
        <v>2.0338999999999999E-2</v>
      </c>
      <c r="BH1848" s="624">
        <v>40842</v>
      </c>
      <c r="BI1848" s="355">
        <v>0.11272699999999999</v>
      </c>
      <c r="BJ1848" s="624">
        <v>40841</v>
      </c>
      <c r="BK1848" s="355">
        <v>3.2457E-2</v>
      </c>
    </row>
    <row r="1849" spans="3:63">
      <c r="C1849" s="624"/>
      <c r="D1849" s="355">
        <v>3.295E-2</v>
      </c>
      <c r="AV1849" s="624"/>
      <c r="AX1849" s="624">
        <v>40848</v>
      </c>
      <c r="AY1849" s="355">
        <v>3.2500000000000001E-2</v>
      </c>
      <c r="AZ1849" s="624">
        <v>40912</v>
      </c>
      <c r="BA1849" s="355">
        <v>1.2200000000000001E-2</v>
      </c>
      <c r="BB1849" s="624">
        <v>40843</v>
      </c>
      <c r="BC1849" s="355">
        <v>0.33019999999999999</v>
      </c>
      <c r="BD1849" s="624">
        <v>40843</v>
      </c>
      <c r="BE1849" s="355">
        <v>9.0209999999999999E-2</v>
      </c>
      <c r="BF1849" s="624">
        <v>40947</v>
      </c>
      <c r="BG1849" s="355">
        <v>2.0313999999999999E-2</v>
      </c>
      <c r="BH1849" s="624">
        <v>40843</v>
      </c>
      <c r="BI1849" s="355">
        <v>0.11386300000000001</v>
      </c>
      <c r="BJ1849" s="624">
        <v>40842</v>
      </c>
      <c r="BK1849" s="355">
        <v>3.2478E-2</v>
      </c>
    </row>
    <row r="1850" spans="3:63">
      <c r="C1850" s="624"/>
      <c r="D1850" s="355">
        <v>3.2500000000000001E-2</v>
      </c>
      <c r="AV1850" s="624"/>
      <c r="AX1850" s="624">
        <v>40849</v>
      </c>
      <c r="AY1850" s="355">
        <v>3.2559999999999999E-2</v>
      </c>
      <c r="AZ1850" s="624">
        <v>40913</v>
      </c>
      <c r="BA1850" s="355">
        <v>1.2200000000000001E-2</v>
      </c>
      <c r="BB1850" s="624">
        <v>40844</v>
      </c>
      <c r="BC1850" s="355">
        <v>0.3266</v>
      </c>
      <c r="BD1850" s="624">
        <v>40844</v>
      </c>
      <c r="BE1850" s="355">
        <v>9.0630000000000002E-2</v>
      </c>
      <c r="BF1850" s="624">
        <v>40948</v>
      </c>
      <c r="BG1850" s="355">
        <v>2.0227999999999999E-2</v>
      </c>
      <c r="BH1850" s="624">
        <v>40844</v>
      </c>
      <c r="BI1850" s="355">
        <v>0.113508</v>
      </c>
      <c r="BJ1850" s="624">
        <v>40843</v>
      </c>
      <c r="BK1850" s="355">
        <v>3.2798000000000001E-2</v>
      </c>
    </row>
    <row r="1851" spans="3:63">
      <c r="C1851" s="624"/>
      <c r="D1851" s="355">
        <v>3.2559999999999999E-2</v>
      </c>
      <c r="AV1851" s="624"/>
      <c r="AX1851" s="624">
        <v>40850</v>
      </c>
      <c r="AY1851" s="355">
        <v>3.2820000000000002E-2</v>
      </c>
      <c r="AZ1851" s="624">
        <v>40914</v>
      </c>
      <c r="BA1851" s="355">
        <v>1.21E-2</v>
      </c>
      <c r="BB1851" s="624">
        <v>40847</v>
      </c>
      <c r="BC1851" s="355">
        <v>0.315</v>
      </c>
      <c r="BD1851" s="624">
        <v>40847</v>
      </c>
      <c r="BE1851" s="355">
        <v>8.9679999999999996E-2</v>
      </c>
      <c r="BF1851" s="624">
        <v>40949</v>
      </c>
      <c r="BG1851" s="355">
        <v>2.0201E-2</v>
      </c>
      <c r="BH1851" s="624">
        <v>40847</v>
      </c>
      <c r="BI1851" s="355">
        <v>0.11274000000000001</v>
      </c>
      <c r="BJ1851" s="624">
        <v>40844</v>
      </c>
      <c r="BK1851" s="355">
        <v>3.2723000000000002E-2</v>
      </c>
    </row>
    <row r="1852" spans="3:63">
      <c r="C1852" s="624"/>
      <c r="D1852" s="355">
        <v>3.2820000000000002E-2</v>
      </c>
      <c r="AV1852" s="624"/>
      <c r="AX1852" s="624">
        <v>40851</v>
      </c>
      <c r="AY1852" s="355">
        <v>3.2570000000000002E-2</v>
      </c>
      <c r="AZ1852" s="624">
        <v>40917</v>
      </c>
      <c r="BA1852" s="355">
        <v>1.23E-2</v>
      </c>
      <c r="BB1852" s="624">
        <v>40848</v>
      </c>
      <c r="BC1852" s="355">
        <v>0.309</v>
      </c>
      <c r="BD1852" s="624">
        <v>40848</v>
      </c>
      <c r="BE1852" s="355">
        <v>8.9149999999999993E-2</v>
      </c>
      <c r="BF1852" s="624">
        <v>40952</v>
      </c>
      <c r="BG1852" s="355">
        <v>2.0346E-2</v>
      </c>
      <c r="BH1852" s="624">
        <v>40848</v>
      </c>
      <c r="BI1852" s="355">
        <v>0.112454</v>
      </c>
      <c r="BJ1852" s="624">
        <v>40847</v>
      </c>
      <c r="BK1852" s="355">
        <v>3.2563000000000002E-2</v>
      </c>
    </row>
    <row r="1853" spans="3:63">
      <c r="C1853" s="624"/>
      <c r="D1853" s="355">
        <v>3.2570000000000002E-2</v>
      </c>
      <c r="AV1853" s="624"/>
      <c r="AX1853" s="624">
        <v>40854</v>
      </c>
      <c r="AY1853" s="355">
        <v>3.2809999999999999E-2</v>
      </c>
      <c r="AZ1853" s="624">
        <v>40918</v>
      </c>
      <c r="BA1853" s="355">
        <v>1.23E-2</v>
      </c>
      <c r="BB1853" s="624">
        <v>40849</v>
      </c>
      <c r="BC1853" s="355">
        <v>0.31480000000000002</v>
      </c>
      <c r="BD1853" s="624">
        <v>40849</v>
      </c>
      <c r="BE1853" s="355">
        <v>8.9179999999999995E-2</v>
      </c>
      <c r="BF1853" s="624">
        <v>40953</v>
      </c>
      <c r="BG1853" s="355">
        <v>2.0209000000000001E-2</v>
      </c>
      <c r="BH1853" s="624">
        <v>40849</v>
      </c>
      <c r="BI1853" s="355">
        <v>0.111483</v>
      </c>
      <c r="BJ1853" s="624">
        <v>40848</v>
      </c>
      <c r="BK1853" s="355">
        <v>3.2362000000000002E-2</v>
      </c>
    </row>
    <row r="1854" spans="3:63">
      <c r="C1854" s="624"/>
      <c r="D1854" s="355">
        <v>3.2809999999999999E-2</v>
      </c>
      <c r="AV1854" s="624"/>
      <c r="AX1854" s="624">
        <v>40855</v>
      </c>
      <c r="AY1854" s="355">
        <v>3.3090000000000001E-2</v>
      </c>
      <c r="AZ1854" s="624">
        <v>40919</v>
      </c>
      <c r="BA1854" s="355">
        <v>1.2200000000000001E-2</v>
      </c>
      <c r="BB1854" s="624">
        <v>40850</v>
      </c>
      <c r="BC1854" s="355">
        <v>0.31890000000000002</v>
      </c>
      <c r="BD1854" s="624">
        <v>40850</v>
      </c>
      <c r="BE1854" s="355">
        <v>8.8779999999999998E-2</v>
      </c>
      <c r="BF1854" s="624">
        <v>40954</v>
      </c>
      <c r="BG1854" s="355">
        <v>2.0247999999999999E-2</v>
      </c>
      <c r="BH1854" s="624">
        <v>40850</v>
      </c>
      <c r="BI1854" s="355">
        <v>0.111982</v>
      </c>
      <c r="BJ1854" s="624">
        <v>40849</v>
      </c>
      <c r="BK1854" s="355">
        <v>3.2488999999999997E-2</v>
      </c>
    </row>
    <row r="1855" spans="3:63">
      <c r="C1855" s="624"/>
      <c r="D1855" s="355">
        <v>3.3090000000000001E-2</v>
      </c>
      <c r="AV1855" s="624"/>
      <c r="AX1855" s="624">
        <v>40856</v>
      </c>
      <c r="AY1855" s="355">
        <v>3.2649999999999998E-2</v>
      </c>
      <c r="AZ1855" s="624">
        <v>40920</v>
      </c>
      <c r="BA1855" s="355">
        <v>1.23E-2</v>
      </c>
      <c r="BB1855" s="624">
        <v>40851</v>
      </c>
      <c r="BC1855" s="355">
        <v>0.31559999999999999</v>
      </c>
      <c r="BD1855" s="624">
        <v>40851</v>
      </c>
      <c r="BE1855" s="355">
        <v>9.017E-2</v>
      </c>
      <c r="BF1855" s="624">
        <v>40956</v>
      </c>
      <c r="BG1855" s="355">
        <v>2.0277E-2</v>
      </c>
      <c r="BH1855" s="624">
        <v>40851</v>
      </c>
      <c r="BI1855" s="355">
        <v>0.111982</v>
      </c>
      <c r="BJ1855" s="624">
        <v>40850</v>
      </c>
      <c r="BK1855" s="355">
        <v>3.2626000000000002E-2</v>
      </c>
    </row>
    <row r="1856" spans="3:63">
      <c r="C1856" s="624"/>
      <c r="D1856" s="355">
        <v>3.2649999999999998E-2</v>
      </c>
      <c r="AV1856" s="624"/>
      <c r="AX1856" s="624">
        <v>40857</v>
      </c>
      <c r="AY1856" s="355">
        <v>3.2739999999999998E-2</v>
      </c>
      <c r="AZ1856" s="624">
        <v>40921</v>
      </c>
      <c r="BA1856" s="355">
        <v>1.21E-2</v>
      </c>
      <c r="BB1856" s="624">
        <v>40854</v>
      </c>
      <c r="BC1856" s="355">
        <v>0.31530000000000002</v>
      </c>
      <c r="BD1856" s="624">
        <v>40854</v>
      </c>
      <c r="BE1856" s="355">
        <v>8.9590000000000003E-2</v>
      </c>
      <c r="BF1856" s="624">
        <v>40960</v>
      </c>
      <c r="BG1856" s="355">
        <v>2.0271999999999998E-2</v>
      </c>
      <c r="BH1856" s="624">
        <v>40854</v>
      </c>
      <c r="BI1856" s="355">
        <v>0.11167000000000001</v>
      </c>
      <c r="BJ1856" s="624">
        <v>40851</v>
      </c>
      <c r="BK1856" s="355">
        <v>3.2648000000000003E-2</v>
      </c>
    </row>
    <row r="1857" spans="3:63">
      <c r="C1857" s="624"/>
      <c r="D1857" s="355">
        <v>3.2739999999999998E-2</v>
      </c>
      <c r="AV1857" s="624"/>
      <c r="AX1857" s="624">
        <v>40858</v>
      </c>
      <c r="AY1857" s="355">
        <v>3.2939999999999997E-2</v>
      </c>
      <c r="AZ1857" s="624">
        <v>40924</v>
      </c>
      <c r="BA1857" s="355">
        <v>1.21E-2</v>
      </c>
      <c r="BB1857" s="624">
        <v>40855</v>
      </c>
      <c r="BC1857" s="355">
        <v>0.31780000000000003</v>
      </c>
      <c r="BD1857" s="624">
        <v>40855</v>
      </c>
      <c r="BE1857" s="355">
        <v>8.9779999999999999E-2</v>
      </c>
      <c r="BF1857" s="624">
        <v>40961</v>
      </c>
      <c r="BG1857" s="355">
        <v>2.035E-2</v>
      </c>
      <c r="BH1857" s="624">
        <v>40855</v>
      </c>
      <c r="BI1857" s="355">
        <v>0.11217100000000001</v>
      </c>
      <c r="BJ1857" s="624">
        <v>40854</v>
      </c>
      <c r="BK1857" s="355">
        <v>3.2615999999999999E-2</v>
      </c>
    </row>
    <row r="1858" spans="3:63">
      <c r="C1858" s="624"/>
      <c r="D1858" s="355">
        <v>3.2939999999999997E-2</v>
      </c>
      <c r="AV1858" s="624"/>
      <c r="AX1858" s="624">
        <v>40861</v>
      </c>
      <c r="AY1858" s="355">
        <v>3.27E-2</v>
      </c>
      <c r="AZ1858" s="624">
        <v>40925</v>
      </c>
      <c r="BA1858" s="355">
        <v>1.21E-2</v>
      </c>
      <c r="BB1858" s="624">
        <v>40856</v>
      </c>
      <c r="BC1858" s="355">
        <v>0.308</v>
      </c>
      <c r="BD1858" s="624">
        <v>40856</v>
      </c>
      <c r="BE1858" s="355">
        <v>8.9020000000000002E-2</v>
      </c>
      <c r="BF1858" s="624">
        <v>40962</v>
      </c>
      <c r="BG1858" s="355">
        <v>2.0330000000000001E-2</v>
      </c>
      <c r="BH1858" s="624">
        <v>40856</v>
      </c>
      <c r="BI1858" s="355">
        <v>0.112549</v>
      </c>
      <c r="BJ1858" s="624">
        <v>40855</v>
      </c>
      <c r="BK1858" s="355">
        <v>3.2626000000000002E-2</v>
      </c>
    </row>
    <row r="1859" spans="3:63">
      <c r="C1859" s="624"/>
      <c r="D1859" s="355">
        <v>3.27E-2</v>
      </c>
      <c r="AV1859" s="624"/>
      <c r="AX1859" s="624">
        <v>40862</v>
      </c>
      <c r="AY1859" s="355">
        <v>3.2660000000000002E-2</v>
      </c>
      <c r="AZ1859" s="624">
        <v>40926</v>
      </c>
      <c r="BA1859" s="355">
        <v>1.2200000000000001E-2</v>
      </c>
      <c r="BB1859" s="624">
        <v>40857</v>
      </c>
      <c r="BC1859" s="355">
        <v>0.30780000000000002</v>
      </c>
      <c r="BD1859" s="624">
        <v>40857</v>
      </c>
      <c r="BE1859" s="355">
        <v>8.8370000000000004E-2</v>
      </c>
      <c r="BF1859" s="624">
        <v>40963</v>
      </c>
      <c r="BG1859" s="355">
        <v>2.0405E-2</v>
      </c>
      <c r="BH1859" s="624">
        <v>40857</v>
      </c>
      <c r="BI1859" s="355">
        <v>0.110926</v>
      </c>
      <c r="BJ1859" s="624">
        <v>40856</v>
      </c>
      <c r="BK1859" s="355">
        <v>3.2530999999999997E-2</v>
      </c>
    </row>
    <row r="1860" spans="3:63">
      <c r="C1860" s="624"/>
      <c r="D1860" s="355">
        <v>3.2660000000000002E-2</v>
      </c>
      <c r="AV1860" s="624"/>
      <c r="AX1860" s="624">
        <v>40863</v>
      </c>
      <c r="AY1860" s="355">
        <v>3.2480000000000002E-2</v>
      </c>
      <c r="AZ1860" s="624">
        <v>40927</v>
      </c>
      <c r="BA1860" s="355">
        <v>1.23E-2</v>
      </c>
      <c r="BB1860" s="624">
        <v>40858</v>
      </c>
      <c r="BC1860" s="355">
        <v>0.31369999999999998</v>
      </c>
      <c r="BD1860" s="624">
        <v>40858</v>
      </c>
      <c r="BE1860" s="355">
        <v>8.856E-2</v>
      </c>
      <c r="BF1860" s="624">
        <v>40966</v>
      </c>
      <c r="BG1860" s="355">
        <v>2.0341000000000001E-2</v>
      </c>
      <c r="BH1860" s="624">
        <v>40858</v>
      </c>
      <c r="BI1860" s="355">
        <v>0.111794</v>
      </c>
      <c r="BJ1860" s="624">
        <v>40857</v>
      </c>
      <c r="BK1860" s="355">
        <v>3.2473000000000002E-2</v>
      </c>
    </row>
    <row r="1861" spans="3:63">
      <c r="C1861" s="624"/>
      <c r="D1861" s="355">
        <v>3.2480000000000002E-2</v>
      </c>
      <c r="AV1861" s="624"/>
      <c r="AX1861" s="624">
        <v>40864</v>
      </c>
      <c r="AY1861" s="355">
        <v>3.2289999999999999E-2</v>
      </c>
      <c r="AZ1861" s="624">
        <v>40928</v>
      </c>
      <c r="BA1861" s="355">
        <v>1.23E-2</v>
      </c>
      <c r="BB1861" s="624">
        <v>40861</v>
      </c>
      <c r="BC1861" s="355">
        <v>0.30919999999999997</v>
      </c>
      <c r="BD1861" s="624">
        <v>40861</v>
      </c>
      <c r="BE1861" s="355">
        <v>8.8830000000000006E-2</v>
      </c>
      <c r="BF1861" s="624">
        <v>40967</v>
      </c>
      <c r="BG1861" s="355">
        <v>2.0423E-2</v>
      </c>
      <c r="BH1861" s="624">
        <v>40861</v>
      </c>
      <c r="BI1861" s="355">
        <v>0.11129699999999999</v>
      </c>
      <c r="BJ1861" s="624">
        <v>40858</v>
      </c>
      <c r="BK1861" s="355">
        <v>3.2478E-2</v>
      </c>
    </row>
    <row r="1862" spans="3:63">
      <c r="C1862" s="624"/>
      <c r="D1862" s="355">
        <v>3.2289999999999999E-2</v>
      </c>
      <c r="AV1862" s="624"/>
      <c r="AX1862" s="624">
        <v>40865</v>
      </c>
      <c r="AY1862" s="355">
        <v>3.2410000000000001E-2</v>
      </c>
      <c r="AZ1862" s="624">
        <v>40931</v>
      </c>
      <c r="BA1862" s="355">
        <v>1.24E-2</v>
      </c>
      <c r="BB1862" s="624">
        <v>40862</v>
      </c>
      <c r="BC1862" s="355">
        <v>0.30499999999999999</v>
      </c>
      <c r="BD1862" s="624">
        <v>40862</v>
      </c>
      <c r="BE1862" s="355">
        <v>8.8639999999999997E-2</v>
      </c>
      <c r="BF1862" s="624">
        <v>40968</v>
      </c>
      <c r="BG1862" s="355">
        <v>2.0365000000000001E-2</v>
      </c>
      <c r="BH1862" s="624">
        <v>40862</v>
      </c>
      <c r="BI1862" s="355">
        <v>0.111174</v>
      </c>
      <c r="BJ1862" s="624">
        <v>40861</v>
      </c>
      <c r="BK1862" s="355">
        <v>3.2499E-2</v>
      </c>
    </row>
    <row r="1863" spans="3:63">
      <c r="C1863" s="624"/>
      <c r="D1863" s="355">
        <v>3.2410000000000001E-2</v>
      </c>
      <c r="AV1863" s="624"/>
      <c r="AX1863" s="624">
        <v>40868</v>
      </c>
      <c r="AY1863" s="355">
        <v>3.2070000000000001E-2</v>
      </c>
      <c r="AZ1863" s="624">
        <v>40932</v>
      </c>
      <c r="BA1863" s="355">
        <v>1.24E-2</v>
      </c>
      <c r="BB1863" s="624">
        <v>40863</v>
      </c>
      <c r="BC1863" s="355">
        <v>0.3024</v>
      </c>
      <c r="BD1863" s="624">
        <v>40863</v>
      </c>
      <c r="BE1863" s="355">
        <v>8.8020000000000001E-2</v>
      </c>
      <c r="BF1863" s="624">
        <v>40969</v>
      </c>
      <c r="BG1863" s="355">
        <v>2.0333E-2</v>
      </c>
      <c r="BH1863" s="624">
        <v>40863</v>
      </c>
      <c r="BI1863" s="355">
        <v>0.111093</v>
      </c>
      <c r="BJ1863" s="624">
        <v>40862</v>
      </c>
      <c r="BK1863" s="355">
        <v>3.2446000000000003E-2</v>
      </c>
    </row>
    <row r="1864" spans="3:63">
      <c r="C1864" s="624"/>
      <c r="D1864" s="355">
        <v>3.2070000000000001E-2</v>
      </c>
      <c r="AV1864" s="624"/>
      <c r="AX1864" s="624">
        <v>40869</v>
      </c>
      <c r="AY1864" s="355">
        <v>3.2140000000000002E-2</v>
      </c>
      <c r="AZ1864" s="624">
        <v>40933</v>
      </c>
      <c r="BA1864" s="355">
        <v>1.24E-2</v>
      </c>
      <c r="BB1864" s="624">
        <v>40864</v>
      </c>
      <c r="BC1864" s="355">
        <v>0.30259999999999998</v>
      </c>
      <c r="BD1864" s="624">
        <v>40864</v>
      </c>
      <c r="BE1864" s="355">
        <v>8.7889999999999996E-2</v>
      </c>
      <c r="BF1864" s="624">
        <v>40970</v>
      </c>
      <c r="BG1864" s="355">
        <v>2.0195000000000001E-2</v>
      </c>
      <c r="BH1864" s="624">
        <v>40864</v>
      </c>
      <c r="BI1864" s="355">
        <v>0.10995099999999999</v>
      </c>
      <c r="BJ1864" s="624">
        <v>40863</v>
      </c>
      <c r="BK1864" s="355">
        <v>3.2425000000000002E-2</v>
      </c>
    </row>
    <row r="1865" spans="3:63">
      <c r="C1865" s="624"/>
      <c r="D1865" s="355">
        <v>3.2140000000000002E-2</v>
      </c>
      <c r="AV1865" s="624"/>
      <c r="AX1865" s="624">
        <v>40870</v>
      </c>
      <c r="AY1865" s="355">
        <v>3.1699999999999999E-2</v>
      </c>
      <c r="AZ1865" s="624">
        <v>40934</v>
      </c>
      <c r="BA1865" s="355">
        <v>1.24E-2</v>
      </c>
      <c r="BB1865" s="624">
        <v>40865</v>
      </c>
      <c r="BC1865" s="355">
        <v>0.30559999999999998</v>
      </c>
      <c r="BD1865" s="624">
        <v>40865</v>
      </c>
      <c r="BE1865" s="355">
        <v>8.7800000000000003E-2</v>
      </c>
      <c r="BF1865" s="624">
        <v>40973</v>
      </c>
      <c r="BG1865" s="355">
        <v>2.0070999999999999E-2</v>
      </c>
      <c r="BH1865" s="624">
        <v>40865</v>
      </c>
      <c r="BI1865" s="355">
        <v>0.11043600000000001</v>
      </c>
      <c r="BJ1865" s="624">
        <v>40864</v>
      </c>
      <c r="BK1865" s="355">
        <v>3.2336999999999998E-2</v>
      </c>
    </row>
    <row r="1866" spans="3:63">
      <c r="C1866" s="624"/>
      <c r="D1866" s="355">
        <v>3.1699999999999999E-2</v>
      </c>
      <c r="AV1866" s="624"/>
      <c r="AX1866" s="624">
        <v>40871</v>
      </c>
      <c r="AY1866" s="355">
        <v>3.1719999999999998E-2</v>
      </c>
      <c r="AZ1866" s="624">
        <v>40935</v>
      </c>
      <c r="BA1866" s="355">
        <v>1.24E-2</v>
      </c>
      <c r="BB1866" s="624">
        <v>40868</v>
      </c>
      <c r="BC1866" s="355">
        <v>0.30209999999999998</v>
      </c>
      <c r="BD1866" s="624">
        <v>40868</v>
      </c>
      <c r="BE1866" s="355">
        <v>8.7129999999999999E-2</v>
      </c>
      <c r="BF1866" s="624">
        <v>40974</v>
      </c>
      <c r="BG1866" s="355">
        <v>1.9855000000000001E-2</v>
      </c>
      <c r="BH1866" s="624">
        <v>40868</v>
      </c>
      <c r="BI1866" s="355">
        <v>0.10978400000000001</v>
      </c>
      <c r="BJ1866" s="624">
        <v>40865</v>
      </c>
      <c r="BK1866" s="355">
        <v>3.2258000000000002E-2</v>
      </c>
    </row>
    <row r="1867" spans="3:63">
      <c r="C1867" s="624"/>
      <c r="D1867" s="355">
        <v>3.1719999999999998E-2</v>
      </c>
      <c r="AV1867" s="624"/>
      <c r="AX1867" s="624">
        <v>40872</v>
      </c>
      <c r="AY1867" s="355">
        <v>3.1609999999999999E-2</v>
      </c>
      <c r="AZ1867" s="624">
        <v>40938</v>
      </c>
      <c r="BA1867" s="355">
        <v>1.24E-2</v>
      </c>
      <c r="BB1867" s="624">
        <v>40869</v>
      </c>
      <c r="BC1867" s="355">
        <v>0.3029</v>
      </c>
      <c r="BD1867" s="624">
        <v>40869</v>
      </c>
      <c r="BE1867" s="355">
        <v>8.7179999999999994E-2</v>
      </c>
      <c r="BF1867" s="624">
        <v>40975</v>
      </c>
      <c r="BG1867" s="355">
        <v>1.9843E-2</v>
      </c>
      <c r="BH1867" s="624">
        <v>40869</v>
      </c>
      <c r="BI1867" s="355">
        <v>0.10922999999999999</v>
      </c>
      <c r="BJ1867" s="624">
        <v>40868</v>
      </c>
      <c r="BK1867" s="355">
        <v>3.2016000000000003E-2</v>
      </c>
    </row>
    <row r="1868" spans="3:63">
      <c r="C1868" s="624"/>
      <c r="D1868" s="355">
        <v>3.1609999999999999E-2</v>
      </c>
      <c r="AV1868" s="624"/>
      <c r="AX1868" s="624">
        <v>40875</v>
      </c>
      <c r="AY1868" s="355">
        <v>3.1870000000000002E-2</v>
      </c>
      <c r="AZ1868" s="624">
        <v>40939</v>
      </c>
      <c r="BA1868" s="355">
        <v>1.24E-2</v>
      </c>
      <c r="BB1868" s="624">
        <v>40870</v>
      </c>
      <c r="BC1868" s="355">
        <v>0.2969</v>
      </c>
      <c r="BD1868" s="624">
        <v>40870</v>
      </c>
      <c r="BE1868" s="355">
        <v>8.6110000000000006E-2</v>
      </c>
      <c r="BF1868" s="624">
        <v>40977</v>
      </c>
      <c r="BG1868" s="355">
        <v>2.0086E-2</v>
      </c>
      <c r="BH1868" s="624">
        <v>40870</v>
      </c>
      <c r="BI1868" s="355">
        <v>0.108696</v>
      </c>
      <c r="BJ1868" s="624">
        <v>40869</v>
      </c>
      <c r="BK1868" s="355">
        <v>3.2062E-2</v>
      </c>
    </row>
    <row r="1869" spans="3:63">
      <c r="C1869" s="624"/>
      <c r="D1869" s="355">
        <v>3.1870000000000002E-2</v>
      </c>
      <c r="AV1869" s="624"/>
      <c r="AX1869" s="624">
        <v>40876</v>
      </c>
      <c r="AY1869" s="355">
        <v>3.1949999999999999E-2</v>
      </c>
      <c r="AZ1869" s="624">
        <v>40940</v>
      </c>
      <c r="BA1869" s="355">
        <v>1.2500000000000001E-2</v>
      </c>
      <c r="BB1869" s="624">
        <v>40871</v>
      </c>
      <c r="BC1869" s="355">
        <v>0.29699999999999999</v>
      </c>
      <c r="BD1869" s="624">
        <v>40871</v>
      </c>
      <c r="BE1869" s="355">
        <v>8.659E-2</v>
      </c>
      <c r="BF1869" s="624">
        <v>40980</v>
      </c>
      <c r="BG1869" s="355">
        <v>1.9994000000000001E-2</v>
      </c>
      <c r="BH1869" s="624">
        <v>40871</v>
      </c>
      <c r="BI1869" s="355">
        <v>0.10881399999999999</v>
      </c>
      <c r="BJ1869" s="624">
        <v>40870</v>
      </c>
      <c r="BK1869" s="355">
        <v>3.1857000000000003E-2</v>
      </c>
    </row>
    <row r="1870" spans="3:63">
      <c r="C1870" s="624"/>
      <c r="D1870" s="355">
        <v>3.1949999999999999E-2</v>
      </c>
      <c r="AV1870" s="624"/>
      <c r="AX1870" s="624">
        <v>40877</v>
      </c>
      <c r="AY1870" s="355">
        <v>3.2539999999999999E-2</v>
      </c>
      <c r="AZ1870" s="624">
        <v>40941</v>
      </c>
      <c r="BA1870" s="355">
        <v>1.2500000000000001E-2</v>
      </c>
      <c r="BB1870" s="624">
        <v>40872</v>
      </c>
      <c r="BC1870" s="355">
        <v>0.2913</v>
      </c>
      <c r="BD1870" s="624">
        <v>40872</v>
      </c>
      <c r="BE1870" s="355">
        <v>8.5949999999999999E-2</v>
      </c>
      <c r="BF1870" s="624">
        <v>40981</v>
      </c>
      <c r="BG1870" s="355">
        <v>1.9982E-2</v>
      </c>
      <c r="BH1870" s="624">
        <v>40872</v>
      </c>
      <c r="BI1870" s="355">
        <v>0.108519</v>
      </c>
      <c r="BJ1870" s="624">
        <v>40871</v>
      </c>
      <c r="BK1870" s="355">
        <v>3.1965E-2</v>
      </c>
    </row>
    <row r="1871" spans="3:63">
      <c r="C1871" s="624"/>
      <c r="D1871" s="355">
        <v>3.2539999999999999E-2</v>
      </c>
      <c r="AV1871" s="624"/>
      <c r="AX1871" s="624">
        <v>40878</v>
      </c>
      <c r="AY1871" s="355">
        <v>3.2509999999999997E-2</v>
      </c>
      <c r="AZ1871" s="624">
        <v>40942</v>
      </c>
      <c r="BA1871" s="355">
        <v>1.2500000000000001E-2</v>
      </c>
      <c r="BB1871" s="624">
        <v>40875</v>
      </c>
      <c r="BC1871" s="355">
        <v>0.29380000000000001</v>
      </c>
      <c r="BD1871" s="624">
        <v>40875</v>
      </c>
      <c r="BE1871" s="355">
        <v>8.6860000000000007E-2</v>
      </c>
      <c r="BF1871" s="624">
        <v>40982</v>
      </c>
      <c r="BG1871" s="355">
        <v>1.9994000000000001E-2</v>
      </c>
      <c r="BH1871" s="624">
        <v>40875</v>
      </c>
      <c r="BI1871" s="355">
        <v>0.10977000000000001</v>
      </c>
      <c r="BJ1871" s="624">
        <v>40872</v>
      </c>
      <c r="BK1871" s="355">
        <v>3.1847E-2</v>
      </c>
    </row>
    <row r="1872" spans="3:63">
      <c r="C1872" s="624"/>
      <c r="D1872" s="355">
        <v>3.2509999999999997E-2</v>
      </c>
      <c r="AV1872" s="624"/>
      <c r="AX1872" s="624">
        <v>40879</v>
      </c>
      <c r="AY1872" s="355">
        <v>3.236E-2</v>
      </c>
      <c r="AZ1872" s="624">
        <v>40945</v>
      </c>
      <c r="BA1872" s="355">
        <v>1.23E-2</v>
      </c>
      <c r="BB1872" s="624">
        <v>40876</v>
      </c>
      <c r="BC1872" s="355">
        <v>0.29380000000000001</v>
      </c>
      <c r="BD1872" s="624">
        <v>40876</v>
      </c>
      <c r="BE1872" s="355">
        <v>8.7540000000000007E-2</v>
      </c>
      <c r="BF1872" s="624">
        <v>40983</v>
      </c>
      <c r="BG1872" s="355">
        <v>1.9862999999999999E-2</v>
      </c>
      <c r="BH1872" s="624">
        <v>40876</v>
      </c>
      <c r="BI1872" s="355">
        <v>0.10881399999999999</v>
      </c>
      <c r="BJ1872" s="624">
        <v>40875</v>
      </c>
      <c r="BK1872" s="355">
        <v>3.1912999999999997E-2</v>
      </c>
    </row>
    <row r="1873" spans="3:63">
      <c r="C1873" s="624"/>
      <c r="D1873" s="355">
        <v>3.236E-2</v>
      </c>
      <c r="AV1873" s="624"/>
      <c r="AX1873" s="624">
        <v>40882</v>
      </c>
      <c r="AY1873" s="355">
        <v>3.2309999999999998E-2</v>
      </c>
      <c r="AZ1873" s="624">
        <v>40946</v>
      </c>
      <c r="BA1873" s="355">
        <v>1.23E-2</v>
      </c>
      <c r="BB1873" s="624">
        <v>40877</v>
      </c>
      <c r="BC1873" s="355">
        <v>0.29849999999999999</v>
      </c>
      <c r="BD1873" s="624">
        <v>40877</v>
      </c>
      <c r="BE1873" s="355">
        <v>8.763E-2</v>
      </c>
      <c r="BF1873" s="624">
        <v>40984</v>
      </c>
      <c r="BG1873" s="355">
        <v>1.9938000000000001E-2</v>
      </c>
      <c r="BH1873" s="624">
        <v>40877</v>
      </c>
      <c r="BI1873" s="355">
        <v>0.11013199999999999</v>
      </c>
      <c r="BJ1873" s="624">
        <v>40876</v>
      </c>
      <c r="BK1873" s="355">
        <v>3.1968999999999997E-2</v>
      </c>
    </row>
    <row r="1874" spans="3:63">
      <c r="C1874" s="624"/>
      <c r="D1874" s="355">
        <v>3.2309999999999998E-2</v>
      </c>
      <c r="AV1874" s="624"/>
      <c r="AX1874" s="624">
        <v>40883</v>
      </c>
      <c r="AY1874" s="355">
        <v>3.1859999999999999E-2</v>
      </c>
      <c r="AZ1874" s="624">
        <v>40947</v>
      </c>
      <c r="BA1874" s="355">
        <v>1.2200000000000001E-2</v>
      </c>
      <c r="BB1874" s="624">
        <v>40878</v>
      </c>
      <c r="BC1874" s="355">
        <v>0.30020000000000002</v>
      </c>
      <c r="BD1874" s="624">
        <v>40878</v>
      </c>
      <c r="BE1874" s="355">
        <v>8.8639999999999997E-2</v>
      </c>
      <c r="BF1874" s="624">
        <v>40987</v>
      </c>
      <c r="BG1874" s="355">
        <v>1.9911999999999999E-2</v>
      </c>
      <c r="BH1874" s="624">
        <v>40878</v>
      </c>
      <c r="BI1874" s="355">
        <v>0.10989</v>
      </c>
      <c r="BJ1874" s="624">
        <v>40877</v>
      </c>
      <c r="BK1874" s="355">
        <v>3.2372999999999999E-2</v>
      </c>
    </row>
    <row r="1875" spans="3:63">
      <c r="C1875" s="624"/>
      <c r="D1875" s="355">
        <v>3.1859999999999999E-2</v>
      </c>
      <c r="AV1875" s="624"/>
      <c r="AX1875" s="624">
        <v>40884</v>
      </c>
      <c r="AY1875" s="355">
        <v>3.2000000000000001E-2</v>
      </c>
      <c r="AZ1875" s="624">
        <v>40948</v>
      </c>
      <c r="BA1875" s="355">
        <v>1.2200000000000001E-2</v>
      </c>
      <c r="BB1875" s="624">
        <v>40879</v>
      </c>
      <c r="BC1875" s="355">
        <v>0.29809999999999998</v>
      </c>
      <c r="BD1875" s="624">
        <v>40879</v>
      </c>
      <c r="BE1875" s="355">
        <v>8.8679999999999995E-2</v>
      </c>
      <c r="BF1875" s="624">
        <v>40988</v>
      </c>
      <c r="BG1875" s="355">
        <v>1.9788E-2</v>
      </c>
      <c r="BH1875" s="624">
        <v>40879</v>
      </c>
      <c r="BI1875" s="355">
        <v>0.110803</v>
      </c>
      <c r="BJ1875" s="624">
        <v>40878</v>
      </c>
      <c r="BK1875" s="355">
        <v>3.2436E-2</v>
      </c>
    </row>
    <row r="1876" spans="3:63">
      <c r="C1876" s="624"/>
      <c r="D1876" s="355">
        <v>3.2000000000000001E-2</v>
      </c>
      <c r="AV1876" s="624"/>
      <c r="AX1876" s="624">
        <v>40885</v>
      </c>
      <c r="AY1876" s="355">
        <v>3.1780000000000003E-2</v>
      </c>
      <c r="AZ1876" s="624">
        <v>40949</v>
      </c>
      <c r="BA1876" s="355">
        <v>1.21E-2</v>
      </c>
      <c r="BB1876" s="624">
        <v>40882</v>
      </c>
      <c r="BC1876" s="355">
        <v>0.2999</v>
      </c>
      <c r="BD1876" s="624">
        <v>40882</v>
      </c>
      <c r="BE1876" s="355">
        <v>8.8450000000000001E-2</v>
      </c>
      <c r="BF1876" s="624">
        <v>40989</v>
      </c>
      <c r="BG1876" s="355">
        <v>1.9739E-2</v>
      </c>
      <c r="BH1876" s="624">
        <v>40882</v>
      </c>
      <c r="BI1876" s="355">
        <v>0.110803</v>
      </c>
      <c r="BJ1876" s="624">
        <v>40879</v>
      </c>
      <c r="BK1876" s="355">
        <v>3.2440999999999998E-2</v>
      </c>
    </row>
    <row r="1877" spans="3:63">
      <c r="C1877" s="624"/>
      <c r="D1877" s="355">
        <v>3.1780000000000003E-2</v>
      </c>
      <c r="AV1877" s="624"/>
      <c r="AX1877" s="624">
        <v>40886</v>
      </c>
      <c r="AY1877" s="355">
        <v>3.1789999999999999E-2</v>
      </c>
      <c r="AZ1877" s="624">
        <v>40952</v>
      </c>
      <c r="BA1877" s="355">
        <v>1.21E-2</v>
      </c>
      <c r="BB1877" s="624">
        <v>40883</v>
      </c>
      <c r="BC1877" s="355">
        <v>0.3</v>
      </c>
      <c r="BD1877" s="624">
        <v>40883</v>
      </c>
      <c r="BE1877" s="355">
        <v>8.8580000000000006E-2</v>
      </c>
      <c r="BF1877" s="624">
        <v>40990</v>
      </c>
      <c r="BG1877" s="355">
        <v>1.9505999999999999E-2</v>
      </c>
      <c r="BH1877" s="624">
        <v>40883</v>
      </c>
      <c r="BI1877" s="355">
        <v>0.110712</v>
      </c>
      <c r="BJ1877" s="624">
        <v>40882</v>
      </c>
      <c r="BK1877" s="355">
        <v>3.2499E-2</v>
      </c>
    </row>
    <row r="1878" spans="3:63">
      <c r="C1878" s="624"/>
      <c r="D1878" s="355">
        <v>3.1789999999999999E-2</v>
      </c>
      <c r="AV1878" s="624"/>
      <c r="AX1878" s="624">
        <v>40889</v>
      </c>
      <c r="AY1878" s="355">
        <v>3.159E-2</v>
      </c>
      <c r="AZ1878" s="624">
        <v>40953</v>
      </c>
      <c r="BA1878" s="355">
        <v>1.21E-2</v>
      </c>
      <c r="BB1878" s="624">
        <v>40884</v>
      </c>
      <c r="BC1878" s="355">
        <v>0.30059999999999998</v>
      </c>
      <c r="BD1878" s="624">
        <v>40884</v>
      </c>
      <c r="BE1878" s="355">
        <v>8.8690000000000005E-2</v>
      </c>
      <c r="BF1878" s="624">
        <v>40994</v>
      </c>
      <c r="BG1878" s="355">
        <v>1.9574999999999999E-2</v>
      </c>
      <c r="BH1878" s="624">
        <v>40884</v>
      </c>
      <c r="BI1878" s="355">
        <v>0.110315</v>
      </c>
      <c r="BJ1878" s="624">
        <v>40883</v>
      </c>
      <c r="BK1878" s="355">
        <v>3.2419999999999997E-2</v>
      </c>
    </row>
    <row r="1879" spans="3:63">
      <c r="C1879" s="624"/>
      <c r="D1879" s="355">
        <v>3.159E-2</v>
      </c>
      <c r="AV1879" s="624"/>
      <c r="AX1879" s="624">
        <v>40890</v>
      </c>
      <c r="AY1879" s="355">
        <v>3.1460000000000002E-2</v>
      </c>
      <c r="AZ1879" s="624">
        <v>40954</v>
      </c>
      <c r="BA1879" s="355">
        <v>1.21E-2</v>
      </c>
      <c r="BB1879" s="624">
        <v>40885</v>
      </c>
      <c r="BC1879" s="355">
        <v>0.2954</v>
      </c>
      <c r="BD1879" s="624">
        <v>40885</v>
      </c>
      <c r="BE1879" s="355">
        <v>8.831E-2</v>
      </c>
      <c r="BF1879" s="624">
        <v>40995</v>
      </c>
      <c r="BG1879" s="355">
        <v>1.9656E-2</v>
      </c>
      <c r="BH1879" s="624">
        <v>40885</v>
      </c>
      <c r="BI1879" s="355">
        <v>0.10983</v>
      </c>
      <c r="BJ1879" s="624">
        <v>40884</v>
      </c>
      <c r="BK1879" s="355">
        <v>3.2509999999999997E-2</v>
      </c>
    </row>
    <row r="1880" spans="3:63">
      <c r="C1880" s="624"/>
      <c r="D1880" s="355">
        <v>3.1460000000000002E-2</v>
      </c>
      <c r="AV1880" s="624"/>
      <c r="AX1880" s="624">
        <v>40891</v>
      </c>
      <c r="AY1880" s="355">
        <v>3.134E-2</v>
      </c>
      <c r="AZ1880" s="624">
        <v>40955</v>
      </c>
      <c r="BA1880" s="355">
        <v>1.21E-2</v>
      </c>
      <c r="BB1880" s="624">
        <v>40886</v>
      </c>
      <c r="BC1880" s="355">
        <v>0.29659999999999997</v>
      </c>
      <c r="BD1880" s="624">
        <v>40886</v>
      </c>
      <c r="BE1880" s="355">
        <v>8.7309999999999999E-2</v>
      </c>
      <c r="BF1880" s="624">
        <v>40996</v>
      </c>
      <c r="BG1880" s="355">
        <v>1.9647999999999999E-2</v>
      </c>
      <c r="BH1880" s="624">
        <v>40886</v>
      </c>
      <c r="BI1880" s="355">
        <v>0.110254</v>
      </c>
      <c r="BJ1880" s="624">
        <v>40885</v>
      </c>
      <c r="BK1880" s="355">
        <v>3.2461999999999998E-2</v>
      </c>
    </row>
    <row r="1881" spans="3:63">
      <c r="C1881" s="624"/>
      <c r="D1881" s="355">
        <v>3.134E-2</v>
      </c>
      <c r="AV1881" s="624"/>
      <c r="AX1881" s="624">
        <v>40892</v>
      </c>
      <c r="AY1881" s="355">
        <v>3.143E-2</v>
      </c>
      <c r="AZ1881" s="624">
        <v>40956</v>
      </c>
      <c r="BA1881" s="355">
        <v>1.21E-2</v>
      </c>
      <c r="BB1881" s="624">
        <v>40889</v>
      </c>
      <c r="BC1881" s="355">
        <v>0.2893</v>
      </c>
      <c r="BD1881" s="624">
        <v>40889</v>
      </c>
      <c r="BE1881" s="355">
        <v>8.6529999999999996E-2</v>
      </c>
      <c r="BF1881" s="624">
        <v>40997</v>
      </c>
      <c r="BG1881" s="355">
        <v>1.951E-2</v>
      </c>
      <c r="BH1881" s="624">
        <v>40889</v>
      </c>
      <c r="BI1881" s="355">
        <v>0.109499</v>
      </c>
      <c r="BJ1881" s="624">
        <v>40886</v>
      </c>
      <c r="BK1881" s="355">
        <v>3.2351999999999999E-2</v>
      </c>
    </row>
    <row r="1882" spans="3:63">
      <c r="C1882" s="624"/>
      <c r="D1882" s="355">
        <v>3.143E-2</v>
      </c>
      <c r="AV1882" s="624"/>
      <c r="AX1882" s="624">
        <v>40893</v>
      </c>
      <c r="AY1882" s="355">
        <v>3.1329999999999997E-2</v>
      </c>
      <c r="AZ1882" s="624">
        <v>40959</v>
      </c>
      <c r="BA1882" s="355">
        <v>1.2200000000000001E-2</v>
      </c>
      <c r="BB1882" s="624">
        <v>40890</v>
      </c>
      <c r="BC1882" s="355">
        <v>0.28510000000000002</v>
      </c>
      <c r="BD1882" s="624">
        <v>40890</v>
      </c>
      <c r="BE1882" s="355">
        <v>8.5959999999999995E-2</v>
      </c>
      <c r="BF1882" s="624">
        <v>40998</v>
      </c>
      <c r="BG1882" s="355">
        <v>1.9626999999999999E-2</v>
      </c>
      <c r="BH1882" s="624">
        <v>40890</v>
      </c>
      <c r="BI1882" s="355">
        <v>0.10931399999999999</v>
      </c>
      <c r="BJ1882" s="624">
        <v>40889</v>
      </c>
      <c r="BK1882" s="355">
        <v>3.2062E-2</v>
      </c>
    </row>
    <row r="1883" spans="3:63">
      <c r="C1883" s="624"/>
      <c r="D1883" s="355">
        <v>3.1329999999999997E-2</v>
      </c>
      <c r="AV1883" s="624"/>
      <c r="AX1883" s="624">
        <v>40896</v>
      </c>
      <c r="AY1883" s="355">
        <v>3.1130000000000001E-2</v>
      </c>
      <c r="AZ1883" s="624">
        <v>40960</v>
      </c>
      <c r="BA1883" s="355">
        <v>1.2200000000000001E-2</v>
      </c>
      <c r="BB1883" s="624">
        <v>40891</v>
      </c>
      <c r="BC1883" s="355">
        <v>0.28489999999999999</v>
      </c>
      <c r="BD1883" s="624">
        <v>40891</v>
      </c>
      <c r="BE1883" s="355">
        <v>8.6120000000000002E-2</v>
      </c>
      <c r="BF1883" s="624">
        <v>41002</v>
      </c>
      <c r="BG1883" s="355">
        <v>1.9702000000000001E-2</v>
      </c>
      <c r="BH1883" s="624">
        <v>40891</v>
      </c>
      <c r="BI1883" s="355">
        <v>0.11013199999999999</v>
      </c>
      <c r="BJ1883" s="624">
        <v>40890</v>
      </c>
      <c r="BK1883" s="355">
        <v>3.2017999999999998E-2</v>
      </c>
    </row>
    <row r="1884" spans="3:63">
      <c r="C1884" s="624"/>
      <c r="D1884" s="355">
        <v>3.1130000000000001E-2</v>
      </c>
      <c r="AV1884" s="624"/>
      <c r="AX1884" s="624">
        <v>40897</v>
      </c>
      <c r="AY1884" s="355">
        <v>3.1289999999999998E-2</v>
      </c>
      <c r="AZ1884" s="624">
        <v>40961</v>
      </c>
      <c r="BA1884" s="355">
        <v>1.2200000000000001E-2</v>
      </c>
      <c r="BB1884" s="624">
        <v>40892</v>
      </c>
      <c r="BC1884" s="355">
        <v>0.28749999999999998</v>
      </c>
      <c r="BD1884" s="624">
        <v>40892</v>
      </c>
      <c r="BE1884" s="355">
        <v>8.6419999999999997E-2</v>
      </c>
      <c r="BF1884" s="624">
        <v>41003</v>
      </c>
      <c r="BG1884" s="355">
        <v>1.9545E-2</v>
      </c>
      <c r="BH1884" s="624">
        <v>40892</v>
      </c>
      <c r="BI1884" s="355">
        <v>0.109987</v>
      </c>
      <c r="BJ1884" s="624">
        <v>40891</v>
      </c>
      <c r="BK1884" s="355">
        <v>3.1892999999999998E-2</v>
      </c>
    </row>
    <row r="1885" spans="3:63">
      <c r="C1885" s="624"/>
      <c r="D1885" s="355">
        <v>3.1289999999999998E-2</v>
      </c>
      <c r="AV1885" s="624"/>
      <c r="AX1885" s="624">
        <v>40898</v>
      </c>
      <c r="AY1885" s="355">
        <v>3.1489999999999997E-2</v>
      </c>
      <c r="AZ1885" s="624">
        <v>40962</v>
      </c>
      <c r="BA1885" s="355">
        <v>1.2200000000000001E-2</v>
      </c>
      <c r="BB1885" s="624">
        <v>40893</v>
      </c>
      <c r="BC1885" s="355">
        <v>0.28999999999999998</v>
      </c>
      <c r="BD1885" s="624">
        <v>40893</v>
      </c>
      <c r="BE1885" s="355">
        <v>8.6440000000000003E-2</v>
      </c>
      <c r="BF1885" s="624">
        <v>41008</v>
      </c>
      <c r="BG1885" s="355">
        <v>1.9512000000000002E-2</v>
      </c>
      <c r="BH1885" s="624">
        <v>40893</v>
      </c>
      <c r="BI1885" s="355">
        <v>0.11010200000000001</v>
      </c>
      <c r="BJ1885" s="624">
        <v>40892</v>
      </c>
      <c r="BK1885" s="355">
        <v>3.1807000000000002E-2</v>
      </c>
    </row>
    <row r="1886" spans="3:63">
      <c r="C1886" s="624"/>
      <c r="D1886" s="355">
        <v>3.1489999999999997E-2</v>
      </c>
      <c r="AV1886" s="624"/>
      <c r="AX1886" s="624">
        <v>40899</v>
      </c>
      <c r="AY1886" s="355">
        <v>3.1850000000000003E-2</v>
      </c>
      <c r="AZ1886" s="624">
        <v>40963</v>
      </c>
      <c r="BA1886" s="355">
        <v>1.2200000000000001E-2</v>
      </c>
      <c r="BB1886" s="624">
        <v>40896</v>
      </c>
      <c r="BC1886" s="355">
        <v>0.28960000000000002</v>
      </c>
      <c r="BD1886" s="624">
        <v>40896</v>
      </c>
      <c r="BE1886" s="355">
        <v>8.4930000000000005E-2</v>
      </c>
      <c r="BF1886" s="624">
        <v>41009</v>
      </c>
      <c r="BG1886" s="355">
        <v>1.9377999999999999E-2</v>
      </c>
      <c r="BH1886" s="624">
        <v>40896</v>
      </c>
      <c r="BI1886" s="355">
        <v>0.10922999999999999</v>
      </c>
      <c r="BJ1886" s="624">
        <v>40893</v>
      </c>
      <c r="BK1886" s="355">
        <v>3.1968999999999997E-2</v>
      </c>
    </row>
    <row r="1887" spans="3:63">
      <c r="C1887" s="624"/>
      <c r="D1887" s="355">
        <v>3.1850000000000003E-2</v>
      </c>
      <c r="AV1887" s="624"/>
      <c r="AX1887" s="624">
        <v>40900</v>
      </c>
      <c r="AY1887" s="355">
        <v>3.2099999999999997E-2</v>
      </c>
      <c r="AZ1887" s="624">
        <v>40966</v>
      </c>
      <c r="BA1887" s="355">
        <v>1.2200000000000001E-2</v>
      </c>
      <c r="BB1887" s="624">
        <v>40897</v>
      </c>
      <c r="BC1887" s="355">
        <v>0.29389999999999999</v>
      </c>
      <c r="BD1887" s="624">
        <v>40897</v>
      </c>
      <c r="BE1887" s="355">
        <v>8.6419999999999997E-2</v>
      </c>
      <c r="BF1887" s="624">
        <v>41010</v>
      </c>
      <c r="BG1887" s="355">
        <v>1.9417E-2</v>
      </c>
      <c r="BH1887" s="624">
        <v>40897</v>
      </c>
      <c r="BI1887" s="355">
        <v>0.10977000000000001</v>
      </c>
      <c r="BJ1887" s="624">
        <v>40896</v>
      </c>
      <c r="BK1887" s="355">
        <v>3.1918000000000002E-2</v>
      </c>
    </row>
    <row r="1888" spans="3:63">
      <c r="C1888" s="624"/>
      <c r="D1888" s="355">
        <v>3.2099999999999997E-2</v>
      </c>
      <c r="AV1888" s="624"/>
      <c r="AX1888" s="624">
        <v>40903</v>
      </c>
      <c r="AY1888" s="355">
        <v>3.2129999999999999E-2</v>
      </c>
      <c r="AZ1888" s="624">
        <v>40967</v>
      </c>
      <c r="BA1888" s="355">
        <v>1.2200000000000001E-2</v>
      </c>
      <c r="BB1888" s="624">
        <v>40898</v>
      </c>
      <c r="BC1888" s="355">
        <v>0.29320000000000002</v>
      </c>
      <c r="BD1888" s="624">
        <v>40898</v>
      </c>
      <c r="BE1888" s="355">
        <v>8.6840000000000001E-2</v>
      </c>
      <c r="BF1888" s="624">
        <v>41011</v>
      </c>
      <c r="BG1888" s="355">
        <v>1.9463000000000001E-2</v>
      </c>
      <c r="BH1888" s="624">
        <v>40898</v>
      </c>
      <c r="BI1888" s="355">
        <v>0.10958900000000001</v>
      </c>
      <c r="BJ1888" s="624">
        <v>40897</v>
      </c>
      <c r="BK1888" s="355">
        <v>3.2000000000000001E-2</v>
      </c>
    </row>
    <row r="1889" spans="3:63">
      <c r="C1889" s="624"/>
      <c r="D1889" s="355">
        <v>3.2129999999999999E-2</v>
      </c>
      <c r="AV1889" s="624"/>
      <c r="AX1889" s="624">
        <v>40904</v>
      </c>
      <c r="AY1889" s="355">
        <v>3.1859999999999999E-2</v>
      </c>
      <c r="AZ1889" s="624">
        <v>40968</v>
      </c>
      <c r="BA1889" s="355">
        <v>1.2E-2</v>
      </c>
      <c r="BB1889" s="624">
        <v>40899</v>
      </c>
      <c r="BC1889" s="355">
        <v>0.29399999999999998</v>
      </c>
      <c r="BD1889" s="624">
        <v>40899</v>
      </c>
      <c r="BE1889" s="355">
        <v>8.6800000000000002E-2</v>
      </c>
      <c r="BF1889" s="624">
        <v>41012</v>
      </c>
      <c r="BG1889" s="355">
        <v>1.9411999999999999E-2</v>
      </c>
      <c r="BH1889" s="624">
        <v>40899</v>
      </c>
      <c r="BI1889" s="355">
        <v>0.109135</v>
      </c>
      <c r="BJ1889" s="624">
        <v>40898</v>
      </c>
      <c r="BK1889" s="355">
        <v>3.1968999999999997E-2</v>
      </c>
    </row>
    <row r="1890" spans="3:63">
      <c r="C1890" s="624"/>
      <c r="D1890" s="355">
        <v>3.1859999999999999E-2</v>
      </c>
      <c r="AV1890" s="624"/>
      <c r="AX1890" s="624">
        <v>40905</v>
      </c>
      <c r="AY1890" s="355">
        <v>3.1440000000000003E-2</v>
      </c>
      <c r="AZ1890" s="624">
        <v>40969</v>
      </c>
      <c r="BA1890" s="355">
        <v>1.2E-2</v>
      </c>
      <c r="BB1890" s="624">
        <v>40900</v>
      </c>
      <c r="BC1890" s="355">
        <v>0.29380000000000001</v>
      </c>
      <c r="BD1890" s="624">
        <v>40900</v>
      </c>
      <c r="BE1890" s="355">
        <v>8.7010000000000004E-2</v>
      </c>
      <c r="BF1890" s="624">
        <v>41015</v>
      </c>
      <c r="BG1890" s="355">
        <v>1.9369000000000001E-2</v>
      </c>
      <c r="BH1890" s="624">
        <v>40900</v>
      </c>
      <c r="BI1890" s="355">
        <v>0.109984</v>
      </c>
      <c r="BJ1890" s="624">
        <v>40899</v>
      </c>
      <c r="BK1890" s="355">
        <v>3.2007000000000001E-2</v>
      </c>
    </row>
    <row r="1891" spans="3:63">
      <c r="C1891" s="624"/>
      <c r="D1891" s="355">
        <v>3.1440000000000003E-2</v>
      </c>
      <c r="AV1891" s="624"/>
      <c r="AX1891" s="624">
        <v>40906</v>
      </c>
      <c r="AY1891" s="355">
        <v>3.1189999999999999E-2</v>
      </c>
      <c r="AZ1891" s="624">
        <v>40970</v>
      </c>
      <c r="BA1891" s="355">
        <v>1.1900000000000001E-2</v>
      </c>
      <c r="BB1891" s="624">
        <v>40903</v>
      </c>
      <c r="BC1891" s="355">
        <v>0.2944</v>
      </c>
      <c r="BD1891" s="624">
        <v>40903</v>
      </c>
      <c r="BE1891" s="355">
        <v>8.6569999999999994E-2</v>
      </c>
      <c r="BF1891" s="624">
        <v>41016</v>
      </c>
      <c r="BG1891" s="355">
        <v>1.9472E-2</v>
      </c>
      <c r="BH1891" s="624">
        <v>40903</v>
      </c>
      <c r="BI1891" s="355">
        <v>0.10992300000000001</v>
      </c>
      <c r="BJ1891" s="624">
        <v>40900</v>
      </c>
      <c r="BK1891" s="355">
        <v>3.1948999999999998E-2</v>
      </c>
    </row>
    <row r="1892" spans="3:63">
      <c r="C1892" s="624"/>
      <c r="D1892" s="355">
        <v>3.1189999999999999E-2</v>
      </c>
      <c r="AV1892" s="624"/>
      <c r="AX1892" s="624">
        <v>40907</v>
      </c>
      <c r="AY1892" s="355">
        <v>3.108E-2</v>
      </c>
      <c r="AZ1892" s="624">
        <v>40973</v>
      </c>
      <c r="BA1892" s="355">
        <v>1.2E-2</v>
      </c>
      <c r="BB1892" s="624">
        <v>40904</v>
      </c>
      <c r="BC1892" s="355">
        <v>0.29720000000000002</v>
      </c>
      <c r="BD1892" s="624">
        <v>40904</v>
      </c>
      <c r="BE1892" s="355">
        <v>8.6459999999999995E-2</v>
      </c>
      <c r="BF1892" s="624">
        <v>41017</v>
      </c>
      <c r="BG1892" s="355">
        <v>1.9297999999999999E-2</v>
      </c>
      <c r="BH1892" s="624">
        <v>40904</v>
      </c>
      <c r="BI1892" s="355">
        <v>0.110266</v>
      </c>
      <c r="BJ1892" s="624">
        <v>40903</v>
      </c>
      <c r="BK1892" s="355">
        <v>3.1968999999999997E-2</v>
      </c>
    </row>
    <row r="1893" spans="3:63">
      <c r="C1893" s="624"/>
      <c r="D1893" s="355">
        <v>3.108E-2</v>
      </c>
      <c r="AV1893" s="624"/>
      <c r="AX1893" s="624">
        <v>40910</v>
      </c>
      <c r="AY1893" s="355">
        <v>3.1150000000000001E-2</v>
      </c>
      <c r="AZ1893" s="624">
        <v>40974</v>
      </c>
      <c r="BA1893" s="355">
        <v>1.1900000000000001E-2</v>
      </c>
      <c r="BB1893" s="624">
        <v>40905</v>
      </c>
      <c r="BC1893" s="355">
        <v>0.29399999999999998</v>
      </c>
      <c r="BD1893" s="624">
        <v>40905</v>
      </c>
      <c r="BE1893" s="355">
        <v>8.6529999999999996E-2</v>
      </c>
      <c r="BF1893" s="624">
        <v>41018</v>
      </c>
      <c r="BG1893" s="355">
        <v>1.9162999999999999E-2</v>
      </c>
      <c r="BH1893" s="624">
        <v>40905</v>
      </c>
      <c r="BI1893" s="355">
        <v>0.10917200000000001</v>
      </c>
      <c r="BJ1893" s="624">
        <v>40904</v>
      </c>
      <c r="BK1893" s="355">
        <v>3.1807000000000002E-2</v>
      </c>
    </row>
    <row r="1894" spans="3:63">
      <c r="C1894" s="624"/>
      <c r="D1894" s="355">
        <v>3.1150000000000001E-2</v>
      </c>
      <c r="AV1894" s="624"/>
      <c r="AX1894" s="624">
        <v>40911</v>
      </c>
      <c r="AY1894" s="355">
        <v>3.159E-2</v>
      </c>
      <c r="AZ1894" s="624">
        <v>40975</v>
      </c>
      <c r="BA1894" s="355">
        <v>1.1900000000000001E-2</v>
      </c>
      <c r="BB1894" s="624">
        <v>40906</v>
      </c>
      <c r="BC1894" s="355">
        <v>0.29409999999999997</v>
      </c>
      <c r="BD1894" s="624">
        <v>40906</v>
      </c>
      <c r="BE1894" s="355">
        <v>8.6489999999999997E-2</v>
      </c>
      <c r="BF1894" s="624">
        <v>41019</v>
      </c>
      <c r="BG1894" s="355">
        <v>1.9203000000000001E-2</v>
      </c>
      <c r="BH1894" s="624">
        <v>40906</v>
      </c>
      <c r="BI1894" s="355">
        <v>0.108873</v>
      </c>
      <c r="BJ1894" s="624">
        <v>40905</v>
      </c>
      <c r="BK1894" s="355">
        <v>3.1670999999999998E-2</v>
      </c>
    </row>
    <row r="1895" spans="3:63">
      <c r="C1895" s="624"/>
      <c r="D1895" s="355">
        <v>3.159E-2</v>
      </c>
      <c r="AV1895" s="624"/>
      <c r="AX1895" s="624">
        <v>40912</v>
      </c>
      <c r="AY1895" s="355">
        <v>3.1419999999999997E-2</v>
      </c>
      <c r="AZ1895" s="624">
        <v>40976</v>
      </c>
      <c r="BA1895" s="355">
        <v>1.2E-2</v>
      </c>
      <c r="BB1895" s="624">
        <v>40907</v>
      </c>
      <c r="BC1895" s="355">
        <v>0.2903</v>
      </c>
      <c r="BD1895" s="624">
        <v>40907</v>
      </c>
      <c r="BE1895" s="355">
        <v>8.6199999999999999E-2</v>
      </c>
      <c r="BF1895" s="624">
        <v>41022</v>
      </c>
      <c r="BG1895" s="355">
        <v>1.8981000000000001E-2</v>
      </c>
      <c r="BH1895" s="624">
        <v>40907</v>
      </c>
      <c r="BI1895" s="355">
        <v>0.109904</v>
      </c>
      <c r="BJ1895" s="624">
        <v>40906</v>
      </c>
      <c r="BK1895" s="355">
        <v>3.1503999999999997E-2</v>
      </c>
    </row>
    <row r="1896" spans="3:63">
      <c r="C1896" s="624"/>
      <c r="D1896" s="355">
        <v>3.1419999999999997E-2</v>
      </c>
      <c r="AV1896" s="624"/>
      <c r="AX1896" s="624">
        <v>40913</v>
      </c>
      <c r="AY1896" s="355">
        <v>3.1230000000000001E-2</v>
      </c>
      <c r="AZ1896" s="624">
        <v>40977</v>
      </c>
      <c r="BA1896" s="355">
        <v>1.1900000000000001E-2</v>
      </c>
      <c r="BB1896" s="624">
        <v>40910</v>
      </c>
      <c r="BC1896" s="355">
        <v>0.28949999999999998</v>
      </c>
      <c r="BD1896" s="624">
        <v>40910</v>
      </c>
      <c r="BE1896" s="355">
        <v>8.6639999999999995E-2</v>
      </c>
      <c r="BF1896" s="624">
        <v>41023</v>
      </c>
      <c r="BG1896" s="355">
        <v>1.8981000000000001E-2</v>
      </c>
      <c r="BH1896" s="624">
        <v>40910</v>
      </c>
      <c r="BI1896" s="355">
        <v>0.110315</v>
      </c>
      <c r="BJ1896" s="624">
        <v>40907</v>
      </c>
      <c r="BK1896" s="355">
        <v>3.1696000000000002E-2</v>
      </c>
    </row>
    <row r="1897" spans="3:63">
      <c r="C1897" s="624"/>
      <c r="D1897" s="355">
        <v>3.1230000000000001E-2</v>
      </c>
      <c r="AV1897" s="624"/>
      <c r="AX1897" s="624">
        <v>40914</v>
      </c>
      <c r="AY1897" s="355">
        <v>3.116E-2</v>
      </c>
      <c r="AZ1897" s="624">
        <v>40980</v>
      </c>
      <c r="BA1897" s="355">
        <v>1.18E-2</v>
      </c>
      <c r="BB1897" s="624">
        <v>40911</v>
      </c>
      <c r="BC1897" s="355">
        <v>0.29189999999999999</v>
      </c>
      <c r="BD1897" s="624">
        <v>40911</v>
      </c>
      <c r="BE1897" s="355">
        <v>8.7249999999999994E-2</v>
      </c>
      <c r="BF1897" s="624">
        <v>41024</v>
      </c>
      <c r="BG1897" s="355">
        <v>1.9016999999999999E-2</v>
      </c>
      <c r="BH1897" s="624">
        <v>40911</v>
      </c>
      <c r="BI1897" s="355">
        <v>0.10940900000000001</v>
      </c>
      <c r="BJ1897" s="624">
        <v>40910</v>
      </c>
      <c r="BK1897" s="355">
        <v>3.1705999999999998E-2</v>
      </c>
    </row>
    <row r="1898" spans="3:63">
      <c r="C1898" s="624"/>
      <c r="D1898" s="355">
        <v>3.116E-2</v>
      </c>
      <c r="AV1898" s="624"/>
      <c r="AX1898" s="624">
        <v>40917</v>
      </c>
      <c r="AY1898" s="355">
        <v>3.1390000000000001E-2</v>
      </c>
      <c r="AZ1898" s="624">
        <v>40981</v>
      </c>
      <c r="BA1898" s="355">
        <v>1.18E-2</v>
      </c>
      <c r="BB1898" s="624">
        <v>40912</v>
      </c>
      <c r="BC1898" s="355">
        <v>0.28789999999999999</v>
      </c>
      <c r="BD1898" s="624">
        <v>40912</v>
      </c>
      <c r="BE1898" s="355">
        <v>8.7169999999999997E-2</v>
      </c>
      <c r="BF1898" s="624">
        <v>41025</v>
      </c>
      <c r="BG1898" s="355">
        <v>1.9050999999999998E-2</v>
      </c>
      <c r="BH1898" s="624">
        <v>40912</v>
      </c>
      <c r="BI1898" s="355">
        <v>0.10899200000000001</v>
      </c>
      <c r="BJ1898" s="624">
        <v>40911</v>
      </c>
      <c r="BK1898" s="355">
        <v>3.1959000000000001E-2</v>
      </c>
    </row>
    <row r="1899" spans="3:63">
      <c r="C1899" s="624"/>
      <c r="D1899" s="355">
        <v>3.1390000000000001E-2</v>
      </c>
      <c r="AV1899" s="624"/>
      <c r="AX1899" s="624">
        <v>40918</v>
      </c>
      <c r="AY1899" s="355">
        <v>3.1669999999999997E-2</v>
      </c>
      <c r="AZ1899" s="624">
        <v>40982</v>
      </c>
      <c r="BA1899" s="355">
        <v>1.17E-2</v>
      </c>
      <c r="BB1899" s="624">
        <v>40913</v>
      </c>
      <c r="BC1899" s="355">
        <v>0.28399999999999997</v>
      </c>
      <c r="BD1899" s="624">
        <v>40913</v>
      </c>
      <c r="BE1899" s="355">
        <v>8.6569999999999994E-2</v>
      </c>
      <c r="BF1899" s="624">
        <v>41026</v>
      </c>
      <c r="BG1899" s="355">
        <v>1.9035E-2</v>
      </c>
      <c r="BH1899" s="624">
        <v>40913</v>
      </c>
      <c r="BI1899" s="355">
        <v>0.109709</v>
      </c>
      <c r="BJ1899" s="624">
        <v>40912</v>
      </c>
      <c r="BK1899" s="355">
        <v>3.1725999999999997E-2</v>
      </c>
    </row>
    <row r="1900" spans="3:63">
      <c r="C1900" s="624"/>
      <c r="D1900" s="355">
        <v>3.1669999999999997E-2</v>
      </c>
      <c r="AV1900" s="624"/>
      <c r="AX1900" s="624">
        <v>40919</v>
      </c>
      <c r="AY1900" s="355">
        <v>3.1539999999999999E-2</v>
      </c>
      <c r="AZ1900" s="624">
        <v>40983</v>
      </c>
      <c r="BA1900" s="355">
        <v>1.18E-2</v>
      </c>
      <c r="BB1900" s="624">
        <v>40914</v>
      </c>
      <c r="BC1900" s="355">
        <v>0.2828</v>
      </c>
      <c r="BD1900" s="624">
        <v>40914</v>
      </c>
      <c r="BE1900" s="355">
        <v>8.6190000000000003E-2</v>
      </c>
      <c r="BF1900" s="624">
        <v>41029</v>
      </c>
      <c r="BG1900" s="355">
        <v>1.8983E-2</v>
      </c>
      <c r="BH1900" s="624">
        <v>40914</v>
      </c>
      <c r="BI1900" s="355">
        <v>0.108725</v>
      </c>
      <c r="BJ1900" s="624">
        <v>40913</v>
      </c>
      <c r="BK1900" s="355">
        <v>3.1595999999999999E-2</v>
      </c>
    </row>
    <row r="1901" spans="3:63">
      <c r="C1901" s="624"/>
      <c r="D1901" s="355">
        <v>3.1539999999999999E-2</v>
      </c>
      <c r="AV1901" s="624"/>
      <c r="AX1901" s="624">
        <v>40920</v>
      </c>
      <c r="AY1901" s="355">
        <v>3.1669999999999997E-2</v>
      </c>
      <c r="AZ1901" s="624">
        <v>40984</v>
      </c>
      <c r="BA1901" s="355">
        <v>1.1900000000000001E-2</v>
      </c>
      <c r="BB1901" s="624">
        <v>40917</v>
      </c>
      <c r="BC1901" s="355">
        <v>0.2843</v>
      </c>
      <c r="BD1901" s="624">
        <v>40917</v>
      </c>
      <c r="BE1901" s="355">
        <v>8.6360000000000006E-2</v>
      </c>
      <c r="BF1901" s="624">
        <v>41031</v>
      </c>
      <c r="BG1901" s="355">
        <v>1.8874999999999999E-2</v>
      </c>
      <c r="BH1901" s="624">
        <v>40917</v>
      </c>
      <c r="BI1901" s="355">
        <v>0.108637</v>
      </c>
      <c r="BJ1901" s="624">
        <v>40914</v>
      </c>
      <c r="BK1901" s="355">
        <v>3.1541E-2</v>
      </c>
    </row>
    <row r="1902" spans="3:63">
      <c r="C1902" s="624"/>
      <c r="D1902" s="355">
        <v>3.1669999999999997E-2</v>
      </c>
      <c r="AV1902" s="624"/>
      <c r="AX1902" s="624">
        <v>40921</v>
      </c>
      <c r="AY1902" s="355">
        <v>3.1379999999999998E-2</v>
      </c>
      <c r="AZ1902" s="624">
        <v>40987</v>
      </c>
      <c r="BA1902" s="355">
        <v>1.2E-2</v>
      </c>
      <c r="BB1902" s="624">
        <v>40918</v>
      </c>
      <c r="BC1902" s="355">
        <v>0.2868</v>
      </c>
      <c r="BD1902" s="624">
        <v>40918</v>
      </c>
      <c r="BE1902" s="355">
        <v>8.659E-2</v>
      </c>
      <c r="BF1902" s="624">
        <v>41032</v>
      </c>
      <c r="BG1902" s="355">
        <v>1.8624000000000002E-2</v>
      </c>
      <c r="BH1902" s="624">
        <v>40918</v>
      </c>
      <c r="BI1902" s="355">
        <v>0.108903</v>
      </c>
      <c r="BJ1902" s="624">
        <v>40917</v>
      </c>
      <c r="BK1902" s="355">
        <v>3.1486E-2</v>
      </c>
    </row>
    <row r="1903" spans="3:63">
      <c r="C1903" s="624"/>
      <c r="D1903" s="355">
        <v>3.1379999999999998E-2</v>
      </c>
      <c r="AV1903" s="624"/>
      <c r="AX1903" s="624">
        <v>40924</v>
      </c>
      <c r="AY1903" s="355">
        <v>3.1570000000000001E-2</v>
      </c>
      <c r="AZ1903" s="624">
        <v>40988</v>
      </c>
      <c r="BA1903" s="355">
        <v>1.1900000000000001E-2</v>
      </c>
      <c r="BB1903" s="624">
        <v>40919</v>
      </c>
      <c r="BC1903" s="355">
        <v>0.28449999999999998</v>
      </c>
      <c r="BD1903" s="624">
        <v>40919</v>
      </c>
      <c r="BE1903" s="355">
        <v>8.6300000000000002E-2</v>
      </c>
      <c r="BF1903" s="624">
        <v>41033</v>
      </c>
      <c r="BG1903" s="355">
        <v>1.8714000000000001E-2</v>
      </c>
      <c r="BH1903" s="624">
        <v>40919</v>
      </c>
      <c r="BI1903" s="355">
        <v>0.108637</v>
      </c>
      <c r="BJ1903" s="624">
        <v>40918</v>
      </c>
      <c r="BK1903" s="355">
        <v>3.1622999999999998E-2</v>
      </c>
    </row>
    <row r="1904" spans="3:63">
      <c r="C1904" s="624"/>
      <c r="D1904" s="355">
        <v>3.1570000000000001E-2</v>
      </c>
      <c r="AV1904" s="624"/>
      <c r="AX1904" s="624">
        <v>40925</v>
      </c>
      <c r="AY1904" s="355">
        <v>3.1640000000000001E-2</v>
      </c>
      <c r="AZ1904" s="624">
        <v>40989</v>
      </c>
      <c r="BA1904" s="355">
        <v>1.1900000000000001E-2</v>
      </c>
      <c r="BB1904" s="624">
        <v>40920</v>
      </c>
      <c r="BC1904" s="355">
        <v>0.29120000000000001</v>
      </c>
      <c r="BD1904" s="624">
        <v>40920</v>
      </c>
      <c r="BE1904" s="355">
        <v>8.6790000000000006E-2</v>
      </c>
      <c r="BF1904" s="624">
        <v>41036</v>
      </c>
      <c r="BG1904" s="355">
        <v>1.8929999999999999E-2</v>
      </c>
      <c r="BH1904" s="624">
        <v>40920</v>
      </c>
      <c r="BI1904" s="355">
        <v>0.109141</v>
      </c>
      <c r="BJ1904" s="624">
        <v>40919</v>
      </c>
      <c r="BK1904" s="355">
        <v>3.1571000000000002E-2</v>
      </c>
    </row>
    <row r="1905" spans="3:63">
      <c r="C1905" s="624"/>
      <c r="D1905" s="355">
        <v>3.1640000000000001E-2</v>
      </c>
      <c r="AV1905" s="624"/>
      <c r="AX1905" s="624">
        <v>40926</v>
      </c>
      <c r="AY1905" s="355">
        <v>3.1809999999999998E-2</v>
      </c>
      <c r="AZ1905" s="624">
        <v>40990</v>
      </c>
      <c r="BA1905" s="355">
        <v>1.1900000000000001E-2</v>
      </c>
      <c r="BB1905" s="624">
        <v>40921</v>
      </c>
      <c r="BC1905" s="355">
        <v>0.28739999999999999</v>
      </c>
      <c r="BD1905" s="624">
        <v>40921</v>
      </c>
      <c r="BE1905" s="355">
        <v>8.6860000000000007E-2</v>
      </c>
      <c r="BF1905" s="624">
        <v>41037</v>
      </c>
      <c r="BG1905" s="355">
        <v>1.8672000000000001E-2</v>
      </c>
      <c r="BH1905" s="624">
        <v>40921</v>
      </c>
      <c r="BI1905" s="355">
        <v>0.108933</v>
      </c>
      <c r="BJ1905" s="624">
        <v>40920</v>
      </c>
      <c r="BK1905" s="355">
        <v>3.1556000000000001E-2</v>
      </c>
    </row>
    <row r="1906" spans="3:63">
      <c r="C1906" s="624"/>
      <c r="D1906" s="355">
        <v>3.1809999999999998E-2</v>
      </c>
      <c r="AV1906" s="624"/>
      <c r="AX1906" s="624">
        <v>40927</v>
      </c>
      <c r="AY1906" s="355">
        <v>3.1940000000000003E-2</v>
      </c>
      <c r="AZ1906" s="624">
        <v>40991</v>
      </c>
      <c r="BA1906" s="355">
        <v>1.2E-2</v>
      </c>
      <c r="BB1906" s="624">
        <v>40924</v>
      </c>
      <c r="BC1906" s="355">
        <v>0.28770000000000001</v>
      </c>
      <c r="BD1906" s="624">
        <v>40924</v>
      </c>
      <c r="BE1906" s="355">
        <v>8.6760000000000004E-2</v>
      </c>
      <c r="BF1906" s="624">
        <v>41038</v>
      </c>
      <c r="BG1906" s="355">
        <v>1.8551000000000002E-2</v>
      </c>
      <c r="BH1906" s="624">
        <v>40924</v>
      </c>
      <c r="BI1906" s="355">
        <v>0.109565</v>
      </c>
      <c r="BJ1906" s="624">
        <v>40921</v>
      </c>
      <c r="BK1906" s="355">
        <v>3.1437E-2</v>
      </c>
    </row>
    <row r="1907" spans="3:63">
      <c r="C1907" s="624"/>
      <c r="D1907" s="355">
        <v>3.1940000000000003E-2</v>
      </c>
      <c r="AV1907" s="624"/>
      <c r="AX1907" s="624">
        <v>40928</v>
      </c>
      <c r="AY1907" s="355">
        <v>3.1910000000000001E-2</v>
      </c>
      <c r="AZ1907" s="624">
        <v>40994</v>
      </c>
      <c r="BA1907" s="355">
        <v>1.2E-2</v>
      </c>
      <c r="BB1907" s="624">
        <v>40925</v>
      </c>
      <c r="BC1907" s="355">
        <v>0.29220000000000002</v>
      </c>
      <c r="BD1907" s="624">
        <v>40925</v>
      </c>
      <c r="BE1907" s="355">
        <v>8.7440000000000004E-2</v>
      </c>
      <c r="BF1907" s="624">
        <v>41039</v>
      </c>
      <c r="BG1907" s="355">
        <v>1.8762999999999998E-2</v>
      </c>
      <c r="BH1907" s="624">
        <v>40925</v>
      </c>
      <c r="BI1907" s="355">
        <v>0.110011</v>
      </c>
      <c r="BJ1907" s="624">
        <v>40924</v>
      </c>
      <c r="BK1907" s="355">
        <v>3.1377000000000002E-2</v>
      </c>
    </row>
    <row r="1908" spans="3:63">
      <c r="C1908" s="624"/>
      <c r="D1908" s="355">
        <v>3.1910000000000001E-2</v>
      </c>
      <c r="AV1908" s="624"/>
      <c r="AX1908" s="624">
        <v>40931</v>
      </c>
      <c r="AY1908" s="355">
        <v>3.2320000000000002E-2</v>
      </c>
      <c r="AZ1908" s="624">
        <v>40995</v>
      </c>
      <c r="BA1908" s="355">
        <v>1.2E-2</v>
      </c>
      <c r="BB1908" s="624">
        <v>40926</v>
      </c>
      <c r="BC1908" s="355">
        <v>0.29649999999999999</v>
      </c>
      <c r="BD1908" s="624">
        <v>40926</v>
      </c>
      <c r="BE1908" s="355">
        <v>8.7999999999999995E-2</v>
      </c>
      <c r="BF1908" s="624">
        <v>41040</v>
      </c>
      <c r="BG1908" s="355">
        <v>1.8676000000000002E-2</v>
      </c>
      <c r="BH1908" s="624">
        <v>40926</v>
      </c>
      <c r="BI1908" s="355">
        <v>0.110926</v>
      </c>
      <c r="BJ1908" s="624">
        <v>40925</v>
      </c>
      <c r="BK1908" s="355">
        <v>3.1486E-2</v>
      </c>
    </row>
    <row r="1909" spans="3:63">
      <c r="C1909" s="624"/>
      <c r="D1909" s="355">
        <v>3.2320000000000002E-2</v>
      </c>
      <c r="AV1909" s="624"/>
      <c r="AX1909" s="624">
        <v>40932</v>
      </c>
      <c r="AY1909" s="355">
        <v>3.2509999999999997E-2</v>
      </c>
      <c r="AZ1909" s="624">
        <v>40996</v>
      </c>
      <c r="BA1909" s="355">
        <v>1.2E-2</v>
      </c>
      <c r="BB1909" s="624">
        <v>40927</v>
      </c>
      <c r="BC1909" s="355">
        <v>0.30099999999999999</v>
      </c>
      <c r="BD1909" s="624">
        <v>40927</v>
      </c>
      <c r="BE1909" s="355">
        <v>8.8279999999999997E-2</v>
      </c>
      <c r="BF1909" s="624">
        <v>41043</v>
      </c>
      <c r="BG1909" s="355">
        <v>1.8519000000000001E-2</v>
      </c>
      <c r="BH1909" s="624">
        <v>40927</v>
      </c>
      <c r="BI1909" s="355">
        <v>0.111111</v>
      </c>
      <c r="BJ1909" s="624">
        <v>40926</v>
      </c>
      <c r="BK1909" s="355">
        <v>3.1525999999999998E-2</v>
      </c>
    </row>
    <row r="1910" spans="3:63">
      <c r="C1910" s="624"/>
      <c r="D1910" s="355">
        <v>3.2509999999999997E-2</v>
      </c>
      <c r="AV1910" s="624"/>
      <c r="AX1910" s="624">
        <v>40933</v>
      </c>
      <c r="AY1910" s="355">
        <v>3.2719999999999999E-2</v>
      </c>
      <c r="AZ1910" s="624">
        <v>40997</v>
      </c>
      <c r="BA1910" s="355">
        <v>1.1900000000000001E-2</v>
      </c>
      <c r="BB1910" s="624">
        <v>40928</v>
      </c>
      <c r="BC1910" s="355">
        <v>0.29980000000000001</v>
      </c>
      <c r="BD1910" s="624">
        <v>40928</v>
      </c>
      <c r="BE1910" s="355">
        <v>8.813E-2</v>
      </c>
      <c r="BF1910" s="624">
        <v>41044</v>
      </c>
      <c r="BG1910" s="355">
        <v>1.8495000000000001E-2</v>
      </c>
      <c r="BH1910" s="624">
        <v>40928</v>
      </c>
      <c r="BI1910" s="355">
        <v>0.11176899999999999</v>
      </c>
      <c r="BJ1910" s="624">
        <v>40927</v>
      </c>
      <c r="BK1910" s="355">
        <v>3.1666E-2</v>
      </c>
    </row>
    <row r="1911" spans="3:63">
      <c r="C1911" s="624"/>
      <c r="D1911" s="355">
        <v>3.2719999999999999E-2</v>
      </c>
      <c r="AV1911" s="624"/>
      <c r="AX1911" s="624">
        <v>40934</v>
      </c>
      <c r="AY1911" s="355">
        <v>3.2960000000000003E-2</v>
      </c>
      <c r="AZ1911" s="624">
        <v>40998</v>
      </c>
      <c r="BA1911" s="355">
        <v>1.2E-2</v>
      </c>
      <c r="BB1911" s="624">
        <v>40931</v>
      </c>
      <c r="BC1911" s="355">
        <v>0.30409999999999998</v>
      </c>
      <c r="BD1911" s="624">
        <v>40931</v>
      </c>
      <c r="BE1911" s="355">
        <v>8.8609999999999994E-2</v>
      </c>
      <c r="BF1911" s="624">
        <v>41045</v>
      </c>
      <c r="BG1911" s="355">
        <v>1.8369E-2</v>
      </c>
      <c r="BH1911" s="624">
        <v>40931</v>
      </c>
      <c r="BI1911" s="355">
        <v>0.111857</v>
      </c>
      <c r="BJ1911" s="624">
        <v>40928</v>
      </c>
      <c r="BK1911" s="355">
        <v>3.1684999999999998E-2</v>
      </c>
    </row>
    <row r="1912" spans="3:63">
      <c r="C1912" s="624"/>
      <c r="D1912" s="355">
        <v>3.2960000000000003E-2</v>
      </c>
      <c r="AV1912" s="624"/>
      <c r="AX1912" s="624">
        <v>40935</v>
      </c>
      <c r="AY1912" s="355">
        <v>3.3239999999999999E-2</v>
      </c>
      <c r="AZ1912" s="624">
        <v>41001</v>
      </c>
      <c r="BA1912" s="355">
        <v>1.1900000000000001E-2</v>
      </c>
      <c r="BB1912" s="624">
        <v>40932</v>
      </c>
      <c r="BC1912" s="355">
        <v>0.30509999999999998</v>
      </c>
      <c r="BD1912" s="624">
        <v>40932</v>
      </c>
      <c r="BE1912" s="355">
        <v>8.8620000000000004E-2</v>
      </c>
      <c r="BF1912" s="624">
        <v>41046</v>
      </c>
      <c r="BG1912" s="355">
        <v>1.8395999999999999E-2</v>
      </c>
      <c r="BH1912" s="624">
        <v>40932</v>
      </c>
      <c r="BI1912" s="355">
        <v>0.111452</v>
      </c>
      <c r="BJ1912" s="624">
        <v>40931</v>
      </c>
      <c r="BK1912" s="355">
        <v>3.1851999999999998E-2</v>
      </c>
    </row>
    <row r="1913" spans="3:63">
      <c r="C1913" s="624"/>
      <c r="D1913" s="355">
        <v>3.3239999999999999E-2</v>
      </c>
      <c r="AV1913" s="624"/>
      <c r="AX1913" s="624">
        <v>40938</v>
      </c>
      <c r="AY1913" s="355">
        <v>3.2910000000000002E-2</v>
      </c>
      <c r="AZ1913" s="624">
        <v>41002</v>
      </c>
      <c r="BA1913" s="355">
        <v>1.1900000000000001E-2</v>
      </c>
      <c r="BB1913" s="624">
        <v>40933</v>
      </c>
      <c r="BC1913" s="355">
        <v>0.30780000000000002</v>
      </c>
      <c r="BD1913" s="624">
        <v>40933</v>
      </c>
      <c r="BE1913" s="355">
        <v>8.9380000000000001E-2</v>
      </c>
      <c r="BF1913" s="624">
        <v>41047</v>
      </c>
      <c r="BG1913" s="355">
        <v>1.8284999999999999E-2</v>
      </c>
      <c r="BH1913" s="624">
        <v>40933</v>
      </c>
      <c r="BI1913" s="355">
        <v>0.111266</v>
      </c>
      <c r="BJ1913" s="624">
        <v>40932</v>
      </c>
      <c r="BK1913" s="355">
        <v>3.1831999999999999E-2</v>
      </c>
    </row>
    <row r="1914" spans="3:63">
      <c r="C1914" s="624"/>
      <c r="D1914" s="355">
        <v>3.2910000000000002E-2</v>
      </c>
      <c r="AV1914" s="624"/>
      <c r="AX1914" s="624">
        <v>40939</v>
      </c>
      <c r="AY1914" s="355">
        <v>3.3020000000000001E-2</v>
      </c>
      <c r="AZ1914" s="624">
        <v>41003</v>
      </c>
      <c r="BA1914" s="355">
        <v>1.18E-2</v>
      </c>
      <c r="BB1914" s="624">
        <v>40934</v>
      </c>
      <c r="BC1914" s="355">
        <v>0.30919999999999997</v>
      </c>
      <c r="BD1914" s="624">
        <v>40934</v>
      </c>
      <c r="BE1914" s="355">
        <v>8.8980000000000004E-2</v>
      </c>
      <c r="BF1914" s="624">
        <v>41050</v>
      </c>
      <c r="BG1914" s="355">
        <v>1.8225000000000002E-2</v>
      </c>
      <c r="BH1914" s="624">
        <v>40934</v>
      </c>
      <c r="BI1914" s="355">
        <v>0.11157599999999999</v>
      </c>
      <c r="BJ1914" s="624">
        <v>40933</v>
      </c>
      <c r="BK1914" s="355">
        <v>3.1807000000000002E-2</v>
      </c>
    </row>
    <row r="1915" spans="3:63">
      <c r="C1915" s="624"/>
      <c r="D1915" s="355">
        <v>3.3020000000000001E-2</v>
      </c>
      <c r="AV1915" s="624"/>
      <c r="AX1915" s="624">
        <v>40940</v>
      </c>
      <c r="AY1915" s="355">
        <v>3.3169999999999998E-2</v>
      </c>
      <c r="AZ1915" s="624">
        <v>41004</v>
      </c>
      <c r="BA1915" s="355">
        <v>1.17E-2</v>
      </c>
      <c r="BB1915" s="624">
        <v>40935</v>
      </c>
      <c r="BC1915" s="355">
        <v>0.31259999999999999</v>
      </c>
      <c r="BD1915" s="624">
        <v>40935</v>
      </c>
      <c r="BE1915" s="355">
        <v>8.9319999999999997E-2</v>
      </c>
      <c r="BF1915" s="624">
        <v>41051</v>
      </c>
      <c r="BG1915" s="355">
        <v>1.7950000000000001E-2</v>
      </c>
      <c r="BH1915" s="624">
        <v>40935</v>
      </c>
      <c r="BI1915" s="355">
        <v>0.111483</v>
      </c>
      <c r="BJ1915" s="624">
        <v>40934</v>
      </c>
      <c r="BK1915" s="355">
        <v>3.1968999999999997E-2</v>
      </c>
    </row>
    <row r="1916" spans="3:63">
      <c r="C1916" s="624"/>
      <c r="D1916" s="355">
        <v>3.3169999999999998E-2</v>
      </c>
      <c r="AV1916" s="624"/>
      <c r="AX1916" s="624">
        <v>40941</v>
      </c>
      <c r="AY1916" s="355">
        <v>3.3079999999999998E-2</v>
      </c>
      <c r="AZ1916" s="624">
        <v>41005</v>
      </c>
      <c r="BA1916" s="355">
        <v>1.18E-2</v>
      </c>
      <c r="BB1916" s="624">
        <v>40938</v>
      </c>
      <c r="BC1916" s="355">
        <v>0.30869999999999997</v>
      </c>
      <c r="BD1916" s="624">
        <v>40938</v>
      </c>
      <c r="BE1916" s="355">
        <v>8.8719999999999993E-2</v>
      </c>
      <c r="BF1916" s="624">
        <v>41052</v>
      </c>
      <c r="BG1916" s="355">
        <v>1.7788999999999999E-2</v>
      </c>
      <c r="BH1916" s="624">
        <v>40938</v>
      </c>
      <c r="BI1916" s="355">
        <v>0.111322</v>
      </c>
      <c r="BJ1916" s="624">
        <v>40935</v>
      </c>
      <c r="BK1916" s="355">
        <v>3.2175000000000002E-2</v>
      </c>
    </row>
    <row r="1917" spans="3:63">
      <c r="C1917" s="624"/>
      <c r="D1917" s="355">
        <v>3.3079999999999998E-2</v>
      </c>
      <c r="AV1917" s="624"/>
      <c r="AX1917" s="624">
        <v>40942</v>
      </c>
      <c r="AY1917" s="355">
        <v>3.3189999999999997E-2</v>
      </c>
      <c r="AZ1917" s="624">
        <v>41008</v>
      </c>
      <c r="BA1917" s="355">
        <v>1.17E-2</v>
      </c>
      <c r="BB1917" s="624">
        <v>40939</v>
      </c>
      <c r="BC1917" s="355">
        <v>0.31</v>
      </c>
      <c r="BD1917" s="624">
        <v>40939</v>
      </c>
      <c r="BE1917" s="355">
        <v>8.8880000000000001E-2</v>
      </c>
      <c r="BF1917" s="624">
        <v>41053</v>
      </c>
      <c r="BG1917" s="355">
        <v>1.7895000000000001E-2</v>
      </c>
      <c r="BH1917" s="624">
        <v>40939</v>
      </c>
      <c r="BI1917" s="355">
        <v>0.11105</v>
      </c>
      <c r="BJ1917" s="624">
        <v>40938</v>
      </c>
      <c r="BK1917" s="355">
        <v>3.2098000000000002E-2</v>
      </c>
    </row>
    <row r="1918" spans="3:63">
      <c r="C1918" s="624"/>
      <c r="D1918" s="355">
        <v>3.3189999999999997E-2</v>
      </c>
      <c r="AV1918" s="624"/>
      <c r="AX1918" s="624">
        <v>40945</v>
      </c>
      <c r="AY1918" s="355">
        <v>3.322E-2</v>
      </c>
      <c r="AZ1918" s="624">
        <v>41009</v>
      </c>
      <c r="BA1918" s="355">
        <v>1.17E-2</v>
      </c>
      <c r="BB1918" s="624">
        <v>40940</v>
      </c>
      <c r="BC1918" s="355">
        <v>0.31419999999999998</v>
      </c>
      <c r="BD1918" s="624">
        <v>40940</v>
      </c>
      <c r="BE1918" s="355">
        <v>8.8859999999999995E-2</v>
      </c>
      <c r="BF1918" s="624">
        <v>41054</v>
      </c>
      <c r="BG1918" s="355">
        <v>1.8062000000000002E-2</v>
      </c>
      <c r="BH1918" s="624">
        <v>40940</v>
      </c>
      <c r="BI1918" s="355">
        <v>0.11128399999999999</v>
      </c>
      <c r="BJ1918" s="624">
        <v>40939</v>
      </c>
      <c r="BK1918" s="355">
        <v>3.2258000000000002E-2</v>
      </c>
    </row>
    <row r="1919" spans="3:63">
      <c r="C1919" s="624"/>
      <c r="D1919" s="355">
        <v>3.322E-2</v>
      </c>
      <c r="AV1919" s="624"/>
      <c r="AX1919" s="624">
        <v>40946</v>
      </c>
      <c r="AY1919" s="355">
        <v>3.3579999999999999E-2</v>
      </c>
      <c r="AZ1919" s="624">
        <v>41010</v>
      </c>
      <c r="BA1919" s="355">
        <v>1.17E-2</v>
      </c>
      <c r="BB1919" s="624">
        <v>40941</v>
      </c>
      <c r="BC1919" s="355">
        <v>0.31369999999999998</v>
      </c>
      <c r="BD1919" s="624">
        <v>40941</v>
      </c>
      <c r="BE1919" s="355">
        <v>8.9510000000000006E-2</v>
      </c>
      <c r="BF1919" s="624">
        <v>41057</v>
      </c>
      <c r="BG1919" s="355">
        <v>1.806E-2</v>
      </c>
      <c r="BH1919" s="624">
        <v>40941</v>
      </c>
      <c r="BI1919" s="355">
        <v>0.111359</v>
      </c>
      <c r="BJ1919" s="624">
        <v>40940</v>
      </c>
      <c r="BK1919" s="355">
        <v>3.2300000000000002E-2</v>
      </c>
    </row>
    <row r="1920" spans="3:63">
      <c r="C1920" s="624"/>
      <c r="D1920" s="355">
        <v>3.3579999999999999E-2</v>
      </c>
      <c r="AV1920" s="624"/>
      <c r="AX1920" s="624">
        <v>40947</v>
      </c>
      <c r="AY1920" s="355">
        <v>3.363E-2</v>
      </c>
      <c r="AZ1920" s="624">
        <v>41011</v>
      </c>
      <c r="BA1920" s="355">
        <v>1.18E-2</v>
      </c>
      <c r="BB1920" s="624">
        <v>40942</v>
      </c>
      <c r="BC1920" s="355">
        <v>0.31530000000000002</v>
      </c>
      <c r="BD1920" s="624">
        <v>40942</v>
      </c>
      <c r="BE1920" s="355">
        <v>8.9789999999999995E-2</v>
      </c>
      <c r="BF1920" s="624">
        <v>41058</v>
      </c>
      <c r="BG1920" s="355">
        <v>1.7916000000000001E-2</v>
      </c>
      <c r="BH1920" s="624">
        <v>40942</v>
      </c>
      <c r="BI1920" s="355">
        <v>0.11182599999999999</v>
      </c>
      <c r="BJ1920" s="624">
        <v>40941</v>
      </c>
      <c r="BK1920" s="355">
        <v>3.2368000000000001E-2</v>
      </c>
    </row>
    <row r="1921" spans="3:63">
      <c r="C1921" s="624"/>
      <c r="D1921" s="355">
        <v>3.363E-2</v>
      </c>
      <c r="AV1921" s="624"/>
      <c r="AX1921" s="624">
        <v>40948</v>
      </c>
      <c r="AY1921" s="355">
        <v>3.3669999999999999E-2</v>
      </c>
      <c r="AZ1921" s="624">
        <v>41012</v>
      </c>
      <c r="BA1921" s="355">
        <v>1.17E-2</v>
      </c>
      <c r="BB1921" s="624">
        <v>40945</v>
      </c>
      <c r="BC1921" s="355">
        <v>0.31430000000000002</v>
      </c>
      <c r="BD1921" s="624">
        <v>40945</v>
      </c>
      <c r="BE1921" s="355">
        <v>8.9209999999999998E-2</v>
      </c>
      <c r="BF1921" s="624">
        <v>41059</v>
      </c>
      <c r="BG1921" s="355">
        <v>1.7773000000000001E-2</v>
      </c>
      <c r="BH1921" s="624">
        <v>40945</v>
      </c>
      <c r="BI1921" s="355">
        <v>0.11142100000000001</v>
      </c>
      <c r="BJ1921" s="624">
        <v>40942</v>
      </c>
      <c r="BK1921" s="355">
        <v>3.2414999999999999E-2</v>
      </c>
    </row>
    <row r="1922" spans="3:63">
      <c r="C1922" s="624"/>
      <c r="D1922" s="355">
        <v>3.3669999999999999E-2</v>
      </c>
      <c r="AV1922" s="624"/>
      <c r="AX1922" s="624">
        <v>40949</v>
      </c>
      <c r="AY1922" s="355">
        <v>3.3309999999999999E-2</v>
      </c>
      <c r="AZ1922" s="624">
        <v>41015</v>
      </c>
      <c r="BA1922" s="355">
        <v>1.18E-2</v>
      </c>
      <c r="BB1922" s="624">
        <v>40946</v>
      </c>
      <c r="BC1922" s="355">
        <v>0.31879999999999997</v>
      </c>
      <c r="BD1922" s="624">
        <v>40946</v>
      </c>
      <c r="BE1922" s="355">
        <v>8.9480000000000004E-2</v>
      </c>
      <c r="BF1922" s="624">
        <v>41060</v>
      </c>
      <c r="BG1922" s="355">
        <v>1.7732000000000001E-2</v>
      </c>
      <c r="BH1922" s="624">
        <v>40946</v>
      </c>
      <c r="BI1922" s="355">
        <v>0.111857</v>
      </c>
      <c r="BJ1922" s="624">
        <v>40945</v>
      </c>
      <c r="BK1922" s="355">
        <v>3.2309999999999998E-2</v>
      </c>
    </row>
    <row r="1923" spans="3:63">
      <c r="C1923" s="624"/>
      <c r="D1923" s="355">
        <v>3.3309999999999999E-2</v>
      </c>
      <c r="AV1923" s="624"/>
      <c r="AX1923" s="624">
        <v>40952</v>
      </c>
      <c r="AY1923" s="355">
        <v>3.3489999999999999E-2</v>
      </c>
      <c r="AZ1923" s="624">
        <v>41016</v>
      </c>
      <c r="BA1923" s="355">
        <v>1.18E-2</v>
      </c>
      <c r="BB1923" s="624">
        <v>40947</v>
      </c>
      <c r="BC1923" s="355">
        <v>0.31680000000000003</v>
      </c>
      <c r="BD1923" s="624">
        <v>40947</v>
      </c>
      <c r="BE1923" s="355">
        <v>8.9899999999999994E-2</v>
      </c>
      <c r="BF1923" s="624">
        <v>41061</v>
      </c>
      <c r="BG1923" s="355">
        <v>1.8026E-2</v>
      </c>
      <c r="BH1923" s="624">
        <v>40947</v>
      </c>
      <c r="BI1923" s="355">
        <v>0.112424</v>
      </c>
      <c r="BJ1923" s="624">
        <v>40946</v>
      </c>
      <c r="BK1923" s="355">
        <v>3.2410000000000001E-2</v>
      </c>
    </row>
    <row r="1924" spans="3:63">
      <c r="C1924" s="624"/>
      <c r="D1924" s="355">
        <v>3.3489999999999999E-2</v>
      </c>
      <c r="AV1924" s="624"/>
      <c r="AX1924" s="624">
        <v>40953</v>
      </c>
      <c r="AY1924" s="355">
        <v>3.322E-2</v>
      </c>
      <c r="AZ1924" s="624">
        <v>41017</v>
      </c>
      <c r="BA1924" s="355">
        <v>1.18E-2</v>
      </c>
      <c r="BB1924" s="624">
        <v>40948</v>
      </c>
      <c r="BC1924" s="355">
        <v>0.31659999999999999</v>
      </c>
      <c r="BD1924" s="624">
        <v>40948</v>
      </c>
      <c r="BE1924" s="355">
        <v>8.9340000000000003E-2</v>
      </c>
      <c r="BF1924" s="624">
        <v>41064</v>
      </c>
      <c r="BG1924" s="355">
        <v>1.7968000000000001E-2</v>
      </c>
      <c r="BH1924" s="624">
        <v>40948</v>
      </c>
      <c r="BI1924" s="355">
        <v>0.111488</v>
      </c>
      <c r="BJ1924" s="624">
        <v>40947</v>
      </c>
      <c r="BK1924" s="355">
        <v>3.2572999999999998E-2</v>
      </c>
    </row>
    <row r="1925" spans="3:63">
      <c r="C1925" s="624"/>
      <c r="D1925" s="355">
        <v>3.322E-2</v>
      </c>
      <c r="AV1925" s="624"/>
      <c r="AX1925" s="624">
        <v>40954</v>
      </c>
      <c r="AY1925" s="355">
        <v>3.3230000000000003E-2</v>
      </c>
      <c r="AZ1925" s="624">
        <v>41018</v>
      </c>
      <c r="BA1925" s="355">
        <v>1.18E-2</v>
      </c>
      <c r="BB1925" s="624">
        <v>40949</v>
      </c>
      <c r="BC1925" s="355">
        <v>0.31319999999999998</v>
      </c>
      <c r="BD1925" s="624">
        <v>40949</v>
      </c>
      <c r="BE1925" s="355">
        <v>8.8789999999999994E-2</v>
      </c>
      <c r="BF1925" s="624">
        <v>41065</v>
      </c>
      <c r="BG1925" s="355">
        <v>1.7981E-2</v>
      </c>
      <c r="BH1925" s="624">
        <v>40949</v>
      </c>
      <c r="BI1925" s="355">
        <v>0.110926</v>
      </c>
      <c r="BJ1925" s="624">
        <v>40948</v>
      </c>
      <c r="BK1925" s="355">
        <v>3.2525999999999999E-2</v>
      </c>
    </row>
    <row r="1926" spans="3:63">
      <c r="C1926" s="624"/>
      <c r="D1926" s="355">
        <v>3.3230000000000003E-2</v>
      </c>
      <c r="AV1926" s="624"/>
      <c r="AX1926" s="624">
        <v>40955</v>
      </c>
      <c r="AY1926" s="355">
        <v>3.329E-2</v>
      </c>
      <c r="AZ1926" s="624">
        <v>41019</v>
      </c>
      <c r="BA1926" s="355">
        <v>1.18E-2</v>
      </c>
      <c r="BB1926" s="624">
        <v>40952</v>
      </c>
      <c r="BC1926" s="355">
        <v>0.3155</v>
      </c>
      <c r="BD1926" s="624">
        <v>40952</v>
      </c>
      <c r="BE1926" s="355">
        <v>8.9249999999999996E-2</v>
      </c>
      <c r="BF1926" s="624">
        <v>41066</v>
      </c>
      <c r="BG1926" s="355">
        <v>1.8141000000000001E-2</v>
      </c>
      <c r="BH1926" s="624">
        <v>40952</v>
      </c>
      <c r="BI1926" s="355">
        <v>0.110829</v>
      </c>
      <c r="BJ1926" s="624">
        <v>40949</v>
      </c>
      <c r="BK1926" s="355">
        <v>3.2393999999999999E-2</v>
      </c>
    </row>
    <row r="1927" spans="3:63">
      <c r="C1927" s="624"/>
      <c r="D1927" s="355">
        <v>3.329E-2</v>
      </c>
      <c r="AV1927" s="624"/>
      <c r="AX1927" s="624">
        <v>40956</v>
      </c>
      <c r="AY1927" s="355">
        <v>3.3390000000000003E-2</v>
      </c>
      <c r="AZ1927" s="624">
        <v>41022</v>
      </c>
      <c r="BA1927" s="355">
        <v>1.18E-2</v>
      </c>
      <c r="BB1927" s="624">
        <v>40953</v>
      </c>
      <c r="BC1927" s="355">
        <v>0.3145</v>
      </c>
      <c r="BD1927" s="624">
        <v>40953</v>
      </c>
      <c r="BE1927" s="355">
        <v>8.8800000000000004E-2</v>
      </c>
      <c r="BF1927" s="624">
        <v>41067</v>
      </c>
      <c r="BG1927" s="355">
        <v>1.8176999999999999E-2</v>
      </c>
      <c r="BH1927" s="624">
        <v>40953</v>
      </c>
      <c r="BI1927" s="355">
        <v>0.111037</v>
      </c>
      <c r="BJ1927" s="624">
        <v>40952</v>
      </c>
      <c r="BK1927" s="355">
        <v>3.2532999999999999E-2</v>
      </c>
    </row>
    <row r="1928" spans="3:63">
      <c r="C1928" s="624"/>
      <c r="D1928" s="355">
        <v>3.3390000000000003E-2</v>
      </c>
      <c r="AV1928" s="624"/>
      <c r="AX1928" s="624">
        <v>40959</v>
      </c>
      <c r="AY1928" s="355">
        <v>3.3579999999999999E-2</v>
      </c>
      <c r="AZ1928" s="624">
        <v>41023</v>
      </c>
      <c r="BA1928" s="355">
        <v>1.18E-2</v>
      </c>
      <c r="BB1928" s="624">
        <v>40954</v>
      </c>
      <c r="BC1928" s="355">
        <v>0.31030000000000002</v>
      </c>
      <c r="BD1928" s="624">
        <v>40954</v>
      </c>
      <c r="BE1928" s="355">
        <v>8.9029999999999998E-2</v>
      </c>
      <c r="BF1928" s="624">
        <v>41068</v>
      </c>
      <c r="BG1928" s="355">
        <v>1.8041999999999999E-2</v>
      </c>
      <c r="BH1928" s="624">
        <v>40954</v>
      </c>
      <c r="BI1928" s="355">
        <v>0.110558</v>
      </c>
      <c r="BJ1928" s="624">
        <v>40953</v>
      </c>
      <c r="BK1928" s="355">
        <v>3.2419999999999997E-2</v>
      </c>
    </row>
    <row r="1929" spans="3:63">
      <c r="C1929" s="624"/>
      <c r="D1929" s="355">
        <v>3.3579999999999999E-2</v>
      </c>
      <c r="AV1929" s="624"/>
      <c r="AX1929" s="624">
        <v>40960</v>
      </c>
      <c r="AY1929" s="355">
        <v>3.3590000000000002E-2</v>
      </c>
      <c r="AZ1929" s="624">
        <v>41024</v>
      </c>
      <c r="BA1929" s="355">
        <v>1.18E-2</v>
      </c>
      <c r="BB1929" s="624">
        <v>40955</v>
      </c>
      <c r="BC1929" s="355">
        <v>0.31280000000000002</v>
      </c>
      <c r="BD1929" s="624">
        <v>40955</v>
      </c>
      <c r="BE1929" s="355">
        <v>8.8760000000000006E-2</v>
      </c>
      <c r="BF1929" s="624">
        <v>41071</v>
      </c>
      <c r="BG1929" s="355">
        <v>1.7909999999999999E-2</v>
      </c>
      <c r="BH1929" s="624">
        <v>40955</v>
      </c>
      <c r="BI1929" s="355">
        <v>0.11013199999999999</v>
      </c>
      <c r="BJ1929" s="624">
        <v>40954</v>
      </c>
      <c r="BK1929" s="355">
        <v>3.2461999999999998E-2</v>
      </c>
    </row>
    <row r="1930" spans="3:63">
      <c r="C1930" s="624"/>
      <c r="D1930" s="355">
        <v>3.3590000000000002E-2</v>
      </c>
      <c r="AV1930" s="624"/>
      <c r="AX1930" s="624">
        <v>40961</v>
      </c>
      <c r="AY1930" s="355">
        <v>3.3680000000000002E-2</v>
      </c>
      <c r="AZ1930" s="624">
        <v>41025</v>
      </c>
      <c r="BA1930" s="355">
        <v>1.18E-2</v>
      </c>
      <c r="BB1930" s="624">
        <v>40956</v>
      </c>
      <c r="BC1930" s="355">
        <v>0.31440000000000001</v>
      </c>
      <c r="BD1930" s="624">
        <v>40956</v>
      </c>
      <c r="BE1930" s="355">
        <v>8.8779999999999998E-2</v>
      </c>
      <c r="BF1930" s="624">
        <v>41072</v>
      </c>
      <c r="BG1930" s="355">
        <v>1.7971999999999998E-2</v>
      </c>
      <c r="BH1930" s="624">
        <v>40956</v>
      </c>
      <c r="BI1930" s="355">
        <v>0.110558</v>
      </c>
      <c r="BJ1930" s="624">
        <v>40955</v>
      </c>
      <c r="BK1930" s="355">
        <v>3.2457E-2</v>
      </c>
    </row>
    <row r="1931" spans="3:63">
      <c r="C1931" s="624"/>
      <c r="D1931" s="355">
        <v>3.3680000000000002E-2</v>
      </c>
      <c r="AV1931" s="624"/>
      <c r="AX1931" s="624">
        <v>40962</v>
      </c>
      <c r="AY1931" s="355">
        <v>3.3779999999999998E-2</v>
      </c>
      <c r="AZ1931" s="624">
        <v>41026</v>
      </c>
      <c r="BA1931" s="355">
        <v>1.18E-2</v>
      </c>
      <c r="BB1931" s="624">
        <v>40959</v>
      </c>
      <c r="BC1931" s="355">
        <v>0.3175</v>
      </c>
      <c r="BD1931" s="624">
        <v>40959</v>
      </c>
      <c r="BE1931" s="355">
        <v>8.9120000000000005E-2</v>
      </c>
      <c r="BF1931" s="624">
        <v>41073</v>
      </c>
      <c r="BG1931" s="355">
        <v>1.7984E-2</v>
      </c>
      <c r="BH1931" s="624">
        <v>40959</v>
      </c>
      <c r="BI1931" s="355">
        <v>0.111483</v>
      </c>
      <c r="BJ1931" s="624">
        <v>40956</v>
      </c>
      <c r="BK1931" s="355">
        <v>3.2467999999999997E-2</v>
      </c>
    </row>
    <row r="1932" spans="3:63">
      <c r="C1932" s="624"/>
      <c r="D1932" s="355">
        <v>3.3779999999999998E-2</v>
      </c>
      <c r="AV1932" s="624"/>
      <c r="AX1932" s="624">
        <v>40963</v>
      </c>
      <c r="AY1932" s="355">
        <v>3.4340000000000002E-2</v>
      </c>
      <c r="AZ1932" s="624">
        <v>41029</v>
      </c>
      <c r="BA1932" s="355">
        <v>1.18E-2</v>
      </c>
      <c r="BB1932" s="624">
        <v>40960</v>
      </c>
      <c r="BC1932" s="355">
        <v>0.31669999999999998</v>
      </c>
      <c r="BD1932" s="624">
        <v>40960</v>
      </c>
      <c r="BE1932" s="355">
        <v>8.8929999999999995E-2</v>
      </c>
      <c r="BF1932" s="624">
        <v>41074</v>
      </c>
      <c r="BG1932" s="355">
        <v>1.7964999999999998E-2</v>
      </c>
      <c r="BH1932" s="624">
        <v>40960</v>
      </c>
      <c r="BI1932" s="355">
        <v>0.110926</v>
      </c>
      <c r="BJ1932" s="624">
        <v>40959</v>
      </c>
      <c r="BK1932" s="355">
        <v>3.2509999999999997E-2</v>
      </c>
    </row>
    <row r="1933" spans="3:63">
      <c r="C1933" s="624"/>
      <c r="D1933" s="355">
        <v>3.4340000000000002E-2</v>
      </c>
      <c r="AV1933" s="624"/>
      <c r="AX1933" s="624">
        <v>40966</v>
      </c>
      <c r="AY1933" s="355">
        <v>3.4450000000000001E-2</v>
      </c>
      <c r="AZ1933" s="624">
        <v>41030</v>
      </c>
      <c r="BA1933" s="355">
        <v>1.18E-2</v>
      </c>
      <c r="BB1933" s="624">
        <v>40961</v>
      </c>
      <c r="BC1933" s="355">
        <v>0.31540000000000001</v>
      </c>
      <c r="BD1933" s="624">
        <v>40961</v>
      </c>
      <c r="BE1933" s="355">
        <v>8.8599999999999998E-2</v>
      </c>
      <c r="BF1933" s="624">
        <v>41075</v>
      </c>
      <c r="BG1933" s="355">
        <v>1.7987E-2</v>
      </c>
      <c r="BH1933" s="624">
        <v>40961</v>
      </c>
      <c r="BI1933" s="355">
        <v>0.11028399999999999</v>
      </c>
      <c r="BJ1933" s="624">
        <v>40960</v>
      </c>
      <c r="BK1933" s="355">
        <v>3.2551999999999998E-2</v>
      </c>
    </row>
    <row r="1934" spans="3:63">
      <c r="C1934" s="624"/>
      <c r="D1934" s="355">
        <v>3.4450000000000001E-2</v>
      </c>
      <c r="AV1934" s="624"/>
      <c r="AX1934" s="624">
        <v>40967</v>
      </c>
      <c r="AY1934" s="355">
        <v>3.4509999999999999E-2</v>
      </c>
      <c r="AZ1934" s="624">
        <v>41031</v>
      </c>
      <c r="BA1934" s="355">
        <v>1.17E-2</v>
      </c>
      <c r="BB1934" s="624">
        <v>40962</v>
      </c>
      <c r="BC1934" s="355">
        <v>0.32050000000000001</v>
      </c>
      <c r="BD1934" s="624">
        <v>40962</v>
      </c>
      <c r="BE1934" s="355">
        <v>8.8660000000000003E-2</v>
      </c>
      <c r="BF1934" s="624">
        <v>41078</v>
      </c>
      <c r="BG1934" s="355">
        <v>1.7867999999999998E-2</v>
      </c>
      <c r="BH1934" s="624">
        <v>40962</v>
      </c>
      <c r="BI1934" s="355">
        <v>0.110236</v>
      </c>
      <c r="BJ1934" s="624">
        <v>40961</v>
      </c>
      <c r="BK1934" s="355">
        <v>3.2738999999999997E-2</v>
      </c>
    </row>
    <row r="1935" spans="3:63">
      <c r="C1935" s="624"/>
      <c r="D1935" s="355">
        <v>3.4509999999999999E-2</v>
      </c>
      <c r="AV1935" s="624"/>
      <c r="AX1935" s="624">
        <v>40968</v>
      </c>
      <c r="AY1935" s="355">
        <v>3.4180000000000002E-2</v>
      </c>
      <c r="AZ1935" s="624">
        <v>41032</v>
      </c>
      <c r="BA1935" s="355">
        <v>1.18E-2</v>
      </c>
      <c r="BB1935" s="624">
        <v>40963</v>
      </c>
      <c r="BC1935" s="355">
        <v>0.32290000000000002</v>
      </c>
      <c r="BD1935" s="624">
        <v>40963</v>
      </c>
      <c r="BE1935" s="355">
        <v>8.8870000000000005E-2</v>
      </c>
      <c r="BF1935" s="624">
        <v>41079</v>
      </c>
      <c r="BG1935" s="355">
        <v>1.7884000000000001E-2</v>
      </c>
      <c r="BH1935" s="624">
        <v>40963</v>
      </c>
      <c r="BI1935" s="355">
        <v>0.10920000000000001</v>
      </c>
      <c r="BJ1935" s="624">
        <v>40962</v>
      </c>
      <c r="BK1935" s="355">
        <v>3.2948999999999999E-2</v>
      </c>
    </row>
    <row r="1936" spans="3:63">
      <c r="C1936" s="624"/>
      <c r="D1936" s="355">
        <v>3.4180000000000002E-2</v>
      </c>
      <c r="AV1936" s="624"/>
      <c r="AX1936" s="624">
        <v>40969</v>
      </c>
      <c r="AY1936" s="355">
        <v>3.4329999999999999E-2</v>
      </c>
      <c r="AZ1936" s="624">
        <v>41033</v>
      </c>
      <c r="BA1936" s="355">
        <v>1.17E-2</v>
      </c>
      <c r="BB1936" s="624">
        <v>40966</v>
      </c>
      <c r="BC1936" s="355">
        <v>0.32150000000000001</v>
      </c>
      <c r="BD1936" s="624">
        <v>40966</v>
      </c>
      <c r="BE1936" s="355">
        <v>8.8719999999999993E-2</v>
      </c>
      <c r="BF1936" s="624">
        <v>41080</v>
      </c>
      <c r="BG1936" s="355">
        <v>1.7756999999999998E-2</v>
      </c>
      <c r="BH1936" s="624">
        <v>40966</v>
      </c>
      <c r="BI1936" s="355">
        <v>0.109445</v>
      </c>
      <c r="BJ1936" s="624">
        <v>40963</v>
      </c>
      <c r="BK1936" s="355">
        <v>3.2971E-2</v>
      </c>
    </row>
    <row r="1937" spans="3:63">
      <c r="C1937" s="624"/>
      <c r="D1937" s="355">
        <v>3.4329999999999999E-2</v>
      </c>
      <c r="AV1937" s="624"/>
      <c r="AX1937" s="624">
        <v>40970</v>
      </c>
      <c r="AY1937" s="355">
        <v>3.4049999999999997E-2</v>
      </c>
      <c r="AZ1937" s="624">
        <v>41036</v>
      </c>
      <c r="BA1937" s="355">
        <v>1.17E-2</v>
      </c>
      <c r="BB1937" s="624">
        <v>40967</v>
      </c>
      <c r="BC1937" s="355">
        <v>0.3261</v>
      </c>
      <c r="BD1937" s="624">
        <v>40967</v>
      </c>
      <c r="BE1937" s="355">
        <v>8.8830000000000006E-2</v>
      </c>
      <c r="BF1937" s="624">
        <v>41081</v>
      </c>
      <c r="BG1937" s="355">
        <v>1.7564E-2</v>
      </c>
      <c r="BH1937" s="624">
        <v>40967</v>
      </c>
      <c r="BI1937" s="355">
        <v>0.10958900000000001</v>
      </c>
      <c r="BJ1937" s="624">
        <v>40966</v>
      </c>
      <c r="BK1937" s="355">
        <v>3.2819000000000001E-2</v>
      </c>
    </row>
    <row r="1938" spans="3:63">
      <c r="C1938" s="624"/>
      <c r="D1938" s="355">
        <v>3.4049999999999997E-2</v>
      </c>
      <c r="AV1938" s="624"/>
      <c r="AX1938" s="624">
        <v>40973</v>
      </c>
      <c r="AY1938" s="355">
        <v>3.4070000000000003E-2</v>
      </c>
      <c r="AZ1938" s="624">
        <v>41037</v>
      </c>
      <c r="BA1938" s="355">
        <v>1.1599999999999999E-2</v>
      </c>
      <c r="BB1938" s="624">
        <v>40968</v>
      </c>
      <c r="BC1938" s="355">
        <v>0.32269999999999999</v>
      </c>
      <c r="BD1938" s="624">
        <v>40968</v>
      </c>
      <c r="BE1938" s="355">
        <v>8.9380000000000001E-2</v>
      </c>
      <c r="BF1938" s="624">
        <v>41082</v>
      </c>
      <c r="BG1938" s="355">
        <v>1.7493000000000002E-2</v>
      </c>
      <c r="BH1938" s="624">
        <v>40968</v>
      </c>
      <c r="BI1938" s="355">
        <v>0.110682</v>
      </c>
      <c r="BJ1938" s="624">
        <v>40967</v>
      </c>
      <c r="BK1938" s="355">
        <v>3.2971E-2</v>
      </c>
    </row>
    <row r="1939" spans="3:63">
      <c r="C1939" s="624"/>
      <c r="D1939" s="355">
        <v>3.4070000000000003E-2</v>
      </c>
      <c r="AV1939" s="624"/>
      <c r="AX1939" s="624">
        <v>40974</v>
      </c>
      <c r="AY1939" s="355">
        <v>3.3739999999999999E-2</v>
      </c>
      <c r="AZ1939" s="624">
        <v>41038</v>
      </c>
      <c r="BA1939" s="355">
        <v>1.15E-2</v>
      </c>
      <c r="BB1939" s="624">
        <v>40969</v>
      </c>
      <c r="BC1939" s="355">
        <v>0.32450000000000001</v>
      </c>
      <c r="BD1939" s="624">
        <v>40969</v>
      </c>
      <c r="BE1939" s="355">
        <v>8.9719999999999994E-2</v>
      </c>
      <c r="BF1939" s="624">
        <v>41085</v>
      </c>
      <c r="BG1939" s="355">
        <v>1.7564E-2</v>
      </c>
      <c r="BH1939" s="624">
        <v>40969</v>
      </c>
      <c r="BI1939" s="355">
        <v>0.11013299999999999</v>
      </c>
      <c r="BJ1939" s="624">
        <v>40968</v>
      </c>
      <c r="BK1939" s="355">
        <v>3.2841000000000002E-2</v>
      </c>
    </row>
    <row r="1940" spans="3:63">
      <c r="C1940" s="624"/>
      <c r="D1940" s="355">
        <v>3.3739999999999999E-2</v>
      </c>
      <c r="AV1940" s="624"/>
      <c r="AX1940" s="624">
        <v>40975</v>
      </c>
      <c r="AY1940" s="355">
        <v>3.3750000000000002E-2</v>
      </c>
      <c r="AZ1940" s="624">
        <v>41039</v>
      </c>
      <c r="BA1940" s="355">
        <v>1.15E-2</v>
      </c>
      <c r="BB1940" s="624">
        <v>40970</v>
      </c>
      <c r="BC1940" s="355">
        <v>0.32100000000000001</v>
      </c>
      <c r="BD1940" s="624">
        <v>40970</v>
      </c>
      <c r="BE1940" s="355">
        <v>8.9660000000000004E-2</v>
      </c>
      <c r="BF1940" s="624">
        <v>41086</v>
      </c>
      <c r="BG1940" s="355">
        <v>1.7519E-2</v>
      </c>
      <c r="BH1940" s="624">
        <v>40970</v>
      </c>
      <c r="BI1940" s="355">
        <v>0.10983</v>
      </c>
      <c r="BJ1940" s="624">
        <v>40969</v>
      </c>
      <c r="BK1940" s="355">
        <v>3.2786999999999997E-2</v>
      </c>
    </row>
    <row r="1941" spans="3:63">
      <c r="C1941" s="624"/>
      <c r="D1941" s="355">
        <v>3.3750000000000002E-2</v>
      </c>
      <c r="AV1941" s="624"/>
      <c r="AX1941" s="624">
        <v>40976</v>
      </c>
      <c r="AY1941" s="355">
        <v>3.4029999999999998E-2</v>
      </c>
      <c r="AZ1941" s="624">
        <v>41040</v>
      </c>
      <c r="BA1941" s="355">
        <v>1.15E-2</v>
      </c>
      <c r="BB1941" s="624">
        <v>40973</v>
      </c>
      <c r="BC1941" s="355">
        <v>0.3196</v>
      </c>
      <c r="BD1941" s="624">
        <v>40973</v>
      </c>
      <c r="BE1941" s="355">
        <v>8.9380000000000001E-2</v>
      </c>
      <c r="BF1941" s="624">
        <v>41087</v>
      </c>
      <c r="BG1941" s="355">
        <v>1.7595E-2</v>
      </c>
      <c r="BH1941" s="624">
        <v>40973</v>
      </c>
      <c r="BI1941" s="355">
        <v>0.109637</v>
      </c>
      <c r="BJ1941" s="624">
        <v>40970</v>
      </c>
      <c r="BK1941" s="355">
        <v>3.2689999999999997E-2</v>
      </c>
    </row>
    <row r="1942" spans="3:63">
      <c r="C1942" s="624"/>
      <c r="D1942" s="355">
        <v>3.4029999999999998E-2</v>
      </c>
      <c r="AV1942" s="624"/>
      <c r="AX1942" s="624">
        <v>40977</v>
      </c>
      <c r="AY1942" s="355">
        <v>3.4029999999999998E-2</v>
      </c>
      <c r="AZ1942" s="624">
        <v>41043</v>
      </c>
      <c r="BA1942" s="355">
        <v>1.14E-2</v>
      </c>
      <c r="BB1942" s="624">
        <v>40974</v>
      </c>
      <c r="BC1942" s="355">
        <v>0.31409999999999999</v>
      </c>
      <c r="BD1942" s="624">
        <v>40974</v>
      </c>
      <c r="BE1942" s="355">
        <v>8.8929999999999995E-2</v>
      </c>
      <c r="BF1942" s="624">
        <v>41088</v>
      </c>
      <c r="BG1942" s="355">
        <v>1.7538999999999999E-2</v>
      </c>
      <c r="BH1942" s="624">
        <v>40974</v>
      </c>
      <c r="BI1942" s="355">
        <v>0.109433</v>
      </c>
      <c r="BJ1942" s="624">
        <v>40973</v>
      </c>
      <c r="BK1942" s="355">
        <v>3.2620999999999997E-2</v>
      </c>
    </row>
    <row r="1943" spans="3:63">
      <c r="C1943" s="624"/>
      <c r="D1943" s="355">
        <v>3.4029999999999998E-2</v>
      </c>
      <c r="AV1943" s="624"/>
      <c r="AX1943" s="624">
        <v>40980</v>
      </c>
      <c r="AY1943" s="355">
        <v>3.3779999999999998E-2</v>
      </c>
      <c r="AZ1943" s="624">
        <v>41044</v>
      </c>
      <c r="BA1943" s="355">
        <v>1.1299999999999999E-2</v>
      </c>
      <c r="BB1943" s="624">
        <v>40975</v>
      </c>
      <c r="BC1943" s="355">
        <v>0.3165</v>
      </c>
      <c r="BD1943" s="624">
        <v>40975</v>
      </c>
      <c r="BE1943" s="355">
        <v>8.9039999999999994E-2</v>
      </c>
      <c r="BF1943" s="624">
        <v>41089</v>
      </c>
      <c r="BG1943" s="355">
        <v>1.8055000000000002E-2</v>
      </c>
      <c r="BH1943" s="624">
        <v>40975</v>
      </c>
      <c r="BI1943" s="355">
        <v>0.109529</v>
      </c>
      <c r="BJ1943" s="624">
        <v>40974</v>
      </c>
      <c r="BK1943" s="355">
        <v>3.2446000000000003E-2</v>
      </c>
    </row>
    <row r="1944" spans="3:63">
      <c r="C1944" s="624"/>
      <c r="D1944" s="355">
        <v>3.3779999999999998E-2</v>
      </c>
      <c r="AV1944" s="624"/>
      <c r="AX1944" s="624">
        <v>40981</v>
      </c>
      <c r="AY1944" s="355">
        <v>3.3939999999999998E-2</v>
      </c>
      <c r="AZ1944" s="624">
        <v>41045</v>
      </c>
      <c r="BA1944" s="355">
        <v>1.1299999999999999E-2</v>
      </c>
      <c r="BB1944" s="624">
        <v>40976</v>
      </c>
      <c r="BC1944" s="355">
        <v>0.32400000000000001</v>
      </c>
      <c r="BD1944" s="624">
        <v>40976</v>
      </c>
      <c r="BE1944" s="355">
        <v>8.9580000000000007E-2</v>
      </c>
      <c r="BF1944" s="624">
        <v>41092</v>
      </c>
      <c r="BG1944" s="355">
        <v>1.8034000000000001E-2</v>
      </c>
      <c r="BH1944" s="624">
        <v>40976</v>
      </c>
      <c r="BI1944" s="355">
        <v>0.10983</v>
      </c>
      <c r="BJ1944" s="624">
        <v>40975</v>
      </c>
      <c r="BK1944" s="355">
        <v>3.2530999999999997E-2</v>
      </c>
    </row>
    <row r="1945" spans="3:63">
      <c r="C1945" s="624"/>
      <c r="D1945" s="355">
        <v>3.3939999999999998E-2</v>
      </c>
      <c r="AV1945" s="624"/>
      <c r="AX1945" s="624">
        <v>40982</v>
      </c>
      <c r="AY1945" s="355">
        <v>3.3860000000000001E-2</v>
      </c>
      <c r="AZ1945" s="624">
        <v>41046</v>
      </c>
      <c r="BA1945" s="355">
        <v>1.12E-2</v>
      </c>
      <c r="BB1945" s="624">
        <v>40977</v>
      </c>
      <c r="BC1945" s="355">
        <v>0.32100000000000001</v>
      </c>
      <c r="BD1945" s="624">
        <v>40977</v>
      </c>
      <c r="BE1945" s="355">
        <v>8.9529999999999998E-2</v>
      </c>
      <c r="BF1945" s="624">
        <v>41093</v>
      </c>
      <c r="BG1945" s="355">
        <v>1.8438E-2</v>
      </c>
      <c r="BH1945" s="624">
        <v>40977</v>
      </c>
      <c r="BI1945" s="355">
        <v>0.10958900000000001</v>
      </c>
      <c r="BJ1945" s="624">
        <v>40976</v>
      </c>
      <c r="BK1945" s="355">
        <v>3.2705999999999999E-2</v>
      </c>
    </row>
    <row r="1946" spans="3:63">
      <c r="C1946" s="624"/>
      <c r="D1946" s="355">
        <v>3.3860000000000001E-2</v>
      </c>
      <c r="AV1946" s="624"/>
      <c r="AX1946" s="624">
        <v>40983</v>
      </c>
      <c r="AY1946" s="355">
        <v>3.406E-2</v>
      </c>
      <c r="AZ1946" s="624">
        <v>41047</v>
      </c>
      <c r="BA1946" s="355">
        <v>1.1299999999999999E-2</v>
      </c>
      <c r="BB1946" s="624">
        <v>40980</v>
      </c>
      <c r="BC1946" s="355">
        <v>0.32029999999999997</v>
      </c>
      <c r="BD1946" s="624">
        <v>40980</v>
      </c>
      <c r="BE1946" s="355">
        <v>8.8969999999999994E-2</v>
      </c>
      <c r="BF1946" s="624">
        <v>41094</v>
      </c>
      <c r="BG1946" s="355">
        <v>1.8312999999999999E-2</v>
      </c>
      <c r="BH1946" s="624">
        <v>40980</v>
      </c>
      <c r="BI1946" s="355">
        <v>0.109016</v>
      </c>
      <c r="BJ1946" s="624">
        <v>40977</v>
      </c>
      <c r="BK1946" s="355">
        <v>3.2732999999999998E-2</v>
      </c>
    </row>
    <row r="1947" spans="3:63">
      <c r="C1947" s="624"/>
      <c r="D1947" s="355">
        <v>3.406E-2</v>
      </c>
      <c r="AV1947" s="624"/>
      <c r="AX1947" s="624">
        <v>40984</v>
      </c>
      <c r="AY1947" s="355">
        <v>3.4209999999999997E-2</v>
      </c>
      <c r="AZ1947" s="624">
        <v>41050</v>
      </c>
      <c r="BA1947" s="355">
        <v>1.12E-2</v>
      </c>
      <c r="BB1947" s="624">
        <v>40981</v>
      </c>
      <c r="BC1947" s="355">
        <v>0.31769999999999998</v>
      </c>
      <c r="BD1947" s="624">
        <v>40981</v>
      </c>
      <c r="BE1947" s="355">
        <v>8.9050000000000004E-2</v>
      </c>
      <c r="BF1947" s="624">
        <v>41095</v>
      </c>
      <c r="BG1947" s="355">
        <v>1.8187999999999999E-2</v>
      </c>
      <c r="BH1947" s="624">
        <v>40981</v>
      </c>
      <c r="BI1947" s="355">
        <v>0.10899200000000001</v>
      </c>
      <c r="BJ1947" s="624">
        <v>40980</v>
      </c>
      <c r="BK1947" s="355">
        <v>3.2615999999999999E-2</v>
      </c>
    </row>
    <row r="1948" spans="3:63">
      <c r="C1948" s="624"/>
      <c r="D1948" s="355">
        <v>3.4209999999999997E-2</v>
      </c>
      <c r="AV1948" s="624"/>
      <c r="AX1948" s="624">
        <v>40987</v>
      </c>
      <c r="AY1948" s="355">
        <v>3.4329999999999999E-2</v>
      </c>
      <c r="AZ1948" s="624">
        <v>41051</v>
      </c>
      <c r="BA1948" s="355">
        <v>1.11E-2</v>
      </c>
      <c r="BB1948" s="624">
        <v>40982</v>
      </c>
      <c r="BC1948" s="355">
        <v>0.3135</v>
      </c>
      <c r="BD1948" s="624">
        <v>40982</v>
      </c>
      <c r="BE1948" s="355">
        <v>8.8260000000000005E-2</v>
      </c>
      <c r="BF1948" s="624">
        <v>41096</v>
      </c>
      <c r="BG1948" s="355">
        <v>1.7916000000000001E-2</v>
      </c>
      <c r="BH1948" s="624">
        <v>40982</v>
      </c>
      <c r="BI1948" s="355">
        <v>0.10846</v>
      </c>
      <c r="BJ1948" s="624">
        <v>40981</v>
      </c>
      <c r="BK1948" s="355">
        <v>3.2668999999999997E-2</v>
      </c>
    </row>
    <row r="1949" spans="3:63">
      <c r="C1949" s="624"/>
      <c r="D1949" s="355">
        <v>3.4329999999999999E-2</v>
      </c>
      <c r="AV1949" s="624"/>
      <c r="AX1949" s="624">
        <v>40988</v>
      </c>
      <c r="AY1949" s="355">
        <v>3.4189999999999998E-2</v>
      </c>
      <c r="AZ1949" s="624">
        <v>41052</v>
      </c>
      <c r="BA1949" s="355">
        <v>1.09E-2</v>
      </c>
      <c r="BB1949" s="624">
        <v>40983</v>
      </c>
      <c r="BC1949" s="355">
        <v>0.31719999999999998</v>
      </c>
      <c r="BD1949" s="624">
        <v>40983</v>
      </c>
      <c r="BE1949" s="355">
        <v>8.8940000000000005E-2</v>
      </c>
      <c r="BF1949" s="624">
        <v>41099</v>
      </c>
      <c r="BG1949" s="355">
        <v>1.7942E-2</v>
      </c>
      <c r="BH1949" s="624">
        <v>40983</v>
      </c>
      <c r="BI1949" s="355">
        <v>0.10878500000000001</v>
      </c>
      <c r="BJ1949" s="624">
        <v>40982</v>
      </c>
      <c r="BK1949" s="355">
        <v>3.2488999999999997E-2</v>
      </c>
    </row>
    <row r="1950" spans="3:63">
      <c r="C1950" s="624"/>
      <c r="D1950" s="355">
        <v>3.4189999999999998E-2</v>
      </c>
      <c r="AV1950" s="624"/>
      <c r="AX1950" s="624">
        <v>40989</v>
      </c>
      <c r="AY1950" s="355">
        <v>3.4169999999999999E-2</v>
      </c>
      <c r="AZ1950" s="624">
        <v>41053</v>
      </c>
      <c r="BA1950" s="355">
        <v>1.0800000000000001E-2</v>
      </c>
      <c r="BB1950" s="624">
        <v>40984</v>
      </c>
      <c r="BC1950" s="355">
        <v>0.31969999999999998</v>
      </c>
      <c r="BD1950" s="624">
        <v>40984</v>
      </c>
      <c r="BE1950" s="355">
        <v>8.8819999999999996E-2</v>
      </c>
      <c r="BF1950" s="624">
        <v>41100</v>
      </c>
      <c r="BG1950" s="355">
        <v>1.7974E-2</v>
      </c>
      <c r="BH1950" s="624">
        <v>40984</v>
      </c>
      <c r="BI1950" s="355">
        <v>0.10958900000000001</v>
      </c>
      <c r="BJ1950" s="624">
        <v>40983</v>
      </c>
      <c r="BK1950" s="355">
        <v>3.2548000000000001E-2</v>
      </c>
    </row>
    <row r="1951" spans="3:63">
      <c r="C1951" s="624"/>
      <c r="D1951" s="355">
        <v>3.4169999999999999E-2</v>
      </c>
      <c r="AV1951" s="624"/>
      <c r="AX1951" s="624">
        <v>40990</v>
      </c>
      <c r="AY1951" s="355">
        <v>3.3989999999999999E-2</v>
      </c>
      <c r="AZ1951" s="624">
        <v>41054</v>
      </c>
      <c r="BA1951" s="355">
        <v>1.0699999999999999E-2</v>
      </c>
      <c r="BB1951" s="624">
        <v>40987</v>
      </c>
      <c r="BC1951" s="355">
        <v>0.32219999999999999</v>
      </c>
      <c r="BD1951" s="624">
        <v>40987</v>
      </c>
      <c r="BE1951" s="355">
        <v>8.9270000000000002E-2</v>
      </c>
      <c r="BF1951" s="624">
        <v>41101</v>
      </c>
      <c r="BG1951" s="355">
        <v>1.8038999999999999E-2</v>
      </c>
      <c r="BH1951" s="624">
        <v>40987</v>
      </c>
      <c r="BI1951" s="355">
        <v>0.109309</v>
      </c>
      <c r="BJ1951" s="624">
        <v>40984</v>
      </c>
      <c r="BK1951" s="355">
        <v>3.2547E-2</v>
      </c>
    </row>
    <row r="1952" spans="3:63">
      <c r="C1952" s="624"/>
      <c r="D1952" s="355">
        <v>3.3989999999999999E-2</v>
      </c>
      <c r="AV1952" s="624"/>
      <c r="AX1952" s="624">
        <v>40991</v>
      </c>
      <c r="AY1952" s="355">
        <v>3.4209999999999997E-2</v>
      </c>
      <c r="AZ1952" s="624">
        <v>41057</v>
      </c>
      <c r="BA1952" s="355">
        <v>1.0800000000000001E-2</v>
      </c>
      <c r="BB1952" s="624">
        <v>40988</v>
      </c>
      <c r="BC1952" s="355">
        <v>0.32079999999999997</v>
      </c>
      <c r="BD1952" s="624">
        <v>40988</v>
      </c>
      <c r="BE1952" s="355">
        <v>8.8650000000000007E-2</v>
      </c>
      <c r="BF1952" s="624">
        <v>41102</v>
      </c>
      <c r="BG1952" s="355">
        <v>1.7947000000000001E-2</v>
      </c>
      <c r="BH1952" s="624">
        <v>40988</v>
      </c>
      <c r="BI1952" s="355">
        <v>0.108779</v>
      </c>
      <c r="BJ1952" s="624">
        <v>40987</v>
      </c>
      <c r="BK1952" s="355">
        <v>3.2578999999999997E-2</v>
      </c>
    </row>
    <row r="1953" spans="3:63">
      <c r="C1953" s="624"/>
      <c r="D1953" s="355">
        <v>3.4209999999999997E-2</v>
      </c>
      <c r="AV1953" s="624"/>
      <c r="AX1953" s="624">
        <v>40994</v>
      </c>
      <c r="AY1953" s="355">
        <v>3.4540000000000001E-2</v>
      </c>
      <c r="AZ1953" s="624">
        <v>41058</v>
      </c>
      <c r="BA1953" s="355">
        <v>1.0699999999999999E-2</v>
      </c>
      <c r="BB1953" s="624">
        <v>40989</v>
      </c>
      <c r="BC1953" s="355">
        <v>0.31819999999999998</v>
      </c>
      <c r="BD1953" s="624">
        <v>40989</v>
      </c>
      <c r="BE1953" s="355">
        <v>8.8489999999999999E-2</v>
      </c>
      <c r="BF1953" s="624">
        <v>41103</v>
      </c>
      <c r="BG1953" s="355">
        <v>1.8186999999999998E-2</v>
      </c>
      <c r="BH1953" s="624">
        <v>40989</v>
      </c>
      <c r="BI1953" s="355">
        <v>0.10889699999999999</v>
      </c>
      <c r="BJ1953" s="624">
        <v>40988</v>
      </c>
      <c r="BK1953" s="355">
        <v>3.2478E-2</v>
      </c>
    </row>
    <row r="1954" spans="3:63">
      <c r="C1954" s="624"/>
      <c r="D1954" s="355">
        <v>3.4540000000000001E-2</v>
      </c>
      <c r="AV1954" s="624"/>
      <c r="AX1954" s="624">
        <v>40995</v>
      </c>
      <c r="AY1954" s="355">
        <v>3.4430000000000002E-2</v>
      </c>
      <c r="AZ1954" s="624">
        <v>41059</v>
      </c>
      <c r="BA1954" s="355">
        <v>1.06E-2</v>
      </c>
      <c r="BB1954" s="624">
        <v>40990</v>
      </c>
      <c r="BC1954" s="355">
        <v>0.31709999999999999</v>
      </c>
      <c r="BD1954" s="624">
        <v>40990</v>
      </c>
      <c r="BE1954" s="355">
        <v>8.8330000000000006E-2</v>
      </c>
      <c r="BF1954" s="624">
        <v>41106</v>
      </c>
      <c r="BG1954" s="355">
        <v>1.8186999999999998E-2</v>
      </c>
      <c r="BH1954" s="624">
        <v>40990</v>
      </c>
      <c r="BI1954" s="355">
        <v>0.108519</v>
      </c>
      <c r="BJ1954" s="624">
        <v>40989</v>
      </c>
      <c r="BK1954" s="355">
        <v>3.2490999999999999E-2</v>
      </c>
    </row>
    <row r="1955" spans="3:63">
      <c r="C1955" s="624"/>
      <c r="D1955" s="355">
        <v>3.4430000000000002E-2</v>
      </c>
      <c r="AV1955" s="624"/>
      <c r="AX1955" s="624">
        <v>40996</v>
      </c>
      <c r="AY1955" s="355">
        <v>3.4020000000000002E-2</v>
      </c>
      <c r="AZ1955" s="624">
        <v>41060</v>
      </c>
      <c r="BA1955" s="355">
        <v>1.0500000000000001E-2</v>
      </c>
      <c r="BB1955" s="624">
        <v>40991</v>
      </c>
      <c r="BC1955" s="355">
        <v>0.31969999999999998</v>
      </c>
      <c r="BD1955" s="624">
        <v>40991</v>
      </c>
      <c r="BE1955" s="355">
        <v>8.8059999999999999E-2</v>
      </c>
      <c r="BF1955" s="624">
        <v>41107</v>
      </c>
      <c r="BG1955" s="355">
        <v>1.8162000000000001E-2</v>
      </c>
      <c r="BH1955" s="624">
        <v>40991</v>
      </c>
      <c r="BI1955" s="355">
        <v>0.10857799999999999</v>
      </c>
      <c r="BJ1955" s="624">
        <v>40990</v>
      </c>
      <c r="BK1955" s="355">
        <v>3.2494000000000002E-2</v>
      </c>
    </row>
    <row r="1956" spans="3:63">
      <c r="C1956" s="624"/>
      <c r="D1956" s="355">
        <v>3.4020000000000002E-2</v>
      </c>
      <c r="AV1956" s="624"/>
      <c r="AX1956" s="624">
        <v>40997</v>
      </c>
      <c r="AY1956" s="355">
        <v>3.3980000000000003E-2</v>
      </c>
      <c r="AZ1956" s="624">
        <v>41061</v>
      </c>
      <c r="BA1956" s="355">
        <v>1.06E-2</v>
      </c>
      <c r="BB1956" s="624">
        <v>40994</v>
      </c>
      <c r="BC1956" s="355">
        <v>0.3236</v>
      </c>
      <c r="BD1956" s="624">
        <v>40994</v>
      </c>
      <c r="BE1956" s="355">
        <v>8.8249999999999995E-2</v>
      </c>
      <c r="BF1956" s="624">
        <v>41108</v>
      </c>
      <c r="BG1956" s="355">
        <v>1.8051999999999999E-2</v>
      </c>
      <c r="BH1956" s="624">
        <v>40994</v>
      </c>
      <c r="BI1956" s="355">
        <v>0.109004</v>
      </c>
      <c r="BJ1956" s="624">
        <v>40991</v>
      </c>
      <c r="BK1956" s="355">
        <v>3.2541E-2</v>
      </c>
    </row>
    <row r="1957" spans="3:63">
      <c r="C1957" s="624"/>
      <c r="D1957" s="355">
        <v>3.3980000000000003E-2</v>
      </c>
      <c r="AV1957" s="624"/>
      <c r="AX1957" s="624">
        <v>40998</v>
      </c>
      <c r="AY1957" s="355">
        <v>3.4119999999999998E-2</v>
      </c>
      <c r="AZ1957" s="624">
        <v>41064</v>
      </c>
      <c r="BA1957" s="355">
        <v>1.06E-2</v>
      </c>
      <c r="BB1957" s="624">
        <v>40995</v>
      </c>
      <c r="BC1957" s="355">
        <v>0.32140000000000002</v>
      </c>
      <c r="BD1957" s="624">
        <v>40995</v>
      </c>
      <c r="BE1957" s="355">
        <v>8.7989999999999999E-2</v>
      </c>
      <c r="BF1957" s="624">
        <v>41109</v>
      </c>
      <c r="BG1957" s="355">
        <v>1.8137E-2</v>
      </c>
      <c r="BH1957" s="624">
        <v>40995</v>
      </c>
      <c r="BI1957" s="355">
        <v>0.109218</v>
      </c>
      <c r="BJ1957" s="624">
        <v>40994</v>
      </c>
      <c r="BK1957" s="355">
        <v>3.2594999999999999E-2</v>
      </c>
    </row>
    <row r="1958" spans="3:63">
      <c r="C1958" s="624"/>
      <c r="D1958" s="355">
        <v>3.4119999999999998E-2</v>
      </c>
      <c r="AV1958" s="624"/>
      <c r="AX1958" s="624">
        <v>41001</v>
      </c>
      <c r="AY1958" s="355">
        <v>3.415E-2</v>
      </c>
      <c r="AZ1958" s="624">
        <v>41065</v>
      </c>
      <c r="BA1958" s="355">
        <v>1.0699999999999999E-2</v>
      </c>
      <c r="BB1958" s="624">
        <v>40996</v>
      </c>
      <c r="BC1958" s="355">
        <v>0.31969999999999998</v>
      </c>
      <c r="BD1958" s="624">
        <v>40996</v>
      </c>
      <c r="BE1958" s="355">
        <v>8.7919999999999998E-2</v>
      </c>
      <c r="BF1958" s="624">
        <v>41110</v>
      </c>
      <c r="BG1958" s="355">
        <v>1.8068000000000001E-2</v>
      </c>
      <c r="BH1958" s="624">
        <v>40996</v>
      </c>
      <c r="BI1958" s="355">
        <v>0.10906299999999999</v>
      </c>
      <c r="BJ1958" s="624">
        <v>40995</v>
      </c>
      <c r="BK1958" s="355">
        <v>3.2551999999999998E-2</v>
      </c>
    </row>
    <row r="1959" spans="3:63">
      <c r="C1959" s="624"/>
      <c r="D1959" s="355">
        <v>3.415E-2</v>
      </c>
      <c r="AV1959" s="624"/>
      <c r="AX1959" s="624">
        <v>41002</v>
      </c>
      <c r="AY1959" s="355">
        <v>3.4169999999999999E-2</v>
      </c>
      <c r="AZ1959" s="624">
        <v>41066</v>
      </c>
      <c r="BA1959" s="355">
        <v>1.0800000000000001E-2</v>
      </c>
      <c r="BB1959" s="624">
        <v>40997</v>
      </c>
      <c r="BC1959" s="355">
        <v>0.32</v>
      </c>
      <c r="BD1959" s="624">
        <v>40997</v>
      </c>
      <c r="BE1959" s="355">
        <v>8.7849999999999998E-2</v>
      </c>
      <c r="BF1959" s="624">
        <v>41113</v>
      </c>
      <c r="BG1959" s="355">
        <v>1.7825000000000001E-2</v>
      </c>
      <c r="BH1959" s="624">
        <v>40997</v>
      </c>
      <c r="BI1959" s="355">
        <v>0.109111</v>
      </c>
      <c r="BJ1959" s="624">
        <v>40996</v>
      </c>
      <c r="BK1959" s="355">
        <v>3.2473000000000002E-2</v>
      </c>
    </row>
    <row r="1960" spans="3:63">
      <c r="C1960" s="624"/>
      <c r="D1960" s="355">
        <v>3.4169999999999999E-2</v>
      </c>
      <c r="AV1960" s="624"/>
      <c r="AX1960" s="624">
        <v>41003</v>
      </c>
      <c r="AY1960" s="355">
        <v>3.4020000000000002E-2</v>
      </c>
      <c r="AZ1960" s="624">
        <v>41067</v>
      </c>
      <c r="BA1960" s="355">
        <v>1.09E-2</v>
      </c>
      <c r="BB1960" s="624">
        <v>40998</v>
      </c>
      <c r="BC1960" s="355">
        <v>0.32140000000000002</v>
      </c>
      <c r="BD1960" s="624">
        <v>40998</v>
      </c>
      <c r="BE1960" s="355">
        <v>8.8370000000000004E-2</v>
      </c>
      <c r="BF1960" s="624">
        <v>41114</v>
      </c>
      <c r="BG1960" s="355">
        <v>1.7781000000000002E-2</v>
      </c>
      <c r="BH1960" s="624">
        <v>40998</v>
      </c>
      <c r="BI1960" s="355">
        <v>0.109373</v>
      </c>
      <c r="BJ1960" s="624">
        <v>40997</v>
      </c>
      <c r="BK1960" s="355">
        <v>3.2368000000000001E-2</v>
      </c>
    </row>
    <row r="1961" spans="3:63">
      <c r="C1961" s="624"/>
      <c r="D1961" s="355">
        <v>3.4020000000000002E-2</v>
      </c>
      <c r="AV1961" s="624"/>
      <c r="AX1961" s="624">
        <v>41004</v>
      </c>
      <c r="AY1961" s="355">
        <v>3.3950000000000001E-2</v>
      </c>
      <c r="AZ1961" s="624">
        <v>41068</v>
      </c>
      <c r="BA1961" s="355">
        <v>1.09E-2</v>
      </c>
      <c r="BB1961" s="624">
        <v>41001</v>
      </c>
      <c r="BC1961" s="355">
        <v>0.32190000000000002</v>
      </c>
      <c r="BD1961" s="624">
        <v>41001</v>
      </c>
      <c r="BE1961" s="355">
        <v>8.8800000000000004E-2</v>
      </c>
      <c r="BF1961" s="624">
        <v>41115</v>
      </c>
      <c r="BG1961" s="355">
        <v>1.7805999999999999E-2</v>
      </c>
      <c r="BH1961" s="624">
        <v>41001</v>
      </c>
      <c r="BI1961" s="355">
        <v>0.109111</v>
      </c>
      <c r="BJ1961" s="624">
        <v>40998</v>
      </c>
      <c r="BK1961" s="355">
        <v>3.2467999999999997E-2</v>
      </c>
    </row>
    <row r="1962" spans="3:63">
      <c r="C1962" s="624"/>
      <c r="D1962" s="355">
        <v>3.3950000000000001E-2</v>
      </c>
      <c r="AV1962" s="624"/>
      <c r="AX1962" s="624">
        <v>41005</v>
      </c>
      <c r="AY1962" s="355">
        <v>3.381E-2</v>
      </c>
      <c r="AZ1962" s="624">
        <v>41071</v>
      </c>
      <c r="BA1962" s="355">
        <v>1.0800000000000001E-2</v>
      </c>
      <c r="BB1962" s="624">
        <v>41002</v>
      </c>
      <c r="BC1962" s="355">
        <v>0.31929999999999997</v>
      </c>
      <c r="BD1962" s="624">
        <v>41002</v>
      </c>
      <c r="BE1962" s="355">
        <v>8.8770000000000002E-2</v>
      </c>
      <c r="BF1962" s="624">
        <v>41116</v>
      </c>
      <c r="BG1962" s="355">
        <v>1.7972999999999999E-2</v>
      </c>
      <c r="BH1962" s="624">
        <v>41002</v>
      </c>
      <c r="BI1962" s="355">
        <v>0.109374</v>
      </c>
      <c r="BJ1962" s="624">
        <v>41001</v>
      </c>
      <c r="BK1962" s="355">
        <v>3.2478E-2</v>
      </c>
    </row>
    <row r="1963" spans="3:63">
      <c r="C1963" s="624"/>
      <c r="D1963" s="355">
        <v>3.381E-2</v>
      </c>
      <c r="AV1963" s="624"/>
      <c r="AX1963" s="624">
        <v>41008</v>
      </c>
      <c r="AY1963" s="355">
        <v>3.3770000000000001E-2</v>
      </c>
      <c r="AZ1963" s="624">
        <v>41072</v>
      </c>
      <c r="BA1963" s="355">
        <v>1.0699999999999999E-2</v>
      </c>
      <c r="BB1963" s="624">
        <v>41003</v>
      </c>
      <c r="BC1963" s="355">
        <v>0.31630000000000003</v>
      </c>
      <c r="BD1963" s="624">
        <v>41003</v>
      </c>
      <c r="BE1963" s="355">
        <v>8.8450000000000001E-2</v>
      </c>
      <c r="BF1963" s="624">
        <v>41117</v>
      </c>
      <c r="BG1963" s="355">
        <v>1.8055999999999999E-2</v>
      </c>
      <c r="BH1963" s="624">
        <v>41003</v>
      </c>
      <c r="BI1963" s="355">
        <v>0.109529</v>
      </c>
      <c r="BJ1963" s="624">
        <v>41002</v>
      </c>
      <c r="BK1963" s="355">
        <v>3.2425000000000002E-2</v>
      </c>
    </row>
    <row r="1964" spans="3:63">
      <c r="C1964" s="624"/>
      <c r="D1964" s="355">
        <v>3.3770000000000001E-2</v>
      </c>
      <c r="AV1964" s="624"/>
      <c r="AX1964" s="624">
        <v>41009</v>
      </c>
      <c r="AY1964" s="355">
        <v>3.3509999999999998E-2</v>
      </c>
      <c r="AZ1964" s="624">
        <v>41073</v>
      </c>
      <c r="BA1964" s="355">
        <v>1.0699999999999999E-2</v>
      </c>
      <c r="BB1964" s="624">
        <v>41004</v>
      </c>
      <c r="BC1964" s="355">
        <v>0.3145</v>
      </c>
      <c r="BD1964" s="624">
        <v>41004</v>
      </c>
      <c r="BE1964" s="355">
        <v>8.8539999999999994E-2</v>
      </c>
      <c r="BF1964" s="624">
        <v>41120</v>
      </c>
      <c r="BG1964" s="355">
        <v>1.8036E-2</v>
      </c>
      <c r="BH1964" s="624">
        <v>41004</v>
      </c>
      <c r="BI1964" s="355">
        <v>0.10915800000000001</v>
      </c>
      <c r="BJ1964" s="624">
        <v>41003</v>
      </c>
      <c r="BK1964" s="355">
        <v>3.2237000000000002E-2</v>
      </c>
    </row>
    <row r="1965" spans="3:63">
      <c r="C1965" s="624"/>
      <c r="D1965" s="355">
        <v>3.3509999999999998E-2</v>
      </c>
      <c r="AV1965" s="624"/>
      <c r="AX1965" s="624">
        <v>41010</v>
      </c>
      <c r="AY1965" s="355">
        <v>3.372E-2</v>
      </c>
      <c r="AZ1965" s="624">
        <v>41074</v>
      </c>
      <c r="BA1965" s="355">
        <v>1.0800000000000001E-2</v>
      </c>
      <c r="BB1965" s="624">
        <v>41005</v>
      </c>
      <c r="BC1965" s="355">
        <v>0.31480000000000002</v>
      </c>
      <c r="BD1965" s="624">
        <v>41005</v>
      </c>
      <c r="BE1965" s="355">
        <v>8.8520000000000001E-2</v>
      </c>
      <c r="BF1965" s="624">
        <v>41121</v>
      </c>
      <c r="BG1965" s="355">
        <v>1.7947999999999999E-2</v>
      </c>
      <c r="BH1965" s="624">
        <v>41005</v>
      </c>
      <c r="BI1965" s="355">
        <v>0.109051</v>
      </c>
      <c r="BJ1965" s="624">
        <v>41004</v>
      </c>
      <c r="BK1965" s="355">
        <v>3.2273999999999997E-2</v>
      </c>
    </row>
    <row r="1966" spans="3:63">
      <c r="C1966" s="624"/>
      <c r="D1966" s="355">
        <v>3.372E-2</v>
      </c>
      <c r="AV1966" s="624"/>
      <c r="AX1966" s="624">
        <v>41011</v>
      </c>
      <c r="AY1966" s="355">
        <v>3.3989999999999999E-2</v>
      </c>
      <c r="AZ1966" s="624">
        <v>41075</v>
      </c>
      <c r="BA1966" s="355">
        <v>1.09E-2</v>
      </c>
      <c r="BB1966" s="624">
        <v>41008</v>
      </c>
      <c r="BC1966" s="355">
        <v>0.31390000000000001</v>
      </c>
      <c r="BD1966" s="624">
        <v>41008</v>
      </c>
      <c r="BE1966" s="355">
        <v>8.7859999999999994E-2</v>
      </c>
      <c r="BF1966" s="624">
        <v>41122</v>
      </c>
      <c r="BG1966" s="355">
        <v>1.7919999999999998E-2</v>
      </c>
      <c r="BH1966" s="624">
        <v>41008</v>
      </c>
      <c r="BI1966" s="355">
        <v>0.108918</v>
      </c>
      <c r="BJ1966" s="624">
        <v>41005</v>
      </c>
      <c r="BK1966" s="355">
        <v>3.2300000000000002E-2</v>
      </c>
    </row>
    <row r="1967" spans="3:63">
      <c r="C1967" s="624"/>
      <c r="D1967" s="355">
        <v>3.3989999999999999E-2</v>
      </c>
      <c r="AV1967" s="624"/>
      <c r="AX1967" s="624">
        <v>41012</v>
      </c>
      <c r="AY1967" s="355">
        <v>3.3759999999999998E-2</v>
      </c>
      <c r="AZ1967" s="624">
        <v>41078</v>
      </c>
      <c r="BA1967" s="355">
        <v>1.09E-2</v>
      </c>
      <c r="BB1967" s="624">
        <v>41009</v>
      </c>
      <c r="BC1967" s="355">
        <v>0.3115</v>
      </c>
      <c r="BD1967" s="624">
        <v>41009</v>
      </c>
      <c r="BE1967" s="355">
        <v>8.7739999999999999E-2</v>
      </c>
      <c r="BF1967" s="624">
        <v>41123</v>
      </c>
      <c r="BG1967" s="355">
        <v>1.779E-2</v>
      </c>
      <c r="BH1967" s="624">
        <v>41009</v>
      </c>
      <c r="BI1967" s="355">
        <v>0.10929</v>
      </c>
      <c r="BJ1967" s="624">
        <v>41008</v>
      </c>
      <c r="BK1967" s="355">
        <v>3.2321000000000003E-2</v>
      </c>
    </row>
    <row r="1968" spans="3:63">
      <c r="C1968" s="624"/>
      <c r="D1968" s="355">
        <v>3.3759999999999998E-2</v>
      </c>
      <c r="AV1968" s="624"/>
      <c r="AX1968" s="624">
        <v>41015</v>
      </c>
      <c r="AY1968" s="355">
        <v>3.381E-2</v>
      </c>
      <c r="AZ1968" s="624">
        <v>41079</v>
      </c>
      <c r="BA1968" s="355">
        <v>1.0999999999999999E-2</v>
      </c>
      <c r="BB1968" s="624">
        <v>41010</v>
      </c>
      <c r="BC1968" s="355">
        <v>0.31240000000000001</v>
      </c>
      <c r="BD1968" s="624">
        <v>41010</v>
      </c>
      <c r="BE1968" s="355">
        <v>8.7440000000000004E-2</v>
      </c>
      <c r="BF1968" s="624">
        <v>41124</v>
      </c>
      <c r="BG1968" s="355">
        <v>1.8024999999999999E-2</v>
      </c>
      <c r="BH1968" s="624">
        <v>41010</v>
      </c>
      <c r="BI1968" s="355">
        <v>0.10878400000000001</v>
      </c>
      <c r="BJ1968" s="624">
        <v>41009</v>
      </c>
      <c r="BK1968" s="355">
        <v>3.2309999999999998E-2</v>
      </c>
    </row>
    <row r="1969" spans="3:63">
      <c r="C1969" s="624"/>
      <c r="D1969" s="355">
        <v>3.381E-2</v>
      </c>
      <c r="AV1969" s="624"/>
      <c r="AX1969" s="624">
        <v>41016</v>
      </c>
      <c r="AY1969" s="355">
        <v>3.39E-2</v>
      </c>
      <c r="AZ1969" s="624">
        <v>41080</v>
      </c>
      <c r="BA1969" s="355">
        <v>1.11E-2</v>
      </c>
      <c r="BB1969" s="624">
        <v>41011</v>
      </c>
      <c r="BC1969" s="355">
        <v>0.31590000000000001</v>
      </c>
      <c r="BD1969" s="624">
        <v>41011</v>
      </c>
      <c r="BE1969" s="355">
        <v>8.8099999999999998E-2</v>
      </c>
      <c r="BF1969" s="624">
        <v>41127</v>
      </c>
      <c r="BG1969" s="355">
        <v>1.8100000000000002E-2</v>
      </c>
      <c r="BH1969" s="624">
        <v>41011</v>
      </c>
      <c r="BI1969" s="355">
        <v>0.109051</v>
      </c>
      <c r="BJ1969" s="624">
        <v>41010</v>
      </c>
      <c r="BK1969" s="355">
        <v>3.2393999999999999E-2</v>
      </c>
    </row>
    <row r="1970" spans="3:63">
      <c r="C1970" s="624"/>
      <c r="D1970" s="355">
        <v>3.39E-2</v>
      </c>
      <c r="AV1970" s="624"/>
      <c r="AX1970" s="624">
        <v>41017</v>
      </c>
      <c r="AY1970" s="355">
        <v>3.3869999999999997E-2</v>
      </c>
      <c r="AZ1970" s="624">
        <v>41081</v>
      </c>
      <c r="BA1970" s="355">
        <v>1.0999999999999999E-2</v>
      </c>
      <c r="BB1970" s="624">
        <v>41012</v>
      </c>
      <c r="BC1970" s="355">
        <v>0.31280000000000002</v>
      </c>
      <c r="BD1970" s="624">
        <v>41012</v>
      </c>
      <c r="BE1970" s="355">
        <v>8.8099999999999998E-2</v>
      </c>
      <c r="BF1970" s="624">
        <v>41128</v>
      </c>
      <c r="BG1970" s="355">
        <v>1.8192E-2</v>
      </c>
      <c r="BH1970" s="624">
        <v>41012</v>
      </c>
      <c r="BI1970" s="355">
        <v>0.108838</v>
      </c>
      <c r="BJ1970" s="624">
        <v>41011</v>
      </c>
      <c r="BK1970" s="355">
        <v>3.2461999999999998E-2</v>
      </c>
    </row>
    <row r="1971" spans="3:63">
      <c r="C1971" s="624"/>
      <c r="D1971" s="355">
        <v>3.3869999999999997E-2</v>
      </c>
      <c r="AV1971" s="624"/>
      <c r="AX1971" s="624">
        <v>41018</v>
      </c>
      <c r="AY1971" s="355">
        <v>3.39E-2</v>
      </c>
      <c r="AZ1971" s="624">
        <v>41082</v>
      </c>
      <c r="BA1971" s="355">
        <v>1.0999999999999999E-2</v>
      </c>
      <c r="BB1971" s="624">
        <v>41015</v>
      </c>
      <c r="BC1971" s="355">
        <v>0.31369999999999998</v>
      </c>
      <c r="BD1971" s="624">
        <v>41015</v>
      </c>
      <c r="BE1971" s="355">
        <v>8.7919999999999998E-2</v>
      </c>
      <c r="BF1971" s="624">
        <v>41129</v>
      </c>
      <c r="BG1971" s="355">
        <v>1.8127000000000001E-2</v>
      </c>
      <c r="BH1971" s="624">
        <v>41015</v>
      </c>
      <c r="BI1971" s="355">
        <v>0.108933</v>
      </c>
      <c r="BJ1971" s="624">
        <v>41012</v>
      </c>
      <c r="BK1971" s="355">
        <v>3.2509999999999997E-2</v>
      </c>
    </row>
    <row r="1972" spans="3:63">
      <c r="C1972" s="624"/>
      <c r="D1972" s="355">
        <v>3.39E-2</v>
      </c>
      <c r="AV1972" s="624"/>
      <c r="AX1972" s="624">
        <v>41019</v>
      </c>
      <c r="AY1972" s="355">
        <v>3.3950000000000001E-2</v>
      </c>
      <c r="AZ1972" s="624">
        <v>41085</v>
      </c>
      <c r="BA1972" s="355">
        <v>1.09E-2</v>
      </c>
      <c r="BB1972" s="624">
        <v>41016</v>
      </c>
      <c r="BC1972" s="355">
        <v>0.31480000000000002</v>
      </c>
      <c r="BD1972" s="624">
        <v>41016</v>
      </c>
      <c r="BE1972" s="355">
        <v>8.8139999999999996E-2</v>
      </c>
      <c r="BF1972" s="624">
        <v>41130</v>
      </c>
      <c r="BG1972" s="355">
        <v>1.8126E-2</v>
      </c>
      <c r="BH1972" s="624">
        <v>41016</v>
      </c>
      <c r="BI1972" s="355">
        <v>0.108962</v>
      </c>
      <c r="BJ1972" s="624">
        <v>41015</v>
      </c>
      <c r="BK1972" s="355">
        <v>3.2503999999999998E-2</v>
      </c>
    </row>
    <row r="1973" spans="3:63">
      <c r="C1973" s="624"/>
      <c r="D1973" s="355">
        <v>3.3950000000000001E-2</v>
      </c>
      <c r="AV1973" s="624"/>
      <c r="AX1973" s="624">
        <v>41022</v>
      </c>
      <c r="AY1973" s="355">
        <v>3.3849999999999998E-2</v>
      </c>
      <c r="AZ1973" s="624">
        <v>41086</v>
      </c>
      <c r="BA1973" s="355">
        <v>1.0800000000000001E-2</v>
      </c>
      <c r="BB1973" s="624">
        <v>41017</v>
      </c>
      <c r="BC1973" s="355">
        <v>0.3135</v>
      </c>
      <c r="BD1973" s="624">
        <v>41017</v>
      </c>
      <c r="BE1973" s="355">
        <v>8.7770000000000001E-2</v>
      </c>
      <c r="BF1973" s="624">
        <v>41131</v>
      </c>
      <c r="BG1973" s="355">
        <v>1.8123E-2</v>
      </c>
      <c r="BH1973" s="624">
        <v>41017</v>
      </c>
      <c r="BI1973" s="355">
        <v>0.108956</v>
      </c>
      <c r="BJ1973" s="624">
        <v>41016</v>
      </c>
      <c r="BK1973" s="355">
        <v>3.2467999999999997E-2</v>
      </c>
    </row>
    <row r="1974" spans="3:63">
      <c r="C1974" s="624"/>
      <c r="D1974" s="355">
        <v>3.3849999999999998E-2</v>
      </c>
      <c r="AV1974" s="624"/>
      <c r="AX1974" s="624">
        <v>41023</v>
      </c>
      <c r="AY1974" s="355">
        <v>3.4090000000000002E-2</v>
      </c>
      <c r="AZ1974" s="624">
        <v>41087</v>
      </c>
      <c r="BA1974" s="355">
        <v>1.0800000000000001E-2</v>
      </c>
      <c r="BB1974" s="624">
        <v>41018</v>
      </c>
      <c r="BC1974" s="355">
        <v>0.31359999999999999</v>
      </c>
      <c r="BD1974" s="624">
        <v>41018</v>
      </c>
      <c r="BE1974" s="355">
        <v>8.7739999999999999E-2</v>
      </c>
      <c r="BF1974" s="624">
        <v>41134</v>
      </c>
      <c r="BG1974" s="355">
        <v>1.7999000000000001E-2</v>
      </c>
      <c r="BH1974" s="624">
        <v>41018</v>
      </c>
      <c r="BI1974" s="355">
        <v>0.108944</v>
      </c>
      <c r="BJ1974" s="624">
        <v>41017</v>
      </c>
      <c r="BK1974" s="355">
        <v>3.2425000000000002E-2</v>
      </c>
    </row>
    <row r="1975" spans="3:63">
      <c r="C1975" s="624"/>
      <c r="D1975" s="355">
        <v>3.4090000000000002E-2</v>
      </c>
      <c r="AV1975" s="624"/>
      <c r="AX1975" s="624">
        <v>41024</v>
      </c>
      <c r="AY1975" s="355">
        <v>3.4139999999999997E-2</v>
      </c>
      <c r="AZ1975" s="624">
        <v>41088</v>
      </c>
      <c r="BA1975" s="355">
        <v>1.0800000000000001E-2</v>
      </c>
      <c r="BB1975" s="624">
        <v>41019</v>
      </c>
      <c r="BC1975" s="355">
        <v>0.31540000000000001</v>
      </c>
      <c r="BD1975" s="624">
        <v>41019</v>
      </c>
      <c r="BE1975" s="355">
        <v>8.7770000000000001E-2</v>
      </c>
      <c r="BF1975" s="624">
        <v>41135</v>
      </c>
      <c r="BG1975" s="355">
        <v>1.7904E-2</v>
      </c>
      <c r="BH1975" s="624">
        <v>41019</v>
      </c>
      <c r="BI1975" s="355">
        <v>0.108861</v>
      </c>
      <c r="BJ1975" s="624">
        <v>41018</v>
      </c>
      <c r="BK1975" s="355">
        <v>3.2368000000000001E-2</v>
      </c>
    </row>
    <row r="1976" spans="3:63">
      <c r="C1976" s="624"/>
      <c r="D1976" s="355">
        <v>3.4139999999999997E-2</v>
      </c>
      <c r="AV1976" s="624"/>
      <c r="AX1976" s="624">
        <v>41025</v>
      </c>
      <c r="AY1976" s="355">
        <v>3.4099999999999998E-2</v>
      </c>
      <c r="AZ1976" s="624">
        <v>41089</v>
      </c>
      <c r="BA1976" s="355">
        <v>1.09E-2</v>
      </c>
      <c r="BB1976" s="624">
        <v>41022</v>
      </c>
      <c r="BC1976" s="355">
        <v>0.31280000000000002</v>
      </c>
      <c r="BD1976" s="624">
        <v>41022</v>
      </c>
      <c r="BE1976" s="355">
        <v>8.7669999999999998E-2</v>
      </c>
      <c r="BF1976" s="624">
        <v>41136</v>
      </c>
      <c r="BG1976" s="355">
        <v>1.7902999999999999E-2</v>
      </c>
      <c r="BH1976" s="624">
        <v>41022</v>
      </c>
      <c r="BI1976" s="355">
        <v>0.10885</v>
      </c>
      <c r="BJ1976" s="624">
        <v>41019</v>
      </c>
      <c r="BK1976" s="355">
        <v>3.2372999999999999E-2</v>
      </c>
    </row>
    <row r="1977" spans="3:63">
      <c r="C1977" s="624"/>
      <c r="D1977" s="355">
        <v>3.4099999999999998E-2</v>
      </c>
      <c r="AV1977" s="624"/>
      <c r="AX1977" s="624">
        <v>41026</v>
      </c>
      <c r="AY1977" s="355">
        <v>3.4110000000000001E-2</v>
      </c>
      <c r="AZ1977" s="624">
        <v>41092</v>
      </c>
      <c r="BA1977" s="355">
        <v>1.09E-2</v>
      </c>
      <c r="BB1977" s="624">
        <v>41023</v>
      </c>
      <c r="BC1977" s="355">
        <v>0.3145</v>
      </c>
      <c r="BD1977" s="624">
        <v>41023</v>
      </c>
      <c r="BE1977" s="355">
        <v>8.7739999999999999E-2</v>
      </c>
      <c r="BF1977" s="624">
        <v>41137</v>
      </c>
      <c r="BG1977" s="355">
        <v>1.7963E-2</v>
      </c>
      <c r="BH1977" s="624">
        <v>41023</v>
      </c>
      <c r="BI1977" s="355">
        <v>0.108779</v>
      </c>
      <c r="BJ1977" s="624">
        <v>41022</v>
      </c>
      <c r="BK1977" s="355">
        <v>3.2258000000000002E-2</v>
      </c>
    </row>
    <row r="1978" spans="3:63">
      <c r="C1978" s="624"/>
      <c r="D1978" s="355">
        <v>3.4110000000000001E-2</v>
      </c>
      <c r="AV1978" s="624"/>
      <c r="AX1978" s="624">
        <v>41029</v>
      </c>
      <c r="AY1978" s="355">
        <v>3.3989999999999999E-2</v>
      </c>
      <c r="AZ1978" s="624">
        <v>41093</v>
      </c>
      <c r="BA1978" s="355">
        <v>1.0999999999999999E-2</v>
      </c>
      <c r="BB1978" s="624">
        <v>41024</v>
      </c>
      <c r="BC1978" s="355">
        <v>0.3165</v>
      </c>
      <c r="BD1978" s="624">
        <v>41024</v>
      </c>
      <c r="BE1978" s="355">
        <v>8.7870000000000004E-2</v>
      </c>
      <c r="BF1978" s="624">
        <v>41138</v>
      </c>
      <c r="BG1978" s="355">
        <v>1.7961000000000001E-2</v>
      </c>
      <c r="BH1978" s="624">
        <v>41024</v>
      </c>
      <c r="BI1978" s="355">
        <v>0.108808</v>
      </c>
      <c r="BJ1978" s="624">
        <v>41023</v>
      </c>
      <c r="BK1978" s="355">
        <v>3.2347000000000001E-2</v>
      </c>
    </row>
    <row r="1979" spans="3:63">
      <c r="C1979" s="624"/>
      <c r="D1979" s="355">
        <v>3.3989999999999999E-2</v>
      </c>
      <c r="AV1979" s="624"/>
      <c r="AX1979" s="624">
        <v>41030</v>
      </c>
      <c r="AY1979" s="355">
        <v>3.4090000000000002E-2</v>
      </c>
      <c r="AZ1979" s="624">
        <v>41094</v>
      </c>
      <c r="BA1979" s="355">
        <v>1.09E-2</v>
      </c>
      <c r="BB1979" s="624">
        <v>41025</v>
      </c>
      <c r="BC1979" s="355">
        <v>0.31659999999999999</v>
      </c>
      <c r="BD1979" s="624">
        <v>41025</v>
      </c>
      <c r="BE1979" s="355">
        <v>8.8319999999999996E-2</v>
      </c>
      <c r="BF1979" s="624">
        <v>41141</v>
      </c>
      <c r="BG1979" s="355">
        <v>1.8078E-2</v>
      </c>
      <c r="BH1979" s="624">
        <v>41025</v>
      </c>
      <c r="BI1979" s="355">
        <v>0.108844</v>
      </c>
      <c r="BJ1979" s="624">
        <v>41024</v>
      </c>
      <c r="BK1979" s="355">
        <v>3.2321000000000003E-2</v>
      </c>
    </row>
    <row r="1980" spans="3:63">
      <c r="C1980" s="624"/>
      <c r="D1980" s="355">
        <v>3.4090000000000002E-2</v>
      </c>
      <c r="AV1980" s="624"/>
      <c r="AX1980" s="624">
        <v>41031</v>
      </c>
      <c r="AY1980" s="355">
        <v>3.397E-2</v>
      </c>
      <c r="AZ1980" s="624">
        <v>41095</v>
      </c>
      <c r="BA1980" s="355">
        <v>1.0699999999999999E-2</v>
      </c>
      <c r="BB1980" s="624">
        <v>41026</v>
      </c>
      <c r="BC1980" s="355">
        <v>0.318</v>
      </c>
      <c r="BD1980" s="624">
        <v>41026</v>
      </c>
      <c r="BE1980" s="355">
        <v>8.8410000000000002E-2</v>
      </c>
      <c r="BF1980" s="624">
        <v>41142</v>
      </c>
      <c r="BG1980" s="355">
        <v>1.8078E-2</v>
      </c>
      <c r="BH1980" s="624">
        <v>41026</v>
      </c>
      <c r="BI1980" s="355">
        <v>0.108876</v>
      </c>
      <c r="BJ1980" s="624">
        <v>41025</v>
      </c>
      <c r="BK1980" s="355">
        <v>3.2410000000000001E-2</v>
      </c>
    </row>
    <row r="1981" spans="3:63">
      <c r="C1981" s="624"/>
      <c r="D1981" s="355">
        <v>3.397E-2</v>
      </c>
      <c r="AV1981" s="624"/>
      <c r="AX1981" s="624">
        <v>41032</v>
      </c>
      <c r="AY1981" s="355">
        <v>3.3849999999999998E-2</v>
      </c>
      <c r="AZ1981" s="624">
        <v>41096</v>
      </c>
      <c r="BA1981" s="355">
        <v>1.06E-2</v>
      </c>
      <c r="BB1981" s="624">
        <v>41029</v>
      </c>
      <c r="BC1981" s="355">
        <v>0.31719999999999998</v>
      </c>
      <c r="BD1981" s="624">
        <v>41029</v>
      </c>
      <c r="BE1981" s="355">
        <v>8.8480000000000003E-2</v>
      </c>
      <c r="BF1981" s="624">
        <v>41143</v>
      </c>
      <c r="BG1981" s="355">
        <v>1.8127000000000001E-2</v>
      </c>
      <c r="BH1981" s="624">
        <v>41029</v>
      </c>
      <c r="BI1981" s="355">
        <v>0.10879</v>
      </c>
      <c r="BJ1981" s="624">
        <v>41026</v>
      </c>
      <c r="BK1981" s="355">
        <v>3.252E-2</v>
      </c>
    </row>
    <row r="1982" spans="3:63">
      <c r="C1982" s="624"/>
      <c r="D1982" s="355">
        <v>3.3849999999999998E-2</v>
      </c>
      <c r="AV1982" s="624"/>
      <c r="AX1982" s="624">
        <v>41033</v>
      </c>
      <c r="AY1982" s="355">
        <v>3.356E-2</v>
      </c>
      <c r="AZ1982" s="624">
        <v>41099</v>
      </c>
      <c r="BA1982" s="355">
        <v>1.06E-2</v>
      </c>
      <c r="BB1982" s="624">
        <v>41030</v>
      </c>
      <c r="BC1982" s="355">
        <v>0.31859999999999999</v>
      </c>
      <c r="BD1982" s="624">
        <v>41030</v>
      </c>
      <c r="BE1982" s="355">
        <v>8.8410000000000002E-2</v>
      </c>
      <c r="BF1982" s="624">
        <v>41144</v>
      </c>
      <c r="BG1982" s="355">
        <v>1.8135999999999999E-2</v>
      </c>
      <c r="BH1982" s="624">
        <v>41030</v>
      </c>
      <c r="BI1982" s="355">
        <v>0.10882600000000001</v>
      </c>
      <c r="BJ1982" s="624">
        <v>41029</v>
      </c>
      <c r="BK1982" s="355">
        <v>3.2530999999999997E-2</v>
      </c>
    </row>
    <row r="1983" spans="3:63">
      <c r="C1983" s="624"/>
      <c r="D1983" s="355">
        <v>3.356E-2</v>
      </c>
      <c r="AV1983" s="624"/>
      <c r="AX1983" s="624">
        <v>41036</v>
      </c>
      <c r="AY1983" s="355">
        <v>3.3329999999999999E-2</v>
      </c>
      <c r="AZ1983" s="624">
        <v>41100</v>
      </c>
      <c r="BA1983" s="355">
        <v>1.06E-2</v>
      </c>
      <c r="BB1983" s="624">
        <v>41031</v>
      </c>
      <c r="BC1983" s="355">
        <v>0.31640000000000001</v>
      </c>
      <c r="BD1983" s="624">
        <v>41031</v>
      </c>
      <c r="BE1983" s="355">
        <v>8.856E-2</v>
      </c>
      <c r="BF1983" s="624">
        <v>41145</v>
      </c>
      <c r="BG1983" s="355">
        <v>1.806E-2</v>
      </c>
      <c r="BH1983" s="624">
        <v>41031</v>
      </c>
      <c r="BI1983" s="355">
        <v>0.108595</v>
      </c>
      <c r="BJ1983" s="624">
        <v>41030</v>
      </c>
      <c r="BK1983" s="355">
        <v>3.2541E-2</v>
      </c>
    </row>
    <row r="1984" spans="3:63">
      <c r="C1984" s="624"/>
      <c r="D1984" s="355">
        <v>3.3329999999999999E-2</v>
      </c>
      <c r="AV1984" s="624"/>
      <c r="AX1984" s="624">
        <v>41037</v>
      </c>
      <c r="AY1984" s="355">
        <v>3.3180000000000001E-2</v>
      </c>
      <c r="AZ1984" s="624">
        <v>41101</v>
      </c>
      <c r="BA1984" s="355">
        <v>1.06E-2</v>
      </c>
      <c r="BB1984" s="624">
        <v>41032</v>
      </c>
      <c r="BC1984" s="355">
        <v>0.3145</v>
      </c>
      <c r="BD1984" s="624">
        <v>41032</v>
      </c>
      <c r="BE1984" s="355">
        <v>8.8450000000000001E-2</v>
      </c>
      <c r="BF1984" s="624">
        <v>41148</v>
      </c>
      <c r="BG1984" s="355">
        <v>1.7947999999999999E-2</v>
      </c>
      <c r="BH1984" s="624">
        <v>41032</v>
      </c>
      <c r="BI1984" s="355">
        <v>0.10881399999999999</v>
      </c>
      <c r="BJ1984" s="624">
        <v>41031</v>
      </c>
      <c r="BK1984" s="355">
        <v>3.2425000000000002E-2</v>
      </c>
    </row>
    <row r="1985" spans="3:63">
      <c r="C1985" s="624"/>
      <c r="D1985" s="355">
        <v>3.3180000000000001E-2</v>
      </c>
      <c r="AV1985" s="624"/>
      <c r="AX1985" s="624">
        <v>41038</v>
      </c>
      <c r="AY1985" s="355">
        <v>3.2919999999999998E-2</v>
      </c>
      <c r="AZ1985" s="624">
        <v>41102</v>
      </c>
      <c r="BA1985" s="355">
        <v>1.06E-2</v>
      </c>
      <c r="BB1985" s="624">
        <v>41033</v>
      </c>
      <c r="BC1985" s="355">
        <v>0.31230000000000002</v>
      </c>
      <c r="BD1985" s="624">
        <v>41033</v>
      </c>
      <c r="BE1985" s="355">
        <v>8.8150000000000006E-2</v>
      </c>
      <c r="BF1985" s="624">
        <v>41149</v>
      </c>
      <c r="BG1985" s="355">
        <v>1.7968000000000001E-2</v>
      </c>
      <c r="BH1985" s="624">
        <v>41033</v>
      </c>
      <c r="BI1985" s="355">
        <v>0.10881399999999999</v>
      </c>
      <c r="BJ1985" s="624">
        <v>41032</v>
      </c>
      <c r="BK1985" s="355">
        <v>3.2309999999999998E-2</v>
      </c>
    </row>
    <row r="1986" spans="3:63">
      <c r="C1986" s="624"/>
      <c r="D1986" s="355">
        <v>3.2919999999999998E-2</v>
      </c>
      <c r="AV1986" s="624"/>
      <c r="AX1986" s="624">
        <v>41039</v>
      </c>
      <c r="AY1986" s="355">
        <v>3.3180000000000001E-2</v>
      </c>
      <c r="AZ1986" s="624">
        <v>41103</v>
      </c>
      <c r="BA1986" s="355">
        <v>1.06E-2</v>
      </c>
      <c r="BB1986" s="624">
        <v>41036</v>
      </c>
      <c r="BC1986" s="355">
        <v>0.3125</v>
      </c>
      <c r="BD1986" s="624">
        <v>41036</v>
      </c>
      <c r="BE1986" s="355">
        <v>8.795E-2</v>
      </c>
      <c r="BF1986" s="624">
        <v>41150</v>
      </c>
      <c r="BG1986" s="355">
        <v>1.7984E-2</v>
      </c>
      <c r="BH1986" s="624">
        <v>41036</v>
      </c>
      <c r="BI1986" s="355">
        <v>0.108519</v>
      </c>
      <c r="BJ1986" s="624">
        <v>41033</v>
      </c>
      <c r="BK1986" s="355">
        <v>3.2351999999999999E-2</v>
      </c>
    </row>
    <row r="1987" spans="3:63">
      <c r="C1987" s="624"/>
      <c r="D1987" s="355">
        <v>3.3180000000000001E-2</v>
      </c>
      <c r="AV1987" s="624"/>
      <c r="AX1987" s="624">
        <v>41040</v>
      </c>
      <c r="AY1987" s="355">
        <v>3.3149999999999999E-2</v>
      </c>
      <c r="AZ1987" s="624">
        <v>41106</v>
      </c>
      <c r="BA1987" s="355">
        <v>1.0500000000000001E-2</v>
      </c>
      <c r="BB1987" s="624">
        <v>41037</v>
      </c>
      <c r="BC1987" s="355">
        <v>0.30940000000000001</v>
      </c>
      <c r="BD1987" s="624">
        <v>41037</v>
      </c>
      <c r="BE1987" s="355">
        <v>8.7959999999999997E-2</v>
      </c>
      <c r="BF1987" s="624">
        <v>41151</v>
      </c>
      <c r="BG1987" s="355">
        <v>1.7932E-2</v>
      </c>
      <c r="BH1987" s="624">
        <v>41037</v>
      </c>
      <c r="BI1987" s="355">
        <v>0.108225</v>
      </c>
      <c r="BJ1987" s="624">
        <v>41036</v>
      </c>
      <c r="BK1987" s="355">
        <v>3.2267999999999998E-2</v>
      </c>
    </row>
    <row r="1988" spans="3:63">
      <c r="C1988" s="624"/>
      <c r="D1988" s="355">
        <v>3.3149999999999999E-2</v>
      </c>
      <c r="AV1988" s="624"/>
      <c r="AX1988" s="624">
        <v>41043</v>
      </c>
      <c r="AY1988" s="355">
        <v>3.2890000000000003E-2</v>
      </c>
      <c r="AZ1988" s="624">
        <v>41107</v>
      </c>
      <c r="BA1988" s="355">
        <v>1.0500000000000001E-2</v>
      </c>
      <c r="BB1988" s="624">
        <v>41038</v>
      </c>
      <c r="BC1988" s="355">
        <v>0.30499999999999999</v>
      </c>
      <c r="BD1988" s="624">
        <v>41038</v>
      </c>
      <c r="BE1988" s="355">
        <v>8.7349999999999997E-2</v>
      </c>
      <c r="BF1988" s="624">
        <v>41152</v>
      </c>
      <c r="BG1988" s="355">
        <v>1.8041000000000001E-2</v>
      </c>
      <c r="BH1988" s="624">
        <v>41038</v>
      </c>
      <c r="BI1988" s="355">
        <v>0.107974</v>
      </c>
      <c r="BJ1988" s="624">
        <v>41037</v>
      </c>
      <c r="BK1988" s="355">
        <v>3.2258000000000002E-2</v>
      </c>
    </row>
    <row r="1989" spans="3:63">
      <c r="C1989" s="624"/>
      <c r="D1989" s="355">
        <v>3.2890000000000003E-2</v>
      </c>
      <c r="AV1989" s="624"/>
      <c r="AX1989" s="624">
        <v>41044</v>
      </c>
      <c r="AY1989" s="355">
        <v>3.2570000000000002E-2</v>
      </c>
      <c r="AZ1989" s="624">
        <v>41108</v>
      </c>
      <c r="BA1989" s="355">
        <v>1.04E-2</v>
      </c>
      <c r="BB1989" s="624">
        <v>41039</v>
      </c>
      <c r="BC1989" s="355">
        <v>0.30559999999999998</v>
      </c>
      <c r="BD1989" s="624">
        <v>41039</v>
      </c>
      <c r="BE1989" s="355">
        <v>8.7499999999999994E-2</v>
      </c>
      <c r="BF1989" s="624">
        <v>41155</v>
      </c>
      <c r="BG1989" s="355">
        <v>1.8033E-2</v>
      </c>
      <c r="BH1989" s="624">
        <v>41039</v>
      </c>
      <c r="BI1989" s="355">
        <v>0.108933</v>
      </c>
      <c r="BJ1989" s="624">
        <v>41038</v>
      </c>
      <c r="BK1989" s="355">
        <v>3.2134000000000003E-2</v>
      </c>
    </row>
    <row r="1990" spans="3:63">
      <c r="C1990" s="624"/>
      <c r="D1990" s="355">
        <v>3.2570000000000002E-2</v>
      </c>
      <c r="AV1990" s="624"/>
      <c r="AX1990" s="624">
        <v>41045</v>
      </c>
      <c r="AY1990" s="355">
        <v>3.2289999999999999E-2</v>
      </c>
      <c r="AZ1990" s="624">
        <v>41109</v>
      </c>
      <c r="BA1990" s="355">
        <v>1.0500000000000001E-2</v>
      </c>
      <c r="BB1990" s="624">
        <v>41040</v>
      </c>
      <c r="BC1990" s="355">
        <v>0.30320000000000003</v>
      </c>
      <c r="BD1990" s="624">
        <v>41040</v>
      </c>
      <c r="BE1990" s="355">
        <v>8.702E-2</v>
      </c>
      <c r="BF1990" s="624">
        <v>41156</v>
      </c>
      <c r="BG1990" s="355">
        <v>1.7951999999999999E-2</v>
      </c>
      <c r="BH1990" s="624">
        <v>41040</v>
      </c>
      <c r="BI1990" s="355">
        <v>0.108167</v>
      </c>
      <c r="BJ1990" s="624">
        <v>41039</v>
      </c>
      <c r="BK1990" s="355">
        <v>3.2128999999999998E-2</v>
      </c>
    </row>
    <row r="1991" spans="3:63">
      <c r="C1991" s="624"/>
      <c r="D1991" s="355">
        <v>3.2289999999999999E-2</v>
      </c>
      <c r="AV1991" s="624"/>
      <c r="AX1991" s="624">
        <v>41046</v>
      </c>
      <c r="AY1991" s="355">
        <v>3.218E-2</v>
      </c>
      <c r="AZ1991" s="624">
        <v>41110</v>
      </c>
      <c r="BA1991" s="355">
        <v>1.04E-2</v>
      </c>
      <c r="BB1991" s="624">
        <v>41043</v>
      </c>
      <c r="BC1991" s="355">
        <v>0.2964</v>
      </c>
      <c r="BD1991" s="624">
        <v>41043</v>
      </c>
      <c r="BE1991" s="355">
        <v>8.6779999999999996E-2</v>
      </c>
      <c r="BF1991" s="624">
        <v>41157</v>
      </c>
      <c r="BG1991" s="355">
        <v>1.7894E-2</v>
      </c>
      <c r="BH1991" s="624">
        <v>41043</v>
      </c>
      <c r="BI1991" s="355">
        <v>0.108073</v>
      </c>
      <c r="BJ1991" s="624">
        <v>41040</v>
      </c>
      <c r="BK1991" s="355">
        <v>3.2062E-2</v>
      </c>
    </row>
    <row r="1992" spans="3:63">
      <c r="C1992" s="624"/>
      <c r="D1992" s="355">
        <v>3.218E-2</v>
      </c>
      <c r="AV1992" s="624"/>
      <c r="AX1992" s="624">
        <v>41047</v>
      </c>
      <c r="AY1992" s="355">
        <v>3.193E-2</v>
      </c>
      <c r="AZ1992" s="624">
        <v>41113</v>
      </c>
      <c r="BA1992" s="355">
        <v>1.03E-2</v>
      </c>
      <c r="BB1992" s="624">
        <v>41044</v>
      </c>
      <c r="BC1992" s="355">
        <v>0.29160000000000003</v>
      </c>
      <c r="BD1992" s="624">
        <v>41044</v>
      </c>
      <c r="BE1992" s="355">
        <v>8.6510000000000004E-2</v>
      </c>
      <c r="BF1992" s="624">
        <v>41158</v>
      </c>
      <c r="BG1992" s="355">
        <v>1.7944000000000002E-2</v>
      </c>
      <c r="BH1992" s="624">
        <v>41044</v>
      </c>
      <c r="BI1992" s="355">
        <v>0.107782</v>
      </c>
      <c r="BJ1992" s="624">
        <v>41043</v>
      </c>
      <c r="BK1992" s="355">
        <v>3.1872999999999999E-2</v>
      </c>
    </row>
    <row r="1993" spans="3:63">
      <c r="C1993" s="624"/>
      <c r="D1993" s="355">
        <v>3.193E-2</v>
      </c>
      <c r="AV1993" s="624"/>
      <c r="AX1993" s="624">
        <v>41050</v>
      </c>
      <c r="AY1993" s="355">
        <v>3.2169999999999997E-2</v>
      </c>
      <c r="AZ1993" s="624">
        <v>41114</v>
      </c>
      <c r="BA1993" s="355">
        <v>1.0200000000000001E-2</v>
      </c>
      <c r="BB1993" s="624">
        <v>41045</v>
      </c>
      <c r="BC1993" s="355">
        <v>0.29189999999999999</v>
      </c>
      <c r="BD1993" s="624">
        <v>41045</v>
      </c>
      <c r="BE1993" s="355">
        <v>8.5760000000000003E-2</v>
      </c>
      <c r="BF1993" s="624">
        <v>41159</v>
      </c>
      <c r="BG1993" s="355">
        <v>1.8128999999999999E-2</v>
      </c>
      <c r="BH1993" s="624">
        <v>41045</v>
      </c>
      <c r="BI1993" s="355">
        <v>0.107239</v>
      </c>
      <c r="BJ1993" s="624">
        <v>41044</v>
      </c>
      <c r="BK1993" s="355">
        <v>3.1898000000000003E-2</v>
      </c>
    </row>
    <row r="1994" spans="3:63">
      <c r="C1994" s="624"/>
      <c r="D1994" s="355">
        <v>3.2169999999999997E-2</v>
      </c>
      <c r="AV1994" s="624"/>
      <c r="AX1994" s="624">
        <v>41051</v>
      </c>
      <c r="AY1994" s="355">
        <v>3.1980000000000001E-2</v>
      </c>
      <c r="AZ1994" s="624">
        <v>41115</v>
      </c>
      <c r="BA1994" s="355">
        <v>1.0200000000000001E-2</v>
      </c>
      <c r="BB1994" s="624">
        <v>41046</v>
      </c>
      <c r="BC1994" s="355">
        <v>0.2913</v>
      </c>
      <c r="BD1994" s="624">
        <v>41046</v>
      </c>
      <c r="BE1994" s="355">
        <v>8.5760000000000003E-2</v>
      </c>
      <c r="BF1994" s="624">
        <v>41162</v>
      </c>
      <c r="BG1994" s="355">
        <v>1.8038999999999999E-2</v>
      </c>
      <c r="BH1994" s="624">
        <v>41046</v>
      </c>
      <c r="BI1994" s="355">
        <v>0.106895</v>
      </c>
      <c r="BJ1994" s="624">
        <v>41045</v>
      </c>
      <c r="BK1994" s="355">
        <v>3.1857000000000003E-2</v>
      </c>
    </row>
    <row r="1995" spans="3:63">
      <c r="C1995" s="624"/>
      <c r="D1995" s="355">
        <v>3.1980000000000001E-2</v>
      </c>
      <c r="AV1995" s="624"/>
      <c r="AX1995" s="624">
        <v>41052</v>
      </c>
      <c r="AY1995" s="355">
        <v>3.1530000000000002E-2</v>
      </c>
      <c r="AZ1995" s="624">
        <v>41116</v>
      </c>
      <c r="BA1995" s="355">
        <v>1.04E-2</v>
      </c>
      <c r="BB1995" s="624">
        <v>41047</v>
      </c>
      <c r="BC1995" s="355">
        <v>0.29389999999999999</v>
      </c>
      <c r="BD1995" s="624">
        <v>41047</v>
      </c>
      <c r="BE1995" s="355">
        <v>8.5569999999999993E-2</v>
      </c>
      <c r="BF1995" s="624">
        <v>41163</v>
      </c>
      <c r="BG1995" s="355">
        <v>1.8113000000000001E-2</v>
      </c>
      <c r="BH1995" s="624">
        <v>41047</v>
      </c>
      <c r="BI1995" s="355">
        <v>0.10644000000000001</v>
      </c>
      <c r="BJ1995" s="624">
        <v>41046</v>
      </c>
      <c r="BK1995" s="355">
        <v>3.1907999999999999E-2</v>
      </c>
    </row>
    <row r="1996" spans="3:63">
      <c r="C1996" s="624"/>
      <c r="D1996" s="355">
        <v>3.1530000000000002E-2</v>
      </c>
      <c r="AV1996" s="624"/>
      <c r="AX1996" s="624">
        <v>41053</v>
      </c>
      <c r="AY1996" s="355">
        <v>3.1489999999999997E-2</v>
      </c>
      <c r="AZ1996" s="624">
        <v>41117</v>
      </c>
      <c r="BA1996" s="355">
        <v>1.04E-2</v>
      </c>
      <c r="BB1996" s="624">
        <v>41050</v>
      </c>
      <c r="BC1996" s="355">
        <v>0.29699999999999999</v>
      </c>
      <c r="BD1996" s="624">
        <v>41050</v>
      </c>
      <c r="BE1996" s="355">
        <v>8.5639999999999994E-2</v>
      </c>
      <c r="BF1996" s="624">
        <v>41164</v>
      </c>
      <c r="BG1996" s="355">
        <v>1.8082999999999998E-2</v>
      </c>
      <c r="BH1996" s="624">
        <v>41050</v>
      </c>
      <c r="BI1996" s="355">
        <v>0.106735</v>
      </c>
      <c r="BJ1996" s="624">
        <v>41047</v>
      </c>
      <c r="BK1996" s="355">
        <v>3.1877999999999997E-2</v>
      </c>
    </row>
    <row r="1997" spans="3:63">
      <c r="C1997" s="624"/>
      <c r="D1997" s="355">
        <v>3.1489999999999997E-2</v>
      </c>
      <c r="AV1997" s="624"/>
      <c r="AX1997" s="624">
        <v>41054</v>
      </c>
      <c r="AY1997" s="355">
        <v>3.1199999999999999E-2</v>
      </c>
      <c r="AZ1997" s="624">
        <v>41120</v>
      </c>
      <c r="BA1997" s="355">
        <v>1.04E-2</v>
      </c>
      <c r="BB1997" s="624">
        <v>41051</v>
      </c>
      <c r="BC1997" s="355">
        <v>0.29139999999999999</v>
      </c>
      <c r="BD1997" s="624">
        <v>41051</v>
      </c>
      <c r="BE1997" s="355">
        <v>8.5760000000000003E-2</v>
      </c>
      <c r="BF1997" s="624">
        <v>41165</v>
      </c>
      <c r="BG1997" s="355">
        <v>1.8252999999999998E-2</v>
      </c>
      <c r="BH1997" s="624">
        <v>41051</v>
      </c>
      <c r="BI1997" s="355">
        <v>0.10827199999999999</v>
      </c>
      <c r="BJ1997" s="624">
        <v>41050</v>
      </c>
      <c r="BK1997" s="355">
        <v>3.1927999999999998E-2</v>
      </c>
    </row>
    <row r="1998" spans="3:63">
      <c r="C1998" s="624"/>
      <c r="D1998" s="355">
        <v>3.1199999999999999E-2</v>
      </c>
      <c r="AV1998" s="624"/>
      <c r="AX1998" s="624">
        <v>41057</v>
      </c>
      <c r="AY1998" s="355">
        <v>3.1150000000000001E-2</v>
      </c>
      <c r="AZ1998" s="624">
        <v>41121</v>
      </c>
      <c r="BA1998" s="355">
        <v>1.04E-2</v>
      </c>
      <c r="BB1998" s="624">
        <v>41052</v>
      </c>
      <c r="BC1998" s="355">
        <v>0.28760000000000002</v>
      </c>
      <c r="BD1998" s="624">
        <v>41052</v>
      </c>
      <c r="BE1998" s="355">
        <v>8.5080000000000003E-2</v>
      </c>
      <c r="BF1998" s="624">
        <v>41166</v>
      </c>
      <c r="BG1998" s="355">
        <v>1.8457999999999999E-2</v>
      </c>
      <c r="BH1998" s="624">
        <v>41052</v>
      </c>
      <c r="BI1998" s="355">
        <v>0.1074</v>
      </c>
      <c r="BJ1998" s="624">
        <v>41051</v>
      </c>
      <c r="BK1998" s="355">
        <v>3.1857000000000003E-2</v>
      </c>
    </row>
    <row r="1999" spans="3:63">
      <c r="C1999" s="624"/>
      <c r="D1999" s="355">
        <v>3.1150000000000001E-2</v>
      </c>
      <c r="AV1999" s="624"/>
      <c r="AX1999" s="624">
        <v>41058</v>
      </c>
      <c r="AY1999" s="355">
        <v>3.0980000000000001E-2</v>
      </c>
      <c r="AZ1999" s="624">
        <v>41122</v>
      </c>
      <c r="BA1999" s="355">
        <v>1.04E-2</v>
      </c>
      <c r="BB1999" s="624">
        <v>41053</v>
      </c>
      <c r="BC1999" s="355">
        <v>0.28710000000000002</v>
      </c>
      <c r="BD1999" s="624">
        <v>41053</v>
      </c>
      <c r="BE1999" s="355">
        <v>8.4870000000000001E-2</v>
      </c>
      <c r="BF1999" s="624">
        <v>41169</v>
      </c>
      <c r="BG1999" s="355">
        <v>1.8551000000000002E-2</v>
      </c>
      <c r="BH1999" s="624">
        <v>41053</v>
      </c>
      <c r="BI1999" s="355">
        <v>0.105452</v>
      </c>
      <c r="BJ1999" s="624">
        <v>41052</v>
      </c>
      <c r="BK1999" s="355">
        <v>3.1712999999999998E-2</v>
      </c>
    </row>
    <row r="2000" spans="3:63">
      <c r="C2000" s="624"/>
      <c r="D2000" s="355">
        <v>3.0980000000000001E-2</v>
      </c>
      <c r="AV2000" s="624"/>
      <c r="AX2000" s="624">
        <v>41059</v>
      </c>
      <c r="AY2000" s="355">
        <v>3.0470000000000001E-2</v>
      </c>
      <c r="AZ2000" s="624">
        <v>41123</v>
      </c>
      <c r="BA2000" s="355">
        <v>1.03E-2</v>
      </c>
      <c r="BB2000" s="624">
        <v>41054</v>
      </c>
      <c r="BC2000" s="355">
        <v>0.28649999999999998</v>
      </c>
      <c r="BD2000" s="624">
        <v>41054</v>
      </c>
      <c r="BE2000" s="355">
        <v>8.4390000000000007E-2</v>
      </c>
      <c r="BF2000" s="624">
        <v>41170</v>
      </c>
      <c r="BG2000" s="355">
        <v>1.8430999999999999E-2</v>
      </c>
      <c r="BH2000" s="624">
        <v>41054</v>
      </c>
      <c r="BI2000" s="355">
        <v>0.10573100000000001</v>
      </c>
      <c r="BJ2000" s="624">
        <v>41053</v>
      </c>
      <c r="BK2000" s="355">
        <v>3.1635999999999997E-2</v>
      </c>
    </row>
    <row r="2001" spans="3:63">
      <c r="C2001" s="624"/>
      <c r="D2001" s="355">
        <v>3.0470000000000001E-2</v>
      </c>
      <c r="AV2001" s="624"/>
      <c r="AX2001" s="624">
        <v>41060</v>
      </c>
      <c r="AY2001" s="355">
        <v>3.0009999999999998E-2</v>
      </c>
      <c r="AZ2001" s="624">
        <v>41124</v>
      </c>
      <c r="BA2001" s="355">
        <v>1.0500000000000001E-2</v>
      </c>
      <c r="BB2001" s="624">
        <v>41057</v>
      </c>
      <c r="BC2001" s="355">
        <v>0.28870000000000001</v>
      </c>
      <c r="BD2001" s="624">
        <v>41057</v>
      </c>
      <c r="BE2001" s="355">
        <v>8.5010000000000002E-2</v>
      </c>
      <c r="BF2001" s="624">
        <v>41172</v>
      </c>
      <c r="BG2001" s="355">
        <v>1.8442E-2</v>
      </c>
      <c r="BH2001" s="624">
        <v>41057</v>
      </c>
      <c r="BI2001" s="355">
        <v>0.105374</v>
      </c>
      <c r="BJ2001" s="624">
        <v>41054</v>
      </c>
      <c r="BK2001" s="355">
        <v>3.1595999999999999E-2</v>
      </c>
    </row>
    <row r="2002" spans="3:63">
      <c r="C2002" s="624"/>
      <c r="D2002" s="355">
        <v>3.0009999999999998E-2</v>
      </c>
      <c r="AV2002" s="624"/>
      <c r="AX2002" s="624">
        <v>41061</v>
      </c>
      <c r="AY2002" s="355">
        <v>2.9749999999999999E-2</v>
      </c>
      <c r="AZ2002" s="624">
        <v>41127</v>
      </c>
      <c r="BA2002" s="355">
        <v>1.0500000000000001E-2</v>
      </c>
      <c r="BB2002" s="624">
        <v>41058</v>
      </c>
      <c r="BC2002" s="355">
        <v>0.28710000000000002</v>
      </c>
      <c r="BD2002" s="624">
        <v>41058</v>
      </c>
      <c r="BE2002" s="355">
        <v>8.5029999999999994E-2</v>
      </c>
      <c r="BF2002" s="624">
        <v>41173</v>
      </c>
      <c r="BG2002" s="355">
        <v>1.8780999999999999E-2</v>
      </c>
      <c r="BH2002" s="624">
        <v>41058</v>
      </c>
      <c r="BI2002" s="355">
        <v>0.105396</v>
      </c>
      <c r="BJ2002" s="624">
        <v>41057</v>
      </c>
      <c r="BK2002" s="355">
        <v>3.1615999999999998E-2</v>
      </c>
    </row>
    <row r="2003" spans="3:63">
      <c r="C2003" s="624"/>
      <c r="D2003" s="355">
        <v>2.9749999999999999E-2</v>
      </c>
      <c r="AV2003" s="624"/>
      <c r="AX2003" s="624">
        <v>41064</v>
      </c>
      <c r="AY2003" s="355">
        <v>2.9870000000000001E-2</v>
      </c>
      <c r="AZ2003" s="624">
        <v>41128</v>
      </c>
      <c r="BA2003" s="355">
        <v>1.0500000000000001E-2</v>
      </c>
      <c r="BB2003" s="624">
        <v>41059</v>
      </c>
      <c r="BC2003" s="355">
        <v>0.28160000000000002</v>
      </c>
      <c r="BD2003" s="624">
        <v>41059</v>
      </c>
      <c r="BE2003" s="355">
        <v>8.4839999999999999E-2</v>
      </c>
      <c r="BF2003" s="624">
        <v>41176</v>
      </c>
      <c r="BG2003" s="355">
        <v>1.8692E-2</v>
      </c>
      <c r="BH2003" s="624">
        <v>41059</v>
      </c>
      <c r="BI2003" s="355">
        <v>0.10378800000000001</v>
      </c>
      <c r="BJ2003" s="624">
        <v>41058</v>
      </c>
      <c r="BK2003" s="355">
        <v>3.1516000000000002E-2</v>
      </c>
    </row>
    <row r="2004" spans="3:63">
      <c r="C2004" s="624"/>
      <c r="D2004" s="355">
        <v>2.9870000000000001E-2</v>
      </c>
      <c r="AV2004" s="624"/>
      <c r="AX2004" s="624">
        <v>41065</v>
      </c>
      <c r="AY2004" s="355">
        <v>3.0360000000000002E-2</v>
      </c>
      <c r="AZ2004" s="624">
        <v>41129</v>
      </c>
      <c r="BA2004" s="355">
        <v>1.04E-2</v>
      </c>
      <c r="BB2004" s="624">
        <v>41060</v>
      </c>
      <c r="BC2004" s="355">
        <v>0.28160000000000002</v>
      </c>
      <c r="BD2004" s="624">
        <v>41060</v>
      </c>
      <c r="BE2004" s="355">
        <v>8.4620000000000001E-2</v>
      </c>
      <c r="BF2004" s="624">
        <v>41177</v>
      </c>
      <c r="BG2004" s="355">
        <v>1.8724999999999999E-2</v>
      </c>
      <c r="BH2004" s="624">
        <v>41060</v>
      </c>
      <c r="BI2004" s="355">
        <v>0.10543</v>
      </c>
      <c r="BJ2004" s="624">
        <v>41059</v>
      </c>
      <c r="BK2004" s="355">
        <v>3.1397000000000001E-2</v>
      </c>
    </row>
    <row r="2005" spans="3:63">
      <c r="C2005" s="624"/>
      <c r="D2005" s="355">
        <v>3.0360000000000002E-2</v>
      </c>
      <c r="AV2005" s="624"/>
      <c r="AX2005" s="624">
        <v>41066</v>
      </c>
      <c r="AY2005" s="355">
        <v>3.099E-2</v>
      </c>
      <c r="AZ2005" s="624">
        <v>41130</v>
      </c>
      <c r="BA2005" s="355">
        <v>1.04E-2</v>
      </c>
      <c r="BB2005" s="624">
        <v>41061</v>
      </c>
      <c r="BC2005" s="355">
        <v>0.28210000000000002</v>
      </c>
      <c r="BD2005" s="624">
        <v>41061</v>
      </c>
      <c r="BE2005" s="355">
        <v>8.4699999999999998E-2</v>
      </c>
      <c r="BF2005" s="624">
        <v>41178</v>
      </c>
      <c r="BG2005" s="355">
        <v>1.8655000000000001E-2</v>
      </c>
      <c r="BH2005" s="624">
        <v>41061</v>
      </c>
      <c r="BI2005" s="355">
        <v>0.105152</v>
      </c>
      <c r="BJ2005" s="624">
        <v>41060</v>
      </c>
      <c r="BK2005" s="355">
        <v>3.1406999999999997E-2</v>
      </c>
    </row>
    <row r="2006" spans="3:63">
      <c r="C2006" s="624"/>
      <c r="D2006" s="355">
        <v>3.099E-2</v>
      </c>
      <c r="AV2006" s="624"/>
      <c r="AX2006" s="624">
        <v>41067</v>
      </c>
      <c r="AY2006" s="355">
        <v>3.0810000000000001E-2</v>
      </c>
      <c r="AZ2006" s="624">
        <v>41131</v>
      </c>
      <c r="BA2006" s="355">
        <v>1.0500000000000001E-2</v>
      </c>
      <c r="BB2006" s="624">
        <v>41064</v>
      </c>
      <c r="BC2006" s="355">
        <v>0.28489999999999999</v>
      </c>
      <c r="BD2006" s="624">
        <v>41064</v>
      </c>
      <c r="BE2006" s="355">
        <v>8.4680000000000005E-2</v>
      </c>
      <c r="BF2006" s="624">
        <v>41179</v>
      </c>
      <c r="BG2006" s="355">
        <v>1.8907E-2</v>
      </c>
      <c r="BH2006" s="624">
        <v>41064</v>
      </c>
      <c r="BI2006" s="355">
        <v>0.106225</v>
      </c>
      <c r="BJ2006" s="624">
        <v>41061</v>
      </c>
      <c r="BK2006" s="355">
        <v>3.1606000000000002E-2</v>
      </c>
    </row>
    <row r="2007" spans="3:63">
      <c r="C2007" s="624"/>
      <c r="D2007" s="355">
        <v>3.0810000000000001E-2</v>
      </c>
      <c r="AV2007" s="624"/>
      <c r="AX2007" s="624">
        <v>41068</v>
      </c>
      <c r="AY2007" s="355">
        <v>3.0929999999999999E-2</v>
      </c>
      <c r="AZ2007" s="624">
        <v>41134</v>
      </c>
      <c r="BA2007" s="355">
        <v>1.06E-2</v>
      </c>
      <c r="BB2007" s="624">
        <v>41065</v>
      </c>
      <c r="BC2007" s="355">
        <v>0.28470000000000001</v>
      </c>
      <c r="BD2007" s="624">
        <v>41065</v>
      </c>
      <c r="BE2007" s="355">
        <v>8.4790000000000004E-2</v>
      </c>
      <c r="BF2007" s="624">
        <v>41180</v>
      </c>
      <c r="BG2007" s="355">
        <v>1.8911000000000001E-2</v>
      </c>
      <c r="BH2007" s="624">
        <v>41065</v>
      </c>
      <c r="BI2007" s="355">
        <v>0.105809</v>
      </c>
      <c r="BJ2007" s="624">
        <v>41064</v>
      </c>
      <c r="BK2007" s="355">
        <v>3.1746000000000003E-2</v>
      </c>
    </row>
    <row r="2008" spans="3:63">
      <c r="C2008" s="624"/>
      <c r="D2008" s="355">
        <v>3.0929999999999999E-2</v>
      </c>
      <c r="AV2008" s="624"/>
      <c r="AX2008" s="624">
        <v>41071</v>
      </c>
      <c r="AY2008" s="355">
        <v>3.0470000000000001E-2</v>
      </c>
      <c r="AZ2008" s="624">
        <v>41135</v>
      </c>
      <c r="BA2008" s="355">
        <v>1.0500000000000001E-2</v>
      </c>
      <c r="BB2008" s="624">
        <v>41066</v>
      </c>
      <c r="BC2008" s="355">
        <v>0.29170000000000001</v>
      </c>
      <c r="BD2008" s="624">
        <v>41066</v>
      </c>
      <c r="BE2008" s="355">
        <v>8.5199999999999998E-2</v>
      </c>
      <c r="BF2008" s="624">
        <v>41183</v>
      </c>
      <c r="BG2008" s="355">
        <v>1.9064000000000001E-2</v>
      </c>
      <c r="BH2008" s="624">
        <v>41066</v>
      </c>
      <c r="BI2008" s="355">
        <v>0.10655299999999999</v>
      </c>
      <c r="BJ2008" s="624">
        <v>41065</v>
      </c>
      <c r="BK2008" s="355">
        <v>3.1666E-2</v>
      </c>
    </row>
    <row r="2009" spans="3:63">
      <c r="C2009" s="624"/>
      <c r="D2009" s="355">
        <v>3.0470000000000001E-2</v>
      </c>
      <c r="AV2009" s="624"/>
      <c r="AX2009" s="624">
        <v>41072</v>
      </c>
      <c r="AY2009" s="355">
        <v>3.0329999999999999E-2</v>
      </c>
      <c r="AZ2009" s="624">
        <v>41136</v>
      </c>
      <c r="BA2009" s="355">
        <v>1.0500000000000001E-2</v>
      </c>
      <c r="BB2009" s="624">
        <v>41067</v>
      </c>
      <c r="BC2009" s="355">
        <v>0.29430000000000001</v>
      </c>
      <c r="BD2009" s="624">
        <v>41067</v>
      </c>
      <c r="BE2009" s="355">
        <v>8.5830000000000004E-2</v>
      </c>
      <c r="BF2009" s="624">
        <v>41184</v>
      </c>
      <c r="BG2009" s="355">
        <v>1.9049E-2</v>
      </c>
      <c r="BH2009" s="624">
        <v>41067</v>
      </c>
      <c r="BI2009" s="355">
        <v>0.106304</v>
      </c>
      <c r="BJ2009" s="624">
        <v>41066</v>
      </c>
      <c r="BK2009" s="355">
        <v>3.1847E-2</v>
      </c>
    </row>
    <row r="2010" spans="3:63">
      <c r="C2010" s="624"/>
      <c r="D2010" s="355">
        <v>3.0329999999999999E-2</v>
      </c>
      <c r="AV2010" s="624"/>
      <c r="AX2010" s="624">
        <v>41073</v>
      </c>
      <c r="AY2010" s="355">
        <v>3.0779999999999998E-2</v>
      </c>
      <c r="AZ2010" s="624">
        <v>41137</v>
      </c>
      <c r="BA2010" s="355">
        <v>1.0500000000000001E-2</v>
      </c>
      <c r="BB2010" s="624">
        <v>41068</v>
      </c>
      <c r="BC2010" s="355">
        <v>0.29149999999999998</v>
      </c>
      <c r="BD2010" s="624">
        <v>41068</v>
      </c>
      <c r="BE2010" s="355">
        <v>8.5180000000000006E-2</v>
      </c>
      <c r="BF2010" s="624">
        <v>41185</v>
      </c>
      <c r="BG2010" s="355">
        <v>1.9133000000000001E-2</v>
      </c>
      <c r="BH2010" s="624">
        <v>41068</v>
      </c>
      <c r="BI2010" s="355">
        <v>0.105944</v>
      </c>
      <c r="BJ2010" s="624">
        <v>41067</v>
      </c>
      <c r="BK2010" s="355">
        <v>3.1572999999999997E-2</v>
      </c>
    </row>
    <row r="2011" spans="3:63">
      <c r="C2011" s="624"/>
      <c r="D2011" s="355">
        <v>3.0779999999999998E-2</v>
      </c>
      <c r="AV2011" s="624"/>
      <c r="AX2011" s="624">
        <v>41074</v>
      </c>
      <c r="AY2011" s="355">
        <v>3.0810000000000001E-2</v>
      </c>
      <c r="AZ2011" s="624">
        <v>41138</v>
      </c>
      <c r="BA2011" s="355">
        <v>1.04E-2</v>
      </c>
      <c r="BB2011" s="624">
        <v>41071</v>
      </c>
      <c r="BC2011" s="355">
        <v>0.28699999999999998</v>
      </c>
      <c r="BD2011" s="624">
        <v>41071</v>
      </c>
      <c r="BE2011" s="355">
        <v>8.5239999999999996E-2</v>
      </c>
      <c r="BF2011" s="624">
        <v>41186</v>
      </c>
      <c r="BG2011" s="355">
        <v>1.9422999999999999E-2</v>
      </c>
      <c r="BH2011" s="624">
        <v>41071</v>
      </c>
      <c r="BI2011" s="355">
        <v>0.106</v>
      </c>
      <c r="BJ2011" s="624">
        <v>41068</v>
      </c>
      <c r="BK2011" s="355">
        <v>3.1635999999999997E-2</v>
      </c>
    </row>
    <row r="2012" spans="3:63">
      <c r="C2012" s="624"/>
      <c r="D2012" s="355">
        <v>3.0810000000000001E-2</v>
      </c>
      <c r="AV2012" s="624"/>
      <c r="AX2012" s="624">
        <v>41075</v>
      </c>
      <c r="AY2012" s="355">
        <v>3.1060000000000001E-2</v>
      </c>
      <c r="AZ2012" s="624">
        <v>41141</v>
      </c>
      <c r="BA2012" s="355">
        <v>1.0500000000000001E-2</v>
      </c>
      <c r="BB2012" s="624">
        <v>41072</v>
      </c>
      <c r="BC2012" s="355">
        <v>0.2893</v>
      </c>
      <c r="BD2012" s="624">
        <v>41072</v>
      </c>
      <c r="BE2012" s="355">
        <v>8.5540000000000005E-2</v>
      </c>
      <c r="BF2012" s="624">
        <v>41187</v>
      </c>
      <c r="BG2012" s="355">
        <v>1.9224999999999999E-2</v>
      </c>
      <c r="BH2012" s="624">
        <v>41072</v>
      </c>
      <c r="BI2012" s="355">
        <v>0.10625900000000001</v>
      </c>
      <c r="BJ2012" s="624">
        <v>41071</v>
      </c>
      <c r="BK2012" s="355">
        <v>3.1580999999999998E-2</v>
      </c>
    </row>
    <row r="2013" spans="3:63">
      <c r="C2013" s="624"/>
      <c r="D2013" s="355">
        <v>3.1060000000000001E-2</v>
      </c>
      <c r="AV2013" s="624"/>
      <c r="AX2013" s="624">
        <v>41078</v>
      </c>
      <c r="AY2013" s="355">
        <v>3.092E-2</v>
      </c>
      <c r="AZ2013" s="624">
        <v>41142</v>
      </c>
      <c r="BA2013" s="355">
        <v>1.06E-2</v>
      </c>
      <c r="BB2013" s="624">
        <v>41073</v>
      </c>
      <c r="BC2013" s="355">
        <v>0.29110000000000003</v>
      </c>
      <c r="BD2013" s="624">
        <v>41073</v>
      </c>
      <c r="BE2013" s="355">
        <v>8.566E-2</v>
      </c>
      <c r="BF2013" s="624">
        <v>41190</v>
      </c>
      <c r="BG2013" s="355">
        <v>1.9088999999999998E-2</v>
      </c>
      <c r="BH2013" s="624">
        <v>41073</v>
      </c>
      <c r="BI2013" s="355">
        <v>0.106056</v>
      </c>
      <c r="BJ2013" s="624">
        <v>41072</v>
      </c>
      <c r="BK2013" s="355">
        <v>3.1685999999999999E-2</v>
      </c>
    </row>
    <row r="2014" spans="3:63">
      <c r="C2014" s="624"/>
      <c r="D2014" s="355">
        <v>3.092E-2</v>
      </c>
      <c r="AV2014" s="624"/>
      <c r="AX2014" s="624">
        <v>41079</v>
      </c>
      <c r="AY2014" s="355">
        <v>3.091E-2</v>
      </c>
      <c r="AZ2014" s="624">
        <v>41143</v>
      </c>
      <c r="BA2014" s="355">
        <v>1.06E-2</v>
      </c>
      <c r="BB2014" s="624">
        <v>41074</v>
      </c>
      <c r="BC2014" s="355">
        <v>0.29459999999999997</v>
      </c>
      <c r="BD2014" s="624">
        <v>41074</v>
      </c>
      <c r="BE2014" s="355">
        <v>8.591E-2</v>
      </c>
      <c r="BF2014" s="624">
        <v>41191</v>
      </c>
      <c r="BG2014" s="355">
        <v>1.8956000000000001E-2</v>
      </c>
      <c r="BH2014" s="624">
        <v>41074</v>
      </c>
      <c r="BI2014" s="355">
        <v>0.106101</v>
      </c>
      <c r="BJ2014" s="624">
        <v>41073</v>
      </c>
      <c r="BK2014" s="355">
        <v>3.1725999999999997E-2</v>
      </c>
    </row>
    <row r="2015" spans="3:63">
      <c r="C2015" s="624"/>
      <c r="D2015" s="355">
        <v>3.091E-2</v>
      </c>
      <c r="AV2015" s="624"/>
      <c r="AX2015" s="624">
        <v>41080</v>
      </c>
      <c r="AY2015" s="355">
        <v>3.0599999999999999E-2</v>
      </c>
      <c r="AZ2015" s="624">
        <v>41144</v>
      </c>
      <c r="BA2015" s="355">
        <v>1.0699999999999999E-2</v>
      </c>
      <c r="BB2015" s="624">
        <v>41075</v>
      </c>
      <c r="BC2015" s="355">
        <v>0.29730000000000001</v>
      </c>
      <c r="BD2015" s="624">
        <v>41075</v>
      </c>
      <c r="BE2015" s="355">
        <v>8.5830000000000004E-2</v>
      </c>
      <c r="BF2015" s="624">
        <v>41192</v>
      </c>
      <c r="BG2015" s="355">
        <v>1.8852000000000001E-2</v>
      </c>
      <c r="BH2015" s="624">
        <v>41075</v>
      </c>
      <c r="BI2015" s="355">
        <v>0.106293</v>
      </c>
      <c r="BJ2015" s="624">
        <v>41074</v>
      </c>
      <c r="BK2015" s="355">
        <v>3.1771000000000001E-2</v>
      </c>
    </row>
    <row r="2016" spans="3:63">
      <c r="C2016" s="624"/>
      <c r="D2016" s="355">
        <v>3.0599999999999999E-2</v>
      </c>
      <c r="AV2016" s="624"/>
      <c r="AX2016" s="624">
        <v>41081</v>
      </c>
      <c r="AY2016" s="355">
        <v>2.9940000000000001E-2</v>
      </c>
      <c r="AZ2016" s="624">
        <v>41145</v>
      </c>
      <c r="BA2016" s="355">
        <v>1.0699999999999999E-2</v>
      </c>
      <c r="BB2016" s="624">
        <v>41078</v>
      </c>
      <c r="BC2016" s="355">
        <v>0.29459999999999997</v>
      </c>
      <c r="BD2016" s="624">
        <v>41078</v>
      </c>
      <c r="BE2016" s="355">
        <v>8.6249999999999993E-2</v>
      </c>
      <c r="BF2016" s="624">
        <v>41193</v>
      </c>
      <c r="BG2016" s="355">
        <v>1.8966E-2</v>
      </c>
      <c r="BH2016" s="624">
        <v>41078</v>
      </c>
      <c r="BI2016" s="355">
        <v>0.10652</v>
      </c>
      <c r="BJ2016" s="624">
        <v>41075</v>
      </c>
      <c r="BK2016" s="355">
        <v>3.1786000000000002E-2</v>
      </c>
    </row>
    <row r="2017" spans="3:63">
      <c r="C2017" s="624"/>
      <c r="D2017" s="355">
        <v>2.9940000000000001E-2</v>
      </c>
      <c r="AV2017" s="624"/>
      <c r="AX2017" s="624">
        <v>41082</v>
      </c>
      <c r="AY2017" s="355">
        <v>3.015E-2</v>
      </c>
      <c r="AZ2017" s="624">
        <v>41148</v>
      </c>
      <c r="BA2017" s="355">
        <v>1.06E-2</v>
      </c>
      <c r="BB2017" s="624">
        <v>41079</v>
      </c>
      <c r="BC2017" s="355">
        <v>0.29859999999999998</v>
      </c>
      <c r="BD2017" s="624">
        <v>41079</v>
      </c>
      <c r="BE2017" s="355">
        <v>8.6580000000000004E-2</v>
      </c>
      <c r="BF2017" s="624">
        <v>41194</v>
      </c>
      <c r="BG2017" s="355">
        <v>1.8915999999999999E-2</v>
      </c>
      <c r="BH2017" s="624">
        <v>41079</v>
      </c>
      <c r="BI2017" s="355">
        <v>0.106327</v>
      </c>
      <c r="BJ2017" s="624">
        <v>41078</v>
      </c>
      <c r="BK2017" s="355">
        <v>3.1786000000000002E-2</v>
      </c>
    </row>
    <row r="2018" spans="3:63">
      <c r="C2018" s="624"/>
      <c r="D2018" s="355">
        <v>3.015E-2</v>
      </c>
      <c r="AV2018" s="624"/>
      <c r="AX2018" s="624">
        <v>41085</v>
      </c>
      <c r="AY2018" s="355">
        <v>3.0169999999999999E-2</v>
      </c>
      <c r="AZ2018" s="624">
        <v>41149</v>
      </c>
      <c r="BA2018" s="355">
        <v>1.0699999999999999E-2</v>
      </c>
      <c r="BB2018" s="624">
        <v>41080</v>
      </c>
      <c r="BC2018" s="355">
        <v>0.3</v>
      </c>
      <c r="BD2018" s="624">
        <v>41080</v>
      </c>
      <c r="BE2018" s="355">
        <v>8.6819999999999994E-2</v>
      </c>
      <c r="BF2018" s="624">
        <v>41197</v>
      </c>
      <c r="BG2018" s="355">
        <v>1.8853999999999999E-2</v>
      </c>
      <c r="BH2018" s="624">
        <v>41080</v>
      </c>
      <c r="BI2018" s="355">
        <v>0.106158</v>
      </c>
      <c r="BJ2018" s="624">
        <v>41079</v>
      </c>
      <c r="BK2018" s="355">
        <v>3.1836999999999997E-2</v>
      </c>
    </row>
    <row r="2019" spans="3:63">
      <c r="C2019" s="624"/>
      <c r="D2019" s="355">
        <v>3.0169999999999999E-2</v>
      </c>
      <c r="AV2019" s="624"/>
      <c r="AX2019" s="624">
        <v>41086</v>
      </c>
      <c r="AY2019" s="355">
        <v>3.0370000000000001E-2</v>
      </c>
      <c r="AZ2019" s="624">
        <v>41150</v>
      </c>
      <c r="BA2019" s="355">
        <v>1.0699999999999999E-2</v>
      </c>
      <c r="BB2019" s="624">
        <v>41081</v>
      </c>
      <c r="BC2019" s="355">
        <v>0.29199999999999998</v>
      </c>
      <c r="BD2019" s="624">
        <v>41081</v>
      </c>
      <c r="BE2019" s="355">
        <v>8.6709999999999995E-2</v>
      </c>
      <c r="BF2019" s="624">
        <v>41198</v>
      </c>
      <c r="BG2019" s="355">
        <v>1.8905000000000002E-2</v>
      </c>
      <c r="BH2019" s="624">
        <v>41081</v>
      </c>
      <c r="BI2019" s="355">
        <v>0.106045</v>
      </c>
      <c r="BJ2019" s="624">
        <v>41080</v>
      </c>
      <c r="BK2019" s="355">
        <v>3.1696000000000002E-2</v>
      </c>
    </row>
    <row r="2020" spans="3:63">
      <c r="C2020" s="624"/>
      <c r="D2020" s="355">
        <v>3.0370000000000001E-2</v>
      </c>
      <c r="AV2020" s="624"/>
      <c r="AX2020" s="624">
        <v>41087</v>
      </c>
      <c r="AY2020" s="355">
        <v>3.032E-2</v>
      </c>
      <c r="AZ2020" s="624">
        <v>41151</v>
      </c>
      <c r="BA2020" s="355">
        <v>1.0699999999999999E-2</v>
      </c>
      <c r="BB2020" s="624">
        <v>41082</v>
      </c>
      <c r="BC2020" s="355">
        <v>0.29399999999999998</v>
      </c>
      <c r="BD2020" s="624">
        <v>41082</v>
      </c>
      <c r="BE2020" s="355">
        <v>8.6290000000000006E-2</v>
      </c>
      <c r="BF2020" s="624">
        <v>41199</v>
      </c>
      <c r="BG2020" s="355">
        <v>1.8911000000000001E-2</v>
      </c>
      <c r="BH2020" s="624">
        <v>41082</v>
      </c>
      <c r="BI2020" s="355">
        <v>0.10595499999999999</v>
      </c>
      <c r="BJ2020" s="624">
        <v>41081</v>
      </c>
      <c r="BK2020" s="355">
        <v>3.1447000000000003E-2</v>
      </c>
    </row>
    <row r="2021" spans="3:63">
      <c r="C2021" s="624"/>
      <c r="D2021" s="355">
        <v>3.032E-2</v>
      </c>
      <c r="AV2021" s="624"/>
      <c r="AX2021" s="624">
        <v>41088</v>
      </c>
      <c r="AY2021" s="355">
        <v>3.0130000000000001E-2</v>
      </c>
      <c r="AZ2021" s="624">
        <v>41152</v>
      </c>
      <c r="BA2021" s="355">
        <v>1.0699999999999999E-2</v>
      </c>
      <c r="BB2021" s="624">
        <v>41085</v>
      </c>
      <c r="BC2021" s="355">
        <v>0.29349999999999998</v>
      </c>
      <c r="BD2021" s="624">
        <v>41085</v>
      </c>
      <c r="BE2021" s="355">
        <v>8.6099999999999996E-2</v>
      </c>
      <c r="BF2021" s="624">
        <v>41200</v>
      </c>
      <c r="BG2021" s="355">
        <v>1.8651000000000001E-2</v>
      </c>
      <c r="BH2021" s="624">
        <v>41085</v>
      </c>
      <c r="BI2021" s="355">
        <v>0.105933</v>
      </c>
      <c r="BJ2021" s="624">
        <v>41082</v>
      </c>
      <c r="BK2021" s="355">
        <v>3.1466000000000001E-2</v>
      </c>
    </row>
    <row r="2022" spans="3:63">
      <c r="C2022" s="624"/>
      <c r="D2022" s="355">
        <v>3.0130000000000001E-2</v>
      </c>
      <c r="AV2022" s="624"/>
      <c r="AX2022" s="624">
        <v>41089</v>
      </c>
      <c r="AY2022" s="355">
        <v>3.0890000000000001E-2</v>
      </c>
      <c r="AZ2022" s="624">
        <v>41155</v>
      </c>
      <c r="BA2022" s="355">
        <v>1.06E-2</v>
      </c>
      <c r="BB2022" s="624">
        <v>41086</v>
      </c>
      <c r="BC2022" s="355">
        <v>0.29370000000000002</v>
      </c>
      <c r="BD2022" s="624">
        <v>41086</v>
      </c>
      <c r="BE2022" s="355">
        <v>8.6400000000000005E-2</v>
      </c>
      <c r="BF2022" s="624">
        <v>41201</v>
      </c>
      <c r="BG2022" s="355">
        <v>1.8488999999999998E-2</v>
      </c>
      <c r="BH2022" s="624">
        <v>41086</v>
      </c>
      <c r="BI2022" s="355">
        <v>0.105708</v>
      </c>
      <c r="BJ2022" s="624">
        <v>41085</v>
      </c>
      <c r="BK2022" s="355">
        <v>3.1424000000000001E-2</v>
      </c>
    </row>
    <row r="2023" spans="3:63">
      <c r="C2023" s="624"/>
      <c r="D2023" s="355">
        <v>3.0890000000000001E-2</v>
      </c>
      <c r="AV2023" s="624"/>
      <c r="AX2023" s="624">
        <v>41092</v>
      </c>
      <c r="AY2023" s="355">
        <v>3.0759999999999999E-2</v>
      </c>
      <c r="AZ2023" s="624">
        <v>41156</v>
      </c>
      <c r="BA2023" s="355">
        <v>1.0699999999999999E-2</v>
      </c>
      <c r="BB2023" s="624">
        <v>41087</v>
      </c>
      <c r="BC2023" s="355">
        <v>0.2928</v>
      </c>
      <c r="BD2023" s="624">
        <v>41087</v>
      </c>
      <c r="BE2023" s="355">
        <v>8.6510000000000004E-2</v>
      </c>
      <c r="BF2023" s="624">
        <v>41204</v>
      </c>
      <c r="BG2023" s="355">
        <v>1.8665000000000001E-2</v>
      </c>
      <c r="BH2023" s="624">
        <v>41087</v>
      </c>
      <c r="BI2023" s="355">
        <v>0.105877</v>
      </c>
      <c r="BJ2023" s="624">
        <v>41086</v>
      </c>
      <c r="BK2023" s="355">
        <v>3.1417E-2</v>
      </c>
    </row>
    <row r="2024" spans="3:63">
      <c r="C2024" s="624"/>
      <c r="D2024" s="355">
        <v>3.0759999999999999E-2</v>
      </c>
      <c r="AV2024" s="624"/>
      <c r="AX2024" s="624">
        <v>41093</v>
      </c>
      <c r="AY2024" s="355">
        <v>3.1E-2</v>
      </c>
      <c r="AZ2024" s="624">
        <v>41157</v>
      </c>
      <c r="BA2024" s="355">
        <v>1.0699999999999999E-2</v>
      </c>
      <c r="BB2024" s="624">
        <v>41088</v>
      </c>
      <c r="BC2024" s="355">
        <v>0.28999999999999998</v>
      </c>
      <c r="BD2024" s="624">
        <v>41088</v>
      </c>
      <c r="BE2024" s="355">
        <v>8.6330000000000004E-2</v>
      </c>
      <c r="BF2024" s="624">
        <v>41205</v>
      </c>
      <c r="BG2024" s="355">
        <v>1.8543E-2</v>
      </c>
      <c r="BH2024" s="624">
        <v>41088</v>
      </c>
      <c r="BI2024" s="355">
        <v>0.105877</v>
      </c>
      <c r="BJ2024" s="624">
        <v>41087</v>
      </c>
      <c r="BK2024" s="355">
        <v>3.1406999999999997E-2</v>
      </c>
    </row>
    <row r="2025" spans="3:63">
      <c r="C2025" s="624"/>
      <c r="D2025" s="355">
        <v>3.1E-2</v>
      </c>
      <c r="AV2025" s="624"/>
      <c r="AX2025" s="624">
        <v>41094</v>
      </c>
      <c r="AY2025" s="355">
        <v>3.0929999999999999E-2</v>
      </c>
      <c r="AZ2025" s="624">
        <v>41158</v>
      </c>
      <c r="BA2025" s="355">
        <v>1.0800000000000001E-2</v>
      </c>
      <c r="BB2025" s="624">
        <v>41089</v>
      </c>
      <c r="BC2025" s="355">
        <v>0.29949999999999999</v>
      </c>
      <c r="BD2025" s="624">
        <v>41089</v>
      </c>
      <c r="BE2025" s="355">
        <v>8.7669999999999998E-2</v>
      </c>
      <c r="BF2025" s="624">
        <v>41206</v>
      </c>
      <c r="BG2025" s="355">
        <v>1.8537000000000001E-2</v>
      </c>
      <c r="BH2025" s="624">
        <v>41089</v>
      </c>
      <c r="BI2025" s="355">
        <v>0.106418</v>
      </c>
      <c r="BJ2025" s="624">
        <v>41088</v>
      </c>
      <c r="BK2025" s="355">
        <v>3.1352999999999999E-2</v>
      </c>
    </row>
    <row r="2026" spans="3:63">
      <c r="C2026" s="624"/>
      <c r="D2026" s="355">
        <v>3.0929999999999999E-2</v>
      </c>
      <c r="AV2026" s="624"/>
      <c r="AX2026" s="624">
        <v>41095</v>
      </c>
      <c r="AY2026" s="355">
        <v>3.073E-2</v>
      </c>
      <c r="AZ2026" s="624">
        <v>41159</v>
      </c>
      <c r="BA2026" s="355">
        <v>1.0999999999999999E-2</v>
      </c>
      <c r="BB2026" s="624">
        <v>41092</v>
      </c>
      <c r="BC2026" s="355">
        <v>0.29820000000000002</v>
      </c>
      <c r="BD2026" s="624">
        <v>41092</v>
      </c>
      <c r="BE2026" s="355">
        <v>8.7359999999999993E-2</v>
      </c>
      <c r="BF2026" s="624">
        <v>41207</v>
      </c>
      <c r="BG2026" s="355">
        <v>1.8600999999999999E-2</v>
      </c>
      <c r="BH2026" s="624">
        <v>41092</v>
      </c>
      <c r="BI2026" s="355">
        <v>0.106474</v>
      </c>
      <c r="BJ2026" s="624">
        <v>41089</v>
      </c>
      <c r="BK2026" s="355">
        <v>3.1666E-2</v>
      </c>
    </row>
    <row r="2027" spans="3:63">
      <c r="C2027" s="624"/>
      <c r="D2027" s="355">
        <v>3.073E-2</v>
      </c>
      <c r="AV2027" s="624"/>
      <c r="AX2027" s="624">
        <v>41096</v>
      </c>
      <c r="AY2027" s="355">
        <v>3.0450000000000001E-2</v>
      </c>
      <c r="AZ2027" s="624">
        <v>41162</v>
      </c>
      <c r="BA2027" s="355">
        <v>1.0999999999999999E-2</v>
      </c>
      <c r="BB2027" s="624">
        <v>41093</v>
      </c>
      <c r="BC2027" s="355">
        <v>0.30059999999999998</v>
      </c>
      <c r="BD2027" s="624">
        <v>41093</v>
      </c>
      <c r="BE2027" s="355">
        <v>8.8230000000000003E-2</v>
      </c>
      <c r="BF2027" s="624">
        <v>41211</v>
      </c>
      <c r="BG2027" s="355">
        <v>1.8452E-2</v>
      </c>
      <c r="BH2027" s="624">
        <v>41093</v>
      </c>
      <c r="BI2027" s="355">
        <v>0.10700999999999999</v>
      </c>
      <c r="BJ2027" s="624">
        <v>41092</v>
      </c>
      <c r="BK2027" s="355">
        <v>3.1696000000000002E-2</v>
      </c>
    </row>
    <row r="2028" spans="3:63">
      <c r="C2028" s="624"/>
      <c r="D2028" s="355">
        <v>3.0450000000000001E-2</v>
      </c>
      <c r="AV2028" s="624"/>
      <c r="AX2028" s="624">
        <v>41099</v>
      </c>
      <c r="AY2028" s="355">
        <v>3.0349999999999999E-2</v>
      </c>
      <c r="AZ2028" s="624">
        <v>41163</v>
      </c>
      <c r="BA2028" s="355">
        <v>1.0999999999999999E-2</v>
      </c>
      <c r="BB2028" s="624">
        <v>41094</v>
      </c>
      <c r="BC2028" s="355">
        <v>0.29699999999999999</v>
      </c>
      <c r="BD2028" s="624">
        <v>41094</v>
      </c>
      <c r="BE2028" s="355">
        <v>8.7910000000000002E-2</v>
      </c>
      <c r="BF2028" s="624">
        <v>41212</v>
      </c>
      <c r="BG2028" s="355">
        <v>1.8512000000000001E-2</v>
      </c>
      <c r="BH2028" s="624">
        <v>41094</v>
      </c>
      <c r="BI2028" s="355">
        <v>0.107033</v>
      </c>
      <c r="BJ2028" s="624">
        <v>41093</v>
      </c>
      <c r="BK2028" s="355">
        <v>3.1838999999999999E-2</v>
      </c>
    </row>
    <row r="2029" spans="3:63">
      <c r="C2029" s="624"/>
      <c r="D2029" s="355">
        <v>3.0349999999999999E-2</v>
      </c>
      <c r="AV2029" s="624"/>
      <c r="AX2029" s="624">
        <v>41100</v>
      </c>
      <c r="AY2029" s="355">
        <v>3.0370000000000001E-2</v>
      </c>
      <c r="AZ2029" s="624">
        <v>41164</v>
      </c>
      <c r="BA2029" s="355">
        <v>1.0999999999999999E-2</v>
      </c>
      <c r="BB2029" s="624">
        <v>41095</v>
      </c>
      <c r="BC2029" s="355">
        <v>0.29420000000000002</v>
      </c>
      <c r="BD2029" s="624">
        <v>41095</v>
      </c>
      <c r="BE2029" s="355">
        <v>8.8139999999999996E-2</v>
      </c>
      <c r="BF2029" s="624">
        <v>41213</v>
      </c>
      <c r="BG2029" s="355">
        <v>1.8567E-2</v>
      </c>
      <c r="BH2029" s="624">
        <v>41095</v>
      </c>
      <c r="BI2029" s="355">
        <v>0.10661</v>
      </c>
      <c r="BJ2029" s="624">
        <v>41094</v>
      </c>
      <c r="BK2029" s="355">
        <v>3.1756E-2</v>
      </c>
    </row>
    <row r="2030" spans="3:63">
      <c r="C2030" s="624"/>
      <c r="D2030" s="355">
        <v>3.0370000000000001E-2</v>
      </c>
      <c r="AV2030" s="624"/>
      <c r="AX2030" s="624">
        <v>41101</v>
      </c>
      <c r="AY2030" s="355">
        <v>3.057E-2</v>
      </c>
      <c r="AZ2030" s="624">
        <v>41165</v>
      </c>
      <c r="BA2030" s="355">
        <v>1.11E-2</v>
      </c>
      <c r="BB2030" s="624">
        <v>41096</v>
      </c>
      <c r="BC2030" s="355">
        <v>0.28939999999999999</v>
      </c>
      <c r="BD2030" s="624">
        <v>41096</v>
      </c>
      <c r="BE2030" s="355">
        <v>8.7770000000000001E-2</v>
      </c>
      <c r="BF2030" s="624">
        <v>41214</v>
      </c>
      <c r="BG2030" s="355">
        <v>1.8627000000000001E-2</v>
      </c>
      <c r="BH2030" s="624">
        <v>41096</v>
      </c>
      <c r="BI2030" s="355">
        <v>0.10602200000000001</v>
      </c>
      <c r="BJ2030" s="624">
        <v>41095</v>
      </c>
      <c r="BK2030" s="355">
        <v>3.1676000000000003E-2</v>
      </c>
    </row>
    <row r="2031" spans="3:63">
      <c r="C2031" s="624"/>
      <c r="D2031" s="355">
        <v>3.057E-2</v>
      </c>
      <c r="AV2031" s="624"/>
      <c r="AX2031" s="624">
        <v>41102</v>
      </c>
      <c r="AY2031" s="355">
        <v>3.057E-2</v>
      </c>
      <c r="AZ2031" s="624">
        <v>41166</v>
      </c>
      <c r="BA2031" s="355">
        <v>1.1299999999999999E-2</v>
      </c>
      <c r="BB2031" s="624">
        <v>41099</v>
      </c>
      <c r="BC2031" s="355">
        <v>0.29210000000000003</v>
      </c>
      <c r="BD2031" s="624">
        <v>41099</v>
      </c>
      <c r="BE2031" s="355">
        <v>8.7540000000000007E-2</v>
      </c>
      <c r="BF2031" s="624">
        <v>41215</v>
      </c>
      <c r="BG2031" s="355">
        <v>1.8579999999999999E-2</v>
      </c>
      <c r="BH2031" s="624">
        <v>41099</v>
      </c>
      <c r="BI2031" s="355">
        <v>0.106271</v>
      </c>
      <c r="BJ2031" s="624">
        <v>41096</v>
      </c>
      <c r="BK2031" s="355">
        <v>3.1505999999999999E-2</v>
      </c>
    </row>
    <row r="2032" spans="3:63">
      <c r="C2032" s="624"/>
      <c r="D2032" s="355">
        <v>3.057E-2</v>
      </c>
      <c r="AV2032" s="624"/>
      <c r="AX2032" s="624">
        <v>41103</v>
      </c>
      <c r="AY2032" s="355">
        <v>3.074E-2</v>
      </c>
      <c r="AZ2032" s="624">
        <v>41169</v>
      </c>
      <c r="BA2032" s="355">
        <v>1.1299999999999999E-2</v>
      </c>
      <c r="BB2032" s="624">
        <v>41100</v>
      </c>
      <c r="BC2032" s="355">
        <v>0.29260000000000003</v>
      </c>
      <c r="BD2032" s="624">
        <v>41100</v>
      </c>
      <c r="BE2032" s="355">
        <v>8.7739999999999999E-2</v>
      </c>
      <c r="BF2032" s="624">
        <v>41218</v>
      </c>
      <c r="BG2032" s="355">
        <v>1.8327E-2</v>
      </c>
      <c r="BH2032" s="624">
        <v>41100</v>
      </c>
      <c r="BI2032" s="355">
        <v>0.10589899999999999</v>
      </c>
      <c r="BJ2032" s="624">
        <v>41099</v>
      </c>
      <c r="BK2032" s="355">
        <v>3.1525999999999998E-2</v>
      </c>
    </row>
    <row r="2033" spans="3:63">
      <c r="C2033" s="624"/>
      <c r="D2033" s="355">
        <v>3.074E-2</v>
      </c>
      <c r="AV2033" s="624"/>
      <c r="AX2033" s="624">
        <v>41106</v>
      </c>
      <c r="AY2033" s="355">
        <v>3.074E-2</v>
      </c>
      <c r="AZ2033" s="624">
        <v>41170</v>
      </c>
      <c r="BA2033" s="355">
        <v>1.1299999999999999E-2</v>
      </c>
      <c r="BB2033" s="624">
        <v>41101</v>
      </c>
      <c r="BC2033" s="355">
        <v>0.29239999999999999</v>
      </c>
      <c r="BD2033" s="624">
        <v>41101</v>
      </c>
      <c r="BE2033" s="355">
        <v>8.7590000000000001E-2</v>
      </c>
      <c r="BF2033" s="624">
        <v>41219</v>
      </c>
      <c r="BG2033" s="355">
        <v>1.8367000000000001E-2</v>
      </c>
      <c r="BH2033" s="624">
        <v>41101</v>
      </c>
      <c r="BI2033" s="355">
        <v>0.106</v>
      </c>
      <c r="BJ2033" s="624">
        <v>41100</v>
      </c>
      <c r="BK2033" s="355">
        <v>3.1541E-2</v>
      </c>
    </row>
    <row r="2034" spans="3:63">
      <c r="C2034" s="624"/>
      <c r="D2034" s="355">
        <v>3.074E-2</v>
      </c>
      <c r="AV2034" s="624"/>
      <c r="AX2034" s="624">
        <v>41107</v>
      </c>
      <c r="AY2034" s="355">
        <v>3.091E-2</v>
      </c>
      <c r="AZ2034" s="624">
        <v>41171</v>
      </c>
      <c r="BA2034" s="355">
        <v>1.1299999999999999E-2</v>
      </c>
      <c r="BB2034" s="624">
        <v>41102</v>
      </c>
      <c r="BC2034" s="355">
        <v>0.29010000000000002</v>
      </c>
      <c r="BD2034" s="624">
        <v>41102</v>
      </c>
      <c r="BE2034" s="355">
        <v>8.6629999999999999E-2</v>
      </c>
      <c r="BF2034" s="624">
        <v>41220</v>
      </c>
      <c r="BG2034" s="355">
        <v>1.8381000000000002E-2</v>
      </c>
      <c r="BH2034" s="624">
        <v>41102</v>
      </c>
      <c r="BI2034" s="355">
        <v>0.105764</v>
      </c>
      <c r="BJ2034" s="624">
        <v>41101</v>
      </c>
      <c r="BK2034" s="355">
        <v>3.1525999999999998E-2</v>
      </c>
    </row>
    <row r="2035" spans="3:63">
      <c r="C2035" s="624"/>
      <c r="D2035" s="355">
        <v>3.091E-2</v>
      </c>
      <c r="AV2035" s="624"/>
      <c r="AX2035" s="624">
        <v>41108</v>
      </c>
      <c r="AY2035" s="355">
        <v>3.1019999999999999E-2</v>
      </c>
      <c r="AZ2035" s="624">
        <v>41172</v>
      </c>
      <c r="BA2035" s="355">
        <v>1.12E-2</v>
      </c>
      <c r="BB2035" s="624">
        <v>41103</v>
      </c>
      <c r="BC2035" s="355">
        <v>0.29239999999999999</v>
      </c>
      <c r="BD2035" s="624">
        <v>41103</v>
      </c>
      <c r="BE2035" s="355">
        <v>8.7099999999999997E-2</v>
      </c>
      <c r="BF2035" s="624">
        <v>41221</v>
      </c>
      <c r="BG2035" s="355">
        <v>1.8374000000000001E-2</v>
      </c>
      <c r="BH2035" s="624">
        <v>41103</v>
      </c>
      <c r="BI2035" s="355">
        <v>0.10584300000000001</v>
      </c>
      <c r="BJ2035" s="624">
        <v>41102</v>
      </c>
      <c r="BK2035" s="355">
        <v>3.1437E-2</v>
      </c>
    </row>
    <row r="2036" spans="3:63">
      <c r="C2036" s="624"/>
      <c r="D2036" s="355">
        <v>3.1019999999999999E-2</v>
      </c>
      <c r="AV2036" s="624"/>
      <c r="AX2036" s="624">
        <v>41109</v>
      </c>
      <c r="AY2036" s="355">
        <v>3.1370000000000002E-2</v>
      </c>
      <c r="AZ2036" s="624">
        <v>41173</v>
      </c>
      <c r="BA2036" s="355">
        <v>1.12E-2</v>
      </c>
      <c r="BB2036" s="624">
        <v>41106</v>
      </c>
      <c r="BC2036" s="355">
        <v>0.29289999999999999</v>
      </c>
      <c r="BD2036" s="624">
        <v>41106</v>
      </c>
      <c r="BE2036" s="355">
        <v>8.7309999999999999E-2</v>
      </c>
      <c r="BF2036" s="624">
        <v>41222</v>
      </c>
      <c r="BG2036" s="355">
        <v>1.8290000000000001E-2</v>
      </c>
      <c r="BH2036" s="624">
        <v>41106</v>
      </c>
      <c r="BI2036" s="355">
        <v>0.105821</v>
      </c>
      <c r="BJ2036" s="624">
        <v>41103</v>
      </c>
      <c r="BK2036" s="355">
        <v>3.1676000000000003E-2</v>
      </c>
    </row>
    <row r="2037" spans="3:63">
      <c r="C2037" s="624"/>
      <c r="D2037" s="355">
        <v>3.1370000000000002E-2</v>
      </c>
      <c r="AV2037" s="624"/>
      <c r="AX2037" s="624">
        <v>41110</v>
      </c>
      <c r="AY2037" s="355">
        <v>3.125E-2</v>
      </c>
      <c r="AZ2037" s="624">
        <v>41176</v>
      </c>
      <c r="BA2037" s="355">
        <v>1.12E-2</v>
      </c>
      <c r="BB2037" s="624">
        <v>41107</v>
      </c>
      <c r="BC2037" s="355">
        <v>0.29530000000000001</v>
      </c>
      <c r="BD2037" s="624">
        <v>41107</v>
      </c>
      <c r="BE2037" s="355">
        <v>8.7389999999999995E-2</v>
      </c>
      <c r="BF2037" s="624">
        <v>41225</v>
      </c>
      <c r="BG2037" s="355">
        <v>1.8193000000000001E-2</v>
      </c>
      <c r="BH2037" s="624">
        <v>41107</v>
      </c>
      <c r="BI2037" s="355">
        <v>0.106033</v>
      </c>
      <c r="BJ2037" s="624">
        <v>41106</v>
      </c>
      <c r="BK2037" s="355">
        <v>3.1666E-2</v>
      </c>
    </row>
    <row r="2038" spans="3:63">
      <c r="C2038" s="624"/>
      <c r="D2038" s="355">
        <v>3.125E-2</v>
      </c>
      <c r="AV2038" s="624"/>
      <c r="AX2038" s="624">
        <v>41113</v>
      </c>
      <c r="AY2038" s="355">
        <v>3.0679999999999999E-2</v>
      </c>
      <c r="AZ2038" s="624">
        <v>41177</v>
      </c>
      <c r="BA2038" s="355">
        <v>1.12E-2</v>
      </c>
      <c r="BB2038" s="624">
        <v>41108</v>
      </c>
      <c r="BC2038" s="355">
        <v>0.29459999999999997</v>
      </c>
      <c r="BD2038" s="624">
        <v>41108</v>
      </c>
      <c r="BE2038" s="355">
        <v>8.7569999999999995E-2</v>
      </c>
      <c r="BF2038" s="624">
        <v>41227</v>
      </c>
      <c r="BG2038" s="355">
        <v>1.8186999999999998E-2</v>
      </c>
      <c r="BH2038" s="624">
        <v>41108</v>
      </c>
      <c r="BI2038" s="355">
        <v>0.105821</v>
      </c>
      <c r="BJ2038" s="624">
        <v>41107</v>
      </c>
      <c r="BK2038" s="355">
        <v>3.1626000000000001E-2</v>
      </c>
    </row>
    <row r="2039" spans="3:63">
      <c r="C2039" s="624"/>
      <c r="D2039" s="355">
        <v>3.0679999999999999E-2</v>
      </c>
      <c r="AV2039" s="624"/>
      <c r="AX2039" s="624">
        <v>41114</v>
      </c>
      <c r="AY2039" s="355">
        <v>3.0300000000000001E-2</v>
      </c>
      <c r="AZ2039" s="624">
        <v>41178</v>
      </c>
      <c r="BA2039" s="355">
        <v>1.12E-2</v>
      </c>
      <c r="BB2039" s="624">
        <v>41109</v>
      </c>
      <c r="BC2039" s="355">
        <v>0.29609999999999997</v>
      </c>
      <c r="BD2039" s="624">
        <v>41109</v>
      </c>
      <c r="BE2039" s="355">
        <v>8.7849999999999998E-2</v>
      </c>
      <c r="BF2039" s="624">
        <v>41228</v>
      </c>
      <c r="BG2039" s="355">
        <v>1.822E-2</v>
      </c>
      <c r="BH2039" s="624">
        <v>41109</v>
      </c>
      <c r="BI2039" s="355">
        <v>0.10584300000000001</v>
      </c>
      <c r="BJ2039" s="624">
        <v>41108</v>
      </c>
      <c r="BK2039" s="355">
        <v>3.1565999999999997E-2</v>
      </c>
    </row>
    <row r="2040" spans="3:63">
      <c r="C2040" s="624"/>
      <c r="D2040" s="355">
        <v>3.0300000000000001E-2</v>
      </c>
      <c r="AV2040" s="624"/>
      <c r="AX2040" s="624">
        <v>41115</v>
      </c>
      <c r="AY2040" s="355">
        <v>3.0609999999999998E-2</v>
      </c>
      <c r="AZ2040" s="624">
        <v>41179</v>
      </c>
      <c r="BA2040" s="355">
        <v>1.12E-2</v>
      </c>
      <c r="BB2040" s="624">
        <v>41110</v>
      </c>
      <c r="BC2040" s="355">
        <v>0.29199999999999998</v>
      </c>
      <c r="BD2040" s="624">
        <v>41110</v>
      </c>
      <c r="BE2040" s="355">
        <v>8.7569999999999995E-2</v>
      </c>
      <c r="BF2040" s="624">
        <v>41229</v>
      </c>
      <c r="BG2040" s="355">
        <v>1.8098E-2</v>
      </c>
      <c r="BH2040" s="624">
        <v>41110</v>
      </c>
      <c r="BI2040" s="355">
        <v>0.105708</v>
      </c>
      <c r="BJ2040" s="624">
        <v>41109</v>
      </c>
      <c r="BK2040" s="355">
        <v>3.1615999999999998E-2</v>
      </c>
    </row>
    <row r="2041" spans="3:63">
      <c r="C2041" s="624"/>
      <c r="D2041" s="355">
        <v>3.0609999999999998E-2</v>
      </c>
      <c r="AV2041" s="624"/>
      <c r="AX2041" s="624">
        <v>41116</v>
      </c>
      <c r="AY2041" s="355">
        <v>3.0949999999999998E-2</v>
      </c>
      <c r="AZ2041" s="624">
        <v>41180</v>
      </c>
      <c r="BA2041" s="355">
        <v>1.12E-2</v>
      </c>
      <c r="BB2041" s="624">
        <v>41113</v>
      </c>
      <c r="BC2041" s="355">
        <v>0.2883</v>
      </c>
      <c r="BD2041" s="624">
        <v>41113</v>
      </c>
      <c r="BE2041" s="355">
        <v>8.6989999999999998E-2</v>
      </c>
      <c r="BF2041" s="624">
        <v>41232</v>
      </c>
      <c r="BG2041" s="355">
        <v>1.8225000000000002E-2</v>
      </c>
      <c r="BH2041" s="624">
        <v>41113</v>
      </c>
      <c r="BI2041" s="355">
        <v>0.105452</v>
      </c>
      <c r="BJ2041" s="624">
        <v>41110</v>
      </c>
      <c r="BK2041" s="355">
        <v>3.1586000000000003E-2</v>
      </c>
    </row>
    <row r="2042" spans="3:63">
      <c r="C2042" s="624"/>
      <c r="D2042" s="355">
        <v>3.0949999999999998E-2</v>
      </c>
      <c r="AV2042" s="624"/>
      <c r="AX2042" s="624">
        <v>41117</v>
      </c>
      <c r="AY2042" s="355">
        <v>3.1230000000000001E-2</v>
      </c>
      <c r="AZ2042" s="624">
        <v>41183</v>
      </c>
      <c r="BA2042" s="355">
        <v>1.12E-2</v>
      </c>
      <c r="BB2042" s="624">
        <v>41114</v>
      </c>
      <c r="BC2042" s="355">
        <v>0.28599999999999998</v>
      </c>
      <c r="BD2042" s="624">
        <v>41114</v>
      </c>
      <c r="BE2042" s="355">
        <v>8.6989999999999998E-2</v>
      </c>
      <c r="BF2042" s="624">
        <v>41233</v>
      </c>
      <c r="BG2042" s="355">
        <v>1.8137E-2</v>
      </c>
      <c r="BH2042" s="624">
        <v>41114</v>
      </c>
      <c r="BI2042" s="355">
        <v>0.10562000000000001</v>
      </c>
      <c r="BJ2042" s="624">
        <v>41113</v>
      </c>
      <c r="BK2042" s="355">
        <v>3.1501000000000001E-2</v>
      </c>
    </row>
    <row r="2043" spans="3:63">
      <c r="C2043" s="624"/>
      <c r="D2043" s="355">
        <v>3.1230000000000001E-2</v>
      </c>
      <c r="AV2043" s="624"/>
      <c r="AX2043" s="624">
        <v>41120</v>
      </c>
      <c r="AY2043" s="355">
        <v>3.1029999999999999E-2</v>
      </c>
      <c r="AZ2043" s="624">
        <v>41184</v>
      </c>
      <c r="BA2043" s="355">
        <v>1.11E-2</v>
      </c>
      <c r="BB2043" s="624">
        <v>41115</v>
      </c>
      <c r="BC2043" s="355">
        <v>0.29070000000000001</v>
      </c>
      <c r="BD2043" s="624">
        <v>41115</v>
      </c>
      <c r="BE2043" s="355">
        <v>8.7059999999999998E-2</v>
      </c>
      <c r="BF2043" s="624">
        <v>41234</v>
      </c>
      <c r="BG2043" s="355">
        <v>1.8137E-2</v>
      </c>
      <c r="BH2043" s="624">
        <v>41115</v>
      </c>
      <c r="BI2043" s="355">
        <v>0.10545300000000001</v>
      </c>
      <c r="BJ2043" s="624">
        <v>41114</v>
      </c>
      <c r="BK2043" s="355">
        <v>3.1461000000000003E-2</v>
      </c>
    </row>
    <row r="2044" spans="3:63">
      <c r="C2044" s="624"/>
      <c r="D2044" s="355">
        <v>3.1029999999999999E-2</v>
      </c>
      <c r="AV2044" s="624"/>
      <c r="AX2044" s="624">
        <v>41121</v>
      </c>
      <c r="AY2044" s="355">
        <v>3.1019999999999999E-2</v>
      </c>
      <c r="AZ2044" s="624">
        <v>41185</v>
      </c>
      <c r="BA2044" s="355">
        <v>1.12E-2</v>
      </c>
      <c r="BB2044" s="624">
        <v>41116</v>
      </c>
      <c r="BC2044" s="355">
        <v>0.29699999999999999</v>
      </c>
      <c r="BD2044" s="624">
        <v>41116</v>
      </c>
      <c r="BE2044" s="355">
        <v>8.7370000000000003E-2</v>
      </c>
      <c r="BF2044" s="624">
        <v>41235</v>
      </c>
      <c r="BG2044" s="355">
        <v>1.8109E-2</v>
      </c>
      <c r="BH2044" s="624">
        <v>41116</v>
      </c>
      <c r="BI2044" s="355">
        <v>0.105508</v>
      </c>
      <c r="BJ2044" s="624">
        <v>41115</v>
      </c>
      <c r="BK2044" s="355">
        <v>3.1626000000000001E-2</v>
      </c>
    </row>
    <row r="2045" spans="3:63">
      <c r="C2045" s="624"/>
      <c r="D2045" s="355">
        <v>3.1019999999999999E-2</v>
      </c>
      <c r="AV2045" s="624"/>
      <c r="AX2045" s="624">
        <v>41122</v>
      </c>
      <c r="AY2045" s="355">
        <v>3.0800000000000001E-2</v>
      </c>
      <c r="AZ2045" s="624">
        <v>41186</v>
      </c>
      <c r="BA2045" s="355">
        <v>1.1299999999999999E-2</v>
      </c>
      <c r="BB2045" s="624">
        <v>41117</v>
      </c>
      <c r="BC2045" s="355">
        <v>0.29830000000000001</v>
      </c>
      <c r="BD2045" s="624">
        <v>41117</v>
      </c>
      <c r="BE2045" s="355">
        <v>8.7900000000000006E-2</v>
      </c>
      <c r="BF2045" s="624">
        <v>41236</v>
      </c>
      <c r="BG2045" s="355">
        <v>1.8051999999999999E-2</v>
      </c>
      <c r="BH2045" s="624">
        <v>41117</v>
      </c>
      <c r="BI2045" s="355">
        <v>0.105765</v>
      </c>
      <c r="BJ2045" s="624">
        <v>41116</v>
      </c>
      <c r="BK2045" s="355">
        <v>3.1676000000000003E-2</v>
      </c>
    </row>
    <row r="2046" spans="3:63">
      <c r="C2046" s="624"/>
      <c r="D2046" s="355">
        <v>3.0800000000000001E-2</v>
      </c>
      <c r="AV2046" s="624"/>
      <c r="AX2046" s="624">
        <v>41123</v>
      </c>
      <c r="AY2046" s="355">
        <v>3.0640000000000001E-2</v>
      </c>
      <c r="AZ2046" s="624">
        <v>41187</v>
      </c>
      <c r="BA2046" s="355">
        <v>1.1299999999999999E-2</v>
      </c>
      <c r="BB2046" s="624">
        <v>41120</v>
      </c>
      <c r="BC2046" s="355">
        <v>0.29759999999999998</v>
      </c>
      <c r="BD2046" s="624">
        <v>41120</v>
      </c>
      <c r="BE2046" s="355">
        <v>8.7970000000000007E-2</v>
      </c>
      <c r="BF2046" s="624">
        <v>41239</v>
      </c>
      <c r="BG2046" s="355">
        <v>1.8006999999999999E-2</v>
      </c>
      <c r="BH2046" s="624">
        <v>41120</v>
      </c>
      <c r="BI2046" s="355">
        <v>0.105765</v>
      </c>
      <c r="BJ2046" s="624">
        <v>41117</v>
      </c>
      <c r="BK2046" s="355">
        <v>3.1725999999999997E-2</v>
      </c>
    </row>
    <row r="2047" spans="3:63">
      <c r="C2047" s="624"/>
      <c r="D2047" s="355">
        <v>3.0640000000000001E-2</v>
      </c>
      <c r="AV2047" s="624"/>
      <c r="AX2047" s="624">
        <v>41124</v>
      </c>
      <c r="AY2047" s="355">
        <v>3.1269999999999999E-2</v>
      </c>
      <c r="AZ2047" s="624">
        <v>41190</v>
      </c>
      <c r="BA2047" s="355">
        <v>1.1299999999999999E-2</v>
      </c>
      <c r="BB2047" s="624">
        <v>41121</v>
      </c>
      <c r="BC2047" s="355">
        <v>0.29899999999999999</v>
      </c>
      <c r="BD2047" s="624">
        <v>41121</v>
      </c>
      <c r="BE2047" s="355">
        <v>8.8480000000000003E-2</v>
      </c>
      <c r="BF2047" s="624">
        <v>41240</v>
      </c>
      <c r="BG2047" s="355">
        <v>1.8027999999999999E-2</v>
      </c>
      <c r="BH2047" s="624">
        <v>41121</v>
      </c>
      <c r="BI2047" s="355">
        <v>0.105988</v>
      </c>
      <c r="BJ2047" s="624">
        <v>41120</v>
      </c>
      <c r="BK2047" s="355">
        <v>3.1661000000000002E-2</v>
      </c>
    </row>
    <row r="2048" spans="3:63">
      <c r="C2048" s="624"/>
      <c r="D2048" s="355">
        <v>3.1269999999999999E-2</v>
      </c>
      <c r="AV2048" s="624"/>
      <c r="AX2048" s="624">
        <v>41127</v>
      </c>
      <c r="AY2048" s="355">
        <v>3.1699999999999999E-2</v>
      </c>
      <c r="AZ2048" s="624">
        <v>41191</v>
      </c>
      <c r="BA2048" s="355">
        <v>1.12E-2</v>
      </c>
      <c r="BB2048" s="624">
        <v>41122</v>
      </c>
      <c r="BC2048" s="355">
        <v>0.29780000000000001</v>
      </c>
      <c r="BD2048" s="624">
        <v>41122</v>
      </c>
      <c r="BE2048" s="355">
        <v>8.8679999999999995E-2</v>
      </c>
      <c r="BF2048" s="624">
        <v>41242</v>
      </c>
      <c r="BG2048" s="355">
        <v>1.8304999999999998E-2</v>
      </c>
      <c r="BH2048" s="624">
        <v>41122</v>
      </c>
      <c r="BI2048" s="355">
        <v>0.10589899999999999</v>
      </c>
      <c r="BJ2048" s="624">
        <v>41121</v>
      </c>
      <c r="BK2048" s="355">
        <v>3.1725999999999997E-2</v>
      </c>
    </row>
    <row r="2049" spans="3:63">
      <c r="C2049" s="624"/>
      <c r="D2049" s="355">
        <v>3.1699999999999999E-2</v>
      </c>
      <c r="AV2049" s="624"/>
      <c r="AX2049" s="624">
        <v>41128</v>
      </c>
      <c r="AY2049" s="355">
        <v>3.168E-2</v>
      </c>
      <c r="AZ2049" s="624">
        <v>41192</v>
      </c>
      <c r="BA2049" s="355">
        <v>1.1299999999999999E-2</v>
      </c>
      <c r="BB2049" s="624">
        <v>41123</v>
      </c>
      <c r="BC2049" s="355">
        <v>0.29580000000000001</v>
      </c>
      <c r="BD2049" s="624">
        <v>41123</v>
      </c>
      <c r="BE2049" s="355">
        <v>8.8279999999999997E-2</v>
      </c>
      <c r="BF2049" s="624">
        <v>41243</v>
      </c>
      <c r="BG2049" s="355">
        <v>1.8384999999999999E-2</v>
      </c>
      <c r="BH2049" s="624">
        <v>41123</v>
      </c>
      <c r="BI2049" s="355">
        <v>0.10573100000000001</v>
      </c>
      <c r="BJ2049" s="624">
        <v>41122</v>
      </c>
      <c r="BK2049" s="355">
        <v>3.1676000000000003E-2</v>
      </c>
    </row>
    <row r="2050" spans="3:63">
      <c r="C2050" s="624"/>
      <c r="D2050" s="355">
        <v>3.168E-2</v>
      </c>
      <c r="AV2050" s="624"/>
      <c r="AX2050" s="624">
        <v>41129</v>
      </c>
      <c r="AY2050" s="355">
        <v>3.1710000000000002E-2</v>
      </c>
      <c r="AZ2050" s="624">
        <v>41193</v>
      </c>
      <c r="BA2050" s="355">
        <v>1.14E-2</v>
      </c>
      <c r="BB2050" s="624">
        <v>41124</v>
      </c>
      <c r="BC2050" s="355">
        <v>0.30480000000000002</v>
      </c>
      <c r="BD2050" s="624">
        <v>41124</v>
      </c>
      <c r="BE2050" s="355">
        <v>8.8209999999999997E-2</v>
      </c>
      <c r="BF2050" s="624">
        <v>41246</v>
      </c>
      <c r="BG2050" s="355">
        <v>1.8301999999999999E-2</v>
      </c>
      <c r="BH2050" s="624">
        <v>41124</v>
      </c>
      <c r="BI2050" s="355">
        <v>0.105585</v>
      </c>
      <c r="BJ2050" s="624">
        <v>41123</v>
      </c>
      <c r="BK2050" s="355">
        <v>3.1628999999999997E-2</v>
      </c>
    </row>
    <row r="2051" spans="3:63">
      <c r="C2051" s="624"/>
      <c r="D2051" s="355">
        <v>3.1710000000000002E-2</v>
      </c>
      <c r="AV2051" s="624"/>
      <c r="AX2051" s="624">
        <v>41130</v>
      </c>
      <c r="AY2051" s="355">
        <v>3.1579999999999997E-2</v>
      </c>
      <c r="AZ2051" s="624">
        <v>41194</v>
      </c>
      <c r="BA2051" s="355">
        <v>1.1599999999999999E-2</v>
      </c>
      <c r="BB2051" s="624">
        <v>41127</v>
      </c>
      <c r="BC2051" s="355">
        <v>0.307</v>
      </c>
      <c r="BD2051" s="624">
        <v>41127</v>
      </c>
      <c r="BE2051" s="355">
        <v>8.8669999999999999E-2</v>
      </c>
      <c r="BF2051" s="624">
        <v>41247</v>
      </c>
      <c r="BG2051" s="355">
        <v>1.8275E-2</v>
      </c>
      <c r="BH2051" s="624">
        <v>41127</v>
      </c>
      <c r="BI2051" s="355">
        <v>0.105653</v>
      </c>
      <c r="BJ2051" s="624">
        <v>41124</v>
      </c>
      <c r="BK2051" s="355">
        <v>3.1771000000000001E-2</v>
      </c>
    </row>
    <row r="2052" spans="3:63">
      <c r="C2052" s="624"/>
      <c r="D2052" s="355">
        <v>3.1579999999999997E-2</v>
      </c>
      <c r="AV2052" s="624"/>
      <c r="AX2052" s="624">
        <v>41131</v>
      </c>
      <c r="AY2052" s="355">
        <v>3.141E-2</v>
      </c>
      <c r="AZ2052" s="624">
        <v>41197</v>
      </c>
      <c r="BA2052" s="355">
        <v>1.17E-2</v>
      </c>
      <c r="BB2052" s="624">
        <v>41128</v>
      </c>
      <c r="BC2052" s="355">
        <v>0.30420000000000003</v>
      </c>
      <c r="BD2052" s="624">
        <v>41128</v>
      </c>
      <c r="BE2052" s="355">
        <v>8.8609999999999994E-2</v>
      </c>
      <c r="BF2052" s="624">
        <v>41248</v>
      </c>
      <c r="BG2052" s="355">
        <v>1.8322999999999999E-2</v>
      </c>
      <c r="BH2052" s="624">
        <v>41128</v>
      </c>
      <c r="BI2052" s="355">
        <v>0.10562000000000001</v>
      </c>
      <c r="BJ2052" s="624">
        <v>41127</v>
      </c>
      <c r="BK2052" s="355">
        <v>3.1799000000000001E-2</v>
      </c>
    </row>
    <row r="2053" spans="3:63">
      <c r="C2053" s="624"/>
      <c r="D2053" s="355">
        <v>3.141E-2</v>
      </c>
      <c r="AV2053" s="624"/>
      <c r="AX2053" s="624">
        <v>41134</v>
      </c>
      <c r="AY2053" s="355">
        <v>3.1440000000000003E-2</v>
      </c>
      <c r="AZ2053" s="624">
        <v>41198</v>
      </c>
      <c r="BA2053" s="355">
        <v>1.17E-2</v>
      </c>
      <c r="BB2053" s="624">
        <v>41129</v>
      </c>
      <c r="BC2053" s="355">
        <v>0.30409999999999998</v>
      </c>
      <c r="BD2053" s="624">
        <v>41129</v>
      </c>
      <c r="BE2053" s="355">
        <v>8.8550000000000004E-2</v>
      </c>
      <c r="BF2053" s="624">
        <v>41249</v>
      </c>
      <c r="BG2053" s="355">
        <v>1.8412999999999999E-2</v>
      </c>
      <c r="BH2053" s="624">
        <v>41129</v>
      </c>
      <c r="BI2053" s="355">
        <v>0.105563</v>
      </c>
      <c r="BJ2053" s="624">
        <v>41128</v>
      </c>
      <c r="BK2053" s="355">
        <v>3.1746000000000003E-2</v>
      </c>
    </row>
    <row r="2054" spans="3:63">
      <c r="C2054" s="624"/>
      <c r="D2054" s="355">
        <v>3.1440000000000003E-2</v>
      </c>
      <c r="AV2054" s="624"/>
      <c r="AX2054" s="624">
        <v>41135</v>
      </c>
      <c r="AY2054" s="355">
        <v>3.1379999999999998E-2</v>
      </c>
      <c r="AZ2054" s="624">
        <v>41199</v>
      </c>
      <c r="BA2054" s="355">
        <v>1.1599999999999999E-2</v>
      </c>
      <c r="BB2054" s="624">
        <v>41130</v>
      </c>
      <c r="BC2054" s="355">
        <v>0.30349999999999999</v>
      </c>
      <c r="BD2054" s="624">
        <v>41130</v>
      </c>
      <c r="BE2054" s="355">
        <v>8.8719999999999993E-2</v>
      </c>
      <c r="BF2054" s="624">
        <v>41250</v>
      </c>
      <c r="BG2054" s="355">
        <v>1.8415000000000001E-2</v>
      </c>
      <c r="BH2054" s="624">
        <v>41130</v>
      </c>
      <c r="BI2054" s="355">
        <v>0.105575</v>
      </c>
      <c r="BJ2054" s="624">
        <v>41129</v>
      </c>
      <c r="BK2054" s="355">
        <v>3.1766000000000003E-2</v>
      </c>
    </row>
    <row r="2055" spans="3:63">
      <c r="C2055" s="624"/>
      <c r="D2055" s="355">
        <v>3.1379999999999998E-2</v>
      </c>
      <c r="AV2055" s="624"/>
      <c r="AX2055" s="624">
        <v>41136</v>
      </c>
      <c r="AY2055" s="355">
        <v>3.1379999999999998E-2</v>
      </c>
      <c r="AZ2055" s="624">
        <v>41200</v>
      </c>
      <c r="BA2055" s="355">
        <v>1.15E-2</v>
      </c>
      <c r="BB2055" s="624">
        <v>41131</v>
      </c>
      <c r="BC2055" s="355">
        <v>0.30170000000000002</v>
      </c>
      <c r="BD2055" s="624">
        <v>41131</v>
      </c>
      <c r="BE2055" s="355">
        <v>8.8440000000000005E-2</v>
      </c>
      <c r="BF2055" s="624">
        <v>41253</v>
      </c>
      <c r="BG2055" s="355">
        <v>1.8379E-2</v>
      </c>
      <c r="BH2055" s="624">
        <v>41131</v>
      </c>
      <c r="BI2055" s="355">
        <v>0.105508</v>
      </c>
      <c r="BJ2055" s="624">
        <v>41130</v>
      </c>
      <c r="BK2055" s="355">
        <v>3.1766000000000003E-2</v>
      </c>
    </row>
    <row r="2056" spans="3:63">
      <c r="C2056" s="624"/>
      <c r="D2056" s="355">
        <v>3.1379999999999998E-2</v>
      </c>
      <c r="AV2056" s="624"/>
      <c r="AX2056" s="624">
        <v>41137</v>
      </c>
      <c r="AY2056" s="355">
        <v>3.1390000000000001E-2</v>
      </c>
      <c r="AZ2056" s="624">
        <v>41201</v>
      </c>
      <c r="BA2056" s="355">
        <v>1.15E-2</v>
      </c>
      <c r="BB2056" s="624">
        <v>41134</v>
      </c>
      <c r="BC2056" s="355">
        <v>0.3019</v>
      </c>
      <c r="BD2056" s="624">
        <v>41134</v>
      </c>
      <c r="BE2056" s="355">
        <v>8.8529999999999998E-2</v>
      </c>
      <c r="BF2056" s="624">
        <v>41254</v>
      </c>
      <c r="BG2056" s="355">
        <v>1.8414E-2</v>
      </c>
      <c r="BH2056" s="624">
        <v>41134</v>
      </c>
      <c r="BI2056" s="355">
        <v>0.105308</v>
      </c>
      <c r="BJ2056" s="624">
        <v>41131</v>
      </c>
      <c r="BK2056" s="355">
        <v>3.1794000000000003E-2</v>
      </c>
    </row>
    <row r="2057" spans="3:63">
      <c r="C2057" s="624"/>
      <c r="D2057" s="355">
        <v>3.1390000000000001E-2</v>
      </c>
      <c r="AV2057" s="624"/>
      <c r="AX2057" s="624">
        <v>41138</v>
      </c>
      <c r="AY2057" s="355">
        <v>3.1230000000000001E-2</v>
      </c>
      <c r="AZ2057" s="624">
        <v>41204</v>
      </c>
      <c r="BA2057" s="355">
        <v>1.1599999999999999E-2</v>
      </c>
      <c r="BB2057" s="624">
        <v>41135</v>
      </c>
      <c r="BC2057" s="355">
        <v>0.30159999999999998</v>
      </c>
      <c r="BD2057" s="624">
        <v>41135</v>
      </c>
      <c r="BE2057" s="355">
        <v>8.8480000000000003E-2</v>
      </c>
      <c r="BF2057" s="624">
        <v>41255</v>
      </c>
      <c r="BG2057" s="355">
        <v>1.8435E-2</v>
      </c>
      <c r="BH2057" s="624">
        <v>41135</v>
      </c>
      <c r="BI2057" s="355">
        <v>0.10545300000000001</v>
      </c>
      <c r="BJ2057" s="624">
        <v>41134</v>
      </c>
      <c r="BK2057" s="355">
        <v>3.1796999999999999E-2</v>
      </c>
    </row>
    <row r="2058" spans="3:63">
      <c r="C2058" s="624"/>
      <c r="D2058" s="355">
        <v>3.1230000000000001E-2</v>
      </c>
      <c r="AV2058" s="624"/>
      <c r="AX2058" s="624">
        <v>41141</v>
      </c>
      <c r="AY2058" s="355">
        <v>3.1189999999999999E-2</v>
      </c>
      <c r="AZ2058" s="624">
        <v>41205</v>
      </c>
      <c r="BA2058" s="355">
        <v>1.15E-2</v>
      </c>
      <c r="BB2058" s="624">
        <v>41136</v>
      </c>
      <c r="BC2058" s="355">
        <v>0.30130000000000001</v>
      </c>
      <c r="BD2058" s="624">
        <v>41136</v>
      </c>
      <c r="BE2058" s="355">
        <v>8.8370000000000004E-2</v>
      </c>
      <c r="BF2058" s="624">
        <v>41256</v>
      </c>
      <c r="BG2058" s="355">
        <v>1.8346999999999999E-2</v>
      </c>
      <c r="BH2058" s="624">
        <v>41136</v>
      </c>
      <c r="BI2058" s="355">
        <v>0.105263</v>
      </c>
      <c r="BJ2058" s="624">
        <v>41135</v>
      </c>
      <c r="BK2058" s="355">
        <v>3.1775999999999999E-2</v>
      </c>
    </row>
    <row r="2059" spans="3:63">
      <c r="C2059" s="624"/>
      <c r="D2059" s="355">
        <v>3.1189999999999999E-2</v>
      </c>
      <c r="AV2059" s="624"/>
      <c r="AX2059" s="624">
        <v>41142</v>
      </c>
      <c r="AY2059" s="355">
        <v>3.1419999999999997E-2</v>
      </c>
      <c r="AZ2059" s="624">
        <v>41206</v>
      </c>
      <c r="BA2059" s="355">
        <v>1.14E-2</v>
      </c>
      <c r="BB2059" s="624">
        <v>41137</v>
      </c>
      <c r="BC2059" s="355">
        <v>0.30459999999999998</v>
      </c>
      <c r="BD2059" s="624">
        <v>41137</v>
      </c>
      <c r="BE2059" s="355">
        <v>8.8220000000000007E-2</v>
      </c>
      <c r="BF2059" s="624">
        <v>41257</v>
      </c>
      <c r="BG2059" s="355">
        <v>1.8360000000000001E-2</v>
      </c>
      <c r="BH2059" s="624">
        <v>41137</v>
      </c>
      <c r="BI2059" s="355">
        <v>0.105375</v>
      </c>
      <c r="BJ2059" s="624">
        <v>41136</v>
      </c>
      <c r="BK2059" s="355">
        <v>3.1747999999999998E-2</v>
      </c>
    </row>
    <row r="2060" spans="3:63">
      <c r="C2060" s="624"/>
      <c r="D2060" s="355">
        <v>3.1419999999999997E-2</v>
      </c>
      <c r="AV2060" s="624"/>
      <c r="AX2060" s="624">
        <v>41143</v>
      </c>
      <c r="AY2060" s="355">
        <v>3.1419999999999997E-2</v>
      </c>
      <c r="AZ2060" s="624">
        <v>41207</v>
      </c>
      <c r="BA2060" s="355">
        <v>1.1299999999999999E-2</v>
      </c>
      <c r="BB2060" s="624">
        <v>41138</v>
      </c>
      <c r="BC2060" s="355">
        <v>0.30330000000000001</v>
      </c>
      <c r="BD2060" s="624">
        <v>41138</v>
      </c>
      <c r="BE2060" s="355">
        <v>8.813E-2</v>
      </c>
      <c r="BF2060" s="624">
        <v>41260</v>
      </c>
      <c r="BG2060" s="355">
        <v>1.8252999999999998E-2</v>
      </c>
      <c r="BH2060" s="624">
        <v>41138</v>
      </c>
      <c r="BI2060" s="355">
        <v>0.105508</v>
      </c>
      <c r="BJ2060" s="624">
        <v>41137</v>
      </c>
      <c r="BK2060" s="355">
        <v>3.1780999999999997E-2</v>
      </c>
    </row>
    <row r="2061" spans="3:63">
      <c r="C2061" s="624"/>
      <c r="D2061" s="355">
        <v>3.1419999999999997E-2</v>
      </c>
      <c r="AV2061" s="624"/>
      <c r="AX2061" s="624">
        <v>41144</v>
      </c>
      <c r="AY2061" s="355">
        <v>3.1460000000000002E-2</v>
      </c>
      <c r="AZ2061" s="624">
        <v>41208</v>
      </c>
      <c r="BA2061" s="355">
        <v>1.1299999999999999E-2</v>
      </c>
      <c r="BB2061" s="624">
        <v>41141</v>
      </c>
      <c r="BC2061" s="355">
        <v>0.3034</v>
      </c>
      <c r="BD2061" s="624">
        <v>41141</v>
      </c>
      <c r="BE2061" s="355">
        <v>8.8069999999999996E-2</v>
      </c>
      <c r="BF2061" s="624">
        <v>41261</v>
      </c>
      <c r="BG2061" s="355">
        <v>1.8192E-2</v>
      </c>
      <c r="BH2061" s="624">
        <v>41141</v>
      </c>
      <c r="BI2061" s="355">
        <v>0.105141</v>
      </c>
      <c r="BJ2061" s="624">
        <v>41138</v>
      </c>
      <c r="BK2061" s="355">
        <v>3.1736E-2</v>
      </c>
    </row>
    <row r="2062" spans="3:63">
      <c r="C2062" s="624"/>
      <c r="D2062" s="355">
        <v>3.1460000000000002E-2</v>
      </c>
      <c r="AV2062" s="624"/>
      <c r="AX2062" s="624">
        <v>41145</v>
      </c>
      <c r="AY2062" s="355">
        <v>3.1390000000000001E-2</v>
      </c>
      <c r="AZ2062" s="624">
        <v>41211</v>
      </c>
      <c r="BA2062" s="355">
        <v>1.1299999999999999E-2</v>
      </c>
      <c r="BB2062" s="624">
        <v>41142</v>
      </c>
      <c r="BC2062" s="355">
        <v>0.30599999999999999</v>
      </c>
      <c r="BD2062" s="624">
        <v>41142</v>
      </c>
      <c r="BE2062" s="355">
        <v>8.838E-2</v>
      </c>
      <c r="BF2062" s="624">
        <v>41262</v>
      </c>
      <c r="BG2062" s="355">
        <v>1.8290000000000001E-2</v>
      </c>
      <c r="BH2062" s="624">
        <v>41142</v>
      </c>
      <c r="BI2062" s="355">
        <v>0.105291</v>
      </c>
      <c r="BJ2062" s="624">
        <v>41141</v>
      </c>
      <c r="BK2062" s="355">
        <v>3.1746000000000003E-2</v>
      </c>
    </row>
    <row r="2063" spans="3:63">
      <c r="C2063" s="624"/>
      <c r="D2063" s="355">
        <v>3.1390000000000001E-2</v>
      </c>
      <c r="AV2063" s="624"/>
      <c r="AX2063" s="624">
        <v>41148</v>
      </c>
      <c r="AY2063" s="355">
        <v>3.1370000000000002E-2</v>
      </c>
      <c r="AZ2063" s="624">
        <v>41212</v>
      </c>
      <c r="BA2063" s="355">
        <v>1.15E-2</v>
      </c>
      <c r="BB2063" s="624">
        <v>41143</v>
      </c>
      <c r="BC2063" s="355">
        <v>0.30740000000000001</v>
      </c>
      <c r="BD2063" s="624">
        <v>41143</v>
      </c>
      <c r="BE2063" s="355">
        <v>8.8400000000000006E-2</v>
      </c>
      <c r="BF2063" s="624">
        <v>41263</v>
      </c>
      <c r="BG2063" s="355">
        <v>1.822E-2</v>
      </c>
      <c r="BH2063" s="624">
        <v>41143</v>
      </c>
      <c r="BI2063" s="355">
        <v>0.105208</v>
      </c>
      <c r="BJ2063" s="624">
        <v>41142</v>
      </c>
      <c r="BK2063" s="355">
        <v>3.1847E-2</v>
      </c>
    </row>
    <row r="2064" spans="3:63">
      <c r="C2064" s="624"/>
      <c r="D2064" s="355">
        <v>3.1370000000000002E-2</v>
      </c>
      <c r="AV2064" s="624"/>
      <c r="AX2064" s="624">
        <v>41149</v>
      </c>
      <c r="AY2064" s="355">
        <v>3.1260000000000003E-2</v>
      </c>
      <c r="AZ2064" s="624">
        <v>41213</v>
      </c>
      <c r="BA2064" s="355">
        <v>1.14E-2</v>
      </c>
      <c r="BB2064" s="624">
        <v>41144</v>
      </c>
      <c r="BC2064" s="355">
        <v>0.30669999999999997</v>
      </c>
      <c r="BD2064" s="624">
        <v>41144</v>
      </c>
      <c r="BE2064" s="355">
        <v>8.8279999999999997E-2</v>
      </c>
      <c r="BF2064" s="624">
        <v>41264</v>
      </c>
      <c r="BG2064" s="355">
        <v>1.8141000000000001E-2</v>
      </c>
      <c r="BH2064" s="624">
        <v>41144</v>
      </c>
      <c r="BI2064" s="355">
        <v>0.105319</v>
      </c>
      <c r="BJ2064" s="624">
        <v>41143</v>
      </c>
      <c r="BK2064" s="355">
        <v>3.1866999999999999E-2</v>
      </c>
    </row>
    <row r="2065" spans="3:63">
      <c r="C2065" s="624"/>
      <c r="D2065" s="355">
        <v>3.1260000000000003E-2</v>
      </c>
      <c r="AV2065" s="624"/>
      <c r="AX2065" s="624">
        <v>41150</v>
      </c>
      <c r="AY2065" s="355">
        <v>3.1040000000000002E-2</v>
      </c>
      <c r="AZ2065" s="624">
        <v>41214</v>
      </c>
      <c r="BA2065" s="355">
        <v>1.1299999999999999E-2</v>
      </c>
      <c r="BB2065" s="624">
        <v>41145</v>
      </c>
      <c r="BC2065" s="355">
        <v>0.30559999999999998</v>
      </c>
      <c r="BD2065" s="624">
        <v>41145</v>
      </c>
      <c r="BE2065" s="355">
        <v>8.8139999999999996E-2</v>
      </c>
      <c r="BF2065" s="624">
        <v>41267</v>
      </c>
      <c r="BG2065" s="355">
        <v>1.8131000000000001E-2</v>
      </c>
      <c r="BH2065" s="624">
        <v>41145</v>
      </c>
      <c r="BI2065" s="355">
        <v>0.105209</v>
      </c>
      <c r="BJ2065" s="624">
        <v>41144</v>
      </c>
      <c r="BK2065" s="355">
        <v>3.2081999999999999E-2</v>
      </c>
    </row>
    <row r="2066" spans="3:63">
      <c r="C2066" s="624"/>
      <c r="D2066" s="355">
        <v>3.1040000000000002E-2</v>
      </c>
      <c r="AV2066" s="624"/>
      <c r="AX2066" s="624">
        <v>41151</v>
      </c>
      <c r="AY2066" s="355">
        <v>3.0710000000000001E-2</v>
      </c>
      <c r="AZ2066" s="624">
        <v>41215</v>
      </c>
      <c r="BA2066" s="355">
        <v>1.1299999999999999E-2</v>
      </c>
      <c r="BB2066" s="624">
        <v>41148</v>
      </c>
      <c r="BC2066" s="355">
        <v>0.30609999999999998</v>
      </c>
      <c r="BD2066" s="624">
        <v>41148</v>
      </c>
      <c r="BE2066" s="355">
        <v>8.8120000000000004E-2</v>
      </c>
      <c r="BF2066" s="624">
        <v>41269</v>
      </c>
      <c r="BG2066" s="355">
        <v>1.8232000000000002E-2</v>
      </c>
      <c r="BH2066" s="624">
        <v>41148</v>
      </c>
      <c r="BI2066" s="355">
        <v>0.10500900000000001</v>
      </c>
      <c r="BJ2066" s="624">
        <v>41145</v>
      </c>
      <c r="BK2066" s="355">
        <v>3.2051000000000003E-2</v>
      </c>
    </row>
    <row r="2067" spans="3:63">
      <c r="C2067" s="624"/>
      <c r="D2067" s="355">
        <v>3.0710000000000001E-2</v>
      </c>
      <c r="AV2067" s="624"/>
      <c r="AX2067" s="624">
        <v>41152</v>
      </c>
      <c r="AY2067" s="355">
        <v>3.0890000000000001E-2</v>
      </c>
      <c r="AZ2067" s="624">
        <v>41218</v>
      </c>
      <c r="BA2067" s="355">
        <v>1.12E-2</v>
      </c>
      <c r="BB2067" s="624">
        <v>41149</v>
      </c>
      <c r="BC2067" s="355">
        <v>0.30590000000000001</v>
      </c>
      <c r="BD2067" s="624">
        <v>41149</v>
      </c>
      <c r="BE2067" s="355">
        <v>8.8069999999999996E-2</v>
      </c>
      <c r="BF2067" s="624">
        <v>41270</v>
      </c>
      <c r="BG2067" s="355">
        <v>1.8207999999999998E-2</v>
      </c>
      <c r="BH2067" s="624">
        <v>41149</v>
      </c>
      <c r="BI2067" s="355">
        <v>0.104795</v>
      </c>
      <c r="BJ2067" s="624">
        <v>41148</v>
      </c>
      <c r="BK2067" s="355">
        <v>3.1989999999999998E-2</v>
      </c>
    </row>
    <row r="2068" spans="3:63">
      <c r="C2068" s="624"/>
      <c r="D2068" s="355">
        <v>3.0890000000000001E-2</v>
      </c>
      <c r="AV2068" s="624"/>
      <c r="AX2068" s="624">
        <v>41155</v>
      </c>
      <c r="AY2068" s="355">
        <v>3.0960000000000001E-2</v>
      </c>
      <c r="AZ2068" s="624">
        <v>41219</v>
      </c>
      <c r="BA2068" s="355">
        <v>1.1299999999999999E-2</v>
      </c>
      <c r="BB2068" s="624">
        <v>41150</v>
      </c>
      <c r="BC2068" s="355">
        <v>0.3</v>
      </c>
      <c r="BD2068" s="624">
        <v>41150</v>
      </c>
      <c r="BE2068" s="355">
        <v>8.8099999999999998E-2</v>
      </c>
      <c r="BF2068" s="624">
        <v>41271</v>
      </c>
      <c r="BG2068" s="355">
        <v>1.8246999999999999E-2</v>
      </c>
      <c r="BH2068" s="624">
        <v>41150</v>
      </c>
      <c r="BI2068" s="355">
        <v>0.104559</v>
      </c>
      <c r="BJ2068" s="624">
        <v>41149</v>
      </c>
      <c r="BK2068" s="355">
        <v>3.1980000000000001E-2</v>
      </c>
    </row>
    <row r="2069" spans="3:63">
      <c r="C2069" s="624"/>
      <c r="D2069" s="355">
        <v>3.0960000000000001E-2</v>
      </c>
      <c r="AV2069" s="624"/>
      <c r="AX2069" s="624">
        <v>41156</v>
      </c>
      <c r="AY2069" s="355">
        <v>3.0960000000000001E-2</v>
      </c>
      <c r="AZ2069" s="624">
        <v>41220</v>
      </c>
      <c r="BA2069" s="355">
        <v>1.1299999999999999E-2</v>
      </c>
      <c r="BB2069" s="624">
        <v>41151</v>
      </c>
      <c r="BC2069" s="355">
        <v>0.2979</v>
      </c>
      <c r="BD2069" s="624">
        <v>41151</v>
      </c>
      <c r="BE2069" s="355">
        <v>8.8039999999999993E-2</v>
      </c>
      <c r="BF2069" s="624">
        <v>41274</v>
      </c>
      <c r="BG2069" s="355">
        <v>1.8235999999999999E-2</v>
      </c>
      <c r="BH2069" s="624">
        <v>41151</v>
      </c>
      <c r="BI2069" s="355">
        <v>0.10485</v>
      </c>
      <c r="BJ2069" s="624">
        <v>41150</v>
      </c>
      <c r="BK2069" s="355">
        <v>3.1907999999999999E-2</v>
      </c>
    </row>
    <row r="2070" spans="3:63">
      <c r="C2070" s="624"/>
      <c r="D2070" s="355">
        <v>3.0960000000000001E-2</v>
      </c>
      <c r="AV2070" s="624"/>
      <c r="AX2070" s="624">
        <v>41157</v>
      </c>
      <c r="AY2070" s="355">
        <v>3.0960000000000001E-2</v>
      </c>
      <c r="AZ2070" s="624">
        <v>41221</v>
      </c>
      <c r="BA2070" s="355">
        <v>1.1299999999999999E-2</v>
      </c>
      <c r="BB2070" s="624">
        <v>41152</v>
      </c>
      <c r="BC2070" s="355">
        <v>0.30199999999999999</v>
      </c>
      <c r="BD2070" s="624">
        <v>41152</v>
      </c>
      <c r="BE2070" s="355">
        <v>8.8209999999999997E-2</v>
      </c>
      <c r="BF2070" s="624">
        <v>41275</v>
      </c>
      <c r="BG2070" s="355">
        <v>1.8291000000000002E-2</v>
      </c>
      <c r="BH2070" s="624">
        <v>41152</v>
      </c>
      <c r="BI2070" s="355">
        <v>0.104559</v>
      </c>
      <c r="BJ2070" s="624">
        <v>41151</v>
      </c>
      <c r="BK2070" s="355">
        <v>3.1877999999999997E-2</v>
      </c>
    </row>
    <row r="2071" spans="3:63">
      <c r="C2071" s="624"/>
      <c r="D2071" s="355">
        <v>3.0960000000000001E-2</v>
      </c>
      <c r="AV2071" s="624"/>
      <c r="AX2071" s="624">
        <v>41158</v>
      </c>
      <c r="AY2071" s="355">
        <v>3.1309999999999998E-2</v>
      </c>
      <c r="AZ2071" s="624">
        <v>41222</v>
      </c>
      <c r="BA2071" s="355">
        <v>1.1299999999999999E-2</v>
      </c>
      <c r="BB2071" s="624">
        <v>41155</v>
      </c>
      <c r="BC2071" s="355">
        <v>0.30070000000000002</v>
      </c>
      <c r="BD2071" s="624">
        <v>41155</v>
      </c>
      <c r="BE2071" s="355">
        <v>8.838E-2</v>
      </c>
      <c r="BF2071" s="624">
        <v>41276</v>
      </c>
      <c r="BG2071" s="355">
        <v>1.8425E-2</v>
      </c>
      <c r="BH2071" s="624">
        <v>41155</v>
      </c>
      <c r="BI2071" s="355">
        <v>0.10499799999999999</v>
      </c>
      <c r="BJ2071" s="624">
        <v>41152</v>
      </c>
      <c r="BK2071" s="355">
        <v>3.2000000000000001E-2</v>
      </c>
    </row>
    <row r="2072" spans="3:63">
      <c r="C2072" s="624"/>
      <c r="D2072" s="355">
        <v>3.1309999999999998E-2</v>
      </c>
      <c r="AV2072" s="624"/>
      <c r="AX2072" s="624">
        <v>41159</v>
      </c>
      <c r="AY2072" s="355">
        <v>3.1530000000000002E-2</v>
      </c>
      <c r="AZ2072" s="624">
        <v>41225</v>
      </c>
      <c r="BA2072" s="355">
        <v>1.14E-2</v>
      </c>
      <c r="BB2072" s="624">
        <v>41156</v>
      </c>
      <c r="BC2072" s="355">
        <v>0.29949999999999999</v>
      </c>
      <c r="BD2072" s="624">
        <v>41156</v>
      </c>
      <c r="BE2072" s="355">
        <v>8.8220000000000007E-2</v>
      </c>
      <c r="BF2072" s="624">
        <v>41277</v>
      </c>
      <c r="BG2072" s="355">
        <v>1.8290000000000001E-2</v>
      </c>
      <c r="BH2072" s="624">
        <v>41156</v>
      </c>
      <c r="BI2072" s="355">
        <v>0.104145</v>
      </c>
      <c r="BJ2072" s="624">
        <v>41155</v>
      </c>
      <c r="BK2072" s="355">
        <v>3.2041E-2</v>
      </c>
    </row>
    <row r="2073" spans="3:63">
      <c r="C2073" s="624"/>
      <c r="D2073" s="355">
        <v>3.1530000000000002E-2</v>
      </c>
      <c r="AV2073" s="624"/>
      <c r="AX2073" s="624">
        <v>41162</v>
      </c>
      <c r="AY2073" s="355">
        <v>3.1570000000000001E-2</v>
      </c>
      <c r="AZ2073" s="624">
        <v>41226</v>
      </c>
      <c r="BA2073" s="355">
        <v>1.1299999999999999E-2</v>
      </c>
      <c r="BB2073" s="624">
        <v>41157</v>
      </c>
      <c r="BC2073" s="355">
        <v>0.30149999999999999</v>
      </c>
      <c r="BD2073" s="624">
        <v>41157</v>
      </c>
      <c r="BE2073" s="355">
        <v>8.7980000000000003E-2</v>
      </c>
      <c r="BF2073" s="624">
        <v>41278</v>
      </c>
      <c r="BG2073" s="355">
        <v>1.8242000000000001E-2</v>
      </c>
      <c r="BH2073" s="624">
        <v>41157</v>
      </c>
      <c r="BI2073" s="355">
        <v>0.104494</v>
      </c>
      <c r="BJ2073" s="624">
        <v>41156</v>
      </c>
      <c r="BK2073" s="355">
        <v>3.2045999999999998E-2</v>
      </c>
    </row>
    <row r="2074" spans="3:63">
      <c r="C2074" s="624"/>
      <c r="D2074" s="355">
        <v>3.1570000000000001E-2</v>
      </c>
      <c r="AV2074" s="624"/>
      <c r="AX2074" s="624">
        <v>41163</v>
      </c>
      <c r="AY2074" s="355">
        <v>3.1730000000000001E-2</v>
      </c>
      <c r="AZ2074" s="624">
        <v>41227</v>
      </c>
      <c r="BA2074" s="355">
        <v>1.1299999999999999E-2</v>
      </c>
      <c r="BB2074" s="624">
        <v>41158</v>
      </c>
      <c r="BC2074" s="355">
        <v>0.30599999999999999</v>
      </c>
      <c r="BD2074" s="624">
        <v>41158</v>
      </c>
      <c r="BE2074" s="355">
        <v>8.8239999999999999E-2</v>
      </c>
      <c r="BF2074" s="624">
        <v>41281</v>
      </c>
      <c r="BG2074" s="355">
        <v>1.8124000000000001E-2</v>
      </c>
      <c r="BH2074" s="624">
        <v>41158</v>
      </c>
      <c r="BI2074" s="355">
        <v>0.104548</v>
      </c>
      <c r="BJ2074" s="624">
        <v>41157</v>
      </c>
      <c r="BK2074" s="355">
        <v>3.1989999999999998E-2</v>
      </c>
    </row>
    <row r="2075" spans="3:63">
      <c r="C2075" s="624"/>
      <c r="D2075" s="355">
        <v>3.1730000000000001E-2</v>
      </c>
      <c r="AV2075" s="624"/>
      <c r="AX2075" s="624">
        <v>41164</v>
      </c>
      <c r="AY2075" s="355">
        <v>3.1780000000000003E-2</v>
      </c>
      <c r="AZ2075" s="624">
        <v>41228</v>
      </c>
      <c r="BA2075" s="355">
        <v>1.14E-2</v>
      </c>
      <c r="BB2075" s="624">
        <v>41159</v>
      </c>
      <c r="BC2075" s="355">
        <v>0.31280000000000002</v>
      </c>
      <c r="BD2075" s="624">
        <v>41159</v>
      </c>
      <c r="BE2075" s="355">
        <v>8.8499999999999995E-2</v>
      </c>
      <c r="BF2075" s="624">
        <v>41282</v>
      </c>
      <c r="BG2075" s="355">
        <v>1.8193000000000001E-2</v>
      </c>
      <c r="BH2075" s="624">
        <v>41159</v>
      </c>
      <c r="BI2075" s="355">
        <v>0.104504</v>
      </c>
      <c r="BJ2075" s="624">
        <v>41158</v>
      </c>
      <c r="BK2075" s="355">
        <v>3.2072000000000003E-2</v>
      </c>
    </row>
    <row r="2076" spans="3:63">
      <c r="C2076" s="624"/>
      <c r="D2076" s="355">
        <v>3.1780000000000003E-2</v>
      </c>
      <c r="AV2076" s="624"/>
      <c r="AX2076" s="624">
        <v>41165</v>
      </c>
      <c r="AY2076" s="355">
        <v>3.218E-2</v>
      </c>
      <c r="AZ2076" s="624">
        <v>41229</v>
      </c>
      <c r="BA2076" s="355">
        <v>1.1299999999999999E-2</v>
      </c>
      <c r="BB2076" s="624">
        <v>41162</v>
      </c>
      <c r="BC2076" s="355">
        <v>0.31</v>
      </c>
      <c r="BD2076" s="624">
        <v>41162</v>
      </c>
      <c r="BE2076" s="355">
        <v>8.856E-2</v>
      </c>
      <c r="BF2076" s="624">
        <v>41283</v>
      </c>
      <c r="BG2076" s="355">
        <v>1.8242999999999999E-2</v>
      </c>
      <c r="BH2076" s="624">
        <v>41162</v>
      </c>
      <c r="BI2076" s="355">
        <v>0.104461</v>
      </c>
      <c r="BJ2076" s="624">
        <v>41159</v>
      </c>
      <c r="BK2076" s="355">
        <v>3.2196000000000002E-2</v>
      </c>
    </row>
    <row r="2077" spans="3:63">
      <c r="C2077" s="624"/>
      <c r="D2077" s="355">
        <v>3.218E-2</v>
      </c>
      <c r="AV2077" s="624"/>
      <c r="AX2077" s="624">
        <v>41166</v>
      </c>
      <c r="AY2077" s="355">
        <v>3.2730000000000002E-2</v>
      </c>
      <c r="AZ2077" s="624">
        <v>41232</v>
      </c>
      <c r="BA2077" s="355">
        <v>1.14E-2</v>
      </c>
      <c r="BB2077" s="624">
        <v>41163</v>
      </c>
      <c r="BC2077" s="355">
        <v>0.3155</v>
      </c>
      <c r="BD2077" s="624">
        <v>41163</v>
      </c>
      <c r="BE2077" s="355">
        <v>8.8690000000000005E-2</v>
      </c>
      <c r="BF2077" s="624">
        <v>41284</v>
      </c>
      <c r="BG2077" s="355">
        <v>1.8332999999999999E-2</v>
      </c>
      <c r="BH2077" s="624">
        <v>41163</v>
      </c>
      <c r="BI2077" s="355">
        <v>0.104417</v>
      </c>
      <c r="BJ2077" s="624">
        <v>41162</v>
      </c>
      <c r="BK2077" s="355">
        <v>3.2154000000000002E-2</v>
      </c>
    </row>
    <row r="2078" spans="3:63">
      <c r="C2078" s="624"/>
      <c r="D2078" s="355">
        <v>3.2730000000000002E-2</v>
      </c>
      <c r="AV2078" s="624"/>
      <c r="AX2078" s="624">
        <v>41169</v>
      </c>
      <c r="AY2078" s="355">
        <v>3.2530000000000003E-2</v>
      </c>
      <c r="AZ2078" s="624">
        <v>41233</v>
      </c>
      <c r="BA2078" s="355">
        <v>1.1299999999999999E-2</v>
      </c>
      <c r="BB2078" s="624">
        <v>41164</v>
      </c>
      <c r="BC2078" s="355">
        <v>0.315</v>
      </c>
      <c r="BD2078" s="624">
        <v>41164</v>
      </c>
      <c r="BE2078" s="355">
        <v>8.8760000000000006E-2</v>
      </c>
      <c r="BF2078" s="624">
        <v>41285</v>
      </c>
      <c r="BG2078" s="355">
        <v>1.8245000000000001E-2</v>
      </c>
      <c r="BH2078" s="624">
        <v>41164</v>
      </c>
      <c r="BI2078" s="355">
        <v>0.104417</v>
      </c>
      <c r="BJ2078" s="624">
        <v>41163</v>
      </c>
      <c r="BK2078" s="355">
        <v>3.2217000000000003E-2</v>
      </c>
    </row>
    <row r="2079" spans="3:63">
      <c r="C2079" s="624"/>
      <c r="D2079" s="355">
        <v>3.2530000000000003E-2</v>
      </c>
      <c r="AV2079" s="624"/>
      <c r="AX2079" s="624">
        <v>41170</v>
      </c>
      <c r="AY2079" s="355">
        <v>3.2349999999999997E-2</v>
      </c>
      <c r="AZ2079" s="624">
        <v>41234</v>
      </c>
      <c r="BA2079" s="355">
        <v>1.1299999999999999E-2</v>
      </c>
      <c r="BB2079" s="624">
        <v>41165</v>
      </c>
      <c r="BC2079" s="355">
        <v>0.31859999999999999</v>
      </c>
      <c r="BD2079" s="624">
        <v>41165</v>
      </c>
      <c r="BE2079" s="355">
        <v>8.8859999999999995E-2</v>
      </c>
      <c r="BF2079" s="624">
        <v>41288</v>
      </c>
      <c r="BG2079" s="355">
        <v>1.8327E-2</v>
      </c>
      <c r="BH2079" s="624">
        <v>41165</v>
      </c>
      <c r="BI2079" s="355">
        <v>0.104368</v>
      </c>
      <c r="BJ2079" s="624">
        <v>41164</v>
      </c>
      <c r="BK2079" s="355">
        <v>3.2258000000000002E-2</v>
      </c>
    </row>
    <row r="2080" spans="3:63">
      <c r="C2080" s="624"/>
      <c r="D2080" s="355">
        <v>3.2349999999999997E-2</v>
      </c>
      <c r="AV2080" s="624"/>
      <c r="AX2080" s="624">
        <v>41171</v>
      </c>
      <c r="AY2080" s="355">
        <v>3.211E-2</v>
      </c>
      <c r="AZ2080" s="624">
        <v>41235</v>
      </c>
      <c r="BA2080" s="355">
        <v>1.14E-2</v>
      </c>
      <c r="BB2080" s="624">
        <v>41166</v>
      </c>
      <c r="BC2080" s="355">
        <v>0.32329999999999998</v>
      </c>
      <c r="BD2080" s="624">
        <v>41166</v>
      </c>
      <c r="BE2080" s="355">
        <v>8.9560000000000001E-2</v>
      </c>
      <c r="BF2080" s="624">
        <v>41289</v>
      </c>
      <c r="BG2080" s="355">
        <v>1.8319999999999999E-2</v>
      </c>
      <c r="BH2080" s="624">
        <v>41166</v>
      </c>
      <c r="BI2080" s="355">
        <v>0.10571999999999999</v>
      </c>
      <c r="BJ2080" s="624">
        <v>41165</v>
      </c>
      <c r="BK2080" s="355">
        <v>3.2362000000000002E-2</v>
      </c>
    </row>
    <row r="2081" spans="3:63">
      <c r="C2081" s="624"/>
      <c r="D2081" s="355">
        <v>3.211E-2</v>
      </c>
      <c r="AV2081" s="624"/>
      <c r="AX2081" s="624">
        <v>41172</v>
      </c>
      <c r="AY2081" s="355">
        <v>3.2099999999999997E-2</v>
      </c>
      <c r="AZ2081" s="624">
        <v>41236</v>
      </c>
      <c r="BA2081" s="355">
        <v>1.1599999999999999E-2</v>
      </c>
      <c r="BB2081" s="624">
        <v>41169</v>
      </c>
      <c r="BC2081" s="355">
        <v>0.31990000000000002</v>
      </c>
      <c r="BD2081" s="624">
        <v>41169</v>
      </c>
      <c r="BE2081" s="355">
        <v>8.9539999999999995E-2</v>
      </c>
      <c r="BF2081" s="624">
        <v>41290</v>
      </c>
      <c r="BG2081" s="355">
        <v>1.8273000000000001E-2</v>
      </c>
      <c r="BH2081" s="624">
        <v>41169</v>
      </c>
      <c r="BI2081" s="355">
        <v>0.10567500000000001</v>
      </c>
      <c r="BJ2081" s="624">
        <v>41166</v>
      </c>
      <c r="BK2081" s="355">
        <v>3.2499E-2</v>
      </c>
    </row>
    <row r="2082" spans="3:63">
      <c r="C2082" s="624"/>
      <c r="D2082" s="355">
        <v>3.2099999999999997E-2</v>
      </c>
      <c r="AV2082" s="624"/>
      <c r="AX2082" s="624">
        <v>41173</v>
      </c>
      <c r="AY2082" s="355">
        <v>3.2280000000000003E-2</v>
      </c>
      <c r="AZ2082" s="624">
        <v>41239</v>
      </c>
      <c r="BA2082" s="355">
        <v>1.1599999999999999E-2</v>
      </c>
      <c r="BB2082" s="624">
        <v>41170</v>
      </c>
      <c r="BC2082" s="355">
        <v>0.31719999999999998</v>
      </c>
      <c r="BD2082" s="624">
        <v>41170</v>
      </c>
      <c r="BE2082" s="355">
        <v>8.9410000000000003E-2</v>
      </c>
      <c r="BF2082" s="624">
        <v>41291</v>
      </c>
      <c r="BG2082" s="355">
        <v>1.8485999999999999E-2</v>
      </c>
      <c r="BH2082" s="624">
        <v>41170</v>
      </c>
      <c r="BI2082" s="355">
        <v>0.105031</v>
      </c>
      <c r="BJ2082" s="624">
        <v>41169</v>
      </c>
      <c r="BK2082" s="355">
        <v>3.2446000000000003E-2</v>
      </c>
    </row>
    <row r="2083" spans="3:63">
      <c r="C2083" s="624"/>
      <c r="D2083" s="355">
        <v>3.2280000000000003E-2</v>
      </c>
      <c r="AV2083" s="624"/>
      <c r="AX2083" s="624">
        <v>41176</v>
      </c>
      <c r="AY2083" s="355">
        <v>3.211E-2</v>
      </c>
      <c r="AZ2083" s="624">
        <v>41240</v>
      </c>
      <c r="BA2083" s="355">
        <v>1.14E-2</v>
      </c>
      <c r="BB2083" s="624">
        <v>41171</v>
      </c>
      <c r="BC2083" s="355">
        <v>0.315</v>
      </c>
      <c r="BD2083" s="624">
        <v>41171</v>
      </c>
      <c r="BE2083" s="355">
        <v>8.9649999999999994E-2</v>
      </c>
      <c r="BF2083" s="624">
        <v>41292</v>
      </c>
      <c r="BG2083" s="355">
        <v>1.8599000000000001E-2</v>
      </c>
      <c r="BH2083" s="624">
        <v>41171</v>
      </c>
      <c r="BI2083" s="355">
        <v>0.10484499999999999</v>
      </c>
      <c r="BJ2083" s="624">
        <v>41170</v>
      </c>
      <c r="BK2083" s="355">
        <v>3.2436E-2</v>
      </c>
    </row>
    <row r="2084" spans="3:63">
      <c r="C2084" s="624"/>
      <c r="D2084" s="355">
        <v>3.211E-2</v>
      </c>
      <c r="AV2084" s="624"/>
      <c r="AX2084" s="624">
        <v>41177</v>
      </c>
      <c r="AY2084" s="355">
        <v>3.2169999999999997E-2</v>
      </c>
      <c r="AZ2084" s="624">
        <v>41241</v>
      </c>
      <c r="BA2084" s="355">
        <v>1.15E-2</v>
      </c>
      <c r="BB2084" s="624">
        <v>41172</v>
      </c>
      <c r="BC2084" s="355">
        <v>0.31259999999999999</v>
      </c>
      <c r="BD2084" s="624">
        <v>41172</v>
      </c>
      <c r="BE2084" s="355">
        <v>8.9359999999999995E-2</v>
      </c>
      <c r="BF2084" s="624">
        <v>41295</v>
      </c>
      <c r="BG2084" s="355">
        <v>1.866E-2</v>
      </c>
      <c r="BH2084" s="624">
        <v>41172</v>
      </c>
      <c r="BI2084" s="355">
        <v>0.104657</v>
      </c>
      <c r="BJ2084" s="624">
        <v>41171</v>
      </c>
      <c r="BK2084" s="355">
        <v>3.2473000000000002E-2</v>
      </c>
    </row>
    <row r="2085" spans="3:63">
      <c r="C2085" s="624"/>
      <c r="D2085" s="355">
        <v>3.2169999999999997E-2</v>
      </c>
      <c r="AV2085" s="624"/>
      <c r="AX2085" s="624">
        <v>41178</v>
      </c>
      <c r="AY2085" s="355">
        <v>3.193E-2</v>
      </c>
      <c r="AZ2085" s="624">
        <v>41242</v>
      </c>
      <c r="BA2085" s="355">
        <v>1.14E-2</v>
      </c>
      <c r="BB2085" s="624">
        <v>41173</v>
      </c>
      <c r="BC2085" s="355">
        <v>0.31369999999999998</v>
      </c>
      <c r="BD2085" s="624">
        <v>41173</v>
      </c>
      <c r="BE2085" s="355">
        <v>8.9370000000000005E-2</v>
      </c>
      <c r="BF2085" s="624">
        <v>41296</v>
      </c>
      <c r="BG2085" s="355">
        <v>1.8651999999999998E-2</v>
      </c>
      <c r="BH2085" s="624">
        <v>41173</v>
      </c>
      <c r="BI2085" s="355">
        <v>0.10452599999999999</v>
      </c>
      <c r="BJ2085" s="624">
        <v>41172</v>
      </c>
      <c r="BK2085" s="355">
        <v>3.2393999999999999E-2</v>
      </c>
    </row>
    <row r="2086" spans="3:63">
      <c r="C2086" s="624"/>
      <c r="D2086" s="355">
        <v>3.193E-2</v>
      </c>
      <c r="AV2086" s="624"/>
      <c r="AX2086" s="624">
        <v>41179</v>
      </c>
      <c r="AY2086" s="355">
        <v>3.2239999999999998E-2</v>
      </c>
      <c r="AZ2086" s="624">
        <v>41243</v>
      </c>
      <c r="BA2086" s="355">
        <v>1.15E-2</v>
      </c>
      <c r="BB2086" s="624">
        <v>41176</v>
      </c>
      <c r="BC2086" s="355">
        <v>0.3115</v>
      </c>
      <c r="BD2086" s="624">
        <v>41176</v>
      </c>
      <c r="BE2086" s="355">
        <v>8.9200000000000002E-2</v>
      </c>
      <c r="BF2086" s="624">
        <v>41297</v>
      </c>
      <c r="BG2086" s="355">
        <v>1.8629E-2</v>
      </c>
      <c r="BH2086" s="624">
        <v>41176</v>
      </c>
      <c r="BI2086" s="355">
        <v>0.10457</v>
      </c>
      <c r="BJ2086" s="624">
        <v>41173</v>
      </c>
      <c r="BK2086" s="355">
        <v>3.2452000000000002E-2</v>
      </c>
    </row>
    <row r="2087" spans="3:63">
      <c r="C2087" s="624"/>
      <c r="D2087" s="355">
        <v>3.2239999999999998E-2</v>
      </c>
      <c r="AV2087" s="624"/>
      <c r="AX2087" s="624">
        <v>41180</v>
      </c>
      <c r="AY2087" s="355">
        <v>3.2070000000000001E-2</v>
      </c>
      <c r="AZ2087" s="624">
        <v>41246</v>
      </c>
      <c r="BA2087" s="355">
        <v>1.15E-2</v>
      </c>
      <c r="BB2087" s="624">
        <v>41177</v>
      </c>
      <c r="BC2087" s="355">
        <v>0.31140000000000001</v>
      </c>
      <c r="BD2087" s="624">
        <v>41177</v>
      </c>
      <c r="BE2087" s="355">
        <v>8.9340000000000003E-2</v>
      </c>
      <c r="BF2087" s="624">
        <v>41298</v>
      </c>
      <c r="BG2087" s="355">
        <v>1.8629E-2</v>
      </c>
      <c r="BH2087" s="624">
        <v>41177</v>
      </c>
      <c r="BI2087" s="355">
        <v>0.104439</v>
      </c>
      <c r="BJ2087" s="624">
        <v>41176</v>
      </c>
      <c r="BK2087" s="355">
        <v>3.2335000000000003E-2</v>
      </c>
    </row>
    <row r="2088" spans="3:63">
      <c r="C2088" s="624"/>
      <c r="D2088" s="355">
        <v>3.2070000000000001E-2</v>
      </c>
      <c r="AV2088" s="624"/>
      <c r="AX2088" s="624">
        <v>41183</v>
      </c>
      <c r="AY2088" s="355">
        <v>3.2039999999999999E-2</v>
      </c>
      <c r="AZ2088" s="624">
        <v>41247</v>
      </c>
      <c r="BA2088" s="355">
        <v>1.15E-2</v>
      </c>
      <c r="BB2088" s="624">
        <v>41178</v>
      </c>
      <c r="BC2088" s="355">
        <v>0.30990000000000001</v>
      </c>
      <c r="BD2088" s="624">
        <v>41178</v>
      </c>
      <c r="BE2088" s="355">
        <v>8.9279999999999998E-2</v>
      </c>
      <c r="BF2088" s="624">
        <v>41299</v>
      </c>
      <c r="BG2088" s="355">
        <v>1.8584E-2</v>
      </c>
      <c r="BH2088" s="624">
        <v>41178</v>
      </c>
      <c r="BI2088" s="355">
        <v>0.104559</v>
      </c>
      <c r="BJ2088" s="624">
        <v>41177</v>
      </c>
      <c r="BK2088" s="355">
        <v>3.2326000000000001E-2</v>
      </c>
    </row>
    <row r="2089" spans="3:63">
      <c r="C2089" s="624"/>
      <c r="D2089" s="355">
        <v>3.2039999999999999E-2</v>
      </c>
      <c r="AV2089" s="624"/>
      <c r="AX2089" s="624">
        <v>41184</v>
      </c>
      <c r="AY2089" s="355">
        <v>3.211E-2</v>
      </c>
      <c r="AZ2089" s="624">
        <v>41248</v>
      </c>
      <c r="BA2089" s="355">
        <v>1.14E-2</v>
      </c>
      <c r="BB2089" s="624">
        <v>41179</v>
      </c>
      <c r="BC2089" s="355">
        <v>0.31309999999999999</v>
      </c>
      <c r="BD2089" s="624">
        <v>41179</v>
      </c>
      <c r="BE2089" s="355">
        <v>8.9590000000000003E-2</v>
      </c>
      <c r="BF2089" s="624">
        <v>41302</v>
      </c>
      <c r="BG2089" s="355">
        <v>1.8499999999999999E-2</v>
      </c>
      <c r="BH2089" s="624">
        <v>41179</v>
      </c>
      <c r="BI2089" s="355">
        <v>0.104701</v>
      </c>
      <c r="BJ2089" s="624">
        <v>41178</v>
      </c>
      <c r="BK2089" s="355">
        <v>3.2231999999999997E-2</v>
      </c>
    </row>
    <row r="2090" spans="3:63">
      <c r="C2090" s="624"/>
      <c r="D2090" s="355">
        <v>3.211E-2</v>
      </c>
      <c r="AV2090" s="624"/>
      <c r="AX2090" s="624">
        <v>41185</v>
      </c>
      <c r="AY2090" s="355">
        <v>3.209E-2</v>
      </c>
      <c r="AZ2090" s="624">
        <v>41249</v>
      </c>
      <c r="BA2090" s="355">
        <v>1.14E-2</v>
      </c>
      <c r="BB2090" s="624">
        <v>41180</v>
      </c>
      <c r="BC2090" s="355">
        <v>0.31230000000000002</v>
      </c>
      <c r="BD2090" s="624">
        <v>41180</v>
      </c>
      <c r="BE2090" s="355">
        <v>8.9870000000000005E-2</v>
      </c>
      <c r="BF2090" s="624">
        <v>41303</v>
      </c>
      <c r="BG2090" s="355">
        <v>1.8671E-2</v>
      </c>
      <c r="BH2090" s="624">
        <v>41180</v>
      </c>
      <c r="BI2090" s="355">
        <v>0.104395</v>
      </c>
      <c r="BJ2090" s="624">
        <v>41179</v>
      </c>
      <c r="BK2090" s="355">
        <v>3.2349000000000003E-2</v>
      </c>
    </row>
    <row r="2091" spans="3:63">
      <c r="C2091" s="624"/>
      <c r="D2091" s="355">
        <v>3.209E-2</v>
      </c>
      <c r="AV2091" s="624"/>
      <c r="AX2091" s="624">
        <v>41186</v>
      </c>
      <c r="AY2091" s="355">
        <v>3.2289999999999999E-2</v>
      </c>
      <c r="AZ2091" s="624">
        <v>41250</v>
      </c>
      <c r="BA2091" s="355">
        <v>1.14E-2</v>
      </c>
      <c r="BB2091" s="624">
        <v>41183</v>
      </c>
      <c r="BC2091" s="355">
        <v>0.31380000000000002</v>
      </c>
      <c r="BD2091" s="624">
        <v>41183</v>
      </c>
      <c r="BE2091" s="355">
        <v>8.9859999999999995E-2</v>
      </c>
      <c r="BF2091" s="624">
        <v>41304</v>
      </c>
      <c r="BG2091" s="355">
        <v>1.8785E-2</v>
      </c>
      <c r="BH2091" s="624">
        <v>41183</v>
      </c>
      <c r="BI2091" s="355">
        <v>0.10438500000000001</v>
      </c>
      <c r="BJ2091" s="624">
        <v>41180</v>
      </c>
      <c r="BK2091" s="355">
        <v>3.2436E-2</v>
      </c>
    </row>
    <row r="2092" spans="3:63">
      <c r="C2092" s="624"/>
      <c r="D2092" s="355">
        <v>3.2289999999999999E-2</v>
      </c>
      <c r="AV2092" s="624"/>
      <c r="AX2092" s="624">
        <v>41187</v>
      </c>
      <c r="AY2092" s="355">
        <v>3.2239999999999998E-2</v>
      </c>
      <c r="AZ2092" s="624">
        <v>41253</v>
      </c>
      <c r="BA2092" s="355">
        <v>1.1299999999999999E-2</v>
      </c>
      <c r="BB2092" s="624">
        <v>41184</v>
      </c>
      <c r="BC2092" s="355">
        <v>0.314</v>
      </c>
      <c r="BD2092" s="624">
        <v>41184</v>
      </c>
      <c r="BE2092" s="355">
        <v>8.9829999999999993E-2</v>
      </c>
      <c r="BF2092" s="624">
        <v>41305</v>
      </c>
      <c r="BG2092" s="355">
        <v>1.8748999999999998E-2</v>
      </c>
      <c r="BH2092" s="624">
        <v>41184</v>
      </c>
      <c r="BI2092" s="355">
        <v>0.10438500000000001</v>
      </c>
      <c r="BJ2092" s="624">
        <v>41183</v>
      </c>
      <c r="BK2092" s="355">
        <v>3.2509999999999997E-2</v>
      </c>
    </row>
    <row r="2093" spans="3:63">
      <c r="C2093" s="624"/>
      <c r="D2093" s="355">
        <v>3.2239999999999998E-2</v>
      </c>
      <c r="AV2093" s="624"/>
      <c r="AX2093" s="624">
        <v>41190</v>
      </c>
      <c r="AY2093" s="355">
        <v>3.2059999999999998E-2</v>
      </c>
      <c r="AZ2093" s="624">
        <v>41254</v>
      </c>
      <c r="BA2093" s="355">
        <v>1.14E-2</v>
      </c>
      <c r="BB2093" s="624">
        <v>41185</v>
      </c>
      <c r="BC2093" s="355">
        <v>0.316</v>
      </c>
      <c r="BD2093" s="624">
        <v>41185</v>
      </c>
      <c r="BE2093" s="355">
        <v>8.9810000000000001E-2</v>
      </c>
      <c r="BF2093" s="624">
        <v>41306</v>
      </c>
      <c r="BG2093" s="355">
        <v>1.8841E-2</v>
      </c>
      <c r="BH2093" s="624">
        <v>41185</v>
      </c>
      <c r="BI2093" s="355">
        <v>0.10433000000000001</v>
      </c>
      <c r="BJ2093" s="624">
        <v>41184</v>
      </c>
      <c r="BK2093" s="355">
        <v>3.2563000000000002E-2</v>
      </c>
    </row>
    <row r="2094" spans="3:63">
      <c r="C2094" s="624"/>
      <c r="D2094" s="355">
        <v>3.2059999999999998E-2</v>
      </c>
      <c r="AV2094" s="624"/>
      <c r="AX2094" s="624">
        <v>41191</v>
      </c>
      <c r="AY2094" s="355">
        <v>3.2099999999999997E-2</v>
      </c>
      <c r="AZ2094" s="624">
        <v>41255</v>
      </c>
      <c r="BA2094" s="355">
        <v>1.15E-2</v>
      </c>
      <c r="BB2094" s="624">
        <v>41186</v>
      </c>
      <c r="BC2094" s="355">
        <v>0.31859999999999999</v>
      </c>
      <c r="BD2094" s="624">
        <v>41186</v>
      </c>
      <c r="BE2094" s="355">
        <v>8.9880000000000002E-2</v>
      </c>
      <c r="BF2094" s="624">
        <v>41309</v>
      </c>
      <c r="BG2094" s="355">
        <v>1.8752999999999999E-2</v>
      </c>
      <c r="BH2094" s="624">
        <v>41186</v>
      </c>
      <c r="BI2094" s="355">
        <v>0.10427599999999999</v>
      </c>
      <c r="BJ2094" s="624">
        <v>41185</v>
      </c>
      <c r="BK2094" s="355">
        <v>3.2584000000000002E-2</v>
      </c>
    </row>
    <row r="2095" spans="3:63">
      <c r="C2095" s="624"/>
      <c r="D2095" s="355">
        <v>3.2099999999999997E-2</v>
      </c>
      <c r="AV2095" s="624"/>
      <c r="AX2095" s="624">
        <v>41192</v>
      </c>
      <c r="AY2095" s="355">
        <v>3.211E-2</v>
      </c>
      <c r="AZ2095" s="624">
        <v>41256</v>
      </c>
      <c r="BA2095" s="355">
        <v>1.15E-2</v>
      </c>
      <c r="BB2095" s="624">
        <v>41187</v>
      </c>
      <c r="BC2095" s="355">
        <v>0.31950000000000001</v>
      </c>
      <c r="BD2095" s="624">
        <v>41187</v>
      </c>
      <c r="BE2095" s="355">
        <v>9.0029999999999999E-2</v>
      </c>
      <c r="BF2095" s="624">
        <v>41310</v>
      </c>
      <c r="BG2095" s="355">
        <v>1.8866000000000001E-2</v>
      </c>
      <c r="BH2095" s="624">
        <v>41187</v>
      </c>
      <c r="BI2095" s="355">
        <v>0.104188</v>
      </c>
      <c r="BJ2095" s="624">
        <v>41186</v>
      </c>
      <c r="BK2095" s="355">
        <v>3.2696000000000003E-2</v>
      </c>
    </row>
    <row r="2096" spans="3:63">
      <c r="C2096" s="624"/>
      <c r="D2096" s="355">
        <v>3.211E-2</v>
      </c>
      <c r="AV2096" s="624"/>
      <c r="AX2096" s="624">
        <v>41193</v>
      </c>
      <c r="AY2096" s="355">
        <v>3.2219999999999999E-2</v>
      </c>
      <c r="AZ2096" s="624">
        <v>41257</v>
      </c>
      <c r="BA2096" s="355">
        <v>1.1599999999999999E-2</v>
      </c>
      <c r="BB2096" s="624">
        <v>41190</v>
      </c>
      <c r="BC2096" s="355">
        <v>0.31869999999999998</v>
      </c>
      <c r="BD2096" s="624">
        <v>41190</v>
      </c>
      <c r="BE2096" s="355">
        <v>8.9959999999999998E-2</v>
      </c>
      <c r="BF2096" s="624">
        <v>41311</v>
      </c>
      <c r="BG2096" s="355">
        <v>1.8832000000000002E-2</v>
      </c>
      <c r="BH2096" s="624">
        <v>41190</v>
      </c>
      <c r="BI2096" s="355">
        <v>0.104265</v>
      </c>
      <c r="BJ2096" s="624">
        <v>41187</v>
      </c>
      <c r="BK2096" s="355">
        <v>3.2711999999999998E-2</v>
      </c>
    </row>
    <row r="2097" spans="3:63">
      <c r="C2097" s="624"/>
      <c r="D2097" s="355">
        <v>3.2219999999999999E-2</v>
      </c>
      <c r="AV2097" s="624"/>
      <c r="AX2097" s="624">
        <v>41194</v>
      </c>
      <c r="AY2097" s="355">
        <v>3.2140000000000002E-2</v>
      </c>
      <c r="AZ2097" s="624">
        <v>41260</v>
      </c>
      <c r="BA2097" s="355">
        <v>1.1599999999999999E-2</v>
      </c>
      <c r="BB2097" s="624">
        <v>41191</v>
      </c>
      <c r="BC2097" s="355">
        <v>0.31630000000000003</v>
      </c>
      <c r="BD2097" s="624">
        <v>41191</v>
      </c>
      <c r="BE2097" s="355">
        <v>8.9980000000000004E-2</v>
      </c>
      <c r="BF2097" s="624">
        <v>41312</v>
      </c>
      <c r="BG2097" s="355">
        <v>1.8672000000000001E-2</v>
      </c>
      <c r="BH2097" s="624">
        <v>41191</v>
      </c>
      <c r="BI2097" s="355">
        <v>0.104254</v>
      </c>
      <c r="BJ2097" s="624">
        <v>41190</v>
      </c>
      <c r="BK2097" s="355">
        <v>3.2648000000000003E-2</v>
      </c>
    </row>
    <row r="2098" spans="3:63">
      <c r="C2098" s="624"/>
      <c r="D2098" s="355">
        <v>3.2140000000000002E-2</v>
      </c>
      <c r="AV2098" s="624"/>
      <c r="AX2098" s="624">
        <v>41197</v>
      </c>
      <c r="AY2098" s="355">
        <v>3.2250000000000001E-2</v>
      </c>
      <c r="AZ2098" s="624">
        <v>41261</v>
      </c>
      <c r="BA2098" s="355">
        <v>1.17E-2</v>
      </c>
      <c r="BB2098" s="624">
        <v>41192</v>
      </c>
      <c r="BC2098" s="355">
        <v>0.31419999999999998</v>
      </c>
      <c r="BD2098" s="624">
        <v>41192</v>
      </c>
      <c r="BE2098" s="355">
        <v>8.9690000000000006E-2</v>
      </c>
      <c r="BF2098" s="624">
        <v>41313</v>
      </c>
      <c r="BG2098" s="355">
        <v>1.8651000000000001E-2</v>
      </c>
      <c r="BH2098" s="624">
        <v>41192</v>
      </c>
      <c r="BI2098" s="355">
        <v>0.104254</v>
      </c>
      <c r="BJ2098" s="624">
        <v>41191</v>
      </c>
      <c r="BK2098" s="355">
        <v>3.2572999999999998E-2</v>
      </c>
    </row>
    <row r="2099" spans="3:63">
      <c r="C2099" s="624"/>
      <c r="D2099" s="355">
        <v>3.2250000000000001E-2</v>
      </c>
      <c r="AV2099" s="624"/>
      <c r="AX2099" s="624">
        <v>41198</v>
      </c>
      <c r="AY2099" s="355">
        <v>3.2399999999999998E-2</v>
      </c>
      <c r="AZ2099" s="624">
        <v>41262</v>
      </c>
      <c r="BA2099" s="355">
        <v>1.17E-2</v>
      </c>
      <c r="BB2099" s="624">
        <v>41193</v>
      </c>
      <c r="BC2099" s="355">
        <v>0.31569999999999998</v>
      </c>
      <c r="BD2099" s="624">
        <v>41193</v>
      </c>
      <c r="BE2099" s="355">
        <v>8.9810000000000001E-2</v>
      </c>
      <c r="BF2099" s="624">
        <v>41316</v>
      </c>
      <c r="BG2099" s="355">
        <v>1.8546E-2</v>
      </c>
      <c r="BH2099" s="624">
        <v>41193</v>
      </c>
      <c r="BI2099" s="355">
        <v>0.104352</v>
      </c>
      <c r="BJ2099" s="624">
        <v>41192</v>
      </c>
      <c r="BK2099" s="355">
        <v>3.2549000000000002E-2</v>
      </c>
    </row>
    <row r="2100" spans="3:63">
      <c r="C2100" s="624"/>
      <c r="D2100" s="355">
        <v>3.2399999999999998E-2</v>
      </c>
      <c r="AV2100" s="624"/>
      <c r="AX2100" s="624">
        <v>41199</v>
      </c>
      <c r="AY2100" s="355">
        <v>3.252E-2</v>
      </c>
      <c r="AZ2100" s="624">
        <v>41263</v>
      </c>
      <c r="BA2100" s="355">
        <v>1.17E-2</v>
      </c>
      <c r="BB2100" s="624">
        <v>41194</v>
      </c>
      <c r="BC2100" s="355">
        <v>0.31609999999999999</v>
      </c>
      <c r="BD2100" s="624">
        <v>41194</v>
      </c>
      <c r="BE2100" s="355">
        <v>8.9990000000000001E-2</v>
      </c>
      <c r="BF2100" s="624">
        <v>41317</v>
      </c>
      <c r="BG2100" s="355">
        <v>1.8610000000000002E-2</v>
      </c>
      <c r="BH2100" s="624">
        <v>41194</v>
      </c>
      <c r="BI2100" s="355">
        <v>0.10415000000000001</v>
      </c>
      <c r="BJ2100" s="624">
        <v>41193</v>
      </c>
      <c r="BK2100" s="355">
        <v>3.2563000000000002E-2</v>
      </c>
    </row>
    <row r="2101" spans="3:63">
      <c r="C2101" s="624"/>
      <c r="D2101" s="355">
        <v>3.252E-2</v>
      </c>
      <c r="AV2101" s="624"/>
      <c r="AX2101" s="624">
        <v>41200</v>
      </c>
      <c r="AY2101" s="355">
        <v>3.2480000000000002E-2</v>
      </c>
      <c r="AZ2101" s="624">
        <v>41264</v>
      </c>
      <c r="BA2101" s="355">
        <v>1.17E-2</v>
      </c>
      <c r="BB2101" s="624">
        <v>41197</v>
      </c>
      <c r="BC2101" s="355">
        <v>0.3165</v>
      </c>
      <c r="BD2101" s="624">
        <v>41197</v>
      </c>
      <c r="BE2101" s="355">
        <v>9.0069999999999997E-2</v>
      </c>
      <c r="BF2101" s="624">
        <v>41318</v>
      </c>
      <c r="BG2101" s="355">
        <v>1.8582000000000001E-2</v>
      </c>
      <c r="BH2101" s="624">
        <v>41197</v>
      </c>
      <c r="BI2101" s="355">
        <v>0.10406899999999999</v>
      </c>
      <c r="BJ2101" s="624">
        <v>41194</v>
      </c>
      <c r="BK2101" s="355">
        <v>3.2584000000000002E-2</v>
      </c>
    </row>
    <row r="2102" spans="3:63">
      <c r="C2102" s="624"/>
      <c r="D2102" s="355">
        <v>3.2480000000000002E-2</v>
      </c>
      <c r="AV2102" s="624"/>
      <c r="AX2102" s="624">
        <v>41201</v>
      </c>
      <c r="AY2102" s="355">
        <v>3.2379999999999999E-2</v>
      </c>
      <c r="AZ2102" s="624">
        <v>41267</v>
      </c>
      <c r="BA2102" s="355">
        <v>1.1599999999999999E-2</v>
      </c>
      <c r="BB2102" s="624">
        <v>41198</v>
      </c>
      <c r="BC2102" s="355">
        <v>0.3196</v>
      </c>
      <c r="BD2102" s="624">
        <v>41198</v>
      </c>
      <c r="BE2102" s="355">
        <v>9.0359999999999996E-2</v>
      </c>
      <c r="BF2102" s="624">
        <v>41319</v>
      </c>
      <c r="BG2102" s="355">
        <v>1.8526999999999998E-2</v>
      </c>
      <c r="BH2102" s="624">
        <v>41198</v>
      </c>
      <c r="BI2102" s="355">
        <v>0.10427599999999999</v>
      </c>
      <c r="BJ2102" s="624">
        <v>41197</v>
      </c>
      <c r="BK2102" s="355">
        <v>3.2551999999999998E-2</v>
      </c>
    </row>
    <row r="2103" spans="3:63">
      <c r="C2103" s="624"/>
      <c r="D2103" s="355">
        <v>3.2379999999999999E-2</v>
      </c>
      <c r="AV2103" s="624"/>
      <c r="AX2103" s="624">
        <v>41204</v>
      </c>
      <c r="AY2103" s="355">
        <v>3.2129999999999999E-2</v>
      </c>
      <c r="AZ2103" s="624">
        <v>41268</v>
      </c>
      <c r="BA2103" s="355">
        <v>1.1599999999999999E-2</v>
      </c>
      <c r="BB2103" s="624">
        <v>41199</v>
      </c>
      <c r="BC2103" s="355">
        <v>0.3201</v>
      </c>
      <c r="BD2103" s="624">
        <v>41199</v>
      </c>
      <c r="BE2103" s="355">
        <v>9.0450000000000003E-2</v>
      </c>
      <c r="BF2103" s="624">
        <v>41320</v>
      </c>
      <c r="BG2103" s="355">
        <v>1.8394000000000001E-2</v>
      </c>
      <c r="BH2103" s="624">
        <v>41199</v>
      </c>
      <c r="BI2103" s="355">
        <v>0.10445</v>
      </c>
      <c r="BJ2103" s="624">
        <v>41198</v>
      </c>
      <c r="BK2103" s="355">
        <v>3.2620000000000003E-2</v>
      </c>
    </row>
    <row r="2104" spans="3:63">
      <c r="C2104" s="624"/>
      <c r="D2104" s="355">
        <v>3.2129999999999999E-2</v>
      </c>
      <c r="AV2104" s="624"/>
      <c r="AX2104" s="624">
        <v>41205</v>
      </c>
      <c r="AY2104" s="355">
        <v>3.1859999999999999E-2</v>
      </c>
      <c r="AZ2104" s="624">
        <v>41269</v>
      </c>
      <c r="BA2104" s="355">
        <v>1.17E-2</v>
      </c>
      <c r="BB2104" s="624">
        <v>41200</v>
      </c>
      <c r="BC2104" s="355">
        <v>0.31890000000000002</v>
      </c>
      <c r="BD2104" s="624">
        <v>41200</v>
      </c>
      <c r="BE2104" s="355">
        <v>9.0509999999999993E-2</v>
      </c>
      <c r="BF2104" s="624">
        <v>41323</v>
      </c>
      <c r="BG2104" s="355">
        <v>1.8395999999999999E-2</v>
      </c>
      <c r="BH2104" s="624">
        <v>41200</v>
      </c>
      <c r="BI2104" s="355">
        <v>0.10433000000000001</v>
      </c>
      <c r="BJ2104" s="624">
        <v>41199</v>
      </c>
      <c r="BK2104" s="355">
        <v>3.2668999999999997E-2</v>
      </c>
    </row>
    <row r="2105" spans="3:63">
      <c r="C2105" s="624"/>
      <c r="D2105" s="355">
        <v>3.1859999999999999E-2</v>
      </c>
      <c r="AV2105" s="624"/>
      <c r="AX2105" s="624">
        <v>41206</v>
      </c>
      <c r="AY2105" s="355">
        <v>3.1809999999999998E-2</v>
      </c>
      <c r="AZ2105" s="624">
        <v>41270</v>
      </c>
      <c r="BA2105" s="355">
        <v>1.1599999999999999E-2</v>
      </c>
      <c r="BB2105" s="624">
        <v>41201</v>
      </c>
      <c r="BC2105" s="355">
        <v>0.31709999999999999</v>
      </c>
      <c r="BD2105" s="624">
        <v>41201</v>
      </c>
      <c r="BE2105" s="355">
        <v>9.0529999999999999E-2</v>
      </c>
      <c r="BF2105" s="624">
        <v>41324</v>
      </c>
      <c r="BG2105" s="355">
        <v>1.8478999999999999E-2</v>
      </c>
      <c r="BH2105" s="624">
        <v>41201</v>
      </c>
      <c r="BI2105" s="355">
        <v>0.104243</v>
      </c>
      <c r="BJ2105" s="624">
        <v>41200</v>
      </c>
      <c r="BK2105" s="355">
        <v>3.2590000000000001E-2</v>
      </c>
    </row>
    <row r="2106" spans="3:63">
      <c r="C2106" s="624"/>
      <c r="D2106" s="355">
        <v>3.1809999999999998E-2</v>
      </c>
      <c r="AV2106" s="624"/>
      <c r="AX2106" s="624">
        <v>41207</v>
      </c>
      <c r="AY2106" s="355">
        <v>3.1899999999999998E-2</v>
      </c>
      <c r="AZ2106" s="624">
        <v>41271</v>
      </c>
      <c r="BA2106" s="355">
        <v>1.17E-2</v>
      </c>
      <c r="BB2106" s="624">
        <v>41204</v>
      </c>
      <c r="BC2106" s="355">
        <v>0.31819999999999998</v>
      </c>
      <c r="BD2106" s="624">
        <v>41204</v>
      </c>
      <c r="BE2106" s="355">
        <v>9.0569999999999998E-2</v>
      </c>
      <c r="BF2106" s="624">
        <v>41325</v>
      </c>
      <c r="BG2106" s="355">
        <v>1.8415000000000001E-2</v>
      </c>
      <c r="BH2106" s="624">
        <v>41204</v>
      </c>
      <c r="BI2106" s="355">
        <v>0.10412299999999999</v>
      </c>
      <c r="BJ2106" s="624">
        <v>41201</v>
      </c>
      <c r="BK2106" s="355">
        <v>3.2557000000000003E-2</v>
      </c>
    </row>
    <row r="2107" spans="3:63">
      <c r="C2107" s="624"/>
      <c r="D2107" s="355">
        <v>3.1899999999999998E-2</v>
      </c>
      <c r="AV2107" s="624"/>
      <c r="AX2107" s="624">
        <v>41208</v>
      </c>
      <c r="AY2107" s="355">
        <v>3.1850000000000003E-2</v>
      </c>
      <c r="AZ2107" s="624">
        <v>41274</v>
      </c>
      <c r="BA2107" s="355">
        <v>1.17E-2</v>
      </c>
      <c r="BB2107" s="624">
        <v>41205</v>
      </c>
      <c r="BC2107" s="355">
        <v>0.3145</v>
      </c>
      <c r="BD2107" s="624">
        <v>41205</v>
      </c>
      <c r="BE2107" s="355">
        <v>9.0539999999999995E-2</v>
      </c>
      <c r="BF2107" s="624">
        <v>41326</v>
      </c>
      <c r="BG2107" s="355">
        <v>1.8290000000000001E-2</v>
      </c>
      <c r="BH2107" s="624">
        <v>41205</v>
      </c>
      <c r="BI2107" s="355">
        <v>0.10408100000000001</v>
      </c>
      <c r="BJ2107" s="624">
        <v>41204</v>
      </c>
      <c r="BK2107" s="355">
        <v>3.2551999999999998E-2</v>
      </c>
    </row>
    <row r="2108" spans="3:63">
      <c r="C2108" s="624"/>
      <c r="D2108" s="355">
        <v>3.1850000000000003E-2</v>
      </c>
      <c r="AV2108" s="624"/>
      <c r="AX2108" s="624">
        <v>41211</v>
      </c>
      <c r="AY2108" s="355">
        <v>3.1730000000000001E-2</v>
      </c>
      <c r="AZ2108" s="624">
        <v>41275</v>
      </c>
      <c r="BA2108" s="355">
        <v>1.18E-2</v>
      </c>
      <c r="BB2108" s="624">
        <v>41206</v>
      </c>
      <c r="BC2108" s="355">
        <v>0.31180000000000002</v>
      </c>
      <c r="BD2108" s="624">
        <v>41206</v>
      </c>
      <c r="BE2108" s="355">
        <v>9.0550000000000005E-2</v>
      </c>
      <c r="BF2108" s="624">
        <v>41327</v>
      </c>
      <c r="BG2108" s="355">
        <v>1.8422999999999998E-2</v>
      </c>
      <c r="BH2108" s="624">
        <v>41206</v>
      </c>
      <c r="BI2108" s="355">
        <v>0.104059</v>
      </c>
      <c r="BJ2108" s="624">
        <v>41205</v>
      </c>
      <c r="BK2108" s="355">
        <v>3.252E-2</v>
      </c>
    </row>
    <row r="2109" spans="3:63">
      <c r="C2109" s="624"/>
      <c r="D2109" s="355">
        <v>3.1730000000000001E-2</v>
      </c>
      <c r="AV2109" s="624"/>
      <c r="AX2109" s="624">
        <v>41212</v>
      </c>
      <c r="AY2109" s="355">
        <v>3.1859999999999999E-2</v>
      </c>
      <c r="AZ2109" s="624">
        <v>41276</v>
      </c>
      <c r="BA2109" s="355">
        <v>1.17E-2</v>
      </c>
      <c r="BB2109" s="624">
        <v>41207</v>
      </c>
      <c r="BC2109" s="355">
        <v>0.31140000000000001</v>
      </c>
      <c r="BD2109" s="624">
        <v>41207</v>
      </c>
      <c r="BE2109" s="355">
        <v>9.1130000000000003E-2</v>
      </c>
      <c r="BF2109" s="624">
        <v>41330</v>
      </c>
      <c r="BG2109" s="355">
        <v>1.8485999999999999E-2</v>
      </c>
      <c r="BH2109" s="624">
        <v>41207</v>
      </c>
      <c r="BI2109" s="355">
        <v>0.10419399999999999</v>
      </c>
      <c r="BJ2109" s="624">
        <v>41206</v>
      </c>
      <c r="BK2109" s="355">
        <v>3.2547E-2</v>
      </c>
    </row>
    <row r="2110" spans="3:63">
      <c r="C2110" s="624"/>
      <c r="D2110" s="355">
        <v>3.1859999999999999E-2</v>
      </c>
      <c r="AV2110" s="624"/>
      <c r="AX2110" s="624">
        <v>41213</v>
      </c>
      <c r="AY2110" s="355">
        <v>3.1899999999999998E-2</v>
      </c>
      <c r="AZ2110" s="624">
        <v>41277</v>
      </c>
      <c r="BA2110" s="355">
        <v>1.17E-2</v>
      </c>
      <c r="BB2110" s="624">
        <v>41208</v>
      </c>
      <c r="BC2110" s="355">
        <v>0.31309999999999999</v>
      </c>
      <c r="BD2110" s="624">
        <v>41208</v>
      </c>
      <c r="BE2110" s="355">
        <v>9.1139999999999999E-2</v>
      </c>
      <c r="BF2110" s="624">
        <v>41331</v>
      </c>
      <c r="BG2110" s="355">
        <v>1.8491E-2</v>
      </c>
      <c r="BH2110" s="624">
        <v>41208</v>
      </c>
      <c r="BI2110" s="355">
        <v>0.104048</v>
      </c>
      <c r="BJ2110" s="624">
        <v>41207</v>
      </c>
      <c r="BK2110" s="355">
        <v>3.2594999999999999E-2</v>
      </c>
    </row>
    <row r="2111" spans="3:63">
      <c r="C2111" s="624"/>
      <c r="D2111" s="355">
        <v>3.1899999999999998E-2</v>
      </c>
      <c r="AV2111" s="624"/>
      <c r="AX2111" s="624">
        <v>41214</v>
      </c>
      <c r="AY2111" s="355">
        <v>3.1960000000000002E-2</v>
      </c>
      <c r="AZ2111" s="624">
        <v>41278</v>
      </c>
      <c r="BA2111" s="355">
        <v>1.1599999999999999E-2</v>
      </c>
      <c r="BB2111" s="624">
        <v>41211</v>
      </c>
      <c r="BC2111" s="355">
        <v>0.31109999999999999</v>
      </c>
      <c r="BD2111" s="624">
        <v>41211</v>
      </c>
      <c r="BE2111" s="355">
        <v>9.11E-2</v>
      </c>
      <c r="BF2111" s="624">
        <v>41332</v>
      </c>
      <c r="BG2111" s="355">
        <v>1.8610000000000002E-2</v>
      </c>
      <c r="BH2111" s="624">
        <v>41211</v>
      </c>
      <c r="BI2111" s="355">
        <v>0.104119</v>
      </c>
      <c r="BJ2111" s="624">
        <v>41208</v>
      </c>
      <c r="BK2111" s="355">
        <v>3.2572999999999998E-2</v>
      </c>
    </row>
    <row r="2112" spans="3:63">
      <c r="C2112" s="624"/>
      <c r="D2112" s="355">
        <v>3.1960000000000002E-2</v>
      </c>
      <c r="AV2112" s="624"/>
      <c r="AX2112" s="624">
        <v>41215</v>
      </c>
      <c r="AY2112" s="355">
        <v>3.177E-2</v>
      </c>
      <c r="AZ2112" s="624">
        <v>41281</v>
      </c>
      <c r="BA2112" s="355">
        <v>1.1599999999999999E-2</v>
      </c>
      <c r="BB2112" s="624">
        <v>41212</v>
      </c>
      <c r="BC2112" s="355">
        <v>0.31390000000000001</v>
      </c>
      <c r="BD2112" s="624">
        <v>41212</v>
      </c>
      <c r="BE2112" s="355">
        <v>9.1649999999999995E-2</v>
      </c>
      <c r="BF2112" s="624">
        <v>41333</v>
      </c>
      <c r="BG2112" s="355">
        <v>1.8297000000000001E-2</v>
      </c>
      <c r="BH2112" s="624">
        <v>41212</v>
      </c>
      <c r="BI2112" s="355">
        <v>0.104005</v>
      </c>
      <c r="BJ2112" s="624">
        <v>41211</v>
      </c>
      <c r="BK2112" s="355">
        <v>3.2551999999999998E-2</v>
      </c>
    </row>
    <row r="2113" spans="3:63">
      <c r="C2113" s="624"/>
      <c r="D2113" s="355">
        <v>3.177E-2</v>
      </c>
      <c r="AV2113" s="624"/>
      <c r="AX2113" s="624">
        <v>41218</v>
      </c>
      <c r="AY2113" s="355">
        <v>3.1660000000000001E-2</v>
      </c>
      <c r="AZ2113" s="624">
        <v>41282</v>
      </c>
      <c r="BA2113" s="355">
        <v>1.17E-2</v>
      </c>
      <c r="BB2113" s="624">
        <v>41213</v>
      </c>
      <c r="BC2113" s="355">
        <v>0.31309999999999999</v>
      </c>
      <c r="BD2113" s="624">
        <v>41213</v>
      </c>
      <c r="BE2113" s="355">
        <v>9.171E-2</v>
      </c>
      <c r="BF2113" s="624">
        <v>41334</v>
      </c>
      <c r="BG2113" s="355">
        <v>1.8159999999999999E-2</v>
      </c>
      <c r="BH2113" s="624">
        <v>41213</v>
      </c>
      <c r="BI2113" s="355">
        <v>0.104113</v>
      </c>
      <c r="BJ2113" s="624">
        <v>41212</v>
      </c>
      <c r="BK2113" s="355">
        <v>3.2563000000000002E-2</v>
      </c>
    </row>
    <row r="2114" spans="3:63">
      <c r="C2114" s="624"/>
      <c r="D2114" s="355">
        <v>3.1660000000000001E-2</v>
      </c>
      <c r="AV2114" s="624"/>
      <c r="AX2114" s="624">
        <v>41219</v>
      </c>
      <c r="AY2114" s="355">
        <v>3.1850000000000003E-2</v>
      </c>
      <c r="AZ2114" s="624">
        <v>41283</v>
      </c>
      <c r="BA2114" s="355">
        <v>1.17E-2</v>
      </c>
      <c r="BB2114" s="624">
        <v>41214</v>
      </c>
      <c r="BC2114" s="355">
        <v>0.31419999999999998</v>
      </c>
      <c r="BD2114" s="624">
        <v>41214</v>
      </c>
      <c r="BE2114" s="355">
        <v>9.1619999999999993E-2</v>
      </c>
      <c r="BF2114" s="624">
        <v>41337</v>
      </c>
      <c r="BG2114" s="355">
        <v>1.8197999999999999E-2</v>
      </c>
      <c r="BH2114" s="624">
        <v>41214</v>
      </c>
      <c r="BI2114" s="355">
        <v>0.103993</v>
      </c>
      <c r="BJ2114" s="624">
        <v>41213</v>
      </c>
      <c r="BK2114" s="355">
        <v>3.2572999999999998E-2</v>
      </c>
    </row>
    <row r="2115" spans="3:63">
      <c r="C2115" s="624"/>
      <c r="D2115" s="355">
        <v>3.1850000000000003E-2</v>
      </c>
      <c r="AV2115" s="624"/>
      <c r="AX2115" s="624">
        <v>41220</v>
      </c>
      <c r="AY2115" s="355">
        <v>3.168E-2</v>
      </c>
      <c r="AZ2115" s="624">
        <v>41284</v>
      </c>
      <c r="BA2115" s="355">
        <v>1.1900000000000001E-2</v>
      </c>
      <c r="BB2115" s="624">
        <v>41215</v>
      </c>
      <c r="BC2115" s="355">
        <v>0.3125</v>
      </c>
      <c r="BD2115" s="624">
        <v>41215</v>
      </c>
      <c r="BE2115" s="355">
        <v>9.1619999999999993E-2</v>
      </c>
      <c r="BF2115" s="624">
        <v>41338</v>
      </c>
      <c r="BG2115" s="355">
        <v>1.8201999999999999E-2</v>
      </c>
      <c r="BH2115" s="624">
        <v>41215</v>
      </c>
      <c r="BI2115" s="355">
        <v>0.104005</v>
      </c>
      <c r="BJ2115" s="624">
        <v>41214</v>
      </c>
      <c r="BK2115" s="355">
        <v>3.2551999999999998E-2</v>
      </c>
    </row>
    <row r="2116" spans="3:63">
      <c r="C2116" s="624"/>
      <c r="D2116" s="355">
        <v>3.168E-2</v>
      </c>
      <c r="AV2116" s="624"/>
      <c r="AX2116" s="624">
        <v>41221</v>
      </c>
      <c r="AY2116" s="355">
        <v>3.175E-2</v>
      </c>
      <c r="AZ2116" s="624">
        <v>41285</v>
      </c>
      <c r="BA2116" s="355">
        <v>1.1900000000000001E-2</v>
      </c>
      <c r="BB2116" s="624">
        <v>41218</v>
      </c>
      <c r="BC2116" s="355">
        <v>0.31119999999999998</v>
      </c>
      <c r="BD2116" s="624">
        <v>41218</v>
      </c>
      <c r="BE2116" s="355">
        <v>9.1539999999999996E-2</v>
      </c>
      <c r="BF2116" s="624">
        <v>41339</v>
      </c>
      <c r="BG2116" s="355">
        <v>1.8242999999999999E-2</v>
      </c>
      <c r="BH2116" s="624">
        <v>41218</v>
      </c>
      <c r="BI2116" s="355">
        <v>0.103951</v>
      </c>
      <c r="BJ2116" s="624">
        <v>41215</v>
      </c>
      <c r="BK2116" s="355">
        <v>3.2509999999999997E-2</v>
      </c>
    </row>
    <row r="2117" spans="3:63">
      <c r="C2117" s="624"/>
      <c r="D2117" s="355">
        <v>3.175E-2</v>
      </c>
      <c r="AV2117" s="624"/>
      <c r="AX2117" s="624">
        <v>41222</v>
      </c>
      <c r="AY2117" s="355">
        <v>3.1669999999999997E-2</v>
      </c>
      <c r="AZ2117" s="624">
        <v>41288</v>
      </c>
      <c r="BA2117" s="355">
        <v>1.2E-2</v>
      </c>
      <c r="BB2117" s="624">
        <v>41219</v>
      </c>
      <c r="BC2117" s="355">
        <v>0.31119999999999998</v>
      </c>
      <c r="BD2117" s="624">
        <v>41219</v>
      </c>
      <c r="BE2117" s="355">
        <v>9.171E-2</v>
      </c>
      <c r="BF2117" s="624">
        <v>41340</v>
      </c>
      <c r="BG2117" s="355">
        <v>1.8363999999999998E-2</v>
      </c>
      <c r="BH2117" s="624">
        <v>41219</v>
      </c>
      <c r="BI2117" s="355">
        <v>0.103951</v>
      </c>
      <c r="BJ2117" s="624">
        <v>41218</v>
      </c>
      <c r="BK2117" s="355">
        <v>3.2461999999999998E-2</v>
      </c>
    </row>
    <row r="2118" spans="3:63">
      <c r="C2118" s="624"/>
      <c r="D2118" s="355">
        <v>3.1669999999999997E-2</v>
      </c>
      <c r="AV2118" s="624"/>
      <c r="AX2118" s="624">
        <v>41225</v>
      </c>
      <c r="AY2118" s="355">
        <v>3.1609999999999999E-2</v>
      </c>
      <c r="AZ2118" s="624">
        <v>41289</v>
      </c>
      <c r="BA2118" s="355">
        <v>1.1900000000000001E-2</v>
      </c>
      <c r="BB2118" s="624">
        <v>41220</v>
      </c>
      <c r="BC2118" s="355">
        <v>0.30840000000000001</v>
      </c>
      <c r="BD2118" s="624">
        <v>41220</v>
      </c>
      <c r="BE2118" s="355">
        <v>9.2060000000000003E-2</v>
      </c>
      <c r="BF2118" s="624">
        <v>41341</v>
      </c>
      <c r="BG2118" s="355">
        <v>1.8407E-2</v>
      </c>
      <c r="BH2118" s="624">
        <v>41220</v>
      </c>
      <c r="BI2118" s="355">
        <v>0.104113</v>
      </c>
      <c r="BJ2118" s="624">
        <v>41219</v>
      </c>
      <c r="BK2118" s="355">
        <v>3.2530999999999997E-2</v>
      </c>
    </row>
    <row r="2119" spans="3:63">
      <c r="C2119" s="624"/>
      <c r="D2119" s="355">
        <v>3.1609999999999999E-2</v>
      </c>
      <c r="AV2119" s="624"/>
      <c r="AX2119" s="624">
        <v>41226</v>
      </c>
      <c r="AY2119" s="355">
        <v>3.1489999999999997E-2</v>
      </c>
      <c r="AZ2119" s="624">
        <v>41290</v>
      </c>
      <c r="BA2119" s="355">
        <v>1.18E-2</v>
      </c>
      <c r="BB2119" s="624">
        <v>41221</v>
      </c>
      <c r="BC2119" s="355">
        <v>0.30549999999999999</v>
      </c>
      <c r="BD2119" s="624">
        <v>41221</v>
      </c>
      <c r="BE2119" s="355">
        <v>9.1679999999999998E-2</v>
      </c>
      <c r="BF2119" s="624">
        <v>41344</v>
      </c>
      <c r="BG2119" s="355">
        <v>1.8402999999999999E-2</v>
      </c>
      <c r="BH2119" s="624">
        <v>41221</v>
      </c>
      <c r="BI2119" s="355">
        <v>0.103843</v>
      </c>
      <c r="BJ2119" s="624">
        <v>41220</v>
      </c>
      <c r="BK2119" s="355">
        <v>3.2557000000000003E-2</v>
      </c>
    </row>
    <row r="2120" spans="3:63">
      <c r="C2120" s="624"/>
      <c r="D2120" s="355">
        <v>3.1489999999999997E-2</v>
      </c>
      <c r="AV2120" s="624"/>
      <c r="AX2120" s="624">
        <v>41227</v>
      </c>
      <c r="AY2120" s="355">
        <v>3.1539999999999999E-2</v>
      </c>
      <c r="AZ2120" s="624">
        <v>41291</v>
      </c>
      <c r="BA2120" s="355">
        <v>1.1900000000000001E-2</v>
      </c>
      <c r="BB2120" s="624">
        <v>41222</v>
      </c>
      <c r="BC2120" s="355">
        <v>0.30530000000000002</v>
      </c>
      <c r="BD2120" s="624">
        <v>41222</v>
      </c>
      <c r="BE2120" s="355">
        <v>9.1740000000000002E-2</v>
      </c>
      <c r="BF2120" s="624">
        <v>41345</v>
      </c>
      <c r="BG2120" s="355">
        <v>1.8447999999999999E-2</v>
      </c>
      <c r="BH2120" s="624">
        <v>41222</v>
      </c>
      <c r="BI2120" s="355">
        <v>0.103962</v>
      </c>
      <c r="BJ2120" s="624">
        <v>41221</v>
      </c>
      <c r="BK2120" s="355">
        <v>3.2571000000000003E-2</v>
      </c>
    </row>
    <row r="2121" spans="3:63">
      <c r="C2121" s="624"/>
      <c r="D2121" s="355">
        <v>3.1539999999999999E-2</v>
      </c>
      <c r="AV2121" s="624"/>
      <c r="AX2121" s="624">
        <v>41228</v>
      </c>
      <c r="AY2121" s="355">
        <v>3.1570000000000001E-2</v>
      </c>
      <c r="AZ2121" s="624">
        <v>41292</v>
      </c>
      <c r="BA2121" s="355">
        <v>1.1900000000000001E-2</v>
      </c>
      <c r="BB2121" s="624">
        <v>41225</v>
      </c>
      <c r="BC2121" s="355">
        <v>0.30499999999999999</v>
      </c>
      <c r="BD2121" s="624">
        <v>41225</v>
      </c>
      <c r="BE2121" s="355">
        <v>9.1730000000000006E-2</v>
      </c>
      <c r="BF2121" s="624">
        <v>41346</v>
      </c>
      <c r="BG2121" s="355">
        <v>1.8370999999999998E-2</v>
      </c>
      <c r="BH2121" s="624">
        <v>41225</v>
      </c>
      <c r="BI2121" s="355">
        <v>0.103961</v>
      </c>
      <c r="BJ2121" s="624">
        <v>41222</v>
      </c>
      <c r="BK2121" s="355">
        <v>3.2641999999999997E-2</v>
      </c>
    </row>
    <row r="2122" spans="3:63">
      <c r="C2122" s="624"/>
      <c r="D2122" s="355">
        <v>3.1570000000000001E-2</v>
      </c>
      <c r="AV2122" s="624"/>
      <c r="AX2122" s="624">
        <v>41229</v>
      </c>
      <c r="AY2122" s="355">
        <v>3.1530000000000002E-2</v>
      </c>
      <c r="AZ2122" s="624">
        <v>41295</v>
      </c>
      <c r="BA2122" s="355">
        <v>1.1900000000000001E-2</v>
      </c>
      <c r="BB2122" s="624">
        <v>41226</v>
      </c>
      <c r="BC2122" s="355">
        <v>0.3034</v>
      </c>
      <c r="BD2122" s="624">
        <v>41226</v>
      </c>
      <c r="BE2122" s="355">
        <v>9.1819999999999999E-2</v>
      </c>
      <c r="BF2122" s="624">
        <v>41347</v>
      </c>
      <c r="BG2122" s="355">
        <v>1.8478999999999999E-2</v>
      </c>
      <c r="BH2122" s="624">
        <v>41226</v>
      </c>
      <c r="BI2122" s="355">
        <v>0.10398300000000001</v>
      </c>
      <c r="BJ2122" s="624">
        <v>41225</v>
      </c>
      <c r="BK2122" s="355">
        <v>3.2626000000000002E-2</v>
      </c>
    </row>
    <row r="2123" spans="3:63">
      <c r="C2123" s="624"/>
      <c r="D2123" s="355">
        <v>3.1530000000000002E-2</v>
      </c>
      <c r="AV2123" s="624"/>
      <c r="AX2123" s="624">
        <v>41232</v>
      </c>
      <c r="AY2123" s="355">
        <v>3.1850000000000003E-2</v>
      </c>
      <c r="AZ2123" s="624">
        <v>41296</v>
      </c>
      <c r="BA2123" s="355">
        <v>1.1900000000000001E-2</v>
      </c>
      <c r="BB2123" s="624">
        <v>41227</v>
      </c>
      <c r="BC2123" s="355">
        <v>0.30509999999999998</v>
      </c>
      <c r="BD2123" s="624">
        <v>41227</v>
      </c>
      <c r="BE2123" s="355">
        <v>9.1980000000000006E-2</v>
      </c>
      <c r="BF2123" s="624">
        <v>41348</v>
      </c>
      <c r="BG2123" s="355">
        <v>1.8492999999999999E-2</v>
      </c>
      <c r="BH2123" s="624">
        <v>41227</v>
      </c>
      <c r="BI2123" s="355">
        <v>0.103897</v>
      </c>
      <c r="BJ2123" s="624">
        <v>41226</v>
      </c>
      <c r="BK2123" s="355">
        <v>3.2589E-2</v>
      </c>
    </row>
    <row r="2124" spans="3:63">
      <c r="C2124" s="624"/>
      <c r="D2124" s="355">
        <v>3.1850000000000003E-2</v>
      </c>
      <c r="AV2124" s="624"/>
      <c r="AX2124" s="624">
        <v>41233</v>
      </c>
      <c r="AY2124" s="355">
        <v>3.1940000000000003E-2</v>
      </c>
      <c r="AZ2124" s="624">
        <v>41297</v>
      </c>
      <c r="BA2124" s="355">
        <v>1.2E-2</v>
      </c>
      <c r="BB2124" s="624">
        <v>41228</v>
      </c>
      <c r="BC2124" s="355">
        <v>0.3075</v>
      </c>
      <c r="BD2124" s="624">
        <v>41228</v>
      </c>
      <c r="BE2124" s="355">
        <v>9.1859999999999997E-2</v>
      </c>
      <c r="BF2124" s="624">
        <v>41351</v>
      </c>
      <c r="BG2124" s="355">
        <v>1.8475999999999999E-2</v>
      </c>
      <c r="BH2124" s="624">
        <v>41228</v>
      </c>
      <c r="BI2124" s="355">
        <v>0.103897</v>
      </c>
      <c r="BJ2124" s="624">
        <v>41227</v>
      </c>
      <c r="BK2124" s="355">
        <v>3.2594999999999999E-2</v>
      </c>
    </row>
    <row r="2125" spans="3:63">
      <c r="C2125" s="624"/>
      <c r="D2125" s="355">
        <v>3.1940000000000003E-2</v>
      </c>
      <c r="AV2125" s="624"/>
      <c r="AX2125" s="624">
        <v>41234</v>
      </c>
      <c r="AY2125" s="355">
        <v>3.2070000000000001E-2</v>
      </c>
      <c r="AZ2125" s="624">
        <v>41298</v>
      </c>
      <c r="BA2125" s="355">
        <v>1.2E-2</v>
      </c>
      <c r="BB2125" s="624">
        <v>41229</v>
      </c>
      <c r="BC2125" s="355">
        <v>0.30620000000000003</v>
      </c>
      <c r="BD2125" s="624">
        <v>41229</v>
      </c>
      <c r="BE2125" s="355">
        <v>9.1600000000000001E-2</v>
      </c>
      <c r="BF2125" s="624">
        <v>41352</v>
      </c>
      <c r="BG2125" s="355">
        <v>1.8350000000000002E-2</v>
      </c>
      <c r="BH2125" s="624">
        <v>41229</v>
      </c>
      <c r="BI2125" s="355">
        <v>0.103897</v>
      </c>
      <c r="BJ2125" s="624">
        <v>41228</v>
      </c>
      <c r="BK2125" s="355">
        <v>3.2551999999999998E-2</v>
      </c>
    </row>
    <row r="2126" spans="3:63">
      <c r="C2126" s="624"/>
      <c r="D2126" s="355">
        <v>3.2070000000000001E-2</v>
      </c>
      <c r="AV2126" s="624"/>
      <c r="AX2126" s="624">
        <v>41235</v>
      </c>
      <c r="AY2126" s="355">
        <v>3.2079999999999997E-2</v>
      </c>
      <c r="AZ2126" s="624">
        <v>41299</v>
      </c>
      <c r="BA2126" s="355">
        <v>1.2E-2</v>
      </c>
      <c r="BB2126" s="624">
        <v>41232</v>
      </c>
      <c r="BC2126" s="355">
        <v>0.31069999999999998</v>
      </c>
      <c r="BD2126" s="624">
        <v>41232</v>
      </c>
      <c r="BE2126" s="355">
        <v>9.2109999999999997E-2</v>
      </c>
      <c r="BF2126" s="624">
        <v>41353</v>
      </c>
      <c r="BG2126" s="355">
        <v>1.8391000000000001E-2</v>
      </c>
      <c r="BH2126" s="624">
        <v>41232</v>
      </c>
      <c r="BI2126" s="355">
        <v>0.103843</v>
      </c>
      <c r="BJ2126" s="624">
        <v>41229</v>
      </c>
      <c r="BK2126" s="355">
        <v>3.2541E-2</v>
      </c>
    </row>
    <row r="2127" spans="3:63">
      <c r="C2127" s="624"/>
      <c r="D2127" s="355">
        <v>3.2079999999999997E-2</v>
      </c>
      <c r="AV2127" s="624"/>
      <c r="AX2127" s="624">
        <v>41236</v>
      </c>
      <c r="AY2127" s="355">
        <v>3.2210000000000003E-2</v>
      </c>
      <c r="AZ2127" s="624">
        <v>41302</v>
      </c>
      <c r="BA2127" s="355">
        <v>1.2E-2</v>
      </c>
      <c r="BB2127" s="624">
        <v>41233</v>
      </c>
      <c r="BC2127" s="355">
        <v>0.31140000000000001</v>
      </c>
      <c r="BD2127" s="624">
        <v>41233</v>
      </c>
      <c r="BE2127" s="355">
        <v>9.2329999999999995E-2</v>
      </c>
      <c r="BF2127" s="624">
        <v>41354</v>
      </c>
      <c r="BG2127" s="355">
        <v>1.8387000000000001E-2</v>
      </c>
      <c r="BH2127" s="624">
        <v>41233</v>
      </c>
      <c r="BI2127" s="355">
        <v>0.103811</v>
      </c>
      <c r="BJ2127" s="624">
        <v>41232</v>
      </c>
      <c r="BK2127" s="355">
        <v>3.2572999999999998E-2</v>
      </c>
    </row>
    <row r="2128" spans="3:63">
      <c r="C2128" s="624"/>
      <c r="D2128" s="355">
        <v>3.2210000000000003E-2</v>
      </c>
      <c r="AV2128" s="624"/>
      <c r="AX2128" s="624">
        <v>41239</v>
      </c>
      <c r="AY2128" s="355">
        <v>3.2239999999999998E-2</v>
      </c>
      <c r="AZ2128" s="624">
        <v>41303</v>
      </c>
      <c r="BA2128" s="355">
        <v>1.21E-2</v>
      </c>
      <c r="BB2128" s="624">
        <v>41234</v>
      </c>
      <c r="BC2128" s="355">
        <v>0.31169999999999998</v>
      </c>
      <c r="BD2128" s="624">
        <v>41234</v>
      </c>
      <c r="BE2128" s="355">
        <v>9.2410000000000006E-2</v>
      </c>
      <c r="BF2128" s="624">
        <v>41355</v>
      </c>
      <c r="BG2128" s="355">
        <v>1.8405999999999999E-2</v>
      </c>
      <c r="BH2128" s="624">
        <v>41234</v>
      </c>
      <c r="BI2128" s="355">
        <v>0.103778</v>
      </c>
      <c r="BJ2128" s="624">
        <v>41233</v>
      </c>
      <c r="BK2128" s="355">
        <v>3.2597000000000001E-2</v>
      </c>
    </row>
    <row r="2129" spans="3:63">
      <c r="C2129" s="624"/>
      <c r="D2129" s="355">
        <v>3.2239999999999998E-2</v>
      </c>
      <c r="AV2129" s="624"/>
      <c r="AX2129" s="624">
        <v>41240</v>
      </c>
      <c r="AY2129" s="355">
        <v>3.2199999999999999E-2</v>
      </c>
      <c r="AZ2129" s="624">
        <v>41304</v>
      </c>
      <c r="BA2129" s="355">
        <v>1.2200000000000001E-2</v>
      </c>
      <c r="BB2129" s="624">
        <v>41235</v>
      </c>
      <c r="BC2129" s="355">
        <v>0.31369999999999998</v>
      </c>
      <c r="BD2129" s="624">
        <v>41235</v>
      </c>
      <c r="BE2129" s="355">
        <v>9.2109999999999997E-2</v>
      </c>
      <c r="BF2129" s="624">
        <v>41358</v>
      </c>
      <c r="BG2129" s="355">
        <v>1.8408000000000001E-2</v>
      </c>
      <c r="BH2129" s="624">
        <v>41235</v>
      </c>
      <c r="BI2129" s="355">
        <v>0.103961</v>
      </c>
      <c r="BJ2129" s="624">
        <v>41234</v>
      </c>
      <c r="BK2129" s="355">
        <v>3.2578999999999997E-2</v>
      </c>
    </row>
    <row r="2130" spans="3:63">
      <c r="C2130" s="624"/>
      <c r="D2130" s="355">
        <v>3.2199999999999999E-2</v>
      </c>
      <c r="AV2130" s="624"/>
      <c r="AX2130" s="624">
        <v>41241</v>
      </c>
      <c r="AY2130" s="355">
        <v>3.218E-2</v>
      </c>
      <c r="AZ2130" s="624">
        <v>41305</v>
      </c>
      <c r="BA2130" s="355">
        <v>1.2200000000000001E-2</v>
      </c>
      <c r="BB2130" s="624">
        <v>41236</v>
      </c>
      <c r="BC2130" s="355">
        <v>0.31519999999999998</v>
      </c>
      <c r="BD2130" s="624">
        <v>41236</v>
      </c>
      <c r="BE2130" s="355">
        <v>9.214E-2</v>
      </c>
      <c r="BF2130" s="624">
        <v>41359</v>
      </c>
      <c r="BG2130" s="355">
        <v>1.8363999999999998E-2</v>
      </c>
      <c r="BH2130" s="624">
        <v>41236</v>
      </c>
      <c r="BI2130" s="355">
        <v>0.10402699999999999</v>
      </c>
      <c r="BJ2130" s="624">
        <v>41235</v>
      </c>
      <c r="BK2130" s="355">
        <v>3.2572999999999998E-2</v>
      </c>
    </row>
    <row r="2131" spans="3:63">
      <c r="C2131" s="624"/>
      <c r="D2131" s="355">
        <v>3.218E-2</v>
      </c>
      <c r="AV2131" s="624"/>
      <c r="AX2131" s="624">
        <v>41242</v>
      </c>
      <c r="AY2131" s="355">
        <v>3.2370000000000003E-2</v>
      </c>
      <c r="AZ2131" s="624">
        <v>41306</v>
      </c>
      <c r="BA2131" s="355">
        <v>1.23E-2</v>
      </c>
      <c r="BB2131" s="624">
        <v>41239</v>
      </c>
      <c r="BC2131" s="355">
        <v>0.316</v>
      </c>
      <c r="BD2131" s="624">
        <v>41239</v>
      </c>
      <c r="BE2131" s="355">
        <v>9.2090000000000005E-2</v>
      </c>
      <c r="BF2131" s="624">
        <v>41361</v>
      </c>
      <c r="BG2131" s="355">
        <v>1.8356999999999998E-2</v>
      </c>
      <c r="BH2131" s="624">
        <v>41239</v>
      </c>
      <c r="BI2131" s="355">
        <v>0.104286</v>
      </c>
      <c r="BJ2131" s="624">
        <v>41236</v>
      </c>
      <c r="BK2131" s="355">
        <v>3.2557000000000003E-2</v>
      </c>
    </row>
    <row r="2132" spans="3:63">
      <c r="C2132" s="624"/>
      <c r="D2132" s="355">
        <v>3.2370000000000003E-2</v>
      </c>
      <c r="AV2132" s="624"/>
      <c r="AX2132" s="624">
        <v>41243</v>
      </c>
      <c r="AY2132" s="355">
        <v>3.2370000000000003E-2</v>
      </c>
      <c r="AZ2132" s="624">
        <v>41309</v>
      </c>
      <c r="BA2132" s="355">
        <v>1.21E-2</v>
      </c>
      <c r="BB2132" s="624">
        <v>41240</v>
      </c>
      <c r="BC2132" s="355">
        <v>0.31569999999999998</v>
      </c>
      <c r="BD2132" s="624">
        <v>41240</v>
      </c>
      <c r="BE2132" s="355">
        <v>9.2050000000000007E-2</v>
      </c>
      <c r="BF2132" s="624">
        <v>41366</v>
      </c>
      <c r="BG2132" s="355">
        <v>1.8363999999999998E-2</v>
      </c>
      <c r="BH2132" s="624">
        <v>41240</v>
      </c>
      <c r="BI2132" s="355">
        <v>0.104102</v>
      </c>
      <c r="BJ2132" s="624">
        <v>41239</v>
      </c>
      <c r="BK2132" s="355">
        <v>3.2594999999999999E-2</v>
      </c>
    </row>
    <row r="2133" spans="3:63">
      <c r="C2133" s="624"/>
      <c r="D2133" s="355">
        <v>3.2370000000000003E-2</v>
      </c>
      <c r="AV2133" s="624"/>
      <c r="AX2133" s="624">
        <v>41246</v>
      </c>
      <c r="AY2133" s="355">
        <v>3.2370000000000003E-2</v>
      </c>
      <c r="AZ2133" s="624">
        <v>41310</v>
      </c>
      <c r="BA2133" s="355">
        <v>1.2200000000000001E-2</v>
      </c>
      <c r="BB2133" s="624">
        <v>41241</v>
      </c>
      <c r="BC2133" s="355">
        <v>0.3155</v>
      </c>
      <c r="BD2133" s="624">
        <v>41241</v>
      </c>
      <c r="BE2133" s="355">
        <v>9.214E-2</v>
      </c>
      <c r="BF2133" s="624">
        <v>41367</v>
      </c>
      <c r="BG2133" s="355">
        <v>1.8336999999999999E-2</v>
      </c>
      <c r="BH2133" s="624">
        <v>41241</v>
      </c>
      <c r="BI2133" s="355">
        <v>0.104167</v>
      </c>
      <c r="BJ2133" s="624">
        <v>41240</v>
      </c>
      <c r="BK2133" s="355">
        <v>3.2584000000000002E-2</v>
      </c>
    </row>
    <row r="2134" spans="3:63">
      <c r="C2134" s="624"/>
      <c r="D2134" s="355">
        <v>3.2370000000000003E-2</v>
      </c>
      <c r="AV2134" s="624"/>
      <c r="AX2134" s="624">
        <v>41247</v>
      </c>
      <c r="AY2134" s="355">
        <v>3.243E-2</v>
      </c>
      <c r="AZ2134" s="624">
        <v>41311</v>
      </c>
      <c r="BA2134" s="355">
        <v>1.2200000000000001E-2</v>
      </c>
      <c r="BB2134" s="624">
        <v>41242</v>
      </c>
      <c r="BC2134" s="355">
        <v>0.3175</v>
      </c>
      <c r="BD2134" s="624">
        <v>41242</v>
      </c>
      <c r="BE2134" s="355">
        <v>9.2329999999999995E-2</v>
      </c>
      <c r="BF2134" s="624">
        <v>41368</v>
      </c>
      <c r="BG2134" s="355">
        <v>1.8211000000000001E-2</v>
      </c>
      <c r="BH2134" s="624">
        <v>41242</v>
      </c>
      <c r="BI2134" s="355">
        <v>0.104167</v>
      </c>
      <c r="BJ2134" s="624">
        <v>41241</v>
      </c>
      <c r="BK2134" s="355">
        <v>3.2541E-2</v>
      </c>
    </row>
    <row r="2135" spans="3:63">
      <c r="C2135" s="624"/>
      <c r="D2135" s="355">
        <v>3.243E-2</v>
      </c>
      <c r="AV2135" s="624"/>
      <c r="AX2135" s="624">
        <v>41248</v>
      </c>
      <c r="AY2135" s="355">
        <v>3.2469999999999999E-2</v>
      </c>
      <c r="AZ2135" s="624">
        <v>41312</v>
      </c>
      <c r="BA2135" s="355">
        <v>1.2E-2</v>
      </c>
      <c r="BB2135" s="624">
        <v>41243</v>
      </c>
      <c r="BC2135" s="355">
        <v>0.3165</v>
      </c>
      <c r="BD2135" s="624">
        <v>41243</v>
      </c>
      <c r="BE2135" s="355">
        <v>9.2399999999999996E-2</v>
      </c>
      <c r="BF2135" s="624">
        <v>41369</v>
      </c>
      <c r="BG2135" s="355">
        <v>1.8244E-2</v>
      </c>
      <c r="BH2135" s="624">
        <v>41243</v>
      </c>
      <c r="BI2135" s="355">
        <v>0.104243</v>
      </c>
      <c r="BJ2135" s="624">
        <v>41242</v>
      </c>
      <c r="BK2135" s="355">
        <v>3.2568E-2</v>
      </c>
    </row>
    <row r="2136" spans="3:63">
      <c r="C2136" s="624"/>
      <c r="D2136" s="355">
        <v>3.2469999999999999E-2</v>
      </c>
      <c r="AV2136" s="624"/>
      <c r="AX2136" s="624">
        <v>41249</v>
      </c>
      <c r="AY2136" s="355">
        <v>3.2320000000000002E-2</v>
      </c>
      <c r="AZ2136" s="624">
        <v>41313</v>
      </c>
      <c r="BA2136" s="355">
        <v>1.1900000000000001E-2</v>
      </c>
      <c r="BB2136" s="624">
        <v>41246</v>
      </c>
      <c r="BC2136" s="355">
        <v>0.31590000000000001</v>
      </c>
      <c r="BD2136" s="624">
        <v>41246</v>
      </c>
      <c r="BE2136" s="355">
        <v>9.2299999999999993E-2</v>
      </c>
      <c r="BF2136" s="624">
        <v>41372</v>
      </c>
      <c r="BG2136" s="355">
        <v>1.831E-2</v>
      </c>
      <c r="BH2136" s="624">
        <v>41246</v>
      </c>
      <c r="BI2136" s="355">
        <v>0.104134</v>
      </c>
      <c r="BJ2136" s="624">
        <v>41243</v>
      </c>
      <c r="BK2136" s="355">
        <v>3.2563000000000002E-2</v>
      </c>
    </row>
    <row r="2137" spans="3:63">
      <c r="C2137" s="624"/>
      <c r="D2137" s="355">
        <v>3.2320000000000002E-2</v>
      </c>
      <c r="AV2137" s="624"/>
      <c r="AX2137" s="624">
        <v>41250</v>
      </c>
      <c r="AY2137" s="355">
        <v>3.2439999999999997E-2</v>
      </c>
      <c r="AZ2137" s="624">
        <v>41316</v>
      </c>
      <c r="BA2137" s="355">
        <v>1.2E-2</v>
      </c>
      <c r="BB2137" s="624">
        <v>41247</v>
      </c>
      <c r="BC2137" s="355">
        <v>0.31680000000000003</v>
      </c>
      <c r="BD2137" s="624">
        <v>41247</v>
      </c>
      <c r="BE2137" s="355">
        <v>9.2280000000000001E-2</v>
      </c>
      <c r="BF2137" s="624">
        <v>41373</v>
      </c>
      <c r="BG2137" s="355">
        <v>1.8369E-2</v>
      </c>
      <c r="BH2137" s="624">
        <v>41247</v>
      </c>
      <c r="BI2137" s="355">
        <v>0.104167</v>
      </c>
      <c r="BJ2137" s="624">
        <v>41246</v>
      </c>
      <c r="BK2137" s="355">
        <v>3.2648000000000003E-2</v>
      </c>
    </row>
    <row r="2138" spans="3:63">
      <c r="C2138" s="624"/>
      <c r="D2138" s="355">
        <v>3.2439999999999997E-2</v>
      </c>
      <c r="AV2138" s="624"/>
      <c r="AX2138" s="624">
        <v>41253</v>
      </c>
      <c r="AY2138" s="355">
        <v>3.2480000000000002E-2</v>
      </c>
      <c r="AZ2138" s="624">
        <v>41317</v>
      </c>
      <c r="BA2138" s="355">
        <v>1.21E-2</v>
      </c>
      <c r="BB2138" s="624">
        <v>41248</v>
      </c>
      <c r="BC2138" s="355">
        <v>0.31719999999999998</v>
      </c>
      <c r="BD2138" s="624">
        <v>41248</v>
      </c>
      <c r="BE2138" s="355">
        <v>9.2380000000000004E-2</v>
      </c>
      <c r="BF2138" s="624">
        <v>41374</v>
      </c>
      <c r="BG2138" s="355">
        <v>1.8343999999999999E-2</v>
      </c>
      <c r="BH2138" s="624">
        <v>41248</v>
      </c>
      <c r="BI2138" s="355">
        <v>0.104156</v>
      </c>
      <c r="BJ2138" s="624">
        <v>41247</v>
      </c>
      <c r="BK2138" s="355">
        <v>3.2605000000000002E-2</v>
      </c>
    </row>
    <row r="2139" spans="3:63">
      <c r="C2139" s="624"/>
      <c r="D2139" s="355">
        <v>3.2480000000000002E-2</v>
      </c>
      <c r="AV2139" s="624"/>
      <c r="AX2139" s="624">
        <v>41254</v>
      </c>
      <c r="AY2139" s="355">
        <v>3.2570000000000002E-2</v>
      </c>
      <c r="AZ2139" s="624">
        <v>41318</v>
      </c>
      <c r="BA2139" s="355">
        <v>1.21E-2</v>
      </c>
      <c r="BB2139" s="624">
        <v>41249</v>
      </c>
      <c r="BC2139" s="355">
        <v>0.31419999999999998</v>
      </c>
      <c r="BD2139" s="624">
        <v>41249</v>
      </c>
      <c r="BE2139" s="355">
        <v>9.2270000000000005E-2</v>
      </c>
      <c r="BF2139" s="624">
        <v>41376</v>
      </c>
      <c r="BG2139" s="355">
        <v>1.8304999999999998E-2</v>
      </c>
      <c r="BH2139" s="624">
        <v>41249</v>
      </c>
      <c r="BI2139" s="355">
        <v>0.104047</v>
      </c>
      <c r="BJ2139" s="624">
        <v>41248</v>
      </c>
      <c r="BK2139" s="355">
        <v>3.2584000000000002E-2</v>
      </c>
    </row>
    <row r="2140" spans="3:63">
      <c r="C2140" s="624"/>
      <c r="D2140" s="355">
        <v>3.2570000000000002E-2</v>
      </c>
      <c r="AV2140" s="624"/>
      <c r="AX2140" s="624">
        <v>41255</v>
      </c>
      <c r="AY2140" s="355">
        <v>3.2739999999999998E-2</v>
      </c>
      <c r="AZ2140" s="624">
        <v>41319</v>
      </c>
      <c r="BA2140" s="355">
        <v>1.2E-2</v>
      </c>
      <c r="BB2140" s="624">
        <v>41250</v>
      </c>
      <c r="BC2140" s="355">
        <v>0.31380000000000002</v>
      </c>
      <c r="BD2140" s="624">
        <v>41250</v>
      </c>
      <c r="BE2140" s="355">
        <v>9.2420000000000002E-2</v>
      </c>
      <c r="BF2140" s="624">
        <v>41379</v>
      </c>
      <c r="BG2140" s="355">
        <v>1.8332999999999999E-2</v>
      </c>
      <c r="BH2140" s="624">
        <v>41250</v>
      </c>
      <c r="BI2140" s="355">
        <v>0.10395</v>
      </c>
      <c r="BJ2140" s="624">
        <v>41249</v>
      </c>
      <c r="BK2140" s="355">
        <v>3.2605000000000002E-2</v>
      </c>
    </row>
    <row r="2141" spans="3:63">
      <c r="C2141" s="624"/>
      <c r="D2141" s="355">
        <v>3.2739999999999998E-2</v>
      </c>
      <c r="AV2141" s="624"/>
      <c r="AX2141" s="624">
        <v>41256</v>
      </c>
      <c r="AY2141" s="355">
        <v>3.2530000000000003E-2</v>
      </c>
      <c r="AZ2141" s="624">
        <v>41320</v>
      </c>
      <c r="BA2141" s="355">
        <v>1.2E-2</v>
      </c>
      <c r="BB2141" s="624">
        <v>41253</v>
      </c>
      <c r="BC2141" s="355">
        <v>0.315</v>
      </c>
      <c r="BD2141" s="624">
        <v>41253</v>
      </c>
      <c r="BE2141" s="355">
        <v>9.2780000000000001E-2</v>
      </c>
      <c r="BF2141" s="624">
        <v>41380</v>
      </c>
      <c r="BG2141" s="355">
        <v>1.8508E-2</v>
      </c>
      <c r="BH2141" s="624">
        <v>41253</v>
      </c>
      <c r="BI2141" s="355">
        <v>0.103843</v>
      </c>
      <c r="BJ2141" s="624">
        <v>41250</v>
      </c>
      <c r="BK2141" s="355">
        <v>3.2626000000000002E-2</v>
      </c>
    </row>
    <row r="2142" spans="3:63">
      <c r="C2142" s="624"/>
      <c r="D2142" s="355">
        <v>3.2530000000000003E-2</v>
      </c>
      <c r="AV2142" s="624"/>
      <c r="AX2142" s="624">
        <v>41257</v>
      </c>
      <c r="AY2142" s="355">
        <v>3.2599999999999997E-2</v>
      </c>
      <c r="AZ2142" s="624">
        <v>41323</v>
      </c>
      <c r="BA2142" s="355">
        <v>1.2E-2</v>
      </c>
      <c r="BB2142" s="624">
        <v>41254</v>
      </c>
      <c r="BC2142" s="355">
        <v>0.31840000000000002</v>
      </c>
      <c r="BD2142" s="624">
        <v>41254</v>
      </c>
      <c r="BE2142" s="355">
        <v>9.3009999999999995E-2</v>
      </c>
      <c r="BF2142" s="624">
        <v>41381</v>
      </c>
      <c r="BG2142" s="355">
        <v>1.8442E-2</v>
      </c>
      <c r="BH2142" s="624">
        <v>41254</v>
      </c>
      <c r="BI2142" s="355">
        <v>0.10378900000000001</v>
      </c>
      <c r="BJ2142" s="624">
        <v>41253</v>
      </c>
      <c r="BK2142" s="355">
        <v>3.2638E-2</v>
      </c>
    </row>
    <row r="2143" spans="3:63">
      <c r="C2143" s="624"/>
      <c r="D2143" s="355">
        <v>3.2599999999999997E-2</v>
      </c>
      <c r="AV2143" s="624"/>
      <c r="AX2143" s="624">
        <v>41260</v>
      </c>
      <c r="AY2143" s="355">
        <v>3.2289999999999999E-2</v>
      </c>
      <c r="AZ2143" s="624">
        <v>41324</v>
      </c>
      <c r="BA2143" s="355">
        <v>1.2E-2</v>
      </c>
      <c r="BB2143" s="624">
        <v>41255</v>
      </c>
      <c r="BC2143" s="355">
        <v>0.3196</v>
      </c>
      <c r="BD2143" s="624">
        <v>41255</v>
      </c>
      <c r="BE2143" s="355">
        <v>9.3149999999999997E-2</v>
      </c>
      <c r="BF2143" s="624">
        <v>41382</v>
      </c>
      <c r="BG2143" s="355">
        <v>1.8537000000000001E-2</v>
      </c>
      <c r="BH2143" s="624">
        <v>41255</v>
      </c>
      <c r="BI2143" s="355">
        <v>0.10395</v>
      </c>
      <c r="BJ2143" s="624">
        <v>41254</v>
      </c>
      <c r="BK2143" s="355">
        <v>3.2658E-2</v>
      </c>
    </row>
    <row r="2144" spans="3:63">
      <c r="C2144" s="624"/>
      <c r="D2144" s="355">
        <v>3.2289999999999999E-2</v>
      </c>
      <c r="AV2144" s="624"/>
      <c r="AX2144" s="624">
        <v>41261</v>
      </c>
      <c r="AY2144" s="355">
        <v>3.2539999999999999E-2</v>
      </c>
      <c r="AZ2144" s="624">
        <v>41325</v>
      </c>
      <c r="BA2144" s="355">
        <v>1.2E-2</v>
      </c>
      <c r="BB2144" s="624">
        <v>41256</v>
      </c>
      <c r="BC2144" s="355">
        <v>0.31919999999999998</v>
      </c>
      <c r="BD2144" s="624">
        <v>41256</v>
      </c>
      <c r="BE2144" s="355">
        <v>9.3079999999999996E-2</v>
      </c>
      <c r="BF2144" s="624">
        <v>41386</v>
      </c>
      <c r="BG2144" s="355">
        <v>1.8452E-2</v>
      </c>
      <c r="BH2144" s="624">
        <v>41256</v>
      </c>
      <c r="BI2144" s="355">
        <v>0.103576</v>
      </c>
      <c r="BJ2144" s="624">
        <v>41255</v>
      </c>
      <c r="BK2144" s="355">
        <v>3.2653000000000001E-2</v>
      </c>
    </row>
    <row r="2145" spans="3:63">
      <c r="C2145" s="624"/>
      <c r="D2145" s="355">
        <v>3.2539999999999999E-2</v>
      </c>
      <c r="AV2145" s="624"/>
      <c r="AX2145" s="624">
        <v>41262</v>
      </c>
      <c r="AY2145" s="355">
        <v>3.2530000000000003E-2</v>
      </c>
      <c r="AZ2145" s="624">
        <v>41326</v>
      </c>
      <c r="BA2145" s="355">
        <v>1.18E-2</v>
      </c>
      <c r="BB2145" s="624">
        <v>41257</v>
      </c>
      <c r="BC2145" s="355">
        <v>0.32279999999999998</v>
      </c>
      <c r="BD2145" s="624">
        <v>41257</v>
      </c>
      <c r="BE2145" s="355">
        <v>9.2999999999999999E-2</v>
      </c>
      <c r="BF2145" s="624">
        <v>41387</v>
      </c>
      <c r="BG2145" s="355">
        <v>1.8391999999999999E-2</v>
      </c>
      <c r="BH2145" s="624">
        <v>41257</v>
      </c>
      <c r="BI2145" s="355">
        <v>0.103757</v>
      </c>
      <c r="BJ2145" s="624">
        <v>41256</v>
      </c>
      <c r="BK2145" s="355">
        <v>3.2626000000000002E-2</v>
      </c>
    </row>
    <row r="2146" spans="3:63">
      <c r="C2146" s="624"/>
      <c r="D2146" s="355">
        <v>3.2530000000000003E-2</v>
      </c>
      <c r="AV2146" s="624"/>
      <c r="AX2146" s="624">
        <v>41263</v>
      </c>
      <c r="AY2146" s="355">
        <v>3.2590000000000001E-2</v>
      </c>
      <c r="AZ2146" s="624">
        <v>41327</v>
      </c>
      <c r="BA2146" s="355">
        <v>1.18E-2</v>
      </c>
      <c r="BB2146" s="624">
        <v>41260</v>
      </c>
      <c r="BC2146" s="355">
        <v>0.32169999999999999</v>
      </c>
      <c r="BD2146" s="624">
        <v>41260</v>
      </c>
      <c r="BE2146" s="355">
        <v>9.3240000000000003E-2</v>
      </c>
      <c r="BF2146" s="624">
        <v>41389</v>
      </c>
      <c r="BG2146" s="355">
        <v>1.8481000000000001E-2</v>
      </c>
      <c r="BH2146" s="624">
        <v>41260</v>
      </c>
      <c r="BI2146" s="355">
        <v>0.10373499999999999</v>
      </c>
      <c r="BJ2146" s="624">
        <v>41257</v>
      </c>
      <c r="BK2146" s="355">
        <v>3.2653000000000001E-2</v>
      </c>
    </row>
    <row r="2147" spans="3:63">
      <c r="C2147" s="624"/>
      <c r="D2147" s="355">
        <v>3.2590000000000001E-2</v>
      </c>
      <c r="AV2147" s="624"/>
      <c r="AX2147" s="624">
        <v>41264</v>
      </c>
      <c r="AY2147" s="355">
        <v>3.2419999999999997E-2</v>
      </c>
      <c r="AZ2147" s="624">
        <v>41330</v>
      </c>
      <c r="BA2147" s="355">
        <v>1.17E-2</v>
      </c>
      <c r="BB2147" s="624">
        <v>41261</v>
      </c>
      <c r="BC2147" s="355">
        <v>0.32479999999999998</v>
      </c>
      <c r="BD2147" s="624">
        <v>41261</v>
      </c>
      <c r="BE2147" s="355">
        <v>9.3240000000000003E-2</v>
      </c>
      <c r="BF2147" s="624">
        <v>41390</v>
      </c>
      <c r="BG2147" s="355">
        <v>1.8377000000000001E-2</v>
      </c>
      <c r="BH2147" s="624">
        <v>41261</v>
      </c>
      <c r="BI2147" s="355">
        <v>0.103702</v>
      </c>
      <c r="BJ2147" s="624">
        <v>41260</v>
      </c>
      <c r="BK2147" s="355">
        <v>3.2696999999999997E-2</v>
      </c>
    </row>
    <row r="2148" spans="3:63">
      <c r="C2148" s="624"/>
      <c r="D2148" s="355">
        <v>3.2419999999999997E-2</v>
      </c>
      <c r="AV2148" s="624"/>
      <c r="AX2148" s="624">
        <v>41267</v>
      </c>
      <c r="AY2148" s="355">
        <v>3.2660000000000002E-2</v>
      </c>
      <c r="AZ2148" s="624">
        <v>41331</v>
      </c>
      <c r="BA2148" s="355">
        <v>1.17E-2</v>
      </c>
      <c r="BB2148" s="624">
        <v>41262</v>
      </c>
      <c r="BC2148" s="355">
        <v>0.32469999999999999</v>
      </c>
      <c r="BD2148" s="624">
        <v>41262</v>
      </c>
      <c r="BE2148" s="355">
        <v>9.3229999999999993E-2</v>
      </c>
      <c r="BF2148" s="624">
        <v>41393</v>
      </c>
      <c r="BG2148" s="355">
        <v>1.8430999999999999E-2</v>
      </c>
      <c r="BH2148" s="624">
        <v>41262</v>
      </c>
      <c r="BI2148" s="355">
        <v>0.103628</v>
      </c>
      <c r="BJ2148" s="624">
        <v>41261</v>
      </c>
      <c r="BK2148" s="355">
        <v>3.2701000000000001E-2</v>
      </c>
    </row>
    <row r="2149" spans="3:63">
      <c r="C2149" s="624"/>
      <c r="D2149" s="355">
        <v>3.2660000000000002E-2</v>
      </c>
      <c r="AV2149" s="624"/>
      <c r="AX2149" s="624">
        <v>41268</v>
      </c>
      <c r="AY2149" s="355">
        <v>3.2590000000000001E-2</v>
      </c>
      <c r="AZ2149" s="624">
        <v>41332</v>
      </c>
      <c r="BA2149" s="355">
        <v>1.18E-2</v>
      </c>
      <c r="BB2149" s="624">
        <v>41263</v>
      </c>
      <c r="BC2149" s="355">
        <v>0.32650000000000001</v>
      </c>
      <c r="BD2149" s="624">
        <v>41263</v>
      </c>
      <c r="BE2149" s="355">
        <v>9.3039999999999998E-2</v>
      </c>
      <c r="BF2149" s="624">
        <v>41394</v>
      </c>
      <c r="BG2149" s="355">
        <v>1.8631999999999999E-2</v>
      </c>
      <c r="BH2149" s="624">
        <v>41263</v>
      </c>
      <c r="BI2149" s="355">
        <v>0.10359500000000001</v>
      </c>
      <c r="BJ2149" s="624">
        <v>41262</v>
      </c>
      <c r="BK2149" s="355">
        <v>3.2668999999999997E-2</v>
      </c>
    </row>
    <row r="2150" spans="3:63">
      <c r="C2150" s="624"/>
      <c r="D2150" s="355">
        <v>3.2590000000000001E-2</v>
      </c>
      <c r="AV2150" s="624"/>
      <c r="AX2150" s="624">
        <v>41269</v>
      </c>
      <c r="AY2150" s="355">
        <v>3.279E-2</v>
      </c>
      <c r="AZ2150" s="624">
        <v>41333</v>
      </c>
      <c r="BA2150" s="355">
        <v>1.17E-2</v>
      </c>
      <c r="BB2150" s="624">
        <v>41264</v>
      </c>
      <c r="BC2150" s="355">
        <v>0.32290000000000002</v>
      </c>
      <c r="BD2150" s="624">
        <v>41264</v>
      </c>
      <c r="BE2150" s="355">
        <v>9.2999999999999999E-2</v>
      </c>
      <c r="BF2150" s="624">
        <v>41395</v>
      </c>
      <c r="BG2150" s="355">
        <v>1.8631000000000002E-2</v>
      </c>
      <c r="BH2150" s="624">
        <v>41264</v>
      </c>
      <c r="BI2150" s="355">
        <v>0.103542</v>
      </c>
      <c r="BJ2150" s="624">
        <v>41263</v>
      </c>
      <c r="BK2150" s="355">
        <v>3.2641999999999997E-2</v>
      </c>
    </row>
    <row r="2151" spans="3:63">
      <c r="C2151" s="624"/>
      <c r="D2151" s="355">
        <v>3.279E-2</v>
      </c>
      <c r="AV2151" s="624"/>
      <c r="AX2151" s="624">
        <v>41270</v>
      </c>
      <c r="AY2151" s="355">
        <v>3.3000000000000002E-2</v>
      </c>
      <c r="AZ2151" s="624">
        <v>41334</v>
      </c>
      <c r="BA2151" s="355">
        <v>1.17E-2</v>
      </c>
      <c r="BB2151" s="624">
        <v>41267</v>
      </c>
      <c r="BC2151" s="355">
        <v>0.32250000000000001</v>
      </c>
      <c r="BD2151" s="624">
        <v>41267</v>
      </c>
      <c r="BE2151" s="355">
        <v>9.3140000000000001E-2</v>
      </c>
      <c r="BF2151" s="624">
        <v>41396</v>
      </c>
      <c r="BG2151" s="355">
        <v>1.8584E-2</v>
      </c>
      <c r="BH2151" s="624">
        <v>41267</v>
      </c>
      <c r="BI2151" s="355">
        <v>0.102977</v>
      </c>
      <c r="BJ2151" s="624">
        <v>41264</v>
      </c>
      <c r="BK2151" s="355">
        <v>3.2668999999999997E-2</v>
      </c>
    </row>
    <row r="2152" spans="3:63">
      <c r="C2152" s="624"/>
      <c r="D2152" s="355">
        <v>3.3000000000000002E-2</v>
      </c>
      <c r="AV2152" s="624"/>
      <c r="AX2152" s="624">
        <v>41271</v>
      </c>
      <c r="AY2152" s="355">
        <v>3.2930000000000001E-2</v>
      </c>
      <c r="AZ2152" s="624">
        <v>41337</v>
      </c>
      <c r="BA2152" s="355">
        <v>1.17E-2</v>
      </c>
      <c r="BB2152" s="624">
        <v>41268</v>
      </c>
      <c r="BC2152" s="355">
        <v>0.32290000000000002</v>
      </c>
      <c r="BD2152" s="624">
        <v>41268</v>
      </c>
      <c r="BE2152" s="355">
        <v>9.3119999999999994E-2</v>
      </c>
      <c r="BF2152" s="624">
        <v>41397</v>
      </c>
      <c r="BG2152" s="355">
        <v>1.8574E-2</v>
      </c>
      <c r="BH2152" s="624">
        <v>41268</v>
      </c>
      <c r="BI2152" s="355">
        <v>0.103542</v>
      </c>
      <c r="BJ2152" s="624">
        <v>41267</v>
      </c>
      <c r="BK2152" s="355">
        <v>3.2663999999999999E-2</v>
      </c>
    </row>
    <row r="2153" spans="3:63">
      <c r="C2153" s="624"/>
      <c r="D2153" s="355">
        <v>3.2930000000000001E-2</v>
      </c>
      <c r="AV2153" s="624"/>
      <c r="AX2153" s="624">
        <v>41274</v>
      </c>
      <c r="AY2153" s="355">
        <v>3.2730000000000002E-2</v>
      </c>
      <c r="AZ2153" s="624">
        <v>41338</v>
      </c>
      <c r="BA2153" s="355">
        <v>1.17E-2</v>
      </c>
      <c r="BB2153" s="624">
        <v>41269</v>
      </c>
      <c r="BC2153" s="355">
        <v>0.32119999999999999</v>
      </c>
      <c r="BD2153" s="624">
        <v>41269</v>
      </c>
      <c r="BE2153" s="355">
        <v>9.3200000000000005E-2</v>
      </c>
      <c r="BF2153" s="624">
        <v>41400</v>
      </c>
      <c r="BG2153" s="355">
        <v>1.8443000000000001E-2</v>
      </c>
      <c r="BH2153" s="624">
        <v>41269</v>
      </c>
      <c r="BI2153" s="355">
        <v>0.103542</v>
      </c>
      <c r="BJ2153" s="624">
        <v>41268</v>
      </c>
      <c r="BK2153" s="355">
        <v>3.2658E-2</v>
      </c>
    </row>
    <row r="2154" spans="3:63">
      <c r="C2154" s="624"/>
      <c r="D2154" s="355">
        <v>3.2730000000000002E-2</v>
      </c>
      <c r="AV2154" s="624"/>
      <c r="AX2154" s="624">
        <v>41275</v>
      </c>
      <c r="AY2154" s="355">
        <v>3.2719999999999999E-2</v>
      </c>
      <c r="AZ2154" s="624">
        <v>41339</v>
      </c>
      <c r="BA2154" s="355">
        <v>1.1599999999999999E-2</v>
      </c>
      <c r="BB2154" s="624">
        <v>41270</v>
      </c>
      <c r="BC2154" s="355">
        <v>0.32500000000000001</v>
      </c>
      <c r="BD2154" s="624">
        <v>41270</v>
      </c>
      <c r="BE2154" s="355">
        <v>9.325E-2</v>
      </c>
      <c r="BF2154" s="624">
        <v>41401</v>
      </c>
      <c r="BG2154" s="355">
        <v>1.8487E-2</v>
      </c>
      <c r="BH2154" s="624">
        <v>41270</v>
      </c>
      <c r="BI2154" s="355">
        <v>0.103488</v>
      </c>
      <c r="BJ2154" s="624">
        <v>41269</v>
      </c>
      <c r="BK2154" s="355">
        <v>3.2620999999999997E-2</v>
      </c>
    </row>
    <row r="2155" spans="3:63">
      <c r="C2155" s="624"/>
      <c r="D2155" s="355">
        <v>3.2719999999999999E-2</v>
      </c>
      <c r="AV2155" s="624"/>
      <c r="AX2155" s="624">
        <v>41276</v>
      </c>
      <c r="AY2155" s="355">
        <v>3.3140000000000003E-2</v>
      </c>
      <c r="AZ2155" s="624">
        <v>41340</v>
      </c>
      <c r="BA2155" s="355">
        <v>1.17E-2</v>
      </c>
      <c r="BB2155" s="624">
        <v>41271</v>
      </c>
      <c r="BC2155" s="355">
        <v>0.32429999999999998</v>
      </c>
      <c r="BD2155" s="624">
        <v>41271</v>
      </c>
      <c r="BE2155" s="355">
        <v>9.3640000000000001E-2</v>
      </c>
      <c r="BF2155" s="624">
        <v>41402</v>
      </c>
      <c r="BG2155" s="355">
        <v>1.8499999999999999E-2</v>
      </c>
      <c r="BH2155" s="624">
        <v>41271</v>
      </c>
      <c r="BI2155" s="355">
        <v>0.103757</v>
      </c>
      <c r="BJ2155" s="624">
        <v>41270</v>
      </c>
      <c r="BK2155" s="355">
        <v>3.2640000000000002E-2</v>
      </c>
    </row>
    <row r="2156" spans="3:63">
      <c r="C2156" s="624"/>
      <c r="D2156" s="355">
        <v>3.3140000000000003E-2</v>
      </c>
      <c r="AV2156" s="624"/>
      <c r="AX2156" s="624">
        <v>41277</v>
      </c>
      <c r="AY2156" s="355">
        <v>3.3020000000000001E-2</v>
      </c>
      <c r="AZ2156" s="624">
        <v>41341</v>
      </c>
      <c r="BA2156" s="355">
        <v>1.1599999999999999E-2</v>
      </c>
      <c r="BB2156" s="624">
        <v>41274</v>
      </c>
      <c r="BC2156" s="355">
        <v>0.32379999999999998</v>
      </c>
      <c r="BD2156" s="624">
        <v>41274</v>
      </c>
      <c r="BE2156" s="355">
        <v>9.4009999999999996E-2</v>
      </c>
      <c r="BF2156" s="624">
        <v>41403</v>
      </c>
      <c r="BG2156" s="355">
        <v>1.8307E-2</v>
      </c>
      <c r="BH2156" s="624">
        <v>41274</v>
      </c>
      <c r="BI2156" s="355">
        <v>0.103891</v>
      </c>
      <c r="BJ2156" s="624">
        <v>41271</v>
      </c>
      <c r="BK2156" s="355">
        <v>3.2668999999999997E-2</v>
      </c>
    </row>
    <row r="2157" spans="3:63">
      <c r="C2157" s="624"/>
      <c r="D2157" s="355">
        <v>3.3020000000000001E-2</v>
      </c>
      <c r="AV2157" s="624"/>
      <c r="AX2157" s="624">
        <v>41278</v>
      </c>
      <c r="AY2157" s="355">
        <v>3.2930000000000001E-2</v>
      </c>
      <c r="AZ2157" s="624">
        <v>41344</v>
      </c>
      <c r="BA2157" s="355">
        <v>1.1599999999999999E-2</v>
      </c>
      <c r="BB2157" s="624">
        <v>41275</v>
      </c>
      <c r="BC2157" s="355">
        <v>0.3231</v>
      </c>
      <c r="BD2157" s="624">
        <v>41275</v>
      </c>
      <c r="BE2157" s="355">
        <v>9.4020000000000006E-2</v>
      </c>
      <c r="BF2157" s="624">
        <v>41404</v>
      </c>
      <c r="BG2157" s="355">
        <v>1.8200000000000001E-2</v>
      </c>
      <c r="BH2157" s="624">
        <v>41275</v>
      </c>
      <c r="BI2157" s="355">
        <v>0.103757</v>
      </c>
      <c r="BJ2157" s="624">
        <v>41274</v>
      </c>
      <c r="BK2157" s="355">
        <v>3.2711999999999998E-2</v>
      </c>
    </row>
    <row r="2158" spans="3:63">
      <c r="C2158" s="624"/>
      <c r="D2158" s="355">
        <v>3.2930000000000001E-2</v>
      </c>
      <c r="AV2158" s="624"/>
      <c r="AX2158" s="624">
        <v>41281</v>
      </c>
      <c r="AY2158" s="355">
        <v>3.295E-2</v>
      </c>
      <c r="AZ2158" s="624">
        <v>41345</v>
      </c>
      <c r="BA2158" s="355">
        <v>1.1599999999999999E-2</v>
      </c>
      <c r="BB2158" s="624">
        <v>41276</v>
      </c>
      <c r="BC2158" s="355">
        <v>0.32429999999999998</v>
      </c>
      <c r="BD2158" s="624">
        <v>41276</v>
      </c>
      <c r="BE2158" s="355">
        <v>9.4049999999999995E-2</v>
      </c>
      <c r="BF2158" s="624">
        <v>41407</v>
      </c>
      <c r="BG2158" s="355">
        <v>1.8237E-2</v>
      </c>
      <c r="BH2158" s="624">
        <v>41276</v>
      </c>
      <c r="BI2158" s="355">
        <v>0.103628</v>
      </c>
      <c r="BJ2158" s="624">
        <v>41275</v>
      </c>
      <c r="BK2158" s="355">
        <v>3.2684999999999999E-2</v>
      </c>
    </row>
    <row r="2159" spans="3:63">
      <c r="C2159" s="624"/>
      <c r="D2159" s="355">
        <v>3.295E-2</v>
      </c>
      <c r="AV2159" s="624"/>
      <c r="AX2159" s="624">
        <v>41282</v>
      </c>
      <c r="AY2159" s="355">
        <v>3.3000000000000002E-2</v>
      </c>
      <c r="AZ2159" s="624">
        <v>41346</v>
      </c>
      <c r="BA2159" s="355">
        <v>1.1599999999999999E-2</v>
      </c>
      <c r="BB2159" s="624">
        <v>41277</v>
      </c>
      <c r="BC2159" s="355">
        <v>0.31879999999999997</v>
      </c>
      <c r="BD2159" s="624">
        <v>41277</v>
      </c>
      <c r="BE2159" s="355">
        <v>9.4070000000000001E-2</v>
      </c>
      <c r="BF2159" s="624">
        <v>41408</v>
      </c>
      <c r="BG2159" s="355">
        <v>1.8263000000000001E-2</v>
      </c>
      <c r="BH2159" s="624">
        <v>41277</v>
      </c>
      <c r="BI2159" s="355">
        <v>0.103573</v>
      </c>
      <c r="BJ2159" s="624">
        <v>41276</v>
      </c>
      <c r="BK2159" s="355">
        <v>3.2975999999999998E-2</v>
      </c>
    </row>
    <row r="2160" spans="3:63">
      <c r="C2160" s="624"/>
      <c r="D2160" s="355">
        <v>3.3000000000000002E-2</v>
      </c>
      <c r="AV2160" s="624"/>
      <c r="AX2160" s="624">
        <v>41283</v>
      </c>
      <c r="AY2160" s="355">
        <v>3.2980000000000002E-2</v>
      </c>
      <c r="AZ2160" s="624">
        <v>41347</v>
      </c>
      <c r="BA2160" s="355">
        <v>1.1599999999999999E-2</v>
      </c>
      <c r="BB2160" s="624">
        <v>41278</v>
      </c>
      <c r="BC2160" s="355">
        <v>0.31759999999999999</v>
      </c>
      <c r="BD2160" s="624">
        <v>41278</v>
      </c>
      <c r="BE2160" s="355">
        <v>9.4100000000000003E-2</v>
      </c>
      <c r="BF2160" s="624">
        <v>41409</v>
      </c>
      <c r="BG2160" s="355">
        <v>1.8246999999999999E-2</v>
      </c>
      <c r="BH2160" s="624">
        <v>41278</v>
      </c>
      <c r="BI2160" s="355">
        <v>0.10352</v>
      </c>
      <c r="BJ2160" s="624">
        <v>41277</v>
      </c>
      <c r="BK2160" s="355">
        <v>3.2911000000000003E-2</v>
      </c>
    </row>
    <row r="2161" spans="3:63">
      <c r="C2161" s="624"/>
      <c r="D2161" s="355">
        <v>3.2980000000000002E-2</v>
      </c>
      <c r="AV2161" s="624"/>
      <c r="AX2161" s="624">
        <v>41284</v>
      </c>
      <c r="AY2161" s="355">
        <v>3.3110000000000001E-2</v>
      </c>
      <c r="AZ2161" s="624">
        <v>41348</v>
      </c>
      <c r="BA2161" s="355">
        <v>1.17E-2</v>
      </c>
      <c r="BB2161" s="624">
        <v>41281</v>
      </c>
      <c r="BC2161" s="355">
        <v>0.31809999999999999</v>
      </c>
      <c r="BD2161" s="624">
        <v>41281</v>
      </c>
      <c r="BE2161" s="355">
        <v>9.4039999999999999E-2</v>
      </c>
      <c r="BF2161" s="624">
        <v>41410</v>
      </c>
      <c r="BG2161" s="355">
        <v>1.8249999999999999E-2</v>
      </c>
      <c r="BH2161" s="624">
        <v>41281</v>
      </c>
      <c r="BI2161" s="355">
        <v>0.103435</v>
      </c>
      <c r="BJ2161" s="624">
        <v>41278</v>
      </c>
      <c r="BK2161" s="355">
        <v>3.2807999999999997E-2</v>
      </c>
    </row>
    <row r="2162" spans="3:63">
      <c r="C2162" s="624"/>
      <c r="D2162" s="355">
        <v>3.3110000000000001E-2</v>
      </c>
      <c r="AV2162" s="624"/>
      <c r="AX2162" s="624">
        <v>41285</v>
      </c>
      <c r="AY2162" s="355">
        <v>3.2969999999999999E-2</v>
      </c>
      <c r="AZ2162" s="624">
        <v>41351</v>
      </c>
      <c r="BA2162" s="355">
        <v>1.1599999999999999E-2</v>
      </c>
      <c r="BB2162" s="624">
        <v>41282</v>
      </c>
      <c r="BC2162" s="355">
        <v>0.31859999999999999</v>
      </c>
      <c r="BD2162" s="624">
        <v>41282</v>
      </c>
      <c r="BE2162" s="355">
        <v>9.3979999999999994E-2</v>
      </c>
      <c r="BF2162" s="624">
        <v>41411</v>
      </c>
      <c r="BG2162" s="355">
        <v>1.8134000000000001E-2</v>
      </c>
      <c r="BH2162" s="624">
        <v>41282</v>
      </c>
      <c r="BI2162" s="355">
        <v>0.103413</v>
      </c>
      <c r="BJ2162" s="624">
        <v>41281</v>
      </c>
      <c r="BK2162" s="355">
        <v>3.2851999999999999E-2</v>
      </c>
    </row>
    <row r="2163" spans="3:63">
      <c r="C2163" s="624"/>
      <c r="D2163" s="355">
        <v>3.2969999999999999E-2</v>
      </c>
      <c r="AV2163" s="624"/>
      <c r="AX2163" s="624">
        <v>41288</v>
      </c>
      <c r="AY2163" s="355">
        <v>3.3090000000000001E-2</v>
      </c>
      <c r="AZ2163" s="624">
        <v>41352</v>
      </c>
      <c r="BA2163" s="355">
        <v>1.1599999999999999E-2</v>
      </c>
      <c r="BB2163" s="624">
        <v>41283</v>
      </c>
      <c r="BC2163" s="355">
        <v>0.32040000000000002</v>
      </c>
      <c r="BD2163" s="624">
        <v>41283</v>
      </c>
      <c r="BE2163" s="355">
        <v>9.4299999999999995E-2</v>
      </c>
      <c r="BF2163" s="624">
        <v>41414</v>
      </c>
      <c r="BG2163" s="355">
        <v>1.8186999999999998E-2</v>
      </c>
      <c r="BH2163" s="624">
        <v>41283</v>
      </c>
      <c r="BI2163" s="355">
        <v>0.10352</v>
      </c>
      <c r="BJ2163" s="624">
        <v>41282</v>
      </c>
      <c r="BK2163" s="355">
        <v>3.2883999999999997E-2</v>
      </c>
    </row>
    <row r="2164" spans="3:63">
      <c r="C2164" s="624"/>
      <c r="D2164" s="355">
        <v>3.3090000000000001E-2</v>
      </c>
      <c r="AV2164" s="624"/>
      <c r="AX2164" s="624">
        <v>41289</v>
      </c>
      <c r="AY2164" s="355">
        <v>3.2989999999999998E-2</v>
      </c>
      <c r="AZ2164" s="624">
        <v>41353</v>
      </c>
      <c r="BA2164" s="355">
        <v>1.1599999999999999E-2</v>
      </c>
      <c r="BB2164" s="624">
        <v>41284</v>
      </c>
      <c r="BC2164" s="355">
        <v>0.32429999999999998</v>
      </c>
      <c r="BD2164" s="624">
        <v>41284</v>
      </c>
      <c r="BE2164" s="355">
        <v>9.4479999999999995E-2</v>
      </c>
      <c r="BF2164" s="624">
        <v>41415</v>
      </c>
      <c r="BG2164" s="355">
        <v>1.8054000000000001E-2</v>
      </c>
      <c r="BH2164" s="624">
        <v>41284</v>
      </c>
      <c r="BI2164" s="355">
        <v>0.10352</v>
      </c>
      <c r="BJ2164" s="624">
        <v>41283</v>
      </c>
      <c r="BK2164" s="355">
        <v>3.2916000000000001E-2</v>
      </c>
    </row>
    <row r="2165" spans="3:63">
      <c r="C2165" s="624"/>
      <c r="D2165" s="355">
        <v>3.2989999999999998E-2</v>
      </c>
      <c r="AV2165" s="624"/>
      <c r="AX2165" s="624">
        <v>41290</v>
      </c>
      <c r="AY2165" s="355">
        <v>3.2980000000000002E-2</v>
      </c>
      <c r="AZ2165" s="624">
        <v>41354</v>
      </c>
      <c r="BA2165" s="355">
        <v>1.15E-2</v>
      </c>
      <c r="BB2165" s="624">
        <v>41285</v>
      </c>
      <c r="BC2165" s="355">
        <v>0.32469999999999999</v>
      </c>
      <c r="BD2165" s="624">
        <v>41285</v>
      </c>
      <c r="BE2165" s="355">
        <v>9.4640000000000002E-2</v>
      </c>
      <c r="BF2165" s="624">
        <v>41416</v>
      </c>
      <c r="BG2165" s="355">
        <v>1.7992000000000001E-2</v>
      </c>
      <c r="BH2165" s="624">
        <v>41285</v>
      </c>
      <c r="BI2165" s="355">
        <v>0.10378800000000001</v>
      </c>
      <c r="BJ2165" s="624">
        <v>41284</v>
      </c>
      <c r="BK2165" s="355">
        <v>3.3050000000000003E-2</v>
      </c>
    </row>
    <row r="2166" spans="3:63">
      <c r="C2166" s="624"/>
      <c r="D2166" s="355">
        <v>3.2980000000000002E-2</v>
      </c>
      <c r="AV2166" s="624"/>
      <c r="AX2166" s="624">
        <v>41291</v>
      </c>
      <c r="AY2166" s="355">
        <v>3.3140000000000003E-2</v>
      </c>
      <c r="AZ2166" s="624">
        <v>41355</v>
      </c>
      <c r="BA2166" s="355">
        <v>1.1599999999999999E-2</v>
      </c>
      <c r="BB2166" s="624">
        <v>41288</v>
      </c>
      <c r="BC2166" s="355">
        <v>0.32619999999999999</v>
      </c>
      <c r="BD2166" s="624">
        <v>41288</v>
      </c>
      <c r="BE2166" s="355">
        <v>9.468E-2</v>
      </c>
      <c r="BF2166" s="624">
        <v>41417</v>
      </c>
      <c r="BG2166" s="355">
        <v>1.7920999999999999E-2</v>
      </c>
      <c r="BH2166" s="624">
        <v>41288</v>
      </c>
      <c r="BI2166" s="355">
        <v>0.10378900000000001</v>
      </c>
      <c r="BJ2166" s="624">
        <v>41285</v>
      </c>
      <c r="BK2166" s="355">
        <v>3.3036000000000003E-2</v>
      </c>
    </row>
    <row r="2167" spans="3:63">
      <c r="C2167" s="624"/>
      <c r="D2167" s="355">
        <v>3.3140000000000003E-2</v>
      </c>
      <c r="AV2167" s="624"/>
      <c r="AX2167" s="624">
        <v>41292</v>
      </c>
      <c r="AY2167" s="355">
        <v>3.304E-2</v>
      </c>
      <c r="AZ2167" s="624">
        <v>41358</v>
      </c>
      <c r="BA2167" s="355">
        <v>1.15E-2</v>
      </c>
      <c r="BB2167" s="624">
        <v>41289</v>
      </c>
      <c r="BC2167" s="355">
        <v>0.32350000000000001</v>
      </c>
      <c r="BD2167" s="624">
        <v>41289</v>
      </c>
      <c r="BE2167" s="355">
        <v>9.4539999999999999E-2</v>
      </c>
      <c r="BF2167" s="624">
        <v>41418</v>
      </c>
      <c r="BG2167" s="355">
        <v>1.7939E-2</v>
      </c>
      <c r="BH2167" s="624">
        <v>41289</v>
      </c>
      <c r="BI2167" s="355">
        <v>0.10352500000000001</v>
      </c>
      <c r="BJ2167" s="624">
        <v>41288</v>
      </c>
      <c r="BK2167" s="355">
        <v>3.3073999999999999E-2</v>
      </c>
    </row>
    <row r="2168" spans="3:63">
      <c r="C2168" s="624"/>
      <c r="D2168" s="355">
        <v>3.304E-2</v>
      </c>
      <c r="AV2168" s="624"/>
      <c r="AX2168" s="624">
        <v>41295</v>
      </c>
      <c r="AY2168" s="355">
        <v>3.3050000000000003E-2</v>
      </c>
      <c r="AZ2168" s="624">
        <v>41359</v>
      </c>
      <c r="BA2168" s="355">
        <v>1.15E-2</v>
      </c>
      <c r="BB2168" s="624">
        <v>41290</v>
      </c>
      <c r="BC2168" s="355">
        <v>0.3226</v>
      </c>
      <c r="BD2168" s="624">
        <v>41290</v>
      </c>
      <c r="BE2168" s="355">
        <v>9.4509999999999997E-2</v>
      </c>
      <c r="BF2168" s="624">
        <v>41421</v>
      </c>
      <c r="BG2168" s="355">
        <v>1.7994E-2</v>
      </c>
      <c r="BH2168" s="624">
        <v>41290</v>
      </c>
      <c r="BI2168" s="355">
        <v>0.103574</v>
      </c>
      <c r="BJ2168" s="624">
        <v>41289</v>
      </c>
      <c r="BK2168" s="355">
        <v>3.3405999999999998E-2</v>
      </c>
    </row>
    <row r="2169" spans="3:63">
      <c r="C2169" s="624"/>
      <c r="D2169" s="355">
        <v>3.3050000000000003E-2</v>
      </c>
      <c r="AV2169" s="624"/>
      <c r="AX2169" s="624">
        <v>41296</v>
      </c>
      <c r="AY2169" s="355">
        <v>3.3070000000000002E-2</v>
      </c>
      <c r="AZ2169" s="624">
        <v>41360</v>
      </c>
      <c r="BA2169" s="355">
        <v>1.14E-2</v>
      </c>
      <c r="BB2169" s="624">
        <v>41291</v>
      </c>
      <c r="BC2169" s="355">
        <v>0.3256</v>
      </c>
      <c r="BD2169" s="624">
        <v>41291</v>
      </c>
      <c r="BE2169" s="355">
        <v>9.4600000000000004E-2</v>
      </c>
      <c r="BF2169" s="624">
        <v>41422</v>
      </c>
      <c r="BG2169" s="355">
        <v>1.7838E-2</v>
      </c>
      <c r="BH2169" s="624">
        <v>41291</v>
      </c>
      <c r="BI2169" s="355">
        <v>0.103628</v>
      </c>
      <c r="BJ2169" s="624">
        <v>41290</v>
      </c>
      <c r="BK2169" s="355">
        <v>3.3547E-2</v>
      </c>
    </row>
    <row r="2170" spans="3:63">
      <c r="C2170" s="624"/>
      <c r="D2170" s="355">
        <v>3.3070000000000002E-2</v>
      </c>
      <c r="AV2170" s="624"/>
      <c r="AX2170" s="624">
        <v>41297</v>
      </c>
      <c r="AY2170" s="355">
        <v>3.3160000000000002E-2</v>
      </c>
      <c r="AZ2170" s="624">
        <v>41361</v>
      </c>
      <c r="BA2170" s="355">
        <v>1.15E-2</v>
      </c>
      <c r="BB2170" s="624">
        <v>41292</v>
      </c>
      <c r="BC2170" s="355">
        <v>0.32090000000000002</v>
      </c>
      <c r="BD2170" s="624">
        <v>41292</v>
      </c>
      <c r="BE2170" s="355">
        <v>9.4500000000000001E-2</v>
      </c>
      <c r="BF2170" s="624">
        <v>41423</v>
      </c>
      <c r="BG2170" s="355">
        <v>1.7767000000000002E-2</v>
      </c>
      <c r="BH2170" s="624">
        <v>41292</v>
      </c>
      <c r="BI2170" s="355">
        <v>0.103843</v>
      </c>
      <c r="BJ2170" s="624">
        <v>41291</v>
      </c>
      <c r="BK2170" s="355">
        <v>3.3591000000000003E-2</v>
      </c>
    </row>
    <row r="2171" spans="3:63">
      <c r="C2171" s="624"/>
      <c r="D2171" s="355">
        <v>3.3160000000000002E-2</v>
      </c>
      <c r="AV2171" s="624"/>
      <c r="AX2171" s="624">
        <v>41298</v>
      </c>
      <c r="AY2171" s="355">
        <v>3.3279999999999997E-2</v>
      </c>
      <c r="AZ2171" s="624">
        <v>41362</v>
      </c>
      <c r="BA2171" s="355">
        <v>1.15E-2</v>
      </c>
      <c r="BB2171" s="624">
        <v>41295</v>
      </c>
      <c r="BC2171" s="355">
        <v>0.31919999999999998</v>
      </c>
      <c r="BD2171" s="624">
        <v>41295</v>
      </c>
      <c r="BE2171" s="355">
        <v>9.4039999999999999E-2</v>
      </c>
      <c r="BF2171" s="624">
        <v>41424</v>
      </c>
      <c r="BG2171" s="355">
        <v>1.7669000000000001E-2</v>
      </c>
      <c r="BH2171" s="624">
        <v>41295</v>
      </c>
      <c r="BI2171" s="355">
        <v>0.10397199999999999</v>
      </c>
      <c r="BJ2171" s="624">
        <v>41292</v>
      </c>
      <c r="BK2171" s="355">
        <v>3.3612999999999997E-2</v>
      </c>
    </row>
    <row r="2172" spans="3:63">
      <c r="C2172" s="624"/>
      <c r="D2172" s="355">
        <v>3.3279999999999997E-2</v>
      </c>
      <c r="AV2172" s="624"/>
      <c r="AX2172" s="624">
        <v>41299</v>
      </c>
      <c r="AY2172" s="355">
        <v>3.3300000000000003E-2</v>
      </c>
      <c r="AZ2172" s="624">
        <v>41365</v>
      </c>
      <c r="BA2172" s="355">
        <v>1.15E-2</v>
      </c>
      <c r="BB2172" s="624">
        <v>41296</v>
      </c>
      <c r="BC2172" s="355">
        <v>0.31919999999999998</v>
      </c>
      <c r="BD2172" s="624">
        <v>41296</v>
      </c>
      <c r="BE2172" s="355">
        <v>9.4020000000000006E-2</v>
      </c>
      <c r="BF2172" s="624">
        <v>41425</v>
      </c>
      <c r="BG2172" s="355">
        <v>1.7655000000000001E-2</v>
      </c>
      <c r="BH2172" s="624">
        <v>41296</v>
      </c>
      <c r="BI2172" s="355">
        <v>0.10402599999999999</v>
      </c>
      <c r="BJ2172" s="624">
        <v>41295</v>
      </c>
      <c r="BK2172" s="355">
        <v>3.3625000000000002E-2</v>
      </c>
    </row>
    <row r="2173" spans="3:63">
      <c r="C2173" s="624"/>
      <c r="D2173" s="355">
        <v>3.3300000000000003E-2</v>
      </c>
      <c r="AV2173" s="624"/>
      <c r="AX2173" s="624">
        <v>41302</v>
      </c>
      <c r="AY2173" s="355">
        <v>3.3140000000000003E-2</v>
      </c>
      <c r="AZ2173" s="624">
        <v>41366</v>
      </c>
      <c r="BA2173" s="355">
        <v>1.15E-2</v>
      </c>
      <c r="BB2173" s="624">
        <v>41297</v>
      </c>
      <c r="BC2173" s="355">
        <v>0.31940000000000002</v>
      </c>
      <c r="BD2173" s="624">
        <v>41297</v>
      </c>
      <c r="BE2173" s="355">
        <v>9.3689999999999996E-2</v>
      </c>
      <c r="BF2173" s="624">
        <v>41428</v>
      </c>
      <c r="BG2173" s="355">
        <v>1.772E-2</v>
      </c>
      <c r="BH2173" s="624">
        <v>41297</v>
      </c>
      <c r="BI2173" s="355">
        <v>0.103897</v>
      </c>
      <c r="BJ2173" s="624">
        <v>41296</v>
      </c>
      <c r="BK2173" s="355">
        <v>3.3612999999999997E-2</v>
      </c>
    </row>
    <row r="2174" spans="3:63">
      <c r="C2174" s="624"/>
      <c r="D2174" s="355">
        <v>3.3140000000000003E-2</v>
      </c>
      <c r="AV2174" s="624"/>
      <c r="AX2174" s="624">
        <v>41303</v>
      </c>
      <c r="AY2174" s="355">
        <v>3.329E-2</v>
      </c>
      <c r="AZ2174" s="624">
        <v>41367</v>
      </c>
      <c r="BA2174" s="355">
        <v>1.15E-2</v>
      </c>
      <c r="BB2174" s="624">
        <v>41298</v>
      </c>
      <c r="BC2174" s="355">
        <v>0.31940000000000002</v>
      </c>
      <c r="BD2174" s="624">
        <v>41298</v>
      </c>
      <c r="BE2174" s="355">
        <v>9.3530000000000002E-2</v>
      </c>
      <c r="BF2174" s="624">
        <v>41429</v>
      </c>
      <c r="BG2174" s="355">
        <v>1.7682E-2</v>
      </c>
      <c r="BH2174" s="624">
        <v>41298</v>
      </c>
      <c r="BI2174" s="355">
        <v>0.103907</v>
      </c>
      <c r="BJ2174" s="624">
        <v>41297</v>
      </c>
      <c r="BK2174" s="355">
        <v>3.3584999999999997E-2</v>
      </c>
    </row>
    <row r="2175" spans="3:63">
      <c r="C2175" s="624"/>
      <c r="D2175" s="355">
        <v>3.329E-2</v>
      </c>
      <c r="AV2175" s="624"/>
      <c r="AX2175" s="624">
        <v>41304</v>
      </c>
      <c r="AY2175" s="355">
        <v>3.3309999999999999E-2</v>
      </c>
      <c r="AZ2175" s="624">
        <v>41368</v>
      </c>
      <c r="BA2175" s="355">
        <v>1.1599999999999999E-2</v>
      </c>
      <c r="BB2175" s="624">
        <v>41299</v>
      </c>
      <c r="BC2175" s="355">
        <v>0.32279999999999998</v>
      </c>
      <c r="BD2175" s="624">
        <v>41299</v>
      </c>
      <c r="BE2175" s="355">
        <v>9.2859999999999998E-2</v>
      </c>
      <c r="BF2175" s="624">
        <v>41430</v>
      </c>
      <c r="BG2175" s="355">
        <v>1.753E-2</v>
      </c>
      <c r="BH2175" s="624">
        <v>41299</v>
      </c>
      <c r="BI2175" s="355">
        <v>0.10359500000000001</v>
      </c>
      <c r="BJ2175" s="624">
        <v>41298</v>
      </c>
      <c r="BK2175" s="355">
        <v>3.3522999999999997E-2</v>
      </c>
    </row>
    <row r="2176" spans="3:63">
      <c r="C2176" s="624"/>
      <c r="D2176" s="355">
        <v>3.3309999999999999E-2</v>
      </c>
      <c r="AV2176" s="624"/>
      <c r="AX2176" s="624">
        <v>41305</v>
      </c>
      <c r="AY2176" s="355">
        <v>3.3300000000000003E-2</v>
      </c>
      <c r="AZ2176" s="624">
        <v>41369</v>
      </c>
      <c r="BA2176" s="355">
        <v>1.1599999999999999E-2</v>
      </c>
      <c r="BB2176" s="624">
        <v>41302</v>
      </c>
      <c r="BC2176" s="355">
        <v>0.32050000000000001</v>
      </c>
      <c r="BD2176" s="624">
        <v>41302</v>
      </c>
      <c r="BE2176" s="355">
        <v>9.1619999999999993E-2</v>
      </c>
      <c r="BF2176" s="624">
        <v>41431</v>
      </c>
      <c r="BG2176" s="355">
        <v>1.7607000000000001E-2</v>
      </c>
      <c r="BH2176" s="624">
        <v>41302</v>
      </c>
      <c r="BI2176" s="355">
        <v>0.103349</v>
      </c>
      <c r="BJ2176" s="624">
        <v>41299</v>
      </c>
      <c r="BK2176" s="355">
        <v>3.3395000000000001E-2</v>
      </c>
    </row>
    <row r="2177" spans="3:63">
      <c r="C2177" s="624"/>
      <c r="D2177" s="355">
        <v>3.3300000000000003E-2</v>
      </c>
      <c r="AV2177" s="624"/>
      <c r="AX2177" s="624">
        <v>41306</v>
      </c>
      <c r="AY2177" s="355">
        <v>3.3480000000000003E-2</v>
      </c>
      <c r="AZ2177" s="624">
        <v>41372</v>
      </c>
      <c r="BA2177" s="355">
        <v>1.1599999999999999E-2</v>
      </c>
      <c r="BB2177" s="624">
        <v>41303</v>
      </c>
      <c r="BC2177" s="355">
        <v>0.32240000000000002</v>
      </c>
      <c r="BD2177" s="624">
        <v>41303</v>
      </c>
      <c r="BE2177" s="355">
        <v>9.2310000000000003E-2</v>
      </c>
      <c r="BF2177" s="624">
        <v>41432</v>
      </c>
      <c r="BG2177" s="355">
        <v>1.7475999999999998E-2</v>
      </c>
      <c r="BH2177" s="624">
        <v>41303</v>
      </c>
      <c r="BI2177" s="355">
        <v>0.103328</v>
      </c>
      <c r="BJ2177" s="624">
        <v>41302</v>
      </c>
      <c r="BK2177" s="355">
        <v>3.3456E-2</v>
      </c>
    </row>
    <row r="2178" spans="3:63">
      <c r="C2178" s="624"/>
      <c r="D2178" s="355">
        <v>3.3480000000000003E-2</v>
      </c>
      <c r="AV2178" s="624"/>
      <c r="AX2178" s="624">
        <v>41309</v>
      </c>
      <c r="AY2178" s="355">
        <v>3.3259999999999998E-2</v>
      </c>
      <c r="AZ2178" s="624">
        <v>41373</v>
      </c>
      <c r="BA2178" s="355">
        <v>1.17E-2</v>
      </c>
      <c r="BB2178" s="624">
        <v>41304</v>
      </c>
      <c r="BC2178" s="355">
        <v>0.32350000000000001</v>
      </c>
      <c r="BD2178" s="624">
        <v>41304</v>
      </c>
      <c r="BE2178" s="355">
        <v>9.1899999999999996E-2</v>
      </c>
      <c r="BF2178" s="624">
        <v>41435</v>
      </c>
      <c r="BG2178" s="355">
        <v>1.7174999999999999E-2</v>
      </c>
      <c r="BH2178" s="624">
        <v>41304</v>
      </c>
      <c r="BI2178" s="355">
        <v>0.10322099999999999</v>
      </c>
      <c r="BJ2178" s="624">
        <v>41303</v>
      </c>
      <c r="BK2178" s="355">
        <v>3.3591000000000003E-2</v>
      </c>
    </row>
    <row r="2179" spans="3:63">
      <c r="C2179" s="624"/>
      <c r="D2179" s="355">
        <v>3.3259999999999998E-2</v>
      </c>
      <c r="AV2179" s="624"/>
      <c r="AX2179" s="624">
        <v>41310</v>
      </c>
      <c r="AY2179" s="355">
        <v>3.338E-2</v>
      </c>
      <c r="AZ2179" s="624">
        <v>41374</v>
      </c>
      <c r="BA2179" s="355">
        <v>1.17E-2</v>
      </c>
      <c r="BB2179" s="624">
        <v>41305</v>
      </c>
      <c r="BC2179" s="355">
        <v>0.32369999999999999</v>
      </c>
      <c r="BD2179" s="624">
        <v>41305</v>
      </c>
      <c r="BE2179" s="355">
        <v>9.1859999999999997E-2</v>
      </c>
      <c r="BF2179" s="624">
        <v>41436</v>
      </c>
      <c r="BG2179" s="355">
        <v>1.7141E-2</v>
      </c>
      <c r="BH2179" s="624">
        <v>41305</v>
      </c>
      <c r="BI2179" s="355">
        <v>0.103115</v>
      </c>
      <c r="BJ2179" s="624">
        <v>41304</v>
      </c>
      <c r="BK2179" s="355">
        <v>3.3647000000000003E-2</v>
      </c>
    </row>
    <row r="2180" spans="3:63">
      <c r="C2180" s="624"/>
      <c r="D2180" s="355">
        <v>3.338E-2</v>
      </c>
      <c r="AV2180" s="624"/>
      <c r="AX2180" s="624">
        <v>41311</v>
      </c>
      <c r="AY2180" s="355">
        <v>3.3250000000000002E-2</v>
      </c>
      <c r="AZ2180" s="624">
        <v>41375</v>
      </c>
      <c r="BA2180" s="355">
        <v>1.17E-2</v>
      </c>
      <c r="BB2180" s="624">
        <v>41306</v>
      </c>
      <c r="BC2180" s="355">
        <v>0.32719999999999999</v>
      </c>
      <c r="BD2180" s="624">
        <v>41306</v>
      </c>
      <c r="BE2180" s="355">
        <v>9.1340000000000005E-2</v>
      </c>
      <c r="BF2180" s="624">
        <v>41437</v>
      </c>
      <c r="BG2180" s="355">
        <v>1.7287E-2</v>
      </c>
      <c r="BH2180" s="624">
        <v>41306</v>
      </c>
      <c r="BI2180" s="355">
        <v>0.102955</v>
      </c>
      <c r="BJ2180" s="624">
        <v>41305</v>
      </c>
      <c r="BK2180" s="355">
        <v>3.3494999999999997E-2</v>
      </c>
    </row>
    <row r="2181" spans="3:63">
      <c r="C2181" s="624"/>
      <c r="D2181" s="355">
        <v>3.3250000000000002E-2</v>
      </c>
      <c r="AV2181" s="624"/>
      <c r="AX2181" s="624">
        <v>41312</v>
      </c>
      <c r="AY2181" s="355">
        <v>3.3070000000000002E-2</v>
      </c>
      <c r="AZ2181" s="624">
        <v>41376</v>
      </c>
      <c r="BA2181" s="355">
        <v>1.17E-2</v>
      </c>
      <c r="BB2181" s="624">
        <v>41309</v>
      </c>
      <c r="BC2181" s="355">
        <v>0.32340000000000002</v>
      </c>
      <c r="BD2181" s="624">
        <v>41309</v>
      </c>
      <c r="BE2181" s="355">
        <v>9.1749999999999998E-2</v>
      </c>
      <c r="BF2181" s="624">
        <v>41438</v>
      </c>
      <c r="BG2181" s="355">
        <v>1.7281999999999999E-2</v>
      </c>
      <c r="BH2181" s="624">
        <v>41309</v>
      </c>
      <c r="BI2181" s="355">
        <v>0.10340299999999999</v>
      </c>
      <c r="BJ2181" s="624">
        <v>41306</v>
      </c>
      <c r="BK2181" s="355">
        <v>3.3556999999999997E-2</v>
      </c>
    </row>
    <row r="2182" spans="3:63">
      <c r="C2182" s="624"/>
      <c r="D2182" s="355">
        <v>3.3070000000000002E-2</v>
      </c>
      <c r="AV2182" s="624"/>
      <c r="AX2182" s="624">
        <v>41313</v>
      </c>
      <c r="AY2182" s="355">
        <v>3.3119999999999997E-2</v>
      </c>
      <c r="AZ2182" s="624">
        <v>41379</v>
      </c>
      <c r="BA2182" s="355">
        <v>1.17E-2</v>
      </c>
      <c r="BB2182" s="624">
        <v>41310</v>
      </c>
      <c r="BC2182" s="355">
        <v>0.32519999999999999</v>
      </c>
      <c r="BD2182" s="624">
        <v>41310</v>
      </c>
      <c r="BE2182" s="355">
        <v>9.2069999999999999E-2</v>
      </c>
      <c r="BF2182" s="624">
        <v>41439</v>
      </c>
      <c r="BG2182" s="355">
        <v>1.7339E-2</v>
      </c>
      <c r="BH2182" s="624">
        <v>41310</v>
      </c>
      <c r="BI2182" s="355">
        <v>0.103349</v>
      </c>
      <c r="BJ2182" s="624">
        <v>41309</v>
      </c>
      <c r="BK2182" s="355">
        <v>3.3602E-2</v>
      </c>
    </row>
    <row r="2183" spans="3:63">
      <c r="C2183" s="624"/>
      <c r="D2183" s="355">
        <v>3.3119999999999997E-2</v>
      </c>
      <c r="AV2183" s="624"/>
      <c r="AX2183" s="624">
        <v>41316</v>
      </c>
      <c r="AY2183" s="355">
        <v>3.3180000000000001E-2</v>
      </c>
      <c r="AZ2183" s="624">
        <v>41380</v>
      </c>
      <c r="BA2183" s="355">
        <v>1.18E-2</v>
      </c>
      <c r="BB2183" s="624">
        <v>41311</v>
      </c>
      <c r="BC2183" s="355">
        <v>0.3236</v>
      </c>
      <c r="BD2183" s="624">
        <v>41311</v>
      </c>
      <c r="BE2183" s="355">
        <v>9.1719999999999996E-2</v>
      </c>
      <c r="BF2183" s="624">
        <v>41442</v>
      </c>
      <c r="BG2183" s="355">
        <v>1.7177999999999999E-2</v>
      </c>
      <c r="BH2183" s="624">
        <v>41311</v>
      </c>
      <c r="BI2183" s="355">
        <v>0.102987</v>
      </c>
      <c r="BJ2183" s="624">
        <v>41310</v>
      </c>
      <c r="BK2183" s="355">
        <v>3.3597000000000002E-2</v>
      </c>
    </row>
    <row r="2184" spans="3:63">
      <c r="C2184" s="624"/>
      <c r="D2184" s="355">
        <v>3.3180000000000001E-2</v>
      </c>
      <c r="AV2184" s="624"/>
      <c r="AX2184" s="624">
        <v>41317</v>
      </c>
      <c r="AY2184" s="355">
        <v>3.329E-2</v>
      </c>
      <c r="AZ2184" s="624">
        <v>41381</v>
      </c>
      <c r="BA2184" s="355">
        <v>1.17E-2</v>
      </c>
      <c r="BB2184" s="624">
        <v>41312</v>
      </c>
      <c r="BC2184" s="355">
        <v>0.32100000000000001</v>
      </c>
      <c r="BD2184" s="624">
        <v>41312</v>
      </c>
      <c r="BE2184" s="355">
        <v>9.1590000000000005E-2</v>
      </c>
      <c r="BF2184" s="624">
        <v>41443</v>
      </c>
      <c r="BG2184" s="355">
        <v>1.6989000000000001E-2</v>
      </c>
      <c r="BH2184" s="624">
        <v>41312</v>
      </c>
      <c r="BI2184" s="355">
        <v>0.103189</v>
      </c>
      <c r="BJ2184" s="624">
        <v>41311</v>
      </c>
      <c r="BK2184" s="355">
        <v>3.3574E-2</v>
      </c>
    </row>
    <row r="2185" spans="3:63">
      <c r="C2185" s="624"/>
      <c r="D2185" s="355">
        <v>3.329E-2</v>
      </c>
      <c r="AV2185" s="624"/>
      <c r="AX2185" s="624">
        <v>41318</v>
      </c>
      <c r="AY2185" s="355">
        <v>3.3309999999999999E-2</v>
      </c>
      <c r="AZ2185" s="624">
        <v>41382</v>
      </c>
      <c r="BA2185" s="355">
        <v>1.17E-2</v>
      </c>
      <c r="BB2185" s="624">
        <v>41313</v>
      </c>
      <c r="BC2185" s="355">
        <v>0.3221</v>
      </c>
      <c r="BD2185" s="624">
        <v>41313</v>
      </c>
      <c r="BE2185" s="355">
        <v>9.1380000000000003E-2</v>
      </c>
      <c r="BF2185" s="624">
        <v>41444</v>
      </c>
      <c r="BG2185" s="355">
        <v>1.6945000000000002E-2</v>
      </c>
      <c r="BH2185" s="624">
        <v>41313</v>
      </c>
      <c r="BI2185" s="355">
        <v>0.10345500000000001</v>
      </c>
      <c r="BJ2185" s="624">
        <v>41312</v>
      </c>
      <c r="BK2185" s="355">
        <v>3.3579999999999999E-2</v>
      </c>
    </row>
    <row r="2186" spans="3:63">
      <c r="C2186" s="624"/>
      <c r="D2186" s="355">
        <v>3.3309999999999999E-2</v>
      </c>
      <c r="AV2186" s="624"/>
      <c r="AX2186" s="624">
        <v>41319</v>
      </c>
      <c r="AY2186" s="355">
        <v>3.322E-2</v>
      </c>
      <c r="AZ2186" s="624">
        <v>41383</v>
      </c>
      <c r="BA2186" s="355">
        <v>1.17E-2</v>
      </c>
      <c r="BB2186" s="624">
        <v>41316</v>
      </c>
      <c r="BC2186" s="355">
        <v>0.32290000000000002</v>
      </c>
      <c r="BD2186" s="624">
        <v>41316</v>
      </c>
      <c r="BE2186" s="355">
        <v>9.1289999999999996E-2</v>
      </c>
      <c r="BF2186" s="624">
        <v>41445</v>
      </c>
      <c r="BG2186" s="355">
        <v>1.6681999999999999E-2</v>
      </c>
      <c r="BH2186" s="624">
        <v>41316</v>
      </c>
      <c r="BI2186" s="355">
        <v>0.103939</v>
      </c>
      <c r="BJ2186" s="624">
        <v>41313</v>
      </c>
      <c r="BK2186" s="355">
        <v>3.3556999999999997E-2</v>
      </c>
    </row>
    <row r="2187" spans="3:63">
      <c r="C2187" s="624"/>
      <c r="D2187" s="355">
        <v>3.322E-2</v>
      </c>
      <c r="AV2187" s="624"/>
      <c r="AX2187" s="624">
        <v>41320</v>
      </c>
      <c r="AY2187" s="355">
        <v>3.3239999999999999E-2</v>
      </c>
      <c r="AZ2187" s="624">
        <v>41386</v>
      </c>
      <c r="BA2187" s="355">
        <v>1.17E-2</v>
      </c>
      <c r="BB2187" s="624">
        <v>41317</v>
      </c>
      <c r="BC2187" s="355">
        <v>0.3221</v>
      </c>
      <c r="BD2187" s="624">
        <v>41317</v>
      </c>
      <c r="BE2187" s="355">
        <v>9.1670000000000001E-2</v>
      </c>
      <c r="BF2187" s="624">
        <v>41446</v>
      </c>
      <c r="BG2187" s="355">
        <v>1.6774000000000001E-2</v>
      </c>
      <c r="BH2187" s="624">
        <v>41317</v>
      </c>
      <c r="BI2187" s="355">
        <v>0.10367</v>
      </c>
      <c r="BJ2187" s="624">
        <v>41316</v>
      </c>
      <c r="BK2187" s="355">
        <v>3.3500000000000002E-2</v>
      </c>
    </row>
    <row r="2188" spans="3:63">
      <c r="C2188" s="624"/>
      <c r="D2188" s="355">
        <v>3.3239999999999999E-2</v>
      </c>
      <c r="AV2188" s="624"/>
      <c r="AX2188" s="624">
        <v>41323</v>
      </c>
      <c r="AY2188" s="355">
        <v>3.32E-2</v>
      </c>
      <c r="AZ2188" s="624">
        <v>41387</v>
      </c>
      <c r="BA2188" s="355">
        <v>1.17E-2</v>
      </c>
      <c r="BB2188" s="624">
        <v>41318</v>
      </c>
      <c r="BC2188" s="355">
        <v>0.32390000000000002</v>
      </c>
      <c r="BD2188" s="624">
        <v>41318</v>
      </c>
      <c r="BE2188" s="355">
        <v>9.2050000000000007E-2</v>
      </c>
      <c r="BF2188" s="624">
        <v>41449</v>
      </c>
      <c r="BG2188" s="355">
        <v>1.6716999999999999E-2</v>
      </c>
      <c r="BH2188" s="624">
        <v>41318</v>
      </c>
      <c r="BI2188" s="355">
        <v>0.10366</v>
      </c>
      <c r="BJ2188" s="624">
        <v>41317</v>
      </c>
      <c r="BK2188" s="355">
        <v>3.3508999999999997E-2</v>
      </c>
    </row>
    <row r="2189" spans="3:63">
      <c r="C2189" s="624"/>
      <c r="D2189" s="355">
        <v>3.32E-2</v>
      </c>
      <c r="AV2189" s="624"/>
      <c r="AX2189" s="624">
        <v>41324</v>
      </c>
      <c r="AY2189" s="355">
        <v>3.3250000000000002E-2</v>
      </c>
      <c r="AZ2189" s="624">
        <v>41388</v>
      </c>
      <c r="BA2189" s="355">
        <v>1.17E-2</v>
      </c>
      <c r="BB2189" s="624">
        <v>41319</v>
      </c>
      <c r="BC2189" s="355">
        <v>0.31990000000000002</v>
      </c>
      <c r="BD2189" s="624">
        <v>41319</v>
      </c>
      <c r="BE2189" s="355">
        <v>9.239E-2</v>
      </c>
      <c r="BF2189" s="624">
        <v>41450</v>
      </c>
      <c r="BG2189" s="355">
        <v>1.6749E-2</v>
      </c>
      <c r="BH2189" s="624">
        <v>41319</v>
      </c>
      <c r="BI2189" s="355">
        <v>0.10352</v>
      </c>
      <c r="BJ2189" s="624">
        <v>41318</v>
      </c>
      <c r="BK2189" s="355">
        <v>3.3522999999999997E-2</v>
      </c>
    </row>
    <row r="2190" spans="3:63">
      <c r="C2190" s="624"/>
      <c r="D2190" s="355">
        <v>3.3250000000000002E-2</v>
      </c>
      <c r="AV2190" s="624"/>
      <c r="AX2190" s="624">
        <v>41325</v>
      </c>
      <c r="AY2190" s="355">
        <v>3.3079999999999998E-2</v>
      </c>
      <c r="AZ2190" s="624">
        <v>41389</v>
      </c>
      <c r="BA2190" s="355">
        <v>1.17E-2</v>
      </c>
      <c r="BB2190" s="624">
        <v>41320</v>
      </c>
      <c r="BC2190" s="355">
        <v>0.31900000000000001</v>
      </c>
      <c r="BD2190" s="624">
        <v>41320</v>
      </c>
      <c r="BE2190" s="355">
        <v>9.2539999999999997E-2</v>
      </c>
      <c r="BF2190" s="624">
        <v>41451</v>
      </c>
      <c r="BG2190" s="355">
        <v>1.6469000000000001E-2</v>
      </c>
      <c r="BH2190" s="624">
        <v>41320</v>
      </c>
      <c r="BI2190" s="355">
        <v>0.103413</v>
      </c>
      <c r="BJ2190" s="624">
        <v>41319</v>
      </c>
      <c r="BK2190" s="355">
        <v>3.3535000000000002E-2</v>
      </c>
    </row>
    <row r="2191" spans="3:63">
      <c r="C2191" s="624"/>
      <c r="D2191" s="355">
        <v>3.3079999999999998E-2</v>
      </c>
      <c r="AV2191" s="624"/>
      <c r="AX2191" s="624">
        <v>41326</v>
      </c>
      <c r="AY2191" s="355">
        <v>3.2849999999999997E-2</v>
      </c>
      <c r="AZ2191" s="624">
        <v>41390</v>
      </c>
      <c r="BA2191" s="355">
        <v>1.17E-2</v>
      </c>
      <c r="BB2191" s="624">
        <v>41323</v>
      </c>
      <c r="BC2191" s="355">
        <v>0.31900000000000001</v>
      </c>
      <c r="BD2191" s="624">
        <v>41323</v>
      </c>
      <c r="BE2191" s="355">
        <v>9.2319999999999999E-2</v>
      </c>
      <c r="BF2191" s="624">
        <v>41452</v>
      </c>
      <c r="BG2191" s="355">
        <v>1.6615000000000001E-2</v>
      </c>
      <c r="BH2191" s="624">
        <v>41323</v>
      </c>
      <c r="BI2191" s="355">
        <v>0.103296</v>
      </c>
      <c r="BJ2191" s="624">
        <v>41320</v>
      </c>
      <c r="BK2191" s="355">
        <v>3.3489999999999999E-2</v>
      </c>
    </row>
    <row r="2192" spans="3:63">
      <c r="C2192" s="624"/>
      <c r="D2192" s="355">
        <v>3.2849999999999997E-2</v>
      </c>
      <c r="AV2192" s="624"/>
      <c r="AX2192" s="624">
        <v>41327</v>
      </c>
      <c r="AY2192" s="355">
        <v>3.2910000000000002E-2</v>
      </c>
      <c r="AZ2192" s="624">
        <v>41393</v>
      </c>
      <c r="BA2192" s="355">
        <v>1.18E-2</v>
      </c>
      <c r="BB2192" s="624">
        <v>41324</v>
      </c>
      <c r="BC2192" s="355">
        <v>0.3211</v>
      </c>
      <c r="BD2192" s="624">
        <v>41324</v>
      </c>
      <c r="BE2192" s="355">
        <v>9.264E-2</v>
      </c>
      <c r="BF2192" s="624">
        <v>41453</v>
      </c>
      <c r="BG2192" s="355">
        <v>1.6754999999999999E-2</v>
      </c>
      <c r="BH2192" s="624">
        <v>41324</v>
      </c>
      <c r="BI2192" s="355">
        <v>0.103062</v>
      </c>
      <c r="BJ2192" s="624">
        <v>41323</v>
      </c>
      <c r="BK2192" s="355">
        <v>3.3445000000000003E-2</v>
      </c>
    </row>
    <row r="2193" spans="3:63">
      <c r="C2193" s="624"/>
      <c r="D2193" s="355">
        <v>3.2910000000000002E-2</v>
      </c>
      <c r="AV2193" s="624"/>
      <c r="AX2193" s="624">
        <v>41330</v>
      </c>
      <c r="AY2193" s="355">
        <v>3.2599999999999997E-2</v>
      </c>
      <c r="AZ2193" s="624">
        <v>41394</v>
      </c>
      <c r="BA2193" s="355">
        <v>1.1900000000000001E-2</v>
      </c>
      <c r="BB2193" s="624">
        <v>41325</v>
      </c>
      <c r="BC2193" s="355">
        <v>0.31909999999999999</v>
      </c>
      <c r="BD2193" s="624">
        <v>41325</v>
      </c>
      <c r="BE2193" s="355">
        <v>9.2480000000000007E-2</v>
      </c>
      <c r="BF2193" s="624">
        <v>41456</v>
      </c>
      <c r="BG2193" s="355">
        <v>1.6833000000000001E-2</v>
      </c>
      <c r="BH2193" s="624">
        <v>41325</v>
      </c>
      <c r="BI2193" s="355">
        <v>0.10326299999999999</v>
      </c>
      <c r="BJ2193" s="624">
        <v>41324</v>
      </c>
      <c r="BK2193" s="355">
        <v>3.3478000000000001E-2</v>
      </c>
    </row>
    <row r="2194" spans="3:63">
      <c r="C2194" s="624"/>
      <c r="D2194" s="355">
        <v>3.2599999999999997E-2</v>
      </c>
      <c r="AV2194" s="624"/>
      <c r="AX2194" s="624">
        <v>41331</v>
      </c>
      <c r="AY2194" s="355">
        <v>3.2660000000000002E-2</v>
      </c>
      <c r="AZ2194" s="624">
        <v>41395</v>
      </c>
      <c r="BA2194" s="355">
        <v>1.1900000000000001E-2</v>
      </c>
      <c r="BB2194" s="624">
        <v>41326</v>
      </c>
      <c r="BC2194" s="355">
        <v>0.3165</v>
      </c>
      <c r="BD2194" s="624">
        <v>41326</v>
      </c>
      <c r="BE2194" s="355">
        <v>9.1689999999999994E-2</v>
      </c>
      <c r="BF2194" s="624">
        <v>41457</v>
      </c>
      <c r="BG2194" s="355">
        <v>1.6712999999999999E-2</v>
      </c>
      <c r="BH2194" s="624">
        <v>41326</v>
      </c>
      <c r="BI2194" s="355">
        <v>0.103072</v>
      </c>
      <c r="BJ2194" s="624">
        <v>41325</v>
      </c>
      <c r="BK2194" s="355">
        <v>3.3501000000000003E-2</v>
      </c>
    </row>
    <row r="2195" spans="3:63">
      <c r="C2195" s="624"/>
      <c r="D2195" s="355">
        <v>3.2660000000000002E-2</v>
      </c>
      <c r="AV2195" s="624"/>
      <c r="AX2195" s="624">
        <v>41332</v>
      </c>
      <c r="AY2195" s="355">
        <v>3.2849999999999997E-2</v>
      </c>
      <c r="AZ2195" s="624">
        <v>41396</v>
      </c>
      <c r="BA2195" s="355">
        <v>1.18E-2</v>
      </c>
      <c r="BB2195" s="624">
        <v>41327</v>
      </c>
      <c r="BC2195" s="355">
        <v>0.317</v>
      </c>
      <c r="BD2195" s="624">
        <v>41327</v>
      </c>
      <c r="BE2195" s="355">
        <v>9.2130000000000004E-2</v>
      </c>
      <c r="BF2195" s="624">
        <v>41458</v>
      </c>
      <c r="BG2195" s="355">
        <v>1.6604000000000001E-2</v>
      </c>
      <c r="BH2195" s="624">
        <v>41327</v>
      </c>
      <c r="BI2195" s="355">
        <v>0.102987</v>
      </c>
      <c r="BJ2195" s="624">
        <v>41326</v>
      </c>
      <c r="BK2195" s="355">
        <v>3.3512E-2</v>
      </c>
    </row>
    <row r="2196" spans="3:63">
      <c r="C2196" s="624"/>
      <c r="D2196" s="355">
        <v>3.2849999999999997E-2</v>
      </c>
      <c r="AV2196" s="624"/>
      <c r="AX2196" s="624">
        <v>41333</v>
      </c>
      <c r="AY2196" s="355">
        <v>3.2640000000000002E-2</v>
      </c>
      <c r="AZ2196" s="624">
        <v>41397</v>
      </c>
      <c r="BA2196" s="355">
        <v>1.18E-2</v>
      </c>
      <c r="BB2196" s="624">
        <v>41330</v>
      </c>
      <c r="BC2196" s="355">
        <v>0.31409999999999999</v>
      </c>
      <c r="BD2196" s="624">
        <v>41330</v>
      </c>
      <c r="BE2196" s="355">
        <v>9.1889999999999999E-2</v>
      </c>
      <c r="BF2196" s="624">
        <v>41459</v>
      </c>
      <c r="BG2196" s="355">
        <v>1.6636000000000001E-2</v>
      </c>
      <c r="BH2196" s="624">
        <v>41330</v>
      </c>
      <c r="BI2196" s="355">
        <v>0.10304000000000001</v>
      </c>
      <c r="BJ2196" s="624">
        <v>41327</v>
      </c>
      <c r="BK2196" s="355">
        <v>3.3512E-2</v>
      </c>
    </row>
    <row r="2197" spans="3:63">
      <c r="C2197" s="624"/>
      <c r="D2197" s="355">
        <v>3.2640000000000002E-2</v>
      </c>
      <c r="AV2197" s="624"/>
      <c r="AX2197" s="624">
        <v>41334</v>
      </c>
      <c r="AY2197" s="355">
        <v>3.2599999999999997E-2</v>
      </c>
      <c r="AZ2197" s="624">
        <v>41400</v>
      </c>
      <c r="BA2197" s="355">
        <v>1.18E-2</v>
      </c>
      <c r="BB2197" s="624">
        <v>41331</v>
      </c>
      <c r="BC2197" s="355">
        <v>0.31409999999999999</v>
      </c>
      <c r="BD2197" s="624">
        <v>41331</v>
      </c>
      <c r="BE2197" s="355">
        <v>9.1749999999999998E-2</v>
      </c>
      <c r="BF2197" s="624">
        <v>41460</v>
      </c>
      <c r="BG2197" s="355">
        <v>1.6473000000000002E-2</v>
      </c>
      <c r="BH2197" s="624">
        <v>41331</v>
      </c>
      <c r="BI2197" s="355">
        <v>0.103019</v>
      </c>
      <c r="BJ2197" s="624">
        <v>41330</v>
      </c>
      <c r="BK2197" s="355">
        <v>3.3522999999999997E-2</v>
      </c>
    </row>
    <row r="2198" spans="3:63">
      <c r="C2198" s="624"/>
      <c r="D2198" s="355">
        <v>3.2599999999999997E-2</v>
      </c>
      <c r="AV2198" s="624"/>
      <c r="AX2198" s="624">
        <v>41337</v>
      </c>
      <c r="AY2198" s="355">
        <v>3.2509999999999997E-2</v>
      </c>
      <c r="AZ2198" s="624">
        <v>41401</v>
      </c>
      <c r="BA2198" s="355">
        <v>1.18E-2</v>
      </c>
      <c r="BB2198" s="624">
        <v>41332</v>
      </c>
      <c r="BC2198" s="355">
        <v>0.31590000000000001</v>
      </c>
      <c r="BD2198" s="624">
        <v>41332</v>
      </c>
      <c r="BE2198" s="355">
        <v>9.221E-2</v>
      </c>
      <c r="BF2198" s="624">
        <v>41463</v>
      </c>
      <c r="BG2198" s="355">
        <v>1.6628E-2</v>
      </c>
      <c r="BH2198" s="624">
        <v>41332</v>
      </c>
      <c r="BI2198" s="355">
        <v>0.103242</v>
      </c>
      <c r="BJ2198" s="624">
        <v>41331</v>
      </c>
      <c r="BK2198" s="355">
        <v>3.3536000000000003E-2</v>
      </c>
    </row>
    <row r="2199" spans="3:63">
      <c r="C2199" s="624"/>
      <c r="D2199" s="355">
        <v>3.2509999999999997E-2</v>
      </c>
      <c r="AV2199" s="624"/>
      <c r="AX2199" s="624">
        <v>41338</v>
      </c>
      <c r="AY2199" s="355">
        <v>3.2660000000000002E-2</v>
      </c>
      <c r="AZ2199" s="624">
        <v>41402</v>
      </c>
      <c r="BA2199" s="355">
        <v>1.1900000000000001E-2</v>
      </c>
      <c r="BB2199" s="624">
        <v>41333</v>
      </c>
      <c r="BC2199" s="355">
        <v>0.31459999999999999</v>
      </c>
      <c r="BD2199" s="624">
        <v>41333</v>
      </c>
      <c r="BE2199" s="355">
        <v>9.2090000000000005E-2</v>
      </c>
      <c r="BF2199" s="624">
        <v>41464</v>
      </c>
      <c r="BG2199" s="355">
        <v>1.6639999999999999E-2</v>
      </c>
      <c r="BH2199" s="624">
        <v>41333</v>
      </c>
      <c r="BI2199" s="355">
        <v>0.103478</v>
      </c>
      <c r="BJ2199" s="624">
        <v>41332</v>
      </c>
      <c r="BK2199" s="355">
        <v>3.3522999999999997E-2</v>
      </c>
    </row>
    <row r="2200" spans="3:63">
      <c r="C2200" s="624"/>
      <c r="D2200" s="355">
        <v>3.2660000000000002E-2</v>
      </c>
      <c r="AV2200" s="624"/>
      <c r="AX2200" s="624">
        <v>41339</v>
      </c>
      <c r="AY2200" s="355">
        <v>3.2509999999999997E-2</v>
      </c>
      <c r="AZ2200" s="624">
        <v>41403</v>
      </c>
      <c r="BA2200" s="355">
        <v>1.17E-2</v>
      </c>
      <c r="BB2200" s="624">
        <v>41334</v>
      </c>
      <c r="BC2200" s="355">
        <v>0.31480000000000002</v>
      </c>
      <c r="BD2200" s="624">
        <v>41334</v>
      </c>
      <c r="BE2200" s="355">
        <v>9.2009999999999995E-2</v>
      </c>
      <c r="BF2200" s="624">
        <v>41465</v>
      </c>
      <c r="BG2200" s="355">
        <v>1.6660000000000001E-2</v>
      </c>
      <c r="BH2200" s="624">
        <v>41334</v>
      </c>
      <c r="BI2200" s="355">
        <v>0.103328</v>
      </c>
      <c r="BJ2200" s="624">
        <v>41333</v>
      </c>
      <c r="BK2200" s="355">
        <v>3.3579999999999999E-2</v>
      </c>
    </row>
    <row r="2201" spans="3:63">
      <c r="C2201" s="624"/>
      <c r="D2201" s="355">
        <v>3.2509999999999997E-2</v>
      </c>
      <c r="AV2201" s="624"/>
      <c r="AX2201" s="624">
        <v>41340</v>
      </c>
      <c r="AY2201" s="355">
        <v>3.2559999999999999E-2</v>
      </c>
      <c r="AZ2201" s="624">
        <v>41404</v>
      </c>
      <c r="BA2201" s="355">
        <v>1.17E-2</v>
      </c>
      <c r="BB2201" s="624">
        <v>41337</v>
      </c>
      <c r="BC2201" s="355">
        <v>0.31480000000000002</v>
      </c>
      <c r="BD2201" s="624">
        <v>41337</v>
      </c>
      <c r="BE2201" s="355">
        <v>9.1660000000000005E-2</v>
      </c>
      <c r="BF2201" s="624">
        <v>41466</v>
      </c>
      <c r="BG2201" s="355">
        <v>1.6715000000000001E-2</v>
      </c>
      <c r="BH2201" s="624">
        <v>41337</v>
      </c>
      <c r="BI2201" s="355">
        <v>0.10303</v>
      </c>
      <c r="BJ2201" s="624">
        <v>41334</v>
      </c>
      <c r="BK2201" s="355">
        <v>3.3591000000000003E-2</v>
      </c>
    </row>
    <row r="2202" spans="3:63">
      <c r="C2202" s="624"/>
      <c r="D2202" s="355">
        <v>3.2559999999999999E-2</v>
      </c>
      <c r="AV2202" s="624"/>
      <c r="AX2202" s="624">
        <v>41341</v>
      </c>
      <c r="AY2202" s="355">
        <v>3.2469999999999999E-2</v>
      </c>
      <c r="AZ2202" s="624">
        <v>41407</v>
      </c>
      <c r="BA2202" s="355">
        <v>1.17E-2</v>
      </c>
      <c r="BB2202" s="624">
        <v>41338</v>
      </c>
      <c r="BC2202" s="355">
        <v>0.31640000000000001</v>
      </c>
      <c r="BD2202" s="624">
        <v>41338</v>
      </c>
      <c r="BE2202" s="355">
        <v>9.2050000000000007E-2</v>
      </c>
      <c r="BF2202" s="624">
        <v>41467</v>
      </c>
      <c r="BG2202" s="355">
        <v>1.6684999999999998E-2</v>
      </c>
      <c r="BH2202" s="624">
        <v>41338</v>
      </c>
      <c r="BI2202" s="355">
        <v>0.10317800000000001</v>
      </c>
      <c r="BJ2202" s="624">
        <v>41337</v>
      </c>
      <c r="BK2202" s="355">
        <v>3.3529000000000003E-2</v>
      </c>
    </row>
    <row r="2203" spans="3:63">
      <c r="C2203" s="624"/>
      <c r="D2203" s="355">
        <v>3.2469999999999999E-2</v>
      </c>
      <c r="AV2203" s="624"/>
      <c r="AX2203" s="624">
        <v>41344</v>
      </c>
      <c r="AY2203" s="355">
        <v>3.2550000000000003E-2</v>
      </c>
      <c r="AZ2203" s="624">
        <v>41408</v>
      </c>
      <c r="BA2203" s="355">
        <v>1.17E-2</v>
      </c>
      <c r="BB2203" s="624">
        <v>41339</v>
      </c>
      <c r="BC2203" s="355">
        <v>0.31259999999999999</v>
      </c>
      <c r="BD2203" s="624">
        <v>41339</v>
      </c>
      <c r="BE2203" s="355">
        <v>9.2079999999999995E-2</v>
      </c>
      <c r="BF2203" s="624">
        <v>41470</v>
      </c>
      <c r="BG2203" s="355">
        <v>1.6923000000000001E-2</v>
      </c>
      <c r="BH2203" s="624">
        <v>41339</v>
      </c>
      <c r="BI2203" s="355">
        <v>0.10322099999999999</v>
      </c>
      <c r="BJ2203" s="624">
        <v>41338</v>
      </c>
      <c r="BK2203" s="355">
        <v>3.3605000000000003E-2</v>
      </c>
    </row>
    <row r="2204" spans="3:63">
      <c r="C2204" s="624"/>
      <c r="D2204" s="355">
        <v>3.2550000000000003E-2</v>
      </c>
      <c r="AV2204" s="624"/>
      <c r="AX2204" s="624">
        <v>41345</v>
      </c>
      <c r="AY2204" s="355">
        <v>3.2579999999999998E-2</v>
      </c>
      <c r="AZ2204" s="624">
        <v>41409</v>
      </c>
      <c r="BA2204" s="355">
        <v>1.17E-2</v>
      </c>
      <c r="BB2204" s="624">
        <v>41340</v>
      </c>
      <c r="BC2204" s="355">
        <v>0.31580000000000003</v>
      </c>
      <c r="BD2204" s="624">
        <v>41340</v>
      </c>
      <c r="BE2204" s="355">
        <v>9.2009999999999995E-2</v>
      </c>
      <c r="BF2204" s="624">
        <v>41471</v>
      </c>
      <c r="BG2204" s="355">
        <v>1.6964E-2</v>
      </c>
      <c r="BH2204" s="624">
        <v>41340</v>
      </c>
      <c r="BI2204" s="355">
        <v>0.103168</v>
      </c>
      <c r="BJ2204" s="624">
        <v>41339</v>
      </c>
      <c r="BK2204" s="355">
        <v>3.3556999999999997E-2</v>
      </c>
    </row>
    <row r="2205" spans="3:63">
      <c r="C2205" s="624"/>
      <c r="D2205" s="355">
        <v>3.2579999999999998E-2</v>
      </c>
      <c r="AV2205" s="624"/>
      <c r="AX2205" s="624">
        <v>41346</v>
      </c>
      <c r="AY2205" s="355">
        <v>3.2469999999999999E-2</v>
      </c>
      <c r="AZ2205" s="624">
        <v>41410</v>
      </c>
      <c r="BA2205" s="355">
        <v>1.1599999999999999E-2</v>
      </c>
      <c r="BB2205" s="624">
        <v>41341</v>
      </c>
      <c r="BC2205" s="355">
        <v>0.31490000000000001</v>
      </c>
      <c r="BD2205" s="624">
        <v>41341</v>
      </c>
      <c r="BE2205" s="355">
        <v>9.1600000000000001E-2</v>
      </c>
      <c r="BF2205" s="624">
        <v>41472</v>
      </c>
      <c r="BG2205" s="355">
        <v>1.6854999999999998E-2</v>
      </c>
      <c r="BH2205" s="624">
        <v>41341</v>
      </c>
      <c r="BI2205" s="355">
        <v>0.10326299999999999</v>
      </c>
      <c r="BJ2205" s="624">
        <v>41340</v>
      </c>
      <c r="BK2205" s="355">
        <v>3.3633999999999997E-2</v>
      </c>
    </row>
    <row r="2206" spans="3:63">
      <c r="C2206" s="624"/>
      <c r="D2206" s="355">
        <v>3.2469999999999999E-2</v>
      </c>
      <c r="AV2206" s="624"/>
      <c r="AX2206" s="624">
        <v>41347</v>
      </c>
      <c r="AY2206" s="355">
        <v>3.2550000000000003E-2</v>
      </c>
      <c r="AZ2206" s="624">
        <v>41411</v>
      </c>
      <c r="BA2206" s="355">
        <v>1.1599999999999999E-2</v>
      </c>
      <c r="BB2206" s="624">
        <v>41344</v>
      </c>
      <c r="BC2206" s="355">
        <v>0.315</v>
      </c>
      <c r="BD2206" s="624">
        <v>41344</v>
      </c>
      <c r="BE2206" s="355">
        <v>9.1079999999999994E-2</v>
      </c>
      <c r="BF2206" s="624">
        <v>41473</v>
      </c>
      <c r="BG2206" s="355">
        <v>1.6740000000000001E-2</v>
      </c>
      <c r="BH2206" s="624">
        <v>41344</v>
      </c>
      <c r="BI2206" s="355">
        <v>0.103135</v>
      </c>
      <c r="BJ2206" s="624">
        <v>41341</v>
      </c>
      <c r="BK2206" s="355">
        <v>3.3633000000000003E-2</v>
      </c>
    </row>
    <row r="2207" spans="3:63">
      <c r="C2207" s="624"/>
      <c r="D2207" s="355">
        <v>3.2550000000000003E-2</v>
      </c>
      <c r="AV2207" s="624"/>
      <c r="AX2207" s="624">
        <v>41348</v>
      </c>
      <c r="AY2207" s="355">
        <v>3.2660000000000002E-2</v>
      </c>
      <c r="AZ2207" s="624">
        <v>41414</v>
      </c>
      <c r="BA2207" s="355">
        <v>1.1599999999999999E-2</v>
      </c>
      <c r="BB2207" s="624">
        <v>41345</v>
      </c>
      <c r="BC2207" s="355">
        <v>0.31490000000000001</v>
      </c>
      <c r="BD2207" s="624">
        <v>41345</v>
      </c>
      <c r="BE2207" s="355">
        <v>9.1120000000000007E-2</v>
      </c>
      <c r="BF2207" s="624">
        <v>41474</v>
      </c>
      <c r="BG2207" s="355">
        <v>1.6837999999999999E-2</v>
      </c>
      <c r="BH2207" s="624">
        <v>41345</v>
      </c>
      <c r="BI2207" s="355">
        <v>0.10312499999999999</v>
      </c>
      <c r="BJ2207" s="624">
        <v>41344</v>
      </c>
      <c r="BK2207" s="355">
        <v>3.3646000000000002E-2</v>
      </c>
    </row>
    <row r="2208" spans="3:63">
      <c r="C2208" s="624"/>
      <c r="D2208" s="355">
        <v>3.2660000000000002E-2</v>
      </c>
      <c r="AV2208" s="624"/>
      <c r="AX2208" s="624">
        <v>41351</v>
      </c>
      <c r="AY2208" s="355">
        <v>3.2469999999999999E-2</v>
      </c>
      <c r="AZ2208" s="624">
        <v>41415</v>
      </c>
      <c r="BA2208" s="355">
        <v>1.1599999999999999E-2</v>
      </c>
      <c r="BB2208" s="624">
        <v>41346</v>
      </c>
      <c r="BC2208" s="355">
        <v>0.31309999999999999</v>
      </c>
      <c r="BD2208" s="624">
        <v>41346</v>
      </c>
      <c r="BE2208" s="355">
        <v>9.103E-2</v>
      </c>
      <c r="BF2208" s="624">
        <v>41477</v>
      </c>
      <c r="BG2208" s="355">
        <v>1.6844999999999999E-2</v>
      </c>
      <c r="BH2208" s="624">
        <v>41346</v>
      </c>
      <c r="BI2208" s="355">
        <v>0.103189</v>
      </c>
      <c r="BJ2208" s="624">
        <v>41345</v>
      </c>
      <c r="BK2208" s="355">
        <v>3.3784000000000002E-2</v>
      </c>
    </row>
    <row r="2209" spans="3:63">
      <c r="C2209" s="624"/>
      <c r="D2209" s="355">
        <v>3.2469999999999999E-2</v>
      </c>
      <c r="AV2209" s="624"/>
      <c r="AX2209" s="624">
        <v>41352</v>
      </c>
      <c r="AY2209" s="355">
        <v>3.227E-2</v>
      </c>
      <c r="AZ2209" s="624">
        <v>41416</v>
      </c>
      <c r="BA2209" s="355">
        <v>1.1599999999999999E-2</v>
      </c>
      <c r="BB2209" s="624">
        <v>41347</v>
      </c>
      <c r="BC2209" s="355">
        <v>0.31290000000000001</v>
      </c>
      <c r="BD2209" s="624">
        <v>41347</v>
      </c>
      <c r="BE2209" s="355">
        <v>9.0240000000000001E-2</v>
      </c>
      <c r="BF2209" s="624">
        <v>41478</v>
      </c>
      <c r="BG2209" s="355">
        <v>1.6833999999999998E-2</v>
      </c>
      <c r="BH2209" s="624">
        <v>41347</v>
      </c>
      <c r="BI2209" s="355">
        <v>0.103061</v>
      </c>
      <c r="BJ2209" s="624">
        <v>41346</v>
      </c>
      <c r="BK2209" s="355">
        <v>3.3753999999999999E-2</v>
      </c>
    </row>
    <row r="2210" spans="3:63">
      <c r="C2210" s="624"/>
      <c r="D2210" s="355">
        <v>3.227E-2</v>
      </c>
      <c r="AV2210" s="624"/>
      <c r="AX2210" s="624">
        <v>41353</v>
      </c>
      <c r="AY2210" s="355">
        <v>3.2390000000000002E-2</v>
      </c>
      <c r="AZ2210" s="624">
        <v>41417</v>
      </c>
      <c r="BA2210" s="355">
        <v>1.1599999999999999E-2</v>
      </c>
      <c r="BB2210" s="624">
        <v>41348</v>
      </c>
      <c r="BC2210" s="355">
        <v>0.31540000000000001</v>
      </c>
      <c r="BD2210" s="624">
        <v>41348</v>
      </c>
      <c r="BE2210" s="355">
        <v>9.0050000000000005E-2</v>
      </c>
      <c r="BF2210" s="624">
        <v>41479</v>
      </c>
      <c r="BG2210" s="355">
        <v>1.6874E-2</v>
      </c>
      <c r="BH2210" s="624">
        <v>41348</v>
      </c>
      <c r="BI2210" s="355">
        <v>0.10304000000000001</v>
      </c>
      <c r="BJ2210" s="624">
        <v>41347</v>
      </c>
      <c r="BK2210" s="355">
        <v>3.3737999999999997E-2</v>
      </c>
    </row>
    <row r="2211" spans="3:63">
      <c r="C2211" s="624"/>
      <c r="D2211" s="355">
        <v>3.2390000000000002E-2</v>
      </c>
      <c r="AV2211" s="624"/>
      <c r="AX2211" s="624">
        <v>41354</v>
      </c>
      <c r="AY2211" s="355">
        <v>3.2329999999999998E-2</v>
      </c>
      <c r="AZ2211" s="624">
        <v>41418</v>
      </c>
      <c r="BA2211" s="355">
        <v>1.17E-2</v>
      </c>
      <c r="BB2211" s="624">
        <v>41351</v>
      </c>
      <c r="BC2211" s="355">
        <v>0.31209999999999999</v>
      </c>
      <c r="BD2211" s="624">
        <v>41351</v>
      </c>
      <c r="BE2211" s="355">
        <v>8.9779999999999999E-2</v>
      </c>
      <c r="BF2211" s="624">
        <v>41480</v>
      </c>
      <c r="BG2211" s="355">
        <v>1.6961E-2</v>
      </c>
      <c r="BH2211" s="624">
        <v>41351</v>
      </c>
      <c r="BI2211" s="355">
        <v>0.102976</v>
      </c>
      <c r="BJ2211" s="624">
        <v>41348</v>
      </c>
      <c r="BK2211" s="355">
        <v>3.3852E-2</v>
      </c>
    </row>
    <row r="2212" spans="3:63">
      <c r="C2212" s="624"/>
      <c r="D2212" s="355">
        <v>3.2329999999999998E-2</v>
      </c>
      <c r="AV2212" s="624"/>
      <c r="AX2212" s="624">
        <v>41355</v>
      </c>
      <c r="AY2212" s="355">
        <v>3.245E-2</v>
      </c>
      <c r="AZ2212" s="624">
        <v>41421</v>
      </c>
      <c r="BA2212" s="355">
        <v>1.17E-2</v>
      </c>
      <c r="BB2212" s="624">
        <v>41352</v>
      </c>
      <c r="BC2212" s="355">
        <v>0.30930000000000002</v>
      </c>
      <c r="BD2212" s="624">
        <v>41352</v>
      </c>
      <c r="BE2212" s="355">
        <v>8.9789999999999995E-2</v>
      </c>
      <c r="BF2212" s="624">
        <v>41481</v>
      </c>
      <c r="BG2212" s="355">
        <v>1.6938000000000002E-2</v>
      </c>
      <c r="BH2212" s="624">
        <v>41352</v>
      </c>
      <c r="BI2212" s="355">
        <v>0.102966</v>
      </c>
      <c r="BJ2212" s="624">
        <v>41351</v>
      </c>
      <c r="BK2212" s="355">
        <v>3.3881000000000001E-2</v>
      </c>
    </row>
    <row r="2213" spans="3:63">
      <c r="C2213" s="624"/>
      <c r="D2213" s="355">
        <v>3.245E-2</v>
      </c>
      <c r="AV2213" s="624"/>
      <c r="AX2213" s="624">
        <v>41358</v>
      </c>
      <c r="AY2213" s="355">
        <v>3.2329999999999998E-2</v>
      </c>
      <c r="AZ2213" s="624">
        <v>41422</v>
      </c>
      <c r="BA2213" s="355">
        <v>1.1599999999999999E-2</v>
      </c>
      <c r="BB2213" s="624">
        <v>41353</v>
      </c>
      <c r="BC2213" s="355">
        <v>0.30980000000000002</v>
      </c>
      <c r="BD2213" s="624">
        <v>41353</v>
      </c>
      <c r="BE2213" s="355">
        <v>8.9609999999999995E-2</v>
      </c>
      <c r="BF2213" s="624">
        <v>41484</v>
      </c>
      <c r="BG2213" s="355">
        <v>1.6792999999999999E-2</v>
      </c>
      <c r="BH2213" s="624">
        <v>41353</v>
      </c>
      <c r="BI2213" s="355">
        <v>0.10285999999999999</v>
      </c>
      <c r="BJ2213" s="624">
        <v>41352</v>
      </c>
      <c r="BK2213" s="355">
        <v>3.4172000000000001E-2</v>
      </c>
    </row>
    <row r="2214" spans="3:63">
      <c r="C2214" s="624"/>
      <c r="D2214" s="355">
        <v>3.2329999999999998E-2</v>
      </c>
      <c r="AV2214" s="624"/>
      <c r="AX2214" s="624">
        <v>41359</v>
      </c>
      <c r="AY2214" s="355">
        <v>3.2390000000000002E-2</v>
      </c>
      <c r="AZ2214" s="624">
        <v>41423</v>
      </c>
      <c r="BA2214" s="355">
        <v>1.1599999999999999E-2</v>
      </c>
      <c r="BB2214" s="624">
        <v>41354</v>
      </c>
      <c r="BC2214" s="355">
        <v>0.3075</v>
      </c>
      <c r="BD2214" s="624">
        <v>41354</v>
      </c>
      <c r="BE2214" s="355">
        <v>8.9609999999999995E-2</v>
      </c>
      <c r="BF2214" s="624">
        <v>41485</v>
      </c>
      <c r="BG2214" s="355">
        <v>1.6442999999999999E-2</v>
      </c>
      <c r="BH2214" s="624">
        <v>41354</v>
      </c>
      <c r="BI2214" s="355">
        <v>0.102744</v>
      </c>
      <c r="BJ2214" s="624">
        <v>41353</v>
      </c>
      <c r="BK2214" s="355">
        <v>3.4335999999999998E-2</v>
      </c>
    </row>
    <row r="2215" spans="3:63">
      <c r="C2215" s="624"/>
      <c r="D2215" s="355">
        <v>3.2390000000000002E-2</v>
      </c>
      <c r="AV2215" s="624"/>
      <c r="AX2215" s="624">
        <v>41360</v>
      </c>
      <c r="AY2215" s="355">
        <v>3.2219999999999999E-2</v>
      </c>
      <c r="AZ2215" s="624">
        <v>41424</v>
      </c>
      <c r="BA2215" s="355">
        <v>1.1599999999999999E-2</v>
      </c>
      <c r="BB2215" s="624">
        <v>41355</v>
      </c>
      <c r="BC2215" s="355">
        <v>0.31140000000000001</v>
      </c>
      <c r="BD2215" s="624">
        <v>41355</v>
      </c>
      <c r="BE2215" s="355">
        <v>8.9410000000000003E-2</v>
      </c>
      <c r="BF2215" s="624">
        <v>41486</v>
      </c>
      <c r="BG2215" s="355">
        <v>1.6492E-2</v>
      </c>
      <c r="BH2215" s="624">
        <v>41355</v>
      </c>
      <c r="BI2215" s="355">
        <v>0.102627</v>
      </c>
      <c r="BJ2215" s="624">
        <v>41354</v>
      </c>
      <c r="BK2215" s="355">
        <v>3.4261E-2</v>
      </c>
    </row>
    <row r="2216" spans="3:63">
      <c r="C2216" s="624"/>
      <c r="D2216" s="355">
        <v>3.2219999999999999E-2</v>
      </c>
      <c r="AV2216" s="624"/>
      <c r="AX2216" s="624">
        <v>41361</v>
      </c>
      <c r="AY2216" s="355">
        <v>3.2149999999999998E-2</v>
      </c>
      <c r="AZ2216" s="624">
        <v>41425</v>
      </c>
      <c r="BA2216" s="355">
        <v>1.15E-2</v>
      </c>
      <c r="BB2216" s="624">
        <v>41358</v>
      </c>
      <c r="BC2216" s="355">
        <v>0.30830000000000002</v>
      </c>
      <c r="BD2216" s="624">
        <v>41358</v>
      </c>
      <c r="BE2216" s="355">
        <v>8.9829999999999993E-2</v>
      </c>
      <c r="BF2216" s="624">
        <v>41487</v>
      </c>
      <c r="BG2216" s="355">
        <v>1.6518000000000001E-2</v>
      </c>
      <c r="BH2216" s="624">
        <v>41358</v>
      </c>
      <c r="BI2216" s="355">
        <v>0.102743</v>
      </c>
      <c r="BJ2216" s="624">
        <v>41355</v>
      </c>
      <c r="BK2216" s="355">
        <v>3.4143E-2</v>
      </c>
    </row>
    <row r="2217" spans="3:63">
      <c r="C2217" s="624"/>
      <c r="D2217" s="355">
        <v>3.2149999999999998E-2</v>
      </c>
      <c r="AV2217" s="624"/>
      <c r="AX2217" s="624">
        <v>41362</v>
      </c>
      <c r="AY2217" s="355">
        <v>3.218E-2</v>
      </c>
      <c r="AZ2217" s="624">
        <v>41428</v>
      </c>
      <c r="BA2217" s="355">
        <v>1.15E-2</v>
      </c>
      <c r="BB2217" s="624">
        <v>41359</v>
      </c>
      <c r="BC2217" s="355">
        <v>0.30769999999999997</v>
      </c>
      <c r="BD2217" s="624">
        <v>41359</v>
      </c>
      <c r="BE2217" s="355">
        <v>9.0279999999999999E-2</v>
      </c>
      <c r="BF2217" s="624">
        <v>41488</v>
      </c>
      <c r="BG2217" s="355">
        <v>1.6364E-2</v>
      </c>
      <c r="BH2217" s="624">
        <v>41359</v>
      </c>
      <c r="BI2217" s="355">
        <v>0.10276399999999999</v>
      </c>
      <c r="BJ2217" s="624">
        <v>41358</v>
      </c>
      <c r="BK2217" s="355">
        <v>3.4140999999999998E-2</v>
      </c>
    </row>
    <row r="2218" spans="3:63">
      <c r="C2218" s="624"/>
      <c r="D2218" s="355">
        <v>3.218E-2</v>
      </c>
      <c r="AV2218" s="624"/>
      <c r="AX2218" s="624">
        <v>41365</v>
      </c>
      <c r="AY2218" s="355">
        <v>3.218E-2</v>
      </c>
      <c r="AZ2218" s="624">
        <v>41429</v>
      </c>
      <c r="BA2218" s="355">
        <v>1.15E-2</v>
      </c>
      <c r="BB2218" s="624">
        <v>41360</v>
      </c>
      <c r="BC2218" s="355">
        <v>0.30559999999999998</v>
      </c>
      <c r="BD2218" s="624">
        <v>41360</v>
      </c>
      <c r="BE2218" s="355">
        <v>9.0039999999999995E-2</v>
      </c>
      <c r="BF2218" s="624">
        <v>41491</v>
      </c>
      <c r="BG2218" s="355">
        <v>1.6424000000000001E-2</v>
      </c>
      <c r="BH2218" s="624">
        <v>41360</v>
      </c>
      <c r="BI2218" s="355">
        <v>0.102828</v>
      </c>
      <c r="BJ2218" s="624">
        <v>41359</v>
      </c>
      <c r="BK2218" s="355">
        <v>3.4112000000000003E-2</v>
      </c>
    </row>
    <row r="2219" spans="3:63">
      <c r="C2219" s="624"/>
      <c r="D2219" s="355">
        <v>3.218E-2</v>
      </c>
      <c r="AV2219" s="624"/>
      <c r="AX2219" s="624">
        <v>41366</v>
      </c>
      <c r="AY2219" s="355">
        <v>3.1960000000000002E-2</v>
      </c>
      <c r="AZ2219" s="624">
        <v>41430</v>
      </c>
      <c r="BA2219" s="355">
        <v>1.15E-2</v>
      </c>
      <c r="BB2219" s="624">
        <v>41361</v>
      </c>
      <c r="BC2219" s="355">
        <v>0.307</v>
      </c>
      <c r="BD2219" s="624">
        <v>41361</v>
      </c>
      <c r="BE2219" s="355">
        <v>8.9719999999999994E-2</v>
      </c>
      <c r="BF2219" s="624">
        <v>41492</v>
      </c>
      <c r="BG2219" s="355">
        <v>1.6447E-2</v>
      </c>
      <c r="BH2219" s="624">
        <v>41361</v>
      </c>
      <c r="BI2219" s="355">
        <v>0.10290299999999999</v>
      </c>
      <c r="BJ2219" s="624">
        <v>41360</v>
      </c>
      <c r="BK2219" s="355">
        <v>3.4165000000000001E-2</v>
      </c>
    </row>
    <row r="2220" spans="3:63">
      <c r="C2220" s="624"/>
      <c r="D2220" s="355">
        <v>3.1960000000000002E-2</v>
      </c>
      <c r="AV2220" s="624"/>
      <c r="AX2220" s="624">
        <v>41367</v>
      </c>
      <c r="AY2220" s="355">
        <v>3.159E-2</v>
      </c>
      <c r="AZ2220" s="624">
        <v>41431</v>
      </c>
      <c r="BA2220" s="355">
        <v>1.1599999999999999E-2</v>
      </c>
      <c r="BB2220" s="624">
        <v>41362</v>
      </c>
      <c r="BC2220" s="355">
        <v>0.30680000000000002</v>
      </c>
      <c r="BD2220" s="624">
        <v>41362</v>
      </c>
      <c r="BE2220" s="355">
        <v>8.9899999999999994E-2</v>
      </c>
      <c r="BF2220" s="624">
        <v>41493</v>
      </c>
      <c r="BG2220" s="355">
        <v>1.6313000000000001E-2</v>
      </c>
      <c r="BH2220" s="624">
        <v>41362</v>
      </c>
      <c r="BI2220" s="355">
        <v>0.10290199999999999</v>
      </c>
      <c r="BJ2220" s="624">
        <v>41361</v>
      </c>
      <c r="BK2220" s="355">
        <v>3.4112000000000003E-2</v>
      </c>
    </row>
    <row r="2221" spans="3:63">
      <c r="C2221" s="624"/>
      <c r="D2221" s="355">
        <v>3.159E-2</v>
      </c>
      <c r="AV2221" s="624"/>
      <c r="AX2221" s="624">
        <v>41368</v>
      </c>
      <c r="AY2221" s="355">
        <v>3.1649999999999998E-2</v>
      </c>
      <c r="AZ2221" s="624">
        <v>41432</v>
      </c>
      <c r="BA2221" s="355">
        <v>1.1599999999999999E-2</v>
      </c>
      <c r="BB2221" s="624">
        <v>41365</v>
      </c>
      <c r="BC2221" s="355">
        <v>0.308</v>
      </c>
      <c r="BD2221" s="624">
        <v>41365</v>
      </c>
      <c r="BE2221" s="355">
        <v>8.9749999999999996E-2</v>
      </c>
      <c r="BF2221" s="624">
        <v>41494</v>
      </c>
      <c r="BG2221" s="355">
        <v>1.6507000000000001E-2</v>
      </c>
      <c r="BH2221" s="624">
        <v>41365</v>
      </c>
      <c r="BI2221" s="355">
        <v>0.102838</v>
      </c>
      <c r="BJ2221" s="624">
        <v>41362</v>
      </c>
      <c r="BK2221" s="355">
        <v>3.4178E-2</v>
      </c>
    </row>
    <row r="2222" spans="3:63">
      <c r="C2222" s="624"/>
      <c r="D2222" s="355">
        <v>3.1649999999999998E-2</v>
      </c>
      <c r="AV2222" s="624"/>
      <c r="AX2222" s="624">
        <v>41369</v>
      </c>
      <c r="AY2222" s="355">
        <v>3.1699999999999999E-2</v>
      </c>
      <c r="AZ2222" s="624">
        <v>41435</v>
      </c>
      <c r="BA2222" s="355">
        <v>1.1599999999999999E-2</v>
      </c>
      <c r="BB2222" s="624">
        <v>41366</v>
      </c>
      <c r="BC2222" s="355">
        <v>0.30609999999999998</v>
      </c>
      <c r="BD2222" s="624">
        <v>41366</v>
      </c>
      <c r="BE2222" s="355">
        <v>8.9429999999999996E-2</v>
      </c>
      <c r="BF2222" s="624">
        <v>41495</v>
      </c>
      <c r="BG2222" s="355">
        <v>1.6482E-2</v>
      </c>
      <c r="BH2222" s="624">
        <v>41366</v>
      </c>
      <c r="BI2222" s="355">
        <v>0.102702</v>
      </c>
      <c r="BJ2222" s="624">
        <v>41365</v>
      </c>
      <c r="BK2222" s="355">
        <v>3.4129E-2</v>
      </c>
    </row>
    <row r="2223" spans="3:63">
      <c r="C2223" s="624"/>
      <c r="D2223" s="355">
        <v>3.1699999999999999E-2</v>
      </c>
      <c r="AV2223" s="624"/>
      <c r="AX2223" s="624">
        <v>41372</v>
      </c>
      <c r="AY2223" s="355">
        <v>3.2039999999999999E-2</v>
      </c>
      <c r="AZ2223" s="624">
        <v>41436</v>
      </c>
      <c r="BA2223" s="355">
        <v>1.1599999999999999E-2</v>
      </c>
      <c r="BB2223" s="624">
        <v>41367</v>
      </c>
      <c r="BC2223" s="355">
        <v>0.30590000000000001</v>
      </c>
      <c r="BD2223" s="624">
        <v>41367</v>
      </c>
      <c r="BE2223" s="355">
        <v>8.9260000000000006E-2</v>
      </c>
      <c r="BF2223" s="624">
        <v>41498</v>
      </c>
      <c r="BG2223" s="355">
        <v>1.6289000000000001E-2</v>
      </c>
      <c r="BH2223" s="624">
        <v>41367</v>
      </c>
      <c r="BI2223" s="355">
        <v>0.10259600000000001</v>
      </c>
      <c r="BJ2223" s="624">
        <v>41366</v>
      </c>
      <c r="BK2223" s="355">
        <v>3.3979000000000002E-2</v>
      </c>
    </row>
    <row r="2224" spans="3:63">
      <c r="C2224" s="624"/>
      <c r="D2224" s="355">
        <v>3.2039999999999999E-2</v>
      </c>
      <c r="AV2224" s="624"/>
      <c r="AX2224" s="624">
        <v>41373</v>
      </c>
      <c r="AY2224" s="355">
        <v>3.2239999999999998E-2</v>
      </c>
      <c r="AZ2224" s="624">
        <v>41437</v>
      </c>
      <c r="BA2224" s="355">
        <v>1.17E-2</v>
      </c>
      <c r="BB2224" s="624">
        <v>41368</v>
      </c>
      <c r="BC2224" s="355">
        <v>0.30959999999999999</v>
      </c>
      <c r="BD2224" s="624">
        <v>41368</v>
      </c>
      <c r="BE2224" s="355">
        <v>8.8900000000000007E-2</v>
      </c>
      <c r="BF2224" s="624">
        <v>41499</v>
      </c>
      <c r="BG2224" s="355">
        <v>1.6275000000000001E-2</v>
      </c>
      <c r="BH2224" s="624">
        <v>41368</v>
      </c>
      <c r="BI2224" s="355">
        <v>0.102564</v>
      </c>
      <c r="BJ2224" s="624">
        <v>41367</v>
      </c>
      <c r="BK2224" s="355">
        <v>3.4071999999999998E-2</v>
      </c>
    </row>
    <row r="2225" spans="3:63">
      <c r="C2225" s="624"/>
      <c r="D2225" s="355">
        <v>3.2239999999999998E-2</v>
      </c>
      <c r="AV2225" s="624"/>
      <c r="AX2225" s="624">
        <v>41374</v>
      </c>
      <c r="AY2225" s="355">
        <v>3.2410000000000001E-2</v>
      </c>
      <c r="AZ2225" s="624">
        <v>41438</v>
      </c>
      <c r="BA2225" s="355">
        <v>1.17E-2</v>
      </c>
      <c r="BB2225" s="624">
        <v>41369</v>
      </c>
      <c r="BC2225" s="355">
        <v>0.31259999999999999</v>
      </c>
      <c r="BD2225" s="624">
        <v>41369</v>
      </c>
      <c r="BE2225" s="355">
        <v>8.8029999999999997E-2</v>
      </c>
      <c r="BF2225" s="624">
        <v>41500</v>
      </c>
      <c r="BG2225" s="355">
        <v>1.6310999999999999E-2</v>
      </c>
      <c r="BH2225" s="624">
        <v>41369</v>
      </c>
      <c r="BI2225" s="355">
        <v>0.10259600000000001</v>
      </c>
      <c r="BJ2225" s="624">
        <v>41368</v>
      </c>
      <c r="BK2225" s="355">
        <v>3.4114999999999999E-2</v>
      </c>
    </row>
    <row r="2226" spans="3:63">
      <c r="C2226" s="624"/>
      <c r="D2226" s="355">
        <v>3.2410000000000001E-2</v>
      </c>
      <c r="AV2226" s="624"/>
      <c r="AX2226" s="624">
        <v>41375</v>
      </c>
      <c r="AY2226" s="355">
        <v>3.2399999999999998E-2</v>
      </c>
      <c r="AZ2226" s="624">
        <v>41439</v>
      </c>
      <c r="BA2226" s="355">
        <v>1.17E-2</v>
      </c>
      <c r="BB2226" s="624">
        <v>41372</v>
      </c>
      <c r="BC2226" s="355">
        <v>0.31559999999999999</v>
      </c>
      <c r="BD2226" s="624">
        <v>41372</v>
      </c>
      <c r="BE2226" s="355">
        <v>8.7529999999999997E-2</v>
      </c>
      <c r="BF2226" s="624">
        <v>41501</v>
      </c>
      <c r="BG2226" s="355">
        <v>1.6282000000000001E-2</v>
      </c>
      <c r="BH2226" s="624">
        <v>41372</v>
      </c>
      <c r="BI2226" s="355">
        <v>0.102585</v>
      </c>
      <c r="BJ2226" s="624">
        <v>41369</v>
      </c>
      <c r="BK2226" s="355">
        <v>3.4192E-2</v>
      </c>
    </row>
    <row r="2227" spans="3:63">
      <c r="C2227" s="624"/>
      <c r="D2227" s="355">
        <v>3.2399999999999998E-2</v>
      </c>
      <c r="AV2227" s="624"/>
      <c r="AX2227" s="624">
        <v>41376</v>
      </c>
      <c r="AY2227" s="355">
        <v>3.2190000000000003E-2</v>
      </c>
      <c r="AZ2227" s="624">
        <v>41442</v>
      </c>
      <c r="BA2227" s="355">
        <v>1.17E-2</v>
      </c>
      <c r="BB2227" s="624">
        <v>41373</v>
      </c>
      <c r="BC2227" s="355">
        <v>0.31809999999999999</v>
      </c>
      <c r="BD2227" s="624">
        <v>41373</v>
      </c>
      <c r="BE2227" s="355">
        <v>8.7889999999999996E-2</v>
      </c>
      <c r="BF2227" s="624">
        <v>41502</v>
      </c>
      <c r="BG2227" s="355">
        <v>1.5990000000000001E-2</v>
      </c>
      <c r="BH2227" s="624">
        <v>41373</v>
      </c>
      <c r="BI2227" s="355">
        <v>0.102881</v>
      </c>
      <c r="BJ2227" s="624">
        <v>41372</v>
      </c>
      <c r="BK2227" s="355">
        <v>3.4208000000000002E-2</v>
      </c>
    </row>
    <row r="2228" spans="3:63">
      <c r="C2228" s="624"/>
      <c r="D2228" s="355">
        <v>3.2190000000000003E-2</v>
      </c>
      <c r="AV2228" s="624"/>
      <c r="AX2228" s="624">
        <v>41379</v>
      </c>
      <c r="AY2228" s="355">
        <v>3.1730000000000001E-2</v>
      </c>
      <c r="AZ2228" s="624">
        <v>41443</v>
      </c>
      <c r="BA2228" s="355">
        <v>1.18E-2</v>
      </c>
      <c r="BB2228" s="624">
        <v>41374</v>
      </c>
      <c r="BC2228" s="355">
        <v>0.31879999999999997</v>
      </c>
      <c r="BD2228" s="624">
        <v>41374</v>
      </c>
      <c r="BE2228" s="355">
        <v>8.8099999999999998E-2</v>
      </c>
      <c r="BF2228" s="624">
        <v>41505</v>
      </c>
      <c r="BG2228" s="355">
        <v>1.5654000000000001E-2</v>
      </c>
      <c r="BH2228" s="624">
        <v>41374</v>
      </c>
      <c r="BI2228" s="355">
        <v>0.1032</v>
      </c>
      <c r="BJ2228" s="624">
        <v>41373</v>
      </c>
      <c r="BK2228" s="355">
        <v>3.4550999999999998E-2</v>
      </c>
    </row>
    <row r="2229" spans="3:63">
      <c r="C2229" s="624"/>
      <c r="D2229" s="355">
        <v>3.1730000000000001E-2</v>
      </c>
      <c r="AV2229" s="624"/>
      <c r="AX2229" s="624">
        <v>41380</v>
      </c>
      <c r="AY2229" s="355">
        <v>3.2000000000000001E-2</v>
      </c>
      <c r="AZ2229" s="624">
        <v>41444</v>
      </c>
      <c r="BA2229" s="355">
        <v>1.17E-2</v>
      </c>
      <c r="BB2229" s="624">
        <v>41375</v>
      </c>
      <c r="BC2229" s="355">
        <v>0.31859999999999999</v>
      </c>
      <c r="BD2229" s="624">
        <v>41375</v>
      </c>
      <c r="BE2229" s="355">
        <v>8.8510000000000005E-2</v>
      </c>
      <c r="BF2229" s="624">
        <v>41506</v>
      </c>
      <c r="BG2229" s="355">
        <v>1.583E-2</v>
      </c>
      <c r="BH2229" s="624">
        <v>41375</v>
      </c>
      <c r="BI2229" s="355">
        <v>0.103066</v>
      </c>
      <c r="BJ2229" s="624">
        <v>41374</v>
      </c>
      <c r="BK2229" s="355">
        <v>3.4432999999999998E-2</v>
      </c>
    </row>
    <row r="2230" spans="3:63">
      <c r="C2230" s="624"/>
      <c r="D2230" s="355">
        <v>3.2000000000000001E-2</v>
      </c>
      <c r="AV2230" s="624"/>
      <c r="AX2230" s="624">
        <v>41381</v>
      </c>
      <c r="AY2230" s="355">
        <v>3.1370000000000002E-2</v>
      </c>
      <c r="AZ2230" s="624">
        <v>41445</v>
      </c>
      <c r="BA2230" s="355">
        <v>1.15E-2</v>
      </c>
      <c r="BB2230" s="624">
        <v>41376</v>
      </c>
      <c r="BC2230" s="355">
        <v>0.3196</v>
      </c>
      <c r="BD2230" s="624">
        <v>41376</v>
      </c>
      <c r="BE2230" s="355">
        <v>8.8550000000000004E-2</v>
      </c>
      <c r="BF2230" s="624">
        <v>41507</v>
      </c>
      <c r="BG2230" s="355">
        <v>1.5413E-2</v>
      </c>
      <c r="BH2230" s="624">
        <v>41376</v>
      </c>
      <c r="BI2230" s="355">
        <v>0.102955</v>
      </c>
      <c r="BJ2230" s="624">
        <v>41375</v>
      </c>
      <c r="BK2230" s="355">
        <v>3.4438999999999997E-2</v>
      </c>
    </row>
    <row r="2231" spans="3:63">
      <c r="C2231" s="624"/>
      <c r="D2231" s="355">
        <v>3.1370000000000002E-2</v>
      </c>
      <c r="AV2231" s="624"/>
      <c r="AX2231" s="624">
        <v>41382</v>
      </c>
      <c r="AY2231" s="355">
        <v>3.168E-2</v>
      </c>
      <c r="AZ2231" s="624">
        <v>41446</v>
      </c>
      <c r="BA2231" s="355">
        <v>1.14E-2</v>
      </c>
      <c r="BB2231" s="624">
        <v>41379</v>
      </c>
      <c r="BC2231" s="355">
        <v>0.31730000000000003</v>
      </c>
      <c r="BD2231" s="624">
        <v>41379</v>
      </c>
      <c r="BE2231" s="355">
        <v>8.8999999999999996E-2</v>
      </c>
      <c r="BF2231" s="624">
        <v>41508</v>
      </c>
      <c r="BG2231" s="355">
        <v>1.5492000000000001E-2</v>
      </c>
      <c r="BH2231" s="624">
        <v>41379</v>
      </c>
      <c r="BI2231" s="355">
        <v>0.102807</v>
      </c>
      <c r="BJ2231" s="624">
        <v>41376</v>
      </c>
      <c r="BK2231" s="355">
        <v>3.4410000000000003E-2</v>
      </c>
    </row>
    <row r="2232" spans="3:63">
      <c r="C2232" s="624"/>
      <c r="D2232" s="355">
        <v>3.168E-2</v>
      </c>
      <c r="AV2232" s="624"/>
      <c r="AX2232" s="624">
        <v>41383</v>
      </c>
      <c r="AY2232" s="355">
        <v>3.1519999999999999E-2</v>
      </c>
      <c r="AZ2232" s="624">
        <v>41449</v>
      </c>
      <c r="BA2232" s="355">
        <v>1.15E-2</v>
      </c>
      <c r="BB2232" s="624">
        <v>41380</v>
      </c>
      <c r="BC2232" s="355">
        <v>0.32090000000000002</v>
      </c>
      <c r="BD2232" s="624">
        <v>41380</v>
      </c>
      <c r="BE2232" s="355">
        <v>8.9749999999999996E-2</v>
      </c>
      <c r="BF2232" s="624">
        <v>41509</v>
      </c>
      <c r="BG2232" s="355">
        <v>1.5599E-2</v>
      </c>
      <c r="BH2232" s="624">
        <v>41380</v>
      </c>
      <c r="BI2232" s="355">
        <v>0.102912</v>
      </c>
      <c r="BJ2232" s="624">
        <v>41379</v>
      </c>
      <c r="BK2232" s="355">
        <v>3.4317E-2</v>
      </c>
    </row>
    <row r="2233" spans="3:63">
      <c r="C2233" s="624"/>
      <c r="D2233" s="355">
        <v>3.1519999999999999E-2</v>
      </c>
      <c r="AV2233" s="624"/>
      <c r="AX2233" s="624">
        <v>41386</v>
      </c>
      <c r="AY2233" s="355">
        <v>3.1699999999999999E-2</v>
      </c>
      <c r="AZ2233" s="624">
        <v>41450</v>
      </c>
      <c r="BA2233" s="355">
        <v>1.14E-2</v>
      </c>
      <c r="BB2233" s="624">
        <v>41381</v>
      </c>
      <c r="BC2233" s="355">
        <v>0.31619999999999998</v>
      </c>
      <c r="BD2233" s="624">
        <v>41381</v>
      </c>
      <c r="BE2233" s="355">
        <v>8.9209999999999998E-2</v>
      </c>
      <c r="BF2233" s="624">
        <v>41512</v>
      </c>
      <c r="BG2233" s="355">
        <v>1.5443E-2</v>
      </c>
      <c r="BH2233" s="624">
        <v>41381</v>
      </c>
      <c r="BI2233" s="355">
        <v>0.102934</v>
      </c>
      <c r="BJ2233" s="624">
        <v>41380</v>
      </c>
      <c r="BK2233" s="355">
        <v>3.4529999999999998E-2</v>
      </c>
    </row>
    <row r="2234" spans="3:63">
      <c r="C2234" s="624"/>
      <c r="D2234" s="355">
        <v>3.1699999999999999E-2</v>
      </c>
      <c r="AV2234" s="624"/>
      <c r="AX2234" s="624">
        <v>41387</v>
      </c>
      <c r="AY2234" s="355">
        <v>3.1609999999999999E-2</v>
      </c>
      <c r="AZ2234" s="624">
        <v>41451</v>
      </c>
      <c r="BA2234" s="355">
        <v>1.14E-2</v>
      </c>
      <c r="BB2234" s="624">
        <v>41382</v>
      </c>
      <c r="BC2234" s="355">
        <v>0.31709999999999999</v>
      </c>
      <c r="BD2234" s="624">
        <v>41382</v>
      </c>
      <c r="BE2234" s="355">
        <v>8.9109999999999995E-2</v>
      </c>
      <c r="BF2234" s="624">
        <v>41513</v>
      </c>
      <c r="BG2234" s="355">
        <v>1.4959999999999999E-2</v>
      </c>
      <c r="BH2234" s="624">
        <v>41382</v>
      </c>
      <c r="BI2234" s="355">
        <v>0.102881</v>
      </c>
      <c r="BJ2234" s="624">
        <v>41381</v>
      </c>
      <c r="BK2234" s="355">
        <v>3.4675999999999998E-2</v>
      </c>
    </row>
    <row r="2235" spans="3:63">
      <c r="C2235" s="624"/>
      <c r="D2235" s="355">
        <v>3.1609999999999999E-2</v>
      </c>
      <c r="AV2235" s="624"/>
      <c r="AX2235" s="624">
        <v>41388</v>
      </c>
      <c r="AY2235" s="355">
        <v>3.175E-2</v>
      </c>
      <c r="AZ2235" s="624">
        <v>41452</v>
      </c>
      <c r="BA2235" s="355">
        <v>1.14E-2</v>
      </c>
      <c r="BB2235" s="624">
        <v>41383</v>
      </c>
      <c r="BC2235" s="355">
        <v>0.318</v>
      </c>
      <c r="BD2235" s="624">
        <v>41383</v>
      </c>
      <c r="BE2235" s="355">
        <v>8.9330000000000007E-2</v>
      </c>
      <c r="BF2235" s="624">
        <v>41514</v>
      </c>
      <c r="BG2235" s="355">
        <v>1.4834E-2</v>
      </c>
      <c r="BH2235" s="624">
        <v>41383</v>
      </c>
      <c r="BI2235" s="355">
        <v>0.102987</v>
      </c>
      <c r="BJ2235" s="624">
        <v>41382</v>
      </c>
      <c r="BK2235" s="355">
        <v>3.4870999999999999E-2</v>
      </c>
    </row>
    <row r="2236" spans="3:63">
      <c r="C2236" s="624"/>
      <c r="D2236" s="355">
        <v>3.175E-2</v>
      </c>
      <c r="AV2236" s="624"/>
      <c r="AX2236" s="624">
        <v>41389</v>
      </c>
      <c r="AY2236" s="355">
        <v>3.2140000000000002E-2</v>
      </c>
      <c r="AZ2236" s="624">
        <v>41453</v>
      </c>
      <c r="BA2236" s="355">
        <v>1.14E-2</v>
      </c>
      <c r="BB2236" s="624">
        <v>41386</v>
      </c>
      <c r="BC2236" s="355">
        <v>0.31830000000000003</v>
      </c>
      <c r="BD2236" s="624">
        <v>41386</v>
      </c>
      <c r="BE2236" s="355">
        <v>8.931E-2</v>
      </c>
      <c r="BF2236" s="624">
        <v>41515</v>
      </c>
      <c r="BG2236" s="355">
        <v>1.4838E-2</v>
      </c>
      <c r="BH2236" s="624">
        <v>41386</v>
      </c>
      <c r="BI2236" s="355">
        <v>0.102912</v>
      </c>
      <c r="BJ2236" s="624">
        <v>41383</v>
      </c>
      <c r="BK2236" s="355">
        <v>3.4944999999999997E-2</v>
      </c>
    </row>
    <row r="2237" spans="3:63">
      <c r="C2237" s="624"/>
      <c r="D2237" s="355">
        <v>3.2140000000000002E-2</v>
      </c>
      <c r="AV2237" s="624"/>
      <c r="AX2237" s="624">
        <v>41390</v>
      </c>
      <c r="AY2237" s="355">
        <v>3.1969999999999998E-2</v>
      </c>
      <c r="AZ2237" s="624">
        <v>41456</v>
      </c>
      <c r="BA2237" s="355">
        <v>1.15E-2</v>
      </c>
      <c r="BB2237" s="624">
        <v>41387</v>
      </c>
      <c r="BC2237" s="355">
        <v>0.31419999999999998</v>
      </c>
      <c r="BD2237" s="624">
        <v>41387</v>
      </c>
      <c r="BE2237" s="355">
        <v>8.9330000000000007E-2</v>
      </c>
      <c r="BF2237" s="624">
        <v>41516</v>
      </c>
      <c r="BG2237" s="355">
        <v>1.4995E-2</v>
      </c>
      <c r="BH2237" s="624">
        <v>41387</v>
      </c>
      <c r="BI2237" s="355">
        <v>0.102839</v>
      </c>
      <c r="BJ2237" s="624">
        <v>41386</v>
      </c>
      <c r="BK2237" s="355">
        <v>3.4848999999999998E-2</v>
      </c>
    </row>
    <row r="2238" spans="3:63">
      <c r="C2238" s="624"/>
      <c r="D2238" s="355">
        <v>3.1969999999999998E-2</v>
      </c>
      <c r="AV2238" s="624"/>
      <c r="AX2238" s="624">
        <v>41393</v>
      </c>
      <c r="AY2238" s="355">
        <v>3.2320000000000002E-2</v>
      </c>
      <c r="AZ2238" s="624">
        <v>41457</v>
      </c>
      <c r="BA2238" s="355">
        <v>1.14E-2</v>
      </c>
      <c r="BB2238" s="624">
        <v>41388</v>
      </c>
      <c r="BC2238" s="355">
        <v>0.31359999999999999</v>
      </c>
      <c r="BD2238" s="624">
        <v>41388</v>
      </c>
      <c r="BE2238" s="355">
        <v>8.9539999999999995E-2</v>
      </c>
      <c r="BF2238" s="624">
        <v>41519</v>
      </c>
      <c r="BG2238" s="355">
        <v>1.5029000000000001E-2</v>
      </c>
      <c r="BH2238" s="624">
        <v>41388</v>
      </c>
      <c r="BI2238" s="355">
        <v>0.10290299999999999</v>
      </c>
      <c r="BJ2238" s="624">
        <v>41387</v>
      </c>
      <c r="BK2238" s="355">
        <v>3.4703999999999999E-2</v>
      </c>
    </row>
    <row r="2239" spans="3:63">
      <c r="C2239" s="624"/>
      <c r="D2239" s="355">
        <v>3.2320000000000002E-2</v>
      </c>
      <c r="AV2239" s="624"/>
      <c r="AX2239" s="624">
        <v>41394</v>
      </c>
      <c r="AY2239" s="355">
        <v>3.2129999999999999E-2</v>
      </c>
      <c r="AZ2239" s="624">
        <v>41458</v>
      </c>
      <c r="BA2239" s="355">
        <v>1.14E-2</v>
      </c>
      <c r="BB2239" s="624">
        <v>41389</v>
      </c>
      <c r="BC2239" s="355">
        <v>0.31309999999999999</v>
      </c>
      <c r="BD2239" s="624">
        <v>41389</v>
      </c>
      <c r="BE2239" s="355">
        <v>8.9959999999999998E-2</v>
      </c>
      <c r="BF2239" s="624">
        <v>41520</v>
      </c>
      <c r="BG2239" s="355">
        <v>1.4574E-2</v>
      </c>
      <c r="BH2239" s="624">
        <v>41389</v>
      </c>
      <c r="BI2239" s="355">
        <v>0.10290199999999999</v>
      </c>
      <c r="BJ2239" s="624">
        <v>41388</v>
      </c>
      <c r="BK2239" s="355">
        <v>3.4540000000000001E-2</v>
      </c>
    </row>
    <row r="2240" spans="3:63">
      <c r="C2240" s="624"/>
      <c r="D2240" s="355">
        <v>3.2129999999999999E-2</v>
      </c>
      <c r="AV2240" s="624"/>
      <c r="AX2240" s="624">
        <v>41395</v>
      </c>
      <c r="AY2240" s="355">
        <v>3.1910000000000001E-2</v>
      </c>
      <c r="AZ2240" s="624">
        <v>41459</v>
      </c>
      <c r="BA2240" s="355">
        <v>1.1299999999999999E-2</v>
      </c>
      <c r="BB2240" s="624">
        <v>41390</v>
      </c>
      <c r="BC2240" s="355">
        <v>0.31319999999999998</v>
      </c>
      <c r="BD2240" s="624">
        <v>41390</v>
      </c>
      <c r="BE2240" s="355">
        <v>0.09</v>
      </c>
      <c r="BF2240" s="624">
        <v>41521</v>
      </c>
      <c r="BG2240" s="355">
        <v>1.5089E-2</v>
      </c>
      <c r="BH2240" s="624">
        <v>41390</v>
      </c>
      <c r="BI2240" s="355">
        <v>0.102881</v>
      </c>
      <c r="BJ2240" s="624">
        <v>41389</v>
      </c>
      <c r="BK2240" s="355">
        <v>3.4264999999999997E-2</v>
      </c>
    </row>
    <row r="2241" spans="3:63">
      <c r="C2241" s="624"/>
      <c r="D2241" s="355">
        <v>3.1910000000000001E-2</v>
      </c>
      <c r="AV2241" s="624"/>
      <c r="AX2241" s="624">
        <v>41396</v>
      </c>
      <c r="AY2241" s="355">
        <v>3.209E-2</v>
      </c>
      <c r="AZ2241" s="624">
        <v>41460</v>
      </c>
      <c r="BA2241" s="355">
        <v>1.12E-2</v>
      </c>
      <c r="BB2241" s="624">
        <v>41393</v>
      </c>
      <c r="BC2241" s="355">
        <v>0.3165</v>
      </c>
      <c r="BD2241" s="624">
        <v>41393</v>
      </c>
      <c r="BE2241" s="355">
        <v>9.0560000000000002E-2</v>
      </c>
      <c r="BF2241" s="624">
        <v>41522</v>
      </c>
      <c r="BG2241" s="355">
        <v>1.5139E-2</v>
      </c>
      <c r="BH2241" s="624">
        <v>41393</v>
      </c>
      <c r="BI2241" s="355">
        <v>0.10287</v>
      </c>
      <c r="BJ2241" s="624">
        <v>41390</v>
      </c>
      <c r="BK2241" s="355">
        <v>3.4159000000000002E-2</v>
      </c>
    </row>
    <row r="2242" spans="3:63">
      <c r="C2242" s="624"/>
      <c r="D2242" s="355">
        <v>3.209E-2</v>
      </c>
      <c r="AV2242" s="624"/>
      <c r="AX2242" s="624">
        <v>41397</v>
      </c>
      <c r="AY2242" s="355">
        <v>3.2149999999999998E-2</v>
      </c>
      <c r="AZ2242" s="624">
        <v>41463</v>
      </c>
      <c r="BA2242" s="355">
        <v>1.1299999999999999E-2</v>
      </c>
      <c r="BB2242" s="624">
        <v>41394</v>
      </c>
      <c r="BC2242" s="355">
        <v>0.31630000000000003</v>
      </c>
      <c r="BD2242" s="624">
        <v>41394</v>
      </c>
      <c r="BE2242" s="355">
        <v>9.0829999999999994E-2</v>
      </c>
      <c r="BF2242" s="624">
        <v>41523</v>
      </c>
      <c r="BG2242" s="355">
        <v>1.5325999999999999E-2</v>
      </c>
      <c r="BH2242" s="624">
        <v>41394</v>
      </c>
      <c r="BI2242" s="355">
        <v>0.10285</v>
      </c>
      <c r="BJ2242" s="624">
        <v>41393</v>
      </c>
      <c r="BK2242" s="355">
        <v>3.4168999999999998E-2</v>
      </c>
    </row>
    <row r="2243" spans="3:63">
      <c r="C2243" s="624"/>
      <c r="D2243" s="355">
        <v>3.2149999999999998E-2</v>
      </c>
      <c r="AV2243" s="624"/>
      <c r="AX2243" s="624">
        <v>41400</v>
      </c>
      <c r="AY2243" s="355">
        <v>3.2239999999999998E-2</v>
      </c>
      <c r="AZ2243" s="624">
        <v>41464</v>
      </c>
      <c r="BA2243" s="355">
        <v>1.12E-2</v>
      </c>
      <c r="BB2243" s="624">
        <v>41395</v>
      </c>
      <c r="BC2243" s="355">
        <v>0.31630000000000003</v>
      </c>
      <c r="BD2243" s="624">
        <v>41395</v>
      </c>
      <c r="BE2243" s="355">
        <v>9.085E-2</v>
      </c>
      <c r="BF2243" s="624">
        <v>41526</v>
      </c>
      <c r="BG2243" s="355">
        <v>1.5602E-2</v>
      </c>
      <c r="BH2243" s="624">
        <v>41395</v>
      </c>
      <c r="BI2243" s="355">
        <v>0.10281700000000001</v>
      </c>
      <c r="BJ2243" s="624">
        <v>41394</v>
      </c>
      <c r="BK2243" s="355">
        <v>3.4167999999999997E-2</v>
      </c>
    </row>
    <row r="2244" spans="3:63">
      <c r="C2244" s="624"/>
      <c r="D2244" s="355">
        <v>3.2239999999999998E-2</v>
      </c>
      <c r="AV2244" s="624"/>
      <c r="AX2244" s="624">
        <v>41401</v>
      </c>
      <c r="AY2244" s="355">
        <v>3.2190000000000003E-2</v>
      </c>
      <c r="AZ2244" s="624">
        <v>41465</v>
      </c>
      <c r="BA2244" s="355">
        <v>1.14E-2</v>
      </c>
      <c r="BB2244" s="624">
        <v>41396</v>
      </c>
      <c r="BC2244" s="355">
        <v>0.31559999999999999</v>
      </c>
      <c r="BD2244" s="624">
        <v>41396</v>
      </c>
      <c r="BE2244" s="355">
        <v>9.078E-2</v>
      </c>
      <c r="BF2244" s="624">
        <v>41527</v>
      </c>
      <c r="BG2244" s="355">
        <v>1.5681E-2</v>
      </c>
      <c r="BH2244" s="624">
        <v>41396</v>
      </c>
      <c r="BI2244" s="355">
        <v>0.102702</v>
      </c>
      <c r="BJ2244" s="624">
        <v>41395</v>
      </c>
      <c r="BK2244" s="355">
        <v>3.4086999999999999E-2</v>
      </c>
    </row>
    <row r="2245" spans="3:63">
      <c r="C2245" s="624"/>
      <c r="D2245" s="355">
        <v>3.2190000000000003E-2</v>
      </c>
      <c r="AV2245" s="624"/>
      <c r="AX2245" s="624">
        <v>41402</v>
      </c>
      <c r="AY2245" s="355">
        <v>3.211E-2</v>
      </c>
      <c r="AZ2245" s="624">
        <v>41466</v>
      </c>
      <c r="BA2245" s="355">
        <v>1.15E-2</v>
      </c>
      <c r="BB2245" s="624">
        <v>41397</v>
      </c>
      <c r="BC2245" s="355">
        <v>0.31640000000000001</v>
      </c>
      <c r="BD2245" s="624">
        <v>41397</v>
      </c>
      <c r="BE2245" s="355">
        <v>9.1120000000000007E-2</v>
      </c>
      <c r="BF2245" s="624">
        <v>41528</v>
      </c>
      <c r="BG2245" s="355">
        <v>1.5824999999999999E-2</v>
      </c>
      <c r="BH2245" s="624">
        <v>41397</v>
      </c>
      <c r="BI2245" s="355">
        <v>0.10272299999999999</v>
      </c>
      <c r="BJ2245" s="624">
        <v>41396</v>
      </c>
      <c r="BK2245" s="355">
        <v>3.3951000000000002E-2</v>
      </c>
    </row>
    <row r="2246" spans="3:63">
      <c r="C2246" s="624"/>
      <c r="D2246" s="355">
        <v>3.211E-2</v>
      </c>
      <c r="AV2246" s="624"/>
      <c r="AX2246" s="624">
        <v>41403</v>
      </c>
      <c r="AY2246" s="355">
        <v>3.2059999999999998E-2</v>
      </c>
      <c r="AZ2246" s="624">
        <v>41467</v>
      </c>
      <c r="BA2246" s="355">
        <v>1.15E-2</v>
      </c>
      <c r="BB2246" s="624">
        <v>41400</v>
      </c>
      <c r="BC2246" s="355">
        <v>0.31509999999999999</v>
      </c>
      <c r="BD2246" s="624">
        <v>41400</v>
      </c>
      <c r="BE2246" s="355">
        <v>9.1310000000000002E-2</v>
      </c>
      <c r="BF2246" s="624">
        <v>41529</v>
      </c>
      <c r="BG2246" s="355">
        <v>1.5724999999999999E-2</v>
      </c>
      <c r="BH2246" s="624">
        <v>41400</v>
      </c>
      <c r="BI2246" s="355">
        <v>0.10272299999999999</v>
      </c>
      <c r="BJ2246" s="624">
        <v>41397</v>
      </c>
      <c r="BK2246" s="355">
        <v>3.3646000000000002E-2</v>
      </c>
    </row>
    <row r="2247" spans="3:63">
      <c r="C2247" s="624"/>
      <c r="D2247" s="355">
        <v>3.2059999999999998E-2</v>
      </c>
      <c r="AV2247" s="624"/>
      <c r="AX2247" s="624">
        <v>41404</v>
      </c>
      <c r="AY2247" s="355">
        <v>3.1890000000000002E-2</v>
      </c>
      <c r="AZ2247" s="624">
        <v>41470</v>
      </c>
      <c r="BA2247" s="355">
        <v>1.15E-2</v>
      </c>
      <c r="BB2247" s="624">
        <v>41401</v>
      </c>
      <c r="BC2247" s="355">
        <v>0.31590000000000001</v>
      </c>
      <c r="BD2247" s="624">
        <v>41401</v>
      </c>
      <c r="BE2247" s="355">
        <v>9.171E-2</v>
      </c>
      <c r="BF2247" s="624">
        <v>41530</v>
      </c>
      <c r="BG2247" s="355">
        <v>1.5793000000000001E-2</v>
      </c>
      <c r="BH2247" s="624">
        <v>41401</v>
      </c>
      <c r="BI2247" s="355">
        <v>0.10272199999999999</v>
      </c>
      <c r="BJ2247" s="624">
        <v>41400</v>
      </c>
      <c r="BK2247" s="355">
        <v>3.3760999999999999E-2</v>
      </c>
    </row>
    <row r="2248" spans="3:63">
      <c r="C2248" s="624"/>
      <c r="D2248" s="355">
        <v>3.1890000000000002E-2</v>
      </c>
      <c r="AV2248" s="624"/>
      <c r="AX2248" s="624">
        <v>41407</v>
      </c>
      <c r="AY2248" s="355">
        <v>3.1919999999999997E-2</v>
      </c>
      <c r="AZ2248" s="624">
        <v>41471</v>
      </c>
      <c r="BA2248" s="355">
        <v>1.1599999999999999E-2</v>
      </c>
      <c r="BB2248" s="624">
        <v>41402</v>
      </c>
      <c r="BC2248" s="355">
        <v>0.31850000000000001</v>
      </c>
      <c r="BD2248" s="624">
        <v>41402</v>
      </c>
      <c r="BE2248" s="355">
        <v>9.2069999999999999E-2</v>
      </c>
      <c r="BF2248" s="624">
        <v>41533</v>
      </c>
      <c r="BG2248" s="355">
        <v>1.5790999999999999E-2</v>
      </c>
      <c r="BH2248" s="624">
        <v>41402</v>
      </c>
      <c r="BI2248" s="355">
        <v>0.10277600000000001</v>
      </c>
      <c r="BJ2248" s="624">
        <v>41401</v>
      </c>
      <c r="BK2248" s="355">
        <v>3.3796E-2</v>
      </c>
    </row>
    <row r="2249" spans="3:63">
      <c r="C2249" s="624"/>
      <c r="D2249" s="355">
        <v>3.1919999999999997E-2</v>
      </c>
      <c r="AV2249" s="624"/>
      <c r="AX2249" s="624">
        <v>41408</v>
      </c>
      <c r="AY2249" s="355">
        <v>3.1859999999999999E-2</v>
      </c>
      <c r="AZ2249" s="624">
        <v>41472</v>
      </c>
      <c r="BA2249" s="355">
        <v>1.15E-2</v>
      </c>
      <c r="BB2249" s="624">
        <v>41403</v>
      </c>
      <c r="BC2249" s="355">
        <v>0.31619999999999998</v>
      </c>
      <c r="BD2249" s="624">
        <v>41403</v>
      </c>
      <c r="BE2249" s="355">
        <v>9.1579999999999995E-2</v>
      </c>
      <c r="BF2249" s="624">
        <v>41534</v>
      </c>
      <c r="BG2249" s="355">
        <v>1.5820000000000001E-2</v>
      </c>
      <c r="BH2249" s="624">
        <v>41403</v>
      </c>
      <c r="BI2249" s="355">
        <v>0.102743</v>
      </c>
      <c r="BJ2249" s="624">
        <v>41402</v>
      </c>
      <c r="BK2249" s="355">
        <v>3.4105999999999997E-2</v>
      </c>
    </row>
    <row r="2250" spans="3:63">
      <c r="C2250" s="624"/>
      <c r="D2250" s="355">
        <v>3.1859999999999999E-2</v>
      </c>
      <c r="AV2250" s="624"/>
      <c r="AX2250" s="624">
        <v>41409</v>
      </c>
      <c r="AY2250" s="355">
        <v>3.1800000000000002E-2</v>
      </c>
      <c r="AZ2250" s="624">
        <v>41473</v>
      </c>
      <c r="BA2250" s="355">
        <v>1.15E-2</v>
      </c>
      <c r="BB2250" s="624">
        <v>41404</v>
      </c>
      <c r="BC2250" s="355">
        <v>0.3135</v>
      </c>
      <c r="BD2250" s="624">
        <v>41404</v>
      </c>
      <c r="BE2250" s="355">
        <v>9.0399999999999994E-2</v>
      </c>
      <c r="BF2250" s="624">
        <v>41535</v>
      </c>
      <c r="BG2250" s="355">
        <v>1.5720999999999999E-2</v>
      </c>
      <c r="BH2250" s="624">
        <v>41404</v>
      </c>
      <c r="BI2250" s="355">
        <v>0.10267999999999999</v>
      </c>
      <c r="BJ2250" s="624">
        <v>41403</v>
      </c>
      <c r="BK2250" s="355">
        <v>3.3921E-2</v>
      </c>
    </row>
    <row r="2251" spans="3:63">
      <c r="C2251" s="624"/>
      <c r="D2251" s="355">
        <v>3.1800000000000002E-2</v>
      </c>
      <c r="AV2251" s="624"/>
      <c r="AX2251" s="624">
        <v>41410</v>
      </c>
      <c r="AY2251" s="355">
        <v>3.1850000000000003E-2</v>
      </c>
      <c r="AZ2251" s="624">
        <v>41474</v>
      </c>
      <c r="BA2251" s="355">
        <v>1.1599999999999999E-2</v>
      </c>
      <c r="BB2251" s="624">
        <v>41407</v>
      </c>
      <c r="BC2251" s="355">
        <v>0.31180000000000002</v>
      </c>
      <c r="BD2251" s="624">
        <v>41407</v>
      </c>
      <c r="BE2251" s="355">
        <v>8.9690000000000006E-2</v>
      </c>
      <c r="BF2251" s="624">
        <v>41536</v>
      </c>
      <c r="BG2251" s="355">
        <v>1.6070000000000001E-2</v>
      </c>
      <c r="BH2251" s="624">
        <v>41407</v>
      </c>
      <c r="BI2251" s="355">
        <v>0.102691</v>
      </c>
      <c r="BJ2251" s="624">
        <v>41404</v>
      </c>
      <c r="BK2251" s="355">
        <v>3.3535000000000002E-2</v>
      </c>
    </row>
    <row r="2252" spans="3:63">
      <c r="C2252" s="624"/>
      <c r="D2252" s="355">
        <v>3.1850000000000003E-2</v>
      </c>
      <c r="AV2252" s="624"/>
      <c r="AX2252" s="624">
        <v>41411</v>
      </c>
      <c r="AY2252" s="355">
        <v>3.1800000000000002E-2</v>
      </c>
      <c r="AZ2252" s="624">
        <v>41477</v>
      </c>
      <c r="BA2252" s="355">
        <v>1.1599999999999999E-2</v>
      </c>
      <c r="BB2252" s="624">
        <v>41408</v>
      </c>
      <c r="BC2252" s="355">
        <v>0.31019999999999998</v>
      </c>
      <c r="BD2252" s="624">
        <v>41408</v>
      </c>
      <c r="BE2252" s="355">
        <v>8.9969999999999994E-2</v>
      </c>
      <c r="BF2252" s="624">
        <v>41537</v>
      </c>
      <c r="BG2252" s="355">
        <v>1.5934E-2</v>
      </c>
      <c r="BH2252" s="624">
        <v>41408</v>
      </c>
      <c r="BI2252" s="355">
        <v>0.10267999999999999</v>
      </c>
      <c r="BJ2252" s="624">
        <v>41407</v>
      </c>
      <c r="BK2252" s="355">
        <v>3.3706E-2</v>
      </c>
    </row>
    <row r="2253" spans="3:63">
      <c r="C2253" s="624"/>
      <c r="D2253" s="355">
        <v>3.1800000000000002E-2</v>
      </c>
      <c r="AV2253" s="624"/>
      <c r="AX2253" s="624">
        <v>41414</v>
      </c>
      <c r="AY2253" s="355">
        <v>3.202E-2</v>
      </c>
      <c r="AZ2253" s="624">
        <v>41478</v>
      </c>
      <c r="BA2253" s="355">
        <v>1.1599999999999999E-2</v>
      </c>
      <c r="BB2253" s="624">
        <v>41409</v>
      </c>
      <c r="BC2253" s="355">
        <v>0.30840000000000001</v>
      </c>
      <c r="BD2253" s="624">
        <v>41409</v>
      </c>
      <c r="BE2253" s="355">
        <v>8.9560000000000001E-2</v>
      </c>
      <c r="BF2253" s="624">
        <v>41540</v>
      </c>
      <c r="BG2253" s="355">
        <v>1.5970000000000002E-2</v>
      </c>
      <c r="BH2253" s="624">
        <v>41409</v>
      </c>
      <c r="BI2253" s="355">
        <v>0.10259600000000001</v>
      </c>
      <c r="BJ2253" s="624">
        <v>41408</v>
      </c>
      <c r="BK2253" s="355">
        <v>3.3717999999999998E-2</v>
      </c>
    </row>
    <row r="2254" spans="3:63">
      <c r="C2254" s="624"/>
      <c r="D2254" s="355">
        <v>3.202E-2</v>
      </c>
      <c r="AV2254" s="624"/>
      <c r="AX2254" s="624">
        <v>41415</v>
      </c>
      <c r="AY2254" s="355">
        <v>3.202E-2</v>
      </c>
      <c r="AZ2254" s="624">
        <v>41479</v>
      </c>
      <c r="BA2254" s="355">
        <v>1.1599999999999999E-2</v>
      </c>
      <c r="BB2254" s="624">
        <v>41410</v>
      </c>
      <c r="BC2254" s="355">
        <v>0.30769999999999997</v>
      </c>
      <c r="BD2254" s="624">
        <v>41410</v>
      </c>
      <c r="BE2254" s="355">
        <v>8.9469999999999994E-2</v>
      </c>
      <c r="BF2254" s="624">
        <v>41541</v>
      </c>
      <c r="BG2254" s="355">
        <v>1.5935999999999999E-2</v>
      </c>
      <c r="BH2254" s="624">
        <v>41410</v>
      </c>
      <c r="BI2254" s="355">
        <v>0.102565</v>
      </c>
      <c r="BJ2254" s="624">
        <v>41409</v>
      </c>
      <c r="BK2254" s="355">
        <v>3.3613999999999998E-2</v>
      </c>
    </row>
    <row r="2255" spans="3:63">
      <c r="C2255" s="624"/>
      <c r="D2255" s="355">
        <v>3.202E-2</v>
      </c>
      <c r="AV2255" s="624"/>
      <c r="AX2255" s="624">
        <v>41416</v>
      </c>
      <c r="AY2255" s="355">
        <v>3.184E-2</v>
      </c>
      <c r="AZ2255" s="624">
        <v>41480</v>
      </c>
      <c r="BA2255" s="355">
        <v>1.1599999999999999E-2</v>
      </c>
      <c r="BB2255" s="624">
        <v>41411</v>
      </c>
      <c r="BC2255" s="355">
        <v>0.30769999999999997</v>
      </c>
      <c r="BD2255" s="624">
        <v>41411</v>
      </c>
      <c r="BE2255" s="355">
        <v>8.9099999999999999E-2</v>
      </c>
      <c r="BF2255" s="624">
        <v>41542</v>
      </c>
      <c r="BG2255" s="355">
        <v>1.6063000000000001E-2</v>
      </c>
      <c r="BH2255" s="624">
        <v>41411</v>
      </c>
      <c r="BI2255" s="355">
        <v>0.102502</v>
      </c>
      <c r="BJ2255" s="624">
        <v>41410</v>
      </c>
      <c r="BK2255" s="355">
        <v>3.3659000000000001E-2</v>
      </c>
    </row>
    <row r="2256" spans="3:63">
      <c r="C2256" s="624"/>
      <c r="D2256" s="355">
        <v>3.184E-2</v>
      </c>
      <c r="AV2256" s="624"/>
      <c r="AX2256" s="624">
        <v>41417</v>
      </c>
      <c r="AY2256" s="355">
        <v>3.1780000000000003E-2</v>
      </c>
      <c r="AZ2256" s="624">
        <v>41481</v>
      </c>
      <c r="BA2256" s="355">
        <v>1.1599999999999999E-2</v>
      </c>
      <c r="BB2256" s="624">
        <v>41414</v>
      </c>
      <c r="BC2256" s="355">
        <v>0.30780000000000002</v>
      </c>
      <c r="BD2256" s="624">
        <v>41414</v>
      </c>
      <c r="BE2256" s="355">
        <v>8.9700000000000002E-2</v>
      </c>
      <c r="BF2256" s="624">
        <v>41543</v>
      </c>
      <c r="BG2256" s="355">
        <v>1.6185000000000001E-2</v>
      </c>
      <c r="BH2256" s="624">
        <v>41414</v>
      </c>
      <c r="BI2256" s="355">
        <v>0.102481</v>
      </c>
      <c r="BJ2256" s="624">
        <v>41411</v>
      </c>
      <c r="BK2256" s="355">
        <v>3.3489999999999999E-2</v>
      </c>
    </row>
    <row r="2257" spans="3:63">
      <c r="C2257" s="624"/>
      <c r="D2257" s="355">
        <v>3.1780000000000003E-2</v>
      </c>
      <c r="AV2257" s="624"/>
      <c r="AX2257" s="624">
        <v>41418</v>
      </c>
      <c r="AY2257" s="355">
        <v>3.1919999999999997E-2</v>
      </c>
      <c r="AZ2257" s="624">
        <v>41484</v>
      </c>
      <c r="BA2257" s="355">
        <v>1.1599999999999999E-2</v>
      </c>
      <c r="BB2257" s="624">
        <v>41415</v>
      </c>
      <c r="BC2257" s="355">
        <v>0.30880000000000002</v>
      </c>
      <c r="BD2257" s="624">
        <v>41415</v>
      </c>
      <c r="BE2257" s="355">
        <v>8.9980000000000004E-2</v>
      </c>
      <c r="BF2257" s="624">
        <v>41544</v>
      </c>
      <c r="BG2257" s="355">
        <v>1.5866000000000002E-2</v>
      </c>
      <c r="BH2257" s="624">
        <v>41415</v>
      </c>
      <c r="BI2257" s="355">
        <v>0.10241699999999999</v>
      </c>
      <c r="BJ2257" s="624">
        <v>41414</v>
      </c>
      <c r="BK2257" s="355">
        <v>3.3545999999999999E-2</v>
      </c>
    </row>
    <row r="2258" spans="3:63">
      <c r="C2258" s="624"/>
      <c r="D2258" s="355">
        <v>3.1919999999999997E-2</v>
      </c>
      <c r="AV2258" s="624"/>
      <c r="AX2258" s="624">
        <v>41421</v>
      </c>
      <c r="AY2258" s="355">
        <v>3.1899999999999998E-2</v>
      </c>
      <c r="AZ2258" s="624">
        <v>41485</v>
      </c>
      <c r="BA2258" s="355">
        <v>1.17E-2</v>
      </c>
      <c r="BB2258" s="624">
        <v>41416</v>
      </c>
      <c r="BC2258" s="355">
        <v>0.307</v>
      </c>
      <c r="BD2258" s="624">
        <v>41416</v>
      </c>
      <c r="BE2258" s="355">
        <v>8.9380000000000001E-2</v>
      </c>
      <c r="BF2258" s="624">
        <v>41547</v>
      </c>
      <c r="BG2258" s="355">
        <v>1.5987999999999999E-2</v>
      </c>
      <c r="BH2258" s="624">
        <v>41416</v>
      </c>
      <c r="BI2258" s="355">
        <v>0.102397</v>
      </c>
      <c r="BJ2258" s="624">
        <v>41415</v>
      </c>
      <c r="BK2258" s="355">
        <v>3.3574E-2</v>
      </c>
    </row>
    <row r="2259" spans="3:63">
      <c r="C2259" s="624"/>
      <c r="D2259" s="355">
        <v>3.1899999999999998E-2</v>
      </c>
      <c r="AV2259" s="624"/>
      <c r="AX2259" s="624">
        <v>41422</v>
      </c>
      <c r="AY2259" s="355">
        <v>3.1739999999999997E-2</v>
      </c>
      <c r="AZ2259" s="624">
        <v>41486</v>
      </c>
      <c r="BA2259" s="355">
        <v>1.17E-2</v>
      </c>
      <c r="BB2259" s="624">
        <v>41417</v>
      </c>
      <c r="BC2259" s="355">
        <v>0.30790000000000001</v>
      </c>
      <c r="BD2259" s="624">
        <v>41417</v>
      </c>
      <c r="BE2259" s="355">
        <v>8.8580000000000006E-2</v>
      </c>
      <c r="BF2259" s="624">
        <v>41548</v>
      </c>
      <c r="BG2259" s="355">
        <v>1.5976000000000001E-2</v>
      </c>
      <c r="BH2259" s="624">
        <v>41417</v>
      </c>
      <c r="BI2259" s="355">
        <v>0.102438</v>
      </c>
      <c r="BJ2259" s="624">
        <v>41416</v>
      </c>
      <c r="BK2259" s="355">
        <v>3.3459000000000003E-2</v>
      </c>
    </row>
    <row r="2260" spans="3:63">
      <c r="C2260" s="624"/>
      <c r="D2260" s="355">
        <v>3.1739999999999997E-2</v>
      </c>
      <c r="AV2260" s="624"/>
      <c r="AX2260" s="624">
        <v>41423</v>
      </c>
      <c r="AY2260" s="355">
        <v>3.1609999999999999E-2</v>
      </c>
      <c r="AZ2260" s="624">
        <v>41487</v>
      </c>
      <c r="BA2260" s="355">
        <v>1.1599999999999999E-2</v>
      </c>
      <c r="BB2260" s="624">
        <v>41418</v>
      </c>
      <c r="BC2260" s="355">
        <v>0.30819999999999997</v>
      </c>
      <c r="BD2260" s="624">
        <v>41418</v>
      </c>
      <c r="BE2260" s="355">
        <v>8.8620000000000004E-2</v>
      </c>
      <c r="BF2260" s="624">
        <v>41549</v>
      </c>
      <c r="BG2260" s="355">
        <v>1.6074000000000001E-2</v>
      </c>
      <c r="BH2260" s="624">
        <v>41418</v>
      </c>
      <c r="BI2260" s="355">
        <v>0.102323</v>
      </c>
      <c r="BJ2260" s="624">
        <v>41417</v>
      </c>
      <c r="BK2260" s="355">
        <v>3.3429E-2</v>
      </c>
    </row>
    <row r="2261" spans="3:63">
      <c r="C2261" s="624"/>
      <c r="D2261" s="355">
        <v>3.1609999999999999E-2</v>
      </c>
      <c r="AV2261" s="624"/>
      <c r="AX2261" s="624">
        <v>41424</v>
      </c>
      <c r="AY2261" s="355">
        <v>3.1530000000000002E-2</v>
      </c>
      <c r="AZ2261" s="624">
        <v>41488</v>
      </c>
      <c r="BA2261" s="355">
        <v>1.1599999999999999E-2</v>
      </c>
      <c r="BB2261" s="624">
        <v>41421</v>
      </c>
      <c r="BC2261" s="355">
        <v>0.30809999999999998</v>
      </c>
      <c r="BD2261" s="624">
        <v>41421</v>
      </c>
      <c r="BE2261" s="355">
        <v>8.9080000000000006E-2</v>
      </c>
      <c r="BF2261" s="624">
        <v>41550</v>
      </c>
      <c r="BG2261" s="355">
        <v>1.6178999999999999E-2</v>
      </c>
      <c r="BH2261" s="624">
        <v>41421</v>
      </c>
      <c r="BI2261" s="355">
        <v>0.102146</v>
      </c>
      <c r="BJ2261" s="624">
        <v>41418</v>
      </c>
      <c r="BK2261" s="355">
        <v>3.3383000000000003E-2</v>
      </c>
    </row>
    <row r="2262" spans="3:63">
      <c r="C2262" s="624"/>
      <c r="D2262" s="355">
        <v>3.1530000000000002E-2</v>
      </c>
      <c r="AV2262" s="624"/>
      <c r="AX2262" s="624">
        <v>41425</v>
      </c>
      <c r="AY2262" s="355">
        <v>3.1320000000000001E-2</v>
      </c>
      <c r="AZ2262" s="624">
        <v>41491</v>
      </c>
      <c r="BA2262" s="355">
        <v>1.17E-2</v>
      </c>
      <c r="BB2262" s="624">
        <v>41422</v>
      </c>
      <c r="BC2262" s="355">
        <v>0.30559999999999998</v>
      </c>
      <c r="BD2262" s="624">
        <v>41422</v>
      </c>
      <c r="BE2262" s="355">
        <v>8.8660000000000003E-2</v>
      </c>
      <c r="BF2262" s="624">
        <v>41551</v>
      </c>
      <c r="BG2262" s="355">
        <v>1.6284E-2</v>
      </c>
      <c r="BH2262" s="624">
        <v>41422</v>
      </c>
      <c r="BI2262" s="355">
        <v>0.101368</v>
      </c>
      <c r="BJ2262" s="624">
        <v>41421</v>
      </c>
      <c r="BK2262" s="355">
        <v>3.3485000000000001E-2</v>
      </c>
    </row>
    <row r="2263" spans="3:63">
      <c r="C2263" s="624"/>
      <c r="D2263" s="355">
        <v>3.1320000000000001E-2</v>
      </c>
      <c r="AV2263" s="624"/>
      <c r="AX2263" s="624">
        <v>41428</v>
      </c>
      <c r="AY2263" s="355">
        <v>3.1449999999999999E-2</v>
      </c>
      <c r="AZ2263" s="624">
        <v>41492</v>
      </c>
      <c r="BA2263" s="355">
        <v>1.17E-2</v>
      </c>
      <c r="BB2263" s="624">
        <v>41423</v>
      </c>
      <c r="BC2263" s="355">
        <v>0.30480000000000002</v>
      </c>
      <c r="BD2263" s="624">
        <v>41423</v>
      </c>
      <c r="BE2263" s="355">
        <v>8.831E-2</v>
      </c>
      <c r="BF2263" s="624">
        <v>41554</v>
      </c>
      <c r="BG2263" s="355">
        <v>1.6212000000000001E-2</v>
      </c>
      <c r="BH2263" s="624">
        <v>41423</v>
      </c>
      <c r="BI2263" s="355">
        <v>0.10201</v>
      </c>
      <c r="BJ2263" s="624">
        <v>41422</v>
      </c>
      <c r="BK2263" s="355">
        <v>3.3244999999999997E-2</v>
      </c>
    </row>
    <row r="2264" spans="3:63">
      <c r="C2264" s="624"/>
      <c r="D2264" s="355">
        <v>3.1449999999999999E-2</v>
      </c>
      <c r="AV2264" s="624"/>
      <c r="AX2264" s="624">
        <v>41429</v>
      </c>
      <c r="AY2264" s="355">
        <v>3.1309999999999998E-2</v>
      </c>
      <c r="AZ2264" s="624">
        <v>41493</v>
      </c>
      <c r="BA2264" s="355">
        <v>1.17E-2</v>
      </c>
      <c r="BB2264" s="624">
        <v>41424</v>
      </c>
      <c r="BC2264" s="355">
        <v>0.30520000000000003</v>
      </c>
      <c r="BD2264" s="624">
        <v>41424</v>
      </c>
      <c r="BE2264" s="355">
        <v>8.8800000000000004E-2</v>
      </c>
      <c r="BF2264" s="624">
        <v>41555</v>
      </c>
      <c r="BG2264" s="355">
        <v>1.6112000000000001E-2</v>
      </c>
      <c r="BH2264" s="624">
        <v>41424</v>
      </c>
      <c r="BI2264" s="355">
        <v>0.10201</v>
      </c>
      <c r="BJ2264" s="624">
        <v>41423</v>
      </c>
      <c r="BK2264" s="355">
        <v>3.3151E-2</v>
      </c>
    </row>
    <row r="2265" spans="3:63">
      <c r="C2265" s="624"/>
      <c r="D2265" s="355">
        <v>3.1309999999999998E-2</v>
      </c>
      <c r="AV2265" s="624"/>
      <c r="AX2265" s="624">
        <v>41430</v>
      </c>
      <c r="AY2265" s="355">
        <v>3.1099999999999999E-2</v>
      </c>
      <c r="AZ2265" s="624">
        <v>41494</v>
      </c>
      <c r="BA2265" s="355">
        <v>1.18E-2</v>
      </c>
      <c r="BB2265" s="624">
        <v>41425</v>
      </c>
      <c r="BC2265" s="355">
        <v>0.30409999999999998</v>
      </c>
      <c r="BD2265" s="624">
        <v>41425</v>
      </c>
      <c r="BE2265" s="355">
        <v>8.8400000000000006E-2</v>
      </c>
      <c r="BF2265" s="624">
        <v>41556</v>
      </c>
      <c r="BG2265" s="355">
        <v>1.6168999999999999E-2</v>
      </c>
      <c r="BH2265" s="624">
        <v>41425</v>
      </c>
      <c r="BI2265" s="355">
        <v>0.102094</v>
      </c>
      <c r="BJ2265" s="624">
        <v>41424</v>
      </c>
      <c r="BK2265" s="355">
        <v>3.3191999999999999E-2</v>
      </c>
    </row>
    <row r="2266" spans="3:63">
      <c r="C2266" s="624"/>
      <c r="D2266" s="355">
        <v>3.1099999999999999E-2</v>
      </c>
      <c r="AV2266" s="624"/>
      <c r="AX2266" s="624">
        <v>41431</v>
      </c>
      <c r="AY2266" s="355">
        <v>3.1130000000000001E-2</v>
      </c>
      <c r="AZ2266" s="624">
        <v>41495</v>
      </c>
      <c r="BA2266" s="355">
        <v>1.17E-2</v>
      </c>
      <c r="BB2266" s="624">
        <v>41428</v>
      </c>
      <c r="BC2266" s="355">
        <v>0.3075</v>
      </c>
      <c r="BD2266" s="624">
        <v>41428</v>
      </c>
      <c r="BE2266" s="355">
        <v>8.9279999999999998E-2</v>
      </c>
      <c r="BF2266" s="624">
        <v>41557</v>
      </c>
      <c r="BG2266" s="355">
        <v>1.6378E-2</v>
      </c>
      <c r="BH2266" s="624">
        <v>41428</v>
      </c>
      <c r="BI2266" s="355">
        <v>0.101989</v>
      </c>
      <c r="BJ2266" s="624">
        <v>41425</v>
      </c>
      <c r="BK2266" s="355">
        <v>3.2883999999999997E-2</v>
      </c>
    </row>
    <row r="2267" spans="3:63">
      <c r="C2267" s="624"/>
      <c r="D2267" s="355">
        <v>3.1130000000000001E-2</v>
      </c>
      <c r="AV2267" s="624"/>
      <c r="AX2267" s="624">
        <v>41432</v>
      </c>
      <c r="AY2267" s="355">
        <v>3.1050000000000001E-2</v>
      </c>
      <c r="AZ2267" s="624">
        <v>41498</v>
      </c>
      <c r="BA2267" s="355">
        <v>1.17E-2</v>
      </c>
      <c r="BB2267" s="624">
        <v>41429</v>
      </c>
      <c r="BC2267" s="355">
        <v>0.30869999999999997</v>
      </c>
      <c r="BD2267" s="624">
        <v>41429</v>
      </c>
      <c r="BE2267" s="355">
        <v>8.8999999999999996E-2</v>
      </c>
      <c r="BF2267" s="624">
        <v>41558</v>
      </c>
      <c r="BG2267" s="355">
        <v>1.6396000000000001E-2</v>
      </c>
      <c r="BH2267" s="624">
        <v>41429</v>
      </c>
      <c r="BI2267" s="355">
        <v>0.10204100000000001</v>
      </c>
      <c r="BJ2267" s="624">
        <v>41428</v>
      </c>
      <c r="BK2267" s="355">
        <v>3.2939999999999997E-2</v>
      </c>
    </row>
    <row r="2268" spans="3:63">
      <c r="C2268" s="624"/>
      <c r="D2268" s="355">
        <v>3.1050000000000001E-2</v>
      </c>
      <c r="AV2268" s="624"/>
      <c r="AX2268" s="624">
        <v>41435</v>
      </c>
      <c r="AY2268" s="355">
        <v>3.0929999999999999E-2</v>
      </c>
      <c r="AZ2268" s="624">
        <v>41499</v>
      </c>
      <c r="BA2268" s="355">
        <v>1.1599999999999999E-2</v>
      </c>
      <c r="BB2268" s="624">
        <v>41430</v>
      </c>
      <c r="BC2268" s="355">
        <v>0.30590000000000001</v>
      </c>
      <c r="BD2268" s="624">
        <v>41430</v>
      </c>
      <c r="BE2268" s="355">
        <v>8.9370000000000005E-2</v>
      </c>
      <c r="BF2268" s="624">
        <v>41561</v>
      </c>
      <c r="BG2268" s="355">
        <v>1.6268000000000001E-2</v>
      </c>
      <c r="BH2268" s="624">
        <v>41430</v>
      </c>
      <c r="BI2268" s="355">
        <v>0.102103</v>
      </c>
      <c r="BJ2268" s="624">
        <v>41429</v>
      </c>
      <c r="BK2268" s="355">
        <v>3.2836999999999998E-2</v>
      </c>
    </row>
    <row r="2269" spans="3:63">
      <c r="C2269" s="624"/>
      <c r="D2269" s="355">
        <v>3.0929999999999999E-2</v>
      </c>
      <c r="AV2269" s="624"/>
      <c r="AX2269" s="624">
        <v>41436</v>
      </c>
      <c r="AY2269" s="355">
        <v>3.0870000000000002E-2</v>
      </c>
      <c r="AZ2269" s="624">
        <v>41500</v>
      </c>
      <c r="BA2269" s="355">
        <v>1.17E-2</v>
      </c>
      <c r="BB2269" s="624">
        <v>41431</v>
      </c>
      <c r="BC2269" s="355">
        <v>0.30819999999999997</v>
      </c>
      <c r="BD2269" s="624">
        <v>41431</v>
      </c>
      <c r="BE2269" s="355">
        <v>8.9349999999999999E-2</v>
      </c>
      <c r="BF2269" s="624">
        <v>41562</v>
      </c>
      <c r="BG2269" s="355">
        <v>1.6185999999999999E-2</v>
      </c>
      <c r="BH2269" s="624">
        <v>41431</v>
      </c>
      <c r="BI2269" s="355">
        <v>0.102103</v>
      </c>
      <c r="BJ2269" s="624">
        <v>41430</v>
      </c>
      <c r="BK2269" s="355">
        <v>3.2732999999999998E-2</v>
      </c>
    </row>
    <row r="2270" spans="3:63">
      <c r="C2270" s="624"/>
      <c r="D2270" s="355">
        <v>3.0870000000000002E-2</v>
      </c>
      <c r="AV2270" s="624"/>
      <c r="AX2270" s="624">
        <v>41437</v>
      </c>
      <c r="AY2270" s="355">
        <v>3.1040000000000002E-2</v>
      </c>
      <c r="AZ2270" s="624">
        <v>41501</v>
      </c>
      <c r="BA2270" s="355">
        <v>1.17E-2</v>
      </c>
      <c r="BB2270" s="624">
        <v>41432</v>
      </c>
      <c r="BC2270" s="355">
        <v>0.31180000000000002</v>
      </c>
      <c r="BD2270" s="624">
        <v>41432</v>
      </c>
      <c r="BE2270" s="355">
        <v>8.9480000000000004E-2</v>
      </c>
      <c r="BF2270" s="624">
        <v>41563</v>
      </c>
      <c r="BG2270" s="355">
        <v>1.6306000000000001E-2</v>
      </c>
      <c r="BH2270" s="624">
        <v>41432</v>
      </c>
      <c r="BI2270" s="355">
        <v>0.101989</v>
      </c>
      <c r="BJ2270" s="624">
        <v>41431</v>
      </c>
      <c r="BK2270" s="355">
        <v>3.2705999999999999E-2</v>
      </c>
    </row>
    <row r="2271" spans="3:63">
      <c r="C2271" s="624"/>
      <c r="D2271" s="355">
        <v>3.1040000000000002E-2</v>
      </c>
      <c r="AV2271" s="624"/>
      <c r="AX2271" s="624">
        <v>41438</v>
      </c>
      <c r="AY2271" s="355">
        <v>3.1260000000000003E-2</v>
      </c>
      <c r="AZ2271" s="624">
        <v>41502</v>
      </c>
      <c r="BA2271" s="355">
        <v>1.17E-2</v>
      </c>
      <c r="BB2271" s="624">
        <v>41435</v>
      </c>
      <c r="BC2271" s="355">
        <v>0.31030000000000002</v>
      </c>
      <c r="BD2271" s="624">
        <v>41435</v>
      </c>
      <c r="BE2271" s="355">
        <v>8.8650000000000007E-2</v>
      </c>
      <c r="BF2271" s="624">
        <v>41564</v>
      </c>
      <c r="BG2271" s="355">
        <v>1.6374E-2</v>
      </c>
      <c r="BH2271" s="624">
        <v>41435</v>
      </c>
      <c r="BI2271" s="355">
        <v>9.9290000000000003E-2</v>
      </c>
      <c r="BJ2271" s="624">
        <v>41432</v>
      </c>
      <c r="BK2271" s="355">
        <v>3.2641999999999997E-2</v>
      </c>
    </row>
    <row r="2272" spans="3:63">
      <c r="C2272" s="624"/>
      <c r="D2272" s="355">
        <v>3.1260000000000003E-2</v>
      </c>
      <c r="AV2272" s="624"/>
      <c r="AX2272" s="624">
        <v>41439</v>
      </c>
      <c r="AY2272" s="355">
        <v>3.1570000000000001E-2</v>
      </c>
      <c r="AZ2272" s="624">
        <v>41505</v>
      </c>
      <c r="BA2272" s="355">
        <v>1.17E-2</v>
      </c>
      <c r="BB2272" s="624">
        <v>41436</v>
      </c>
      <c r="BC2272" s="355">
        <v>0.31140000000000001</v>
      </c>
      <c r="BD2272" s="624">
        <v>41436</v>
      </c>
      <c r="BE2272" s="355">
        <v>8.8279999999999997E-2</v>
      </c>
      <c r="BF2272" s="624">
        <v>41565</v>
      </c>
      <c r="BG2272" s="355">
        <v>1.6343E-2</v>
      </c>
      <c r="BH2272" s="624">
        <v>41436</v>
      </c>
      <c r="BI2272" s="355">
        <v>9.9641999999999994E-2</v>
      </c>
      <c r="BJ2272" s="624">
        <v>41435</v>
      </c>
      <c r="BK2272" s="355">
        <v>3.2488999999999997E-2</v>
      </c>
    </row>
    <row r="2273" spans="3:63">
      <c r="C2273" s="624"/>
      <c r="D2273" s="355">
        <v>3.1570000000000001E-2</v>
      </c>
      <c r="AV2273" s="624"/>
      <c r="AX2273" s="624">
        <v>41442</v>
      </c>
      <c r="AY2273" s="355">
        <v>3.1460000000000002E-2</v>
      </c>
      <c r="AZ2273" s="624">
        <v>41506</v>
      </c>
      <c r="BA2273" s="355">
        <v>1.17E-2</v>
      </c>
      <c r="BB2273" s="624">
        <v>41437</v>
      </c>
      <c r="BC2273" s="355">
        <v>0.31290000000000001</v>
      </c>
      <c r="BD2273" s="624">
        <v>41437</v>
      </c>
      <c r="BE2273" s="355">
        <v>8.8440000000000005E-2</v>
      </c>
      <c r="BF2273" s="624">
        <v>41568</v>
      </c>
      <c r="BG2273" s="355">
        <v>1.6232E-2</v>
      </c>
      <c r="BH2273" s="624">
        <v>41437</v>
      </c>
      <c r="BI2273" s="355">
        <v>0.101523</v>
      </c>
      <c r="BJ2273" s="624">
        <v>41436</v>
      </c>
      <c r="BK2273" s="355">
        <v>3.2342999999999997E-2</v>
      </c>
    </row>
    <row r="2274" spans="3:63">
      <c r="C2274" s="624"/>
      <c r="D2274" s="355">
        <v>3.1460000000000002E-2</v>
      </c>
      <c r="AV2274" s="624"/>
      <c r="AX2274" s="624">
        <v>41443</v>
      </c>
      <c r="AY2274" s="355">
        <v>3.125E-2</v>
      </c>
      <c r="AZ2274" s="624">
        <v>41507</v>
      </c>
      <c r="BA2274" s="355">
        <v>1.17E-2</v>
      </c>
      <c r="BB2274" s="624">
        <v>41438</v>
      </c>
      <c r="BC2274" s="355">
        <v>0.31659999999999999</v>
      </c>
      <c r="BD2274" s="624">
        <v>41438</v>
      </c>
      <c r="BE2274" s="355">
        <v>8.8510000000000005E-2</v>
      </c>
      <c r="BF2274" s="624">
        <v>41569</v>
      </c>
      <c r="BG2274" s="355">
        <v>1.6357E-2</v>
      </c>
      <c r="BH2274" s="624">
        <v>41438</v>
      </c>
      <c r="BI2274" s="355">
        <v>0.101302</v>
      </c>
      <c r="BJ2274" s="624">
        <v>41437</v>
      </c>
      <c r="BK2274" s="355">
        <v>3.2300000000000002E-2</v>
      </c>
    </row>
    <row r="2275" spans="3:63">
      <c r="C2275" s="624"/>
      <c r="D2275" s="355">
        <v>3.125E-2</v>
      </c>
      <c r="AV2275" s="624"/>
      <c r="AX2275" s="624">
        <v>41444</v>
      </c>
      <c r="AY2275" s="355">
        <v>3.0790000000000001E-2</v>
      </c>
      <c r="AZ2275" s="624">
        <v>41508</v>
      </c>
      <c r="BA2275" s="355">
        <v>1.17E-2</v>
      </c>
      <c r="BB2275" s="624">
        <v>41439</v>
      </c>
      <c r="BC2275" s="355">
        <v>0.31459999999999999</v>
      </c>
      <c r="BD2275" s="624">
        <v>41439</v>
      </c>
      <c r="BE2275" s="355">
        <v>8.8709999999999997E-2</v>
      </c>
      <c r="BF2275" s="624">
        <v>41570</v>
      </c>
      <c r="BG2275" s="355">
        <v>1.6227999999999999E-2</v>
      </c>
      <c r="BH2275" s="624">
        <v>41439</v>
      </c>
      <c r="BI2275" s="355">
        <v>0.101379</v>
      </c>
      <c r="BJ2275" s="624">
        <v>41438</v>
      </c>
      <c r="BK2275" s="355">
        <v>3.2523999999999997E-2</v>
      </c>
    </row>
    <row r="2276" spans="3:63">
      <c r="C2276" s="624"/>
      <c r="D2276" s="355">
        <v>3.0790000000000001E-2</v>
      </c>
      <c r="AV2276" s="624"/>
      <c r="AX2276" s="624">
        <v>41445</v>
      </c>
      <c r="AY2276" s="355">
        <v>3.0269999999999998E-2</v>
      </c>
      <c r="AZ2276" s="624">
        <v>41509</v>
      </c>
      <c r="BA2276" s="355">
        <v>1.17E-2</v>
      </c>
      <c r="BB2276" s="624">
        <v>41442</v>
      </c>
      <c r="BC2276" s="355">
        <v>0.31590000000000001</v>
      </c>
      <c r="BD2276" s="624">
        <v>41442</v>
      </c>
      <c r="BE2276" s="355">
        <v>8.8609999999999994E-2</v>
      </c>
      <c r="BF2276" s="624">
        <v>41571</v>
      </c>
      <c r="BG2276" s="355">
        <v>1.6267E-2</v>
      </c>
      <c r="BH2276" s="624">
        <v>41442</v>
      </c>
      <c r="BI2276" s="355">
        <v>0.10125099999999999</v>
      </c>
      <c r="BJ2276" s="624">
        <v>41439</v>
      </c>
      <c r="BK2276" s="355">
        <v>3.2701000000000001E-2</v>
      </c>
    </row>
    <row r="2277" spans="3:63">
      <c r="C2277" s="624"/>
      <c r="D2277" s="355">
        <v>3.0269999999999998E-2</v>
      </c>
      <c r="AV2277" s="624"/>
      <c r="AX2277" s="624">
        <v>41446</v>
      </c>
      <c r="AY2277" s="355">
        <v>3.049E-2</v>
      </c>
      <c r="AZ2277" s="624">
        <v>41512</v>
      </c>
      <c r="BA2277" s="355">
        <v>1.17E-2</v>
      </c>
      <c r="BB2277" s="624">
        <v>41443</v>
      </c>
      <c r="BC2277" s="355">
        <v>0.31390000000000001</v>
      </c>
      <c r="BD2277" s="624">
        <v>41443</v>
      </c>
      <c r="BE2277" s="355">
        <v>8.8340000000000002E-2</v>
      </c>
      <c r="BF2277" s="624">
        <v>41572</v>
      </c>
      <c r="BG2277" s="355">
        <v>1.6272999999999999E-2</v>
      </c>
      <c r="BH2277" s="624">
        <v>41443</v>
      </c>
      <c r="BI2277" s="355">
        <v>0.10043299999999999</v>
      </c>
      <c r="BJ2277" s="624">
        <v>41442</v>
      </c>
      <c r="BK2277" s="355">
        <v>3.2605000000000002E-2</v>
      </c>
    </row>
    <row r="2278" spans="3:63">
      <c r="C2278" s="624"/>
      <c r="D2278" s="355">
        <v>3.049E-2</v>
      </c>
      <c r="AV2278" s="624"/>
      <c r="AX2278" s="624">
        <v>41449</v>
      </c>
      <c r="AY2278" s="355">
        <v>3.049E-2</v>
      </c>
      <c r="AZ2278" s="624">
        <v>41513</v>
      </c>
      <c r="BA2278" s="355">
        <v>1.17E-2</v>
      </c>
      <c r="BB2278" s="624">
        <v>41444</v>
      </c>
      <c r="BC2278" s="355">
        <v>0.31</v>
      </c>
      <c r="BD2278" s="624">
        <v>41444</v>
      </c>
      <c r="BE2278" s="355">
        <v>8.7910000000000002E-2</v>
      </c>
      <c r="BF2278" s="624">
        <v>41575</v>
      </c>
      <c r="BG2278" s="355">
        <v>1.6251000000000002E-2</v>
      </c>
      <c r="BH2278" s="624">
        <v>41444</v>
      </c>
      <c r="BI2278" s="355">
        <v>9.8595000000000002E-2</v>
      </c>
      <c r="BJ2278" s="624">
        <v>41443</v>
      </c>
      <c r="BK2278" s="355">
        <v>3.2393999999999999E-2</v>
      </c>
    </row>
    <row r="2279" spans="3:63">
      <c r="C2279" s="624"/>
      <c r="D2279" s="355">
        <v>3.049E-2</v>
      </c>
      <c r="AV2279" s="624"/>
      <c r="AX2279" s="624">
        <v>41450</v>
      </c>
      <c r="AY2279" s="355">
        <v>3.0519999999999999E-2</v>
      </c>
      <c r="AZ2279" s="624">
        <v>41514</v>
      </c>
      <c r="BA2279" s="355">
        <v>1.1599999999999999E-2</v>
      </c>
      <c r="BB2279" s="624">
        <v>41445</v>
      </c>
      <c r="BC2279" s="355">
        <v>0.30430000000000001</v>
      </c>
      <c r="BD2279" s="624">
        <v>41445</v>
      </c>
      <c r="BE2279" s="355">
        <v>8.6679999999999993E-2</v>
      </c>
      <c r="BF2279" s="624">
        <v>41576</v>
      </c>
      <c r="BG2279" s="355">
        <v>1.6281E-2</v>
      </c>
      <c r="BH2279" s="624">
        <v>41445</v>
      </c>
      <c r="BI2279" s="355">
        <v>0.100756</v>
      </c>
      <c r="BJ2279" s="624">
        <v>41444</v>
      </c>
      <c r="BK2279" s="355">
        <v>3.2250000000000001E-2</v>
      </c>
    </row>
    <row r="2280" spans="3:63">
      <c r="C2280" s="624"/>
      <c r="D2280" s="355">
        <v>3.0519999999999999E-2</v>
      </c>
      <c r="AV2280" s="624"/>
      <c r="AX2280" s="624">
        <v>41451</v>
      </c>
      <c r="AY2280" s="355">
        <v>3.032E-2</v>
      </c>
      <c r="AZ2280" s="624">
        <v>41515</v>
      </c>
      <c r="BA2280" s="355">
        <v>1.1599999999999999E-2</v>
      </c>
      <c r="BB2280" s="624">
        <v>41446</v>
      </c>
      <c r="BC2280" s="355">
        <v>0.30170000000000002</v>
      </c>
      <c r="BD2280" s="624">
        <v>41446</v>
      </c>
      <c r="BE2280" s="355">
        <v>8.6489999999999997E-2</v>
      </c>
      <c r="BF2280" s="624">
        <v>41577</v>
      </c>
      <c r="BG2280" s="355">
        <v>1.6308E-2</v>
      </c>
      <c r="BH2280" s="624">
        <v>41446</v>
      </c>
      <c r="BI2280" s="355">
        <v>9.9305000000000004E-2</v>
      </c>
      <c r="BJ2280" s="624">
        <v>41445</v>
      </c>
      <c r="BK2280" s="355">
        <v>3.2070000000000001E-2</v>
      </c>
    </row>
    <row r="2281" spans="3:63">
      <c r="C2281" s="624"/>
      <c r="D2281" s="355">
        <v>3.032E-2</v>
      </c>
      <c r="AV2281" s="624"/>
      <c r="AX2281" s="624">
        <v>41452</v>
      </c>
      <c r="AY2281" s="355">
        <v>3.0499999999999999E-2</v>
      </c>
      <c r="AZ2281" s="624">
        <v>41516</v>
      </c>
      <c r="BA2281" s="355">
        <v>1.1599999999999999E-2</v>
      </c>
      <c r="BB2281" s="624">
        <v>41449</v>
      </c>
      <c r="BC2281" s="355">
        <v>0.30280000000000001</v>
      </c>
      <c r="BD2281" s="624">
        <v>41449</v>
      </c>
      <c r="BE2281" s="355">
        <v>8.6169999999999997E-2</v>
      </c>
      <c r="BF2281" s="624">
        <v>41578</v>
      </c>
      <c r="BG2281" s="355">
        <v>1.6094000000000001E-2</v>
      </c>
      <c r="BH2281" s="624">
        <v>41449</v>
      </c>
      <c r="BI2281" s="355">
        <v>0.100452</v>
      </c>
      <c r="BJ2281" s="624">
        <v>41446</v>
      </c>
      <c r="BK2281" s="355">
        <v>3.2135999999999998E-2</v>
      </c>
    </row>
    <row r="2282" spans="3:63">
      <c r="C2282" s="624"/>
      <c r="D2282" s="355">
        <v>3.0499999999999999E-2</v>
      </c>
      <c r="AV2282" s="624"/>
      <c r="AX2282" s="624">
        <v>41453</v>
      </c>
      <c r="AY2282" s="355">
        <v>3.0460000000000001E-2</v>
      </c>
      <c r="AZ2282" s="624">
        <v>41519</v>
      </c>
      <c r="BA2282" s="355">
        <v>1.15E-2</v>
      </c>
      <c r="BB2282" s="624">
        <v>41450</v>
      </c>
      <c r="BC2282" s="355">
        <v>0.30180000000000001</v>
      </c>
      <c r="BD2282" s="624">
        <v>41450</v>
      </c>
      <c r="BE2282" s="355">
        <v>8.6679999999999993E-2</v>
      </c>
      <c r="BF2282" s="624">
        <v>41579</v>
      </c>
      <c r="BG2282" s="355">
        <v>1.6070999999999998E-2</v>
      </c>
      <c r="BH2282" s="624">
        <v>41450</v>
      </c>
      <c r="BI2282" s="355">
        <v>9.9207000000000004E-2</v>
      </c>
      <c r="BJ2282" s="624">
        <v>41449</v>
      </c>
      <c r="BK2282" s="355">
        <v>3.2177999999999998E-2</v>
      </c>
    </row>
    <row r="2283" spans="3:63">
      <c r="C2283" s="624"/>
      <c r="D2283" s="355">
        <v>3.0460000000000001E-2</v>
      </c>
      <c r="AV2283" s="624"/>
      <c r="AX2283" s="624">
        <v>41456</v>
      </c>
      <c r="AY2283" s="355">
        <v>3.0329999999999999E-2</v>
      </c>
      <c r="AZ2283" s="624">
        <v>41520</v>
      </c>
      <c r="BA2283" s="355">
        <v>1.15E-2</v>
      </c>
      <c r="BB2283" s="624">
        <v>41451</v>
      </c>
      <c r="BC2283" s="355">
        <v>0.29949999999999999</v>
      </c>
      <c r="BD2283" s="624">
        <v>41451</v>
      </c>
      <c r="BE2283" s="355">
        <v>8.6550000000000002E-2</v>
      </c>
      <c r="BF2283" s="624">
        <v>41582</v>
      </c>
      <c r="BG2283" s="355">
        <v>1.6131E-2</v>
      </c>
      <c r="BH2283" s="624">
        <v>41451</v>
      </c>
      <c r="BI2283" s="355">
        <v>0.100756</v>
      </c>
      <c r="BJ2283" s="624">
        <v>41450</v>
      </c>
      <c r="BK2283" s="355">
        <v>3.2303999999999999E-2</v>
      </c>
    </row>
    <row r="2284" spans="3:63">
      <c r="C2284" s="624"/>
      <c r="D2284" s="355">
        <v>3.0329999999999999E-2</v>
      </c>
      <c r="AV2284" s="624"/>
      <c r="AX2284" s="624">
        <v>41457</v>
      </c>
      <c r="AY2284" s="355">
        <v>3.0120000000000001E-2</v>
      </c>
      <c r="AZ2284" s="624">
        <v>41521</v>
      </c>
      <c r="BA2284" s="355">
        <v>1.15E-2</v>
      </c>
      <c r="BB2284" s="624">
        <v>41452</v>
      </c>
      <c r="BC2284" s="355">
        <v>0.3019</v>
      </c>
      <c r="BD2284" s="624">
        <v>41452</v>
      </c>
      <c r="BE2284" s="355">
        <v>8.7239999999999998E-2</v>
      </c>
      <c r="BF2284" s="624">
        <v>41583</v>
      </c>
      <c r="BG2284" s="355">
        <v>1.6077000000000001E-2</v>
      </c>
      <c r="BH2284" s="624">
        <v>41452</v>
      </c>
      <c r="BI2284" s="355">
        <v>0.100756</v>
      </c>
      <c r="BJ2284" s="624">
        <v>41451</v>
      </c>
      <c r="BK2284" s="355">
        <v>3.2143999999999999E-2</v>
      </c>
    </row>
    <row r="2285" spans="3:63">
      <c r="C2285" s="624"/>
      <c r="D2285" s="355">
        <v>3.0120000000000001E-2</v>
      </c>
      <c r="AV2285" s="624"/>
      <c r="AX2285" s="624">
        <v>41458</v>
      </c>
      <c r="AY2285" s="355">
        <v>3.0159999999999999E-2</v>
      </c>
      <c r="AZ2285" s="624">
        <v>41522</v>
      </c>
      <c r="BA2285" s="355">
        <v>1.15E-2</v>
      </c>
      <c r="BB2285" s="624">
        <v>41453</v>
      </c>
      <c r="BC2285" s="355">
        <v>0.30070000000000002</v>
      </c>
      <c r="BD2285" s="624">
        <v>41453</v>
      </c>
      <c r="BE2285" s="355">
        <v>8.7540000000000007E-2</v>
      </c>
      <c r="BF2285" s="624">
        <v>41584</v>
      </c>
      <c r="BG2285" s="355">
        <v>1.6025999999999999E-2</v>
      </c>
      <c r="BH2285" s="624">
        <v>41453</v>
      </c>
      <c r="BI2285" s="355">
        <v>0.100756</v>
      </c>
      <c r="BJ2285" s="624">
        <v>41452</v>
      </c>
      <c r="BK2285" s="355">
        <v>3.2100999999999998E-2</v>
      </c>
    </row>
    <row r="2286" spans="3:63">
      <c r="C2286" s="624"/>
      <c r="D2286" s="355">
        <v>3.0159999999999999E-2</v>
      </c>
      <c r="AV2286" s="624"/>
      <c r="AX2286" s="624">
        <v>41459</v>
      </c>
      <c r="AY2286" s="355">
        <v>3.0110000000000001E-2</v>
      </c>
      <c r="AZ2286" s="624">
        <v>41523</v>
      </c>
      <c r="BA2286" s="355">
        <v>1.15E-2</v>
      </c>
      <c r="BB2286" s="624">
        <v>41456</v>
      </c>
      <c r="BC2286" s="355">
        <v>0.30159999999999998</v>
      </c>
      <c r="BD2286" s="624">
        <v>41456</v>
      </c>
      <c r="BE2286" s="355">
        <v>8.8050000000000003E-2</v>
      </c>
      <c r="BF2286" s="624">
        <v>41585</v>
      </c>
      <c r="BG2286" s="355">
        <v>1.5916E-2</v>
      </c>
      <c r="BH2286" s="624">
        <v>41456</v>
      </c>
      <c r="BI2286" s="355">
        <v>0.100553</v>
      </c>
      <c r="BJ2286" s="624">
        <v>41453</v>
      </c>
      <c r="BK2286" s="355">
        <v>3.2254999999999999E-2</v>
      </c>
    </row>
    <row r="2287" spans="3:63">
      <c r="C2287" s="624"/>
      <c r="D2287" s="355">
        <v>3.0110000000000001E-2</v>
      </c>
      <c r="AV2287" s="624"/>
      <c r="AX2287" s="624">
        <v>41460</v>
      </c>
      <c r="AY2287" s="355">
        <v>2.9989999999999999E-2</v>
      </c>
      <c r="AZ2287" s="624">
        <v>41526</v>
      </c>
      <c r="BA2287" s="355">
        <v>1.15E-2</v>
      </c>
      <c r="BB2287" s="624">
        <v>41457</v>
      </c>
      <c r="BC2287" s="355">
        <v>0.29909999999999998</v>
      </c>
      <c r="BD2287" s="624">
        <v>41457</v>
      </c>
      <c r="BE2287" s="355">
        <v>8.8109999999999994E-2</v>
      </c>
      <c r="BF2287" s="624">
        <v>41586</v>
      </c>
      <c r="BG2287" s="355">
        <v>1.5782000000000001E-2</v>
      </c>
      <c r="BH2287" s="624">
        <v>41457</v>
      </c>
      <c r="BI2287" s="355">
        <v>0.10015</v>
      </c>
      <c r="BJ2287" s="624">
        <v>41456</v>
      </c>
      <c r="BK2287" s="355">
        <v>3.2320000000000002E-2</v>
      </c>
    </row>
    <row r="2288" spans="3:63">
      <c r="C2288" s="624"/>
      <c r="D2288" s="355">
        <v>2.9989999999999999E-2</v>
      </c>
      <c r="AV2288" s="624"/>
      <c r="AX2288" s="624">
        <v>41463</v>
      </c>
      <c r="AY2288" s="355">
        <v>3.014E-2</v>
      </c>
      <c r="AZ2288" s="624">
        <v>41527</v>
      </c>
      <c r="BA2288" s="355">
        <v>1.15E-2</v>
      </c>
      <c r="BB2288" s="624">
        <v>41458</v>
      </c>
      <c r="BC2288" s="355">
        <v>0.30230000000000001</v>
      </c>
      <c r="BD2288" s="624">
        <v>41458</v>
      </c>
      <c r="BE2288" s="355">
        <v>8.7620000000000003E-2</v>
      </c>
      <c r="BF2288" s="624">
        <v>41589</v>
      </c>
      <c r="BG2288" s="355">
        <v>1.5743E-2</v>
      </c>
      <c r="BH2288" s="624">
        <v>41458</v>
      </c>
      <c r="BI2288" s="355">
        <v>0.100429</v>
      </c>
      <c r="BJ2288" s="624">
        <v>41457</v>
      </c>
      <c r="BK2288" s="355">
        <v>3.2288999999999998E-2</v>
      </c>
    </row>
    <row r="2289" spans="3:63">
      <c r="C2289" s="624"/>
      <c r="D2289" s="355">
        <v>3.014E-2</v>
      </c>
      <c r="AV2289" s="624"/>
      <c r="AX2289" s="624">
        <v>41464</v>
      </c>
      <c r="AY2289" s="355">
        <v>3.031E-2</v>
      </c>
      <c r="AZ2289" s="624">
        <v>41528</v>
      </c>
      <c r="BA2289" s="355">
        <v>1.1599999999999999E-2</v>
      </c>
      <c r="BB2289" s="624">
        <v>41459</v>
      </c>
      <c r="BC2289" s="355">
        <v>0.30209999999999998</v>
      </c>
      <c r="BD2289" s="624">
        <v>41459</v>
      </c>
      <c r="BE2289" s="355">
        <v>8.7730000000000002E-2</v>
      </c>
      <c r="BF2289" s="624">
        <v>41590</v>
      </c>
      <c r="BG2289" s="355">
        <v>1.5633000000000001E-2</v>
      </c>
      <c r="BH2289" s="624">
        <v>41459</v>
      </c>
      <c r="BI2289" s="355">
        <v>0.1002</v>
      </c>
      <c r="BJ2289" s="624">
        <v>41458</v>
      </c>
      <c r="BK2289" s="355">
        <v>3.2185999999999999E-2</v>
      </c>
    </row>
    <row r="2290" spans="3:63">
      <c r="C2290" s="624"/>
      <c r="D2290" s="355">
        <v>3.031E-2</v>
      </c>
      <c r="AV2290" s="624"/>
      <c r="AX2290" s="624">
        <v>41465</v>
      </c>
      <c r="AY2290" s="355">
        <v>3.0349999999999999E-2</v>
      </c>
      <c r="AZ2290" s="624">
        <v>41529</v>
      </c>
      <c r="BA2290" s="355">
        <v>1.1599999999999999E-2</v>
      </c>
      <c r="BB2290" s="624">
        <v>41460</v>
      </c>
      <c r="BC2290" s="355">
        <v>0.29820000000000002</v>
      </c>
      <c r="BD2290" s="624">
        <v>41460</v>
      </c>
      <c r="BE2290" s="355">
        <v>8.7540000000000007E-2</v>
      </c>
      <c r="BF2290" s="624">
        <v>41591</v>
      </c>
      <c r="BG2290" s="355">
        <v>1.5809E-2</v>
      </c>
      <c r="BH2290" s="624">
        <v>41460</v>
      </c>
      <c r="BI2290" s="355">
        <v>0.100574</v>
      </c>
      <c r="BJ2290" s="624">
        <v>41459</v>
      </c>
      <c r="BK2290" s="355">
        <v>3.2169999999999997E-2</v>
      </c>
    </row>
    <row r="2291" spans="3:63">
      <c r="C2291" s="624"/>
      <c r="D2291" s="355">
        <v>3.0349999999999999E-2</v>
      </c>
      <c r="AV2291" s="624"/>
      <c r="AX2291" s="624">
        <v>41466</v>
      </c>
      <c r="AY2291" s="355">
        <v>3.0779999999999998E-2</v>
      </c>
      <c r="AZ2291" s="624">
        <v>41530</v>
      </c>
      <c r="BA2291" s="355">
        <v>1.1599999999999999E-2</v>
      </c>
      <c r="BB2291" s="624">
        <v>41463</v>
      </c>
      <c r="BC2291" s="355">
        <v>0.29820000000000002</v>
      </c>
      <c r="BD2291" s="624">
        <v>41463</v>
      </c>
      <c r="BE2291" s="355">
        <v>8.7340000000000001E-2</v>
      </c>
      <c r="BF2291" s="624">
        <v>41592</v>
      </c>
      <c r="BG2291" s="355">
        <v>1.5855000000000001E-2</v>
      </c>
      <c r="BH2291" s="624">
        <v>41463</v>
      </c>
      <c r="BI2291" s="355">
        <v>0.100352</v>
      </c>
      <c r="BJ2291" s="624">
        <v>41460</v>
      </c>
      <c r="BK2291" s="355">
        <v>3.1959000000000001E-2</v>
      </c>
    </row>
    <row r="2292" spans="3:63">
      <c r="C2292" s="624"/>
      <c r="D2292" s="355">
        <v>3.0779999999999998E-2</v>
      </c>
      <c r="AV2292" s="624"/>
      <c r="AX2292" s="624">
        <v>41467</v>
      </c>
      <c r="AY2292" s="355">
        <v>3.0669999999999999E-2</v>
      </c>
      <c r="AZ2292" s="624">
        <v>41533</v>
      </c>
      <c r="BA2292" s="355">
        <v>1.1599999999999999E-2</v>
      </c>
      <c r="BB2292" s="624">
        <v>41464</v>
      </c>
      <c r="BC2292" s="355">
        <v>0.29559999999999997</v>
      </c>
      <c r="BD2292" s="624">
        <v>41464</v>
      </c>
      <c r="BE2292" s="355">
        <v>8.7599999999999997E-2</v>
      </c>
      <c r="BF2292" s="624">
        <v>41593</v>
      </c>
      <c r="BG2292" s="355">
        <v>1.593E-2</v>
      </c>
      <c r="BH2292" s="624">
        <v>41464</v>
      </c>
      <c r="BI2292" s="355">
        <v>0.100422</v>
      </c>
      <c r="BJ2292" s="624">
        <v>41463</v>
      </c>
      <c r="BK2292" s="355">
        <v>3.1836999999999997E-2</v>
      </c>
    </row>
    <row r="2293" spans="3:63">
      <c r="C2293" s="624"/>
      <c r="D2293" s="355">
        <v>3.0669999999999999E-2</v>
      </c>
      <c r="AV2293" s="624"/>
      <c r="AX2293" s="624">
        <v>41470</v>
      </c>
      <c r="AY2293" s="355">
        <v>3.0689999999999999E-2</v>
      </c>
      <c r="AZ2293" s="624">
        <v>41534</v>
      </c>
      <c r="BA2293" s="355">
        <v>1.1599999999999999E-2</v>
      </c>
      <c r="BB2293" s="624">
        <v>41465</v>
      </c>
      <c r="BC2293" s="355">
        <v>0.29899999999999999</v>
      </c>
      <c r="BD2293" s="624">
        <v>41465</v>
      </c>
      <c r="BE2293" s="355">
        <v>8.8190000000000004E-2</v>
      </c>
      <c r="BF2293" s="624">
        <v>41596</v>
      </c>
      <c r="BG2293" s="355">
        <v>1.6081999999999999E-2</v>
      </c>
      <c r="BH2293" s="624">
        <v>41465</v>
      </c>
      <c r="BI2293" s="355">
        <v>0.100151</v>
      </c>
      <c r="BJ2293" s="624">
        <v>41464</v>
      </c>
      <c r="BK2293" s="355">
        <v>3.2015000000000002E-2</v>
      </c>
    </row>
    <row r="2294" spans="3:63">
      <c r="C2294" s="624"/>
      <c r="D2294" s="355">
        <v>3.0689999999999999E-2</v>
      </c>
      <c r="AV2294" s="624"/>
      <c r="AX2294" s="624">
        <v>41471</v>
      </c>
      <c r="AY2294" s="355">
        <v>3.0839999999999999E-2</v>
      </c>
      <c r="AZ2294" s="624">
        <v>41535</v>
      </c>
      <c r="BA2294" s="355">
        <v>1.18E-2</v>
      </c>
      <c r="BB2294" s="624">
        <v>41466</v>
      </c>
      <c r="BC2294" s="355">
        <v>0.3034</v>
      </c>
      <c r="BD2294" s="624">
        <v>41466</v>
      </c>
      <c r="BE2294" s="355">
        <v>8.8849999999999998E-2</v>
      </c>
      <c r="BF2294" s="624">
        <v>41597</v>
      </c>
      <c r="BG2294" s="355">
        <v>1.6055E-2</v>
      </c>
      <c r="BH2294" s="624">
        <v>41466</v>
      </c>
      <c r="BI2294" s="355">
        <v>0.100151</v>
      </c>
      <c r="BJ2294" s="624">
        <v>41465</v>
      </c>
      <c r="BK2294" s="355">
        <v>3.2000000000000001E-2</v>
      </c>
    </row>
    <row r="2295" spans="3:63">
      <c r="C2295" s="624"/>
      <c r="D2295" s="355">
        <v>3.0839999999999999E-2</v>
      </c>
      <c r="AV2295" s="624"/>
      <c r="AX2295" s="624">
        <v>41472</v>
      </c>
      <c r="AY2295" s="355">
        <v>3.0939999999999999E-2</v>
      </c>
      <c r="AZ2295" s="624">
        <v>41536</v>
      </c>
      <c r="BA2295" s="355">
        <v>1.18E-2</v>
      </c>
      <c r="BB2295" s="624">
        <v>41467</v>
      </c>
      <c r="BC2295" s="355">
        <v>0.30399999999999999</v>
      </c>
      <c r="BD2295" s="624">
        <v>41467</v>
      </c>
      <c r="BE2295" s="355">
        <v>8.8940000000000005E-2</v>
      </c>
      <c r="BF2295" s="624">
        <v>41598</v>
      </c>
      <c r="BG2295" s="355">
        <v>1.5980000000000001E-2</v>
      </c>
      <c r="BH2295" s="624">
        <v>41467</v>
      </c>
      <c r="BI2295" s="355">
        <v>0.10021099999999999</v>
      </c>
      <c r="BJ2295" s="624">
        <v>41466</v>
      </c>
      <c r="BK2295" s="355">
        <v>3.2149999999999998E-2</v>
      </c>
    </row>
    <row r="2296" spans="3:63">
      <c r="C2296" s="624"/>
      <c r="D2296" s="355">
        <v>3.0939999999999999E-2</v>
      </c>
      <c r="AV2296" s="624"/>
      <c r="AX2296" s="624">
        <v>41473</v>
      </c>
      <c r="AY2296" s="355">
        <v>3.0779999999999998E-2</v>
      </c>
      <c r="AZ2296" s="624">
        <v>41537</v>
      </c>
      <c r="BA2296" s="355">
        <v>1.18E-2</v>
      </c>
      <c r="BB2296" s="624">
        <v>41470</v>
      </c>
      <c r="BC2296" s="355">
        <v>0.30480000000000002</v>
      </c>
      <c r="BD2296" s="624">
        <v>41470</v>
      </c>
      <c r="BE2296" s="355">
        <v>8.9160000000000003E-2</v>
      </c>
      <c r="BF2296" s="624">
        <v>41599</v>
      </c>
      <c r="BG2296" s="355">
        <v>1.5876999999999999E-2</v>
      </c>
      <c r="BH2296" s="624">
        <v>41470</v>
      </c>
      <c r="BI2296" s="355">
        <v>9.9676000000000001E-2</v>
      </c>
      <c r="BJ2296" s="624">
        <v>41467</v>
      </c>
      <c r="BK2296" s="355">
        <v>3.211E-2</v>
      </c>
    </row>
    <row r="2297" spans="3:63">
      <c r="C2297" s="624"/>
      <c r="D2297" s="355">
        <v>3.0779999999999998E-2</v>
      </c>
      <c r="AV2297" s="624"/>
      <c r="AX2297" s="624">
        <v>41474</v>
      </c>
      <c r="AY2297" s="355">
        <v>3.0890000000000001E-2</v>
      </c>
      <c r="AZ2297" s="624">
        <v>41540</v>
      </c>
      <c r="BA2297" s="355">
        <v>1.18E-2</v>
      </c>
      <c r="BB2297" s="624">
        <v>41471</v>
      </c>
      <c r="BC2297" s="355">
        <v>0.30940000000000001</v>
      </c>
      <c r="BD2297" s="624">
        <v>41471</v>
      </c>
      <c r="BE2297" s="355">
        <v>8.9690000000000006E-2</v>
      </c>
      <c r="BF2297" s="624">
        <v>41600</v>
      </c>
      <c r="BG2297" s="355">
        <v>1.6001000000000001E-2</v>
      </c>
      <c r="BH2297" s="624">
        <v>41471</v>
      </c>
      <c r="BI2297" s="355">
        <v>9.9405999999999994E-2</v>
      </c>
      <c r="BJ2297" s="624">
        <v>41470</v>
      </c>
      <c r="BK2297" s="355">
        <v>3.2134999999999997E-2</v>
      </c>
    </row>
    <row r="2298" spans="3:63">
      <c r="C2298" s="624"/>
      <c r="D2298" s="355">
        <v>3.0890000000000001E-2</v>
      </c>
      <c r="AV2298" s="624"/>
      <c r="AX2298" s="624">
        <v>41477</v>
      </c>
      <c r="AY2298" s="355">
        <v>3.0939999999999999E-2</v>
      </c>
      <c r="AZ2298" s="624">
        <v>41541</v>
      </c>
      <c r="BA2298" s="355">
        <v>1.18E-2</v>
      </c>
      <c r="BB2298" s="624">
        <v>41472</v>
      </c>
      <c r="BC2298" s="355">
        <v>0.30909999999999999</v>
      </c>
      <c r="BD2298" s="624">
        <v>41472</v>
      </c>
      <c r="BE2298" s="355">
        <v>8.9499999999999996E-2</v>
      </c>
      <c r="BF2298" s="624">
        <v>41603</v>
      </c>
      <c r="BG2298" s="355">
        <v>1.5998999999999999E-2</v>
      </c>
      <c r="BH2298" s="624">
        <v>41472</v>
      </c>
      <c r="BI2298" s="355">
        <v>9.9553000000000003E-2</v>
      </c>
      <c r="BJ2298" s="624">
        <v>41471</v>
      </c>
      <c r="BK2298" s="355">
        <v>3.2184999999999998E-2</v>
      </c>
    </row>
    <row r="2299" spans="3:63">
      <c r="C2299" s="624"/>
      <c r="D2299" s="355">
        <v>3.0939999999999999E-2</v>
      </c>
      <c r="AV2299" s="624"/>
      <c r="AX2299" s="624">
        <v>41478</v>
      </c>
      <c r="AY2299" s="355">
        <v>3.0980000000000001E-2</v>
      </c>
      <c r="AZ2299" s="624">
        <v>41542</v>
      </c>
      <c r="BA2299" s="355">
        <v>1.18E-2</v>
      </c>
      <c r="BB2299" s="624">
        <v>41473</v>
      </c>
      <c r="BC2299" s="355">
        <v>0.309</v>
      </c>
      <c r="BD2299" s="624">
        <v>41473</v>
      </c>
      <c r="BE2299" s="355">
        <v>8.8870000000000005E-2</v>
      </c>
      <c r="BF2299" s="624">
        <v>41604</v>
      </c>
      <c r="BG2299" s="355">
        <v>1.5998999999999999E-2</v>
      </c>
      <c r="BH2299" s="624">
        <v>41473</v>
      </c>
      <c r="BI2299" s="355">
        <v>9.9404000000000006E-2</v>
      </c>
      <c r="BJ2299" s="624">
        <v>41472</v>
      </c>
      <c r="BK2299" s="355">
        <v>3.2277E-2</v>
      </c>
    </row>
    <row r="2300" spans="3:63">
      <c r="C2300" s="624"/>
      <c r="D2300" s="355">
        <v>3.0980000000000001E-2</v>
      </c>
      <c r="AV2300" s="624"/>
      <c r="AX2300" s="624">
        <v>41479</v>
      </c>
      <c r="AY2300" s="355">
        <v>3.0800000000000001E-2</v>
      </c>
      <c r="AZ2300" s="624">
        <v>41543</v>
      </c>
      <c r="BA2300" s="355">
        <v>1.18E-2</v>
      </c>
      <c r="BB2300" s="624">
        <v>41474</v>
      </c>
      <c r="BC2300" s="355">
        <v>0.31040000000000001</v>
      </c>
      <c r="BD2300" s="624">
        <v>41474</v>
      </c>
      <c r="BE2300" s="355">
        <v>8.9209999999999998E-2</v>
      </c>
      <c r="BF2300" s="624">
        <v>41605</v>
      </c>
      <c r="BG2300" s="355">
        <v>1.6001999999999999E-2</v>
      </c>
      <c r="BH2300" s="624">
        <v>41474</v>
      </c>
      <c r="BI2300" s="355">
        <v>9.8716999999999999E-2</v>
      </c>
      <c r="BJ2300" s="624">
        <v>41473</v>
      </c>
      <c r="BK2300" s="355">
        <v>3.2229000000000001E-2</v>
      </c>
    </row>
    <row r="2301" spans="3:63">
      <c r="C2301" s="624"/>
      <c r="D2301" s="355">
        <v>3.0800000000000001E-2</v>
      </c>
      <c r="AV2301" s="624"/>
      <c r="AX2301" s="624">
        <v>41480</v>
      </c>
      <c r="AY2301" s="355">
        <v>3.065E-2</v>
      </c>
      <c r="AZ2301" s="624">
        <v>41544</v>
      </c>
      <c r="BA2301" s="355">
        <v>1.18E-2</v>
      </c>
      <c r="BB2301" s="624">
        <v>41477</v>
      </c>
      <c r="BC2301" s="355">
        <v>0.31290000000000001</v>
      </c>
      <c r="BD2301" s="624">
        <v>41477</v>
      </c>
      <c r="BE2301" s="355">
        <v>8.9370000000000005E-2</v>
      </c>
      <c r="BF2301" s="624">
        <v>41606</v>
      </c>
      <c r="BG2301" s="355">
        <v>1.6066E-2</v>
      </c>
      <c r="BH2301" s="624">
        <v>41477</v>
      </c>
      <c r="BI2301" s="355">
        <v>9.9354999999999999E-2</v>
      </c>
      <c r="BJ2301" s="624">
        <v>41474</v>
      </c>
      <c r="BK2301" s="355">
        <v>3.2226999999999999E-2</v>
      </c>
    </row>
    <row r="2302" spans="3:63">
      <c r="C2302" s="624"/>
      <c r="D2302" s="355">
        <v>3.065E-2</v>
      </c>
      <c r="AV2302" s="624"/>
      <c r="AX2302" s="624">
        <v>41481</v>
      </c>
      <c r="AY2302" s="355">
        <v>3.0470000000000001E-2</v>
      </c>
      <c r="AZ2302" s="624">
        <v>41547</v>
      </c>
      <c r="BA2302" s="355">
        <v>1.18E-2</v>
      </c>
      <c r="BB2302" s="624">
        <v>41478</v>
      </c>
      <c r="BC2302" s="355">
        <v>0.31459999999999999</v>
      </c>
      <c r="BD2302" s="624">
        <v>41478</v>
      </c>
      <c r="BE2302" s="355">
        <v>8.9499999999999996E-2</v>
      </c>
      <c r="BF2302" s="624">
        <v>41607</v>
      </c>
      <c r="BG2302" s="355">
        <v>1.6007E-2</v>
      </c>
      <c r="BH2302" s="624">
        <v>41478</v>
      </c>
      <c r="BI2302" s="355">
        <v>9.8091999999999999E-2</v>
      </c>
      <c r="BJ2302" s="624">
        <v>41477</v>
      </c>
      <c r="BK2302" s="355">
        <v>3.2328000000000003E-2</v>
      </c>
    </row>
    <row r="2303" spans="3:63">
      <c r="C2303" s="624"/>
      <c r="D2303" s="355">
        <v>3.0470000000000001E-2</v>
      </c>
      <c r="AV2303" s="624"/>
      <c r="AX2303" s="624">
        <v>41484</v>
      </c>
      <c r="AY2303" s="355">
        <v>3.041E-2</v>
      </c>
      <c r="AZ2303" s="624">
        <v>41548</v>
      </c>
      <c r="BA2303" s="355">
        <v>1.18E-2</v>
      </c>
      <c r="BB2303" s="624">
        <v>41479</v>
      </c>
      <c r="BC2303" s="355">
        <v>0.31209999999999999</v>
      </c>
      <c r="BD2303" s="624">
        <v>41479</v>
      </c>
      <c r="BE2303" s="355">
        <v>8.9599999999999999E-2</v>
      </c>
      <c r="BF2303" s="624">
        <v>41610</v>
      </c>
      <c r="BG2303" s="355">
        <v>1.6048E-2</v>
      </c>
      <c r="BH2303" s="624">
        <v>41479</v>
      </c>
      <c r="BI2303" s="355">
        <v>9.7465999999999997E-2</v>
      </c>
      <c r="BJ2303" s="624">
        <v>41478</v>
      </c>
      <c r="BK2303" s="355">
        <v>3.2332E-2</v>
      </c>
    </row>
    <row r="2304" spans="3:63">
      <c r="C2304" s="624"/>
      <c r="D2304" s="355">
        <v>3.041E-2</v>
      </c>
      <c r="AV2304" s="624"/>
      <c r="AX2304" s="624">
        <v>41485</v>
      </c>
      <c r="AY2304" s="355">
        <v>3.0339999999999999E-2</v>
      </c>
      <c r="AZ2304" s="624">
        <v>41549</v>
      </c>
      <c r="BA2304" s="355">
        <v>1.1900000000000001E-2</v>
      </c>
      <c r="BB2304" s="624">
        <v>41480</v>
      </c>
      <c r="BC2304" s="355">
        <v>0.31380000000000002</v>
      </c>
      <c r="BD2304" s="624">
        <v>41480</v>
      </c>
      <c r="BE2304" s="355">
        <v>8.9580000000000007E-2</v>
      </c>
      <c r="BF2304" s="624">
        <v>41611</v>
      </c>
      <c r="BG2304" s="355">
        <v>1.6025000000000001E-2</v>
      </c>
      <c r="BH2304" s="624">
        <v>41480</v>
      </c>
      <c r="BI2304" s="355">
        <v>9.7391000000000005E-2</v>
      </c>
      <c r="BJ2304" s="624">
        <v>41479</v>
      </c>
      <c r="BK2304" s="355">
        <v>3.2247999999999999E-2</v>
      </c>
    </row>
    <row r="2305" spans="3:63">
      <c r="C2305" s="624"/>
      <c r="D2305" s="355">
        <v>3.0339999999999999E-2</v>
      </c>
      <c r="AV2305" s="624"/>
      <c r="AX2305" s="624">
        <v>41486</v>
      </c>
      <c r="AY2305" s="355">
        <v>3.0339999999999999E-2</v>
      </c>
      <c r="AZ2305" s="624">
        <v>41550</v>
      </c>
      <c r="BA2305" s="355">
        <v>1.1900000000000001E-2</v>
      </c>
      <c r="BB2305" s="624">
        <v>41481</v>
      </c>
      <c r="BC2305" s="355">
        <v>0.31369999999999998</v>
      </c>
      <c r="BD2305" s="624">
        <v>41481</v>
      </c>
      <c r="BE2305" s="355">
        <v>8.9959999999999998E-2</v>
      </c>
      <c r="BF2305" s="624">
        <v>41612</v>
      </c>
      <c r="BG2305" s="355">
        <v>1.6209999999999999E-2</v>
      </c>
      <c r="BH2305" s="624">
        <v>41481</v>
      </c>
      <c r="BI2305" s="355">
        <v>9.7514000000000003E-2</v>
      </c>
      <c r="BJ2305" s="624">
        <v>41480</v>
      </c>
      <c r="BK2305" s="355">
        <v>3.2226999999999999E-2</v>
      </c>
    </row>
    <row r="2306" spans="3:63">
      <c r="C2306" s="624"/>
      <c r="D2306" s="355">
        <v>3.0339999999999999E-2</v>
      </c>
      <c r="AV2306" s="624"/>
      <c r="AX2306" s="624">
        <v>41487</v>
      </c>
      <c r="AY2306" s="355">
        <v>3.0200000000000001E-2</v>
      </c>
      <c r="AZ2306" s="624">
        <v>41551</v>
      </c>
      <c r="BA2306" s="355">
        <v>1.18E-2</v>
      </c>
      <c r="BB2306" s="624">
        <v>41484</v>
      </c>
      <c r="BC2306" s="355">
        <v>0.31559999999999999</v>
      </c>
      <c r="BD2306" s="624">
        <v>41484</v>
      </c>
      <c r="BE2306" s="355">
        <v>8.9889999999999998E-2</v>
      </c>
      <c r="BF2306" s="624">
        <v>41613</v>
      </c>
      <c r="BG2306" s="355">
        <v>1.6230000000000001E-2</v>
      </c>
      <c r="BH2306" s="624">
        <v>41484</v>
      </c>
      <c r="BI2306" s="355">
        <v>9.7134999999999999E-2</v>
      </c>
      <c r="BJ2306" s="624">
        <v>41481</v>
      </c>
      <c r="BK2306" s="355">
        <v>3.2113000000000003E-2</v>
      </c>
    </row>
    <row r="2307" spans="3:63">
      <c r="C2307" s="624"/>
      <c r="D2307" s="355">
        <v>3.0200000000000001E-2</v>
      </c>
      <c r="AV2307" s="624"/>
      <c r="AX2307" s="624">
        <v>41488</v>
      </c>
      <c r="AY2307" s="355">
        <v>3.0450000000000001E-2</v>
      </c>
      <c r="AZ2307" s="624">
        <v>41554</v>
      </c>
      <c r="BA2307" s="355">
        <v>1.1900000000000001E-2</v>
      </c>
      <c r="BB2307" s="624">
        <v>41485</v>
      </c>
      <c r="BC2307" s="355">
        <v>0.3135</v>
      </c>
      <c r="BD2307" s="624">
        <v>41485</v>
      </c>
      <c r="BE2307" s="355">
        <v>8.9569999999999997E-2</v>
      </c>
      <c r="BF2307" s="624">
        <v>41614</v>
      </c>
      <c r="BG2307" s="355">
        <v>1.6351999999999998E-2</v>
      </c>
      <c r="BH2307" s="624">
        <v>41485</v>
      </c>
      <c r="BI2307" s="355">
        <v>9.6922999999999995E-2</v>
      </c>
      <c r="BJ2307" s="624">
        <v>41484</v>
      </c>
      <c r="BK2307" s="355">
        <v>3.2084000000000001E-2</v>
      </c>
    </row>
    <row r="2308" spans="3:63">
      <c r="C2308" s="624"/>
      <c r="D2308" s="355">
        <v>3.0450000000000001E-2</v>
      </c>
      <c r="AV2308" s="624"/>
      <c r="AX2308" s="624">
        <v>41491</v>
      </c>
      <c r="AY2308" s="355">
        <v>3.0380000000000001E-2</v>
      </c>
      <c r="AZ2308" s="624">
        <v>41555</v>
      </c>
      <c r="BA2308" s="355">
        <v>1.1900000000000001E-2</v>
      </c>
      <c r="BB2308" s="624">
        <v>41486</v>
      </c>
      <c r="BC2308" s="355">
        <v>0.31290000000000001</v>
      </c>
      <c r="BD2308" s="624">
        <v>41486</v>
      </c>
      <c r="BE2308" s="355">
        <v>8.9080000000000006E-2</v>
      </c>
      <c r="BF2308" s="624">
        <v>41617</v>
      </c>
      <c r="BG2308" s="355">
        <v>1.6433E-2</v>
      </c>
      <c r="BH2308" s="624">
        <v>41486</v>
      </c>
      <c r="BI2308" s="355">
        <v>9.7295999999999994E-2</v>
      </c>
      <c r="BJ2308" s="624">
        <v>41485</v>
      </c>
      <c r="BK2308" s="355">
        <v>3.1988999999999997E-2</v>
      </c>
    </row>
    <row r="2309" spans="3:63">
      <c r="C2309" s="624"/>
      <c r="D2309" s="355">
        <v>3.0380000000000001E-2</v>
      </c>
      <c r="AV2309" s="624"/>
      <c r="AX2309" s="624">
        <v>41492</v>
      </c>
      <c r="AY2309" s="355">
        <v>3.032E-2</v>
      </c>
      <c r="AZ2309" s="624">
        <v>41556</v>
      </c>
      <c r="BA2309" s="355">
        <v>1.1900000000000001E-2</v>
      </c>
      <c r="BB2309" s="624">
        <v>41487</v>
      </c>
      <c r="BC2309" s="355">
        <v>0.30980000000000002</v>
      </c>
      <c r="BD2309" s="624">
        <v>41487</v>
      </c>
      <c r="BE2309" s="355">
        <v>8.9010000000000006E-2</v>
      </c>
      <c r="BF2309" s="624">
        <v>41618</v>
      </c>
      <c r="BG2309" s="355">
        <v>1.6367E-2</v>
      </c>
      <c r="BH2309" s="624">
        <v>41487</v>
      </c>
      <c r="BI2309" s="355">
        <v>9.7382999999999997E-2</v>
      </c>
      <c r="BJ2309" s="624">
        <v>41486</v>
      </c>
      <c r="BK2309" s="355">
        <v>3.1995000000000003E-2</v>
      </c>
    </row>
    <row r="2310" spans="3:63">
      <c r="C2310" s="624"/>
      <c r="D2310" s="355">
        <v>3.032E-2</v>
      </c>
      <c r="AV2310" s="624"/>
      <c r="AX2310" s="624">
        <v>41493</v>
      </c>
      <c r="AY2310" s="355">
        <v>3.0339999999999999E-2</v>
      </c>
      <c r="AZ2310" s="624">
        <v>41557</v>
      </c>
      <c r="BA2310" s="355">
        <v>1.1900000000000001E-2</v>
      </c>
      <c r="BB2310" s="624">
        <v>41488</v>
      </c>
      <c r="BC2310" s="355">
        <v>0.31369999999999998</v>
      </c>
      <c r="BD2310" s="624">
        <v>41488</v>
      </c>
      <c r="BE2310" s="355">
        <v>8.931E-2</v>
      </c>
      <c r="BF2310" s="624">
        <v>41619</v>
      </c>
      <c r="BG2310" s="355">
        <v>1.6324999999999999E-2</v>
      </c>
      <c r="BH2310" s="624">
        <v>41488</v>
      </c>
      <c r="BI2310" s="355">
        <v>9.7229999999999997E-2</v>
      </c>
      <c r="BJ2310" s="624">
        <v>41487</v>
      </c>
      <c r="BK2310" s="355">
        <v>3.1958E-2</v>
      </c>
    </row>
    <row r="2311" spans="3:63">
      <c r="C2311" s="624"/>
      <c r="D2311" s="355">
        <v>3.0339999999999999E-2</v>
      </c>
      <c r="AV2311" s="624"/>
      <c r="AX2311" s="624">
        <v>41494</v>
      </c>
      <c r="AY2311" s="355">
        <v>3.0429999999999999E-2</v>
      </c>
      <c r="AZ2311" s="624">
        <v>41558</v>
      </c>
      <c r="BA2311" s="355">
        <v>1.1900000000000001E-2</v>
      </c>
      <c r="BB2311" s="624">
        <v>41491</v>
      </c>
      <c r="BC2311" s="355">
        <v>0.31469999999999998</v>
      </c>
      <c r="BD2311" s="624">
        <v>41491</v>
      </c>
      <c r="BE2311" s="355">
        <v>8.9620000000000005E-2</v>
      </c>
      <c r="BF2311" s="624">
        <v>41620</v>
      </c>
      <c r="BG2311" s="355">
        <v>1.6081000000000002E-2</v>
      </c>
      <c r="BH2311" s="624">
        <v>41491</v>
      </c>
      <c r="BI2311" s="355">
        <v>9.7370999999999999E-2</v>
      </c>
      <c r="BJ2311" s="624">
        <v>41488</v>
      </c>
      <c r="BK2311" s="355">
        <v>3.1995999999999997E-2</v>
      </c>
    </row>
    <row r="2312" spans="3:63">
      <c r="C2312" s="624"/>
      <c r="D2312" s="355">
        <v>3.0429999999999999E-2</v>
      </c>
      <c r="AV2312" s="624"/>
      <c r="AX2312" s="624">
        <v>41495</v>
      </c>
      <c r="AY2312" s="355">
        <v>3.0419999999999999E-2</v>
      </c>
      <c r="AZ2312" s="624">
        <v>41561</v>
      </c>
      <c r="BA2312" s="355">
        <v>1.1900000000000001E-2</v>
      </c>
      <c r="BB2312" s="624">
        <v>41492</v>
      </c>
      <c r="BC2312" s="355">
        <v>0.31630000000000003</v>
      </c>
      <c r="BD2312" s="624">
        <v>41492</v>
      </c>
      <c r="BE2312" s="355">
        <v>8.9760000000000006E-2</v>
      </c>
      <c r="BF2312" s="624">
        <v>41621</v>
      </c>
      <c r="BG2312" s="355">
        <v>1.6095000000000002E-2</v>
      </c>
      <c r="BH2312" s="624">
        <v>41492</v>
      </c>
      <c r="BI2312" s="355">
        <v>9.7323999999999994E-2</v>
      </c>
      <c r="BJ2312" s="624">
        <v>41491</v>
      </c>
      <c r="BK2312" s="355">
        <v>3.1868E-2</v>
      </c>
    </row>
    <row r="2313" spans="3:63">
      <c r="C2313" s="624"/>
      <c r="D2313" s="355">
        <v>3.0419999999999999E-2</v>
      </c>
      <c r="AV2313" s="624"/>
      <c r="AX2313" s="624">
        <v>41498</v>
      </c>
      <c r="AY2313" s="355">
        <v>3.031E-2</v>
      </c>
      <c r="AZ2313" s="624">
        <v>41562</v>
      </c>
      <c r="BA2313" s="355">
        <v>1.1900000000000001E-2</v>
      </c>
      <c r="BB2313" s="624">
        <v>41493</v>
      </c>
      <c r="BC2313" s="355">
        <v>0.31669999999999998</v>
      </c>
      <c r="BD2313" s="624">
        <v>41493</v>
      </c>
      <c r="BE2313" s="355">
        <v>8.967E-2</v>
      </c>
      <c r="BF2313" s="624">
        <v>41624</v>
      </c>
      <c r="BG2313" s="355">
        <v>1.6199999999999999E-2</v>
      </c>
      <c r="BH2313" s="624">
        <v>41493</v>
      </c>
      <c r="BI2313" s="355">
        <v>9.7158999999999995E-2</v>
      </c>
      <c r="BJ2313" s="624">
        <v>41492</v>
      </c>
      <c r="BK2313" s="355">
        <v>3.1843999999999997E-2</v>
      </c>
    </row>
    <row r="2314" spans="3:63">
      <c r="C2314" s="624"/>
      <c r="D2314" s="355">
        <v>3.031E-2</v>
      </c>
      <c r="AV2314" s="624"/>
      <c r="AX2314" s="624">
        <v>41499</v>
      </c>
      <c r="AY2314" s="355">
        <v>3.024E-2</v>
      </c>
      <c r="AZ2314" s="624">
        <v>41563</v>
      </c>
      <c r="BA2314" s="355">
        <v>1.1900000000000001E-2</v>
      </c>
      <c r="BB2314" s="624">
        <v>41494</v>
      </c>
      <c r="BC2314" s="355">
        <v>0.31919999999999998</v>
      </c>
      <c r="BD2314" s="624">
        <v>41494</v>
      </c>
      <c r="BE2314" s="355">
        <v>9.0230000000000005E-2</v>
      </c>
      <c r="BF2314" s="624">
        <v>41625</v>
      </c>
      <c r="BG2314" s="355">
        <v>1.6188000000000001E-2</v>
      </c>
      <c r="BH2314" s="624">
        <v>41494</v>
      </c>
      <c r="BI2314" s="355">
        <v>9.7323999999999994E-2</v>
      </c>
      <c r="BJ2314" s="624">
        <v>41493</v>
      </c>
      <c r="BK2314" s="355">
        <v>3.1865999999999998E-2</v>
      </c>
    </row>
    <row r="2315" spans="3:63">
      <c r="C2315" s="624"/>
      <c r="D2315" s="355">
        <v>3.024E-2</v>
      </c>
      <c r="AV2315" s="624"/>
      <c r="AX2315" s="624">
        <v>41500</v>
      </c>
      <c r="AY2315" s="355">
        <v>3.023E-2</v>
      </c>
      <c r="AZ2315" s="624">
        <v>41564</v>
      </c>
      <c r="BA2315" s="355">
        <v>1.2E-2</v>
      </c>
      <c r="BB2315" s="624">
        <v>41495</v>
      </c>
      <c r="BC2315" s="355">
        <v>0.31869999999999998</v>
      </c>
      <c r="BD2315" s="624">
        <v>41495</v>
      </c>
      <c r="BE2315" s="355">
        <v>8.9950000000000002E-2</v>
      </c>
      <c r="BF2315" s="624">
        <v>41626</v>
      </c>
      <c r="BG2315" s="355">
        <v>1.6115000000000001E-2</v>
      </c>
      <c r="BH2315" s="624">
        <v>41495</v>
      </c>
      <c r="BI2315" s="355">
        <v>9.7305000000000003E-2</v>
      </c>
      <c r="BJ2315" s="624">
        <v>41494</v>
      </c>
      <c r="BK2315" s="355">
        <v>3.2065000000000003E-2</v>
      </c>
    </row>
    <row r="2316" spans="3:63">
      <c r="C2316" s="624"/>
      <c r="D2316" s="355">
        <v>3.023E-2</v>
      </c>
      <c r="AV2316" s="624"/>
      <c r="AX2316" s="624">
        <v>41501</v>
      </c>
      <c r="AY2316" s="355">
        <v>3.04E-2</v>
      </c>
      <c r="AZ2316" s="624">
        <v>41565</v>
      </c>
      <c r="BA2316" s="355">
        <v>1.2E-2</v>
      </c>
      <c r="BB2316" s="624">
        <v>41498</v>
      </c>
      <c r="BC2316" s="355">
        <v>0.31709999999999999</v>
      </c>
      <c r="BD2316" s="624">
        <v>41498</v>
      </c>
      <c r="BE2316" s="355">
        <v>8.9730000000000004E-2</v>
      </c>
      <c r="BF2316" s="624">
        <v>41627</v>
      </c>
      <c r="BG2316" s="355">
        <v>1.6008000000000001E-2</v>
      </c>
      <c r="BH2316" s="624">
        <v>41498</v>
      </c>
      <c r="BI2316" s="355">
        <v>9.7146999999999997E-2</v>
      </c>
      <c r="BJ2316" s="624">
        <v>41495</v>
      </c>
      <c r="BK2316" s="355">
        <v>3.2021000000000001E-2</v>
      </c>
    </row>
    <row r="2317" spans="3:63">
      <c r="C2317" s="624"/>
      <c r="D2317" s="355">
        <v>3.04E-2</v>
      </c>
      <c r="AV2317" s="624"/>
      <c r="AX2317" s="624">
        <v>41502</v>
      </c>
      <c r="AY2317" s="355">
        <v>3.0300000000000001E-2</v>
      </c>
      <c r="AZ2317" s="624">
        <v>41568</v>
      </c>
      <c r="BA2317" s="355">
        <v>1.2E-2</v>
      </c>
      <c r="BB2317" s="624">
        <v>41499</v>
      </c>
      <c r="BC2317" s="355">
        <v>0.31609999999999999</v>
      </c>
      <c r="BD2317" s="624">
        <v>41499</v>
      </c>
      <c r="BE2317" s="355">
        <v>8.9359999999999995E-2</v>
      </c>
      <c r="BF2317" s="624">
        <v>41628</v>
      </c>
      <c r="BG2317" s="355">
        <v>1.6125E-2</v>
      </c>
      <c r="BH2317" s="624">
        <v>41499</v>
      </c>
      <c r="BI2317" s="355">
        <v>9.7182000000000004E-2</v>
      </c>
      <c r="BJ2317" s="624">
        <v>41498</v>
      </c>
      <c r="BK2317" s="355">
        <v>3.1988000000000003E-2</v>
      </c>
    </row>
    <row r="2318" spans="3:63">
      <c r="C2318" s="624"/>
      <c r="D2318" s="355">
        <v>3.0300000000000001E-2</v>
      </c>
      <c r="AV2318" s="624"/>
      <c r="AX2318" s="624">
        <v>41505</v>
      </c>
      <c r="AY2318" s="355">
        <v>3.032E-2</v>
      </c>
      <c r="AZ2318" s="624">
        <v>41569</v>
      </c>
      <c r="BA2318" s="355">
        <v>1.21E-2</v>
      </c>
      <c r="BB2318" s="624">
        <v>41500</v>
      </c>
      <c r="BC2318" s="355">
        <v>0.31509999999999999</v>
      </c>
      <c r="BD2318" s="624">
        <v>41500</v>
      </c>
      <c r="BE2318" s="355">
        <v>8.9399999999999993E-2</v>
      </c>
      <c r="BF2318" s="624">
        <v>41631</v>
      </c>
      <c r="BG2318" s="355">
        <v>1.6187E-2</v>
      </c>
      <c r="BH2318" s="624">
        <v>41500</v>
      </c>
      <c r="BI2318" s="355">
        <v>9.6970000000000001E-2</v>
      </c>
      <c r="BJ2318" s="624">
        <v>41499</v>
      </c>
      <c r="BK2318" s="355">
        <v>3.1986000000000001E-2</v>
      </c>
    </row>
    <row r="2319" spans="3:63">
      <c r="C2319" s="624"/>
      <c r="D2319" s="355">
        <v>3.032E-2</v>
      </c>
      <c r="AV2319" s="624"/>
      <c r="AX2319" s="624">
        <v>41506</v>
      </c>
      <c r="AY2319" s="355">
        <v>3.0360000000000002E-2</v>
      </c>
      <c r="AZ2319" s="624">
        <v>41570</v>
      </c>
      <c r="BA2319" s="355">
        <v>1.2E-2</v>
      </c>
      <c r="BB2319" s="624">
        <v>41501</v>
      </c>
      <c r="BC2319" s="355">
        <v>0.31590000000000001</v>
      </c>
      <c r="BD2319" s="624">
        <v>41501</v>
      </c>
      <c r="BE2319" s="355">
        <v>8.9469999999999994E-2</v>
      </c>
      <c r="BF2319" s="624">
        <v>41632</v>
      </c>
      <c r="BG2319" s="355">
        <v>1.6174999999999998E-2</v>
      </c>
      <c r="BH2319" s="624">
        <v>41501</v>
      </c>
      <c r="BI2319" s="355">
        <v>9.6130999999999994E-2</v>
      </c>
      <c r="BJ2319" s="624">
        <v>41500</v>
      </c>
      <c r="BK2319" s="355">
        <v>3.2006E-2</v>
      </c>
    </row>
    <row r="2320" spans="3:63">
      <c r="C2320" s="624"/>
      <c r="D2320" s="355">
        <v>3.0360000000000002E-2</v>
      </c>
      <c r="AV2320" s="624"/>
      <c r="AX2320" s="624">
        <v>41507</v>
      </c>
      <c r="AY2320" s="355">
        <v>3.0159999999999999E-2</v>
      </c>
      <c r="AZ2320" s="624">
        <v>41571</v>
      </c>
      <c r="BA2320" s="355">
        <v>1.21E-2</v>
      </c>
      <c r="BB2320" s="624">
        <v>41502</v>
      </c>
      <c r="BC2320" s="355">
        <v>0.31490000000000001</v>
      </c>
      <c r="BD2320" s="624">
        <v>41502</v>
      </c>
      <c r="BE2320" s="355">
        <v>8.9810000000000001E-2</v>
      </c>
      <c r="BF2320" s="624">
        <v>41634</v>
      </c>
      <c r="BG2320" s="355">
        <v>1.6152E-2</v>
      </c>
      <c r="BH2320" s="624">
        <v>41502</v>
      </c>
      <c r="BI2320" s="355">
        <v>9.6293000000000004E-2</v>
      </c>
      <c r="BJ2320" s="624">
        <v>41501</v>
      </c>
      <c r="BK2320" s="355">
        <v>3.1988000000000003E-2</v>
      </c>
    </row>
    <row r="2321" spans="3:63">
      <c r="C2321" s="624"/>
      <c r="D2321" s="355">
        <v>3.0159999999999999E-2</v>
      </c>
      <c r="AV2321" s="624"/>
      <c r="AX2321" s="624">
        <v>41508</v>
      </c>
      <c r="AY2321" s="355">
        <v>3.0269999999999998E-2</v>
      </c>
      <c r="AZ2321" s="624">
        <v>41572</v>
      </c>
      <c r="BA2321" s="355">
        <v>1.21E-2</v>
      </c>
      <c r="BB2321" s="624">
        <v>41505</v>
      </c>
      <c r="BC2321" s="355">
        <v>0.31359999999999999</v>
      </c>
      <c r="BD2321" s="624">
        <v>41505</v>
      </c>
      <c r="BE2321" s="355">
        <v>8.9359999999999995E-2</v>
      </c>
      <c r="BF2321" s="624">
        <v>41635</v>
      </c>
      <c r="BG2321" s="355">
        <v>1.6139000000000001E-2</v>
      </c>
      <c r="BH2321" s="624">
        <v>41505</v>
      </c>
      <c r="BI2321" s="355">
        <v>9.4450999999999993E-2</v>
      </c>
      <c r="BJ2321" s="624">
        <v>41502</v>
      </c>
      <c r="BK2321" s="355">
        <v>3.1963999999999999E-2</v>
      </c>
    </row>
    <row r="2322" spans="3:63">
      <c r="C2322" s="624"/>
      <c r="D2322" s="355">
        <v>3.0269999999999998E-2</v>
      </c>
      <c r="AV2322" s="624"/>
      <c r="AX2322" s="624">
        <v>41509</v>
      </c>
      <c r="AY2322" s="355">
        <v>3.031E-2</v>
      </c>
      <c r="AZ2322" s="624">
        <v>41575</v>
      </c>
      <c r="BA2322" s="355">
        <v>1.21E-2</v>
      </c>
      <c r="BB2322" s="624">
        <v>41506</v>
      </c>
      <c r="BC2322" s="355">
        <v>0.31709999999999999</v>
      </c>
      <c r="BD2322" s="624">
        <v>41506</v>
      </c>
      <c r="BE2322" s="355">
        <v>8.9209999999999998E-2</v>
      </c>
      <c r="BF2322" s="624">
        <v>41638</v>
      </c>
      <c r="BG2322" s="355">
        <v>1.6152E-2</v>
      </c>
      <c r="BH2322" s="624">
        <v>41506</v>
      </c>
      <c r="BI2322" s="355">
        <v>9.3045000000000003E-2</v>
      </c>
      <c r="BJ2322" s="624">
        <v>41505</v>
      </c>
      <c r="BK2322" s="355">
        <v>3.1820000000000001E-2</v>
      </c>
    </row>
    <row r="2323" spans="3:63">
      <c r="C2323" s="624"/>
      <c r="D2323" s="355">
        <v>3.031E-2</v>
      </c>
      <c r="AV2323" s="624"/>
      <c r="AX2323" s="624">
        <v>41512</v>
      </c>
      <c r="AY2323" s="355">
        <v>3.0190000000000002E-2</v>
      </c>
      <c r="AZ2323" s="624">
        <v>41576</v>
      </c>
      <c r="BA2323" s="355">
        <v>1.21E-2</v>
      </c>
      <c r="BB2323" s="624">
        <v>41507</v>
      </c>
      <c r="BC2323" s="355">
        <v>0.31409999999999999</v>
      </c>
      <c r="BD2323" s="624">
        <v>41507</v>
      </c>
      <c r="BE2323" s="355">
        <v>8.9319999999999997E-2</v>
      </c>
      <c r="BF2323" s="624">
        <v>41639</v>
      </c>
      <c r="BG2323" s="355">
        <v>1.6164999999999999E-2</v>
      </c>
      <c r="BH2323" s="624">
        <v>41507</v>
      </c>
      <c r="BI2323" s="355">
        <v>9.1345999999999997E-2</v>
      </c>
      <c r="BJ2323" s="624">
        <v>41506</v>
      </c>
      <c r="BK2323" s="355">
        <v>3.1607000000000003E-2</v>
      </c>
    </row>
    <row r="2324" spans="3:63">
      <c r="C2324" s="624"/>
      <c r="D2324" s="355">
        <v>3.0190000000000002E-2</v>
      </c>
      <c r="AV2324" s="624"/>
      <c r="AX2324" s="624">
        <v>41513</v>
      </c>
      <c r="AY2324" s="355">
        <v>3.0159999999999999E-2</v>
      </c>
      <c r="AZ2324" s="624">
        <v>41577</v>
      </c>
      <c r="BA2324" s="355">
        <v>1.21E-2</v>
      </c>
      <c r="BB2324" s="624">
        <v>41508</v>
      </c>
      <c r="BC2324" s="355">
        <v>0.31440000000000001</v>
      </c>
      <c r="BD2324" s="624">
        <v>41508</v>
      </c>
      <c r="BE2324" s="355">
        <v>8.9270000000000002E-2</v>
      </c>
      <c r="BF2324" s="624">
        <v>41640</v>
      </c>
      <c r="BG2324" s="355">
        <v>1.6157999999999999E-2</v>
      </c>
      <c r="BH2324" s="624">
        <v>41508</v>
      </c>
      <c r="BI2324" s="355">
        <v>9.0764999999999998E-2</v>
      </c>
      <c r="BJ2324" s="624">
        <v>41507</v>
      </c>
      <c r="BK2324" s="355">
        <v>3.134E-2</v>
      </c>
    </row>
    <row r="2325" spans="3:63">
      <c r="C2325" s="624"/>
      <c r="D2325" s="355">
        <v>3.0159999999999999E-2</v>
      </c>
      <c r="AV2325" s="624"/>
      <c r="AX2325" s="624">
        <v>41514</v>
      </c>
      <c r="AY2325" s="355">
        <v>3.014E-2</v>
      </c>
      <c r="AZ2325" s="624">
        <v>41578</v>
      </c>
      <c r="BA2325" s="355">
        <v>1.1900000000000001E-2</v>
      </c>
      <c r="BB2325" s="624">
        <v>41509</v>
      </c>
      <c r="BC2325" s="355">
        <v>0.31680000000000003</v>
      </c>
      <c r="BD2325" s="624">
        <v>41509</v>
      </c>
      <c r="BE2325" s="355">
        <v>8.9779999999999999E-2</v>
      </c>
      <c r="BF2325" s="624">
        <v>41641</v>
      </c>
      <c r="BG2325" s="355">
        <v>1.6046000000000001E-2</v>
      </c>
      <c r="BH2325" s="624">
        <v>41509</v>
      </c>
      <c r="BI2325" s="355">
        <v>9.2763999999999999E-2</v>
      </c>
      <c r="BJ2325" s="624">
        <v>41508</v>
      </c>
      <c r="BK2325" s="355">
        <v>3.1208E-2</v>
      </c>
    </row>
    <row r="2326" spans="3:63">
      <c r="C2326" s="624"/>
      <c r="D2326" s="355">
        <v>3.014E-2</v>
      </c>
      <c r="AV2326" s="624"/>
      <c r="AX2326" s="624">
        <v>41515</v>
      </c>
      <c r="AY2326" s="355">
        <v>3.007E-2</v>
      </c>
      <c r="AZ2326" s="624">
        <v>41579</v>
      </c>
      <c r="BA2326" s="355">
        <v>1.18E-2</v>
      </c>
      <c r="BB2326" s="624">
        <v>41512</v>
      </c>
      <c r="BC2326" s="355">
        <v>0.31569999999999998</v>
      </c>
      <c r="BD2326" s="624">
        <v>41512</v>
      </c>
      <c r="BE2326" s="355">
        <v>8.9840000000000003E-2</v>
      </c>
      <c r="BF2326" s="624">
        <v>41642</v>
      </c>
      <c r="BG2326" s="355">
        <v>1.6056000000000001E-2</v>
      </c>
      <c r="BH2326" s="624">
        <v>41512</v>
      </c>
      <c r="BI2326" s="355">
        <v>8.9626999999999998E-2</v>
      </c>
      <c r="BJ2326" s="624">
        <v>41509</v>
      </c>
      <c r="BK2326" s="355">
        <v>3.1384000000000002E-2</v>
      </c>
    </row>
    <row r="2327" spans="3:63">
      <c r="C2327" s="624"/>
      <c r="D2327" s="355">
        <v>3.007E-2</v>
      </c>
      <c r="AV2327" s="624"/>
      <c r="AX2327" s="624">
        <v>41516</v>
      </c>
      <c r="AY2327" s="355">
        <v>3.0020000000000002E-2</v>
      </c>
      <c r="AZ2327" s="624">
        <v>41582</v>
      </c>
      <c r="BA2327" s="355">
        <v>1.18E-2</v>
      </c>
      <c r="BB2327" s="624">
        <v>41513</v>
      </c>
      <c r="BC2327" s="355">
        <v>0.31509999999999999</v>
      </c>
      <c r="BD2327" s="624">
        <v>41513</v>
      </c>
      <c r="BE2327" s="355">
        <v>8.9480000000000004E-2</v>
      </c>
      <c r="BF2327" s="624">
        <v>41645</v>
      </c>
      <c r="BG2327" s="355">
        <v>1.6048E-2</v>
      </c>
      <c r="BH2327" s="624">
        <v>41513</v>
      </c>
      <c r="BI2327" s="355">
        <v>8.8049000000000002E-2</v>
      </c>
      <c r="BJ2327" s="624">
        <v>41512</v>
      </c>
      <c r="BK2327" s="355">
        <v>3.1264E-2</v>
      </c>
    </row>
    <row r="2328" spans="3:63">
      <c r="C2328" s="624"/>
      <c r="D2328" s="355">
        <v>3.0020000000000002E-2</v>
      </c>
      <c r="AV2328" s="624"/>
      <c r="AX2328" s="624">
        <v>41519</v>
      </c>
      <c r="AY2328" s="355">
        <v>2.9950000000000001E-2</v>
      </c>
      <c r="AZ2328" s="624">
        <v>41583</v>
      </c>
      <c r="BA2328" s="355">
        <v>1.18E-2</v>
      </c>
      <c r="BB2328" s="624">
        <v>41514</v>
      </c>
      <c r="BC2328" s="355">
        <v>0.31109999999999999</v>
      </c>
      <c r="BD2328" s="624">
        <v>41514</v>
      </c>
      <c r="BE2328" s="355">
        <v>8.9649999999999994E-2</v>
      </c>
      <c r="BF2328" s="624">
        <v>41646</v>
      </c>
      <c r="BG2328" s="355">
        <v>1.6102000000000002E-2</v>
      </c>
      <c r="BH2328" s="624">
        <v>41514</v>
      </c>
      <c r="BI2328" s="355">
        <v>8.9566000000000007E-2</v>
      </c>
      <c r="BJ2328" s="624">
        <v>41513</v>
      </c>
      <c r="BK2328" s="355">
        <v>3.1091000000000001E-2</v>
      </c>
    </row>
    <row r="2329" spans="3:63">
      <c r="C2329" s="624"/>
      <c r="D2329" s="355">
        <v>2.9950000000000001E-2</v>
      </c>
      <c r="AV2329" s="624"/>
      <c r="AX2329" s="624">
        <v>41520</v>
      </c>
      <c r="AY2329" s="355">
        <v>2.9870000000000001E-2</v>
      </c>
      <c r="AZ2329" s="624">
        <v>41584</v>
      </c>
      <c r="BA2329" s="355">
        <v>1.1900000000000001E-2</v>
      </c>
      <c r="BB2329" s="624">
        <v>41515</v>
      </c>
      <c r="BC2329" s="355">
        <v>0.30890000000000001</v>
      </c>
      <c r="BD2329" s="624">
        <v>41515</v>
      </c>
      <c r="BE2329" s="355">
        <v>8.9870000000000005E-2</v>
      </c>
      <c r="BF2329" s="624">
        <v>41647</v>
      </c>
      <c r="BG2329" s="355">
        <v>1.6098000000000001E-2</v>
      </c>
      <c r="BH2329" s="624">
        <v>41515</v>
      </c>
      <c r="BI2329" s="355">
        <v>8.9228000000000002E-2</v>
      </c>
      <c r="BJ2329" s="624">
        <v>41514</v>
      </c>
      <c r="BK2329" s="355">
        <v>3.1087E-2</v>
      </c>
    </row>
    <row r="2330" spans="3:63">
      <c r="C2330" s="624"/>
      <c r="D2330" s="355">
        <v>2.9870000000000001E-2</v>
      </c>
      <c r="AV2330" s="624"/>
      <c r="AX2330" s="624">
        <v>41521</v>
      </c>
      <c r="AY2330" s="355">
        <v>3.005E-2</v>
      </c>
      <c r="AZ2330" s="624">
        <v>41585</v>
      </c>
      <c r="BA2330" s="355">
        <v>1.18E-2</v>
      </c>
      <c r="BB2330" s="624">
        <v>41516</v>
      </c>
      <c r="BC2330" s="355">
        <v>0.30959999999999999</v>
      </c>
      <c r="BD2330" s="624">
        <v>41516</v>
      </c>
      <c r="BE2330" s="355">
        <v>9.0090000000000003E-2</v>
      </c>
      <c r="BF2330" s="624">
        <v>41648</v>
      </c>
      <c r="BG2330" s="355">
        <v>1.6129999999999999E-2</v>
      </c>
      <c r="BH2330" s="624">
        <v>41516</v>
      </c>
      <c r="BI2330" s="355">
        <v>8.8554999999999995E-2</v>
      </c>
      <c r="BJ2330" s="624">
        <v>41515</v>
      </c>
      <c r="BK2330" s="355">
        <v>3.1140999999999999E-2</v>
      </c>
    </row>
    <row r="2331" spans="3:63">
      <c r="C2331" s="624"/>
      <c r="D2331" s="355">
        <v>3.005E-2</v>
      </c>
      <c r="AV2331" s="624"/>
      <c r="AX2331" s="624">
        <v>41522</v>
      </c>
      <c r="AY2331" s="355">
        <v>2.9909999999999999E-2</v>
      </c>
      <c r="AZ2331" s="624">
        <v>41586</v>
      </c>
      <c r="BA2331" s="355">
        <v>1.17E-2</v>
      </c>
      <c r="BB2331" s="624">
        <v>41519</v>
      </c>
      <c r="BC2331" s="355">
        <v>0.30969999999999998</v>
      </c>
      <c r="BD2331" s="624">
        <v>41519</v>
      </c>
      <c r="BE2331" s="355">
        <v>9.1050000000000006E-2</v>
      </c>
      <c r="BF2331" s="624">
        <v>41649</v>
      </c>
      <c r="BG2331" s="355">
        <v>1.6258999999999999E-2</v>
      </c>
      <c r="BH2331" s="624">
        <v>41519</v>
      </c>
      <c r="BI2331" s="355">
        <v>8.8417999999999997E-2</v>
      </c>
      <c r="BJ2331" s="624">
        <v>41516</v>
      </c>
      <c r="BK2331" s="355">
        <v>3.109E-2</v>
      </c>
    </row>
    <row r="2332" spans="3:63">
      <c r="C2332" s="624"/>
      <c r="D2332" s="355">
        <v>2.9909999999999999E-2</v>
      </c>
      <c r="AV2332" s="624"/>
      <c r="AX2332" s="624">
        <v>41523</v>
      </c>
      <c r="AY2332" s="355">
        <v>2.9960000000000001E-2</v>
      </c>
      <c r="AZ2332" s="624">
        <v>41589</v>
      </c>
      <c r="BA2332" s="355">
        <v>1.18E-2</v>
      </c>
      <c r="BB2332" s="624">
        <v>41520</v>
      </c>
      <c r="BC2332" s="355">
        <v>0.30819999999999997</v>
      </c>
      <c r="BD2332" s="624">
        <v>41520</v>
      </c>
      <c r="BE2332" s="355">
        <v>9.0740000000000001E-2</v>
      </c>
      <c r="BF2332" s="624">
        <v>41652</v>
      </c>
      <c r="BG2332" s="355">
        <v>1.6263E-2</v>
      </c>
      <c r="BH2332" s="624">
        <v>41520</v>
      </c>
      <c r="BI2332" s="355">
        <v>8.7585999999999997E-2</v>
      </c>
      <c r="BJ2332" s="624">
        <v>41519</v>
      </c>
      <c r="BK2332" s="355">
        <v>3.1201E-2</v>
      </c>
    </row>
    <row r="2333" spans="3:63">
      <c r="C2333" s="624"/>
      <c r="D2333" s="355">
        <v>2.9960000000000001E-2</v>
      </c>
      <c r="AV2333" s="624"/>
      <c r="AX2333" s="624">
        <v>41526</v>
      </c>
      <c r="AY2333" s="355">
        <v>3.0159999999999999E-2</v>
      </c>
      <c r="AZ2333" s="624">
        <v>41590</v>
      </c>
      <c r="BA2333" s="355">
        <v>1.18E-2</v>
      </c>
      <c r="BB2333" s="624">
        <v>41521</v>
      </c>
      <c r="BC2333" s="355">
        <v>0.309</v>
      </c>
      <c r="BD2333" s="624">
        <v>41521</v>
      </c>
      <c r="BE2333" s="355">
        <v>9.1380000000000003E-2</v>
      </c>
      <c r="BF2333" s="624">
        <v>41653</v>
      </c>
      <c r="BG2333" s="355">
        <v>1.6263E-2</v>
      </c>
      <c r="BH2333" s="624">
        <v>41521</v>
      </c>
      <c r="BI2333" s="355">
        <v>8.7623999999999994E-2</v>
      </c>
      <c r="BJ2333" s="624">
        <v>41520</v>
      </c>
      <c r="BK2333" s="355">
        <v>3.1077E-2</v>
      </c>
    </row>
    <row r="2334" spans="3:63">
      <c r="C2334" s="624"/>
      <c r="D2334" s="355">
        <v>3.0159999999999999E-2</v>
      </c>
      <c r="AV2334" s="624"/>
      <c r="AX2334" s="624">
        <v>41527</v>
      </c>
      <c r="AY2334" s="355">
        <v>3.0339999999999999E-2</v>
      </c>
      <c r="AZ2334" s="624">
        <v>41591</v>
      </c>
      <c r="BA2334" s="355">
        <v>1.18E-2</v>
      </c>
      <c r="BB2334" s="624">
        <v>41522</v>
      </c>
      <c r="BC2334" s="355">
        <v>0.30509999999999998</v>
      </c>
      <c r="BD2334" s="624">
        <v>41522</v>
      </c>
      <c r="BE2334" s="355">
        <v>9.1050000000000006E-2</v>
      </c>
      <c r="BF2334" s="624">
        <v>41654</v>
      </c>
      <c r="BG2334" s="355">
        <v>1.6254000000000001E-2</v>
      </c>
      <c r="BH2334" s="624">
        <v>41522</v>
      </c>
      <c r="BI2334" s="355">
        <v>8.5947999999999997E-2</v>
      </c>
      <c r="BJ2334" s="624">
        <v>41521</v>
      </c>
      <c r="BK2334" s="355">
        <v>3.1094E-2</v>
      </c>
    </row>
    <row r="2335" spans="3:63">
      <c r="C2335" s="624"/>
      <c r="D2335" s="355">
        <v>3.0339999999999999E-2</v>
      </c>
      <c r="AV2335" s="624"/>
      <c r="AX2335" s="624">
        <v>41528</v>
      </c>
      <c r="AY2335" s="355">
        <v>3.0499999999999999E-2</v>
      </c>
      <c r="AZ2335" s="624">
        <v>41592</v>
      </c>
      <c r="BA2335" s="355">
        <v>1.18E-2</v>
      </c>
      <c r="BB2335" s="624">
        <v>41523</v>
      </c>
      <c r="BC2335" s="355">
        <v>0.308</v>
      </c>
      <c r="BD2335" s="624">
        <v>41523</v>
      </c>
      <c r="BE2335" s="355">
        <v>9.153E-2</v>
      </c>
      <c r="BF2335" s="624">
        <v>41655</v>
      </c>
      <c r="BG2335" s="355">
        <v>1.6291E-2</v>
      </c>
      <c r="BH2335" s="624">
        <v>41523</v>
      </c>
      <c r="BI2335" s="355">
        <v>8.7183999999999998E-2</v>
      </c>
      <c r="BJ2335" s="624">
        <v>41522</v>
      </c>
      <c r="BK2335" s="355">
        <v>3.0960999999999999E-2</v>
      </c>
    </row>
    <row r="2336" spans="3:63">
      <c r="C2336" s="624"/>
      <c r="D2336" s="355">
        <v>3.0499999999999999E-2</v>
      </c>
      <c r="AV2336" s="624"/>
      <c r="AX2336" s="624">
        <v>41529</v>
      </c>
      <c r="AY2336" s="355">
        <v>3.0640000000000001E-2</v>
      </c>
      <c r="AZ2336" s="624">
        <v>41593</v>
      </c>
      <c r="BA2336" s="355">
        <v>1.18E-2</v>
      </c>
      <c r="BB2336" s="624">
        <v>41526</v>
      </c>
      <c r="BC2336" s="355">
        <v>0.31040000000000001</v>
      </c>
      <c r="BD2336" s="624">
        <v>41526</v>
      </c>
      <c r="BE2336" s="355">
        <v>9.2410000000000006E-2</v>
      </c>
      <c r="BF2336" s="624">
        <v>41656</v>
      </c>
      <c r="BG2336" s="355">
        <v>1.6226000000000001E-2</v>
      </c>
      <c r="BH2336" s="624">
        <v>41526</v>
      </c>
      <c r="BI2336" s="355">
        <v>8.7989999999999999E-2</v>
      </c>
      <c r="BJ2336" s="624">
        <v>41523</v>
      </c>
      <c r="BK2336" s="355">
        <v>3.1022000000000001E-2</v>
      </c>
    </row>
    <row r="2337" spans="3:63">
      <c r="C2337" s="624"/>
      <c r="D2337" s="355">
        <v>3.0640000000000001E-2</v>
      </c>
      <c r="AV2337" s="624"/>
      <c r="AX2337" s="624">
        <v>41530</v>
      </c>
      <c r="AY2337" s="355">
        <v>3.0800000000000001E-2</v>
      </c>
      <c r="AZ2337" s="624">
        <v>41596</v>
      </c>
      <c r="BA2337" s="355">
        <v>1.1900000000000001E-2</v>
      </c>
      <c r="BB2337" s="624">
        <v>41527</v>
      </c>
      <c r="BC2337" s="355">
        <v>0.31280000000000002</v>
      </c>
      <c r="BD2337" s="624">
        <v>41527</v>
      </c>
      <c r="BE2337" s="355">
        <v>9.2060000000000003E-2</v>
      </c>
      <c r="BF2337" s="624">
        <v>41659</v>
      </c>
      <c r="BG2337" s="355">
        <v>1.6251000000000002E-2</v>
      </c>
      <c r="BH2337" s="624">
        <v>41527</v>
      </c>
      <c r="BI2337" s="355">
        <v>8.8183999999999998E-2</v>
      </c>
      <c r="BJ2337" s="624">
        <v>41526</v>
      </c>
      <c r="BK2337" s="355">
        <v>3.1158999999999999E-2</v>
      </c>
    </row>
    <row r="2338" spans="3:63">
      <c r="C2338" s="624"/>
      <c r="D2338" s="355">
        <v>3.0800000000000001E-2</v>
      </c>
      <c r="AV2338" s="624"/>
      <c r="AX2338" s="624">
        <v>41533</v>
      </c>
      <c r="AY2338" s="355">
        <v>3.0960000000000001E-2</v>
      </c>
      <c r="AZ2338" s="624">
        <v>41597</v>
      </c>
      <c r="BA2338" s="355">
        <v>1.1900000000000001E-2</v>
      </c>
      <c r="BB2338" s="624">
        <v>41528</v>
      </c>
      <c r="BC2338" s="355">
        <v>0.31580000000000003</v>
      </c>
      <c r="BD2338" s="624">
        <v>41528</v>
      </c>
      <c r="BE2338" s="355">
        <v>9.2060000000000003E-2</v>
      </c>
      <c r="BF2338" s="624">
        <v>41660</v>
      </c>
      <c r="BG2338" s="355">
        <v>1.6107E-2</v>
      </c>
      <c r="BH2338" s="624">
        <v>41528</v>
      </c>
      <c r="BI2338" s="355">
        <v>8.8732000000000005E-2</v>
      </c>
      <c r="BJ2338" s="624">
        <v>41527</v>
      </c>
      <c r="BK2338" s="355">
        <v>3.1133000000000001E-2</v>
      </c>
    </row>
    <row r="2339" spans="3:63">
      <c r="C2339" s="624"/>
      <c r="D2339" s="355">
        <v>3.0960000000000001E-2</v>
      </c>
      <c r="AV2339" s="624"/>
      <c r="AX2339" s="624">
        <v>41534</v>
      </c>
      <c r="AY2339" s="355">
        <v>3.1029999999999999E-2</v>
      </c>
      <c r="AZ2339" s="624">
        <v>41598</v>
      </c>
      <c r="BA2339" s="355">
        <v>1.18E-2</v>
      </c>
      <c r="BB2339" s="624">
        <v>41529</v>
      </c>
      <c r="BC2339" s="355">
        <v>0.31509999999999999</v>
      </c>
      <c r="BD2339" s="624">
        <v>41529</v>
      </c>
      <c r="BE2339" s="355">
        <v>9.2299999999999993E-2</v>
      </c>
      <c r="BF2339" s="624">
        <v>41661</v>
      </c>
      <c r="BG2339" s="355">
        <v>1.6174000000000001E-2</v>
      </c>
      <c r="BH2339" s="624">
        <v>41529</v>
      </c>
      <c r="BI2339" s="355">
        <v>9.0241000000000002E-2</v>
      </c>
      <c r="BJ2339" s="624">
        <v>41528</v>
      </c>
      <c r="BK2339" s="355">
        <v>3.1329000000000003E-2</v>
      </c>
    </row>
    <row r="2340" spans="3:63">
      <c r="C2340" s="624"/>
      <c r="D2340" s="355">
        <v>3.1029999999999999E-2</v>
      </c>
      <c r="AV2340" s="624"/>
      <c r="AX2340" s="624">
        <v>41535</v>
      </c>
      <c r="AY2340" s="355">
        <v>3.1530000000000002E-2</v>
      </c>
      <c r="AZ2340" s="624">
        <v>41599</v>
      </c>
      <c r="BA2340" s="355">
        <v>1.18E-2</v>
      </c>
      <c r="BB2340" s="624">
        <v>41530</v>
      </c>
      <c r="BC2340" s="355">
        <v>0.31619999999999998</v>
      </c>
      <c r="BD2340" s="624">
        <v>41530</v>
      </c>
      <c r="BE2340" s="355">
        <v>9.2060000000000003E-2</v>
      </c>
      <c r="BF2340" s="624">
        <v>41662</v>
      </c>
      <c r="BG2340" s="355">
        <v>1.6087000000000001E-2</v>
      </c>
      <c r="BH2340" s="624">
        <v>41530</v>
      </c>
      <c r="BI2340" s="355">
        <v>8.9445999999999998E-2</v>
      </c>
      <c r="BJ2340" s="624">
        <v>41529</v>
      </c>
      <c r="BK2340" s="355">
        <v>3.1543000000000002E-2</v>
      </c>
    </row>
    <row r="2341" spans="3:63">
      <c r="C2341" s="624"/>
      <c r="D2341" s="355">
        <v>3.1530000000000002E-2</v>
      </c>
      <c r="AV2341" s="624"/>
      <c r="AX2341" s="624">
        <v>41536</v>
      </c>
      <c r="AY2341" s="355">
        <v>3.159E-2</v>
      </c>
      <c r="AZ2341" s="624">
        <v>41600</v>
      </c>
      <c r="BA2341" s="355">
        <v>1.1900000000000001E-2</v>
      </c>
      <c r="BB2341" s="624">
        <v>41533</v>
      </c>
      <c r="BC2341" s="355">
        <v>0.31730000000000003</v>
      </c>
      <c r="BD2341" s="624">
        <v>41533</v>
      </c>
      <c r="BE2341" s="355">
        <v>9.2429999999999998E-2</v>
      </c>
      <c r="BF2341" s="624">
        <v>41663</v>
      </c>
      <c r="BG2341" s="355">
        <v>1.5942999999999999E-2</v>
      </c>
      <c r="BH2341" s="624">
        <v>41533</v>
      </c>
      <c r="BI2341" s="355">
        <v>8.9367000000000002E-2</v>
      </c>
      <c r="BJ2341" s="624">
        <v>41530</v>
      </c>
      <c r="BK2341" s="355">
        <v>3.1413999999999997E-2</v>
      </c>
    </row>
    <row r="2342" spans="3:63">
      <c r="C2342" s="624"/>
      <c r="D2342" s="355">
        <v>3.159E-2</v>
      </c>
      <c r="AV2342" s="624"/>
      <c r="AX2342" s="624">
        <v>41537</v>
      </c>
      <c r="AY2342" s="355">
        <v>3.1390000000000001E-2</v>
      </c>
      <c r="AZ2342" s="624">
        <v>41603</v>
      </c>
      <c r="BA2342" s="355">
        <v>1.1900000000000001E-2</v>
      </c>
      <c r="BB2342" s="624">
        <v>41534</v>
      </c>
      <c r="BC2342" s="355">
        <v>0.31669999999999998</v>
      </c>
      <c r="BD2342" s="624">
        <v>41534</v>
      </c>
      <c r="BE2342" s="355">
        <v>9.2329999999999995E-2</v>
      </c>
      <c r="BF2342" s="624">
        <v>41666</v>
      </c>
      <c r="BG2342" s="355">
        <v>1.5767E-2</v>
      </c>
      <c r="BH2342" s="624">
        <v>41534</v>
      </c>
      <c r="BI2342" s="355">
        <v>8.9566000000000007E-2</v>
      </c>
      <c r="BJ2342" s="624">
        <v>41533</v>
      </c>
      <c r="BK2342" s="355">
        <v>3.15E-2</v>
      </c>
    </row>
    <row r="2343" spans="3:63">
      <c r="C2343" s="624"/>
      <c r="D2343" s="355">
        <v>3.1390000000000001E-2</v>
      </c>
      <c r="AV2343" s="624"/>
      <c r="AX2343" s="624">
        <v>41540</v>
      </c>
      <c r="AY2343" s="355">
        <v>3.1449999999999999E-2</v>
      </c>
      <c r="AZ2343" s="624">
        <v>41604</v>
      </c>
      <c r="BA2343" s="355">
        <v>1.1900000000000001E-2</v>
      </c>
      <c r="BB2343" s="624">
        <v>41535</v>
      </c>
      <c r="BC2343" s="355">
        <v>0.32479999999999998</v>
      </c>
      <c r="BD2343" s="624">
        <v>41535</v>
      </c>
      <c r="BE2343" s="355">
        <v>9.2810000000000004E-2</v>
      </c>
      <c r="BF2343" s="624">
        <v>41667</v>
      </c>
      <c r="BG2343" s="355">
        <v>1.5934E-2</v>
      </c>
      <c r="BH2343" s="624">
        <v>41535</v>
      </c>
      <c r="BI2343" s="355">
        <v>9.2915999999999999E-2</v>
      </c>
      <c r="BJ2343" s="624">
        <v>41534</v>
      </c>
      <c r="BK2343" s="355">
        <v>3.1538999999999998E-2</v>
      </c>
    </row>
    <row r="2344" spans="3:63">
      <c r="C2344" s="624"/>
      <c r="D2344" s="355">
        <v>3.1449999999999999E-2</v>
      </c>
      <c r="AV2344" s="624"/>
      <c r="AX2344" s="624">
        <v>41541</v>
      </c>
      <c r="AY2344" s="355">
        <v>3.1370000000000002E-2</v>
      </c>
      <c r="AZ2344" s="624">
        <v>41605</v>
      </c>
      <c r="BA2344" s="355">
        <v>1.1900000000000001E-2</v>
      </c>
      <c r="BB2344" s="624">
        <v>41536</v>
      </c>
      <c r="BC2344" s="355">
        <v>0.32190000000000002</v>
      </c>
      <c r="BD2344" s="624">
        <v>41536</v>
      </c>
      <c r="BE2344" s="355">
        <v>9.3140000000000001E-2</v>
      </c>
      <c r="BF2344" s="624">
        <v>41668</v>
      </c>
      <c r="BG2344" s="355">
        <v>1.5886000000000001E-2</v>
      </c>
      <c r="BH2344" s="624">
        <v>41536</v>
      </c>
      <c r="BI2344" s="355">
        <v>9.1953999999999994E-2</v>
      </c>
      <c r="BJ2344" s="624">
        <v>41535</v>
      </c>
      <c r="BK2344" s="355">
        <v>3.1973000000000001E-2</v>
      </c>
    </row>
    <row r="2345" spans="3:63">
      <c r="C2345" s="624"/>
      <c r="D2345" s="355">
        <v>3.1370000000000002E-2</v>
      </c>
      <c r="AV2345" s="624"/>
      <c r="AX2345" s="624">
        <v>41542</v>
      </c>
      <c r="AY2345" s="355">
        <v>3.117E-2</v>
      </c>
      <c r="AZ2345" s="624">
        <v>41606</v>
      </c>
      <c r="BA2345" s="355">
        <v>1.1900000000000001E-2</v>
      </c>
      <c r="BB2345" s="624">
        <v>41537</v>
      </c>
      <c r="BC2345" s="355">
        <v>0.3196</v>
      </c>
      <c r="BD2345" s="624">
        <v>41537</v>
      </c>
      <c r="BE2345" s="355">
        <v>9.282E-2</v>
      </c>
      <c r="BF2345" s="624">
        <v>41669</v>
      </c>
      <c r="BG2345" s="355">
        <v>1.601E-2</v>
      </c>
      <c r="BH2345" s="624">
        <v>41537</v>
      </c>
      <c r="BI2345" s="355">
        <v>8.9847999999999997E-2</v>
      </c>
      <c r="BJ2345" s="624">
        <v>41536</v>
      </c>
      <c r="BK2345" s="355">
        <v>3.2204000000000003E-2</v>
      </c>
    </row>
    <row r="2346" spans="3:63">
      <c r="C2346" s="624"/>
      <c r="D2346" s="355">
        <v>3.117E-2</v>
      </c>
      <c r="AV2346" s="624"/>
      <c r="AX2346" s="624">
        <v>41543</v>
      </c>
      <c r="AY2346" s="355">
        <v>3.092E-2</v>
      </c>
      <c r="AZ2346" s="624">
        <v>41607</v>
      </c>
      <c r="BA2346" s="355">
        <v>1.1900000000000001E-2</v>
      </c>
      <c r="BB2346" s="624">
        <v>41540</v>
      </c>
      <c r="BC2346" s="355">
        <v>0.31929999999999997</v>
      </c>
      <c r="BD2346" s="624">
        <v>41540</v>
      </c>
      <c r="BE2346" s="355">
        <v>9.3090000000000006E-2</v>
      </c>
      <c r="BF2346" s="624">
        <v>41670</v>
      </c>
      <c r="BG2346" s="355">
        <v>1.5993E-2</v>
      </c>
      <c r="BH2346" s="624">
        <v>41540</v>
      </c>
      <c r="BI2346" s="355">
        <v>8.9562000000000003E-2</v>
      </c>
      <c r="BJ2346" s="624">
        <v>41537</v>
      </c>
      <c r="BK2346" s="355">
        <v>3.2143999999999999E-2</v>
      </c>
    </row>
    <row r="2347" spans="3:63">
      <c r="C2347" s="624"/>
      <c r="D2347" s="355">
        <v>3.092E-2</v>
      </c>
      <c r="AV2347" s="624"/>
      <c r="AX2347" s="624">
        <v>41544</v>
      </c>
      <c r="AY2347" s="355">
        <v>3.092E-2</v>
      </c>
      <c r="AZ2347" s="624">
        <v>41610</v>
      </c>
      <c r="BA2347" s="355">
        <v>1.1900000000000001E-2</v>
      </c>
      <c r="BB2347" s="624">
        <v>41541</v>
      </c>
      <c r="BC2347" s="355">
        <v>0.31990000000000002</v>
      </c>
      <c r="BD2347" s="624">
        <v>41541</v>
      </c>
      <c r="BE2347" s="355">
        <v>9.3049999999999994E-2</v>
      </c>
      <c r="BF2347" s="624">
        <v>41673</v>
      </c>
      <c r="BG2347" s="355">
        <v>1.5893999999999998E-2</v>
      </c>
      <c r="BH2347" s="624">
        <v>41541</v>
      </c>
      <c r="BI2347" s="355">
        <v>8.8732000000000005E-2</v>
      </c>
      <c r="BJ2347" s="624">
        <v>41540</v>
      </c>
      <c r="BK2347" s="355">
        <v>3.2062E-2</v>
      </c>
    </row>
    <row r="2348" spans="3:63">
      <c r="C2348" s="624"/>
      <c r="D2348" s="355">
        <v>3.092E-2</v>
      </c>
      <c r="AV2348" s="624"/>
      <c r="AX2348" s="624">
        <v>41547</v>
      </c>
      <c r="AY2348" s="355">
        <v>3.09E-2</v>
      </c>
      <c r="AZ2348" s="624">
        <v>41611</v>
      </c>
      <c r="BA2348" s="355">
        <v>1.1900000000000001E-2</v>
      </c>
      <c r="BB2348" s="624">
        <v>41542</v>
      </c>
      <c r="BC2348" s="355">
        <v>0.3206</v>
      </c>
      <c r="BD2348" s="624">
        <v>41542</v>
      </c>
      <c r="BE2348" s="355">
        <v>9.2910000000000006E-2</v>
      </c>
      <c r="BF2348" s="624">
        <v>41674</v>
      </c>
      <c r="BG2348" s="355">
        <v>1.6060000000000001E-2</v>
      </c>
      <c r="BH2348" s="624">
        <v>41542</v>
      </c>
      <c r="BI2348" s="355">
        <v>8.9036000000000004E-2</v>
      </c>
      <c r="BJ2348" s="624">
        <v>41541</v>
      </c>
      <c r="BK2348" s="355">
        <v>3.1932000000000002E-2</v>
      </c>
    </row>
    <row r="2349" spans="3:63">
      <c r="C2349" s="624"/>
      <c r="D2349" s="355">
        <v>3.09E-2</v>
      </c>
      <c r="AV2349" s="624"/>
      <c r="AX2349" s="624">
        <v>41548</v>
      </c>
      <c r="AY2349" s="355">
        <v>3.1050000000000001E-2</v>
      </c>
      <c r="AZ2349" s="624">
        <v>41612</v>
      </c>
      <c r="BA2349" s="355">
        <v>1.1900000000000001E-2</v>
      </c>
      <c r="BB2349" s="624">
        <v>41543</v>
      </c>
      <c r="BC2349" s="355">
        <v>0.31890000000000002</v>
      </c>
      <c r="BD2349" s="624">
        <v>41543</v>
      </c>
      <c r="BE2349" s="355">
        <v>9.2869999999999994E-2</v>
      </c>
      <c r="BF2349" s="624">
        <v>41675</v>
      </c>
      <c r="BG2349" s="355">
        <v>1.6018000000000001E-2</v>
      </c>
      <c r="BH2349" s="624">
        <v>41543</v>
      </c>
      <c r="BI2349" s="355">
        <v>8.8888999999999996E-2</v>
      </c>
      <c r="BJ2349" s="624">
        <v>41542</v>
      </c>
      <c r="BK2349" s="355">
        <v>3.1989999999999998E-2</v>
      </c>
    </row>
    <row r="2350" spans="3:63">
      <c r="C2350" s="624"/>
      <c r="D2350" s="355">
        <v>3.1050000000000001E-2</v>
      </c>
      <c r="AV2350" s="624"/>
      <c r="AX2350" s="624">
        <v>41549</v>
      </c>
      <c r="AY2350" s="355">
        <v>3.1050000000000001E-2</v>
      </c>
      <c r="AZ2350" s="624">
        <v>41613</v>
      </c>
      <c r="BA2350" s="355">
        <v>1.2E-2</v>
      </c>
      <c r="BB2350" s="624">
        <v>41544</v>
      </c>
      <c r="BC2350" s="355">
        <v>0.32029999999999997</v>
      </c>
      <c r="BD2350" s="624">
        <v>41544</v>
      </c>
      <c r="BE2350" s="355">
        <v>9.3030000000000002E-2</v>
      </c>
      <c r="BF2350" s="624">
        <v>41676</v>
      </c>
      <c r="BG2350" s="355">
        <v>1.6077999999999999E-2</v>
      </c>
      <c r="BH2350" s="624">
        <v>41544</v>
      </c>
      <c r="BI2350" s="355">
        <v>8.8378999999999999E-2</v>
      </c>
      <c r="BJ2350" s="624">
        <v>41543</v>
      </c>
      <c r="BK2350" s="355">
        <v>3.2050000000000002E-2</v>
      </c>
    </row>
    <row r="2351" spans="3:63">
      <c r="C2351" s="624"/>
      <c r="D2351" s="355">
        <v>3.1050000000000001E-2</v>
      </c>
      <c r="AV2351" s="624"/>
      <c r="AX2351" s="624">
        <v>41550</v>
      </c>
      <c r="AY2351" s="355">
        <v>3.1099999999999999E-2</v>
      </c>
      <c r="AZ2351" s="624">
        <v>41614</v>
      </c>
      <c r="BA2351" s="355">
        <v>1.1900000000000001E-2</v>
      </c>
      <c r="BB2351" s="624">
        <v>41547</v>
      </c>
      <c r="BC2351" s="355">
        <v>0.32040000000000002</v>
      </c>
      <c r="BD2351" s="624">
        <v>41547</v>
      </c>
      <c r="BE2351" s="355">
        <v>9.2960000000000001E-2</v>
      </c>
      <c r="BF2351" s="624">
        <v>41677</v>
      </c>
      <c r="BG2351" s="355">
        <v>1.61E-2</v>
      </c>
      <c r="BH2351" s="624">
        <v>41547</v>
      </c>
      <c r="BI2351" s="355">
        <v>8.6820999999999995E-2</v>
      </c>
      <c r="BJ2351" s="624">
        <v>41544</v>
      </c>
      <c r="BK2351" s="355">
        <v>3.1918000000000002E-2</v>
      </c>
    </row>
    <row r="2352" spans="3:63">
      <c r="C2352" s="624"/>
      <c r="D2352" s="355">
        <v>3.1099999999999999E-2</v>
      </c>
      <c r="AV2352" s="624"/>
      <c r="AX2352" s="624">
        <v>41551</v>
      </c>
      <c r="AY2352" s="355">
        <v>3.108E-2</v>
      </c>
      <c r="AZ2352" s="624">
        <v>41617</v>
      </c>
      <c r="BA2352" s="355">
        <v>1.2E-2</v>
      </c>
      <c r="BB2352" s="624">
        <v>41548</v>
      </c>
      <c r="BC2352" s="355">
        <v>0.32050000000000001</v>
      </c>
      <c r="BD2352" s="624">
        <v>41548</v>
      </c>
      <c r="BE2352" s="355">
        <v>9.3130000000000004E-2</v>
      </c>
      <c r="BF2352" s="624">
        <v>41680</v>
      </c>
      <c r="BG2352" s="355">
        <v>1.6046999999999999E-2</v>
      </c>
      <c r="BH2352" s="624">
        <v>41548</v>
      </c>
      <c r="BI2352" s="355">
        <v>8.7983000000000006E-2</v>
      </c>
      <c r="BJ2352" s="624">
        <v>41547</v>
      </c>
      <c r="BK2352" s="355">
        <v>3.2009999999999997E-2</v>
      </c>
    </row>
    <row r="2353" spans="3:63">
      <c r="C2353" s="624"/>
      <c r="D2353" s="355">
        <v>3.108E-2</v>
      </c>
      <c r="AV2353" s="624"/>
      <c r="AX2353" s="624">
        <v>41554</v>
      </c>
      <c r="AY2353" s="355">
        <v>3.1029999999999999E-2</v>
      </c>
      <c r="AZ2353" s="624">
        <v>41618</v>
      </c>
      <c r="BA2353" s="355">
        <v>1.2E-2</v>
      </c>
      <c r="BB2353" s="624">
        <v>41549</v>
      </c>
      <c r="BC2353" s="355">
        <v>0.32200000000000001</v>
      </c>
      <c r="BD2353" s="624">
        <v>41549</v>
      </c>
      <c r="BE2353" s="355">
        <v>9.3179999999999999E-2</v>
      </c>
      <c r="BF2353" s="624">
        <v>41681</v>
      </c>
      <c r="BG2353" s="355">
        <v>1.6121E-2</v>
      </c>
      <c r="BH2353" s="624">
        <v>41549</v>
      </c>
      <c r="BI2353" s="355">
        <v>8.8496000000000005E-2</v>
      </c>
      <c r="BJ2353" s="624">
        <v>41548</v>
      </c>
      <c r="BK2353" s="355">
        <v>3.2042000000000001E-2</v>
      </c>
    </row>
    <row r="2354" spans="3:63">
      <c r="C2354" s="624"/>
      <c r="D2354" s="355">
        <v>3.1029999999999999E-2</v>
      </c>
      <c r="AV2354" s="624"/>
      <c r="AX2354" s="624">
        <v>41555</v>
      </c>
      <c r="AY2354" s="355">
        <v>3.0859999999999999E-2</v>
      </c>
      <c r="AZ2354" s="624">
        <v>41619</v>
      </c>
      <c r="BA2354" s="355">
        <v>1.2E-2</v>
      </c>
      <c r="BB2354" s="624">
        <v>41550</v>
      </c>
      <c r="BC2354" s="355">
        <v>0.32429999999999998</v>
      </c>
      <c r="BD2354" s="624">
        <v>41550</v>
      </c>
      <c r="BE2354" s="355">
        <v>9.3259999999999996E-2</v>
      </c>
      <c r="BF2354" s="624">
        <v>41682</v>
      </c>
      <c r="BG2354" s="355">
        <v>1.6160999999999998E-2</v>
      </c>
      <c r="BH2354" s="624">
        <v>41550</v>
      </c>
      <c r="BI2354" s="355">
        <v>8.8521000000000002E-2</v>
      </c>
      <c r="BJ2354" s="624">
        <v>41549</v>
      </c>
      <c r="BK2354" s="355">
        <v>3.1980000000000001E-2</v>
      </c>
    </row>
    <row r="2355" spans="3:63">
      <c r="C2355" s="624"/>
      <c r="D2355" s="355">
        <v>3.0859999999999999E-2</v>
      </c>
      <c r="AV2355" s="624"/>
      <c r="AX2355" s="624">
        <v>41556</v>
      </c>
      <c r="AY2355" s="355">
        <v>3.092E-2</v>
      </c>
      <c r="AZ2355" s="624">
        <v>41620</v>
      </c>
      <c r="BA2355" s="355">
        <v>1.2E-2</v>
      </c>
      <c r="BB2355" s="624">
        <v>41551</v>
      </c>
      <c r="BC2355" s="355">
        <v>0.32279999999999998</v>
      </c>
      <c r="BD2355" s="624">
        <v>41551</v>
      </c>
      <c r="BE2355" s="355">
        <v>9.3329999999999996E-2</v>
      </c>
      <c r="BF2355" s="624">
        <v>41683</v>
      </c>
      <c r="BG2355" s="355">
        <v>1.6087000000000001E-2</v>
      </c>
      <c r="BH2355" s="624">
        <v>41551</v>
      </c>
      <c r="BI2355" s="355">
        <v>8.9625999999999997E-2</v>
      </c>
      <c r="BJ2355" s="624">
        <v>41550</v>
      </c>
      <c r="BK2355" s="355">
        <v>3.1959000000000001E-2</v>
      </c>
    </row>
    <row r="2356" spans="3:63">
      <c r="C2356" s="624"/>
      <c r="D2356" s="355">
        <v>3.092E-2</v>
      </c>
      <c r="AV2356" s="624"/>
      <c r="AX2356" s="624">
        <v>41557</v>
      </c>
      <c r="AY2356" s="355">
        <v>3.107E-2</v>
      </c>
      <c r="AZ2356" s="624">
        <v>41621</v>
      </c>
      <c r="BA2356" s="355">
        <v>1.2E-2</v>
      </c>
      <c r="BB2356" s="624">
        <v>41554</v>
      </c>
      <c r="BC2356" s="355">
        <v>0.32340000000000002</v>
      </c>
      <c r="BD2356" s="624">
        <v>41554</v>
      </c>
      <c r="BE2356" s="355">
        <v>9.3289999999999998E-2</v>
      </c>
      <c r="BF2356" s="624">
        <v>41684</v>
      </c>
      <c r="BG2356" s="355">
        <v>1.6167000000000001E-2</v>
      </c>
      <c r="BH2356" s="624">
        <v>41554</v>
      </c>
      <c r="BI2356" s="355">
        <v>8.9287000000000005E-2</v>
      </c>
      <c r="BJ2356" s="624">
        <v>41551</v>
      </c>
      <c r="BK2356" s="355">
        <v>3.1974000000000002E-2</v>
      </c>
    </row>
    <row r="2357" spans="3:63">
      <c r="C2357" s="624"/>
      <c r="D2357" s="355">
        <v>3.107E-2</v>
      </c>
      <c r="AV2357" s="624"/>
      <c r="AX2357" s="624">
        <v>41558</v>
      </c>
      <c r="AY2357" s="355">
        <v>3.1029999999999999E-2</v>
      </c>
      <c r="AZ2357" s="624">
        <v>41624</v>
      </c>
      <c r="BA2357" s="355">
        <v>1.2E-2</v>
      </c>
      <c r="BB2357" s="624">
        <v>41555</v>
      </c>
      <c r="BC2357" s="355">
        <v>0.32340000000000002</v>
      </c>
      <c r="BD2357" s="624">
        <v>41555</v>
      </c>
      <c r="BE2357" s="355">
        <v>9.3030000000000002E-2</v>
      </c>
      <c r="BF2357" s="624">
        <v>41687</v>
      </c>
      <c r="BG2357" s="355">
        <v>1.6191000000000001E-2</v>
      </c>
      <c r="BH2357" s="624">
        <v>41555</v>
      </c>
      <c r="BI2357" s="355">
        <v>8.9525999999999994E-2</v>
      </c>
      <c r="BJ2357" s="624">
        <v>41554</v>
      </c>
      <c r="BK2357" s="355">
        <v>3.1857999999999997E-2</v>
      </c>
    </row>
    <row r="2358" spans="3:63">
      <c r="C2358" s="624"/>
      <c r="D2358" s="355">
        <v>3.1029999999999999E-2</v>
      </c>
      <c r="AV2358" s="624"/>
      <c r="AX2358" s="624">
        <v>41561</v>
      </c>
      <c r="AY2358" s="355">
        <v>3.1019999999999999E-2</v>
      </c>
      <c r="AZ2358" s="624">
        <v>41625</v>
      </c>
      <c r="BA2358" s="355">
        <v>1.2E-2</v>
      </c>
      <c r="BB2358" s="624">
        <v>41556</v>
      </c>
      <c r="BC2358" s="355">
        <v>0.32229999999999998</v>
      </c>
      <c r="BD2358" s="624">
        <v>41556</v>
      </c>
      <c r="BE2358" s="355">
        <v>9.2950000000000005E-2</v>
      </c>
      <c r="BF2358" s="624">
        <v>41688</v>
      </c>
      <c r="BG2358" s="355">
        <v>1.6086E-2</v>
      </c>
      <c r="BH2358" s="624">
        <v>41556</v>
      </c>
      <c r="BI2358" s="355">
        <v>8.9815999999999993E-2</v>
      </c>
      <c r="BJ2358" s="624">
        <v>41555</v>
      </c>
      <c r="BK2358" s="355">
        <v>3.1866999999999999E-2</v>
      </c>
    </row>
    <row r="2359" spans="3:63">
      <c r="C2359" s="624"/>
      <c r="D2359" s="355">
        <v>3.1019999999999999E-2</v>
      </c>
      <c r="AV2359" s="624"/>
      <c r="AX2359" s="624">
        <v>41562</v>
      </c>
      <c r="AY2359" s="355">
        <v>3.091E-2</v>
      </c>
      <c r="AZ2359" s="624">
        <v>41626</v>
      </c>
      <c r="BA2359" s="355">
        <v>1.1900000000000001E-2</v>
      </c>
      <c r="BB2359" s="624">
        <v>41557</v>
      </c>
      <c r="BC2359" s="355">
        <v>0.32319999999999999</v>
      </c>
      <c r="BD2359" s="624">
        <v>41557</v>
      </c>
      <c r="BE2359" s="355">
        <v>9.332E-2</v>
      </c>
      <c r="BF2359" s="624">
        <v>41689</v>
      </c>
      <c r="BG2359" s="355">
        <v>1.6028000000000001E-2</v>
      </c>
      <c r="BH2359" s="624">
        <v>41557</v>
      </c>
      <c r="BI2359" s="355">
        <v>9.0465000000000004E-2</v>
      </c>
      <c r="BJ2359" s="624">
        <v>41556</v>
      </c>
      <c r="BK2359" s="355">
        <v>3.1833E-2</v>
      </c>
    </row>
    <row r="2360" spans="3:63">
      <c r="C2360" s="624"/>
      <c r="D2360" s="355">
        <v>3.091E-2</v>
      </c>
      <c r="AV2360" s="624"/>
      <c r="AX2360" s="624">
        <v>41563</v>
      </c>
      <c r="AY2360" s="355">
        <v>3.1210000000000002E-2</v>
      </c>
      <c r="AZ2360" s="624">
        <v>41627</v>
      </c>
      <c r="BA2360" s="355">
        <v>1.1900000000000001E-2</v>
      </c>
      <c r="BB2360" s="624">
        <v>41558</v>
      </c>
      <c r="BC2360" s="355">
        <v>0.32329999999999998</v>
      </c>
      <c r="BD2360" s="624">
        <v>41558</v>
      </c>
      <c r="BE2360" s="355">
        <v>9.3329999999999996E-2</v>
      </c>
      <c r="BF2360" s="624">
        <v>41690</v>
      </c>
      <c r="BG2360" s="355">
        <v>1.6102999999999999E-2</v>
      </c>
      <c r="BH2360" s="624">
        <v>41558</v>
      </c>
      <c r="BI2360" s="355">
        <v>9.1283000000000003E-2</v>
      </c>
      <c r="BJ2360" s="624">
        <v>41557</v>
      </c>
      <c r="BK2360" s="355">
        <v>3.1905999999999997E-2</v>
      </c>
    </row>
    <row r="2361" spans="3:63">
      <c r="C2361" s="624"/>
      <c r="D2361" s="355">
        <v>3.1210000000000002E-2</v>
      </c>
      <c r="AV2361" s="624"/>
      <c r="AX2361" s="624">
        <v>41564</v>
      </c>
      <c r="AY2361" s="355">
        <v>3.1379999999999998E-2</v>
      </c>
      <c r="AZ2361" s="624">
        <v>41628</v>
      </c>
      <c r="BA2361" s="355">
        <v>1.1900000000000001E-2</v>
      </c>
      <c r="BB2361" s="624">
        <v>41561</v>
      </c>
      <c r="BC2361" s="355">
        <v>0.32419999999999999</v>
      </c>
      <c r="BD2361" s="624">
        <v>41561</v>
      </c>
      <c r="BE2361" s="355">
        <v>9.3299999999999994E-2</v>
      </c>
      <c r="BF2361" s="624">
        <v>41691</v>
      </c>
      <c r="BG2361" s="355">
        <v>1.6119000000000001E-2</v>
      </c>
      <c r="BH2361" s="624">
        <v>41561</v>
      </c>
      <c r="BI2361" s="355">
        <v>9.1911999999999994E-2</v>
      </c>
      <c r="BJ2361" s="624">
        <v>41558</v>
      </c>
      <c r="BK2361" s="355">
        <v>3.1961999999999997E-2</v>
      </c>
    </row>
    <row r="2362" spans="3:63">
      <c r="C2362" s="624"/>
      <c r="D2362" s="355">
        <v>3.1379999999999998E-2</v>
      </c>
      <c r="AV2362" s="624"/>
      <c r="AX2362" s="624">
        <v>41565</v>
      </c>
      <c r="AY2362" s="355">
        <v>3.1350000000000003E-2</v>
      </c>
      <c r="AZ2362" s="624">
        <v>41631</v>
      </c>
      <c r="BA2362" s="355">
        <v>1.1900000000000001E-2</v>
      </c>
      <c r="BB2362" s="624">
        <v>41562</v>
      </c>
      <c r="BC2362" s="355">
        <v>0.32400000000000001</v>
      </c>
      <c r="BD2362" s="624">
        <v>41562</v>
      </c>
      <c r="BE2362" s="355">
        <v>9.3729999999999994E-2</v>
      </c>
      <c r="BF2362" s="624">
        <v>41694</v>
      </c>
      <c r="BG2362" s="355">
        <v>1.6164999999999999E-2</v>
      </c>
      <c r="BH2362" s="624">
        <v>41562</v>
      </c>
      <c r="BI2362" s="355">
        <v>9.0985999999999997E-2</v>
      </c>
      <c r="BJ2362" s="624">
        <v>41561</v>
      </c>
      <c r="BK2362" s="355">
        <v>3.1968999999999997E-2</v>
      </c>
    </row>
    <row r="2363" spans="3:63">
      <c r="C2363" s="624"/>
      <c r="D2363" s="355">
        <v>3.1350000000000003E-2</v>
      </c>
      <c r="AV2363" s="624"/>
      <c r="AX2363" s="624">
        <v>41568</v>
      </c>
      <c r="AY2363" s="355">
        <v>3.1269999999999999E-2</v>
      </c>
      <c r="AZ2363" s="624">
        <v>41632</v>
      </c>
      <c r="BA2363" s="355">
        <v>1.1900000000000001E-2</v>
      </c>
      <c r="BB2363" s="624">
        <v>41563</v>
      </c>
      <c r="BC2363" s="355">
        <v>0.32490000000000002</v>
      </c>
      <c r="BD2363" s="624">
        <v>41563</v>
      </c>
      <c r="BE2363" s="355">
        <v>9.3740000000000004E-2</v>
      </c>
      <c r="BF2363" s="624">
        <v>41695</v>
      </c>
      <c r="BG2363" s="355">
        <v>1.6146000000000001E-2</v>
      </c>
      <c r="BH2363" s="624">
        <v>41563</v>
      </c>
      <c r="BI2363" s="355">
        <v>9.1467000000000007E-2</v>
      </c>
      <c r="BJ2363" s="624">
        <v>41562</v>
      </c>
      <c r="BK2363" s="355">
        <v>3.1968000000000003E-2</v>
      </c>
    </row>
    <row r="2364" spans="3:63">
      <c r="C2364" s="624"/>
      <c r="D2364" s="355">
        <v>3.1269999999999999E-2</v>
      </c>
      <c r="AV2364" s="624"/>
      <c r="AX2364" s="624">
        <v>41569</v>
      </c>
      <c r="AY2364" s="355">
        <v>3.1550000000000002E-2</v>
      </c>
      <c r="AZ2364" s="624">
        <v>41633</v>
      </c>
      <c r="BA2364" s="355">
        <v>1.2E-2</v>
      </c>
      <c r="BB2364" s="624">
        <v>41564</v>
      </c>
      <c r="BC2364" s="355">
        <v>0.32829999999999998</v>
      </c>
      <c r="BD2364" s="624">
        <v>41564</v>
      </c>
      <c r="BE2364" s="355">
        <v>9.4380000000000006E-2</v>
      </c>
      <c r="BF2364" s="624">
        <v>41696</v>
      </c>
      <c r="BG2364" s="355">
        <v>1.6095000000000002E-2</v>
      </c>
      <c r="BH2364" s="624">
        <v>41564</v>
      </c>
      <c r="BI2364" s="355">
        <v>9.2422000000000004E-2</v>
      </c>
      <c r="BJ2364" s="624">
        <v>41563</v>
      </c>
      <c r="BK2364" s="355">
        <v>3.2001000000000002E-2</v>
      </c>
    </row>
    <row r="2365" spans="3:63">
      <c r="C2365" s="624"/>
      <c r="D2365" s="355">
        <v>3.1550000000000002E-2</v>
      </c>
      <c r="AV2365" s="624"/>
      <c r="AX2365" s="624">
        <v>41570</v>
      </c>
      <c r="AY2365" s="355">
        <v>3.15E-2</v>
      </c>
      <c r="AZ2365" s="624">
        <v>41634</v>
      </c>
      <c r="BA2365" s="355">
        <v>1.1900000000000001E-2</v>
      </c>
      <c r="BB2365" s="624">
        <v>41565</v>
      </c>
      <c r="BC2365" s="355">
        <v>0.3281</v>
      </c>
      <c r="BD2365" s="624">
        <v>41565</v>
      </c>
      <c r="BE2365" s="355">
        <v>9.4280000000000003E-2</v>
      </c>
      <c r="BF2365" s="624">
        <v>41697</v>
      </c>
      <c r="BG2365" s="355">
        <v>1.6136000000000001E-2</v>
      </c>
      <c r="BH2365" s="624">
        <v>41565</v>
      </c>
      <c r="BI2365" s="355">
        <v>9.2060000000000003E-2</v>
      </c>
      <c r="BJ2365" s="624">
        <v>41564</v>
      </c>
      <c r="BK2365" s="355">
        <v>3.2223000000000002E-2</v>
      </c>
    </row>
    <row r="2366" spans="3:63">
      <c r="C2366" s="624"/>
      <c r="D2366" s="355">
        <v>3.15E-2</v>
      </c>
      <c r="AV2366" s="624"/>
      <c r="AX2366" s="624">
        <v>41571</v>
      </c>
      <c r="AY2366" s="355">
        <v>3.1550000000000002E-2</v>
      </c>
      <c r="AZ2366" s="624">
        <v>41635</v>
      </c>
      <c r="BA2366" s="355">
        <v>1.2E-2</v>
      </c>
      <c r="BB2366" s="624">
        <v>41568</v>
      </c>
      <c r="BC2366" s="355">
        <v>0.32779999999999998</v>
      </c>
      <c r="BD2366" s="624">
        <v>41568</v>
      </c>
      <c r="BE2366" s="355">
        <v>9.4109999999999999E-2</v>
      </c>
      <c r="BF2366" s="624">
        <v>41698</v>
      </c>
      <c r="BG2366" s="355">
        <v>1.6164999999999999E-2</v>
      </c>
      <c r="BH2366" s="624">
        <v>41568</v>
      </c>
      <c r="BI2366" s="355">
        <v>9.1601000000000002E-2</v>
      </c>
      <c r="BJ2366" s="624">
        <v>41565</v>
      </c>
      <c r="BK2366" s="355">
        <v>3.2205999999999999E-2</v>
      </c>
    </row>
    <row r="2367" spans="3:63">
      <c r="C2367" s="624"/>
      <c r="D2367" s="355">
        <v>3.1550000000000002E-2</v>
      </c>
      <c r="AV2367" s="624"/>
      <c r="AX2367" s="624">
        <v>41572</v>
      </c>
      <c r="AY2367" s="355">
        <v>3.1440000000000003E-2</v>
      </c>
      <c r="AZ2367" s="624">
        <v>41638</v>
      </c>
      <c r="BA2367" s="355">
        <v>1.21E-2</v>
      </c>
      <c r="BB2367" s="624">
        <v>41569</v>
      </c>
      <c r="BC2367" s="355">
        <v>0.33079999999999998</v>
      </c>
      <c r="BD2367" s="624">
        <v>41569</v>
      </c>
      <c r="BE2367" s="355">
        <v>9.4530000000000003E-2</v>
      </c>
      <c r="BF2367" s="624">
        <v>41701</v>
      </c>
      <c r="BG2367" s="355">
        <v>1.6074999999999999E-2</v>
      </c>
      <c r="BH2367" s="624">
        <v>41569</v>
      </c>
      <c r="BI2367" s="355">
        <v>9.2737E-2</v>
      </c>
      <c r="BJ2367" s="624">
        <v>41568</v>
      </c>
      <c r="BK2367" s="355">
        <v>3.2148999999999997E-2</v>
      </c>
    </row>
    <row r="2368" spans="3:63">
      <c r="C2368" s="624"/>
      <c r="D2368" s="355">
        <v>3.1440000000000003E-2</v>
      </c>
      <c r="AV2368" s="624"/>
      <c r="AX2368" s="624">
        <v>41575</v>
      </c>
      <c r="AY2368" s="355">
        <v>3.1329999999999997E-2</v>
      </c>
      <c r="AZ2368" s="624">
        <v>41639</v>
      </c>
      <c r="BA2368" s="355">
        <v>1.2E-2</v>
      </c>
      <c r="BB2368" s="624">
        <v>41570</v>
      </c>
      <c r="BC2368" s="355">
        <v>0.32929999999999998</v>
      </c>
      <c r="BD2368" s="624">
        <v>41570</v>
      </c>
      <c r="BE2368" s="355">
        <v>9.4539999999999999E-2</v>
      </c>
      <c r="BF2368" s="624">
        <v>41702</v>
      </c>
      <c r="BG2368" s="355">
        <v>1.6150999999999999E-2</v>
      </c>
      <c r="BH2368" s="624">
        <v>41570</v>
      </c>
      <c r="BI2368" s="355">
        <v>9.1600000000000001E-2</v>
      </c>
      <c r="BJ2368" s="624">
        <v>41569</v>
      </c>
      <c r="BK2368" s="355">
        <v>3.2224000000000003E-2</v>
      </c>
    </row>
    <row r="2369" spans="3:63">
      <c r="C2369" s="624"/>
      <c r="D2369" s="355">
        <v>3.1329999999999997E-2</v>
      </c>
      <c r="AV2369" s="624"/>
      <c r="AX2369" s="624">
        <v>41576</v>
      </c>
      <c r="AY2369" s="355">
        <v>3.116E-2</v>
      </c>
      <c r="AZ2369" s="624">
        <v>41640</v>
      </c>
      <c r="BA2369" s="355">
        <v>1.2E-2</v>
      </c>
      <c r="BB2369" s="624">
        <v>41571</v>
      </c>
      <c r="BC2369" s="355">
        <v>0.3301</v>
      </c>
      <c r="BD2369" s="624">
        <v>41571</v>
      </c>
      <c r="BE2369" s="355">
        <v>9.4119999999999995E-2</v>
      </c>
      <c r="BF2369" s="624">
        <v>41703</v>
      </c>
      <c r="BG2369" s="355">
        <v>1.6296000000000001E-2</v>
      </c>
      <c r="BH2369" s="624">
        <v>41571</v>
      </c>
      <c r="BI2369" s="355">
        <v>8.9686000000000002E-2</v>
      </c>
      <c r="BJ2369" s="624">
        <v>41570</v>
      </c>
      <c r="BK2369" s="355">
        <v>3.2050000000000002E-2</v>
      </c>
    </row>
    <row r="2370" spans="3:63">
      <c r="C2370" s="624"/>
      <c r="D2370" s="355">
        <v>3.116E-2</v>
      </c>
      <c r="AV2370" s="624"/>
      <c r="AX2370" s="624">
        <v>41577</v>
      </c>
      <c r="AY2370" s="355">
        <v>3.1260000000000003E-2</v>
      </c>
      <c r="AZ2370" s="624">
        <v>41641</v>
      </c>
      <c r="BA2370" s="355">
        <v>1.1900000000000001E-2</v>
      </c>
      <c r="BB2370" s="624">
        <v>41572</v>
      </c>
      <c r="BC2370" s="355">
        <v>0.3301</v>
      </c>
      <c r="BD2370" s="624">
        <v>41572</v>
      </c>
      <c r="BE2370" s="355">
        <v>9.4130000000000005E-2</v>
      </c>
      <c r="BF2370" s="624">
        <v>41704</v>
      </c>
      <c r="BG2370" s="355">
        <v>1.6414999999999999E-2</v>
      </c>
      <c r="BH2370" s="624">
        <v>41572</v>
      </c>
      <c r="BI2370" s="355">
        <v>9.0805999999999998E-2</v>
      </c>
      <c r="BJ2370" s="624">
        <v>41571</v>
      </c>
      <c r="BK2370" s="355">
        <v>3.2101999999999999E-2</v>
      </c>
    </row>
    <row r="2371" spans="3:63">
      <c r="C2371" s="624"/>
      <c r="D2371" s="355">
        <v>3.1260000000000003E-2</v>
      </c>
      <c r="AV2371" s="624"/>
      <c r="AX2371" s="624">
        <v>41578</v>
      </c>
      <c r="AY2371" s="355">
        <v>3.1189999999999999E-2</v>
      </c>
      <c r="AZ2371" s="624">
        <v>41642</v>
      </c>
      <c r="BA2371" s="355">
        <v>1.18E-2</v>
      </c>
      <c r="BB2371" s="624">
        <v>41575</v>
      </c>
      <c r="BC2371" s="355">
        <v>0.32969999999999999</v>
      </c>
      <c r="BD2371" s="624">
        <v>41575</v>
      </c>
      <c r="BE2371" s="355">
        <v>9.418E-2</v>
      </c>
      <c r="BF2371" s="624">
        <v>41705</v>
      </c>
      <c r="BG2371" s="355">
        <v>1.6337999999999998E-2</v>
      </c>
      <c r="BH2371" s="624">
        <v>41575</v>
      </c>
      <c r="BI2371" s="355">
        <v>9.0472999999999998E-2</v>
      </c>
      <c r="BJ2371" s="624">
        <v>41572</v>
      </c>
      <c r="BK2371" s="355">
        <v>3.2197000000000003E-2</v>
      </c>
    </row>
    <row r="2372" spans="3:63">
      <c r="C2372" s="624"/>
      <c r="D2372" s="355">
        <v>3.1189999999999999E-2</v>
      </c>
      <c r="AV2372" s="624"/>
      <c r="AX2372" s="624">
        <v>41579</v>
      </c>
      <c r="AY2372" s="355">
        <v>3.0859999999999999E-2</v>
      </c>
      <c r="AZ2372" s="624">
        <v>41645</v>
      </c>
      <c r="BA2372" s="355">
        <v>1.1900000000000001E-2</v>
      </c>
      <c r="BB2372" s="624">
        <v>41576</v>
      </c>
      <c r="BC2372" s="355">
        <v>0.32829999999999998</v>
      </c>
      <c r="BD2372" s="624">
        <v>41576</v>
      </c>
      <c r="BE2372" s="355">
        <v>9.4089999999999993E-2</v>
      </c>
      <c r="BF2372" s="624">
        <v>41708</v>
      </c>
      <c r="BG2372" s="355">
        <v>1.6395E-2</v>
      </c>
      <c r="BH2372" s="624">
        <v>41576</v>
      </c>
      <c r="BI2372" s="355">
        <v>9.0050000000000005E-2</v>
      </c>
      <c r="BJ2372" s="624">
        <v>41575</v>
      </c>
      <c r="BK2372" s="355">
        <v>3.2205999999999999E-2</v>
      </c>
    </row>
    <row r="2373" spans="3:63">
      <c r="C2373" s="624"/>
      <c r="D2373" s="355">
        <v>3.0859999999999999E-2</v>
      </c>
      <c r="AV2373" s="624"/>
      <c r="AX2373" s="624">
        <v>41582</v>
      </c>
      <c r="AY2373" s="355">
        <v>3.0949999999999998E-2</v>
      </c>
      <c r="AZ2373" s="624">
        <v>41646</v>
      </c>
      <c r="BA2373" s="355">
        <v>1.1900000000000001E-2</v>
      </c>
      <c r="BB2373" s="624">
        <v>41577</v>
      </c>
      <c r="BC2373" s="355">
        <v>0.32850000000000001</v>
      </c>
      <c r="BD2373" s="624">
        <v>41577</v>
      </c>
      <c r="BE2373" s="355">
        <v>9.4339999999999993E-2</v>
      </c>
      <c r="BF2373" s="624">
        <v>41709</v>
      </c>
      <c r="BG2373" s="355">
        <v>1.6372999999999999E-2</v>
      </c>
      <c r="BH2373" s="624">
        <v>41577</v>
      </c>
      <c r="BI2373" s="355">
        <v>8.9485999999999996E-2</v>
      </c>
      <c r="BJ2373" s="624">
        <v>41576</v>
      </c>
      <c r="BK2373" s="355">
        <v>3.2196000000000002E-2</v>
      </c>
    </row>
    <row r="2374" spans="3:63">
      <c r="C2374" s="624"/>
      <c r="D2374" s="355">
        <v>3.0949999999999998E-2</v>
      </c>
      <c r="AV2374" s="624"/>
      <c r="AX2374" s="624">
        <v>41583</v>
      </c>
      <c r="AY2374" s="355">
        <v>3.0720000000000001E-2</v>
      </c>
      <c r="AZ2374" s="624">
        <v>41647</v>
      </c>
      <c r="BA2374" s="355">
        <v>1.18E-2</v>
      </c>
      <c r="BB2374" s="624">
        <v>41578</v>
      </c>
      <c r="BC2374" s="355">
        <v>0.32479999999999998</v>
      </c>
      <c r="BD2374" s="624">
        <v>41578</v>
      </c>
      <c r="BE2374" s="355">
        <v>9.4259999999999997E-2</v>
      </c>
      <c r="BF2374" s="624">
        <v>41710</v>
      </c>
      <c r="BG2374" s="355">
        <v>1.6396999999999998E-2</v>
      </c>
      <c r="BH2374" s="624">
        <v>41578</v>
      </c>
      <c r="BI2374" s="355">
        <v>8.8711999999999999E-2</v>
      </c>
      <c r="BJ2374" s="624">
        <v>41577</v>
      </c>
      <c r="BK2374" s="355">
        <v>3.2149999999999998E-2</v>
      </c>
    </row>
    <row r="2375" spans="3:63">
      <c r="C2375" s="624"/>
      <c r="D2375" s="355">
        <v>3.0720000000000001E-2</v>
      </c>
      <c r="AV2375" s="624"/>
      <c r="AX2375" s="624">
        <v>41584</v>
      </c>
      <c r="AY2375" s="355">
        <v>3.09E-2</v>
      </c>
      <c r="AZ2375" s="624">
        <v>41648</v>
      </c>
      <c r="BA2375" s="355">
        <v>1.18E-2</v>
      </c>
      <c r="BB2375" s="624">
        <v>41579</v>
      </c>
      <c r="BC2375" s="355">
        <v>0.32119999999999999</v>
      </c>
      <c r="BD2375" s="624">
        <v>41579</v>
      </c>
      <c r="BE2375" s="355">
        <v>9.4219999999999998E-2</v>
      </c>
      <c r="BF2375" s="624">
        <v>41711</v>
      </c>
      <c r="BG2375" s="355">
        <v>1.6268999999999999E-2</v>
      </c>
      <c r="BH2375" s="624">
        <v>41579</v>
      </c>
      <c r="BI2375" s="355">
        <v>8.8232000000000005E-2</v>
      </c>
      <c r="BJ2375" s="624">
        <v>41578</v>
      </c>
      <c r="BK2375" s="355">
        <v>3.2072000000000003E-2</v>
      </c>
    </row>
    <row r="2376" spans="3:63">
      <c r="C2376" s="624"/>
      <c r="D2376" s="355">
        <v>3.09E-2</v>
      </c>
      <c r="AV2376" s="624"/>
      <c r="AX2376" s="624">
        <v>41585</v>
      </c>
      <c r="AY2376" s="355">
        <v>3.083E-2</v>
      </c>
      <c r="AZ2376" s="624">
        <v>41649</v>
      </c>
      <c r="BA2376" s="355">
        <v>1.1900000000000001E-2</v>
      </c>
      <c r="BB2376" s="624">
        <v>41582</v>
      </c>
      <c r="BC2376" s="355">
        <v>0.32319999999999999</v>
      </c>
      <c r="BD2376" s="624">
        <v>41582</v>
      </c>
      <c r="BE2376" s="355">
        <v>9.4119999999999995E-2</v>
      </c>
      <c r="BF2376" s="624">
        <v>41712</v>
      </c>
      <c r="BG2376" s="355">
        <v>1.6320999999999999E-2</v>
      </c>
      <c r="BH2376" s="624">
        <v>41582</v>
      </c>
      <c r="BI2376" s="355">
        <v>8.8067000000000006E-2</v>
      </c>
      <c r="BJ2376" s="624">
        <v>41579</v>
      </c>
      <c r="BK2376" s="355">
        <v>3.2058000000000003E-2</v>
      </c>
    </row>
    <row r="2377" spans="3:63">
      <c r="C2377" s="624"/>
      <c r="D2377" s="355">
        <v>3.083E-2</v>
      </c>
      <c r="AV2377" s="624"/>
      <c r="AX2377" s="624">
        <v>41586</v>
      </c>
      <c r="AY2377" s="355">
        <v>3.0599999999999999E-2</v>
      </c>
      <c r="AZ2377" s="624">
        <v>41652</v>
      </c>
      <c r="BA2377" s="355">
        <v>1.1900000000000001E-2</v>
      </c>
      <c r="BB2377" s="624">
        <v>41583</v>
      </c>
      <c r="BC2377" s="355">
        <v>0.32190000000000002</v>
      </c>
      <c r="BD2377" s="624">
        <v>41583</v>
      </c>
      <c r="BE2377" s="355">
        <v>9.4100000000000003E-2</v>
      </c>
      <c r="BF2377" s="624">
        <v>41715</v>
      </c>
      <c r="BG2377" s="355">
        <v>1.6379000000000001E-2</v>
      </c>
      <c r="BH2377" s="624">
        <v>41583</v>
      </c>
      <c r="BI2377" s="355">
        <v>8.8145000000000001E-2</v>
      </c>
      <c r="BJ2377" s="624">
        <v>41582</v>
      </c>
      <c r="BK2377" s="355">
        <v>3.1969999999999998E-2</v>
      </c>
    </row>
    <row r="2378" spans="3:63">
      <c r="C2378" s="624"/>
      <c r="D2378" s="355">
        <v>3.0599999999999999E-2</v>
      </c>
      <c r="AV2378" s="624"/>
      <c r="AX2378" s="624">
        <v>41589</v>
      </c>
      <c r="AY2378" s="355">
        <v>3.0450000000000001E-2</v>
      </c>
      <c r="AZ2378" s="624">
        <v>41653</v>
      </c>
      <c r="BA2378" s="355">
        <v>1.18E-2</v>
      </c>
      <c r="BB2378" s="624">
        <v>41584</v>
      </c>
      <c r="BC2378" s="355">
        <v>0.32379999999999998</v>
      </c>
      <c r="BD2378" s="624">
        <v>41584</v>
      </c>
      <c r="BE2378" s="355">
        <v>9.4320000000000001E-2</v>
      </c>
      <c r="BF2378" s="624">
        <v>41716</v>
      </c>
      <c r="BG2378" s="355">
        <v>1.6389000000000001E-2</v>
      </c>
      <c r="BH2378" s="624">
        <v>41584</v>
      </c>
      <c r="BI2378" s="355">
        <v>8.7547E-2</v>
      </c>
      <c r="BJ2378" s="624">
        <v>41583</v>
      </c>
      <c r="BK2378" s="355">
        <v>3.1951E-2</v>
      </c>
    </row>
    <row r="2379" spans="3:63">
      <c r="C2379" s="624"/>
      <c r="D2379" s="355">
        <v>3.0450000000000001E-2</v>
      </c>
      <c r="AV2379" s="624"/>
      <c r="AX2379" s="624">
        <v>41590</v>
      </c>
      <c r="AY2379" s="355">
        <v>3.0429999999999999E-2</v>
      </c>
      <c r="AZ2379" s="624">
        <v>41654</v>
      </c>
      <c r="BA2379" s="355">
        <v>1.18E-2</v>
      </c>
      <c r="BB2379" s="624">
        <v>41585</v>
      </c>
      <c r="BC2379" s="355">
        <v>0.31990000000000002</v>
      </c>
      <c r="BD2379" s="624">
        <v>41585</v>
      </c>
      <c r="BE2379" s="355">
        <v>9.4030000000000002E-2</v>
      </c>
      <c r="BF2379" s="624">
        <v>41717</v>
      </c>
      <c r="BG2379" s="355">
        <v>1.6272999999999999E-2</v>
      </c>
      <c r="BH2379" s="624">
        <v>41585</v>
      </c>
      <c r="BI2379" s="355">
        <v>8.7753999999999999E-2</v>
      </c>
      <c r="BJ2379" s="624">
        <v>41584</v>
      </c>
      <c r="BK2379" s="355">
        <v>3.1989999999999998E-2</v>
      </c>
    </row>
    <row r="2380" spans="3:63">
      <c r="C2380" s="624"/>
      <c r="D2380" s="355">
        <v>3.0429999999999999E-2</v>
      </c>
      <c r="AV2380" s="624"/>
      <c r="AX2380" s="624">
        <v>41591</v>
      </c>
      <c r="AY2380" s="355">
        <v>3.0530000000000002E-2</v>
      </c>
      <c r="AZ2380" s="624">
        <v>41655</v>
      </c>
      <c r="BA2380" s="355">
        <v>1.18E-2</v>
      </c>
      <c r="BB2380" s="624">
        <v>41586</v>
      </c>
      <c r="BC2380" s="355">
        <v>0.31990000000000002</v>
      </c>
      <c r="BD2380" s="624">
        <v>41586</v>
      </c>
      <c r="BE2380" s="355">
        <v>9.3780000000000002E-2</v>
      </c>
      <c r="BF2380" s="624">
        <v>41718</v>
      </c>
      <c r="BG2380" s="355">
        <v>1.6330000000000001E-2</v>
      </c>
      <c r="BH2380" s="624">
        <v>41586</v>
      </c>
      <c r="BI2380" s="355">
        <v>8.7593000000000004E-2</v>
      </c>
      <c r="BJ2380" s="624">
        <v>41585</v>
      </c>
      <c r="BK2380" s="355">
        <v>3.1918000000000002E-2</v>
      </c>
    </row>
    <row r="2381" spans="3:63">
      <c r="C2381" s="624"/>
      <c r="D2381" s="355">
        <v>3.0530000000000002E-2</v>
      </c>
      <c r="AV2381" s="624"/>
      <c r="AX2381" s="624">
        <v>41592</v>
      </c>
      <c r="AY2381" s="355">
        <v>3.0620000000000001E-2</v>
      </c>
      <c r="AZ2381" s="624">
        <v>41656</v>
      </c>
      <c r="BA2381" s="355">
        <v>1.17E-2</v>
      </c>
      <c r="BB2381" s="624">
        <v>41589</v>
      </c>
      <c r="BC2381" s="355">
        <v>0.31809999999999999</v>
      </c>
      <c r="BD2381" s="624">
        <v>41589</v>
      </c>
      <c r="BE2381" s="355">
        <v>9.325E-2</v>
      </c>
      <c r="BF2381" s="624">
        <v>41719</v>
      </c>
      <c r="BG2381" s="355">
        <v>1.6393000000000001E-2</v>
      </c>
      <c r="BH2381" s="624">
        <v>41589</v>
      </c>
      <c r="BI2381" s="355">
        <v>8.6504999999999999E-2</v>
      </c>
      <c r="BJ2381" s="624">
        <v>41586</v>
      </c>
      <c r="BK2381" s="355">
        <v>3.1775999999999999E-2</v>
      </c>
    </row>
    <row r="2382" spans="3:63">
      <c r="C2382" s="624"/>
      <c r="D2382" s="355">
        <v>3.0620000000000001E-2</v>
      </c>
      <c r="AV2382" s="624"/>
      <c r="AX2382" s="624">
        <v>41593</v>
      </c>
      <c r="AY2382" s="355">
        <v>3.0689999999999999E-2</v>
      </c>
      <c r="AZ2382" s="624">
        <v>41659</v>
      </c>
      <c r="BA2382" s="355">
        <v>1.18E-2</v>
      </c>
      <c r="BB2382" s="624">
        <v>41590</v>
      </c>
      <c r="BC2382" s="355">
        <v>0.31950000000000001</v>
      </c>
      <c r="BD2382" s="624">
        <v>41590</v>
      </c>
      <c r="BE2382" s="355">
        <v>9.3170000000000003E-2</v>
      </c>
      <c r="BF2382" s="624">
        <v>41722</v>
      </c>
      <c r="BG2382" s="355">
        <v>1.6494000000000002E-2</v>
      </c>
      <c r="BH2382" s="624">
        <v>41590</v>
      </c>
      <c r="BI2382" s="355">
        <v>8.6113999999999996E-2</v>
      </c>
      <c r="BJ2382" s="624">
        <v>41589</v>
      </c>
      <c r="BK2382" s="355">
        <v>3.1598000000000001E-2</v>
      </c>
    </row>
    <row r="2383" spans="3:63">
      <c r="C2383" s="624"/>
      <c r="D2383" s="355">
        <v>3.0689999999999999E-2</v>
      </c>
      <c r="AV2383" s="624"/>
      <c r="AX2383" s="624">
        <v>41596</v>
      </c>
      <c r="AY2383" s="355">
        <v>3.0679999999999999E-2</v>
      </c>
      <c r="AZ2383" s="624">
        <v>41660</v>
      </c>
      <c r="BA2383" s="355">
        <v>1.17E-2</v>
      </c>
      <c r="BB2383" s="624">
        <v>41591</v>
      </c>
      <c r="BC2383" s="355">
        <v>0.32140000000000002</v>
      </c>
      <c r="BD2383" s="624">
        <v>41591</v>
      </c>
      <c r="BE2383" s="355">
        <v>9.3490000000000004E-2</v>
      </c>
      <c r="BF2383" s="624">
        <v>41723</v>
      </c>
      <c r="BG2383" s="355">
        <v>1.6597000000000001E-2</v>
      </c>
      <c r="BH2383" s="624">
        <v>41591</v>
      </c>
      <c r="BI2383" s="355">
        <v>8.6169999999999997E-2</v>
      </c>
      <c r="BJ2383" s="624">
        <v>41590</v>
      </c>
      <c r="BK2383" s="355">
        <v>3.1627000000000002E-2</v>
      </c>
    </row>
    <row r="2384" spans="3:63">
      <c r="C2384" s="624"/>
      <c r="D2384" s="355">
        <v>3.0679999999999999E-2</v>
      </c>
      <c r="AV2384" s="624"/>
      <c r="AX2384" s="624">
        <v>41597</v>
      </c>
      <c r="AY2384" s="355">
        <v>3.0540000000000001E-2</v>
      </c>
      <c r="AZ2384" s="624">
        <v>41661</v>
      </c>
      <c r="BA2384" s="355">
        <v>1.17E-2</v>
      </c>
      <c r="BB2384" s="624">
        <v>41592</v>
      </c>
      <c r="BC2384" s="355">
        <v>0.3211</v>
      </c>
      <c r="BD2384" s="624">
        <v>41592</v>
      </c>
      <c r="BE2384" s="355">
        <v>9.357E-2</v>
      </c>
      <c r="BF2384" s="624">
        <v>41724</v>
      </c>
      <c r="BG2384" s="355">
        <v>1.661E-2</v>
      </c>
      <c r="BH2384" s="624">
        <v>41592</v>
      </c>
      <c r="BI2384" s="355">
        <v>8.7689000000000003E-2</v>
      </c>
      <c r="BJ2384" s="624">
        <v>41591</v>
      </c>
      <c r="BK2384" s="355">
        <v>3.1753999999999998E-2</v>
      </c>
    </row>
    <row r="2385" spans="3:63">
      <c r="C2385" s="624"/>
      <c r="D2385" s="355">
        <v>3.0540000000000001E-2</v>
      </c>
      <c r="AV2385" s="624"/>
      <c r="AX2385" s="624">
        <v>41598</v>
      </c>
      <c r="AY2385" s="355">
        <v>3.039E-2</v>
      </c>
      <c r="AZ2385" s="624">
        <v>41662</v>
      </c>
      <c r="BA2385" s="355">
        <v>1.1900000000000001E-2</v>
      </c>
      <c r="BB2385" s="624">
        <v>41593</v>
      </c>
      <c r="BC2385" s="355">
        <v>0.32240000000000002</v>
      </c>
      <c r="BD2385" s="624">
        <v>41593</v>
      </c>
      <c r="BE2385" s="355">
        <v>9.4089999999999993E-2</v>
      </c>
      <c r="BF2385" s="624">
        <v>41725</v>
      </c>
      <c r="BG2385" s="355">
        <v>1.6615000000000001E-2</v>
      </c>
      <c r="BH2385" s="624">
        <v>41593</v>
      </c>
      <c r="BI2385" s="355">
        <v>8.6251999999999995E-2</v>
      </c>
      <c r="BJ2385" s="624">
        <v>41592</v>
      </c>
      <c r="BK2385" s="355">
        <v>3.1694E-2</v>
      </c>
    </row>
    <row r="2386" spans="3:63">
      <c r="C2386" s="624"/>
      <c r="D2386" s="355">
        <v>3.039E-2</v>
      </c>
      <c r="AV2386" s="624"/>
      <c r="AX2386" s="624">
        <v>41599</v>
      </c>
      <c r="AY2386" s="355">
        <v>3.0290000000000001E-2</v>
      </c>
      <c r="AZ2386" s="624">
        <v>41663</v>
      </c>
      <c r="BA2386" s="355">
        <v>1.18E-2</v>
      </c>
      <c r="BB2386" s="624">
        <v>41596</v>
      </c>
      <c r="BC2386" s="355">
        <v>0.3236</v>
      </c>
      <c r="BD2386" s="624">
        <v>41596</v>
      </c>
      <c r="BE2386" s="355">
        <v>9.4530000000000003E-2</v>
      </c>
      <c r="BF2386" s="624">
        <v>41726</v>
      </c>
      <c r="BG2386" s="355">
        <v>1.67E-2</v>
      </c>
      <c r="BH2386" s="624">
        <v>41596</v>
      </c>
      <c r="BI2386" s="355">
        <v>8.7719000000000005E-2</v>
      </c>
      <c r="BJ2386" s="624">
        <v>41593</v>
      </c>
      <c r="BK2386" s="355">
        <v>3.1646000000000001E-2</v>
      </c>
    </row>
    <row r="2387" spans="3:63">
      <c r="C2387" s="624"/>
      <c r="D2387" s="355">
        <v>3.0290000000000001E-2</v>
      </c>
      <c r="AV2387" s="624"/>
      <c r="AX2387" s="624">
        <v>41600</v>
      </c>
      <c r="AY2387" s="355">
        <v>3.0530000000000002E-2</v>
      </c>
      <c r="AZ2387" s="624">
        <v>41666</v>
      </c>
      <c r="BA2387" s="355">
        <v>1.18E-2</v>
      </c>
      <c r="BB2387" s="624">
        <v>41597</v>
      </c>
      <c r="BC2387" s="355">
        <v>0.32369999999999999</v>
      </c>
      <c r="BD2387" s="624">
        <v>41597</v>
      </c>
      <c r="BE2387" s="355">
        <v>9.4750000000000001E-2</v>
      </c>
      <c r="BF2387" s="624">
        <v>41730</v>
      </c>
      <c r="BG2387" s="355">
        <v>1.6723999999999999E-2</v>
      </c>
      <c r="BH2387" s="624">
        <v>41597</v>
      </c>
      <c r="BI2387" s="355">
        <v>8.7665999999999994E-2</v>
      </c>
      <c r="BJ2387" s="624">
        <v>41596</v>
      </c>
      <c r="BK2387" s="355">
        <v>3.1652E-2</v>
      </c>
    </row>
    <row r="2388" spans="3:63">
      <c r="C2388" s="624"/>
      <c r="D2388" s="355">
        <v>3.0530000000000002E-2</v>
      </c>
      <c r="AV2388" s="624"/>
      <c r="AX2388" s="624">
        <v>41603</v>
      </c>
      <c r="AY2388" s="355">
        <v>3.0370000000000001E-2</v>
      </c>
      <c r="AZ2388" s="624">
        <v>41667</v>
      </c>
      <c r="BA2388" s="355">
        <v>1.18E-2</v>
      </c>
      <c r="BB2388" s="624">
        <v>41598</v>
      </c>
      <c r="BC2388" s="355">
        <v>0.3206</v>
      </c>
      <c r="BD2388" s="624">
        <v>41598</v>
      </c>
      <c r="BE2388" s="355">
        <v>9.4619999999999996E-2</v>
      </c>
      <c r="BF2388" s="624">
        <v>41731</v>
      </c>
      <c r="BG2388" s="355">
        <v>1.6712999999999999E-2</v>
      </c>
      <c r="BH2388" s="624">
        <v>41598</v>
      </c>
      <c r="BI2388" s="355">
        <v>8.6639999999999995E-2</v>
      </c>
      <c r="BJ2388" s="624">
        <v>41597</v>
      </c>
      <c r="BK2388" s="355">
        <v>3.1620000000000002E-2</v>
      </c>
    </row>
    <row r="2389" spans="3:63">
      <c r="C2389" s="624"/>
      <c r="D2389" s="355">
        <v>3.0370000000000001E-2</v>
      </c>
      <c r="AV2389" s="624"/>
      <c r="AX2389" s="624">
        <v>41604</v>
      </c>
      <c r="AY2389" s="355">
        <v>3.0360000000000002E-2</v>
      </c>
      <c r="AZ2389" s="624">
        <v>41668</v>
      </c>
      <c r="BA2389" s="355">
        <v>1.18E-2</v>
      </c>
      <c r="BB2389" s="624">
        <v>41599</v>
      </c>
      <c r="BC2389" s="355">
        <v>0.32140000000000002</v>
      </c>
      <c r="BD2389" s="624">
        <v>41599</v>
      </c>
      <c r="BE2389" s="355">
        <v>9.4159999999999994E-2</v>
      </c>
      <c r="BF2389" s="624">
        <v>41732</v>
      </c>
      <c r="BG2389" s="355">
        <v>1.6558E-2</v>
      </c>
      <c r="BH2389" s="624">
        <v>41599</v>
      </c>
      <c r="BI2389" s="355">
        <v>8.5458999999999993E-2</v>
      </c>
      <c r="BJ2389" s="624">
        <v>41598</v>
      </c>
      <c r="BK2389" s="355">
        <v>3.1514E-2</v>
      </c>
    </row>
    <row r="2390" spans="3:63">
      <c r="C2390" s="624"/>
      <c r="D2390" s="355">
        <v>3.0360000000000002E-2</v>
      </c>
      <c r="AV2390" s="624"/>
      <c r="AX2390" s="624">
        <v>41605</v>
      </c>
      <c r="AY2390" s="355">
        <v>3.014E-2</v>
      </c>
      <c r="AZ2390" s="624">
        <v>41669</v>
      </c>
      <c r="BA2390" s="355">
        <v>1.17E-2</v>
      </c>
      <c r="BB2390" s="624">
        <v>41600</v>
      </c>
      <c r="BC2390" s="355">
        <v>0.32319999999999999</v>
      </c>
      <c r="BD2390" s="624">
        <v>41600</v>
      </c>
      <c r="BE2390" s="355">
        <v>9.4219999999999998E-2</v>
      </c>
      <c r="BF2390" s="624">
        <v>41733</v>
      </c>
      <c r="BG2390" s="355">
        <v>1.6719000000000001E-2</v>
      </c>
      <c r="BH2390" s="624">
        <v>41600</v>
      </c>
      <c r="BI2390" s="355">
        <v>8.7010000000000004E-2</v>
      </c>
      <c r="BJ2390" s="624">
        <v>41599</v>
      </c>
      <c r="BK2390" s="355">
        <v>3.1411000000000001E-2</v>
      </c>
    </row>
    <row r="2391" spans="3:63">
      <c r="C2391" s="624"/>
      <c r="D2391" s="355">
        <v>3.014E-2</v>
      </c>
      <c r="AV2391" s="624"/>
      <c r="AX2391" s="624">
        <v>41606</v>
      </c>
      <c r="AY2391" s="355">
        <v>3.015E-2</v>
      </c>
      <c r="AZ2391" s="624">
        <v>41670</v>
      </c>
      <c r="BA2391" s="355">
        <v>1.1599999999999999E-2</v>
      </c>
      <c r="BB2391" s="624">
        <v>41603</v>
      </c>
      <c r="BC2391" s="355">
        <v>0.32200000000000001</v>
      </c>
      <c r="BD2391" s="624">
        <v>41603</v>
      </c>
      <c r="BE2391" s="355">
        <v>9.4299999999999995E-2</v>
      </c>
      <c r="BF2391" s="624">
        <v>41736</v>
      </c>
      <c r="BG2391" s="355">
        <v>1.66E-2</v>
      </c>
      <c r="BH2391" s="624">
        <v>41603</v>
      </c>
      <c r="BI2391" s="355">
        <v>8.5125000000000006E-2</v>
      </c>
      <c r="BJ2391" s="624">
        <v>41600</v>
      </c>
      <c r="BK2391" s="355">
        <v>3.1433000000000003E-2</v>
      </c>
    </row>
    <row r="2392" spans="3:63">
      <c r="C2392" s="624"/>
      <c r="D2392" s="355">
        <v>3.015E-2</v>
      </c>
      <c r="AV2392" s="624"/>
      <c r="AX2392" s="624">
        <v>41607</v>
      </c>
      <c r="AY2392" s="355">
        <v>3.0169999999999999E-2</v>
      </c>
      <c r="AZ2392" s="624">
        <v>41673</v>
      </c>
      <c r="BA2392" s="355">
        <v>1.17E-2</v>
      </c>
      <c r="BB2392" s="624">
        <v>41604</v>
      </c>
      <c r="BC2392" s="355">
        <v>0.32290000000000002</v>
      </c>
      <c r="BD2392" s="624">
        <v>41604</v>
      </c>
      <c r="BE2392" s="355">
        <v>9.4280000000000003E-2</v>
      </c>
      <c r="BF2392" s="624">
        <v>41737</v>
      </c>
      <c r="BG2392" s="355">
        <v>1.6635E-2</v>
      </c>
      <c r="BH2392" s="624">
        <v>41604</v>
      </c>
      <c r="BI2392" s="355">
        <v>8.48E-2</v>
      </c>
      <c r="BJ2392" s="624">
        <v>41603</v>
      </c>
      <c r="BK2392" s="355">
        <v>3.1213999999999999E-2</v>
      </c>
    </row>
    <row r="2393" spans="3:63">
      <c r="C2393" s="624"/>
      <c r="D2393" s="355">
        <v>3.0169999999999999E-2</v>
      </c>
      <c r="AV2393" s="624"/>
      <c r="AX2393" s="624">
        <v>41610</v>
      </c>
      <c r="AY2393" s="355">
        <v>3.0099999999999998E-2</v>
      </c>
      <c r="AZ2393" s="624">
        <v>41674</v>
      </c>
      <c r="BA2393" s="355">
        <v>1.17E-2</v>
      </c>
      <c r="BB2393" s="624">
        <v>41605</v>
      </c>
      <c r="BC2393" s="355">
        <v>0.32290000000000002</v>
      </c>
      <c r="BD2393" s="624">
        <v>41605</v>
      </c>
      <c r="BE2393" s="355">
        <v>9.3890000000000001E-2</v>
      </c>
      <c r="BF2393" s="624">
        <v>41738</v>
      </c>
      <c r="BG2393" s="355">
        <v>1.6684999999999998E-2</v>
      </c>
      <c r="BH2393" s="624">
        <v>41605</v>
      </c>
      <c r="BI2393" s="355">
        <v>8.4055000000000005E-2</v>
      </c>
      <c r="BJ2393" s="624">
        <v>41604</v>
      </c>
      <c r="BK2393" s="355">
        <v>3.1119999999999998E-2</v>
      </c>
    </row>
    <row r="2394" spans="3:63">
      <c r="C2394" s="624"/>
      <c r="D2394" s="355">
        <v>3.0099999999999998E-2</v>
      </c>
      <c r="AV2394" s="624"/>
      <c r="AX2394" s="624">
        <v>41611</v>
      </c>
      <c r="AY2394" s="355">
        <v>3.006E-2</v>
      </c>
      <c r="AZ2394" s="624">
        <v>41675</v>
      </c>
      <c r="BA2394" s="355">
        <v>1.17E-2</v>
      </c>
      <c r="BB2394" s="624">
        <v>41606</v>
      </c>
      <c r="BC2394" s="355">
        <v>0.32429999999999998</v>
      </c>
      <c r="BD2394" s="624">
        <v>41606</v>
      </c>
      <c r="BE2394" s="355">
        <v>9.4189999999999996E-2</v>
      </c>
      <c r="BF2394" s="624">
        <v>41739</v>
      </c>
      <c r="BG2394" s="355">
        <v>1.6553999999999999E-2</v>
      </c>
      <c r="BH2394" s="624">
        <v>41606</v>
      </c>
      <c r="BI2394" s="355">
        <v>8.4703000000000001E-2</v>
      </c>
      <c r="BJ2394" s="624">
        <v>41605</v>
      </c>
      <c r="BK2394" s="355">
        <v>3.1151999999999999E-2</v>
      </c>
    </row>
    <row r="2395" spans="3:63">
      <c r="C2395" s="624"/>
      <c r="D2395" s="355">
        <v>3.006E-2</v>
      </c>
      <c r="AV2395" s="624"/>
      <c r="AX2395" s="624">
        <v>41612</v>
      </c>
      <c r="AY2395" s="355">
        <v>3.0130000000000001E-2</v>
      </c>
      <c r="AZ2395" s="624">
        <v>41676</v>
      </c>
      <c r="BA2395" s="355">
        <v>1.17E-2</v>
      </c>
      <c r="BB2395" s="624">
        <v>41607</v>
      </c>
      <c r="BC2395" s="355">
        <v>0.32319999999999999</v>
      </c>
      <c r="BD2395" s="624">
        <v>41607</v>
      </c>
      <c r="BE2395" s="355">
        <v>9.4500000000000001E-2</v>
      </c>
      <c r="BF2395" s="624">
        <v>41740</v>
      </c>
      <c r="BG2395" s="355">
        <v>1.6574999999999999E-2</v>
      </c>
      <c r="BH2395" s="624">
        <v>41607</v>
      </c>
      <c r="BI2395" s="355">
        <v>8.5070000000000007E-2</v>
      </c>
      <c r="BJ2395" s="624">
        <v>41606</v>
      </c>
      <c r="BK2395" s="355">
        <v>3.1136E-2</v>
      </c>
    </row>
    <row r="2396" spans="3:63">
      <c r="C2396" s="624"/>
      <c r="D2396" s="355">
        <v>3.0130000000000001E-2</v>
      </c>
      <c r="AV2396" s="624"/>
      <c r="AX2396" s="624">
        <v>41613</v>
      </c>
      <c r="AY2396" s="355">
        <v>3.0349999999999999E-2</v>
      </c>
      <c r="AZ2396" s="624">
        <v>41677</v>
      </c>
      <c r="BA2396" s="355">
        <v>1.18E-2</v>
      </c>
      <c r="BB2396" s="624">
        <v>41610</v>
      </c>
      <c r="BC2396" s="355">
        <v>0.32229999999999998</v>
      </c>
      <c r="BD2396" s="624">
        <v>41610</v>
      </c>
      <c r="BE2396" s="355">
        <v>9.4469999999999998E-2</v>
      </c>
      <c r="BF2396" s="624">
        <v>41743</v>
      </c>
      <c r="BG2396" s="355">
        <v>1.6566000000000001E-2</v>
      </c>
      <c r="BH2396" s="624">
        <v>41610</v>
      </c>
      <c r="BI2396" s="355">
        <v>8.4961999999999996E-2</v>
      </c>
      <c r="BJ2396" s="624">
        <v>41607</v>
      </c>
      <c r="BK2396" s="355">
        <v>3.1171999999999998E-2</v>
      </c>
    </row>
    <row r="2397" spans="3:63">
      <c r="C2397" s="624"/>
      <c r="D2397" s="355">
        <v>3.0349999999999999E-2</v>
      </c>
      <c r="AV2397" s="624"/>
      <c r="AX2397" s="624">
        <v>41614</v>
      </c>
      <c r="AY2397" s="355">
        <v>3.0499999999999999E-2</v>
      </c>
      <c r="AZ2397" s="624">
        <v>41680</v>
      </c>
      <c r="BA2397" s="355">
        <v>1.18E-2</v>
      </c>
      <c r="BB2397" s="624">
        <v>41611</v>
      </c>
      <c r="BC2397" s="355">
        <v>0.32329999999999998</v>
      </c>
      <c r="BD2397" s="624">
        <v>41611</v>
      </c>
      <c r="BE2397" s="355">
        <v>9.425E-2</v>
      </c>
      <c r="BF2397" s="624">
        <v>41744</v>
      </c>
      <c r="BG2397" s="355">
        <v>1.6555E-2</v>
      </c>
      <c r="BH2397" s="624">
        <v>41611</v>
      </c>
      <c r="BI2397" s="355">
        <v>8.4818000000000005E-2</v>
      </c>
      <c r="BJ2397" s="624">
        <v>41610</v>
      </c>
      <c r="BK2397" s="355">
        <v>3.1064999999999999E-2</v>
      </c>
    </row>
    <row r="2398" spans="3:63">
      <c r="C2398" s="624"/>
      <c r="D2398" s="355">
        <v>3.0499999999999999E-2</v>
      </c>
      <c r="AV2398" s="624"/>
      <c r="AX2398" s="624">
        <v>41617</v>
      </c>
      <c r="AY2398" s="355">
        <v>3.0609999999999998E-2</v>
      </c>
      <c r="AZ2398" s="624">
        <v>41681</v>
      </c>
      <c r="BA2398" s="355">
        <v>1.18E-2</v>
      </c>
      <c r="BB2398" s="624">
        <v>41612</v>
      </c>
      <c r="BC2398" s="355">
        <v>0.3236</v>
      </c>
      <c r="BD2398" s="624">
        <v>41612</v>
      </c>
      <c r="BE2398" s="355">
        <v>9.4200000000000006E-2</v>
      </c>
      <c r="BF2398" s="624">
        <v>41745</v>
      </c>
      <c r="BG2398" s="355">
        <v>1.6587000000000001E-2</v>
      </c>
      <c r="BH2398" s="624">
        <v>41612</v>
      </c>
      <c r="BI2398" s="355">
        <v>8.4132999999999999E-2</v>
      </c>
      <c r="BJ2398" s="624">
        <v>41611</v>
      </c>
      <c r="BK2398" s="355">
        <v>3.1078999999999999E-2</v>
      </c>
    </row>
    <row r="2399" spans="3:63">
      <c r="C2399" s="624"/>
      <c r="D2399" s="355">
        <v>3.0609999999999998E-2</v>
      </c>
      <c r="AV2399" s="624"/>
      <c r="AX2399" s="624">
        <v>41618</v>
      </c>
      <c r="AY2399" s="355">
        <v>3.0550000000000001E-2</v>
      </c>
      <c r="AZ2399" s="624">
        <v>41682</v>
      </c>
      <c r="BA2399" s="355">
        <v>1.17E-2</v>
      </c>
      <c r="BB2399" s="624">
        <v>41613</v>
      </c>
      <c r="BC2399" s="355">
        <v>0.32619999999999999</v>
      </c>
      <c r="BD2399" s="624">
        <v>41613</v>
      </c>
      <c r="BE2399" s="355">
        <v>9.4450000000000006E-2</v>
      </c>
      <c r="BF2399" s="624">
        <v>41746</v>
      </c>
      <c r="BG2399" s="355">
        <v>1.6567999999999999E-2</v>
      </c>
      <c r="BH2399" s="624">
        <v>41613</v>
      </c>
      <c r="BI2399" s="355">
        <v>8.3632999999999999E-2</v>
      </c>
      <c r="BJ2399" s="624">
        <v>41612</v>
      </c>
      <c r="BK2399" s="355">
        <v>3.1026999999999999E-2</v>
      </c>
    </row>
    <row r="2400" spans="3:63">
      <c r="C2400" s="624"/>
      <c r="D2400" s="355">
        <v>3.0550000000000001E-2</v>
      </c>
      <c r="AV2400" s="624"/>
      <c r="AX2400" s="624">
        <v>41619</v>
      </c>
      <c r="AY2400" s="355">
        <v>3.0499999999999999E-2</v>
      </c>
      <c r="AZ2400" s="624">
        <v>41683</v>
      </c>
      <c r="BA2400" s="355">
        <v>1.18E-2</v>
      </c>
      <c r="BB2400" s="624">
        <v>41614</v>
      </c>
      <c r="BC2400" s="355">
        <v>0.32750000000000001</v>
      </c>
      <c r="BD2400" s="624">
        <v>41614</v>
      </c>
      <c r="BE2400" s="355">
        <v>9.4719999999999999E-2</v>
      </c>
      <c r="BF2400" s="624">
        <v>41747</v>
      </c>
      <c r="BG2400" s="355">
        <v>1.6562E-2</v>
      </c>
      <c r="BH2400" s="624">
        <v>41614</v>
      </c>
      <c r="BI2400" s="355">
        <v>8.4417000000000006E-2</v>
      </c>
      <c r="BJ2400" s="624">
        <v>41613</v>
      </c>
      <c r="BK2400" s="355">
        <v>3.1061999999999999E-2</v>
      </c>
    </row>
    <row r="2401" spans="3:63">
      <c r="C2401" s="624"/>
      <c r="D2401" s="355">
        <v>3.0499999999999999E-2</v>
      </c>
      <c r="AV2401" s="624"/>
      <c r="AX2401" s="624">
        <v>41620</v>
      </c>
      <c r="AY2401" s="355">
        <v>3.0470000000000001E-2</v>
      </c>
      <c r="AZ2401" s="624">
        <v>41684</v>
      </c>
      <c r="BA2401" s="355">
        <v>1.18E-2</v>
      </c>
      <c r="BB2401" s="624">
        <v>41617</v>
      </c>
      <c r="BC2401" s="355">
        <v>0.3281</v>
      </c>
      <c r="BD2401" s="624">
        <v>41617</v>
      </c>
      <c r="BE2401" s="355">
        <v>9.5079999999999998E-2</v>
      </c>
      <c r="BF2401" s="624">
        <v>41750</v>
      </c>
      <c r="BG2401" s="355">
        <v>1.6528000000000001E-2</v>
      </c>
      <c r="BH2401" s="624">
        <v>41617</v>
      </c>
      <c r="BI2401" s="355">
        <v>8.4587999999999997E-2</v>
      </c>
      <c r="BJ2401" s="624">
        <v>41614</v>
      </c>
      <c r="BK2401" s="355">
        <v>3.1123999999999999E-2</v>
      </c>
    </row>
    <row r="2402" spans="3:63">
      <c r="C2402" s="624"/>
      <c r="D2402" s="355">
        <v>3.0470000000000001E-2</v>
      </c>
      <c r="AV2402" s="624"/>
      <c r="AX2402" s="624">
        <v>41621</v>
      </c>
      <c r="AY2402" s="355">
        <v>3.0380000000000001E-2</v>
      </c>
      <c r="AZ2402" s="624">
        <v>41687</v>
      </c>
      <c r="BA2402" s="355">
        <v>1.18E-2</v>
      </c>
      <c r="BB2402" s="624">
        <v>41618</v>
      </c>
      <c r="BC2402" s="355">
        <v>0.32929999999999998</v>
      </c>
      <c r="BD2402" s="624">
        <v>41618</v>
      </c>
      <c r="BE2402" s="355">
        <v>9.5100000000000004E-2</v>
      </c>
      <c r="BF2402" s="624">
        <v>41751</v>
      </c>
      <c r="BG2402" s="355">
        <v>1.6416E-2</v>
      </c>
      <c r="BH2402" s="624">
        <v>41618</v>
      </c>
      <c r="BI2402" s="355">
        <v>8.4295999999999996E-2</v>
      </c>
      <c r="BJ2402" s="624">
        <v>41617</v>
      </c>
      <c r="BK2402" s="355">
        <v>3.1126999999999998E-2</v>
      </c>
    </row>
    <row r="2403" spans="3:63">
      <c r="C2403" s="624"/>
      <c r="D2403" s="355">
        <v>3.0380000000000001E-2</v>
      </c>
      <c r="AV2403" s="624"/>
      <c r="AX2403" s="624">
        <v>41624</v>
      </c>
      <c r="AY2403" s="355">
        <v>3.0380000000000001E-2</v>
      </c>
      <c r="AZ2403" s="624">
        <v>41688</v>
      </c>
      <c r="BA2403" s="355">
        <v>1.1900000000000001E-2</v>
      </c>
      <c r="BB2403" s="624">
        <v>41619</v>
      </c>
      <c r="BC2403" s="355">
        <v>0.3296</v>
      </c>
      <c r="BD2403" s="624">
        <v>41619</v>
      </c>
      <c r="BE2403" s="355">
        <v>9.5049999999999996E-2</v>
      </c>
      <c r="BF2403" s="624">
        <v>41752</v>
      </c>
      <c r="BG2403" s="355">
        <v>1.6355000000000001E-2</v>
      </c>
      <c r="BH2403" s="624">
        <v>41619</v>
      </c>
      <c r="BI2403" s="355">
        <v>8.3126000000000005E-2</v>
      </c>
      <c r="BJ2403" s="624">
        <v>41618</v>
      </c>
      <c r="BK2403" s="355">
        <v>3.1189999999999999E-2</v>
      </c>
    </row>
    <row r="2404" spans="3:63">
      <c r="C2404" s="624"/>
      <c r="D2404" s="355">
        <v>3.0380000000000001E-2</v>
      </c>
      <c r="AV2404" s="624"/>
      <c r="AX2404" s="624">
        <v>41625</v>
      </c>
      <c r="AY2404" s="355">
        <v>3.0339999999999999E-2</v>
      </c>
      <c r="AZ2404" s="624">
        <v>41689</v>
      </c>
      <c r="BA2404" s="355">
        <v>1.1900000000000001E-2</v>
      </c>
      <c r="BB2404" s="624">
        <v>41620</v>
      </c>
      <c r="BC2404" s="355">
        <v>0.3291</v>
      </c>
      <c r="BD2404" s="624">
        <v>41620</v>
      </c>
      <c r="BE2404" s="355">
        <v>9.5030000000000003E-2</v>
      </c>
      <c r="BF2404" s="624">
        <v>41753</v>
      </c>
      <c r="BG2404" s="355">
        <v>1.6362999999999999E-2</v>
      </c>
      <c r="BH2404" s="624">
        <v>41620</v>
      </c>
      <c r="BI2404" s="355">
        <v>8.3118999999999998E-2</v>
      </c>
      <c r="BJ2404" s="624">
        <v>41619</v>
      </c>
      <c r="BK2404" s="355">
        <v>3.1175999999999999E-2</v>
      </c>
    </row>
    <row r="2405" spans="3:63">
      <c r="C2405" s="624"/>
      <c r="D2405" s="355">
        <v>3.0339999999999999E-2</v>
      </c>
      <c r="AV2405" s="624"/>
      <c r="AX2405" s="624">
        <v>41626</v>
      </c>
      <c r="AY2405" s="355">
        <v>3.0419999999999999E-2</v>
      </c>
      <c r="AZ2405" s="624">
        <v>41690</v>
      </c>
      <c r="BA2405" s="355">
        <v>1.18E-2</v>
      </c>
      <c r="BB2405" s="624">
        <v>41621</v>
      </c>
      <c r="BC2405" s="355">
        <v>0.32890000000000003</v>
      </c>
      <c r="BD2405" s="624">
        <v>41621</v>
      </c>
      <c r="BE2405" s="355">
        <v>9.4829999999999998E-2</v>
      </c>
      <c r="BF2405" s="624">
        <v>41754</v>
      </c>
      <c r="BG2405" s="355">
        <v>1.6483000000000001E-2</v>
      </c>
      <c r="BH2405" s="624">
        <v>41621</v>
      </c>
      <c r="BI2405" s="355">
        <v>8.3361000000000005E-2</v>
      </c>
      <c r="BJ2405" s="624">
        <v>41620</v>
      </c>
      <c r="BK2405" s="355">
        <v>3.1127999999999999E-2</v>
      </c>
    </row>
    <row r="2406" spans="3:63">
      <c r="C2406" s="624"/>
      <c r="D2406" s="355">
        <v>3.0419999999999999E-2</v>
      </c>
      <c r="AV2406" s="624"/>
      <c r="AX2406" s="624">
        <v>41627</v>
      </c>
      <c r="AY2406" s="355">
        <v>3.031E-2</v>
      </c>
      <c r="AZ2406" s="624">
        <v>41691</v>
      </c>
      <c r="BA2406" s="355">
        <v>1.1900000000000001E-2</v>
      </c>
      <c r="BB2406" s="624">
        <v>41624</v>
      </c>
      <c r="BC2406" s="355">
        <v>0.3296</v>
      </c>
      <c r="BD2406" s="624">
        <v>41624</v>
      </c>
      <c r="BE2406" s="355">
        <v>9.4960000000000003E-2</v>
      </c>
      <c r="BF2406" s="624">
        <v>41757</v>
      </c>
      <c r="BG2406" s="355">
        <v>1.6508999999999999E-2</v>
      </c>
      <c r="BH2406" s="624">
        <v>41624</v>
      </c>
      <c r="BI2406" s="355">
        <v>8.3389000000000005E-2</v>
      </c>
      <c r="BJ2406" s="624">
        <v>41621</v>
      </c>
      <c r="BK2406" s="355">
        <v>3.1192000000000001E-2</v>
      </c>
    </row>
    <row r="2407" spans="3:63">
      <c r="C2407" s="624"/>
      <c r="D2407" s="355">
        <v>3.031E-2</v>
      </c>
      <c r="AV2407" s="624"/>
      <c r="AX2407" s="624">
        <v>41628</v>
      </c>
      <c r="AY2407" s="355">
        <v>3.0259999999999999E-2</v>
      </c>
      <c r="AZ2407" s="624">
        <v>41694</v>
      </c>
      <c r="BA2407" s="355">
        <v>1.1900000000000001E-2</v>
      </c>
      <c r="BB2407" s="624">
        <v>41625</v>
      </c>
      <c r="BC2407" s="355">
        <v>0.32929999999999998</v>
      </c>
      <c r="BD2407" s="624">
        <v>41625</v>
      </c>
      <c r="BE2407" s="355">
        <v>9.4920000000000004E-2</v>
      </c>
      <c r="BF2407" s="624">
        <v>41758</v>
      </c>
      <c r="BG2407" s="355">
        <v>1.6590000000000001E-2</v>
      </c>
      <c r="BH2407" s="624">
        <v>41625</v>
      </c>
      <c r="BI2407" s="355">
        <v>8.3500000000000005E-2</v>
      </c>
      <c r="BJ2407" s="624">
        <v>41624</v>
      </c>
      <c r="BK2407" s="355">
        <v>3.1236E-2</v>
      </c>
    </row>
    <row r="2408" spans="3:63">
      <c r="C2408" s="624"/>
      <c r="D2408" s="355">
        <v>3.0259999999999999E-2</v>
      </c>
      <c r="AV2408" s="624"/>
      <c r="AX2408" s="624">
        <v>41631</v>
      </c>
      <c r="AY2408" s="355">
        <v>3.057E-2</v>
      </c>
      <c r="AZ2408" s="624">
        <v>41695</v>
      </c>
      <c r="BA2408" s="355">
        <v>1.1900000000000001E-2</v>
      </c>
      <c r="BB2408" s="624">
        <v>41626</v>
      </c>
      <c r="BC2408" s="355">
        <v>0.32819999999999999</v>
      </c>
      <c r="BD2408" s="624">
        <v>41626</v>
      </c>
      <c r="BE2408" s="355">
        <v>9.5030000000000003E-2</v>
      </c>
      <c r="BF2408" s="624">
        <v>41759</v>
      </c>
      <c r="BG2408" s="355">
        <v>1.6580999999999999E-2</v>
      </c>
      <c r="BH2408" s="624">
        <v>41626</v>
      </c>
      <c r="BI2408" s="355">
        <v>8.3132999999999999E-2</v>
      </c>
      <c r="BJ2408" s="624">
        <v>41625</v>
      </c>
      <c r="BK2408" s="355">
        <v>3.1140999999999999E-2</v>
      </c>
    </row>
    <row r="2409" spans="3:63">
      <c r="C2409" s="624"/>
      <c r="D2409" s="355">
        <v>3.057E-2</v>
      </c>
      <c r="AV2409" s="624"/>
      <c r="AX2409" s="624">
        <v>41632</v>
      </c>
      <c r="AY2409" s="355">
        <v>3.065E-2</v>
      </c>
      <c r="AZ2409" s="624">
        <v>41696</v>
      </c>
      <c r="BA2409" s="355">
        <v>1.18E-2</v>
      </c>
      <c r="BB2409" s="624">
        <v>41627</v>
      </c>
      <c r="BC2409" s="355">
        <v>0.32850000000000001</v>
      </c>
      <c r="BD2409" s="624">
        <v>41627</v>
      </c>
      <c r="BE2409" s="355">
        <v>9.4170000000000004E-2</v>
      </c>
      <c r="BF2409" s="624">
        <v>41760</v>
      </c>
      <c r="BG2409" s="355">
        <v>1.6625000000000001E-2</v>
      </c>
      <c r="BH2409" s="624">
        <v>41627</v>
      </c>
      <c r="BI2409" s="355">
        <v>8.2802000000000001E-2</v>
      </c>
      <c r="BJ2409" s="624">
        <v>41626</v>
      </c>
      <c r="BK2409" s="355">
        <v>3.0911999999999999E-2</v>
      </c>
    </row>
    <row r="2410" spans="3:63">
      <c r="C2410" s="624"/>
      <c r="D2410" s="355">
        <v>3.065E-2</v>
      </c>
      <c r="AV2410" s="624"/>
      <c r="AX2410" s="624">
        <v>41633</v>
      </c>
      <c r="AY2410" s="355">
        <v>3.058E-2</v>
      </c>
      <c r="AZ2410" s="624">
        <v>41697</v>
      </c>
      <c r="BA2410" s="355">
        <v>1.18E-2</v>
      </c>
      <c r="BB2410" s="624">
        <v>41628</v>
      </c>
      <c r="BC2410" s="355">
        <v>0.32900000000000001</v>
      </c>
      <c r="BD2410" s="624">
        <v>41628</v>
      </c>
      <c r="BE2410" s="355">
        <v>9.4020000000000006E-2</v>
      </c>
      <c r="BF2410" s="624">
        <v>41761</v>
      </c>
      <c r="BG2410" s="355">
        <v>1.6653999999999999E-2</v>
      </c>
      <c r="BH2410" s="624">
        <v>41628</v>
      </c>
      <c r="BI2410" s="355">
        <v>8.2196000000000005E-2</v>
      </c>
      <c r="BJ2410" s="624">
        <v>41627</v>
      </c>
      <c r="BK2410" s="355">
        <v>3.0780999999999999E-2</v>
      </c>
    </row>
    <row r="2411" spans="3:63">
      <c r="C2411" s="624"/>
      <c r="D2411" s="355">
        <v>3.058E-2</v>
      </c>
      <c r="AV2411" s="624"/>
      <c r="AX2411" s="624">
        <v>41634</v>
      </c>
      <c r="AY2411" s="355">
        <v>3.0620000000000001E-2</v>
      </c>
      <c r="AZ2411" s="624">
        <v>41698</v>
      </c>
      <c r="BA2411" s="355">
        <v>1.1900000000000001E-2</v>
      </c>
      <c r="BB2411" s="624">
        <v>41631</v>
      </c>
      <c r="BC2411" s="355">
        <v>0.32919999999999999</v>
      </c>
      <c r="BD2411" s="624">
        <v>41631</v>
      </c>
      <c r="BE2411" s="355">
        <v>9.4210000000000002E-2</v>
      </c>
      <c r="BF2411" s="624">
        <v>41764</v>
      </c>
      <c r="BG2411" s="355">
        <v>1.6636999999999999E-2</v>
      </c>
      <c r="BH2411" s="624">
        <v>41631</v>
      </c>
      <c r="BI2411" s="355">
        <v>8.2318000000000002E-2</v>
      </c>
      <c r="BJ2411" s="624">
        <v>41628</v>
      </c>
      <c r="BK2411" s="355">
        <v>3.0665000000000001E-2</v>
      </c>
    </row>
    <row r="2412" spans="3:63">
      <c r="C2412" s="624"/>
      <c r="D2412" s="355">
        <v>3.0620000000000001E-2</v>
      </c>
      <c r="AV2412" s="624"/>
      <c r="AX2412" s="624">
        <v>41635</v>
      </c>
      <c r="AY2412" s="355">
        <v>3.0700000000000002E-2</v>
      </c>
      <c r="AZ2412" s="624">
        <v>41701</v>
      </c>
      <c r="BA2412" s="355">
        <v>1.18E-2</v>
      </c>
      <c r="BB2412" s="624">
        <v>41632</v>
      </c>
      <c r="BC2412" s="355">
        <v>0.33050000000000002</v>
      </c>
      <c r="BD2412" s="624">
        <v>41632</v>
      </c>
      <c r="BE2412" s="355">
        <v>9.4280000000000003E-2</v>
      </c>
      <c r="BF2412" s="624">
        <v>41765</v>
      </c>
      <c r="BG2412" s="355">
        <v>1.6662E-2</v>
      </c>
      <c r="BH2412" s="624">
        <v>41632</v>
      </c>
      <c r="BI2412" s="355">
        <v>8.2229999999999998E-2</v>
      </c>
      <c r="BJ2412" s="624">
        <v>41631</v>
      </c>
      <c r="BK2412" s="355">
        <v>3.0578999999999999E-2</v>
      </c>
    </row>
    <row r="2413" spans="3:63">
      <c r="C2413" s="624"/>
      <c r="D2413" s="355">
        <v>3.0700000000000002E-2</v>
      </c>
      <c r="AV2413" s="624"/>
      <c r="AX2413" s="624">
        <v>41638</v>
      </c>
      <c r="AY2413" s="355">
        <v>3.0470000000000001E-2</v>
      </c>
      <c r="AZ2413" s="624">
        <v>41702</v>
      </c>
      <c r="BA2413" s="355">
        <v>1.18E-2</v>
      </c>
      <c r="BB2413" s="624">
        <v>41633</v>
      </c>
      <c r="BC2413" s="355">
        <v>0.3301</v>
      </c>
      <c r="BD2413" s="624">
        <v>41633</v>
      </c>
      <c r="BE2413" s="355">
        <v>9.4299999999999995E-2</v>
      </c>
      <c r="BF2413" s="624">
        <v>41766</v>
      </c>
      <c r="BG2413" s="355">
        <v>1.6695000000000002E-2</v>
      </c>
      <c r="BH2413" s="624">
        <v>41633</v>
      </c>
      <c r="BI2413" s="355">
        <v>8.1733E-2</v>
      </c>
      <c r="BJ2413" s="624">
        <v>41632</v>
      </c>
      <c r="BK2413" s="355">
        <v>3.0571999999999998E-2</v>
      </c>
    </row>
    <row r="2414" spans="3:63">
      <c r="C2414" s="624"/>
      <c r="D2414" s="355">
        <v>3.0470000000000001E-2</v>
      </c>
      <c r="AV2414" s="624"/>
      <c r="AX2414" s="624">
        <v>41639</v>
      </c>
      <c r="AY2414" s="355">
        <v>3.039E-2</v>
      </c>
      <c r="AZ2414" s="624">
        <v>41703</v>
      </c>
      <c r="BA2414" s="355">
        <v>1.18E-2</v>
      </c>
      <c r="BB2414" s="624">
        <v>41634</v>
      </c>
      <c r="BC2414" s="355">
        <v>0.33079999999999998</v>
      </c>
      <c r="BD2414" s="624">
        <v>41634</v>
      </c>
      <c r="BE2414" s="355">
        <v>9.4380000000000006E-2</v>
      </c>
      <c r="BF2414" s="624">
        <v>41767</v>
      </c>
      <c r="BG2414" s="355">
        <v>1.6684999999999998E-2</v>
      </c>
      <c r="BH2414" s="624">
        <v>41634</v>
      </c>
      <c r="BI2414" s="355">
        <v>8.2264000000000004E-2</v>
      </c>
      <c r="BJ2414" s="624">
        <v>41633</v>
      </c>
      <c r="BK2414" s="355">
        <v>3.0508E-2</v>
      </c>
    </row>
    <row r="2415" spans="3:63">
      <c r="C2415" s="624"/>
      <c r="D2415" s="355">
        <v>3.039E-2</v>
      </c>
      <c r="AV2415" s="624"/>
      <c r="AX2415" s="624">
        <v>41640</v>
      </c>
      <c r="AY2415" s="355">
        <v>3.04E-2</v>
      </c>
      <c r="AZ2415" s="624">
        <v>41704</v>
      </c>
      <c r="BA2415" s="355">
        <v>1.1900000000000001E-2</v>
      </c>
      <c r="BB2415" s="624">
        <v>41635</v>
      </c>
      <c r="BC2415" s="355">
        <v>0.33150000000000002</v>
      </c>
      <c r="BD2415" s="624">
        <v>41635</v>
      </c>
      <c r="BE2415" s="355">
        <v>9.4820000000000002E-2</v>
      </c>
      <c r="BF2415" s="624">
        <v>41768</v>
      </c>
      <c r="BG2415" s="355">
        <v>1.6711E-2</v>
      </c>
      <c r="BH2415" s="624">
        <v>41635</v>
      </c>
      <c r="BI2415" s="355">
        <v>8.2270999999999997E-2</v>
      </c>
      <c r="BJ2415" s="624">
        <v>41634</v>
      </c>
      <c r="BK2415" s="355">
        <v>3.0463E-2</v>
      </c>
    </row>
    <row r="2416" spans="3:63">
      <c r="C2416" s="624"/>
      <c r="D2416" s="355">
        <v>3.04E-2</v>
      </c>
      <c r="AV2416" s="624"/>
      <c r="AX2416" s="624">
        <v>41641</v>
      </c>
      <c r="AY2416" s="355">
        <v>3.0210000000000001E-2</v>
      </c>
      <c r="AZ2416" s="624">
        <v>41705</v>
      </c>
      <c r="BA2416" s="355">
        <v>1.2E-2</v>
      </c>
      <c r="BB2416" s="624">
        <v>41638</v>
      </c>
      <c r="BC2416" s="355">
        <v>0.33289999999999997</v>
      </c>
      <c r="BD2416" s="624">
        <v>41638</v>
      </c>
      <c r="BE2416" s="355">
        <v>9.4740000000000005E-2</v>
      </c>
      <c r="BF2416" s="624">
        <v>41771</v>
      </c>
      <c r="BG2416" s="355">
        <v>1.6788000000000001E-2</v>
      </c>
      <c r="BH2416" s="624">
        <v>41638</v>
      </c>
      <c r="BI2416" s="355">
        <v>8.1806000000000004E-2</v>
      </c>
      <c r="BJ2416" s="624">
        <v>41635</v>
      </c>
      <c r="BK2416" s="355">
        <v>3.0464999999999999E-2</v>
      </c>
    </row>
    <row r="2417" spans="3:63">
      <c r="C2417" s="624"/>
      <c r="D2417" s="355">
        <v>3.0210000000000001E-2</v>
      </c>
      <c r="AV2417" s="624"/>
      <c r="AX2417" s="624">
        <v>41642</v>
      </c>
      <c r="AY2417" s="355">
        <v>3.014E-2</v>
      </c>
      <c r="AZ2417" s="624">
        <v>41708</v>
      </c>
      <c r="BA2417" s="355">
        <v>1.2E-2</v>
      </c>
      <c r="BB2417" s="624">
        <v>41639</v>
      </c>
      <c r="BC2417" s="355">
        <v>0.33079999999999998</v>
      </c>
      <c r="BD2417" s="624">
        <v>41639</v>
      </c>
      <c r="BE2417" s="355">
        <v>9.4979999999999995E-2</v>
      </c>
      <c r="BF2417" s="624">
        <v>41772</v>
      </c>
      <c r="BG2417" s="355">
        <v>1.6816999999999999E-2</v>
      </c>
      <c r="BH2417" s="624">
        <v>41639</v>
      </c>
      <c r="BI2417" s="355">
        <v>8.2163E-2</v>
      </c>
      <c r="BJ2417" s="624">
        <v>41638</v>
      </c>
      <c r="BK2417" s="355">
        <v>3.0466E-2</v>
      </c>
    </row>
    <row r="2418" spans="3:63">
      <c r="C2418" s="624"/>
      <c r="D2418" s="355">
        <v>3.014E-2</v>
      </c>
      <c r="AV2418" s="624"/>
      <c r="AX2418" s="624">
        <v>41645</v>
      </c>
      <c r="AY2418" s="355">
        <v>3.014E-2</v>
      </c>
      <c r="AZ2418" s="624">
        <v>41709</v>
      </c>
      <c r="BA2418" s="355">
        <v>1.1900000000000001E-2</v>
      </c>
      <c r="BB2418" s="624">
        <v>41640</v>
      </c>
      <c r="BC2418" s="355">
        <v>0.33119999999999999</v>
      </c>
      <c r="BD2418" s="624">
        <v>41640</v>
      </c>
      <c r="BE2418" s="355">
        <v>9.4710000000000003E-2</v>
      </c>
      <c r="BF2418" s="624">
        <v>41773</v>
      </c>
      <c r="BG2418" s="355">
        <v>1.6813000000000002E-2</v>
      </c>
      <c r="BH2418" s="624">
        <v>41640</v>
      </c>
      <c r="BI2418" s="355">
        <v>8.2169000000000006E-2</v>
      </c>
      <c r="BJ2418" s="624">
        <v>41639</v>
      </c>
      <c r="BK2418" s="355">
        <v>3.0581000000000001E-2</v>
      </c>
    </row>
    <row r="2419" spans="3:63">
      <c r="C2419" s="624"/>
      <c r="D2419" s="355">
        <v>3.014E-2</v>
      </c>
      <c r="AV2419" s="624"/>
      <c r="AX2419" s="624">
        <v>41646</v>
      </c>
      <c r="AY2419" s="355">
        <v>3.0179999999999998E-2</v>
      </c>
      <c r="AZ2419" s="624">
        <v>41710</v>
      </c>
      <c r="BA2419" s="355">
        <v>1.2E-2</v>
      </c>
      <c r="BB2419" s="624">
        <v>41641</v>
      </c>
      <c r="BC2419" s="355">
        <v>0.32800000000000001</v>
      </c>
      <c r="BD2419" s="624">
        <v>41641</v>
      </c>
      <c r="BE2419" s="355">
        <v>9.5180000000000001E-2</v>
      </c>
      <c r="BF2419" s="624">
        <v>41774</v>
      </c>
      <c r="BG2419" s="355">
        <v>1.6816999999999999E-2</v>
      </c>
      <c r="BH2419" s="624">
        <v>41641</v>
      </c>
      <c r="BI2419" s="355">
        <v>8.2461000000000007E-2</v>
      </c>
      <c r="BJ2419" s="624">
        <v>41640</v>
      </c>
      <c r="BK2419" s="355">
        <v>3.0553E-2</v>
      </c>
    </row>
    <row r="2420" spans="3:63">
      <c r="C2420" s="624"/>
      <c r="D2420" s="355">
        <v>3.0179999999999998E-2</v>
      </c>
      <c r="AV2420" s="624"/>
      <c r="AX2420" s="624">
        <v>41647</v>
      </c>
      <c r="AY2420" s="355">
        <v>3.0099999999999998E-2</v>
      </c>
      <c r="AZ2420" s="624">
        <v>41711</v>
      </c>
      <c r="BA2420" s="355">
        <v>1.2E-2</v>
      </c>
      <c r="BB2420" s="624">
        <v>41642</v>
      </c>
      <c r="BC2420" s="355">
        <v>0.3261</v>
      </c>
      <c r="BD2420" s="624">
        <v>41642</v>
      </c>
      <c r="BE2420" s="355">
        <v>9.4740000000000005E-2</v>
      </c>
      <c r="BF2420" s="624">
        <v>41775</v>
      </c>
      <c r="BG2420" s="355">
        <v>1.7080999999999999E-2</v>
      </c>
      <c r="BH2420" s="624">
        <v>41642</v>
      </c>
      <c r="BI2420" s="355">
        <v>8.2507999999999998E-2</v>
      </c>
      <c r="BJ2420" s="624">
        <v>41641</v>
      </c>
      <c r="BK2420" s="355">
        <v>3.0331E-2</v>
      </c>
    </row>
    <row r="2421" spans="3:63">
      <c r="C2421" s="624"/>
      <c r="D2421" s="355">
        <v>3.0099999999999998E-2</v>
      </c>
      <c r="AV2421" s="624"/>
      <c r="AX2421" s="624">
        <v>41648</v>
      </c>
      <c r="AY2421" s="355">
        <v>3.0130000000000001E-2</v>
      </c>
      <c r="AZ2421" s="624">
        <v>41712</v>
      </c>
      <c r="BA2421" s="355">
        <v>1.2E-2</v>
      </c>
      <c r="BB2421" s="624">
        <v>41645</v>
      </c>
      <c r="BC2421" s="355">
        <v>0.32640000000000002</v>
      </c>
      <c r="BD2421" s="624">
        <v>41645</v>
      </c>
      <c r="BE2421" s="355">
        <v>9.3880000000000005E-2</v>
      </c>
      <c r="BF2421" s="624">
        <v>41778</v>
      </c>
      <c r="BG2421" s="355">
        <v>1.7111999999999999E-2</v>
      </c>
      <c r="BH2421" s="624">
        <v>41645</v>
      </c>
      <c r="BI2421" s="355">
        <v>8.2020999999999997E-2</v>
      </c>
      <c r="BJ2421" s="624">
        <v>41642</v>
      </c>
      <c r="BK2421" s="355">
        <v>3.0294000000000001E-2</v>
      </c>
    </row>
    <row r="2422" spans="3:63">
      <c r="C2422" s="624"/>
      <c r="D2422" s="355">
        <v>3.0130000000000001E-2</v>
      </c>
      <c r="AV2422" s="624"/>
      <c r="AX2422" s="624">
        <v>41649</v>
      </c>
      <c r="AY2422" s="355">
        <v>3.0269999999999998E-2</v>
      </c>
      <c r="AZ2422" s="624">
        <v>41715</v>
      </c>
      <c r="BA2422" s="355">
        <v>1.2E-2</v>
      </c>
      <c r="BB2422" s="624">
        <v>41646</v>
      </c>
      <c r="BC2422" s="355">
        <v>0.3261</v>
      </c>
      <c r="BD2422" s="624">
        <v>41646</v>
      </c>
      <c r="BE2422" s="355">
        <v>9.3490000000000004E-2</v>
      </c>
      <c r="BF2422" s="624">
        <v>41779</v>
      </c>
      <c r="BG2422" s="355">
        <v>1.7056999999999999E-2</v>
      </c>
      <c r="BH2422" s="624">
        <v>41646</v>
      </c>
      <c r="BI2422" s="355">
        <v>8.2794999999999994E-2</v>
      </c>
      <c r="BJ2422" s="624">
        <v>41645</v>
      </c>
      <c r="BK2422" s="355">
        <v>3.0224999999999998E-2</v>
      </c>
    </row>
    <row r="2423" spans="3:63">
      <c r="C2423" s="624"/>
      <c r="D2423" s="355">
        <v>3.0269999999999998E-2</v>
      </c>
      <c r="AV2423" s="624"/>
      <c r="AX2423" s="624">
        <v>41652</v>
      </c>
      <c r="AY2423" s="355">
        <v>3.005E-2</v>
      </c>
      <c r="AZ2423" s="624">
        <v>41716</v>
      </c>
      <c r="BA2423" s="355">
        <v>1.2E-2</v>
      </c>
      <c r="BB2423" s="624">
        <v>41647</v>
      </c>
      <c r="BC2423" s="355">
        <v>0.32500000000000001</v>
      </c>
      <c r="BD2423" s="624">
        <v>41647</v>
      </c>
      <c r="BE2423" s="355">
        <v>9.3670000000000003E-2</v>
      </c>
      <c r="BF2423" s="624">
        <v>41780</v>
      </c>
      <c r="BG2423" s="355">
        <v>1.7052999999999999E-2</v>
      </c>
      <c r="BH2423" s="624">
        <v>41647</v>
      </c>
      <c r="BI2423" s="355">
        <v>8.2761000000000001E-2</v>
      </c>
      <c r="BJ2423" s="624">
        <v>41646</v>
      </c>
      <c r="BK2423" s="355">
        <v>3.0238999999999999E-2</v>
      </c>
    </row>
    <row r="2424" spans="3:63">
      <c r="C2424" s="624"/>
      <c r="D2424" s="355">
        <v>3.005E-2</v>
      </c>
      <c r="AV2424" s="624"/>
      <c r="AX2424" s="624">
        <v>41653</v>
      </c>
      <c r="AY2424" s="355">
        <v>3.0030000000000001E-2</v>
      </c>
      <c r="AZ2424" s="624">
        <v>41717</v>
      </c>
      <c r="BA2424" s="355">
        <v>1.1900000000000001E-2</v>
      </c>
      <c r="BB2424" s="624">
        <v>41648</v>
      </c>
      <c r="BC2424" s="355">
        <v>0.32590000000000002</v>
      </c>
      <c r="BD2424" s="624">
        <v>41648</v>
      </c>
      <c r="BE2424" s="355">
        <v>9.4070000000000001E-2</v>
      </c>
      <c r="BF2424" s="624">
        <v>41781</v>
      </c>
      <c r="BG2424" s="355">
        <v>1.7132999999999999E-2</v>
      </c>
      <c r="BH2424" s="624">
        <v>41648</v>
      </c>
      <c r="BI2424" s="355">
        <v>8.3035999999999999E-2</v>
      </c>
      <c r="BJ2424" s="624">
        <v>41647</v>
      </c>
      <c r="BK2424" s="355">
        <v>3.0252000000000001E-2</v>
      </c>
    </row>
    <row r="2425" spans="3:63">
      <c r="C2425" s="624"/>
      <c r="D2425" s="355">
        <v>3.0030000000000001E-2</v>
      </c>
      <c r="AV2425" s="624"/>
      <c r="AX2425" s="624">
        <v>41654</v>
      </c>
      <c r="AY2425" s="355">
        <v>2.9940000000000001E-2</v>
      </c>
      <c r="AZ2425" s="624">
        <v>41718</v>
      </c>
      <c r="BA2425" s="355">
        <v>1.1900000000000001E-2</v>
      </c>
      <c r="BB2425" s="624">
        <v>41649</v>
      </c>
      <c r="BC2425" s="355">
        <v>0.32969999999999999</v>
      </c>
      <c r="BD2425" s="624">
        <v>41649</v>
      </c>
      <c r="BE2425" s="355">
        <v>9.418E-2</v>
      </c>
      <c r="BF2425" s="624">
        <v>41782</v>
      </c>
      <c r="BG2425" s="355">
        <v>1.7114999999999998E-2</v>
      </c>
      <c r="BH2425" s="624">
        <v>41649</v>
      </c>
      <c r="BI2425" s="355">
        <v>8.4495000000000001E-2</v>
      </c>
      <c r="BJ2425" s="624">
        <v>41648</v>
      </c>
      <c r="BK2425" s="355">
        <v>3.0280999999999999E-2</v>
      </c>
    </row>
    <row r="2426" spans="3:63">
      <c r="C2426" s="624"/>
      <c r="D2426" s="355">
        <v>2.9940000000000001E-2</v>
      </c>
      <c r="AV2426" s="624"/>
      <c r="AX2426" s="624">
        <v>41655</v>
      </c>
      <c r="AY2426" s="355">
        <v>2.9940000000000001E-2</v>
      </c>
      <c r="AZ2426" s="624">
        <v>41719</v>
      </c>
      <c r="BA2426" s="355">
        <v>1.1900000000000001E-2</v>
      </c>
      <c r="BB2426" s="624">
        <v>41652</v>
      </c>
      <c r="BC2426" s="355">
        <v>0.3291</v>
      </c>
      <c r="BD2426" s="624">
        <v>41652</v>
      </c>
      <c r="BE2426" s="355">
        <v>9.4520000000000007E-2</v>
      </c>
      <c r="BF2426" s="624">
        <v>41785</v>
      </c>
      <c r="BG2426" s="355">
        <v>1.7038000000000001E-2</v>
      </c>
      <c r="BH2426" s="624">
        <v>41652</v>
      </c>
      <c r="BI2426" s="355">
        <v>8.4417000000000006E-2</v>
      </c>
      <c r="BJ2426" s="624">
        <v>41649</v>
      </c>
      <c r="BK2426" s="355">
        <v>3.0279E-2</v>
      </c>
    </row>
    <row r="2427" spans="3:63">
      <c r="C2427" s="624"/>
      <c r="D2427" s="355">
        <v>2.9940000000000001E-2</v>
      </c>
      <c r="AV2427" s="624"/>
      <c r="AX2427" s="624">
        <v>41656</v>
      </c>
      <c r="AY2427" s="355">
        <v>2.9780000000000001E-2</v>
      </c>
      <c r="AZ2427" s="624">
        <v>41722</v>
      </c>
      <c r="BA2427" s="355">
        <v>1.1900000000000001E-2</v>
      </c>
      <c r="BB2427" s="624">
        <v>41653</v>
      </c>
      <c r="BC2427" s="355">
        <v>0.33019999999999999</v>
      </c>
      <c r="BD2427" s="624">
        <v>41653</v>
      </c>
      <c r="BE2427" s="355">
        <v>9.4380000000000006E-2</v>
      </c>
      <c r="BF2427" s="624">
        <v>41786</v>
      </c>
      <c r="BG2427" s="355">
        <v>1.6962999999999999E-2</v>
      </c>
      <c r="BH2427" s="624">
        <v>41653</v>
      </c>
      <c r="BI2427" s="355">
        <v>8.4653000000000006E-2</v>
      </c>
      <c r="BJ2427" s="624">
        <v>41652</v>
      </c>
      <c r="BK2427" s="355">
        <v>3.0335999999999998E-2</v>
      </c>
    </row>
    <row r="2428" spans="3:63">
      <c r="C2428" s="624"/>
      <c r="D2428" s="355">
        <v>2.9780000000000001E-2</v>
      </c>
      <c r="AV2428" s="624"/>
      <c r="AX2428" s="624">
        <v>41659</v>
      </c>
      <c r="AY2428" s="355">
        <v>2.9569999999999999E-2</v>
      </c>
      <c r="AZ2428" s="624">
        <v>41723</v>
      </c>
      <c r="BA2428" s="355">
        <v>1.1900000000000001E-2</v>
      </c>
      <c r="BB2428" s="624">
        <v>41654</v>
      </c>
      <c r="BC2428" s="355">
        <v>0.32719999999999999</v>
      </c>
      <c r="BD2428" s="624">
        <v>41654</v>
      </c>
      <c r="BE2428" s="355">
        <v>9.3899999999999997E-2</v>
      </c>
      <c r="BF2428" s="624">
        <v>41787</v>
      </c>
      <c r="BG2428" s="355">
        <v>1.6975000000000001E-2</v>
      </c>
      <c r="BH2428" s="624">
        <v>41654</v>
      </c>
      <c r="BI2428" s="355">
        <v>8.2729999999999998E-2</v>
      </c>
      <c r="BJ2428" s="624">
        <v>41653</v>
      </c>
      <c r="BK2428" s="355">
        <v>3.0502000000000001E-2</v>
      </c>
    </row>
    <row r="2429" spans="3:63">
      <c r="C2429" s="624"/>
      <c r="D2429" s="355">
        <v>2.9569999999999999E-2</v>
      </c>
      <c r="AV2429" s="624"/>
      <c r="AX2429" s="624">
        <v>41660</v>
      </c>
      <c r="AY2429" s="355">
        <v>2.9430000000000001E-2</v>
      </c>
      <c r="AZ2429" s="624">
        <v>41724</v>
      </c>
      <c r="BA2429" s="355">
        <v>1.1900000000000001E-2</v>
      </c>
      <c r="BB2429" s="624">
        <v>41655</v>
      </c>
      <c r="BC2429" s="355">
        <v>0.32690000000000002</v>
      </c>
      <c r="BD2429" s="624">
        <v>41655</v>
      </c>
      <c r="BE2429" s="355">
        <v>9.4030000000000002E-2</v>
      </c>
      <c r="BF2429" s="624">
        <v>41788</v>
      </c>
      <c r="BG2429" s="355">
        <v>1.6971E-2</v>
      </c>
      <c r="BH2429" s="624">
        <v>41655</v>
      </c>
      <c r="BI2429" s="355">
        <v>8.2525000000000001E-2</v>
      </c>
      <c r="BJ2429" s="624">
        <v>41654</v>
      </c>
      <c r="BK2429" s="355">
        <v>3.0426999999999999E-2</v>
      </c>
    </row>
    <row r="2430" spans="3:63">
      <c r="C2430" s="624"/>
      <c r="D2430" s="355">
        <v>2.9430000000000001E-2</v>
      </c>
      <c r="AV2430" s="624"/>
      <c r="AX2430" s="624">
        <v>41661</v>
      </c>
      <c r="AY2430" s="355">
        <v>2.947E-2</v>
      </c>
      <c r="AZ2430" s="624">
        <v>41725</v>
      </c>
      <c r="BA2430" s="355">
        <v>1.1900000000000001E-2</v>
      </c>
      <c r="BB2430" s="624">
        <v>41656</v>
      </c>
      <c r="BC2430" s="355">
        <v>0.32519999999999999</v>
      </c>
      <c r="BD2430" s="624">
        <v>41656</v>
      </c>
      <c r="BE2430" s="355">
        <v>9.4210000000000002E-2</v>
      </c>
      <c r="BF2430" s="624">
        <v>41789</v>
      </c>
      <c r="BG2430" s="355">
        <v>1.6861999999999999E-2</v>
      </c>
      <c r="BH2430" s="624">
        <v>41656</v>
      </c>
      <c r="BI2430" s="355">
        <v>8.2712999999999995E-2</v>
      </c>
      <c r="BJ2430" s="624">
        <v>41655</v>
      </c>
      <c r="BK2430" s="355">
        <v>3.0516000000000001E-2</v>
      </c>
    </row>
    <row r="2431" spans="3:63">
      <c r="C2431" s="624"/>
      <c r="D2431" s="355">
        <v>2.947E-2</v>
      </c>
      <c r="AV2431" s="624"/>
      <c r="AX2431" s="624">
        <v>41662</v>
      </c>
      <c r="AY2431" s="355">
        <v>2.93E-2</v>
      </c>
      <c r="AZ2431" s="624">
        <v>41726</v>
      </c>
      <c r="BA2431" s="355">
        <v>1.21E-2</v>
      </c>
      <c r="BB2431" s="624">
        <v>41659</v>
      </c>
      <c r="BC2431" s="355">
        <v>0.32579999999999998</v>
      </c>
      <c r="BD2431" s="624">
        <v>41659</v>
      </c>
      <c r="BE2431" s="355">
        <v>9.3960000000000002E-2</v>
      </c>
      <c r="BF2431" s="624">
        <v>41792</v>
      </c>
      <c r="BG2431" s="355">
        <v>1.6898E-2</v>
      </c>
      <c r="BH2431" s="624">
        <v>41659</v>
      </c>
      <c r="BI2431" s="355">
        <v>8.2556000000000004E-2</v>
      </c>
      <c r="BJ2431" s="624">
        <v>41656</v>
      </c>
      <c r="BK2431" s="355">
        <v>3.0474000000000001E-2</v>
      </c>
    </row>
    <row r="2432" spans="3:63">
      <c r="C2432" s="624"/>
      <c r="D2432" s="355">
        <v>2.93E-2</v>
      </c>
      <c r="AV2432" s="624"/>
      <c r="AX2432" s="624">
        <v>41663</v>
      </c>
      <c r="AY2432" s="355">
        <v>2.9020000000000001E-2</v>
      </c>
      <c r="AZ2432" s="624">
        <v>41729</v>
      </c>
      <c r="BA2432" s="355">
        <v>1.1900000000000001E-2</v>
      </c>
      <c r="BB2432" s="624">
        <v>41660</v>
      </c>
      <c r="BC2432" s="355">
        <v>0.3256</v>
      </c>
      <c r="BD2432" s="624">
        <v>41660</v>
      </c>
      <c r="BE2432" s="355">
        <v>9.3380000000000005E-2</v>
      </c>
      <c r="BF2432" s="624">
        <v>41793</v>
      </c>
      <c r="BG2432" s="355">
        <v>1.686E-2</v>
      </c>
      <c r="BH2432" s="624">
        <v>41660</v>
      </c>
      <c r="BI2432" s="355">
        <v>8.2389000000000004E-2</v>
      </c>
      <c r="BJ2432" s="624">
        <v>41659</v>
      </c>
      <c r="BK2432" s="355">
        <v>3.0474999999999999E-2</v>
      </c>
    </row>
    <row r="2433" spans="3:63">
      <c r="C2433" s="624"/>
      <c r="D2433" s="355">
        <v>2.9020000000000001E-2</v>
      </c>
      <c r="AV2433" s="624"/>
      <c r="AX2433" s="624">
        <v>41666</v>
      </c>
      <c r="AY2433" s="355">
        <v>2.8910000000000002E-2</v>
      </c>
      <c r="AZ2433" s="624">
        <v>41730</v>
      </c>
      <c r="BA2433" s="355">
        <v>1.2E-2</v>
      </c>
      <c r="BB2433" s="624">
        <v>41661</v>
      </c>
      <c r="BC2433" s="355">
        <v>0.32550000000000001</v>
      </c>
      <c r="BD2433" s="624">
        <v>41661</v>
      </c>
      <c r="BE2433" s="355">
        <v>9.3670000000000003E-2</v>
      </c>
      <c r="BF2433" s="624">
        <v>41794</v>
      </c>
      <c r="BG2433" s="355">
        <v>1.6872000000000002E-2</v>
      </c>
      <c r="BH2433" s="624">
        <v>41661</v>
      </c>
      <c r="BI2433" s="355">
        <v>8.2372000000000001E-2</v>
      </c>
      <c r="BJ2433" s="624">
        <v>41660</v>
      </c>
      <c r="BK2433" s="355">
        <v>3.0374000000000002E-2</v>
      </c>
    </row>
    <row r="2434" spans="3:63">
      <c r="C2434" s="624"/>
      <c r="D2434" s="355">
        <v>2.8910000000000002E-2</v>
      </c>
      <c r="AV2434" s="624"/>
      <c r="AX2434" s="624">
        <v>41667</v>
      </c>
      <c r="AY2434" s="355">
        <v>2.877E-2</v>
      </c>
      <c r="AZ2434" s="624">
        <v>41731</v>
      </c>
      <c r="BA2434" s="355">
        <v>1.1900000000000001E-2</v>
      </c>
      <c r="BB2434" s="624">
        <v>41662</v>
      </c>
      <c r="BC2434" s="355">
        <v>0.32750000000000001</v>
      </c>
      <c r="BD2434" s="624">
        <v>41662</v>
      </c>
      <c r="BE2434" s="355">
        <v>9.2869999999999994E-2</v>
      </c>
      <c r="BF2434" s="624">
        <v>41795</v>
      </c>
      <c r="BG2434" s="355">
        <v>1.6934999999999999E-2</v>
      </c>
      <c r="BH2434" s="624">
        <v>41662</v>
      </c>
      <c r="BI2434" s="355">
        <v>8.2202999999999998E-2</v>
      </c>
      <c r="BJ2434" s="624">
        <v>41661</v>
      </c>
      <c r="BK2434" s="355">
        <v>3.0374000000000002E-2</v>
      </c>
    </row>
    <row r="2435" spans="3:63">
      <c r="C2435" s="624"/>
      <c r="D2435" s="355">
        <v>2.877E-2</v>
      </c>
      <c r="AV2435" s="624"/>
      <c r="AX2435" s="624">
        <v>41668</v>
      </c>
      <c r="AY2435" s="355">
        <v>2.8469999999999999E-2</v>
      </c>
      <c r="AZ2435" s="624">
        <v>41732</v>
      </c>
      <c r="BA2435" s="355">
        <v>1.1900000000000001E-2</v>
      </c>
      <c r="BB2435" s="624">
        <v>41663</v>
      </c>
      <c r="BC2435" s="355">
        <v>0.32600000000000001</v>
      </c>
      <c r="BD2435" s="624">
        <v>41663</v>
      </c>
      <c r="BE2435" s="355">
        <v>9.2069999999999999E-2</v>
      </c>
      <c r="BF2435" s="624">
        <v>41796</v>
      </c>
      <c r="BG2435" s="355">
        <v>1.6958000000000001E-2</v>
      </c>
      <c r="BH2435" s="624">
        <v>41663</v>
      </c>
      <c r="BI2435" s="355">
        <v>8.2118999999999998E-2</v>
      </c>
      <c r="BJ2435" s="624">
        <v>41662</v>
      </c>
      <c r="BK2435" s="355">
        <v>3.0414E-2</v>
      </c>
    </row>
    <row r="2436" spans="3:63">
      <c r="C2436" s="624"/>
      <c r="D2436" s="355">
        <v>2.8469999999999999E-2</v>
      </c>
      <c r="AV2436" s="624"/>
      <c r="AX2436" s="624">
        <v>41669</v>
      </c>
      <c r="AY2436" s="355">
        <v>2.8590000000000001E-2</v>
      </c>
      <c r="AZ2436" s="624">
        <v>41733</v>
      </c>
      <c r="BA2436" s="355">
        <v>1.1900000000000001E-2</v>
      </c>
      <c r="BB2436" s="624">
        <v>41666</v>
      </c>
      <c r="BC2436" s="355">
        <v>0.32529999999999998</v>
      </c>
      <c r="BD2436" s="624">
        <v>41666</v>
      </c>
      <c r="BE2436" s="355">
        <v>9.264E-2</v>
      </c>
      <c r="BF2436" s="624">
        <v>41799</v>
      </c>
      <c r="BG2436" s="355">
        <v>1.6892999999999998E-2</v>
      </c>
      <c r="BH2436" s="624">
        <v>41666</v>
      </c>
      <c r="BI2436" s="355">
        <v>8.1749000000000002E-2</v>
      </c>
      <c r="BJ2436" s="624">
        <v>41663</v>
      </c>
      <c r="BK2436" s="355">
        <v>3.0440999999999999E-2</v>
      </c>
    </row>
    <row r="2437" spans="3:63">
      <c r="C2437" s="624"/>
      <c r="D2437" s="355">
        <v>2.8590000000000001E-2</v>
      </c>
      <c r="AV2437" s="624"/>
      <c r="AX2437" s="624">
        <v>41670</v>
      </c>
      <c r="AY2437" s="355">
        <v>2.845E-2</v>
      </c>
      <c r="AZ2437" s="624">
        <v>41736</v>
      </c>
      <c r="BA2437" s="355">
        <v>1.1900000000000001E-2</v>
      </c>
      <c r="BB2437" s="624">
        <v>41667</v>
      </c>
      <c r="BC2437" s="355">
        <v>0.32550000000000001</v>
      </c>
      <c r="BD2437" s="624">
        <v>41667</v>
      </c>
      <c r="BE2437" s="355">
        <v>9.2749999999999999E-2</v>
      </c>
      <c r="BF2437" s="624">
        <v>41800</v>
      </c>
      <c r="BG2437" s="355">
        <v>1.6896000000000001E-2</v>
      </c>
      <c r="BH2437" s="624">
        <v>41667</v>
      </c>
      <c r="BI2437" s="355">
        <v>8.2033999999999996E-2</v>
      </c>
      <c r="BJ2437" s="624">
        <v>41666</v>
      </c>
      <c r="BK2437" s="355">
        <v>3.0391000000000001E-2</v>
      </c>
    </row>
    <row r="2438" spans="3:63">
      <c r="C2438" s="624"/>
      <c r="D2438" s="355">
        <v>2.845E-2</v>
      </c>
      <c r="AV2438" s="624"/>
      <c r="AX2438" s="624">
        <v>41673</v>
      </c>
      <c r="AY2438" s="355">
        <v>2.8219999999999999E-2</v>
      </c>
      <c r="AZ2438" s="624">
        <v>41737</v>
      </c>
      <c r="BA2438" s="355">
        <v>1.2E-2</v>
      </c>
      <c r="BB2438" s="624">
        <v>41668</v>
      </c>
      <c r="BC2438" s="355">
        <v>0.32329999999999998</v>
      </c>
      <c r="BD2438" s="624">
        <v>41668</v>
      </c>
      <c r="BE2438" s="355">
        <v>9.2730000000000007E-2</v>
      </c>
      <c r="BF2438" s="624">
        <v>41801</v>
      </c>
      <c r="BG2438" s="355">
        <v>1.6837999999999999E-2</v>
      </c>
      <c r="BH2438" s="624">
        <v>41668</v>
      </c>
      <c r="BI2438" s="355">
        <v>8.2169000000000006E-2</v>
      </c>
      <c r="BJ2438" s="624">
        <v>41667</v>
      </c>
      <c r="BK2438" s="355">
        <v>3.0384999999999999E-2</v>
      </c>
    </row>
    <row r="2439" spans="3:63">
      <c r="C2439" s="624"/>
      <c r="D2439" s="355">
        <v>2.8219999999999999E-2</v>
      </c>
      <c r="AV2439" s="624"/>
      <c r="AX2439" s="624">
        <v>41674</v>
      </c>
      <c r="AY2439" s="355">
        <v>2.8580000000000001E-2</v>
      </c>
      <c r="AZ2439" s="624">
        <v>41738</v>
      </c>
      <c r="BA2439" s="355">
        <v>1.2E-2</v>
      </c>
      <c r="BB2439" s="624">
        <v>41669</v>
      </c>
      <c r="BC2439" s="355">
        <v>0.32029999999999997</v>
      </c>
      <c r="BD2439" s="624">
        <v>41669</v>
      </c>
      <c r="BE2439" s="355">
        <v>9.2549999999999993E-2</v>
      </c>
      <c r="BF2439" s="624">
        <v>41802</v>
      </c>
      <c r="BG2439" s="355">
        <v>1.6863E-2</v>
      </c>
      <c r="BH2439" s="624">
        <v>41669</v>
      </c>
      <c r="BI2439" s="355">
        <v>8.1882999999999997E-2</v>
      </c>
      <c r="BJ2439" s="624">
        <v>41668</v>
      </c>
      <c r="BK2439" s="355">
        <v>3.0338E-2</v>
      </c>
    </row>
    <row r="2440" spans="3:63">
      <c r="C2440" s="624"/>
      <c r="D2440" s="355">
        <v>2.8580000000000001E-2</v>
      </c>
      <c r="AV2440" s="624"/>
      <c r="AX2440" s="624">
        <v>41675</v>
      </c>
      <c r="AY2440" s="355">
        <v>2.8639999999999999E-2</v>
      </c>
      <c r="AZ2440" s="624">
        <v>41739</v>
      </c>
      <c r="BA2440" s="355">
        <v>1.2E-2</v>
      </c>
      <c r="BB2440" s="624">
        <v>41670</v>
      </c>
      <c r="BC2440" s="355">
        <v>0.31719999999999998</v>
      </c>
      <c r="BD2440" s="624">
        <v>41670</v>
      </c>
      <c r="BE2440" s="355">
        <v>9.2480000000000007E-2</v>
      </c>
      <c r="BF2440" s="624">
        <v>41803</v>
      </c>
      <c r="BG2440" s="355">
        <v>1.6747999999999999E-2</v>
      </c>
      <c r="BH2440" s="624">
        <v>41670</v>
      </c>
      <c r="BI2440" s="355">
        <v>8.1882999999999997E-2</v>
      </c>
      <c r="BJ2440" s="624">
        <v>41669</v>
      </c>
      <c r="BK2440" s="355">
        <v>3.0294000000000001E-2</v>
      </c>
    </row>
    <row r="2441" spans="3:63">
      <c r="C2441" s="624"/>
      <c r="D2441" s="355">
        <v>2.8639999999999999E-2</v>
      </c>
      <c r="AV2441" s="624"/>
      <c r="AX2441" s="624">
        <v>41676</v>
      </c>
      <c r="AY2441" s="355">
        <v>2.8830000000000001E-2</v>
      </c>
      <c r="AZ2441" s="624">
        <v>41740</v>
      </c>
      <c r="BA2441" s="355">
        <v>1.2E-2</v>
      </c>
      <c r="BB2441" s="624">
        <v>41673</v>
      </c>
      <c r="BC2441" s="355">
        <v>0.31859999999999999</v>
      </c>
      <c r="BD2441" s="624">
        <v>41673</v>
      </c>
      <c r="BE2441" s="355">
        <v>9.1899999999999996E-2</v>
      </c>
      <c r="BF2441" s="624">
        <v>41806</v>
      </c>
      <c r="BG2441" s="355">
        <v>1.6605000000000002E-2</v>
      </c>
      <c r="BH2441" s="624">
        <v>41673</v>
      </c>
      <c r="BI2441" s="355">
        <v>8.1698999999999994E-2</v>
      </c>
      <c r="BJ2441" s="624">
        <v>41670</v>
      </c>
      <c r="BK2441" s="355">
        <v>3.0284999999999999E-2</v>
      </c>
    </row>
    <row r="2442" spans="3:63">
      <c r="C2442" s="624"/>
      <c r="D2442" s="355">
        <v>2.8830000000000001E-2</v>
      </c>
      <c r="AV2442" s="624"/>
      <c r="AX2442" s="624">
        <v>41677</v>
      </c>
      <c r="AY2442" s="355">
        <v>2.877E-2</v>
      </c>
      <c r="AZ2442" s="624">
        <v>41743</v>
      </c>
      <c r="BA2442" s="355">
        <v>1.2E-2</v>
      </c>
      <c r="BB2442" s="624">
        <v>41674</v>
      </c>
      <c r="BC2442" s="355">
        <v>0.32140000000000002</v>
      </c>
      <c r="BD2442" s="624">
        <v>41674</v>
      </c>
      <c r="BE2442" s="355">
        <v>9.2859999999999998E-2</v>
      </c>
      <c r="BF2442" s="624">
        <v>41807</v>
      </c>
      <c r="BG2442" s="355">
        <v>1.6590000000000001E-2</v>
      </c>
      <c r="BH2442" s="624">
        <v>41674</v>
      </c>
      <c r="BI2442" s="355">
        <v>8.1949999999999995E-2</v>
      </c>
      <c r="BJ2442" s="624">
        <v>41673</v>
      </c>
      <c r="BK2442" s="355">
        <v>3.0356000000000001E-2</v>
      </c>
    </row>
    <row r="2443" spans="3:63">
      <c r="C2443" s="624"/>
      <c r="D2443" s="355">
        <v>2.877E-2</v>
      </c>
      <c r="AV2443" s="624"/>
      <c r="AX2443" s="624">
        <v>41680</v>
      </c>
      <c r="AY2443" s="355">
        <v>2.877E-2</v>
      </c>
      <c r="AZ2443" s="624">
        <v>41744</v>
      </c>
      <c r="BA2443" s="355">
        <v>1.2E-2</v>
      </c>
      <c r="BB2443" s="624">
        <v>41675</v>
      </c>
      <c r="BC2443" s="355">
        <v>0.32300000000000001</v>
      </c>
      <c r="BD2443" s="624">
        <v>41675</v>
      </c>
      <c r="BE2443" s="355">
        <v>9.2759999999999995E-2</v>
      </c>
      <c r="BF2443" s="624">
        <v>41808</v>
      </c>
      <c r="BG2443" s="355">
        <v>1.6721E-2</v>
      </c>
      <c r="BH2443" s="624">
        <v>41675</v>
      </c>
      <c r="BI2443" s="355">
        <v>8.2074999999999995E-2</v>
      </c>
      <c r="BJ2443" s="624">
        <v>41674</v>
      </c>
      <c r="BK2443" s="355">
        <v>3.0533000000000001E-2</v>
      </c>
    </row>
    <row r="2444" spans="3:63">
      <c r="C2444" s="624"/>
      <c r="D2444" s="355">
        <v>2.877E-2</v>
      </c>
      <c r="AV2444" s="624"/>
      <c r="AX2444" s="624">
        <v>41681</v>
      </c>
      <c r="AY2444" s="355">
        <v>2.878E-2</v>
      </c>
      <c r="AZ2444" s="624">
        <v>41745</v>
      </c>
      <c r="BA2444" s="355">
        <v>1.2E-2</v>
      </c>
      <c r="BB2444" s="624">
        <v>41676</v>
      </c>
      <c r="BC2444" s="355">
        <v>0.32540000000000002</v>
      </c>
      <c r="BD2444" s="624">
        <v>41676</v>
      </c>
      <c r="BE2444" s="355">
        <v>9.3009999999999995E-2</v>
      </c>
      <c r="BF2444" s="624">
        <v>41809</v>
      </c>
      <c r="BG2444" s="355">
        <v>1.6617E-2</v>
      </c>
      <c r="BH2444" s="624">
        <v>41676</v>
      </c>
      <c r="BI2444" s="355">
        <v>8.2011000000000001E-2</v>
      </c>
      <c r="BJ2444" s="624">
        <v>41675</v>
      </c>
      <c r="BK2444" s="355">
        <v>3.0518E-2</v>
      </c>
    </row>
    <row r="2445" spans="3:63">
      <c r="C2445" s="624"/>
      <c r="D2445" s="355">
        <v>2.878E-2</v>
      </c>
      <c r="AV2445" s="624"/>
      <c r="AX2445" s="624">
        <v>41682</v>
      </c>
      <c r="AY2445" s="355">
        <v>2.8719999999999999E-2</v>
      </c>
      <c r="AZ2445" s="624">
        <v>41746</v>
      </c>
      <c r="BA2445" s="355">
        <v>1.2E-2</v>
      </c>
      <c r="BB2445" s="624">
        <v>41677</v>
      </c>
      <c r="BC2445" s="355">
        <v>0.3266</v>
      </c>
      <c r="BD2445" s="624">
        <v>41677</v>
      </c>
      <c r="BE2445" s="355">
        <v>9.3049999999999994E-2</v>
      </c>
      <c r="BF2445" s="624">
        <v>41810</v>
      </c>
      <c r="BG2445" s="355">
        <v>1.6622000000000001E-2</v>
      </c>
      <c r="BH2445" s="624">
        <v>41677</v>
      </c>
      <c r="BI2445" s="355">
        <v>8.2220000000000001E-2</v>
      </c>
      <c r="BJ2445" s="624">
        <v>41676</v>
      </c>
      <c r="BK2445" s="355">
        <v>3.0491999999999998E-2</v>
      </c>
    </row>
    <row r="2446" spans="3:63">
      <c r="C2446" s="624"/>
      <c r="D2446" s="355">
        <v>2.8719999999999999E-2</v>
      </c>
      <c r="AV2446" s="624"/>
      <c r="AX2446" s="624">
        <v>41683</v>
      </c>
      <c r="AY2446" s="355">
        <v>2.8500000000000001E-2</v>
      </c>
      <c r="AZ2446" s="624">
        <v>41747</v>
      </c>
      <c r="BA2446" s="355">
        <v>1.2E-2</v>
      </c>
      <c r="BB2446" s="624">
        <v>41680</v>
      </c>
      <c r="BC2446" s="355">
        <v>0.32650000000000001</v>
      </c>
      <c r="BD2446" s="624">
        <v>41680</v>
      </c>
      <c r="BE2446" s="355">
        <v>9.3100000000000002E-2</v>
      </c>
      <c r="BF2446" s="624">
        <v>41813</v>
      </c>
      <c r="BG2446" s="355">
        <v>1.6648E-2</v>
      </c>
      <c r="BH2446" s="624">
        <v>41680</v>
      </c>
      <c r="BI2446" s="355">
        <v>8.2169000000000006E-2</v>
      </c>
      <c r="BJ2446" s="624">
        <v>41677</v>
      </c>
      <c r="BK2446" s="355">
        <v>3.0488000000000001E-2</v>
      </c>
    </row>
    <row r="2447" spans="3:63">
      <c r="C2447" s="624"/>
      <c r="D2447" s="355">
        <v>2.8500000000000001E-2</v>
      </c>
      <c r="AV2447" s="624"/>
      <c r="AX2447" s="624">
        <v>41684</v>
      </c>
      <c r="AY2447" s="355">
        <v>2.8500000000000001E-2</v>
      </c>
      <c r="AZ2447" s="624">
        <v>41750</v>
      </c>
      <c r="BA2447" s="355">
        <v>1.2E-2</v>
      </c>
      <c r="BB2447" s="624">
        <v>41681</v>
      </c>
      <c r="BC2447" s="355">
        <v>0.32690000000000002</v>
      </c>
      <c r="BD2447" s="624">
        <v>41681</v>
      </c>
      <c r="BE2447" s="355">
        <v>9.3799999999999994E-2</v>
      </c>
      <c r="BF2447" s="624">
        <v>41814</v>
      </c>
      <c r="BG2447" s="355">
        <v>1.6615999999999999E-2</v>
      </c>
      <c r="BH2447" s="624">
        <v>41681</v>
      </c>
      <c r="BI2447" s="355">
        <v>8.2270999999999997E-2</v>
      </c>
      <c r="BJ2447" s="624">
        <v>41680</v>
      </c>
      <c r="BK2447" s="355">
        <v>3.0474999999999999E-2</v>
      </c>
    </row>
    <row r="2448" spans="3:63">
      <c r="C2448" s="624"/>
      <c r="D2448" s="355">
        <v>2.8500000000000001E-2</v>
      </c>
      <c r="AV2448" s="624"/>
      <c r="AX2448" s="624">
        <v>41687</v>
      </c>
      <c r="AY2448" s="355">
        <v>2.8379999999999999E-2</v>
      </c>
      <c r="AZ2448" s="624">
        <v>41751</v>
      </c>
      <c r="BA2448" s="355">
        <v>1.1900000000000001E-2</v>
      </c>
      <c r="BB2448" s="624">
        <v>41682</v>
      </c>
      <c r="BC2448" s="355">
        <v>0.32690000000000002</v>
      </c>
      <c r="BD2448" s="624">
        <v>41682</v>
      </c>
      <c r="BE2448" s="355">
        <v>9.4140000000000001E-2</v>
      </c>
      <c r="BF2448" s="624">
        <v>41815</v>
      </c>
      <c r="BG2448" s="355">
        <v>1.6650999999999999E-2</v>
      </c>
      <c r="BH2448" s="624">
        <v>41682</v>
      </c>
      <c r="BI2448" s="355">
        <v>8.2747000000000001E-2</v>
      </c>
      <c r="BJ2448" s="624">
        <v>41681</v>
      </c>
      <c r="BK2448" s="355">
        <v>3.0547999999999999E-2</v>
      </c>
    </row>
    <row r="2449" spans="3:63">
      <c r="C2449" s="624"/>
      <c r="D2449" s="355">
        <v>2.8379999999999999E-2</v>
      </c>
      <c r="AV2449" s="624"/>
      <c r="AX2449" s="624">
        <v>41688</v>
      </c>
      <c r="AY2449" s="355">
        <v>2.819E-2</v>
      </c>
      <c r="AZ2449" s="624">
        <v>41752</v>
      </c>
      <c r="BA2449" s="355">
        <v>1.2E-2</v>
      </c>
      <c r="BB2449" s="624">
        <v>41683</v>
      </c>
      <c r="BC2449" s="355">
        <v>0.32890000000000003</v>
      </c>
      <c r="BD2449" s="624">
        <v>41683</v>
      </c>
      <c r="BE2449" s="355">
        <v>9.3909999999999993E-2</v>
      </c>
      <c r="BF2449" s="624">
        <v>41816</v>
      </c>
      <c r="BG2449" s="355">
        <v>1.6618999999999998E-2</v>
      </c>
      <c r="BH2449" s="624">
        <v>41683</v>
      </c>
      <c r="BI2449" s="355">
        <v>8.3403000000000005E-2</v>
      </c>
      <c r="BJ2449" s="624">
        <v>41682</v>
      </c>
      <c r="BK2449" s="355">
        <v>3.0759999999999999E-2</v>
      </c>
    </row>
    <row r="2450" spans="3:63">
      <c r="C2450" s="624"/>
      <c r="D2450" s="355">
        <v>2.819E-2</v>
      </c>
      <c r="AV2450" s="624"/>
      <c r="AX2450" s="624">
        <v>41689</v>
      </c>
      <c r="AY2450" s="355">
        <v>2.793E-2</v>
      </c>
      <c r="AZ2450" s="624">
        <v>41753</v>
      </c>
      <c r="BA2450" s="355">
        <v>1.2E-2</v>
      </c>
      <c r="BB2450" s="624">
        <v>41684</v>
      </c>
      <c r="BC2450" s="355">
        <v>0.33019999999999999</v>
      </c>
      <c r="BD2450" s="624">
        <v>41684</v>
      </c>
      <c r="BE2450" s="355">
        <v>9.4070000000000001E-2</v>
      </c>
      <c r="BF2450" s="624">
        <v>41817</v>
      </c>
      <c r="BG2450" s="355">
        <v>1.6669E-2</v>
      </c>
      <c r="BH2450" s="624">
        <v>41684</v>
      </c>
      <c r="BI2450" s="355">
        <v>8.4530999999999995E-2</v>
      </c>
      <c r="BJ2450" s="624">
        <v>41683</v>
      </c>
      <c r="BK2450" s="355">
        <v>3.0710000000000001E-2</v>
      </c>
    </row>
    <row r="2451" spans="3:63">
      <c r="C2451" s="624"/>
      <c r="D2451" s="355">
        <v>2.793E-2</v>
      </c>
      <c r="AV2451" s="624"/>
      <c r="AX2451" s="624">
        <v>41690</v>
      </c>
      <c r="AY2451" s="355">
        <v>2.7959999999999999E-2</v>
      </c>
      <c r="AZ2451" s="624">
        <v>41754</v>
      </c>
      <c r="BA2451" s="355">
        <v>1.1900000000000001E-2</v>
      </c>
      <c r="BB2451" s="624">
        <v>41687</v>
      </c>
      <c r="BC2451" s="355">
        <v>0.33079999999999998</v>
      </c>
      <c r="BD2451" s="624">
        <v>41687</v>
      </c>
      <c r="BE2451" s="355">
        <v>9.4310000000000005E-2</v>
      </c>
      <c r="BF2451" s="624">
        <v>41820</v>
      </c>
      <c r="BG2451" s="355">
        <v>1.6655E-2</v>
      </c>
      <c r="BH2451" s="624">
        <v>41687</v>
      </c>
      <c r="BI2451" s="355">
        <v>8.4889999999999993E-2</v>
      </c>
      <c r="BJ2451" s="624">
        <v>41684</v>
      </c>
      <c r="BK2451" s="355">
        <v>3.0911999999999999E-2</v>
      </c>
    </row>
    <row r="2452" spans="3:63">
      <c r="C2452" s="624"/>
      <c r="D2452" s="355">
        <v>2.7959999999999999E-2</v>
      </c>
      <c r="AV2452" s="624"/>
      <c r="AX2452" s="624">
        <v>41691</v>
      </c>
      <c r="AY2452" s="355">
        <v>2.8150000000000001E-2</v>
      </c>
      <c r="AZ2452" s="624">
        <v>41757</v>
      </c>
      <c r="BA2452" s="355">
        <v>1.2E-2</v>
      </c>
      <c r="BB2452" s="624">
        <v>41688</v>
      </c>
      <c r="BC2452" s="355">
        <v>0.33169999999999999</v>
      </c>
      <c r="BD2452" s="624">
        <v>41688</v>
      </c>
      <c r="BE2452" s="355">
        <v>9.3909999999999993E-2</v>
      </c>
      <c r="BF2452" s="624">
        <v>41821</v>
      </c>
      <c r="BG2452" s="355">
        <v>1.6688000000000001E-2</v>
      </c>
      <c r="BH2452" s="624">
        <v>41688</v>
      </c>
      <c r="BI2452" s="355">
        <v>8.4476999999999997E-2</v>
      </c>
      <c r="BJ2452" s="624">
        <v>41687</v>
      </c>
      <c r="BK2452" s="355">
        <v>3.1026999999999999E-2</v>
      </c>
    </row>
    <row r="2453" spans="3:63">
      <c r="C2453" s="624"/>
      <c r="D2453" s="355">
        <v>2.8150000000000001E-2</v>
      </c>
      <c r="AV2453" s="624"/>
      <c r="AX2453" s="624">
        <v>41694</v>
      </c>
      <c r="AY2453" s="355">
        <v>2.8139999999999998E-2</v>
      </c>
      <c r="AZ2453" s="624">
        <v>41758</v>
      </c>
      <c r="BA2453" s="355">
        <v>1.1900000000000001E-2</v>
      </c>
      <c r="BB2453" s="624">
        <v>41689</v>
      </c>
      <c r="BC2453" s="355">
        <v>0.32919999999999999</v>
      </c>
      <c r="BD2453" s="624">
        <v>41689</v>
      </c>
      <c r="BE2453" s="355">
        <v>9.3619999999999995E-2</v>
      </c>
      <c r="BF2453" s="624">
        <v>41822</v>
      </c>
      <c r="BG2453" s="355">
        <v>1.6788999999999998E-2</v>
      </c>
      <c r="BH2453" s="624">
        <v>41689</v>
      </c>
      <c r="BI2453" s="355">
        <v>8.4889999999999993E-2</v>
      </c>
      <c r="BJ2453" s="624">
        <v>41688</v>
      </c>
      <c r="BK2453" s="355">
        <v>3.0775E-2</v>
      </c>
    </row>
    <row r="2454" spans="3:63">
      <c r="C2454" s="624"/>
      <c r="D2454" s="355">
        <v>2.8139999999999998E-2</v>
      </c>
      <c r="AV2454" s="624"/>
      <c r="AX2454" s="624">
        <v>41695</v>
      </c>
      <c r="AY2454" s="355">
        <v>2.7980000000000001E-2</v>
      </c>
      <c r="AZ2454" s="624">
        <v>41759</v>
      </c>
      <c r="BA2454" s="355">
        <v>1.2E-2</v>
      </c>
      <c r="BB2454" s="624">
        <v>41690</v>
      </c>
      <c r="BC2454" s="355">
        <v>0.32919999999999999</v>
      </c>
      <c r="BD2454" s="624">
        <v>41690</v>
      </c>
      <c r="BE2454" s="355">
        <v>9.3270000000000006E-2</v>
      </c>
      <c r="BF2454" s="624">
        <v>41823</v>
      </c>
      <c r="BG2454" s="355">
        <v>1.6791E-2</v>
      </c>
      <c r="BH2454" s="624">
        <v>41690</v>
      </c>
      <c r="BI2454" s="355">
        <v>8.4709999999999994E-2</v>
      </c>
      <c r="BJ2454" s="624">
        <v>41689</v>
      </c>
      <c r="BK2454" s="355">
        <v>3.0679999999999999E-2</v>
      </c>
    </row>
    <row r="2455" spans="3:63">
      <c r="C2455" s="624"/>
      <c r="D2455" s="355">
        <v>2.7980000000000001E-2</v>
      </c>
      <c r="AV2455" s="624"/>
      <c r="AX2455" s="624">
        <v>41696</v>
      </c>
      <c r="AY2455" s="355">
        <v>2.7740000000000001E-2</v>
      </c>
      <c r="AZ2455" s="624">
        <v>41760</v>
      </c>
      <c r="BA2455" s="355">
        <v>1.2E-2</v>
      </c>
      <c r="BB2455" s="624">
        <v>41691</v>
      </c>
      <c r="BC2455" s="355">
        <v>0.33079999999999998</v>
      </c>
      <c r="BD2455" s="624">
        <v>41691</v>
      </c>
      <c r="BE2455" s="355">
        <v>9.3200000000000005E-2</v>
      </c>
      <c r="BF2455" s="624">
        <v>41824</v>
      </c>
      <c r="BG2455" s="355">
        <v>1.6729000000000001E-2</v>
      </c>
      <c r="BH2455" s="624">
        <v>41691</v>
      </c>
      <c r="BI2455" s="355">
        <v>8.5179000000000005E-2</v>
      </c>
      <c r="BJ2455" s="624">
        <v>41690</v>
      </c>
      <c r="BK2455" s="355">
        <v>3.0721999999999999E-2</v>
      </c>
    </row>
    <row r="2456" spans="3:63">
      <c r="C2456" s="624"/>
      <c r="D2456" s="355">
        <v>2.7740000000000001E-2</v>
      </c>
      <c r="AV2456" s="624"/>
      <c r="AX2456" s="624">
        <v>41697</v>
      </c>
      <c r="AY2456" s="355">
        <v>2.776E-2</v>
      </c>
      <c r="AZ2456" s="624">
        <v>41761</v>
      </c>
      <c r="BA2456" s="355">
        <v>1.2E-2</v>
      </c>
      <c r="BB2456" s="624">
        <v>41694</v>
      </c>
      <c r="BC2456" s="355">
        <v>0.33</v>
      </c>
      <c r="BD2456" s="624">
        <v>41694</v>
      </c>
      <c r="BE2456" s="355">
        <v>9.3109999999999998E-2</v>
      </c>
      <c r="BF2456" s="624">
        <v>41827</v>
      </c>
      <c r="BG2456" s="355">
        <v>1.6670999999999998E-2</v>
      </c>
      <c r="BH2456" s="624">
        <v>41694</v>
      </c>
      <c r="BI2456" s="355">
        <v>8.5433999999999996E-2</v>
      </c>
      <c r="BJ2456" s="624">
        <v>41691</v>
      </c>
      <c r="BK2456" s="355">
        <v>3.0742999999999999E-2</v>
      </c>
    </row>
    <row r="2457" spans="3:63">
      <c r="C2457" s="624"/>
      <c r="D2457" s="355">
        <v>2.776E-2</v>
      </c>
      <c r="AV2457" s="624"/>
      <c r="AX2457" s="624">
        <v>41698</v>
      </c>
      <c r="AY2457" s="355">
        <v>2.768E-2</v>
      </c>
      <c r="AZ2457" s="624">
        <v>41764</v>
      </c>
      <c r="BA2457" s="355">
        <v>1.2E-2</v>
      </c>
      <c r="BB2457" s="624">
        <v>41695</v>
      </c>
      <c r="BC2457" s="355">
        <v>0.33090000000000003</v>
      </c>
      <c r="BD2457" s="624">
        <v>41695</v>
      </c>
      <c r="BE2457" s="355">
        <v>9.3130000000000004E-2</v>
      </c>
      <c r="BF2457" s="624">
        <v>41828</v>
      </c>
      <c r="BG2457" s="355">
        <v>1.6705000000000001E-2</v>
      </c>
      <c r="BH2457" s="624">
        <v>41695</v>
      </c>
      <c r="BI2457" s="355">
        <v>8.5690000000000002E-2</v>
      </c>
      <c r="BJ2457" s="624">
        <v>41694</v>
      </c>
      <c r="BK2457" s="355">
        <v>3.0737E-2</v>
      </c>
    </row>
    <row r="2458" spans="3:63">
      <c r="C2458" s="624"/>
      <c r="D2458" s="355">
        <v>2.768E-2</v>
      </c>
      <c r="AV2458" s="624"/>
      <c r="AX2458" s="624">
        <v>41701</v>
      </c>
      <c r="AY2458" s="355">
        <v>2.741E-2</v>
      </c>
      <c r="AZ2458" s="624">
        <v>41765</v>
      </c>
      <c r="BA2458" s="355">
        <v>1.21E-2</v>
      </c>
      <c r="BB2458" s="624">
        <v>41696</v>
      </c>
      <c r="BC2458" s="355">
        <v>0.32740000000000002</v>
      </c>
      <c r="BD2458" s="624">
        <v>41696</v>
      </c>
      <c r="BE2458" s="355">
        <v>9.3439999999999995E-2</v>
      </c>
      <c r="BF2458" s="624">
        <v>41829</v>
      </c>
      <c r="BG2458" s="355">
        <v>1.6760000000000001E-2</v>
      </c>
      <c r="BH2458" s="624">
        <v>41696</v>
      </c>
      <c r="BI2458" s="355">
        <v>8.5985000000000006E-2</v>
      </c>
      <c r="BJ2458" s="624">
        <v>41695</v>
      </c>
      <c r="BK2458" s="355">
        <v>3.0721999999999999E-2</v>
      </c>
    </row>
    <row r="2459" spans="3:63">
      <c r="C2459" s="624"/>
      <c r="D2459" s="355">
        <v>2.741E-2</v>
      </c>
      <c r="AV2459" s="624"/>
      <c r="AX2459" s="624">
        <v>41702</v>
      </c>
      <c r="AY2459" s="355">
        <v>2.7740000000000001E-2</v>
      </c>
      <c r="AZ2459" s="624">
        <v>41766</v>
      </c>
      <c r="BA2459" s="355">
        <v>1.2E-2</v>
      </c>
      <c r="BB2459" s="624">
        <v>41697</v>
      </c>
      <c r="BC2459" s="355">
        <v>0.32969999999999999</v>
      </c>
      <c r="BD2459" s="624">
        <v>41697</v>
      </c>
      <c r="BE2459" s="355">
        <v>9.3780000000000002E-2</v>
      </c>
      <c r="BF2459" s="624">
        <v>41830</v>
      </c>
      <c r="BG2459" s="355">
        <v>1.6646999999999999E-2</v>
      </c>
      <c r="BH2459" s="624">
        <v>41697</v>
      </c>
      <c r="BI2459" s="355">
        <v>8.5891999999999996E-2</v>
      </c>
      <c r="BJ2459" s="624">
        <v>41696</v>
      </c>
      <c r="BK2459" s="355">
        <v>3.0689000000000001E-2</v>
      </c>
    </row>
    <row r="2460" spans="3:63">
      <c r="C2460" s="624"/>
      <c r="D2460" s="355">
        <v>2.7740000000000001E-2</v>
      </c>
      <c r="AV2460" s="624"/>
      <c r="AX2460" s="624">
        <v>41703</v>
      </c>
      <c r="AY2460" s="355">
        <v>2.7740000000000001E-2</v>
      </c>
      <c r="AZ2460" s="624">
        <v>41767</v>
      </c>
      <c r="BA2460" s="355">
        <v>1.2E-2</v>
      </c>
      <c r="BB2460" s="624">
        <v>41698</v>
      </c>
      <c r="BC2460" s="355">
        <v>0.33179999999999998</v>
      </c>
      <c r="BD2460" s="624">
        <v>41698</v>
      </c>
      <c r="BE2460" s="355">
        <v>9.3759999999999996E-2</v>
      </c>
      <c r="BF2460" s="624">
        <v>41831</v>
      </c>
      <c r="BG2460" s="355">
        <v>1.6631E-2</v>
      </c>
      <c r="BH2460" s="624">
        <v>41698</v>
      </c>
      <c r="BI2460" s="355">
        <v>8.6096000000000006E-2</v>
      </c>
      <c r="BJ2460" s="624">
        <v>41697</v>
      </c>
      <c r="BK2460" s="355">
        <v>3.0693999999999999E-2</v>
      </c>
    </row>
    <row r="2461" spans="3:63">
      <c r="C2461" s="624"/>
      <c r="D2461" s="355">
        <v>2.7740000000000001E-2</v>
      </c>
      <c r="AV2461" s="624"/>
      <c r="AX2461" s="624">
        <v>41704</v>
      </c>
      <c r="AY2461" s="355">
        <v>2.767E-2</v>
      </c>
      <c r="AZ2461" s="624">
        <v>41768</v>
      </c>
      <c r="BA2461" s="355">
        <v>1.1900000000000001E-2</v>
      </c>
      <c r="BB2461" s="624">
        <v>41701</v>
      </c>
      <c r="BC2461" s="355">
        <v>0.32490000000000002</v>
      </c>
      <c r="BD2461" s="624">
        <v>41701</v>
      </c>
      <c r="BE2461" s="355">
        <v>9.325E-2</v>
      </c>
      <c r="BF2461" s="624">
        <v>41834</v>
      </c>
      <c r="BG2461" s="355">
        <v>1.6643000000000002E-2</v>
      </c>
      <c r="BH2461" s="624">
        <v>41701</v>
      </c>
      <c r="BI2461" s="355">
        <v>8.6336999999999997E-2</v>
      </c>
      <c r="BJ2461" s="624">
        <v>41698</v>
      </c>
      <c r="BK2461" s="355">
        <v>3.0731000000000001E-2</v>
      </c>
    </row>
    <row r="2462" spans="3:63">
      <c r="C2462" s="624"/>
      <c r="D2462" s="355">
        <v>2.767E-2</v>
      </c>
      <c r="AV2462" s="624"/>
      <c r="AX2462" s="624">
        <v>41705</v>
      </c>
      <c r="AY2462" s="355">
        <v>2.7449999999999999E-2</v>
      </c>
      <c r="AZ2462" s="624">
        <v>41771</v>
      </c>
      <c r="BA2462" s="355">
        <v>1.1900000000000001E-2</v>
      </c>
      <c r="BB2462" s="624">
        <v>41702</v>
      </c>
      <c r="BC2462" s="355">
        <v>0.32850000000000001</v>
      </c>
      <c r="BD2462" s="624">
        <v>41702</v>
      </c>
      <c r="BE2462" s="355">
        <v>9.3340000000000006E-2</v>
      </c>
      <c r="BF2462" s="624">
        <v>41835</v>
      </c>
      <c r="BG2462" s="355">
        <v>1.6615999999999999E-2</v>
      </c>
      <c r="BH2462" s="624">
        <v>41702</v>
      </c>
      <c r="BI2462" s="355">
        <v>8.5763000000000006E-2</v>
      </c>
      <c r="BJ2462" s="624">
        <v>41701</v>
      </c>
      <c r="BK2462" s="355">
        <v>3.074E-2</v>
      </c>
    </row>
    <row r="2463" spans="3:63">
      <c r="C2463" s="624"/>
      <c r="D2463" s="355">
        <v>2.7449999999999999E-2</v>
      </c>
      <c r="AV2463" s="624"/>
      <c r="AX2463" s="624">
        <v>41708</v>
      </c>
      <c r="AY2463" s="355">
        <v>2.7519999999999999E-2</v>
      </c>
      <c r="AZ2463" s="624">
        <v>41772</v>
      </c>
      <c r="BA2463" s="355">
        <v>1.1900000000000001E-2</v>
      </c>
      <c r="BB2463" s="624">
        <v>41703</v>
      </c>
      <c r="BC2463" s="355">
        <v>0.3281</v>
      </c>
      <c r="BD2463" s="624">
        <v>41703</v>
      </c>
      <c r="BE2463" s="355">
        <v>9.3340000000000006E-2</v>
      </c>
      <c r="BF2463" s="624">
        <v>41836</v>
      </c>
      <c r="BG2463" s="355">
        <v>1.6643999999999999E-2</v>
      </c>
      <c r="BH2463" s="624">
        <v>41703</v>
      </c>
      <c r="BI2463" s="355">
        <v>8.6388999999999994E-2</v>
      </c>
      <c r="BJ2463" s="624">
        <v>41702</v>
      </c>
      <c r="BK2463" s="355">
        <v>3.0934E-2</v>
      </c>
    </row>
    <row r="2464" spans="3:63">
      <c r="C2464" s="624"/>
      <c r="D2464" s="355">
        <v>2.7519999999999999E-2</v>
      </c>
      <c r="AV2464" s="624"/>
      <c r="AX2464" s="624">
        <v>41709</v>
      </c>
      <c r="AY2464" s="355">
        <v>2.742E-2</v>
      </c>
      <c r="AZ2464" s="624">
        <v>41773</v>
      </c>
      <c r="BA2464" s="355">
        <v>1.1900000000000001E-2</v>
      </c>
      <c r="BB2464" s="624">
        <v>41704</v>
      </c>
      <c r="BC2464" s="355">
        <v>0.33169999999999999</v>
      </c>
      <c r="BD2464" s="624">
        <v>41704</v>
      </c>
      <c r="BE2464" s="355">
        <v>9.3969999999999998E-2</v>
      </c>
      <c r="BF2464" s="624">
        <v>41837</v>
      </c>
      <c r="BG2464" s="355">
        <v>1.6483999999999999E-2</v>
      </c>
      <c r="BH2464" s="624">
        <v>41704</v>
      </c>
      <c r="BI2464" s="355">
        <v>8.7135000000000004E-2</v>
      </c>
      <c r="BJ2464" s="624">
        <v>41703</v>
      </c>
      <c r="BK2464" s="355">
        <v>3.0963999999999998E-2</v>
      </c>
    </row>
    <row r="2465" spans="3:63">
      <c r="C2465" s="624"/>
      <c r="D2465" s="355">
        <v>2.742E-2</v>
      </c>
      <c r="AV2465" s="624"/>
      <c r="AX2465" s="624">
        <v>41710</v>
      </c>
      <c r="AY2465" s="355">
        <v>2.7400000000000001E-2</v>
      </c>
      <c r="AZ2465" s="624">
        <v>41774</v>
      </c>
      <c r="BA2465" s="355">
        <v>1.1900000000000001E-2</v>
      </c>
      <c r="BB2465" s="624">
        <v>41705</v>
      </c>
      <c r="BC2465" s="355">
        <v>0.3301</v>
      </c>
      <c r="BD2465" s="624">
        <v>41705</v>
      </c>
      <c r="BE2465" s="355">
        <v>9.3859999999999999E-2</v>
      </c>
      <c r="BF2465" s="624">
        <v>41838</v>
      </c>
      <c r="BG2465" s="355">
        <v>1.6573999999999998E-2</v>
      </c>
      <c r="BH2465" s="624">
        <v>41705</v>
      </c>
      <c r="BI2465" s="355">
        <v>8.7527999999999995E-2</v>
      </c>
      <c r="BJ2465" s="624">
        <v>41704</v>
      </c>
      <c r="BK2465" s="355">
        <v>3.1014E-2</v>
      </c>
    </row>
    <row r="2466" spans="3:63">
      <c r="C2466" s="624"/>
      <c r="D2466" s="355">
        <v>2.7400000000000001E-2</v>
      </c>
      <c r="AV2466" s="624"/>
      <c r="AX2466" s="624">
        <v>41711</v>
      </c>
      <c r="AY2466" s="355">
        <v>2.7289999999999998E-2</v>
      </c>
      <c r="AZ2466" s="624">
        <v>41775</v>
      </c>
      <c r="BA2466" s="355">
        <v>1.1900000000000001E-2</v>
      </c>
      <c r="BB2466" s="624">
        <v>41708</v>
      </c>
      <c r="BC2466" s="355">
        <v>0.32940000000000003</v>
      </c>
      <c r="BD2466" s="624">
        <v>41708</v>
      </c>
      <c r="BE2466" s="355">
        <v>9.3689999999999996E-2</v>
      </c>
      <c r="BF2466" s="624">
        <v>41841</v>
      </c>
      <c r="BG2466" s="355">
        <v>1.6584999999999999E-2</v>
      </c>
      <c r="BH2466" s="624">
        <v>41708</v>
      </c>
      <c r="BI2466" s="355">
        <v>8.7355000000000002E-2</v>
      </c>
      <c r="BJ2466" s="624">
        <v>41705</v>
      </c>
      <c r="BK2466" s="355">
        <v>3.0953000000000001E-2</v>
      </c>
    </row>
    <row r="2467" spans="3:63">
      <c r="C2467" s="624"/>
      <c r="D2467" s="355">
        <v>2.7289999999999998E-2</v>
      </c>
      <c r="AV2467" s="624"/>
      <c r="AX2467" s="624">
        <v>41712</v>
      </c>
      <c r="AY2467" s="355">
        <v>2.7349999999999999E-2</v>
      </c>
      <c r="AZ2467" s="624">
        <v>41778</v>
      </c>
      <c r="BA2467" s="355">
        <v>1.18E-2</v>
      </c>
      <c r="BB2467" s="624">
        <v>41709</v>
      </c>
      <c r="BC2467" s="355">
        <v>0.3281</v>
      </c>
      <c r="BD2467" s="624">
        <v>41709</v>
      </c>
      <c r="BE2467" s="355">
        <v>9.3469999999999998E-2</v>
      </c>
      <c r="BF2467" s="624">
        <v>41842</v>
      </c>
      <c r="BG2467" s="355">
        <v>1.6632999999999998E-2</v>
      </c>
      <c r="BH2467" s="624">
        <v>41709</v>
      </c>
      <c r="BI2467" s="355">
        <v>8.7970000000000007E-2</v>
      </c>
      <c r="BJ2467" s="624">
        <v>41708</v>
      </c>
      <c r="BK2467" s="355">
        <v>3.0883000000000001E-2</v>
      </c>
    </row>
    <row r="2468" spans="3:63">
      <c r="C2468" s="624"/>
      <c r="D2468" s="355">
        <v>2.7349999999999999E-2</v>
      </c>
      <c r="AV2468" s="624"/>
      <c r="AX2468" s="624">
        <v>41715</v>
      </c>
      <c r="AY2468" s="355">
        <v>2.7550000000000002E-2</v>
      </c>
      <c r="AZ2468" s="624">
        <v>41779</v>
      </c>
      <c r="BA2468" s="355">
        <v>1.1900000000000001E-2</v>
      </c>
      <c r="BB2468" s="624">
        <v>41710</v>
      </c>
      <c r="BC2468" s="355">
        <v>0.3291</v>
      </c>
      <c r="BD2468" s="624">
        <v>41710</v>
      </c>
      <c r="BE2468" s="355">
        <v>9.3450000000000005E-2</v>
      </c>
      <c r="BF2468" s="624">
        <v>41843</v>
      </c>
      <c r="BG2468" s="355">
        <v>1.6674999999999999E-2</v>
      </c>
      <c r="BH2468" s="624">
        <v>41710</v>
      </c>
      <c r="BI2468" s="355">
        <v>8.7526999999999994E-2</v>
      </c>
      <c r="BJ2468" s="624">
        <v>41709</v>
      </c>
      <c r="BK2468" s="355">
        <v>3.0896E-2</v>
      </c>
    </row>
    <row r="2469" spans="3:63">
      <c r="C2469" s="624"/>
      <c r="D2469" s="355">
        <v>2.7550000000000002E-2</v>
      </c>
      <c r="AV2469" s="624"/>
      <c r="AX2469" s="624">
        <v>41716</v>
      </c>
      <c r="AY2469" s="355">
        <v>2.759E-2</v>
      </c>
      <c r="AZ2469" s="624">
        <v>41780</v>
      </c>
      <c r="BA2469" s="355">
        <v>1.1900000000000001E-2</v>
      </c>
      <c r="BB2469" s="624">
        <v>41711</v>
      </c>
      <c r="BC2469" s="355">
        <v>0.32740000000000002</v>
      </c>
      <c r="BD2469" s="624">
        <v>41711</v>
      </c>
      <c r="BE2469" s="355">
        <v>9.3399999999999997E-2</v>
      </c>
      <c r="BF2469" s="624">
        <v>41844</v>
      </c>
      <c r="BG2469" s="355">
        <v>1.6645E-2</v>
      </c>
      <c r="BH2469" s="624">
        <v>41711</v>
      </c>
      <c r="BI2469" s="355">
        <v>8.7873000000000007E-2</v>
      </c>
      <c r="BJ2469" s="624">
        <v>41710</v>
      </c>
      <c r="BK2469" s="355">
        <v>3.0873000000000001E-2</v>
      </c>
    </row>
    <row r="2470" spans="3:63">
      <c r="C2470" s="624"/>
      <c r="D2470" s="355">
        <v>2.759E-2</v>
      </c>
      <c r="AV2470" s="624"/>
      <c r="AX2470" s="624">
        <v>41717</v>
      </c>
      <c r="AY2470" s="355">
        <v>2.7650000000000001E-2</v>
      </c>
      <c r="AZ2470" s="624">
        <v>41781</v>
      </c>
      <c r="BA2470" s="355">
        <v>1.18E-2</v>
      </c>
      <c r="BB2470" s="624">
        <v>41712</v>
      </c>
      <c r="BC2470" s="355">
        <v>0.32940000000000003</v>
      </c>
      <c r="BD2470" s="624">
        <v>41712</v>
      </c>
      <c r="BE2470" s="355">
        <v>9.3340000000000006E-2</v>
      </c>
      <c r="BF2470" s="624">
        <v>41845</v>
      </c>
      <c r="BG2470" s="355">
        <v>1.6649000000000001E-2</v>
      </c>
      <c r="BH2470" s="624">
        <v>41712</v>
      </c>
      <c r="BI2470" s="355">
        <v>8.7641999999999998E-2</v>
      </c>
      <c r="BJ2470" s="624">
        <v>41711</v>
      </c>
      <c r="BK2470" s="355">
        <v>3.0922000000000002E-2</v>
      </c>
    </row>
    <row r="2471" spans="3:63">
      <c r="C2471" s="624"/>
      <c r="D2471" s="355">
        <v>2.7650000000000001E-2</v>
      </c>
      <c r="AV2471" s="624"/>
      <c r="AX2471" s="624">
        <v>41718</v>
      </c>
      <c r="AY2471" s="355">
        <v>2.7529999999999999E-2</v>
      </c>
      <c r="AZ2471" s="624">
        <v>41782</v>
      </c>
      <c r="BA2471" s="355">
        <v>1.18E-2</v>
      </c>
      <c r="BB2471" s="624">
        <v>41715</v>
      </c>
      <c r="BC2471" s="355">
        <v>0.32929999999999998</v>
      </c>
      <c r="BD2471" s="624">
        <v>41715</v>
      </c>
      <c r="BE2471" s="355">
        <v>9.3710000000000002E-2</v>
      </c>
      <c r="BF2471" s="624">
        <v>41848</v>
      </c>
      <c r="BG2471" s="355">
        <v>1.6643999999999999E-2</v>
      </c>
      <c r="BH2471" s="624">
        <v>41715</v>
      </c>
      <c r="BI2471" s="355">
        <v>8.8594000000000006E-2</v>
      </c>
      <c r="BJ2471" s="624">
        <v>41712</v>
      </c>
      <c r="BK2471" s="355">
        <v>3.0984000000000001E-2</v>
      </c>
    </row>
    <row r="2472" spans="3:63">
      <c r="C2472" s="624"/>
      <c r="D2472" s="355">
        <v>2.7529999999999999E-2</v>
      </c>
      <c r="AV2472" s="624"/>
      <c r="AX2472" s="624">
        <v>41719</v>
      </c>
      <c r="AY2472" s="355">
        <v>2.76E-2</v>
      </c>
      <c r="AZ2472" s="624">
        <v>41785</v>
      </c>
      <c r="BA2472" s="355">
        <v>1.18E-2</v>
      </c>
      <c r="BB2472" s="624">
        <v>41716</v>
      </c>
      <c r="BC2472" s="355">
        <v>0.33110000000000001</v>
      </c>
      <c r="BD2472" s="624">
        <v>41716</v>
      </c>
      <c r="BE2472" s="355">
        <v>9.35E-2</v>
      </c>
      <c r="BF2472" s="624">
        <v>41849</v>
      </c>
      <c r="BG2472" s="355">
        <v>1.6598999999999999E-2</v>
      </c>
      <c r="BH2472" s="624">
        <v>41716</v>
      </c>
      <c r="BI2472" s="355">
        <v>8.8416999999999996E-2</v>
      </c>
      <c r="BJ2472" s="624">
        <v>41715</v>
      </c>
      <c r="BK2472" s="355">
        <v>3.1033000000000002E-2</v>
      </c>
    </row>
    <row r="2473" spans="3:63">
      <c r="C2473" s="624"/>
      <c r="D2473" s="355">
        <v>2.76E-2</v>
      </c>
      <c r="AV2473" s="624"/>
      <c r="AX2473" s="624">
        <v>41722</v>
      </c>
      <c r="AY2473" s="355">
        <v>2.7709999999999999E-2</v>
      </c>
      <c r="AZ2473" s="624">
        <v>41786</v>
      </c>
      <c r="BA2473" s="355">
        <v>1.18E-2</v>
      </c>
      <c r="BB2473" s="624">
        <v>41717</v>
      </c>
      <c r="BC2473" s="355">
        <v>0.32840000000000003</v>
      </c>
      <c r="BD2473" s="624">
        <v>41717</v>
      </c>
      <c r="BE2473" s="355">
        <v>9.2990000000000003E-2</v>
      </c>
      <c r="BF2473" s="624">
        <v>41850</v>
      </c>
      <c r="BG2473" s="355">
        <v>1.6565E-2</v>
      </c>
      <c r="BH2473" s="624">
        <v>41717</v>
      </c>
      <c r="BI2473" s="355">
        <v>8.8242000000000001E-2</v>
      </c>
      <c r="BJ2473" s="624">
        <v>41716</v>
      </c>
      <c r="BK2473" s="355">
        <v>3.1143000000000001E-2</v>
      </c>
    </row>
    <row r="2474" spans="3:63">
      <c r="C2474" s="624"/>
      <c r="D2474" s="355">
        <v>2.7709999999999999E-2</v>
      </c>
      <c r="AV2474" s="624"/>
      <c r="AX2474" s="624">
        <v>41723</v>
      </c>
      <c r="AY2474" s="355">
        <v>2.819E-2</v>
      </c>
      <c r="AZ2474" s="624">
        <v>41787</v>
      </c>
      <c r="BA2474" s="355">
        <v>1.18E-2</v>
      </c>
      <c r="BB2474" s="624">
        <v>41718</v>
      </c>
      <c r="BC2474" s="355">
        <v>0.32829999999999998</v>
      </c>
      <c r="BD2474" s="624">
        <v>41718</v>
      </c>
      <c r="BE2474" s="355">
        <v>9.2530000000000001E-2</v>
      </c>
      <c r="BF2474" s="624">
        <v>41851</v>
      </c>
      <c r="BG2474" s="355">
        <v>1.6414000000000002E-2</v>
      </c>
      <c r="BH2474" s="624">
        <v>41718</v>
      </c>
      <c r="BI2474" s="355">
        <v>8.7526999999999994E-2</v>
      </c>
      <c r="BJ2474" s="624">
        <v>41717</v>
      </c>
      <c r="BK2474" s="355">
        <v>3.0959E-2</v>
      </c>
    </row>
    <row r="2475" spans="3:63">
      <c r="C2475" s="624"/>
      <c r="D2475" s="355">
        <v>2.819E-2</v>
      </c>
      <c r="AV2475" s="624"/>
      <c r="AX2475" s="624">
        <v>41724</v>
      </c>
      <c r="AY2475" s="355">
        <v>2.8119999999999999E-2</v>
      </c>
      <c r="AZ2475" s="624">
        <v>41788</v>
      </c>
      <c r="BA2475" s="355">
        <v>1.18E-2</v>
      </c>
      <c r="BB2475" s="624">
        <v>41719</v>
      </c>
      <c r="BC2475" s="355">
        <v>0.32900000000000001</v>
      </c>
      <c r="BD2475" s="624">
        <v>41719</v>
      </c>
      <c r="BE2475" s="355">
        <v>9.2609999999999998E-2</v>
      </c>
      <c r="BF2475" s="624">
        <v>41852</v>
      </c>
      <c r="BG2475" s="355">
        <v>1.6448999999999998E-2</v>
      </c>
      <c r="BH2475" s="624">
        <v>41719</v>
      </c>
      <c r="BI2475" s="355">
        <v>8.7446999999999997E-2</v>
      </c>
      <c r="BJ2475" s="624">
        <v>41718</v>
      </c>
      <c r="BK2475" s="355">
        <v>3.0873999999999999E-2</v>
      </c>
    </row>
    <row r="2476" spans="3:63">
      <c r="C2476" s="624"/>
      <c r="D2476" s="355">
        <v>2.8119999999999999E-2</v>
      </c>
      <c r="AV2476" s="624"/>
      <c r="AX2476" s="624">
        <v>41725</v>
      </c>
      <c r="AY2476" s="355">
        <v>2.8070000000000001E-2</v>
      </c>
      <c r="AZ2476" s="624">
        <v>41789</v>
      </c>
      <c r="BA2476" s="355">
        <v>1.18E-2</v>
      </c>
      <c r="BB2476" s="624">
        <v>41722</v>
      </c>
      <c r="BC2476" s="355">
        <v>0.32950000000000002</v>
      </c>
      <c r="BD2476" s="624">
        <v>41722</v>
      </c>
      <c r="BE2476" s="355">
        <v>9.2770000000000005E-2</v>
      </c>
      <c r="BF2476" s="624">
        <v>41855</v>
      </c>
      <c r="BG2476" s="355">
        <v>1.6419E-2</v>
      </c>
      <c r="BH2476" s="624">
        <v>41722</v>
      </c>
      <c r="BI2476" s="355">
        <v>8.7873000000000007E-2</v>
      </c>
      <c r="BJ2476" s="624">
        <v>41719</v>
      </c>
      <c r="BK2476" s="355">
        <v>3.0876000000000001E-2</v>
      </c>
    </row>
    <row r="2477" spans="3:63">
      <c r="C2477" s="624"/>
      <c r="D2477" s="355">
        <v>2.8070000000000001E-2</v>
      </c>
      <c r="AV2477" s="624"/>
      <c r="AX2477" s="624">
        <v>41726</v>
      </c>
      <c r="AY2477" s="355">
        <v>2.7980000000000001E-2</v>
      </c>
      <c r="AZ2477" s="624">
        <v>41792</v>
      </c>
      <c r="BA2477" s="355">
        <v>1.18E-2</v>
      </c>
      <c r="BB2477" s="624">
        <v>41723</v>
      </c>
      <c r="BC2477" s="355">
        <v>0.32990000000000003</v>
      </c>
      <c r="BD2477" s="624">
        <v>41723</v>
      </c>
      <c r="BE2477" s="355">
        <v>9.2749999999999999E-2</v>
      </c>
      <c r="BF2477" s="624">
        <v>41856</v>
      </c>
      <c r="BG2477" s="355">
        <v>1.6369000000000002E-2</v>
      </c>
      <c r="BH2477" s="624">
        <v>41723</v>
      </c>
      <c r="BI2477" s="355">
        <v>8.7873000000000007E-2</v>
      </c>
      <c r="BJ2477" s="624">
        <v>41722</v>
      </c>
      <c r="BK2477" s="355">
        <v>3.0811999999999999E-2</v>
      </c>
    </row>
    <row r="2478" spans="3:63">
      <c r="C2478" s="624"/>
      <c r="D2478" s="355">
        <v>2.7980000000000001E-2</v>
      </c>
      <c r="AV2478" s="624"/>
      <c r="AX2478" s="624">
        <v>41729</v>
      </c>
      <c r="AY2478" s="355">
        <v>2.852E-2</v>
      </c>
      <c r="AZ2478" s="624">
        <v>41793</v>
      </c>
      <c r="BA2478" s="355">
        <v>1.18E-2</v>
      </c>
      <c r="BB2478" s="624">
        <v>41724</v>
      </c>
      <c r="BC2478" s="355">
        <v>0.3296</v>
      </c>
      <c r="BD2478" s="624">
        <v>41724</v>
      </c>
      <c r="BE2478" s="355">
        <v>9.2859999999999998E-2</v>
      </c>
      <c r="BF2478" s="624">
        <v>41857</v>
      </c>
      <c r="BG2478" s="355">
        <v>1.6330999999999998E-2</v>
      </c>
      <c r="BH2478" s="624">
        <v>41724</v>
      </c>
      <c r="BI2478" s="355">
        <v>8.7662000000000004E-2</v>
      </c>
      <c r="BJ2478" s="624">
        <v>41723</v>
      </c>
      <c r="BK2478" s="355">
        <v>3.0700000000000002E-2</v>
      </c>
    </row>
    <row r="2479" spans="3:63">
      <c r="C2479" s="624"/>
      <c r="D2479" s="355">
        <v>2.852E-2</v>
      </c>
      <c r="AV2479" s="624"/>
      <c r="AX2479" s="624">
        <v>41730</v>
      </c>
      <c r="AY2479" s="355">
        <v>2.8490000000000001E-2</v>
      </c>
      <c r="AZ2479" s="624">
        <v>41794</v>
      </c>
      <c r="BA2479" s="355">
        <v>1.18E-2</v>
      </c>
      <c r="BB2479" s="624">
        <v>41725</v>
      </c>
      <c r="BC2479" s="355">
        <v>0.33</v>
      </c>
      <c r="BD2479" s="624">
        <v>41725</v>
      </c>
      <c r="BE2479" s="355">
        <v>9.3600000000000003E-2</v>
      </c>
      <c r="BF2479" s="624">
        <v>41858</v>
      </c>
      <c r="BG2479" s="355">
        <v>1.626E-2</v>
      </c>
      <c r="BH2479" s="624">
        <v>41725</v>
      </c>
      <c r="BI2479" s="355">
        <v>8.7382000000000001E-2</v>
      </c>
      <c r="BJ2479" s="624">
        <v>41724</v>
      </c>
      <c r="BK2479" s="355">
        <v>3.0713000000000001E-2</v>
      </c>
    </row>
    <row r="2480" spans="3:63">
      <c r="C2480" s="624"/>
      <c r="D2480" s="355">
        <v>2.8490000000000001E-2</v>
      </c>
      <c r="AV2480" s="624"/>
      <c r="AX2480" s="624">
        <v>41731</v>
      </c>
      <c r="AY2480" s="355">
        <v>2.8199999999999999E-2</v>
      </c>
      <c r="AZ2480" s="624">
        <v>41795</v>
      </c>
      <c r="BA2480" s="355">
        <v>1.18E-2</v>
      </c>
      <c r="BB2480" s="624">
        <v>41726</v>
      </c>
      <c r="BC2480" s="355">
        <v>0.32969999999999999</v>
      </c>
      <c r="BD2480" s="624">
        <v>41726</v>
      </c>
      <c r="BE2480" s="355">
        <v>9.3479999999999994E-2</v>
      </c>
      <c r="BF2480" s="624">
        <v>41859</v>
      </c>
      <c r="BG2480" s="355">
        <v>1.6361000000000001E-2</v>
      </c>
      <c r="BH2480" s="624">
        <v>41726</v>
      </c>
      <c r="BI2480" s="355">
        <v>8.7719000000000005E-2</v>
      </c>
      <c r="BJ2480" s="624">
        <v>41725</v>
      </c>
      <c r="BK2480" s="355">
        <v>3.0755999999999999E-2</v>
      </c>
    </row>
    <row r="2481" spans="3:63">
      <c r="C2481" s="624"/>
      <c r="D2481" s="355">
        <v>2.8199999999999999E-2</v>
      </c>
      <c r="AV2481" s="624"/>
      <c r="AX2481" s="624">
        <v>41732</v>
      </c>
      <c r="AY2481" s="355">
        <v>2.8080000000000001E-2</v>
      </c>
      <c r="AZ2481" s="624">
        <v>41796</v>
      </c>
      <c r="BA2481" s="355">
        <v>1.18E-2</v>
      </c>
      <c r="BB2481" s="624">
        <v>41729</v>
      </c>
      <c r="BC2481" s="355">
        <v>0.33050000000000002</v>
      </c>
      <c r="BD2481" s="624">
        <v>41729</v>
      </c>
      <c r="BE2481" s="355">
        <v>9.3960000000000002E-2</v>
      </c>
      <c r="BF2481" s="624">
        <v>41862</v>
      </c>
      <c r="BG2481" s="355">
        <v>1.6358999999999999E-2</v>
      </c>
      <c r="BH2481" s="624">
        <v>41729</v>
      </c>
      <c r="BI2481" s="355">
        <v>8.7758000000000003E-2</v>
      </c>
      <c r="BJ2481" s="624">
        <v>41726</v>
      </c>
      <c r="BK2481" s="355">
        <v>3.0769000000000001E-2</v>
      </c>
    </row>
    <row r="2482" spans="3:63">
      <c r="C2482" s="624"/>
      <c r="D2482" s="355">
        <v>2.8080000000000001E-2</v>
      </c>
      <c r="AV2482" s="624"/>
      <c r="AX2482" s="624">
        <v>41733</v>
      </c>
      <c r="AY2482" s="355">
        <v>2.835E-2</v>
      </c>
      <c r="AZ2482" s="624">
        <v>41799</v>
      </c>
      <c r="BA2482" s="355">
        <v>1.18E-2</v>
      </c>
      <c r="BB2482" s="624">
        <v>41730</v>
      </c>
      <c r="BC2482" s="355">
        <v>0.3306</v>
      </c>
      <c r="BD2482" s="624">
        <v>41730</v>
      </c>
      <c r="BE2482" s="355">
        <v>9.4539999999999999E-2</v>
      </c>
      <c r="BF2482" s="624">
        <v>41863</v>
      </c>
      <c r="BG2482" s="355">
        <v>1.6327999999999999E-2</v>
      </c>
      <c r="BH2482" s="624">
        <v>41730</v>
      </c>
      <c r="BI2482" s="355">
        <v>8.8398000000000004E-2</v>
      </c>
      <c r="BJ2482" s="624">
        <v>41729</v>
      </c>
      <c r="BK2482" s="355">
        <v>3.0849000000000001E-2</v>
      </c>
    </row>
    <row r="2483" spans="3:63">
      <c r="C2483" s="624"/>
      <c r="D2483" s="355">
        <v>2.835E-2</v>
      </c>
      <c r="AV2483" s="624"/>
      <c r="AX2483" s="624">
        <v>41736</v>
      </c>
      <c r="AY2483" s="355">
        <v>2.8039999999999999E-2</v>
      </c>
      <c r="AZ2483" s="624">
        <v>41800</v>
      </c>
      <c r="BA2483" s="355">
        <v>1.17E-2</v>
      </c>
      <c r="BB2483" s="624">
        <v>41731</v>
      </c>
      <c r="BC2483" s="355">
        <v>0.33040000000000003</v>
      </c>
      <c r="BD2483" s="624">
        <v>41731</v>
      </c>
      <c r="BE2483" s="355">
        <v>9.4509999999999997E-2</v>
      </c>
      <c r="BF2483" s="624">
        <v>41864</v>
      </c>
      <c r="BG2483" s="355">
        <v>1.6362999999999999E-2</v>
      </c>
      <c r="BH2483" s="624">
        <v>41731</v>
      </c>
      <c r="BI2483" s="355">
        <v>8.8553999999999994E-2</v>
      </c>
      <c r="BJ2483" s="624">
        <v>41730</v>
      </c>
      <c r="BK2483" s="355">
        <v>3.0915000000000002E-2</v>
      </c>
    </row>
    <row r="2484" spans="3:63">
      <c r="C2484" s="624"/>
      <c r="D2484" s="355">
        <v>2.8039999999999999E-2</v>
      </c>
      <c r="AV2484" s="624"/>
      <c r="AX2484" s="624">
        <v>41737</v>
      </c>
      <c r="AY2484" s="355">
        <v>2.7990000000000001E-2</v>
      </c>
      <c r="AZ2484" s="624">
        <v>41801</v>
      </c>
      <c r="BA2484" s="355">
        <v>1.17E-2</v>
      </c>
      <c r="BB2484" s="624">
        <v>41732</v>
      </c>
      <c r="BC2484" s="355">
        <v>0.32929999999999998</v>
      </c>
      <c r="BD2484" s="624">
        <v>41732</v>
      </c>
      <c r="BE2484" s="355">
        <v>9.4479999999999995E-2</v>
      </c>
      <c r="BF2484" s="624">
        <v>41865</v>
      </c>
      <c r="BG2484" s="355">
        <v>1.643E-2</v>
      </c>
      <c r="BH2484" s="624">
        <v>41732</v>
      </c>
      <c r="BI2484" s="355">
        <v>8.8514999999999996E-2</v>
      </c>
      <c r="BJ2484" s="624">
        <v>41731</v>
      </c>
      <c r="BK2484" s="355">
        <v>3.0837E-2</v>
      </c>
    </row>
    <row r="2485" spans="3:63">
      <c r="C2485" s="624"/>
      <c r="D2485" s="355">
        <v>2.7990000000000001E-2</v>
      </c>
      <c r="AV2485" s="624"/>
      <c r="AX2485" s="624">
        <v>41738</v>
      </c>
      <c r="AY2485" s="355">
        <v>2.811E-2</v>
      </c>
      <c r="AZ2485" s="624">
        <v>41802</v>
      </c>
      <c r="BA2485" s="355">
        <v>1.18E-2</v>
      </c>
      <c r="BB2485" s="624">
        <v>41733</v>
      </c>
      <c r="BC2485" s="355">
        <v>0.32929999999999998</v>
      </c>
      <c r="BD2485" s="624">
        <v>41733</v>
      </c>
      <c r="BE2485" s="355">
        <v>9.5070000000000002E-2</v>
      </c>
      <c r="BF2485" s="624">
        <v>41866</v>
      </c>
      <c r="BG2485" s="355">
        <v>1.6413000000000001E-2</v>
      </c>
      <c r="BH2485" s="624">
        <v>41733</v>
      </c>
      <c r="BI2485" s="355">
        <v>8.8367000000000001E-2</v>
      </c>
      <c r="BJ2485" s="624">
        <v>41732</v>
      </c>
      <c r="BK2485" s="355">
        <v>3.0787999999999999E-2</v>
      </c>
    </row>
    <row r="2486" spans="3:63">
      <c r="C2486" s="624"/>
      <c r="D2486" s="355">
        <v>2.811E-2</v>
      </c>
      <c r="AV2486" s="624"/>
      <c r="AX2486" s="624">
        <v>41739</v>
      </c>
      <c r="AY2486" s="355">
        <v>2.811E-2</v>
      </c>
      <c r="AZ2486" s="624">
        <v>41803</v>
      </c>
      <c r="BA2486" s="355">
        <v>1.17E-2</v>
      </c>
      <c r="BB2486" s="624">
        <v>41736</v>
      </c>
      <c r="BC2486" s="355">
        <v>0.3296</v>
      </c>
      <c r="BD2486" s="624">
        <v>41736</v>
      </c>
      <c r="BE2486" s="355">
        <v>9.4810000000000005E-2</v>
      </c>
      <c r="BF2486" s="624">
        <v>41869</v>
      </c>
      <c r="BG2486" s="355">
        <v>1.6452999999999999E-2</v>
      </c>
      <c r="BH2486" s="624">
        <v>41736</v>
      </c>
      <c r="BI2486" s="355">
        <v>8.8624999999999995E-2</v>
      </c>
      <c r="BJ2486" s="624">
        <v>41733</v>
      </c>
      <c r="BK2486" s="355">
        <v>3.0802E-2</v>
      </c>
    </row>
    <row r="2487" spans="3:63">
      <c r="C2487" s="624"/>
      <c r="D2487" s="355">
        <v>2.811E-2</v>
      </c>
      <c r="AV2487" s="624"/>
      <c r="AX2487" s="624">
        <v>41740</v>
      </c>
      <c r="AY2487" s="355">
        <v>2.8049999999999999E-2</v>
      </c>
      <c r="AZ2487" s="624">
        <v>41806</v>
      </c>
      <c r="BA2487" s="355">
        <v>1.18E-2</v>
      </c>
      <c r="BB2487" s="624">
        <v>41737</v>
      </c>
      <c r="BC2487" s="355">
        <v>0.33100000000000002</v>
      </c>
      <c r="BD2487" s="624">
        <v>41737</v>
      </c>
      <c r="BE2487" s="355">
        <v>9.5280000000000004E-2</v>
      </c>
      <c r="BF2487" s="624">
        <v>41870</v>
      </c>
      <c r="BG2487" s="355">
        <v>1.6465E-2</v>
      </c>
      <c r="BH2487" s="624">
        <v>41737</v>
      </c>
      <c r="BI2487" s="355">
        <v>8.8547000000000001E-2</v>
      </c>
      <c r="BJ2487" s="624">
        <v>41736</v>
      </c>
      <c r="BK2487" s="355">
        <v>3.0806E-2</v>
      </c>
    </row>
    <row r="2488" spans="3:63">
      <c r="C2488" s="624"/>
      <c r="D2488" s="355">
        <v>2.8049999999999999E-2</v>
      </c>
      <c r="AV2488" s="624"/>
      <c r="AX2488" s="624">
        <v>41743</v>
      </c>
      <c r="AY2488" s="355">
        <v>2.7810000000000001E-2</v>
      </c>
      <c r="AZ2488" s="624">
        <v>41807</v>
      </c>
      <c r="BA2488" s="355">
        <v>1.17E-2</v>
      </c>
      <c r="BB2488" s="624">
        <v>41738</v>
      </c>
      <c r="BC2488" s="355">
        <v>0.33279999999999998</v>
      </c>
      <c r="BD2488" s="624">
        <v>41738</v>
      </c>
      <c r="BE2488" s="355">
        <v>9.6610000000000001E-2</v>
      </c>
      <c r="BF2488" s="624">
        <v>41871</v>
      </c>
      <c r="BG2488" s="355">
        <v>1.6476000000000001E-2</v>
      </c>
      <c r="BH2488" s="624">
        <v>41738</v>
      </c>
      <c r="BI2488" s="355">
        <v>8.8557999999999998E-2</v>
      </c>
      <c r="BJ2488" s="624">
        <v>41737</v>
      </c>
      <c r="BK2488" s="355">
        <v>3.0988999999999999E-2</v>
      </c>
    </row>
    <row r="2489" spans="3:63">
      <c r="C2489" s="624"/>
      <c r="D2489" s="355">
        <v>2.7810000000000001E-2</v>
      </c>
      <c r="AV2489" s="624"/>
      <c r="AX2489" s="624">
        <v>41744</v>
      </c>
      <c r="AY2489" s="355">
        <v>2.758E-2</v>
      </c>
      <c r="AZ2489" s="624">
        <v>41808</v>
      </c>
      <c r="BA2489" s="355">
        <v>1.18E-2</v>
      </c>
      <c r="BB2489" s="624">
        <v>41739</v>
      </c>
      <c r="BC2489" s="355">
        <v>0.33260000000000001</v>
      </c>
      <c r="BD2489" s="624">
        <v>41739</v>
      </c>
      <c r="BE2489" s="355">
        <v>9.6189999999999998E-2</v>
      </c>
      <c r="BF2489" s="624">
        <v>41872</v>
      </c>
      <c r="BG2489" s="355">
        <v>1.6513E-2</v>
      </c>
      <c r="BH2489" s="624">
        <v>41739</v>
      </c>
      <c r="BI2489" s="355">
        <v>8.8273000000000004E-2</v>
      </c>
      <c r="BJ2489" s="624">
        <v>41738</v>
      </c>
      <c r="BK2489" s="355">
        <v>3.1098000000000001E-2</v>
      </c>
    </row>
    <row r="2490" spans="3:63">
      <c r="C2490" s="624"/>
      <c r="D2490" s="355">
        <v>2.758E-2</v>
      </c>
      <c r="AV2490" s="624"/>
      <c r="AX2490" s="624">
        <v>41745</v>
      </c>
      <c r="AY2490" s="355">
        <v>2.7810000000000001E-2</v>
      </c>
      <c r="AZ2490" s="624">
        <v>41809</v>
      </c>
      <c r="BA2490" s="355">
        <v>1.18E-2</v>
      </c>
      <c r="BB2490" s="624">
        <v>41740</v>
      </c>
      <c r="BC2490" s="355">
        <v>0.3322</v>
      </c>
      <c r="BD2490" s="624">
        <v>41740</v>
      </c>
      <c r="BE2490" s="355">
        <v>9.6229999999999996E-2</v>
      </c>
      <c r="BF2490" s="624">
        <v>41873</v>
      </c>
      <c r="BG2490" s="355">
        <v>1.6549000000000001E-2</v>
      </c>
      <c r="BH2490" s="624">
        <v>41740</v>
      </c>
      <c r="BI2490" s="355">
        <v>8.7593000000000004E-2</v>
      </c>
      <c r="BJ2490" s="624">
        <v>41739</v>
      </c>
      <c r="BK2490" s="355">
        <v>3.0984000000000001E-2</v>
      </c>
    </row>
    <row r="2491" spans="3:63">
      <c r="C2491" s="624"/>
      <c r="D2491" s="355">
        <v>2.7810000000000001E-2</v>
      </c>
      <c r="AV2491" s="624"/>
      <c r="AX2491" s="624">
        <v>41746</v>
      </c>
      <c r="AY2491" s="355">
        <v>2.818E-2</v>
      </c>
      <c r="AZ2491" s="624">
        <v>41810</v>
      </c>
      <c r="BA2491" s="355">
        <v>1.18E-2</v>
      </c>
      <c r="BB2491" s="624">
        <v>41743</v>
      </c>
      <c r="BC2491" s="355">
        <v>0.3306</v>
      </c>
      <c r="BD2491" s="624">
        <v>41743</v>
      </c>
      <c r="BE2491" s="355">
        <v>9.6009999999999998E-2</v>
      </c>
      <c r="BF2491" s="624">
        <v>41876</v>
      </c>
      <c r="BG2491" s="355">
        <v>1.6522999999999999E-2</v>
      </c>
      <c r="BH2491" s="624">
        <v>41743</v>
      </c>
      <c r="BI2491" s="355">
        <v>8.7413000000000005E-2</v>
      </c>
      <c r="BJ2491" s="624">
        <v>41740</v>
      </c>
      <c r="BK2491" s="355">
        <v>3.0967000000000001E-2</v>
      </c>
    </row>
    <row r="2492" spans="3:63">
      <c r="C2492" s="624"/>
      <c r="D2492" s="355">
        <v>2.818E-2</v>
      </c>
      <c r="AV2492" s="624"/>
      <c r="AX2492" s="624">
        <v>41747</v>
      </c>
      <c r="AY2492" s="355">
        <v>2.809E-2</v>
      </c>
      <c r="AZ2492" s="624">
        <v>41813</v>
      </c>
      <c r="BA2492" s="355">
        <v>1.18E-2</v>
      </c>
      <c r="BB2492" s="624">
        <v>41744</v>
      </c>
      <c r="BC2492" s="355">
        <v>0.32979999999999998</v>
      </c>
      <c r="BD2492" s="624">
        <v>41744</v>
      </c>
      <c r="BE2492" s="355">
        <v>9.5939999999999998E-2</v>
      </c>
      <c r="BF2492" s="624">
        <v>41877</v>
      </c>
      <c r="BG2492" s="355">
        <v>1.6531000000000001E-2</v>
      </c>
      <c r="BH2492" s="624">
        <v>41744</v>
      </c>
      <c r="BI2492" s="355">
        <v>8.7446999999999997E-2</v>
      </c>
      <c r="BJ2492" s="624">
        <v>41743</v>
      </c>
      <c r="BK2492" s="355">
        <v>3.0998000000000001E-2</v>
      </c>
    </row>
    <row r="2493" spans="3:63">
      <c r="C2493" s="624"/>
      <c r="D2493" s="355">
        <v>2.809E-2</v>
      </c>
      <c r="AV2493" s="624"/>
      <c r="AX2493" s="624">
        <v>41750</v>
      </c>
      <c r="AY2493" s="355">
        <v>2.8000000000000001E-2</v>
      </c>
      <c r="AZ2493" s="624">
        <v>41814</v>
      </c>
      <c r="BA2493" s="355">
        <v>1.18E-2</v>
      </c>
      <c r="BB2493" s="624">
        <v>41745</v>
      </c>
      <c r="BC2493" s="355">
        <v>0.32979999999999998</v>
      </c>
      <c r="BD2493" s="624">
        <v>41745</v>
      </c>
      <c r="BE2493" s="355">
        <v>9.6290000000000001E-2</v>
      </c>
      <c r="BF2493" s="624">
        <v>41878</v>
      </c>
      <c r="BG2493" s="355">
        <v>1.6573000000000001E-2</v>
      </c>
      <c r="BH2493" s="624">
        <v>41745</v>
      </c>
      <c r="BI2493" s="355">
        <v>8.7455000000000005E-2</v>
      </c>
      <c r="BJ2493" s="624">
        <v>41744</v>
      </c>
      <c r="BK2493" s="355">
        <v>3.0939000000000001E-2</v>
      </c>
    </row>
    <row r="2494" spans="3:63">
      <c r="C2494" s="624"/>
      <c r="D2494" s="355">
        <v>2.8000000000000001E-2</v>
      </c>
      <c r="AV2494" s="624"/>
      <c r="AX2494" s="624">
        <v>41751</v>
      </c>
      <c r="AY2494" s="355">
        <v>2.8060000000000002E-2</v>
      </c>
      <c r="AZ2494" s="624">
        <v>41815</v>
      </c>
      <c r="BA2494" s="355">
        <v>1.18E-2</v>
      </c>
      <c r="BB2494" s="624">
        <v>41746</v>
      </c>
      <c r="BC2494" s="355">
        <v>0.33029999999999998</v>
      </c>
      <c r="BD2494" s="624">
        <v>41746</v>
      </c>
      <c r="BE2494" s="355">
        <v>9.6280000000000004E-2</v>
      </c>
      <c r="BF2494" s="624">
        <v>41879</v>
      </c>
      <c r="BG2494" s="355">
        <v>1.6490999999999999E-2</v>
      </c>
      <c r="BH2494" s="624">
        <v>41746</v>
      </c>
      <c r="BI2494" s="355">
        <v>8.7515999999999997E-2</v>
      </c>
      <c r="BJ2494" s="624">
        <v>41745</v>
      </c>
      <c r="BK2494" s="355">
        <v>3.1029999999999999E-2</v>
      </c>
    </row>
    <row r="2495" spans="3:63">
      <c r="C2495" s="624"/>
      <c r="D2495" s="355">
        <v>2.8060000000000002E-2</v>
      </c>
      <c r="AV2495" s="624"/>
      <c r="AX2495" s="624">
        <v>41752</v>
      </c>
      <c r="AY2495" s="355">
        <v>2.8029999999999999E-2</v>
      </c>
      <c r="AZ2495" s="624">
        <v>41816</v>
      </c>
      <c r="BA2495" s="355">
        <v>1.18E-2</v>
      </c>
      <c r="BB2495" s="624">
        <v>41747</v>
      </c>
      <c r="BC2495" s="355">
        <v>0.33050000000000002</v>
      </c>
      <c r="BD2495" s="624">
        <v>41747</v>
      </c>
      <c r="BE2495" s="355">
        <v>9.6280000000000004E-2</v>
      </c>
      <c r="BF2495" s="624">
        <v>41880</v>
      </c>
      <c r="BG2495" s="355">
        <v>1.6497999999999999E-2</v>
      </c>
      <c r="BH2495" s="624">
        <v>41747</v>
      </c>
      <c r="BI2495" s="355">
        <v>8.7515999999999997E-2</v>
      </c>
      <c r="BJ2495" s="624">
        <v>41746</v>
      </c>
      <c r="BK2495" s="355">
        <v>3.1060999999999998E-2</v>
      </c>
    </row>
    <row r="2496" spans="3:63">
      <c r="C2496" s="624"/>
      <c r="D2496" s="355">
        <v>2.8029999999999999E-2</v>
      </c>
      <c r="AV2496" s="624"/>
      <c r="AX2496" s="624">
        <v>41753</v>
      </c>
      <c r="AY2496" s="355">
        <v>2.7949999999999999E-2</v>
      </c>
      <c r="AZ2496" s="624">
        <v>41817</v>
      </c>
      <c r="BA2496" s="355">
        <v>1.18E-2</v>
      </c>
      <c r="BB2496" s="624">
        <v>41750</v>
      </c>
      <c r="BC2496" s="355">
        <v>0.3301</v>
      </c>
      <c r="BD2496" s="624">
        <v>41750</v>
      </c>
      <c r="BE2496" s="355">
        <v>9.6140000000000003E-2</v>
      </c>
      <c r="BF2496" s="624">
        <v>41883</v>
      </c>
      <c r="BG2496" s="355">
        <v>1.6521000000000001E-2</v>
      </c>
      <c r="BH2496" s="624">
        <v>41750</v>
      </c>
      <c r="BI2496" s="355">
        <v>8.7355000000000002E-2</v>
      </c>
      <c r="BJ2496" s="624">
        <v>41747</v>
      </c>
      <c r="BK2496" s="355">
        <v>3.107E-2</v>
      </c>
    </row>
    <row r="2497" spans="3:63">
      <c r="C2497" s="624"/>
      <c r="D2497" s="355">
        <v>2.7949999999999999E-2</v>
      </c>
      <c r="AV2497" s="624"/>
      <c r="AX2497" s="624">
        <v>41754</v>
      </c>
      <c r="AY2497" s="355">
        <v>2.7779999999999999E-2</v>
      </c>
      <c r="AZ2497" s="624">
        <v>41820</v>
      </c>
      <c r="BA2497" s="355">
        <v>1.18E-2</v>
      </c>
      <c r="BB2497" s="624">
        <v>41751</v>
      </c>
      <c r="BC2497" s="355">
        <v>0.32950000000000002</v>
      </c>
      <c r="BD2497" s="624">
        <v>41751</v>
      </c>
      <c r="BE2497" s="355">
        <v>9.6170000000000005E-2</v>
      </c>
      <c r="BF2497" s="624">
        <v>41884</v>
      </c>
      <c r="BG2497" s="355">
        <v>1.6497999999999999E-2</v>
      </c>
      <c r="BH2497" s="624">
        <v>41751</v>
      </c>
      <c r="BI2497" s="355">
        <v>8.6805999999999994E-2</v>
      </c>
      <c r="BJ2497" s="624">
        <v>41750</v>
      </c>
      <c r="BK2497" s="355">
        <v>3.1019999999999999E-2</v>
      </c>
    </row>
    <row r="2498" spans="3:63">
      <c r="C2498" s="624"/>
      <c r="D2498" s="355">
        <v>2.7779999999999999E-2</v>
      </c>
      <c r="AV2498" s="624"/>
      <c r="AX2498" s="624">
        <v>41757</v>
      </c>
      <c r="AY2498" s="355">
        <v>2.7879999999999999E-2</v>
      </c>
      <c r="AZ2498" s="624">
        <v>41821</v>
      </c>
      <c r="BA2498" s="355">
        <v>1.18E-2</v>
      </c>
      <c r="BB2498" s="624">
        <v>41752</v>
      </c>
      <c r="BC2498" s="355">
        <v>0.32990000000000003</v>
      </c>
      <c r="BD2498" s="624">
        <v>41752</v>
      </c>
      <c r="BE2498" s="355">
        <v>9.6180000000000002E-2</v>
      </c>
      <c r="BF2498" s="624">
        <v>41885</v>
      </c>
      <c r="BG2498" s="355">
        <v>1.6546999999999999E-2</v>
      </c>
      <c r="BH2498" s="624">
        <v>41752</v>
      </c>
      <c r="BI2498" s="355">
        <v>8.6002999999999996E-2</v>
      </c>
      <c r="BJ2498" s="624">
        <v>41751</v>
      </c>
      <c r="BK2498" s="355">
        <v>3.0931E-2</v>
      </c>
    </row>
    <row r="2499" spans="3:63">
      <c r="C2499" s="624"/>
      <c r="D2499" s="355">
        <v>2.7879999999999999E-2</v>
      </c>
      <c r="AV2499" s="624"/>
      <c r="AX2499" s="624">
        <v>41758</v>
      </c>
      <c r="AY2499" s="355">
        <v>2.8070000000000001E-2</v>
      </c>
      <c r="AZ2499" s="624">
        <v>41822</v>
      </c>
      <c r="BA2499" s="355">
        <v>1.18E-2</v>
      </c>
      <c r="BB2499" s="624">
        <v>41753</v>
      </c>
      <c r="BC2499" s="355">
        <v>0.3296</v>
      </c>
      <c r="BD2499" s="624">
        <v>41753</v>
      </c>
      <c r="BE2499" s="355">
        <v>9.6329999999999999E-2</v>
      </c>
      <c r="BF2499" s="624">
        <v>41886</v>
      </c>
      <c r="BG2499" s="355">
        <v>1.6531000000000001E-2</v>
      </c>
      <c r="BH2499" s="624">
        <v>41753</v>
      </c>
      <c r="BI2499" s="355">
        <v>8.6188000000000001E-2</v>
      </c>
      <c r="BJ2499" s="624">
        <v>41752</v>
      </c>
      <c r="BK2499" s="355">
        <v>3.0914000000000001E-2</v>
      </c>
    </row>
    <row r="2500" spans="3:63">
      <c r="C2500" s="624"/>
      <c r="D2500" s="355">
        <v>2.8070000000000001E-2</v>
      </c>
      <c r="AV2500" s="624"/>
      <c r="AX2500" s="624">
        <v>41759</v>
      </c>
      <c r="AY2500" s="355">
        <v>2.8070000000000001E-2</v>
      </c>
      <c r="AZ2500" s="624">
        <v>41823</v>
      </c>
      <c r="BA2500" s="355">
        <v>1.17E-2</v>
      </c>
      <c r="BB2500" s="624">
        <v>41754</v>
      </c>
      <c r="BC2500" s="355">
        <v>0.3286</v>
      </c>
      <c r="BD2500" s="624">
        <v>41754</v>
      </c>
      <c r="BE2500" s="355">
        <v>9.6019999999999994E-2</v>
      </c>
      <c r="BF2500" s="624">
        <v>41887</v>
      </c>
      <c r="BG2500" s="355">
        <v>1.66E-2</v>
      </c>
      <c r="BH2500" s="624">
        <v>41754</v>
      </c>
      <c r="BI2500" s="355">
        <v>8.6459999999999995E-2</v>
      </c>
      <c r="BJ2500" s="624">
        <v>41753</v>
      </c>
      <c r="BK2500" s="355">
        <v>3.0869000000000001E-2</v>
      </c>
    </row>
    <row r="2501" spans="3:63">
      <c r="C2501" s="624"/>
      <c r="D2501" s="355">
        <v>2.8070000000000001E-2</v>
      </c>
      <c r="AV2501" s="624"/>
      <c r="AX2501" s="624">
        <v>41760</v>
      </c>
      <c r="AY2501" s="355">
        <v>2.809E-2</v>
      </c>
      <c r="AZ2501" s="624">
        <v>41824</v>
      </c>
      <c r="BA2501" s="355">
        <v>1.17E-2</v>
      </c>
      <c r="BB2501" s="624">
        <v>41757</v>
      </c>
      <c r="BC2501" s="355">
        <v>0.32919999999999999</v>
      </c>
      <c r="BD2501" s="624">
        <v>41757</v>
      </c>
      <c r="BE2501" s="355">
        <v>9.6689999999999998E-2</v>
      </c>
      <c r="BF2501" s="624">
        <v>41890</v>
      </c>
      <c r="BG2501" s="355">
        <v>1.6541E-2</v>
      </c>
      <c r="BH2501" s="624">
        <v>41757</v>
      </c>
      <c r="BI2501" s="355">
        <v>8.6306999999999995E-2</v>
      </c>
      <c r="BJ2501" s="624">
        <v>41754</v>
      </c>
      <c r="BK2501" s="355">
        <v>3.1031E-2</v>
      </c>
    </row>
    <row r="2502" spans="3:63">
      <c r="C2502" s="624"/>
      <c r="D2502" s="355">
        <v>2.809E-2</v>
      </c>
      <c r="AV2502" s="624"/>
      <c r="AX2502" s="624">
        <v>41761</v>
      </c>
      <c r="AY2502" s="355">
        <v>2.7910000000000001E-2</v>
      </c>
      <c r="AZ2502" s="624">
        <v>41827</v>
      </c>
      <c r="BA2502" s="355">
        <v>1.17E-2</v>
      </c>
      <c r="BB2502" s="624">
        <v>41758</v>
      </c>
      <c r="BC2502" s="355">
        <v>0.32929999999999998</v>
      </c>
      <c r="BD2502" s="624">
        <v>41758</v>
      </c>
      <c r="BE2502" s="355">
        <v>9.7040000000000001E-2</v>
      </c>
      <c r="BF2502" s="624">
        <v>41891</v>
      </c>
      <c r="BG2502" s="355">
        <v>1.6431000000000001E-2</v>
      </c>
      <c r="BH2502" s="624">
        <v>41758</v>
      </c>
      <c r="BI2502" s="355">
        <v>8.6580000000000004E-2</v>
      </c>
      <c r="BJ2502" s="624">
        <v>41757</v>
      </c>
      <c r="BK2502" s="355">
        <v>3.1011E-2</v>
      </c>
    </row>
    <row r="2503" spans="3:63">
      <c r="C2503" s="624"/>
      <c r="D2503" s="355">
        <v>2.7910000000000001E-2</v>
      </c>
      <c r="AV2503" s="624"/>
      <c r="AX2503" s="624">
        <v>41764</v>
      </c>
      <c r="AY2503" s="355">
        <v>2.7990000000000001E-2</v>
      </c>
      <c r="AZ2503" s="624">
        <v>41828</v>
      </c>
      <c r="BA2503" s="355">
        <v>1.18E-2</v>
      </c>
      <c r="BB2503" s="624">
        <v>41759</v>
      </c>
      <c r="BC2503" s="355">
        <v>0.32990000000000003</v>
      </c>
      <c r="BD2503" s="624">
        <v>41759</v>
      </c>
      <c r="BE2503" s="355">
        <v>9.6799999999999997E-2</v>
      </c>
      <c r="BF2503" s="624">
        <v>41892</v>
      </c>
      <c r="BG2503" s="355">
        <v>1.6454E-2</v>
      </c>
      <c r="BH2503" s="624">
        <v>41759</v>
      </c>
      <c r="BI2503" s="355">
        <v>8.6457000000000006E-2</v>
      </c>
      <c r="BJ2503" s="624">
        <v>41758</v>
      </c>
      <c r="BK2503" s="355">
        <v>3.1008000000000001E-2</v>
      </c>
    </row>
    <row r="2504" spans="3:63">
      <c r="C2504" s="624"/>
      <c r="D2504" s="355">
        <v>2.7990000000000001E-2</v>
      </c>
      <c r="AV2504" s="624"/>
      <c r="AX2504" s="624">
        <v>41765</v>
      </c>
      <c r="AY2504" s="355">
        <v>2.8219999999999999E-2</v>
      </c>
      <c r="AZ2504" s="624">
        <v>41829</v>
      </c>
      <c r="BA2504" s="355">
        <v>1.18E-2</v>
      </c>
      <c r="BB2504" s="624">
        <v>41760</v>
      </c>
      <c r="BC2504" s="355">
        <v>0.33050000000000002</v>
      </c>
      <c r="BD2504" s="624">
        <v>41760</v>
      </c>
      <c r="BE2504" s="355">
        <v>9.6750000000000003E-2</v>
      </c>
      <c r="BF2504" s="624">
        <v>41893</v>
      </c>
      <c r="BG2504" s="355">
        <v>1.6409E-2</v>
      </c>
      <c r="BH2504" s="624">
        <v>41760</v>
      </c>
      <c r="BI2504" s="355">
        <v>8.6494000000000001E-2</v>
      </c>
      <c r="BJ2504" s="624">
        <v>41759</v>
      </c>
      <c r="BK2504" s="355">
        <v>3.0880999999999999E-2</v>
      </c>
    </row>
    <row r="2505" spans="3:63">
      <c r="C2505" s="624"/>
      <c r="D2505" s="355">
        <v>2.8219999999999999E-2</v>
      </c>
      <c r="AV2505" s="624"/>
      <c r="AX2505" s="624">
        <v>41766</v>
      </c>
      <c r="AY2505" s="355">
        <v>2.8629999999999999E-2</v>
      </c>
      <c r="AZ2505" s="624">
        <v>41830</v>
      </c>
      <c r="BA2505" s="355">
        <v>1.18E-2</v>
      </c>
      <c r="BB2505" s="624">
        <v>41761</v>
      </c>
      <c r="BC2505" s="355">
        <v>0.32979999999999998</v>
      </c>
      <c r="BD2505" s="624">
        <v>41761</v>
      </c>
      <c r="BE2505" s="355">
        <v>9.7129999999999994E-2</v>
      </c>
      <c r="BF2505" s="624">
        <v>41894</v>
      </c>
      <c r="BG2505" s="355">
        <v>1.6382000000000001E-2</v>
      </c>
      <c r="BH2505" s="624">
        <v>41761</v>
      </c>
      <c r="BI2505" s="355">
        <v>8.6693000000000006E-2</v>
      </c>
      <c r="BJ2505" s="624">
        <v>41760</v>
      </c>
      <c r="BK2505" s="355">
        <v>3.0894999999999999E-2</v>
      </c>
    </row>
    <row r="2506" spans="3:63">
      <c r="C2506" s="624"/>
      <c r="D2506" s="355">
        <v>2.8629999999999999E-2</v>
      </c>
      <c r="AV2506" s="624"/>
      <c r="AX2506" s="624">
        <v>41767</v>
      </c>
      <c r="AY2506" s="355">
        <v>2.852E-2</v>
      </c>
      <c r="AZ2506" s="624">
        <v>41831</v>
      </c>
      <c r="BA2506" s="355">
        <v>1.17E-2</v>
      </c>
      <c r="BB2506" s="624">
        <v>41764</v>
      </c>
      <c r="BC2506" s="355">
        <v>0.33</v>
      </c>
      <c r="BD2506" s="624">
        <v>41764</v>
      </c>
      <c r="BE2506" s="355">
        <v>9.7290000000000001E-2</v>
      </c>
      <c r="BF2506" s="624">
        <v>41897</v>
      </c>
      <c r="BG2506" s="355">
        <v>1.6358000000000001E-2</v>
      </c>
      <c r="BH2506" s="624">
        <v>41764</v>
      </c>
      <c r="BI2506" s="355">
        <v>8.6787000000000003E-2</v>
      </c>
      <c r="BJ2506" s="624">
        <v>41761</v>
      </c>
      <c r="BK2506" s="355">
        <v>3.0863000000000002E-2</v>
      </c>
    </row>
    <row r="2507" spans="3:63">
      <c r="C2507" s="624"/>
      <c r="D2507" s="355">
        <v>2.852E-2</v>
      </c>
      <c r="AV2507" s="624"/>
      <c r="AX2507" s="624">
        <v>41768</v>
      </c>
      <c r="AY2507" s="355">
        <v>2.8400000000000002E-2</v>
      </c>
      <c r="AZ2507" s="624">
        <v>41834</v>
      </c>
      <c r="BA2507" s="355">
        <v>1.17E-2</v>
      </c>
      <c r="BB2507" s="624">
        <v>41765</v>
      </c>
      <c r="BC2507" s="355">
        <v>0.33169999999999999</v>
      </c>
      <c r="BD2507" s="624">
        <v>41765</v>
      </c>
      <c r="BE2507" s="355">
        <v>9.7479999999999997E-2</v>
      </c>
      <c r="BF2507" s="624">
        <v>41898</v>
      </c>
      <c r="BG2507" s="355">
        <v>1.6399E-2</v>
      </c>
      <c r="BH2507" s="624">
        <v>41765</v>
      </c>
      <c r="BI2507" s="355">
        <v>8.6881E-2</v>
      </c>
      <c r="BJ2507" s="624">
        <v>41764</v>
      </c>
      <c r="BK2507" s="355">
        <v>3.0911999999999999E-2</v>
      </c>
    </row>
    <row r="2508" spans="3:63">
      <c r="C2508" s="624"/>
      <c r="D2508" s="355">
        <v>2.8400000000000002E-2</v>
      </c>
      <c r="AV2508" s="624"/>
      <c r="AX2508" s="624">
        <v>41771</v>
      </c>
      <c r="AY2508" s="355">
        <v>2.8549999999999999E-2</v>
      </c>
      <c r="AZ2508" s="624">
        <v>41835</v>
      </c>
      <c r="BA2508" s="355">
        <v>1.17E-2</v>
      </c>
      <c r="BB2508" s="624">
        <v>41766</v>
      </c>
      <c r="BC2508" s="355">
        <v>0.33210000000000001</v>
      </c>
      <c r="BD2508" s="624">
        <v>41766</v>
      </c>
      <c r="BE2508" s="355">
        <v>9.7769999999999996E-2</v>
      </c>
      <c r="BF2508" s="624">
        <v>41899</v>
      </c>
      <c r="BG2508" s="355">
        <v>1.6382000000000001E-2</v>
      </c>
      <c r="BH2508" s="624">
        <v>41766</v>
      </c>
      <c r="BI2508" s="355">
        <v>8.6524000000000004E-2</v>
      </c>
      <c r="BJ2508" s="624">
        <v>41765</v>
      </c>
      <c r="BK2508" s="355">
        <v>3.091E-2</v>
      </c>
    </row>
    <row r="2509" spans="3:63">
      <c r="C2509" s="624"/>
      <c r="D2509" s="355">
        <v>2.8549999999999999E-2</v>
      </c>
      <c r="AV2509" s="624"/>
      <c r="AX2509" s="624">
        <v>41772</v>
      </c>
      <c r="AY2509" s="355">
        <v>2.8649999999999998E-2</v>
      </c>
      <c r="AZ2509" s="624">
        <v>41836</v>
      </c>
      <c r="BA2509" s="355">
        <v>1.1599999999999999E-2</v>
      </c>
      <c r="BB2509" s="624">
        <v>41767</v>
      </c>
      <c r="BC2509" s="355">
        <v>0.33119999999999999</v>
      </c>
      <c r="BD2509" s="624">
        <v>41767</v>
      </c>
      <c r="BE2509" s="355">
        <v>9.7790000000000002E-2</v>
      </c>
      <c r="BF2509" s="624">
        <v>41900</v>
      </c>
      <c r="BG2509" s="355">
        <v>1.6455999999999998E-2</v>
      </c>
      <c r="BH2509" s="624">
        <v>41767</v>
      </c>
      <c r="BI2509" s="355">
        <v>8.6560999999999999E-2</v>
      </c>
      <c r="BJ2509" s="624">
        <v>41766</v>
      </c>
      <c r="BK2509" s="355">
        <v>3.0880999999999999E-2</v>
      </c>
    </row>
    <row r="2510" spans="3:63">
      <c r="C2510" s="624"/>
      <c r="D2510" s="355">
        <v>2.8649999999999998E-2</v>
      </c>
      <c r="AV2510" s="624"/>
      <c r="AX2510" s="624">
        <v>41773</v>
      </c>
      <c r="AY2510" s="355">
        <v>2.8850000000000001E-2</v>
      </c>
      <c r="AZ2510" s="624">
        <v>41837</v>
      </c>
      <c r="BA2510" s="355">
        <v>1.17E-2</v>
      </c>
      <c r="BB2510" s="624">
        <v>41768</v>
      </c>
      <c r="BC2510" s="355">
        <v>0.3291</v>
      </c>
      <c r="BD2510" s="624">
        <v>41768</v>
      </c>
      <c r="BE2510" s="355">
        <v>9.7460000000000005E-2</v>
      </c>
      <c r="BF2510" s="624">
        <v>41901</v>
      </c>
      <c r="BG2510" s="355">
        <v>1.6416E-2</v>
      </c>
      <c r="BH2510" s="624">
        <v>41768</v>
      </c>
      <c r="BI2510" s="355">
        <v>8.6693000000000006E-2</v>
      </c>
      <c r="BJ2510" s="624">
        <v>41767</v>
      </c>
      <c r="BK2510" s="355">
        <v>3.0778E-2</v>
      </c>
    </row>
    <row r="2511" spans="3:63">
      <c r="C2511" s="624"/>
      <c r="D2511" s="355">
        <v>2.8850000000000001E-2</v>
      </c>
      <c r="AV2511" s="624"/>
      <c r="AX2511" s="624">
        <v>41774</v>
      </c>
      <c r="AY2511" s="355">
        <v>2.8760000000000001E-2</v>
      </c>
      <c r="AZ2511" s="624">
        <v>41838</v>
      </c>
      <c r="BA2511" s="355">
        <v>1.1599999999999999E-2</v>
      </c>
      <c r="BB2511" s="624">
        <v>41771</v>
      </c>
      <c r="BC2511" s="355">
        <v>0.32900000000000001</v>
      </c>
      <c r="BD2511" s="624">
        <v>41771</v>
      </c>
      <c r="BE2511" s="355">
        <v>9.7600000000000006E-2</v>
      </c>
      <c r="BF2511" s="624">
        <v>41904</v>
      </c>
      <c r="BG2511" s="355">
        <v>1.6385E-2</v>
      </c>
      <c r="BH2511" s="624">
        <v>41771</v>
      </c>
      <c r="BI2511" s="355">
        <v>8.6787000000000003E-2</v>
      </c>
      <c r="BJ2511" s="624">
        <v>41768</v>
      </c>
      <c r="BK2511" s="355">
        <v>3.0648999999999999E-2</v>
      </c>
    </row>
    <row r="2512" spans="3:63">
      <c r="C2512" s="624"/>
      <c r="D2512" s="355">
        <v>2.8760000000000001E-2</v>
      </c>
      <c r="AV2512" s="624"/>
      <c r="AX2512" s="624">
        <v>41775</v>
      </c>
      <c r="AY2512" s="355">
        <v>2.8819999999999998E-2</v>
      </c>
      <c r="AZ2512" s="624">
        <v>41841</v>
      </c>
      <c r="BA2512" s="355">
        <v>1.1599999999999999E-2</v>
      </c>
      <c r="BB2512" s="624">
        <v>41772</v>
      </c>
      <c r="BC2512" s="355">
        <v>0.32729999999999998</v>
      </c>
      <c r="BD2512" s="624">
        <v>41772</v>
      </c>
      <c r="BE2512" s="355">
        <v>9.7780000000000006E-2</v>
      </c>
      <c r="BF2512" s="624">
        <v>41905</v>
      </c>
      <c r="BG2512" s="355">
        <v>1.6376999999999999E-2</v>
      </c>
      <c r="BH2512" s="624">
        <v>41772</v>
      </c>
      <c r="BI2512" s="355">
        <v>8.6693000000000006E-2</v>
      </c>
      <c r="BJ2512" s="624">
        <v>41771</v>
      </c>
      <c r="BK2512" s="355">
        <v>3.0665000000000001E-2</v>
      </c>
    </row>
    <row r="2513" spans="3:63">
      <c r="C2513" s="624"/>
      <c r="D2513" s="355">
        <v>2.8819999999999998E-2</v>
      </c>
      <c r="AV2513" s="624"/>
      <c r="AX2513" s="624">
        <v>41778</v>
      </c>
      <c r="AY2513" s="355">
        <v>2.8920000000000001E-2</v>
      </c>
      <c r="AZ2513" s="624">
        <v>41842</v>
      </c>
      <c r="BA2513" s="355">
        <v>1.15E-2</v>
      </c>
      <c r="BB2513" s="624">
        <v>41773</v>
      </c>
      <c r="BC2513" s="355">
        <v>0.32729999999999998</v>
      </c>
      <c r="BD2513" s="624">
        <v>41773</v>
      </c>
      <c r="BE2513" s="355">
        <v>9.7299999999999998E-2</v>
      </c>
      <c r="BF2513" s="624">
        <v>41906</v>
      </c>
      <c r="BG2513" s="355">
        <v>1.6441999999999998E-2</v>
      </c>
      <c r="BH2513" s="624">
        <v>41773</v>
      </c>
      <c r="BI2513" s="355">
        <v>8.7335999999999997E-2</v>
      </c>
      <c r="BJ2513" s="624">
        <v>41772</v>
      </c>
      <c r="BK2513" s="355">
        <v>3.0665999999999999E-2</v>
      </c>
    </row>
    <row r="2514" spans="3:63">
      <c r="C2514" s="624"/>
      <c r="D2514" s="355">
        <v>2.8920000000000001E-2</v>
      </c>
      <c r="AV2514" s="624"/>
      <c r="AX2514" s="624">
        <v>41779</v>
      </c>
      <c r="AY2514" s="355">
        <v>2.896E-2</v>
      </c>
      <c r="AZ2514" s="624">
        <v>41843</v>
      </c>
      <c r="BA2514" s="355">
        <v>1.15E-2</v>
      </c>
      <c r="BB2514" s="624">
        <v>41774</v>
      </c>
      <c r="BC2514" s="355">
        <v>0.32700000000000001</v>
      </c>
      <c r="BD2514" s="624">
        <v>41774</v>
      </c>
      <c r="BE2514" s="355">
        <v>9.7170000000000006E-2</v>
      </c>
      <c r="BF2514" s="624">
        <v>41907</v>
      </c>
      <c r="BG2514" s="355">
        <v>1.6261999999999999E-2</v>
      </c>
      <c r="BH2514" s="624">
        <v>41774</v>
      </c>
      <c r="BI2514" s="355">
        <v>8.7335999999999997E-2</v>
      </c>
      <c r="BJ2514" s="624">
        <v>41773</v>
      </c>
      <c r="BK2514" s="355">
        <v>3.0844E-2</v>
      </c>
    </row>
    <row r="2515" spans="3:63">
      <c r="C2515" s="624"/>
      <c r="D2515" s="355">
        <v>2.896E-2</v>
      </c>
      <c r="AV2515" s="624"/>
      <c r="AX2515" s="624">
        <v>41780</v>
      </c>
      <c r="AY2515" s="355">
        <v>2.9170000000000001E-2</v>
      </c>
      <c r="AZ2515" s="624">
        <v>41844</v>
      </c>
      <c r="BA2515" s="355">
        <v>1.1599999999999999E-2</v>
      </c>
      <c r="BB2515" s="624">
        <v>41775</v>
      </c>
      <c r="BC2515" s="355">
        <v>0.32669999999999999</v>
      </c>
      <c r="BD2515" s="624">
        <v>41775</v>
      </c>
      <c r="BE2515" s="355">
        <v>9.7670000000000007E-2</v>
      </c>
      <c r="BF2515" s="624">
        <v>41908</v>
      </c>
      <c r="BG2515" s="355">
        <v>1.6292000000000001E-2</v>
      </c>
      <c r="BH2515" s="624">
        <v>41775</v>
      </c>
      <c r="BI2515" s="355">
        <v>8.7584999999999996E-2</v>
      </c>
      <c r="BJ2515" s="624">
        <v>41774</v>
      </c>
      <c r="BK2515" s="355">
        <v>3.074E-2</v>
      </c>
    </row>
    <row r="2516" spans="3:63">
      <c r="C2516" s="624"/>
      <c r="D2516" s="355">
        <v>2.9170000000000001E-2</v>
      </c>
      <c r="AV2516" s="624"/>
      <c r="AX2516" s="624">
        <v>41781</v>
      </c>
      <c r="AY2516" s="355">
        <v>2.9149999999999999E-2</v>
      </c>
      <c r="AZ2516" s="624">
        <v>41845</v>
      </c>
      <c r="BA2516" s="355">
        <v>1.15E-2</v>
      </c>
      <c r="BB2516" s="624">
        <v>41778</v>
      </c>
      <c r="BC2516" s="355">
        <v>0.32729999999999998</v>
      </c>
      <c r="BD2516" s="624">
        <v>41778</v>
      </c>
      <c r="BE2516" s="355">
        <v>9.7869999999999999E-2</v>
      </c>
      <c r="BF2516" s="624">
        <v>41911</v>
      </c>
      <c r="BG2516" s="355">
        <v>1.6216000000000001E-2</v>
      </c>
      <c r="BH2516" s="624">
        <v>41778</v>
      </c>
      <c r="BI2516" s="355">
        <v>8.7566000000000005E-2</v>
      </c>
      <c r="BJ2516" s="624">
        <v>41775</v>
      </c>
      <c r="BK2516" s="355">
        <v>3.0759999999999999E-2</v>
      </c>
    </row>
    <row r="2517" spans="3:63">
      <c r="C2517" s="624"/>
      <c r="D2517" s="355">
        <v>2.9149999999999999E-2</v>
      </c>
      <c r="AV2517" s="624"/>
      <c r="AX2517" s="624">
        <v>41782</v>
      </c>
      <c r="AY2517" s="355">
        <v>2.93E-2</v>
      </c>
      <c r="AZ2517" s="624">
        <v>41848</v>
      </c>
      <c r="BA2517" s="355">
        <v>1.15E-2</v>
      </c>
      <c r="BB2517" s="624">
        <v>41779</v>
      </c>
      <c r="BC2517" s="355">
        <v>0.3271</v>
      </c>
      <c r="BD2517" s="624">
        <v>41779</v>
      </c>
      <c r="BE2517" s="355">
        <v>9.7540000000000002E-2</v>
      </c>
      <c r="BF2517" s="624">
        <v>41912</v>
      </c>
      <c r="BG2517" s="355">
        <v>1.6150999999999999E-2</v>
      </c>
      <c r="BH2517" s="624">
        <v>41779</v>
      </c>
      <c r="BI2517" s="355">
        <v>8.7031999999999998E-2</v>
      </c>
      <c r="BJ2517" s="624">
        <v>41778</v>
      </c>
      <c r="BK2517" s="355">
        <v>3.0780999999999999E-2</v>
      </c>
    </row>
    <row r="2518" spans="3:63">
      <c r="C2518" s="624"/>
      <c r="D2518" s="355">
        <v>2.93E-2</v>
      </c>
      <c r="AV2518" s="624"/>
      <c r="AX2518" s="624">
        <v>41785</v>
      </c>
      <c r="AY2518" s="355">
        <v>2.9219999999999999E-2</v>
      </c>
      <c r="AZ2518" s="624">
        <v>41849</v>
      </c>
      <c r="BA2518" s="355">
        <v>1.15E-2</v>
      </c>
      <c r="BB2518" s="624">
        <v>41780</v>
      </c>
      <c r="BC2518" s="355">
        <v>0.3276</v>
      </c>
      <c r="BD2518" s="624">
        <v>41780</v>
      </c>
      <c r="BE2518" s="355">
        <v>9.74E-2</v>
      </c>
      <c r="BF2518" s="624">
        <v>41913</v>
      </c>
      <c r="BG2518" s="355">
        <v>1.6177E-2</v>
      </c>
      <c r="BH2518" s="624">
        <v>41780</v>
      </c>
      <c r="BI2518" s="355">
        <v>8.6861999999999995E-2</v>
      </c>
      <c r="BJ2518" s="624">
        <v>41779</v>
      </c>
      <c r="BK2518" s="355">
        <v>3.0735999999999999E-2</v>
      </c>
    </row>
    <row r="2519" spans="3:63">
      <c r="C2519" s="624"/>
      <c r="D2519" s="355">
        <v>2.9219999999999999E-2</v>
      </c>
      <c r="AV2519" s="624"/>
      <c r="AX2519" s="624">
        <v>41786</v>
      </c>
      <c r="AY2519" s="355">
        <v>2.9049999999999999E-2</v>
      </c>
      <c r="AZ2519" s="624">
        <v>41850</v>
      </c>
      <c r="BA2519" s="355">
        <v>1.15E-2</v>
      </c>
      <c r="BB2519" s="624">
        <v>41781</v>
      </c>
      <c r="BC2519" s="355">
        <v>0.32819999999999999</v>
      </c>
      <c r="BD2519" s="624">
        <v>41781</v>
      </c>
      <c r="BE2519" s="355">
        <v>9.7619999999999998E-2</v>
      </c>
      <c r="BF2519" s="624">
        <v>41915</v>
      </c>
      <c r="BG2519" s="355">
        <v>1.6211E-2</v>
      </c>
      <c r="BH2519" s="624">
        <v>41781</v>
      </c>
      <c r="BI2519" s="355">
        <v>8.6742E-2</v>
      </c>
      <c r="BJ2519" s="624">
        <v>41780</v>
      </c>
      <c r="BK2519" s="355">
        <v>3.0800999999999999E-2</v>
      </c>
    </row>
    <row r="2520" spans="3:63">
      <c r="C2520" s="624"/>
      <c r="D2520" s="355">
        <v>2.9049999999999999E-2</v>
      </c>
      <c r="AV2520" s="624"/>
      <c r="AX2520" s="624">
        <v>41787</v>
      </c>
      <c r="AY2520" s="355">
        <v>2.8930000000000001E-2</v>
      </c>
      <c r="AZ2520" s="624">
        <v>41851</v>
      </c>
      <c r="BA2520" s="355">
        <v>1.15E-2</v>
      </c>
      <c r="BB2520" s="624">
        <v>41782</v>
      </c>
      <c r="BC2520" s="355">
        <v>0.3281</v>
      </c>
      <c r="BD2520" s="624">
        <v>41782</v>
      </c>
      <c r="BE2520" s="355">
        <v>9.7600000000000006E-2</v>
      </c>
      <c r="BF2520" s="624">
        <v>41918</v>
      </c>
      <c r="BG2520" s="355">
        <v>1.6317999999999999E-2</v>
      </c>
      <c r="BH2520" s="624">
        <v>41782</v>
      </c>
      <c r="BI2520" s="355">
        <v>8.6096000000000006E-2</v>
      </c>
      <c r="BJ2520" s="624">
        <v>41781</v>
      </c>
      <c r="BK2520" s="355">
        <v>3.0696999999999999E-2</v>
      </c>
    </row>
    <row r="2521" spans="3:63">
      <c r="C2521" s="624"/>
      <c r="D2521" s="355">
        <v>2.8930000000000001E-2</v>
      </c>
      <c r="AV2521" s="624"/>
      <c r="AX2521" s="624">
        <v>41788</v>
      </c>
      <c r="AY2521" s="355">
        <v>2.8830000000000001E-2</v>
      </c>
      <c r="AZ2521" s="624">
        <v>41852</v>
      </c>
      <c r="BA2521" s="355">
        <v>1.15E-2</v>
      </c>
      <c r="BB2521" s="624">
        <v>41785</v>
      </c>
      <c r="BC2521" s="355">
        <v>0.32779999999999998</v>
      </c>
      <c r="BD2521" s="624">
        <v>41785</v>
      </c>
      <c r="BE2521" s="355">
        <v>9.7689999999999999E-2</v>
      </c>
      <c r="BF2521" s="624">
        <v>41919</v>
      </c>
      <c r="BG2521" s="355">
        <v>1.6306000000000001E-2</v>
      </c>
      <c r="BH2521" s="624">
        <v>41785</v>
      </c>
      <c r="BI2521" s="355">
        <v>8.6336999999999997E-2</v>
      </c>
      <c r="BJ2521" s="624">
        <v>41782</v>
      </c>
      <c r="BK2521" s="355">
        <v>3.0731000000000001E-2</v>
      </c>
    </row>
    <row r="2522" spans="3:63">
      <c r="C2522" s="624"/>
      <c r="D2522" s="355">
        <v>2.8830000000000001E-2</v>
      </c>
      <c r="AV2522" s="624"/>
      <c r="AX2522" s="624">
        <v>41789</v>
      </c>
      <c r="AY2522" s="355">
        <v>2.8649999999999998E-2</v>
      </c>
      <c r="AZ2522" s="624">
        <v>41855</v>
      </c>
      <c r="BA2522" s="355">
        <v>1.15E-2</v>
      </c>
      <c r="BB2522" s="624">
        <v>41786</v>
      </c>
      <c r="BC2522" s="355">
        <v>0.32740000000000002</v>
      </c>
      <c r="BD2522" s="624">
        <v>41786</v>
      </c>
      <c r="BE2522" s="355">
        <v>9.7589999999999996E-2</v>
      </c>
      <c r="BF2522" s="624">
        <v>41920</v>
      </c>
      <c r="BG2522" s="355">
        <v>1.6386999999999999E-2</v>
      </c>
      <c r="BH2522" s="624">
        <v>41786</v>
      </c>
      <c r="BI2522" s="355">
        <v>8.6336999999999997E-2</v>
      </c>
      <c r="BJ2522" s="624">
        <v>41785</v>
      </c>
      <c r="BK2522" s="355">
        <v>3.0696000000000001E-2</v>
      </c>
    </row>
    <row r="2523" spans="3:63">
      <c r="C2523" s="624"/>
      <c r="D2523" s="355">
        <v>2.8649999999999998E-2</v>
      </c>
      <c r="AV2523" s="624"/>
      <c r="AX2523" s="624">
        <v>41792</v>
      </c>
      <c r="AY2523" s="355">
        <v>2.8580000000000001E-2</v>
      </c>
      <c r="AZ2523" s="624">
        <v>41856</v>
      </c>
      <c r="BA2523" s="355">
        <v>1.14E-2</v>
      </c>
      <c r="BB2523" s="624">
        <v>41787</v>
      </c>
      <c r="BC2523" s="355">
        <v>0.32740000000000002</v>
      </c>
      <c r="BD2523" s="624">
        <v>41787</v>
      </c>
      <c r="BE2523" s="355">
        <v>9.776E-2</v>
      </c>
      <c r="BF2523" s="624">
        <v>41921</v>
      </c>
      <c r="BG2523" s="355">
        <v>1.6362000000000002E-2</v>
      </c>
      <c r="BH2523" s="624">
        <v>41787</v>
      </c>
      <c r="BI2523" s="355">
        <v>8.6169999999999997E-2</v>
      </c>
      <c r="BJ2523" s="624">
        <v>41786</v>
      </c>
      <c r="BK2523" s="355">
        <v>3.0658000000000001E-2</v>
      </c>
    </row>
    <row r="2524" spans="3:63">
      <c r="C2524" s="624"/>
      <c r="D2524" s="355">
        <v>2.8580000000000001E-2</v>
      </c>
      <c r="AV2524" s="624"/>
      <c r="AX2524" s="624">
        <v>41793</v>
      </c>
      <c r="AY2524" s="355">
        <v>2.852E-2</v>
      </c>
      <c r="AZ2524" s="624">
        <v>41857</v>
      </c>
      <c r="BA2524" s="355">
        <v>1.14E-2</v>
      </c>
      <c r="BB2524" s="624">
        <v>41788</v>
      </c>
      <c r="BC2524" s="355">
        <v>0.3286</v>
      </c>
      <c r="BD2524" s="624">
        <v>41788</v>
      </c>
      <c r="BE2524" s="355">
        <v>9.8169999999999993E-2</v>
      </c>
      <c r="BF2524" s="624">
        <v>41922</v>
      </c>
      <c r="BG2524" s="355">
        <v>1.6324999999999999E-2</v>
      </c>
      <c r="BH2524" s="624">
        <v>41788</v>
      </c>
      <c r="BI2524" s="355">
        <v>8.6169999999999997E-2</v>
      </c>
      <c r="BJ2524" s="624">
        <v>41787</v>
      </c>
      <c r="BK2524" s="355">
        <v>3.0588000000000001E-2</v>
      </c>
    </row>
    <row r="2525" spans="3:63">
      <c r="C2525" s="624"/>
      <c r="D2525" s="355">
        <v>2.852E-2</v>
      </c>
      <c r="AV2525" s="624"/>
      <c r="AX2525" s="624">
        <v>41794</v>
      </c>
      <c r="AY2525" s="355">
        <v>2.8559999999999999E-2</v>
      </c>
      <c r="AZ2525" s="624">
        <v>41858</v>
      </c>
      <c r="BA2525" s="355">
        <v>1.14E-2</v>
      </c>
      <c r="BB2525" s="624">
        <v>41789</v>
      </c>
      <c r="BC2525" s="355">
        <v>0.32900000000000001</v>
      </c>
      <c r="BD2525" s="624">
        <v>41789</v>
      </c>
      <c r="BE2525" s="355">
        <v>9.7890000000000005E-2</v>
      </c>
      <c r="BF2525" s="624">
        <v>41925</v>
      </c>
      <c r="BG2525" s="355">
        <v>1.6386999999999999E-2</v>
      </c>
      <c r="BH2525" s="624">
        <v>41789</v>
      </c>
      <c r="BI2525" s="355">
        <v>8.5653000000000007E-2</v>
      </c>
      <c r="BJ2525" s="624">
        <v>41788</v>
      </c>
      <c r="BK2525" s="355">
        <v>3.0484000000000001E-2</v>
      </c>
    </row>
    <row r="2526" spans="3:63">
      <c r="C2526" s="624"/>
      <c r="D2526" s="355">
        <v>2.8559999999999999E-2</v>
      </c>
      <c r="AV2526" s="624"/>
      <c r="AX2526" s="624">
        <v>41795</v>
      </c>
      <c r="AY2526" s="355">
        <v>2.8830000000000001E-2</v>
      </c>
      <c r="AZ2526" s="624">
        <v>41859</v>
      </c>
      <c r="BA2526" s="355">
        <v>1.14E-2</v>
      </c>
      <c r="BB2526" s="624">
        <v>41792</v>
      </c>
      <c r="BC2526" s="355">
        <v>0.32819999999999999</v>
      </c>
      <c r="BD2526" s="624">
        <v>41792</v>
      </c>
      <c r="BE2526" s="355">
        <v>9.7589999999999996E-2</v>
      </c>
      <c r="BF2526" s="624">
        <v>41926</v>
      </c>
      <c r="BG2526" s="355">
        <v>1.6292000000000001E-2</v>
      </c>
      <c r="BH2526" s="624">
        <v>41792</v>
      </c>
      <c r="BI2526" s="355">
        <v>8.4998000000000004E-2</v>
      </c>
      <c r="BJ2526" s="624">
        <v>41789</v>
      </c>
      <c r="BK2526" s="355">
        <v>3.0474000000000001E-2</v>
      </c>
    </row>
    <row r="2527" spans="3:63">
      <c r="C2527" s="624"/>
      <c r="D2527" s="355">
        <v>2.8830000000000001E-2</v>
      </c>
      <c r="AV2527" s="624"/>
      <c r="AX2527" s="624">
        <v>41796</v>
      </c>
      <c r="AY2527" s="355">
        <v>2.9069999999999999E-2</v>
      </c>
      <c r="AZ2527" s="624">
        <v>41862</v>
      </c>
      <c r="BA2527" s="355">
        <v>1.14E-2</v>
      </c>
      <c r="BB2527" s="624">
        <v>41793</v>
      </c>
      <c r="BC2527" s="355">
        <v>0.32790000000000002</v>
      </c>
      <c r="BD2527" s="624">
        <v>41793</v>
      </c>
      <c r="BE2527" s="355">
        <v>9.7710000000000005E-2</v>
      </c>
      <c r="BF2527" s="624">
        <v>41927</v>
      </c>
      <c r="BG2527" s="355">
        <v>1.6234999999999999E-2</v>
      </c>
      <c r="BH2527" s="624">
        <v>41793</v>
      </c>
      <c r="BI2527" s="355">
        <v>8.4814000000000001E-2</v>
      </c>
      <c r="BJ2527" s="624">
        <v>41792</v>
      </c>
      <c r="BK2527" s="355">
        <v>3.0454999999999999E-2</v>
      </c>
    </row>
    <row r="2528" spans="3:63">
      <c r="C2528" s="624"/>
      <c r="D2528" s="355">
        <v>2.9069999999999999E-2</v>
      </c>
      <c r="AV2528" s="624"/>
      <c r="AX2528" s="624">
        <v>41799</v>
      </c>
      <c r="AY2528" s="355">
        <v>2.911E-2</v>
      </c>
      <c r="AZ2528" s="624">
        <v>41863</v>
      </c>
      <c r="BA2528" s="355">
        <v>1.14E-2</v>
      </c>
      <c r="BB2528" s="624">
        <v>41794</v>
      </c>
      <c r="BC2528" s="355">
        <v>0.32929999999999998</v>
      </c>
      <c r="BD2528" s="624">
        <v>41794</v>
      </c>
      <c r="BE2528" s="355">
        <v>9.7470000000000001E-2</v>
      </c>
      <c r="BF2528" s="624">
        <v>41928</v>
      </c>
      <c r="BG2528" s="355">
        <v>1.6225E-2</v>
      </c>
      <c r="BH2528" s="624">
        <v>41794</v>
      </c>
      <c r="BI2528" s="355">
        <v>8.4103999999999998E-2</v>
      </c>
      <c r="BJ2528" s="624">
        <v>41793</v>
      </c>
      <c r="BK2528" s="355">
        <v>3.0661999999999998E-2</v>
      </c>
    </row>
    <row r="2529" spans="3:63">
      <c r="C2529" s="624"/>
      <c r="D2529" s="355">
        <v>2.911E-2</v>
      </c>
      <c r="AV2529" s="624"/>
      <c r="AX2529" s="624">
        <v>41800</v>
      </c>
      <c r="AY2529" s="355">
        <v>2.913E-2</v>
      </c>
      <c r="AZ2529" s="624">
        <v>41864</v>
      </c>
      <c r="BA2529" s="355">
        <v>1.14E-2</v>
      </c>
      <c r="BB2529" s="624">
        <v>41795</v>
      </c>
      <c r="BC2529" s="355">
        <v>0.33050000000000002</v>
      </c>
      <c r="BD2529" s="624">
        <v>41795</v>
      </c>
      <c r="BE2529" s="355">
        <v>9.8059999999999994E-2</v>
      </c>
      <c r="BF2529" s="624">
        <v>41929</v>
      </c>
      <c r="BG2529" s="355">
        <v>1.6315E-2</v>
      </c>
      <c r="BH2529" s="624">
        <v>41795</v>
      </c>
      <c r="BI2529" s="355">
        <v>8.4317000000000003E-2</v>
      </c>
      <c r="BJ2529" s="624">
        <v>41794</v>
      </c>
      <c r="BK2529" s="355">
        <v>3.0609000000000001E-2</v>
      </c>
    </row>
    <row r="2530" spans="3:63">
      <c r="C2530" s="624"/>
      <c r="D2530" s="355">
        <v>2.913E-2</v>
      </c>
      <c r="AV2530" s="624"/>
      <c r="AX2530" s="624">
        <v>41801</v>
      </c>
      <c r="AY2530" s="355">
        <v>2.9080000000000002E-2</v>
      </c>
      <c r="AZ2530" s="624">
        <v>41865</v>
      </c>
      <c r="BA2530" s="355">
        <v>1.14E-2</v>
      </c>
      <c r="BB2530" s="624">
        <v>41796</v>
      </c>
      <c r="BC2530" s="355">
        <v>0.33310000000000001</v>
      </c>
      <c r="BD2530" s="624">
        <v>41796</v>
      </c>
      <c r="BE2530" s="355">
        <v>9.8049999999999998E-2</v>
      </c>
      <c r="BF2530" s="624">
        <v>41932</v>
      </c>
      <c r="BG2530" s="355">
        <v>1.6351999999999998E-2</v>
      </c>
      <c r="BH2530" s="624">
        <v>41796</v>
      </c>
      <c r="BI2530" s="355">
        <v>8.4501999999999994E-2</v>
      </c>
      <c r="BJ2530" s="624">
        <v>41795</v>
      </c>
      <c r="BK2530" s="355">
        <v>3.0641999999999999E-2</v>
      </c>
    </row>
    <row r="2531" spans="3:63">
      <c r="C2531" s="624"/>
      <c r="D2531" s="355">
        <v>2.9080000000000002E-2</v>
      </c>
      <c r="AV2531" s="624"/>
      <c r="AX2531" s="624">
        <v>41802</v>
      </c>
      <c r="AY2531" s="355">
        <v>2.9090000000000001E-2</v>
      </c>
      <c r="AZ2531" s="624">
        <v>41866</v>
      </c>
      <c r="BA2531" s="355">
        <v>1.15E-2</v>
      </c>
      <c r="BB2531" s="624">
        <v>41799</v>
      </c>
      <c r="BC2531" s="355">
        <v>0.33129999999999998</v>
      </c>
      <c r="BD2531" s="624">
        <v>41799</v>
      </c>
      <c r="BE2531" s="355">
        <v>9.8360000000000003E-2</v>
      </c>
      <c r="BF2531" s="624">
        <v>41933</v>
      </c>
      <c r="BG2531" s="355">
        <v>1.6367E-2</v>
      </c>
      <c r="BH2531" s="624">
        <v>41799</v>
      </c>
      <c r="BI2531" s="355">
        <v>8.4530999999999995E-2</v>
      </c>
      <c r="BJ2531" s="624">
        <v>41796</v>
      </c>
      <c r="BK2531" s="355">
        <v>3.0787999999999999E-2</v>
      </c>
    </row>
    <row r="2532" spans="3:63">
      <c r="C2532" s="624"/>
      <c r="D2532" s="355">
        <v>2.9090000000000001E-2</v>
      </c>
      <c r="AV2532" s="624"/>
      <c r="AX2532" s="624">
        <v>41803</v>
      </c>
      <c r="AY2532" s="355">
        <v>2.9069999999999999E-2</v>
      </c>
      <c r="AZ2532" s="624">
        <v>41869</v>
      </c>
      <c r="BA2532" s="355">
        <v>1.14E-2</v>
      </c>
      <c r="BB2532" s="624">
        <v>41800</v>
      </c>
      <c r="BC2532" s="355">
        <v>0.32990000000000003</v>
      </c>
      <c r="BD2532" s="624">
        <v>41800</v>
      </c>
      <c r="BE2532" s="355">
        <v>9.8330000000000001E-2</v>
      </c>
      <c r="BF2532" s="624">
        <v>41934</v>
      </c>
      <c r="BG2532" s="355">
        <v>1.6341000000000001E-2</v>
      </c>
      <c r="BH2532" s="624">
        <v>41800</v>
      </c>
      <c r="BI2532" s="355">
        <v>8.4692000000000003E-2</v>
      </c>
      <c r="BJ2532" s="624">
        <v>41799</v>
      </c>
      <c r="BK2532" s="355">
        <v>3.0842999999999999E-2</v>
      </c>
    </row>
    <row r="2533" spans="3:63">
      <c r="C2533" s="624"/>
      <c r="D2533" s="355">
        <v>2.9069999999999999E-2</v>
      </c>
      <c r="AV2533" s="624"/>
      <c r="AX2533" s="624">
        <v>41806</v>
      </c>
      <c r="AY2533" s="355">
        <v>2.8889999999999999E-2</v>
      </c>
      <c r="AZ2533" s="624">
        <v>41870</v>
      </c>
      <c r="BA2533" s="355">
        <v>1.1299999999999999E-2</v>
      </c>
      <c r="BB2533" s="624">
        <v>41801</v>
      </c>
      <c r="BC2533" s="355">
        <v>0.32940000000000003</v>
      </c>
      <c r="BD2533" s="624">
        <v>41801</v>
      </c>
      <c r="BE2533" s="355">
        <v>9.8269999999999996E-2</v>
      </c>
      <c r="BF2533" s="624">
        <v>41936</v>
      </c>
      <c r="BG2533" s="355">
        <v>1.6364E-2</v>
      </c>
      <c r="BH2533" s="624">
        <v>41801</v>
      </c>
      <c r="BI2533" s="355">
        <v>8.4673999999999999E-2</v>
      </c>
      <c r="BJ2533" s="624">
        <v>41800</v>
      </c>
      <c r="BK2533" s="355">
        <v>3.0797999999999999E-2</v>
      </c>
    </row>
    <row r="2534" spans="3:63">
      <c r="C2534" s="624"/>
      <c r="D2534" s="355">
        <v>2.8889999999999999E-2</v>
      </c>
      <c r="AV2534" s="624"/>
      <c r="AX2534" s="624">
        <v>41807</v>
      </c>
      <c r="AY2534" s="355">
        <v>2.8719999999999999E-2</v>
      </c>
      <c r="AZ2534" s="624">
        <v>41871</v>
      </c>
      <c r="BA2534" s="355">
        <v>1.1299999999999999E-2</v>
      </c>
      <c r="BB2534" s="624">
        <v>41802</v>
      </c>
      <c r="BC2534" s="355">
        <v>0.32929999999999998</v>
      </c>
      <c r="BD2534" s="624">
        <v>41802</v>
      </c>
      <c r="BE2534" s="355">
        <v>9.8229999999999998E-2</v>
      </c>
      <c r="BF2534" s="624">
        <v>41939</v>
      </c>
      <c r="BG2534" s="355">
        <v>1.6303999999999999E-2</v>
      </c>
      <c r="BH2534" s="624">
        <v>41802</v>
      </c>
      <c r="BI2534" s="355">
        <v>8.4667000000000006E-2</v>
      </c>
      <c r="BJ2534" s="624">
        <v>41801</v>
      </c>
      <c r="BK2534" s="355">
        <v>3.0790000000000001E-2</v>
      </c>
    </row>
    <row r="2535" spans="3:63">
      <c r="C2535" s="624"/>
      <c r="D2535" s="355">
        <v>2.8719999999999999E-2</v>
      </c>
      <c r="AV2535" s="624"/>
      <c r="AX2535" s="624">
        <v>41808</v>
      </c>
      <c r="AY2535" s="355">
        <v>2.9100000000000001E-2</v>
      </c>
      <c r="AZ2535" s="624">
        <v>41872</v>
      </c>
      <c r="BA2535" s="355">
        <v>1.1299999999999999E-2</v>
      </c>
      <c r="BB2535" s="624">
        <v>41803</v>
      </c>
      <c r="BC2535" s="355">
        <v>0.32869999999999999</v>
      </c>
      <c r="BD2535" s="624">
        <v>41803</v>
      </c>
      <c r="BE2535" s="355">
        <v>9.7979999999999998E-2</v>
      </c>
      <c r="BF2535" s="624">
        <v>41940</v>
      </c>
      <c r="BG2535" s="355">
        <v>1.6348000000000001E-2</v>
      </c>
      <c r="BH2535" s="624">
        <v>41803</v>
      </c>
      <c r="BI2535" s="355">
        <v>8.4818000000000005E-2</v>
      </c>
      <c r="BJ2535" s="624">
        <v>41802</v>
      </c>
      <c r="BK2535" s="355">
        <v>3.082E-2</v>
      </c>
    </row>
    <row r="2536" spans="3:63">
      <c r="C2536" s="624"/>
      <c r="D2536" s="355">
        <v>2.9100000000000001E-2</v>
      </c>
      <c r="AV2536" s="624"/>
      <c r="AX2536" s="624">
        <v>41809</v>
      </c>
      <c r="AY2536" s="355">
        <v>2.9069999999999999E-2</v>
      </c>
      <c r="AZ2536" s="624">
        <v>41873</v>
      </c>
      <c r="BA2536" s="355">
        <v>1.1299999999999999E-2</v>
      </c>
      <c r="BB2536" s="624">
        <v>41806</v>
      </c>
      <c r="BC2536" s="355">
        <v>0.32779999999999998</v>
      </c>
      <c r="BD2536" s="624">
        <v>41806</v>
      </c>
      <c r="BE2536" s="355">
        <v>9.8019999999999996E-2</v>
      </c>
      <c r="BF2536" s="624">
        <v>41941</v>
      </c>
      <c r="BG2536" s="355">
        <v>1.6261999999999999E-2</v>
      </c>
      <c r="BH2536" s="624">
        <v>41806</v>
      </c>
      <c r="BI2536" s="355">
        <v>8.4601999999999997E-2</v>
      </c>
      <c r="BJ2536" s="624">
        <v>41803</v>
      </c>
      <c r="BK2536" s="355">
        <v>3.0883000000000001E-2</v>
      </c>
    </row>
    <row r="2537" spans="3:63">
      <c r="C2537" s="624"/>
      <c r="D2537" s="355">
        <v>2.9069999999999999E-2</v>
      </c>
      <c r="AV2537" s="624"/>
      <c r="AX2537" s="624">
        <v>41810</v>
      </c>
      <c r="AY2537" s="355">
        <v>2.903E-2</v>
      </c>
      <c r="AZ2537" s="624">
        <v>41876</v>
      </c>
      <c r="BA2537" s="355">
        <v>1.1299999999999999E-2</v>
      </c>
      <c r="BB2537" s="624">
        <v>41807</v>
      </c>
      <c r="BC2537" s="355">
        <v>0.32700000000000001</v>
      </c>
      <c r="BD2537" s="624">
        <v>41807</v>
      </c>
      <c r="BE2537" s="355">
        <v>9.7820000000000004E-2</v>
      </c>
      <c r="BF2537" s="624">
        <v>41942</v>
      </c>
      <c r="BG2537" s="355">
        <v>1.6303000000000002E-2</v>
      </c>
      <c r="BH2537" s="624">
        <v>41807</v>
      </c>
      <c r="BI2537" s="355">
        <v>8.4122000000000002E-2</v>
      </c>
      <c r="BJ2537" s="624">
        <v>41806</v>
      </c>
      <c r="BK2537" s="355">
        <v>3.0905999999999999E-2</v>
      </c>
    </row>
    <row r="2538" spans="3:63">
      <c r="C2538" s="624"/>
      <c r="D2538" s="355">
        <v>2.903E-2</v>
      </c>
      <c r="AV2538" s="624"/>
      <c r="AX2538" s="624">
        <v>41813</v>
      </c>
      <c r="AY2538" s="355">
        <v>2.9360000000000001E-2</v>
      </c>
      <c r="AZ2538" s="624">
        <v>41877</v>
      </c>
      <c r="BA2538" s="355">
        <v>1.12E-2</v>
      </c>
      <c r="BB2538" s="624">
        <v>41808</v>
      </c>
      <c r="BC2538" s="355">
        <v>0.32929999999999998</v>
      </c>
      <c r="BD2538" s="624">
        <v>41808</v>
      </c>
      <c r="BE2538" s="355">
        <v>9.8199999999999996E-2</v>
      </c>
      <c r="BF2538" s="624">
        <v>41943</v>
      </c>
      <c r="BG2538" s="355">
        <v>1.6284E-2</v>
      </c>
      <c r="BH2538" s="624">
        <v>41808</v>
      </c>
      <c r="BI2538" s="355">
        <v>8.3350999999999995E-2</v>
      </c>
      <c r="BJ2538" s="624">
        <v>41807</v>
      </c>
      <c r="BK2538" s="355">
        <v>3.0772000000000001E-2</v>
      </c>
    </row>
    <row r="2539" spans="3:63">
      <c r="C2539" s="624"/>
      <c r="D2539" s="355">
        <v>2.9360000000000001E-2</v>
      </c>
      <c r="AV2539" s="624"/>
      <c r="AX2539" s="624">
        <v>41814</v>
      </c>
      <c r="AY2539" s="355">
        <v>2.9579999999999999E-2</v>
      </c>
      <c r="AZ2539" s="624">
        <v>41878</v>
      </c>
      <c r="BA2539" s="355">
        <v>1.12E-2</v>
      </c>
      <c r="BB2539" s="624">
        <v>41809</v>
      </c>
      <c r="BC2539" s="355">
        <v>0.32790000000000002</v>
      </c>
      <c r="BD2539" s="624">
        <v>41809</v>
      </c>
      <c r="BE2539" s="355">
        <v>9.8129999999999995E-2</v>
      </c>
      <c r="BF2539" s="624">
        <v>41946</v>
      </c>
      <c r="BG2539" s="355">
        <v>1.6277E-2</v>
      </c>
      <c r="BH2539" s="624">
        <v>41809</v>
      </c>
      <c r="BI2539" s="355">
        <v>8.3793999999999993E-2</v>
      </c>
      <c r="BJ2539" s="624">
        <v>41808</v>
      </c>
      <c r="BK2539" s="355">
        <v>3.0845000000000001E-2</v>
      </c>
    </row>
    <row r="2540" spans="3:63">
      <c r="C2540" s="624"/>
      <c r="D2540" s="355">
        <v>2.9579999999999999E-2</v>
      </c>
      <c r="AV2540" s="624"/>
      <c r="AX2540" s="624">
        <v>41815</v>
      </c>
      <c r="AY2540" s="355">
        <v>2.962E-2</v>
      </c>
      <c r="AZ2540" s="624">
        <v>41879</v>
      </c>
      <c r="BA2540" s="355">
        <v>1.12E-2</v>
      </c>
      <c r="BB2540" s="624">
        <v>41810</v>
      </c>
      <c r="BC2540" s="355">
        <v>0.32619999999999999</v>
      </c>
      <c r="BD2540" s="624">
        <v>41810</v>
      </c>
      <c r="BE2540" s="355">
        <v>9.8049999999999998E-2</v>
      </c>
      <c r="BF2540" s="624">
        <v>41947</v>
      </c>
      <c r="BG2540" s="355">
        <v>1.6308E-2</v>
      </c>
      <c r="BH2540" s="624">
        <v>41810</v>
      </c>
      <c r="BI2540" s="355">
        <v>8.3492999999999998E-2</v>
      </c>
      <c r="BJ2540" s="624">
        <v>41809</v>
      </c>
      <c r="BK2540" s="355">
        <v>3.0800000000000001E-2</v>
      </c>
    </row>
    <row r="2541" spans="3:63">
      <c r="C2541" s="624"/>
      <c r="D2541" s="355">
        <v>2.962E-2</v>
      </c>
      <c r="AV2541" s="624"/>
      <c r="AX2541" s="624">
        <v>41816</v>
      </c>
      <c r="AY2541" s="355">
        <v>2.9690000000000001E-2</v>
      </c>
      <c r="AZ2541" s="624">
        <v>41880</v>
      </c>
      <c r="BA2541" s="355">
        <v>1.11E-2</v>
      </c>
      <c r="BB2541" s="624">
        <v>41813</v>
      </c>
      <c r="BC2541" s="355">
        <v>0.32690000000000002</v>
      </c>
      <c r="BD2541" s="624">
        <v>41813</v>
      </c>
      <c r="BE2541" s="355">
        <v>9.8140000000000005E-2</v>
      </c>
      <c r="BF2541" s="624">
        <v>41948</v>
      </c>
      <c r="BG2541" s="355">
        <v>1.6285999999999998E-2</v>
      </c>
      <c r="BH2541" s="624">
        <v>41813</v>
      </c>
      <c r="BI2541" s="355">
        <v>8.3472000000000005E-2</v>
      </c>
      <c r="BJ2541" s="624">
        <v>41810</v>
      </c>
      <c r="BK2541" s="355">
        <v>3.0802E-2</v>
      </c>
    </row>
    <row r="2542" spans="3:63">
      <c r="C2542" s="624"/>
      <c r="D2542" s="355">
        <v>2.9690000000000001E-2</v>
      </c>
      <c r="AV2542" s="624"/>
      <c r="AX2542" s="624">
        <v>41817</v>
      </c>
      <c r="AY2542" s="355">
        <v>2.963E-2</v>
      </c>
      <c r="AZ2542" s="624">
        <v>41883</v>
      </c>
      <c r="BA2542" s="355">
        <v>1.11E-2</v>
      </c>
      <c r="BB2542" s="624">
        <v>41814</v>
      </c>
      <c r="BC2542" s="355">
        <v>0.32769999999999999</v>
      </c>
      <c r="BD2542" s="624">
        <v>41814</v>
      </c>
      <c r="BE2542" s="355">
        <v>9.8159999999999997E-2</v>
      </c>
      <c r="BF2542" s="624">
        <v>41949</v>
      </c>
      <c r="BG2542" s="355">
        <v>1.6250000000000001E-2</v>
      </c>
      <c r="BH2542" s="624">
        <v>41814</v>
      </c>
      <c r="BI2542" s="355">
        <v>8.3409999999999998E-2</v>
      </c>
      <c r="BJ2542" s="624">
        <v>41813</v>
      </c>
      <c r="BK2542" s="355">
        <v>3.0828999999999999E-2</v>
      </c>
    </row>
    <row r="2543" spans="3:63">
      <c r="C2543" s="624"/>
      <c r="D2543" s="355">
        <v>2.963E-2</v>
      </c>
      <c r="AV2543" s="624"/>
      <c r="AX2543" s="624">
        <v>41820</v>
      </c>
      <c r="AY2543" s="355">
        <v>2.9420000000000002E-2</v>
      </c>
      <c r="AZ2543" s="624">
        <v>41884</v>
      </c>
      <c r="BA2543" s="355">
        <v>1.11E-2</v>
      </c>
      <c r="BB2543" s="624">
        <v>41815</v>
      </c>
      <c r="BC2543" s="355">
        <v>0.32940000000000003</v>
      </c>
      <c r="BD2543" s="624">
        <v>41815</v>
      </c>
      <c r="BE2543" s="355">
        <v>9.8080000000000001E-2</v>
      </c>
      <c r="BF2543" s="624">
        <v>41950</v>
      </c>
      <c r="BG2543" s="355">
        <v>1.6288E-2</v>
      </c>
      <c r="BH2543" s="624">
        <v>41815</v>
      </c>
      <c r="BI2543" s="355">
        <v>8.2712999999999995E-2</v>
      </c>
      <c r="BJ2543" s="624">
        <v>41814</v>
      </c>
      <c r="BK2543" s="355">
        <v>3.0817000000000001E-2</v>
      </c>
    </row>
    <row r="2544" spans="3:63">
      <c r="C2544" s="624"/>
      <c r="D2544" s="355">
        <v>2.9420000000000002E-2</v>
      </c>
      <c r="AV2544" s="624"/>
      <c r="AX2544" s="624">
        <v>41821</v>
      </c>
      <c r="AY2544" s="355">
        <v>2.9139999999999999E-2</v>
      </c>
      <c r="AZ2544" s="624">
        <v>41885</v>
      </c>
      <c r="BA2544" s="355">
        <v>1.11E-2</v>
      </c>
      <c r="BB2544" s="624">
        <v>41816</v>
      </c>
      <c r="BC2544" s="355">
        <v>0.32790000000000002</v>
      </c>
      <c r="BD2544" s="624">
        <v>41816</v>
      </c>
      <c r="BE2544" s="355">
        <v>9.8369999999999999E-2</v>
      </c>
      <c r="BF2544" s="624">
        <v>41953</v>
      </c>
      <c r="BG2544" s="355">
        <v>1.6254000000000001E-2</v>
      </c>
      <c r="BH2544" s="624">
        <v>41816</v>
      </c>
      <c r="BI2544" s="355">
        <v>8.2651000000000002E-2</v>
      </c>
      <c r="BJ2544" s="624">
        <v>41815</v>
      </c>
      <c r="BK2544" s="355">
        <v>3.0817000000000001E-2</v>
      </c>
    </row>
    <row r="2545" spans="3:63">
      <c r="C2545" s="624"/>
      <c r="D2545" s="355">
        <v>2.9139999999999999E-2</v>
      </c>
      <c r="AV2545" s="624"/>
      <c r="AX2545" s="624">
        <v>41822</v>
      </c>
      <c r="AY2545" s="355">
        <v>2.9170000000000001E-2</v>
      </c>
      <c r="AZ2545" s="624">
        <v>41886</v>
      </c>
      <c r="BA2545" s="355">
        <v>1.0999999999999999E-2</v>
      </c>
      <c r="BB2545" s="624">
        <v>41817</v>
      </c>
      <c r="BC2545" s="355">
        <v>0.32869999999999999</v>
      </c>
      <c r="BD2545" s="624">
        <v>41817</v>
      </c>
      <c r="BE2545" s="355">
        <v>9.8619999999999999E-2</v>
      </c>
      <c r="BF2545" s="624">
        <v>41954</v>
      </c>
      <c r="BG2545" s="355">
        <v>1.6263E-2</v>
      </c>
      <c r="BH2545" s="624">
        <v>41817</v>
      </c>
      <c r="BI2545" s="355">
        <v>8.3367999999999998E-2</v>
      </c>
      <c r="BJ2545" s="624">
        <v>41816</v>
      </c>
      <c r="BK2545" s="355">
        <v>3.0797000000000001E-2</v>
      </c>
    </row>
    <row r="2546" spans="3:63">
      <c r="C2546" s="624"/>
      <c r="D2546" s="355">
        <v>2.9170000000000001E-2</v>
      </c>
      <c r="AV2546" s="624"/>
      <c r="AX2546" s="624">
        <v>41823</v>
      </c>
      <c r="AY2546" s="355">
        <v>2.9170000000000001E-2</v>
      </c>
      <c r="AZ2546" s="624">
        <v>41887</v>
      </c>
      <c r="BA2546" s="355">
        <v>1.09E-2</v>
      </c>
      <c r="BB2546" s="624">
        <v>41820</v>
      </c>
      <c r="BC2546" s="355">
        <v>0.32929999999999998</v>
      </c>
      <c r="BD2546" s="624">
        <v>41820</v>
      </c>
      <c r="BE2546" s="355">
        <v>9.8820000000000005E-2</v>
      </c>
      <c r="BF2546" s="624">
        <v>41955</v>
      </c>
      <c r="BG2546" s="355">
        <v>1.6288E-2</v>
      </c>
      <c r="BH2546" s="624">
        <v>41820</v>
      </c>
      <c r="BI2546" s="355">
        <v>8.4281999999999996E-2</v>
      </c>
      <c r="BJ2546" s="624">
        <v>41817</v>
      </c>
      <c r="BK2546" s="355">
        <v>3.0810000000000001E-2</v>
      </c>
    </row>
    <row r="2547" spans="3:63">
      <c r="C2547" s="624"/>
      <c r="D2547" s="355">
        <v>2.9170000000000001E-2</v>
      </c>
      <c r="AV2547" s="624"/>
      <c r="AX2547" s="624">
        <v>41824</v>
      </c>
      <c r="AY2547" s="355">
        <v>2.9069999999999999E-2</v>
      </c>
      <c r="AZ2547" s="624">
        <v>41890</v>
      </c>
      <c r="BA2547" s="355">
        <v>1.09E-2</v>
      </c>
      <c r="BB2547" s="624">
        <v>41821</v>
      </c>
      <c r="BC2547" s="355">
        <v>0.32879999999999998</v>
      </c>
      <c r="BD2547" s="624">
        <v>41821</v>
      </c>
      <c r="BE2547" s="355">
        <v>9.8919999999999994E-2</v>
      </c>
      <c r="BF2547" s="624">
        <v>41956</v>
      </c>
      <c r="BG2547" s="355">
        <v>1.6265000000000002E-2</v>
      </c>
      <c r="BH2547" s="624">
        <v>41821</v>
      </c>
      <c r="BI2547" s="355">
        <v>8.4298999999999999E-2</v>
      </c>
      <c r="BJ2547" s="624">
        <v>41820</v>
      </c>
      <c r="BK2547" s="355">
        <v>3.0825999999999999E-2</v>
      </c>
    </row>
    <row r="2548" spans="3:63">
      <c r="C2548" s="624"/>
      <c r="D2548" s="355">
        <v>2.9069999999999999E-2</v>
      </c>
      <c r="AV2548" s="624"/>
      <c r="AX2548" s="624">
        <v>41827</v>
      </c>
      <c r="AY2548" s="355">
        <v>2.9020000000000001E-2</v>
      </c>
      <c r="AZ2548" s="624">
        <v>41891</v>
      </c>
      <c r="BA2548" s="355">
        <v>1.09E-2</v>
      </c>
      <c r="BB2548" s="624">
        <v>41822</v>
      </c>
      <c r="BC2548" s="355">
        <v>0.32950000000000002</v>
      </c>
      <c r="BD2548" s="624">
        <v>41822</v>
      </c>
      <c r="BE2548" s="355">
        <v>9.9040000000000003E-2</v>
      </c>
      <c r="BF2548" s="624">
        <v>41957</v>
      </c>
      <c r="BG2548" s="355">
        <v>1.6219000000000001E-2</v>
      </c>
      <c r="BH2548" s="624">
        <v>41822</v>
      </c>
      <c r="BI2548" s="355">
        <v>8.4069000000000005E-2</v>
      </c>
      <c r="BJ2548" s="624">
        <v>41821</v>
      </c>
      <c r="BK2548" s="355">
        <v>3.0870000000000002E-2</v>
      </c>
    </row>
    <row r="2549" spans="3:63">
      <c r="C2549" s="624"/>
      <c r="D2549" s="355">
        <v>2.9020000000000001E-2</v>
      </c>
      <c r="AV2549" s="624"/>
      <c r="AX2549" s="624">
        <v>41828</v>
      </c>
      <c r="AY2549" s="355">
        <v>2.92E-2</v>
      </c>
      <c r="AZ2549" s="624">
        <v>41892</v>
      </c>
      <c r="BA2549" s="355">
        <v>1.09E-2</v>
      </c>
      <c r="BB2549" s="624">
        <v>41823</v>
      </c>
      <c r="BC2549" s="355">
        <v>0.3286</v>
      </c>
      <c r="BD2549" s="624">
        <v>41823</v>
      </c>
      <c r="BE2549" s="355">
        <v>9.9070000000000005E-2</v>
      </c>
      <c r="BF2549" s="624">
        <v>41960</v>
      </c>
      <c r="BG2549" s="355">
        <v>1.6182999999999999E-2</v>
      </c>
      <c r="BH2549" s="624">
        <v>41823</v>
      </c>
      <c r="BI2549" s="355">
        <v>8.3892999999999995E-2</v>
      </c>
      <c r="BJ2549" s="624">
        <v>41822</v>
      </c>
      <c r="BK2549" s="355">
        <v>3.0887999999999999E-2</v>
      </c>
    </row>
    <row r="2550" spans="3:63">
      <c r="C2550" s="624"/>
      <c r="D2550" s="355">
        <v>2.92E-2</v>
      </c>
      <c r="AV2550" s="624"/>
      <c r="AX2550" s="624">
        <v>41829</v>
      </c>
      <c r="AY2550" s="355">
        <v>2.9479999999999999E-2</v>
      </c>
      <c r="AZ2550" s="624">
        <v>41893</v>
      </c>
      <c r="BA2550" s="355">
        <v>1.09E-2</v>
      </c>
      <c r="BB2550" s="624">
        <v>41824</v>
      </c>
      <c r="BC2550" s="355">
        <v>0.32750000000000001</v>
      </c>
      <c r="BD2550" s="624">
        <v>41824</v>
      </c>
      <c r="BE2550" s="355">
        <v>9.9070000000000005E-2</v>
      </c>
      <c r="BF2550" s="624">
        <v>41961</v>
      </c>
      <c r="BG2550" s="355">
        <v>1.6195999999999999E-2</v>
      </c>
      <c r="BH2550" s="624">
        <v>41824</v>
      </c>
      <c r="BI2550" s="355">
        <v>8.4210999999999994E-2</v>
      </c>
      <c r="BJ2550" s="624">
        <v>41823</v>
      </c>
      <c r="BK2550" s="355">
        <v>3.0859000000000001E-2</v>
      </c>
    </row>
    <row r="2551" spans="3:63">
      <c r="C2551" s="624"/>
      <c r="D2551" s="355">
        <v>2.9479999999999999E-2</v>
      </c>
      <c r="AV2551" s="624"/>
      <c r="AX2551" s="624">
        <v>41830</v>
      </c>
      <c r="AY2551" s="355">
        <v>2.9409999999999999E-2</v>
      </c>
      <c r="AZ2551" s="624">
        <v>41894</v>
      </c>
      <c r="BA2551" s="355">
        <v>1.09E-2</v>
      </c>
      <c r="BB2551" s="624">
        <v>41827</v>
      </c>
      <c r="BC2551" s="355">
        <v>0.32840000000000003</v>
      </c>
      <c r="BD2551" s="624">
        <v>41827</v>
      </c>
      <c r="BE2551" s="355">
        <v>9.887E-2</v>
      </c>
      <c r="BF2551" s="624">
        <v>41962</v>
      </c>
      <c r="BG2551" s="355">
        <v>1.6111E-2</v>
      </c>
      <c r="BH2551" s="624">
        <v>41827</v>
      </c>
      <c r="BI2551" s="355">
        <v>8.5580000000000003E-2</v>
      </c>
      <c r="BJ2551" s="624">
        <v>41824</v>
      </c>
      <c r="BK2551" s="355">
        <v>3.0886E-2</v>
      </c>
    </row>
    <row r="2552" spans="3:63">
      <c r="C2552" s="624"/>
      <c r="D2552" s="355">
        <v>2.9409999999999999E-2</v>
      </c>
      <c r="AV2552" s="624"/>
      <c r="AX2552" s="624">
        <v>41831</v>
      </c>
      <c r="AY2552" s="355">
        <v>2.9250000000000002E-2</v>
      </c>
      <c r="AZ2552" s="624">
        <v>41897</v>
      </c>
      <c r="BA2552" s="355">
        <v>1.09E-2</v>
      </c>
      <c r="BB2552" s="624">
        <v>41828</v>
      </c>
      <c r="BC2552" s="355">
        <v>0.32990000000000003</v>
      </c>
      <c r="BD2552" s="624">
        <v>41828</v>
      </c>
      <c r="BE2552" s="355">
        <v>9.8809999999999995E-2</v>
      </c>
      <c r="BF2552" s="624">
        <v>41963</v>
      </c>
      <c r="BG2552" s="355">
        <v>1.6150999999999999E-2</v>
      </c>
      <c r="BH2552" s="624">
        <v>41828</v>
      </c>
      <c r="BI2552" s="355">
        <v>8.6022000000000001E-2</v>
      </c>
      <c r="BJ2552" s="624">
        <v>41827</v>
      </c>
      <c r="BK2552" s="355">
        <v>3.0855E-2</v>
      </c>
    </row>
    <row r="2553" spans="3:63">
      <c r="C2553" s="624"/>
      <c r="D2553" s="355">
        <v>2.9250000000000002E-2</v>
      </c>
      <c r="AV2553" s="624"/>
      <c r="AX2553" s="624">
        <v>41834</v>
      </c>
      <c r="AY2553" s="355">
        <v>2.911E-2</v>
      </c>
      <c r="AZ2553" s="624">
        <v>41898</v>
      </c>
      <c r="BA2553" s="355">
        <v>1.09E-2</v>
      </c>
      <c r="BB2553" s="624">
        <v>41829</v>
      </c>
      <c r="BC2553" s="355">
        <v>0.33069999999999999</v>
      </c>
      <c r="BD2553" s="624">
        <v>41829</v>
      </c>
      <c r="BE2553" s="355">
        <v>9.8979999999999999E-2</v>
      </c>
      <c r="BF2553" s="624">
        <v>41964</v>
      </c>
      <c r="BG2553" s="355">
        <v>1.6209000000000001E-2</v>
      </c>
      <c r="BH2553" s="624">
        <v>41829</v>
      </c>
      <c r="BI2553" s="355">
        <v>8.6022000000000001E-2</v>
      </c>
      <c r="BJ2553" s="624">
        <v>41828</v>
      </c>
      <c r="BK2553" s="355">
        <v>3.0880999999999999E-2</v>
      </c>
    </row>
    <row r="2554" spans="3:63">
      <c r="C2554" s="624"/>
      <c r="D2554" s="355">
        <v>2.911E-2</v>
      </c>
      <c r="AV2554" s="624"/>
      <c r="AX2554" s="624">
        <v>41835</v>
      </c>
      <c r="AY2554" s="355">
        <v>2.9080000000000002E-2</v>
      </c>
      <c r="AZ2554" s="624">
        <v>41899</v>
      </c>
      <c r="BA2554" s="355">
        <v>1.0800000000000001E-2</v>
      </c>
      <c r="BB2554" s="624">
        <v>41830</v>
      </c>
      <c r="BC2554" s="355">
        <v>0.32840000000000003</v>
      </c>
      <c r="BD2554" s="624">
        <v>41830</v>
      </c>
      <c r="BE2554" s="355">
        <v>9.8669999999999994E-2</v>
      </c>
      <c r="BF2554" s="624">
        <v>41967</v>
      </c>
      <c r="BG2554" s="355">
        <v>1.6161999999999999E-2</v>
      </c>
      <c r="BH2554" s="624">
        <v>41830</v>
      </c>
      <c r="BI2554" s="355">
        <v>8.6336999999999997E-2</v>
      </c>
      <c r="BJ2554" s="624">
        <v>41829</v>
      </c>
      <c r="BK2554" s="355">
        <v>3.107E-2</v>
      </c>
    </row>
    <row r="2555" spans="3:63">
      <c r="C2555" s="624"/>
      <c r="D2555" s="355">
        <v>2.9080000000000002E-2</v>
      </c>
      <c r="AV2555" s="624"/>
      <c r="AX2555" s="624">
        <v>41836</v>
      </c>
      <c r="AY2555" s="355">
        <v>2.8899999999999999E-2</v>
      </c>
      <c r="AZ2555" s="624">
        <v>41900</v>
      </c>
      <c r="BA2555" s="355">
        <v>1.09E-2</v>
      </c>
      <c r="BB2555" s="624">
        <v>41831</v>
      </c>
      <c r="BC2555" s="355">
        <v>0.3286</v>
      </c>
      <c r="BD2555" s="624">
        <v>41831</v>
      </c>
      <c r="BE2555" s="355">
        <v>9.7979999999999998E-2</v>
      </c>
      <c r="BF2555" s="624">
        <v>41968</v>
      </c>
      <c r="BG2555" s="355">
        <v>1.6174999999999998E-2</v>
      </c>
      <c r="BH2555" s="624">
        <v>41831</v>
      </c>
      <c r="BI2555" s="355">
        <v>8.6169999999999997E-2</v>
      </c>
      <c r="BJ2555" s="624">
        <v>41830</v>
      </c>
      <c r="BK2555" s="355">
        <v>3.1067999999999998E-2</v>
      </c>
    </row>
    <row r="2556" spans="3:63">
      <c r="C2556" s="624"/>
      <c r="D2556" s="355">
        <v>2.8899999999999999E-2</v>
      </c>
      <c r="AV2556" s="624"/>
      <c r="AX2556" s="624">
        <v>41837</v>
      </c>
      <c r="AY2556" s="355">
        <v>2.835E-2</v>
      </c>
      <c r="AZ2556" s="624">
        <v>41901</v>
      </c>
      <c r="BA2556" s="355">
        <v>1.0800000000000001E-2</v>
      </c>
      <c r="BB2556" s="624">
        <v>41834</v>
      </c>
      <c r="BC2556" s="355">
        <v>0.3291</v>
      </c>
      <c r="BD2556" s="624">
        <v>41834</v>
      </c>
      <c r="BE2556" s="355">
        <v>9.8019999999999996E-2</v>
      </c>
      <c r="BF2556" s="624">
        <v>41969</v>
      </c>
      <c r="BG2556" s="355">
        <v>1.6185000000000001E-2</v>
      </c>
      <c r="BH2556" s="624">
        <v>41834</v>
      </c>
      <c r="BI2556" s="355">
        <v>8.5751999999999995E-2</v>
      </c>
      <c r="BJ2556" s="624">
        <v>41831</v>
      </c>
      <c r="BK2556" s="355">
        <v>3.1113999999999999E-2</v>
      </c>
    </row>
    <row r="2557" spans="3:63">
      <c r="C2557" s="624"/>
      <c r="D2557" s="355">
        <v>2.835E-2</v>
      </c>
      <c r="AV2557" s="624"/>
      <c r="AX2557" s="624">
        <v>41838</v>
      </c>
      <c r="AY2557" s="355">
        <v>2.843E-2</v>
      </c>
      <c r="AZ2557" s="624">
        <v>41904</v>
      </c>
      <c r="BA2557" s="355">
        <v>1.09E-2</v>
      </c>
      <c r="BB2557" s="624">
        <v>41835</v>
      </c>
      <c r="BC2557" s="355">
        <v>0.32800000000000001</v>
      </c>
      <c r="BD2557" s="624">
        <v>41835</v>
      </c>
      <c r="BE2557" s="355">
        <v>9.7320000000000004E-2</v>
      </c>
      <c r="BF2557" s="624">
        <v>41970</v>
      </c>
      <c r="BG2557" s="355">
        <v>1.6168999999999999E-2</v>
      </c>
      <c r="BH2557" s="624">
        <v>41835</v>
      </c>
      <c r="BI2557" s="355">
        <v>8.5214999999999999E-2</v>
      </c>
      <c r="BJ2557" s="624">
        <v>41834</v>
      </c>
      <c r="BK2557" s="355">
        <v>3.1116999999999999E-2</v>
      </c>
    </row>
    <row r="2558" spans="3:63">
      <c r="C2558" s="624"/>
      <c r="D2558" s="355">
        <v>2.843E-2</v>
      </c>
      <c r="AV2558" s="624"/>
      <c r="AX2558" s="624">
        <v>41841</v>
      </c>
      <c r="AY2558" s="355">
        <v>2.8420000000000001E-2</v>
      </c>
      <c r="AZ2558" s="624">
        <v>41905</v>
      </c>
      <c r="BA2558" s="355">
        <v>1.09E-2</v>
      </c>
      <c r="BB2558" s="624">
        <v>41836</v>
      </c>
      <c r="BC2558" s="355">
        <v>0.32719999999999999</v>
      </c>
      <c r="BD2558" s="624">
        <v>41836</v>
      </c>
      <c r="BE2558" s="355">
        <v>9.7059999999999994E-2</v>
      </c>
      <c r="BF2558" s="624">
        <v>41971</v>
      </c>
      <c r="BG2558" s="355">
        <v>1.6064999999999999E-2</v>
      </c>
      <c r="BH2558" s="624">
        <v>41836</v>
      </c>
      <c r="BI2558" s="355">
        <v>8.5470000000000004E-2</v>
      </c>
      <c r="BJ2558" s="624">
        <v>41835</v>
      </c>
      <c r="BK2558" s="355">
        <v>3.1133999999999998E-2</v>
      </c>
    </row>
    <row r="2559" spans="3:63">
      <c r="C2559" s="624"/>
      <c r="D2559" s="355">
        <v>2.8420000000000001E-2</v>
      </c>
      <c r="AV2559" s="624"/>
      <c r="AX2559" s="624">
        <v>41842</v>
      </c>
      <c r="AY2559" s="355">
        <v>2.86E-2</v>
      </c>
      <c r="AZ2559" s="624">
        <v>41906</v>
      </c>
      <c r="BA2559" s="355">
        <v>1.0800000000000001E-2</v>
      </c>
      <c r="BB2559" s="624">
        <v>41837</v>
      </c>
      <c r="BC2559" s="355">
        <v>0.32540000000000002</v>
      </c>
      <c r="BD2559" s="624">
        <v>41837</v>
      </c>
      <c r="BE2559" s="355">
        <v>9.6759999999999999E-2</v>
      </c>
      <c r="BF2559" s="624">
        <v>41974</v>
      </c>
      <c r="BG2559" s="355">
        <v>1.6150000000000001E-2</v>
      </c>
      <c r="BH2559" s="624">
        <v>41837</v>
      </c>
      <c r="BI2559" s="355">
        <v>8.5525000000000004E-2</v>
      </c>
      <c r="BJ2559" s="624">
        <v>41836</v>
      </c>
      <c r="BK2559" s="355">
        <v>3.1144999999999999E-2</v>
      </c>
    </row>
    <row r="2560" spans="3:63">
      <c r="C2560" s="624"/>
      <c r="D2560" s="355">
        <v>2.86E-2</v>
      </c>
      <c r="AV2560" s="624"/>
      <c r="AX2560" s="624">
        <v>41843</v>
      </c>
      <c r="AY2560" s="355">
        <v>2.8660000000000001E-2</v>
      </c>
      <c r="AZ2560" s="624">
        <v>41907</v>
      </c>
      <c r="BA2560" s="355">
        <v>1.0699999999999999E-2</v>
      </c>
      <c r="BB2560" s="624">
        <v>41838</v>
      </c>
      <c r="BC2560" s="355">
        <v>0.32600000000000001</v>
      </c>
      <c r="BD2560" s="624">
        <v>41838</v>
      </c>
      <c r="BE2560" s="355">
        <v>9.7129999999999994E-2</v>
      </c>
      <c r="BF2560" s="624">
        <v>41975</v>
      </c>
      <c r="BG2560" s="355">
        <v>1.6173E-2</v>
      </c>
      <c r="BH2560" s="624">
        <v>41838</v>
      </c>
      <c r="BI2560" s="355">
        <v>8.6077000000000001E-2</v>
      </c>
      <c r="BJ2560" s="624">
        <v>41837</v>
      </c>
      <c r="BK2560" s="355">
        <v>3.1067999999999998E-2</v>
      </c>
    </row>
    <row r="2561" spans="3:63">
      <c r="C2561" s="624"/>
      <c r="D2561" s="355">
        <v>2.8660000000000001E-2</v>
      </c>
      <c r="AV2561" s="624"/>
      <c r="AX2561" s="624">
        <v>41844</v>
      </c>
      <c r="AY2561" s="355">
        <v>2.8510000000000001E-2</v>
      </c>
      <c r="AZ2561" s="624">
        <v>41908</v>
      </c>
      <c r="BA2561" s="355">
        <v>1.0699999999999999E-2</v>
      </c>
      <c r="BB2561" s="624">
        <v>41841</v>
      </c>
      <c r="BC2561" s="355">
        <v>0.32619999999999999</v>
      </c>
      <c r="BD2561" s="624">
        <v>41841</v>
      </c>
      <c r="BE2561" s="355">
        <v>9.7360000000000002E-2</v>
      </c>
      <c r="BF2561" s="624">
        <v>41976</v>
      </c>
      <c r="BG2561" s="355">
        <v>1.6143000000000001E-2</v>
      </c>
      <c r="BH2561" s="624">
        <v>41841</v>
      </c>
      <c r="BI2561" s="355">
        <v>8.6468000000000003E-2</v>
      </c>
      <c r="BJ2561" s="624">
        <v>41838</v>
      </c>
      <c r="BK2561" s="355">
        <v>3.1104E-2</v>
      </c>
    </row>
    <row r="2562" spans="3:63">
      <c r="C2562" s="624"/>
      <c r="D2562" s="355">
        <v>2.8510000000000001E-2</v>
      </c>
      <c r="AV2562" s="624"/>
      <c r="AX2562" s="624">
        <v>41845</v>
      </c>
      <c r="AY2562" s="355">
        <v>2.8469999999999999E-2</v>
      </c>
      <c r="AZ2562" s="624">
        <v>41911</v>
      </c>
      <c r="BA2562" s="355">
        <v>1.0699999999999999E-2</v>
      </c>
      <c r="BB2562" s="624">
        <v>41842</v>
      </c>
      <c r="BC2562" s="355">
        <v>0.32540000000000002</v>
      </c>
      <c r="BD2562" s="624">
        <v>41842</v>
      </c>
      <c r="BE2562" s="355">
        <v>9.7629999999999995E-2</v>
      </c>
      <c r="BF2562" s="624">
        <v>41977</v>
      </c>
      <c r="BG2562" s="355">
        <v>1.6232E-2</v>
      </c>
      <c r="BH2562" s="624">
        <v>41842</v>
      </c>
      <c r="BI2562" s="355">
        <v>8.6280999999999997E-2</v>
      </c>
      <c r="BJ2562" s="624">
        <v>41841</v>
      </c>
      <c r="BK2562" s="355">
        <v>3.1352999999999999E-2</v>
      </c>
    </row>
    <row r="2563" spans="3:63">
      <c r="C2563" s="624"/>
      <c r="D2563" s="355">
        <v>2.8469999999999999E-2</v>
      </c>
      <c r="AV2563" s="624"/>
      <c r="AX2563" s="624">
        <v>41848</v>
      </c>
      <c r="AY2563" s="355">
        <v>2.811E-2</v>
      </c>
      <c r="AZ2563" s="624">
        <v>41912</v>
      </c>
      <c r="BA2563" s="355">
        <v>1.0699999999999999E-2</v>
      </c>
      <c r="BB2563" s="624">
        <v>41843</v>
      </c>
      <c r="BC2563" s="355">
        <v>0.3256</v>
      </c>
      <c r="BD2563" s="624">
        <v>41843</v>
      </c>
      <c r="BE2563" s="355">
        <v>9.7650000000000001E-2</v>
      </c>
      <c r="BF2563" s="624">
        <v>41978</v>
      </c>
      <c r="BG2563" s="355">
        <v>1.6132000000000001E-2</v>
      </c>
      <c r="BH2563" s="624">
        <v>41843</v>
      </c>
      <c r="BI2563" s="355">
        <v>8.6881E-2</v>
      </c>
      <c r="BJ2563" s="624">
        <v>41842</v>
      </c>
      <c r="BK2563" s="355">
        <v>3.1488000000000002E-2</v>
      </c>
    </row>
    <row r="2564" spans="3:63">
      <c r="C2564" s="624"/>
      <c r="D2564" s="355">
        <v>2.811E-2</v>
      </c>
      <c r="AV2564" s="624"/>
      <c r="AX2564" s="624">
        <v>41849</v>
      </c>
      <c r="AY2564" s="355">
        <v>2.7969999999999998E-2</v>
      </c>
      <c r="AZ2564" s="624">
        <v>41913</v>
      </c>
      <c r="BA2564" s="355">
        <v>1.06E-2</v>
      </c>
      <c r="BB2564" s="624">
        <v>41844</v>
      </c>
      <c r="BC2564" s="355">
        <v>0.32529999999999998</v>
      </c>
      <c r="BD2564" s="624">
        <v>41844</v>
      </c>
      <c r="BE2564" s="355">
        <v>9.7110000000000002E-2</v>
      </c>
      <c r="BF2564" s="624">
        <v>41981</v>
      </c>
      <c r="BG2564" s="355">
        <v>1.6171000000000001E-2</v>
      </c>
      <c r="BH2564" s="624">
        <v>41844</v>
      </c>
      <c r="BI2564" s="355">
        <v>8.6468000000000003E-2</v>
      </c>
      <c r="BJ2564" s="624">
        <v>41843</v>
      </c>
      <c r="BK2564" s="355">
        <v>3.1474000000000002E-2</v>
      </c>
    </row>
    <row r="2565" spans="3:63">
      <c r="C2565" s="624"/>
      <c r="D2565" s="355">
        <v>2.7969999999999998E-2</v>
      </c>
      <c r="AV2565" s="624"/>
      <c r="AX2565" s="624">
        <v>41850</v>
      </c>
      <c r="AY2565" s="355">
        <v>2.811E-2</v>
      </c>
      <c r="AZ2565" s="624">
        <v>41914</v>
      </c>
      <c r="BA2565" s="355">
        <v>1.0699999999999999E-2</v>
      </c>
      <c r="BB2565" s="624">
        <v>41845</v>
      </c>
      <c r="BC2565" s="355">
        <v>0.32390000000000002</v>
      </c>
      <c r="BD2565" s="624">
        <v>41845</v>
      </c>
      <c r="BE2565" s="355">
        <v>9.7420000000000007E-2</v>
      </c>
      <c r="BF2565" s="624">
        <v>41982</v>
      </c>
      <c r="BG2565" s="355">
        <v>1.6115999999999998E-2</v>
      </c>
      <c r="BH2565" s="624">
        <v>41845</v>
      </c>
      <c r="BI2565" s="355">
        <v>8.6374000000000006E-2</v>
      </c>
      <c r="BJ2565" s="624">
        <v>41844</v>
      </c>
      <c r="BK2565" s="355">
        <v>3.1403E-2</v>
      </c>
    </row>
    <row r="2566" spans="3:63">
      <c r="C2566" s="624"/>
      <c r="D2566" s="355">
        <v>2.811E-2</v>
      </c>
      <c r="AV2566" s="624"/>
      <c r="AX2566" s="624">
        <v>41851</v>
      </c>
      <c r="AY2566" s="355">
        <v>2.7990000000000001E-2</v>
      </c>
      <c r="AZ2566" s="624">
        <v>41915</v>
      </c>
      <c r="BA2566" s="355">
        <v>1.0500000000000001E-2</v>
      </c>
      <c r="BB2566" s="624">
        <v>41848</v>
      </c>
      <c r="BC2566" s="355">
        <v>0.32429999999999998</v>
      </c>
      <c r="BD2566" s="624">
        <v>41848</v>
      </c>
      <c r="BE2566" s="355">
        <v>9.7460000000000005E-2</v>
      </c>
      <c r="BF2566" s="624">
        <v>41983</v>
      </c>
      <c r="BG2566" s="355">
        <v>1.6064999999999999E-2</v>
      </c>
      <c r="BH2566" s="624">
        <v>41848</v>
      </c>
      <c r="BI2566" s="355">
        <v>8.6374000000000006E-2</v>
      </c>
      <c r="BJ2566" s="624">
        <v>41845</v>
      </c>
      <c r="BK2566" s="355">
        <v>3.1397000000000001E-2</v>
      </c>
    </row>
    <row r="2567" spans="3:63">
      <c r="C2567" s="624"/>
      <c r="D2567" s="355">
        <v>2.7990000000000001E-2</v>
      </c>
      <c r="AV2567" s="624"/>
      <c r="AX2567" s="624">
        <v>41852</v>
      </c>
      <c r="AY2567" s="355">
        <v>2.7969999999999998E-2</v>
      </c>
      <c r="AZ2567" s="624">
        <v>41918</v>
      </c>
      <c r="BA2567" s="355">
        <v>1.06E-2</v>
      </c>
      <c r="BB2567" s="624">
        <v>41849</v>
      </c>
      <c r="BC2567" s="355">
        <v>0.32290000000000002</v>
      </c>
      <c r="BD2567" s="624">
        <v>41849</v>
      </c>
      <c r="BE2567" s="355">
        <v>9.7430000000000003E-2</v>
      </c>
      <c r="BF2567" s="624">
        <v>41984</v>
      </c>
      <c r="BG2567" s="355">
        <v>1.5990999999999998E-2</v>
      </c>
      <c r="BH2567" s="624">
        <v>41849</v>
      </c>
      <c r="BI2567" s="355">
        <v>8.6374000000000006E-2</v>
      </c>
      <c r="BJ2567" s="624">
        <v>41848</v>
      </c>
      <c r="BK2567" s="355">
        <v>3.1437E-2</v>
      </c>
    </row>
    <row r="2568" spans="3:63">
      <c r="C2568" s="624"/>
      <c r="D2568" s="355">
        <v>2.7969999999999998E-2</v>
      </c>
      <c r="AV2568" s="624"/>
      <c r="AX2568" s="624">
        <v>41855</v>
      </c>
      <c r="AY2568" s="355">
        <v>2.7859999999999999E-2</v>
      </c>
      <c r="AZ2568" s="624">
        <v>41919</v>
      </c>
      <c r="BA2568" s="355">
        <v>1.06E-2</v>
      </c>
      <c r="BB2568" s="624">
        <v>41850</v>
      </c>
      <c r="BC2568" s="355">
        <v>0.32229999999999998</v>
      </c>
      <c r="BD2568" s="624">
        <v>41850</v>
      </c>
      <c r="BE2568" s="355">
        <v>9.7220000000000001E-2</v>
      </c>
      <c r="BF2568" s="624">
        <v>41985</v>
      </c>
      <c r="BG2568" s="355">
        <v>1.5966000000000001E-2</v>
      </c>
      <c r="BH2568" s="624">
        <v>41850</v>
      </c>
      <c r="BI2568" s="355">
        <v>8.6374000000000006E-2</v>
      </c>
      <c r="BJ2568" s="624">
        <v>41849</v>
      </c>
      <c r="BK2568" s="355">
        <v>3.1407999999999998E-2</v>
      </c>
    </row>
    <row r="2569" spans="3:63">
      <c r="C2569" s="624"/>
      <c r="D2569" s="355">
        <v>2.7859999999999999E-2</v>
      </c>
      <c r="AV2569" s="624"/>
      <c r="AX2569" s="624">
        <v>41856</v>
      </c>
      <c r="AY2569" s="355">
        <v>2.7709999999999999E-2</v>
      </c>
      <c r="AZ2569" s="624">
        <v>41920</v>
      </c>
      <c r="BA2569" s="355">
        <v>1.0699999999999999E-2</v>
      </c>
      <c r="BB2569" s="624">
        <v>41851</v>
      </c>
      <c r="BC2569" s="355">
        <v>0.32050000000000001</v>
      </c>
      <c r="BD2569" s="624">
        <v>41851</v>
      </c>
      <c r="BE2569" s="355">
        <v>9.6839999999999996E-2</v>
      </c>
      <c r="BF2569" s="624">
        <v>41988</v>
      </c>
      <c r="BG2569" s="355">
        <v>1.5723000000000001E-2</v>
      </c>
      <c r="BH2569" s="624">
        <v>41851</v>
      </c>
      <c r="BI2569" s="355">
        <v>8.6374000000000006E-2</v>
      </c>
      <c r="BJ2569" s="624">
        <v>41850</v>
      </c>
      <c r="BK2569" s="355">
        <v>3.1283999999999999E-2</v>
      </c>
    </row>
    <row r="2570" spans="3:63">
      <c r="C2570" s="624"/>
      <c r="D2570" s="355">
        <v>2.7709999999999999E-2</v>
      </c>
      <c r="AV2570" s="624"/>
      <c r="AX2570" s="624">
        <v>41857</v>
      </c>
      <c r="AY2570" s="355">
        <v>2.7629999999999998E-2</v>
      </c>
      <c r="AZ2570" s="624">
        <v>41921</v>
      </c>
      <c r="BA2570" s="355">
        <v>1.06E-2</v>
      </c>
      <c r="BB2570" s="624">
        <v>41852</v>
      </c>
      <c r="BC2570" s="355">
        <v>0.32090000000000002</v>
      </c>
      <c r="BD2570" s="624">
        <v>41852</v>
      </c>
      <c r="BE2570" s="355">
        <v>9.6960000000000005E-2</v>
      </c>
      <c r="BF2570" s="624">
        <v>41989</v>
      </c>
      <c r="BG2570" s="355">
        <v>1.567E-2</v>
      </c>
      <c r="BH2570" s="624">
        <v>41852</v>
      </c>
      <c r="BI2570" s="355">
        <v>8.4567000000000003E-2</v>
      </c>
      <c r="BJ2570" s="624">
        <v>41851</v>
      </c>
      <c r="BK2570" s="355">
        <v>3.1063E-2</v>
      </c>
    </row>
    <row r="2571" spans="3:63">
      <c r="C2571" s="624"/>
      <c r="D2571" s="355">
        <v>2.7629999999999998E-2</v>
      </c>
      <c r="AV2571" s="624"/>
      <c r="AX2571" s="624">
        <v>41858</v>
      </c>
      <c r="AY2571" s="355">
        <v>2.7550000000000002E-2</v>
      </c>
      <c r="AZ2571" s="624">
        <v>41922</v>
      </c>
      <c r="BA2571" s="355">
        <v>1.06E-2</v>
      </c>
      <c r="BB2571" s="624">
        <v>41855</v>
      </c>
      <c r="BC2571" s="355">
        <v>0.3216</v>
      </c>
      <c r="BD2571" s="624">
        <v>41855</v>
      </c>
      <c r="BE2571" s="355">
        <v>9.6799999999999997E-2</v>
      </c>
      <c r="BF2571" s="624">
        <v>41990</v>
      </c>
      <c r="BG2571" s="355">
        <v>1.5788E-2</v>
      </c>
      <c r="BH2571" s="624">
        <v>41855</v>
      </c>
      <c r="BI2571" s="355">
        <v>8.5033999999999998E-2</v>
      </c>
      <c r="BJ2571" s="624">
        <v>41852</v>
      </c>
      <c r="BK2571" s="355">
        <v>3.1113999999999999E-2</v>
      </c>
    </row>
    <row r="2572" spans="3:63">
      <c r="C2572" s="624"/>
      <c r="D2572" s="355">
        <v>2.7550000000000002E-2</v>
      </c>
      <c r="AV2572" s="624"/>
      <c r="AX2572" s="624">
        <v>41859</v>
      </c>
      <c r="AY2572" s="355">
        <v>2.7650000000000001E-2</v>
      </c>
      <c r="AZ2572" s="624">
        <v>41925</v>
      </c>
      <c r="BA2572" s="355">
        <v>1.0699999999999999E-2</v>
      </c>
      <c r="BB2572" s="624">
        <v>41856</v>
      </c>
      <c r="BC2572" s="355">
        <v>0.31940000000000002</v>
      </c>
      <c r="BD2572" s="624">
        <v>41856</v>
      </c>
      <c r="BE2572" s="355">
        <v>9.6579999999999999E-2</v>
      </c>
      <c r="BF2572" s="624">
        <v>41991</v>
      </c>
      <c r="BG2572" s="355">
        <v>1.5872000000000001E-2</v>
      </c>
      <c r="BH2572" s="624">
        <v>41856</v>
      </c>
      <c r="BI2572" s="355">
        <v>8.5415000000000005E-2</v>
      </c>
      <c r="BJ2572" s="624">
        <v>41855</v>
      </c>
      <c r="BK2572" s="355">
        <v>3.1104E-2</v>
      </c>
    </row>
    <row r="2573" spans="3:63">
      <c r="C2573" s="624"/>
      <c r="D2573" s="355">
        <v>2.7650000000000001E-2</v>
      </c>
      <c r="AV2573" s="624"/>
      <c r="AX2573" s="624">
        <v>41862</v>
      </c>
      <c r="AY2573" s="355">
        <v>2.784E-2</v>
      </c>
      <c r="AZ2573" s="624">
        <v>41926</v>
      </c>
      <c r="BA2573" s="355">
        <v>1.06E-2</v>
      </c>
      <c r="BB2573" s="624">
        <v>41857</v>
      </c>
      <c r="BC2573" s="355">
        <v>0.31850000000000001</v>
      </c>
      <c r="BD2573" s="624">
        <v>41857</v>
      </c>
      <c r="BE2573" s="355">
        <v>9.6729999999999997E-2</v>
      </c>
      <c r="BF2573" s="624">
        <v>41992</v>
      </c>
      <c r="BG2573" s="355">
        <v>1.5782999999999998E-2</v>
      </c>
      <c r="BH2573" s="624">
        <v>41857</v>
      </c>
      <c r="BI2573" s="355">
        <v>8.5214999999999999E-2</v>
      </c>
      <c r="BJ2573" s="624">
        <v>41856</v>
      </c>
      <c r="BK2573" s="355">
        <v>3.1050000000000001E-2</v>
      </c>
    </row>
    <row r="2574" spans="3:63">
      <c r="C2574" s="624"/>
      <c r="D2574" s="355">
        <v>2.784E-2</v>
      </c>
      <c r="AV2574" s="624"/>
      <c r="AX2574" s="624">
        <v>41863</v>
      </c>
      <c r="AY2574" s="355">
        <v>2.7640000000000001E-2</v>
      </c>
      <c r="AZ2574" s="624">
        <v>41927</v>
      </c>
      <c r="BA2574" s="355">
        <v>1.0800000000000001E-2</v>
      </c>
      <c r="BB2574" s="624">
        <v>41858</v>
      </c>
      <c r="BC2574" s="355">
        <v>0.317</v>
      </c>
      <c r="BD2574" s="624">
        <v>41858</v>
      </c>
      <c r="BE2574" s="355">
        <v>9.6439999999999998E-2</v>
      </c>
      <c r="BF2574" s="624">
        <v>41995</v>
      </c>
      <c r="BG2574" s="355">
        <v>1.5806000000000001E-2</v>
      </c>
      <c r="BH2574" s="624">
        <v>41858</v>
      </c>
      <c r="BI2574" s="355">
        <v>8.4735000000000005E-2</v>
      </c>
      <c r="BJ2574" s="624">
        <v>41857</v>
      </c>
      <c r="BK2574" s="355">
        <v>3.1067999999999998E-2</v>
      </c>
    </row>
    <row r="2575" spans="3:63">
      <c r="C2575" s="624"/>
      <c r="D2575" s="355">
        <v>2.7640000000000001E-2</v>
      </c>
      <c r="AV2575" s="624"/>
      <c r="AX2575" s="624">
        <v>41864</v>
      </c>
      <c r="AY2575" s="355">
        <v>2.7779999999999999E-2</v>
      </c>
      <c r="AZ2575" s="624">
        <v>41928</v>
      </c>
      <c r="BA2575" s="355">
        <v>1.0699999999999999E-2</v>
      </c>
      <c r="BB2575" s="624">
        <v>41859</v>
      </c>
      <c r="BC2575" s="355">
        <v>0.31929999999999997</v>
      </c>
      <c r="BD2575" s="624">
        <v>41859</v>
      </c>
      <c r="BE2575" s="355">
        <v>9.6979999999999997E-2</v>
      </c>
      <c r="BF2575" s="624">
        <v>41996</v>
      </c>
      <c r="BG2575" s="355">
        <v>1.5762000000000002E-2</v>
      </c>
      <c r="BH2575" s="624">
        <v>41859</v>
      </c>
      <c r="BI2575" s="355">
        <v>8.4907999999999997E-2</v>
      </c>
      <c r="BJ2575" s="624">
        <v>41858</v>
      </c>
      <c r="BK2575" s="355">
        <v>3.1014E-2</v>
      </c>
    </row>
    <row r="2576" spans="3:63">
      <c r="C2576" s="624"/>
      <c r="D2576" s="355">
        <v>2.7779999999999999E-2</v>
      </c>
      <c r="AV2576" s="624"/>
      <c r="AX2576" s="624">
        <v>41865</v>
      </c>
      <c r="AY2576" s="355">
        <v>2.776E-2</v>
      </c>
      <c r="AZ2576" s="624">
        <v>41929</v>
      </c>
      <c r="BA2576" s="355">
        <v>1.0699999999999999E-2</v>
      </c>
      <c r="BB2576" s="624">
        <v>41862</v>
      </c>
      <c r="BC2576" s="355">
        <v>0.31900000000000001</v>
      </c>
      <c r="BD2576" s="624">
        <v>41862</v>
      </c>
      <c r="BE2576" s="355">
        <v>9.7040000000000001E-2</v>
      </c>
      <c r="BF2576" s="624">
        <v>41997</v>
      </c>
      <c r="BG2576" s="355">
        <v>1.5741999999999999E-2</v>
      </c>
      <c r="BH2576" s="624">
        <v>41862</v>
      </c>
      <c r="BI2576" s="355">
        <v>8.5726999999999998E-2</v>
      </c>
      <c r="BJ2576" s="624">
        <v>41859</v>
      </c>
      <c r="BK2576" s="355">
        <v>3.1137000000000001E-2</v>
      </c>
    </row>
    <row r="2577" spans="3:63">
      <c r="C2577" s="624"/>
      <c r="D2577" s="355">
        <v>2.776E-2</v>
      </c>
      <c r="AV2577" s="624"/>
      <c r="AX2577" s="624">
        <v>41866</v>
      </c>
      <c r="AY2577" s="355">
        <v>2.7689999999999999E-2</v>
      </c>
      <c r="AZ2577" s="624">
        <v>41932</v>
      </c>
      <c r="BA2577" s="355">
        <v>1.0699999999999999E-2</v>
      </c>
      <c r="BB2577" s="624">
        <v>41863</v>
      </c>
      <c r="BC2577" s="355">
        <v>0.31830000000000003</v>
      </c>
      <c r="BD2577" s="624">
        <v>41863</v>
      </c>
      <c r="BE2577" s="355">
        <v>9.733E-2</v>
      </c>
      <c r="BF2577" s="624">
        <v>41999</v>
      </c>
      <c r="BG2577" s="355">
        <v>1.5708E-2</v>
      </c>
      <c r="BH2577" s="624">
        <v>41863</v>
      </c>
      <c r="BI2577" s="355">
        <v>8.5561999999999999E-2</v>
      </c>
      <c r="BJ2577" s="624">
        <v>41862</v>
      </c>
      <c r="BK2577" s="355">
        <v>3.1171000000000001E-2</v>
      </c>
    </row>
    <row r="2578" spans="3:63">
      <c r="C2578" s="624"/>
      <c r="D2578" s="355">
        <v>2.7689999999999999E-2</v>
      </c>
      <c r="AV2578" s="624"/>
      <c r="AX2578" s="624">
        <v>41869</v>
      </c>
      <c r="AY2578" s="355">
        <v>2.7720000000000002E-2</v>
      </c>
      <c r="AZ2578" s="624">
        <v>41933</v>
      </c>
      <c r="BA2578" s="355">
        <v>1.0699999999999999E-2</v>
      </c>
      <c r="BB2578" s="624">
        <v>41864</v>
      </c>
      <c r="BC2578" s="355">
        <v>0.31909999999999999</v>
      </c>
      <c r="BD2578" s="624">
        <v>41864</v>
      </c>
      <c r="BE2578" s="355">
        <v>9.708E-2</v>
      </c>
      <c r="BF2578" s="624">
        <v>42002</v>
      </c>
      <c r="BG2578" s="355">
        <v>1.5706999999999999E-2</v>
      </c>
      <c r="BH2578" s="624">
        <v>41864</v>
      </c>
      <c r="BI2578" s="355">
        <v>8.5536000000000001E-2</v>
      </c>
      <c r="BJ2578" s="624">
        <v>41863</v>
      </c>
      <c r="BK2578" s="355">
        <v>3.1158000000000002E-2</v>
      </c>
    </row>
    <row r="2579" spans="3:63">
      <c r="C2579" s="624"/>
      <c r="D2579" s="355">
        <v>2.7720000000000002E-2</v>
      </c>
      <c r="AV2579" s="624"/>
      <c r="AX2579" s="624">
        <v>41870</v>
      </c>
      <c r="AY2579" s="355">
        <v>2.7650000000000001E-2</v>
      </c>
      <c r="AZ2579" s="624">
        <v>41934</v>
      </c>
      <c r="BA2579" s="355">
        <v>1.06E-2</v>
      </c>
      <c r="BB2579" s="624">
        <v>41865</v>
      </c>
      <c r="BC2579" s="355">
        <v>0.31979999999999997</v>
      </c>
      <c r="BD2579" s="624">
        <v>41865</v>
      </c>
      <c r="BE2579" s="355">
        <v>9.8000000000000004E-2</v>
      </c>
      <c r="BF2579" s="624">
        <v>42003</v>
      </c>
      <c r="BG2579" s="355">
        <v>1.5789000000000001E-2</v>
      </c>
      <c r="BH2579" s="624">
        <v>41865</v>
      </c>
      <c r="BI2579" s="355">
        <v>8.5635000000000003E-2</v>
      </c>
      <c r="BJ2579" s="624">
        <v>41864</v>
      </c>
      <c r="BK2579" s="355">
        <v>3.1304999999999999E-2</v>
      </c>
    </row>
    <row r="2580" spans="3:63">
      <c r="C2580" s="624"/>
      <c r="D2580" s="355">
        <v>2.7650000000000001E-2</v>
      </c>
      <c r="AV2580" s="624"/>
      <c r="AX2580" s="624">
        <v>41871</v>
      </c>
      <c r="AY2580" s="355">
        <v>2.7539999999999999E-2</v>
      </c>
      <c r="AZ2580" s="624">
        <v>41935</v>
      </c>
      <c r="BA2580" s="355">
        <v>1.06E-2</v>
      </c>
      <c r="BB2580" s="624">
        <v>41866</v>
      </c>
      <c r="BC2580" s="355">
        <v>0.31850000000000001</v>
      </c>
      <c r="BD2580" s="624">
        <v>41866</v>
      </c>
      <c r="BE2580" s="355">
        <v>9.826E-2</v>
      </c>
      <c r="BF2580" s="624">
        <v>42004</v>
      </c>
      <c r="BG2580" s="355">
        <v>1.5813000000000001E-2</v>
      </c>
      <c r="BH2580" s="624">
        <v>41866</v>
      </c>
      <c r="BI2580" s="355">
        <v>8.5664000000000004E-2</v>
      </c>
      <c r="BJ2580" s="624">
        <v>41865</v>
      </c>
      <c r="BK2580" s="355">
        <v>3.1401999999999999E-2</v>
      </c>
    </row>
    <row r="2581" spans="3:63">
      <c r="C2581" s="624"/>
      <c r="D2581" s="355">
        <v>2.7539999999999999E-2</v>
      </c>
      <c r="AV2581" s="624"/>
      <c r="AX2581" s="624">
        <v>41872</v>
      </c>
      <c r="AY2581" s="355">
        <v>2.777E-2</v>
      </c>
      <c r="AZ2581" s="624">
        <v>41936</v>
      </c>
      <c r="BA2581" s="355">
        <v>1.06E-2</v>
      </c>
      <c r="BB2581" s="624">
        <v>41869</v>
      </c>
      <c r="BC2581" s="355">
        <v>0.31950000000000001</v>
      </c>
      <c r="BD2581" s="624">
        <v>41869</v>
      </c>
      <c r="BE2581" s="355">
        <v>9.8299999999999998E-2</v>
      </c>
      <c r="BF2581" s="624">
        <v>42005</v>
      </c>
      <c r="BG2581" s="355">
        <v>1.583E-2</v>
      </c>
      <c r="BH2581" s="624">
        <v>41869</v>
      </c>
      <c r="BI2581" s="355">
        <v>8.5635000000000003E-2</v>
      </c>
      <c r="BJ2581" s="624">
        <v>41866</v>
      </c>
      <c r="BK2581" s="355">
        <v>3.1372999999999998E-2</v>
      </c>
    </row>
    <row r="2582" spans="3:63">
      <c r="C2582" s="624"/>
      <c r="D2582" s="355">
        <v>2.777E-2</v>
      </c>
      <c r="AV2582" s="624"/>
      <c r="AX2582" s="624">
        <v>41873</v>
      </c>
      <c r="AY2582" s="355">
        <v>2.767E-2</v>
      </c>
      <c r="AZ2582" s="624">
        <v>41939</v>
      </c>
      <c r="BA2582" s="355">
        <v>1.06E-2</v>
      </c>
      <c r="BB2582" s="624">
        <v>41870</v>
      </c>
      <c r="BC2582" s="355">
        <v>0.31840000000000002</v>
      </c>
      <c r="BD2582" s="624">
        <v>41870</v>
      </c>
      <c r="BE2582" s="355">
        <v>9.8030000000000006E-2</v>
      </c>
      <c r="BF2582" s="624">
        <v>42006</v>
      </c>
      <c r="BG2582" s="355">
        <v>1.5817000000000001E-2</v>
      </c>
      <c r="BH2582" s="624">
        <v>41870</v>
      </c>
      <c r="BI2582" s="355">
        <v>8.5624000000000006E-2</v>
      </c>
      <c r="BJ2582" s="624">
        <v>41869</v>
      </c>
      <c r="BK2582" s="355">
        <v>3.1411000000000001E-2</v>
      </c>
    </row>
    <row r="2583" spans="3:63">
      <c r="C2583" s="624"/>
      <c r="D2583" s="355">
        <v>2.767E-2</v>
      </c>
      <c r="AV2583" s="624"/>
      <c r="AX2583" s="624">
        <v>41876</v>
      </c>
      <c r="AY2583" s="355">
        <v>2.7660000000000001E-2</v>
      </c>
      <c r="AZ2583" s="624">
        <v>41940</v>
      </c>
      <c r="BA2583" s="355">
        <v>1.0699999999999999E-2</v>
      </c>
      <c r="BB2583" s="624">
        <v>41871</v>
      </c>
      <c r="BC2583" s="355">
        <v>0.3165</v>
      </c>
      <c r="BD2583" s="624">
        <v>41871</v>
      </c>
      <c r="BE2583" s="355">
        <v>9.7720000000000001E-2</v>
      </c>
      <c r="BF2583" s="624">
        <v>42009</v>
      </c>
      <c r="BG2583" s="355">
        <v>1.5755000000000002E-2</v>
      </c>
      <c r="BH2583" s="624">
        <v>41871</v>
      </c>
      <c r="BI2583" s="355">
        <v>8.5487999999999995E-2</v>
      </c>
      <c r="BJ2583" s="624">
        <v>41870</v>
      </c>
      <c r="BK2583" s="355">
        <v>3.1341000000000001E-2</v>
      </c>
    </row>
    <row r="2584" spans="3:63">
      <c r="C2584" s="624"/>
      <c r="D2584" s="355">
        <v>2.7660000000000001E-2</v>
      </c>
      <c r="AV2584" s="624"/>
      <c r="AX2584" s="624">
        <v>41877</v>
      </c>
      <c r="AY2584" s="355">
        <v>2.7660000000000001E-2</v>
      </c>
      <c r="AZ2584" s="624">
        <v>41941</v>
      </c>
      <c r="BA2584" s="355">
        <v>1.06E-2</v>
      </c>
      <c r="BB2584" s="624">
        <v>41872</v>
      </c>
      <c r="BC2584" s="355">
        <v>0.31719999999999998</v>
      </c>
      <c r="BD2584" s="624">
        <v>41872</v>
      </c>
      <c r="BE2584" s="355">
        <v>9.7680000000000003E-2</v>
      </c>
      <c r="BF2584" s="624">
        <v>42010</v>
      </c>
      <c r="BG2584" s="355">
        <v>1.5758999999999999E-2</v>
      </c>
      <c r="BH2584" s="624">
        <v>41872</v>
      </c>
      <c r="BI2584" s="355">
        <v>8.5525000000000004E-2</v>
      </c>
      <c r="BJ2584" s="624">
        <v>41871</v>
      </c>
      <c r="BK2584" s="355">
        <v>3.124E-2</v>
      </c>
    </row>
    <row r="2585" spans="3:63">
      <c r="C2585" s="624"/>
      <c r="D2585" s="355">
        <v>2.7660000000000001E-2</v>
      </c>
      <c r="AV2585" s="624"/>
      <c r="AX2585" s="624">
        <v>41878</v>
      </c>
      <c r="AY2585" s="355">
        <v>2.7640000000000001E-2</v>
      </c>
      <c r="AZ2585" s="624">
        <v>41942</v>
      </c>
      <c r="BA2585" s="355">
        <v>1.06E-2</v>
      </c>
      <c r="BB2585" s="624">
        <v>41873</v>
      </c>
      <c r="BC2585" s="355">
        <v>0.31590000000000001</v>
      </c>
      <c r="BD2585" s="624">
        <v>41873</v>
      </c>
      <c r="BE2585" s="355">
        <v>9.8199999999999996E-2</v>
      </c>
      <c r="BF2585" s="624">
        <v>42011</v>
      </c>
      <c r="BG2585" s="355">
        <v>1.5833E-2</v>
      </c>
      <c r="BH2585" s="624">
        <v>41873</v>
      </c>
      <c r="BI2585" s="355">
        <v>8.5605000000000001E-2</v>
      </c>
      <c r="BJ2585" s="624">
        <v>41872</v>
      </c>
      <c r="BK2585" s="355">
        <v>3.1269999999999999E-2</v>
      </c>
    </row>
    <row r="2586" spans="3:63">
      <c r="C2586" s="624"/>
      <c r="D2586" s="355">
        <v>2.7640000000000001E-2</v>
      </c>
      <c r="AV2586" s="624"/>
      <c r="AX2586" s="624">
        <v>41879</v>
      </c>
      <c r="AY2586" s="355">
        <v>2.7199999999999998E-2</v>
      </c>
      <c r="AZ2586" s="624">
        <v>41943</v>
      </c>
      <c r="BA2586" s="355">
        <v>1.0500000000000001E-2</v>
      </c>
      <c r="BB2586" s="624">
        <v>41876</v>
      </c>
      <c r="BC2586" s="355">
        <v>0.31519999999999998</v>
      </c>
      <c r="BD2586" s="624">
        <v>41876</v>
      </c>
      <c r="BE2586" s="355">
        <v>9.8030000000000006E-2</v>
      </c>
      <c r="BF2586" s="624">
        <v>42012</v>
      </c>
      <c r="BG2586" s="355">
        <v>1.6007E-2</v>
      </c>
      <c r="BH2586" s="624">
        <v>41876</v>
      </c>
      <c r="BI2586" s="355">
        <v>8.5349999999999995E-2</v>
      </c>
      <c r="BJ2586" s="624">
        <v>41873</v>
      </c>
      <c r="BK2586" s="355">
        <v>3.1310999999999999E-2</v>
      </c>
    </row>
    <row r="2587" spans="3:63">
      <c r="C2587" s="624"/>
      <c r="D2587" s="355">
        <v>2.7199999999999998E-2</v>
      </c>
      <c r="AV2587" s="624"/>
      <c r="AX2587" s="624">
        <v>41880</v>
      </c>
      <c r="AY2587" s="355">
        <v>2.699E-2</v>
      </c>
      <c r="AZ2587" s="624">
        <v>41946</v>
      </c>
      <c r="BA2587" s="355">
        <v>1.0500000000000001E-2</v>
      </c>
      <c r="BB2587" s="624">
        <v>41877</v>
      </c>
      <c r="BC2587" s="355">
        <v>0.3145</v>
      </c>
      <c r="BD2587" s="624">
        <v>41877</v>
      </c>
      <c r="BE2587" s="355">
        <v>9.8390000000000005E-2</v>
      </c>
      <c r="BF2587" s="624">
        <v>42013</v>
      </c>
      <c r="BG2587" s="355">
        <v>1.6108999999999998E-2</v>
      </c>
      <c r="BH2587" s="624">
        <v>41877</v>
      </c>
      <c r="BI2587" s="355">
        <v>8.5378999999999997E-2</v>
      </c>
      <c r="BJ2587" s="624">
        <v>41876</v>
      </c>
      <c r="BK2587" s="355">
        <v>3.1281000000000003E-2</v>
      </c>
    </row>
    <row r="2588" spans="3:63">
      <c r="C2588" s="624"/>
      <c r="D2588" s="355">
        <v>2.699E-2</v>
      </c>
      <c r="AV2588" s="624"/>
      <c r="AX2588" s="624">
        <v>41883</v>
      </c>
      <c r="AY2588" s="355">
        <v>2.6790000000000001E-2</v>
      </c>
      <c r="AZ2588" s="624">
        <v>41947</v>
      </c>
      <c r="BA2588" s="355">
        <v>1.0500000000000001E-2</v>
      </c>
      <c r="BB2588" s="624">
        <v>41878</v>
      </c>
      <c r="BC2588" s="355">
        <v>0.31409999999999999</v>
      </c>
      <c r="BD2588" s="624">
        <v>41878</v>
      </c>
      <c r="BE2588" s="355">
        <v>9.8580000000000001E-2</v>
      </c>
      <c r="BF2588" s="624">
        <v>42016</v>
      </c>
      <c r="BG2588" s="355">
        <v>1.6111E-2</v>
      </c>
      <c r="BH2588" s="624">
        <v>41878</v>
      </c>
      <c r="BI2588" s="355">
        <v>8.5615999999999998E-2</v>
      </c>
      <c r="BJ2588" s="624">
        <v>41877</v>
      </c>
      <c r="BK2588" s="355">
        <v>3.1320000000000001E-2</v>
      </c>
    </row>
    <row r="2589" spans="3:63">
      <c r="C2589" s="624"/>
      <c r="D2589" s="355">
        <v>2.6790000000000001E-2</v>
      </c>
      <c r="AV2589" s="624"/>
      <c r="AX2589" s="624">
        <v>41884</v>
      </c>
      <c r="AY2589" s="355">
        <v>2.6710000000000001E-2</v>
      </c>
      <c r="AZ2589" s="624">
        <v>41948</v>
      </c>
      <c r="BA2589" s="355">
        <v>1.0500000000000001E-2</v>
      </c>
      <c r="BB2589" s="624">
        <v>41879</v>
      </c>
      <c r="BC2589" s="355">
        <v>0.31219999999999998</v>
      </c>
      <c r="BD2589" s="624">
        <v>41879</v>
      </c>
      <c r="BE2589" s="355">
        <v>9.8449999999999996E-2</v>
      </c>
      <c r="BF2589" s="624">
        <v>42017</v>
      </c>
      <c r="BG2589" s="355">
        <v>1.6136000000000001E-2</v>
      </c>
      <c r="BH2589" s="624">
        <v>41879</v>
      </c>
      <c r="BI2589" s="355">
        <v>8.5487999999999995E-2</v>
      </c>
      <c r="BJ2589" s="624">
        <v>41878</v>
      </c>
      <c r="BK2589" s="355">
        <v>3.134E-2</v>
      </c>
    </row>
    <row r="2590" spans="3:63">
      <c r="C2590" s="624"/>
      <c r="D2590" s="355">
        <v>2.6710000000000001E-2</v>
      </c>
      <c r="AV2590" s="624"/>
      <c r="AX2590" s="624">
        <v>41885</v>
      </c>
      <c r="AY2590" s="355">
        <v>2.7140000000000001E-2</v>
      </c>
      <c r="AZ2590" s="624">
        <v>41949</v>
      </c>
      <c r="BA2590" s="355">
        <v>1.04E-2</v>
      </c>
      <c r="BB2590" s="624">
        <v>41880</v>
      </c>
      <c r="BC2590" s="355">
        <v>0.31180000000000002</v>
      </c>
      <c r="BD2590" s="624">
        <v>41880</v>
      </c>
      <c r="BE2590" s="355">
        <v>9.8570000000000005E-2</v>
      </c>
      <c r="BF2590" s="624">
        <v>42018</v>
      </c>
      <c r="BG2590" s="355">
        <v>1.6081999999999999E-2</v>
      </c>
      <c r="BH2590" s="624">
        <v>41880</v>
      </c>
      <c r="BI2590" s="355">
        <v>8.5436999999999999E-2</v>
      </c>
      <c r="BJ2590" s="624">
        <v>41879</v>
      </c>
      <c r="BK2590" s="355">
        <v>3.1302000000000003E-2</v>
      </c>
    </row>
    <row r="2591" spans="3:63">
      <c r="C2591" s="624"/>
      <c r="D2591" s="355">
        <v>2.7140000000000001E-2</v>
      </c>
      <c r="AV2591" s="624"/>
      <c r="AX2591" s="624">
        <v>41886</v>
      </c>
      <c r="AY2591" s="355">
        <v>2.7040000000000002E-2</v>
      </c>
      <c r="AZ2591" s="624">
        <v>41950</v>
      </c>
      <c r="BA2591" s="355">
        <v>1.04E-2</v>
      </c>
      <c r="BB2591" s="624">
        <v>41883</v>
      </c>
      <c r="BC2591" s="355">
        <v>0.31230000000000002</v>
      </c>
      <c r="BD2591" s="624">
        <v>41883</v>
      </c>
      <c r="BE2591" s="355">
        <v>9.8699999999999996E-2</v>
      </c>
      <c r="BF2591" s="624">
        <v>42019</v>
      </c>
      <c r="BG2591" s="355">
        <v>1.6149E-2</v>
      </c>
      <c r="BH2591" s="624">
        <v>41883</v>
      </c>
      <c r="BI2591" s="355">
        <v>8.5397000000000001E-2</v>
      </c>
      <c r="BJ2591" s="624">
        <v>41880</v>
      </c>
      <c r="BK2591" s="355">
        <v>3.1301000000000002E-2</v>
      </c>
    </row>
    <row r="2592" spans="3:63">
      <c r="C2592" s="624"/>
      <c r="D2592" s="355">
        <v>2.7040000000000002E-2</v>
      </c>
      <c r="AV2592" s="624"/>
      <c r="AX2592" s="624">
        <v>41887</v>
      </c>
      <c r="AY2592" s="355">
        <v>2.707E-2</v>
      </c>
      <c r="AZ2592" s="624">
        <v>41953</v>
      </c>
      <c r="BA2592" s="355">
        <v>1.03E-2</v>
      </c>
      <c r="BB2592" s="624">
        <v>41884</v>
      </c>
      <c r="BC2592" s="355">
        <v>0.31209999999999999</v>
      </c>
      <c r="BD2592" s="624">
        <v>41884</v>
      </c>
      <c r="BE2592" s="355">
        <v>9.8250000000000004E-2</v>
      </c>
      <c r="BF2592" s="624">
        <v>42020</v>
      </c>
      <c r="BG2592" s="355">
        <v>1.6227999999999999E-2</v>
      </c>
      <c r="BH2592" s="624">
        <v>41884</v>
      </c>
      <c r="BI2592" s="355">
        <v>8.5283999999999999E-2</v>
      </c>
      <c r="BJ2592" s="624">
        <v>41883</v>
      </c>
      <c r="BK2592" s="355">
        <v>3.1272000000000001E-2</v>
      </c>
    </row>
    <row r="2593" spans="3:63">
      <c r="C2593" s="624"/>
      <c r="D2593" s="355">
        <v>2.707E-2</v>
      </c>
      <c r="AV2593" s="624"/>
      <c r="AX2593" s="624">
        <v>41890</v>
      </c>
      <c r="AY2593" s="355">
        <v>2.7E-2</v>
      </c>
      <c r="AZ2593" s="624">
        <v>41954</v>
      </c>
      <c r="BA2593" s="355">
        <v>1.04E-2</v>
      </c>
      <c r="BB2593" s="624">
        <v>41885</v>
      </c>
      <c r="BC2593" s="355">
        <v>0.3135</v>
      </c>
      <c r="BD2593" s="624">
        <v>41885</v>
      </c>
      <c r="BE2593" s="355">
        <v>9.801E-2</v>
      </c>
      <c r="BF2593" s="624">
        <v>42023</v>
      </c>
      <c r="BG2593" s="355">
        <v>1.6212000000000001E-2</v>
      </c>
      <c r="BH2593" s="624">
        <v>41885</v>
      </c>
      <c r="BI2593" s="355">
        <v>8.4907999999999997E-2</v>
      </c>
      <c r="BJ2593" s="624">
        <v>41884</v>
      </c>
      <c r="BK2593" s="355">
        <v>3.1119000000000001E-2</v>
      </c>
    </row>
    <row r="2594" spans="3:63">
      <c r="C2594" s="624"/>
      <c r="D2594" s="355">
        <v>2.7E-2</v>
      </c>
      <c r="AV2594" s="624"/>
      <c r="AX2594" s="624">
        <v>41891</v>
      </c>
      <c r="AY2594" s="355">
        <v>2.6960000000000001E-2</v>
      </c>
      <c r="AZ2594" s="624">
        <v>41955</v>
      </c>
      <c r="BA2594" s="355">
        <v>1.03E-2</v>
      </c>
      <c r="BB2594" s="624">
        <v>41886</v>
      </c>
      <c r="BC2594" s="355">
        <v>0.30880000000000002</v>
      </c>
      <c r="BD2594" s="624">
        <v>41886</v>
      </c>
      <c r="BE2594" s="355">
        <v>9.7900000000000001E-2</v>
      </c>
      <c r="BF2594" s="624">
        <v>42024</v>
      </c>
      <c r="BG2594" s="355">
        <v>1.6199000000000002E-2</v>
      </c>
      <c r="BH2594" s="624">
        <v>41886</v>
      </c>
      <c r="BI2594" s="355">
        <v>8.5004999999999997E-2</v>
      </c>
      <c r="BJ2594" s="624">
        <v>41885</v>
      </c>
      <c r="BK2594" s="355">
        <v>3.1220999999999999E-2</v>
      </c>
    </row>
    <row r="2595" spans="3:63">
      <c r="C2595" s="624"/>
      <c r="D2595" s="355">
        <v>2.6960000000000001E-2</v>
      </c>
      <c r="AV2595" s="624"/>
      <c r="AX2595" s="624">
        <v>41892</v>
      </c>
      <c r="AY2595" s="355">
        <v>2.681E-2</v>
      </c>
      <c r="AZ2595" s="624">
        <v>41956</v>
      </c>
      <c r="BA2595" s="355">
        <v>1.04E-2</v>
      </c>
      <c r="BB2595" s="624">
        <v>41887</v>
      </c>
      <c r="BC2595" s="355">
        <v>0.31</v>
      </c>
      <c r="BD2595" s="624">
        <v>41887</v>
      </c>
      <c r="BE2595" s="355">
        <v>9.7619999999999998E-2</v>
      </c>
      <c r="BF2595" s="624">
        <v>42025</v>
      </c>
      <c r="BG2595" s="355">
        <v>1.6251000000000002E-2</v>
      </c>
      <c r="BH2595" s="624">
        <v>41887</v>
      </c>
      <c r="BI2595" s="355">
        <v>8.5081000000000004E-2</v>
      </c>
      <c r="BJ2595" s="624">
        <v>41886</v>
      </c>
      <c r="BK2595" s="355">
        <v>3.1171000000000001E-2</v>
      </c>
    </row>
    <row r="2596" spans="3:63">
      <c r="C2596" s="624"/>
      <c r="D2596" s="355">
        <v>2.681E-2</v>
      </c>
      <c r="AV2596" s="624"/>
      <c r="AX2596" s="624">
        <v>41893</v>
      </c>
      <c r="AY2596" s="355">
        <v>2.6630000000000001E-2</v>
      </c>
      <c r="AZ2596" s="624">
        <v>41957</v>
      </c>
      <c r="BA2596" s="355">
        <v>1.04E-2</v>
      </c>
      <c r="BB2596" s="624">
        <v>41890</v>
      </c>
      <c r="BC2596" s="355">
        <v>0.3085</v>
      </c>
      <c r="BD2596" s="624">
        <v>41890</v>
      </c>
      <c r="BE2596" s="355">
        <v>9.7059999999999994E-2</v>
      </c>
      <c r="BF2596" s="624">
        <v>42026</v>
      </c>
      <c r="BG2596" s="355">
        <v>1.6288E-2</v>
      </c>
      <c r="BH2596" s="624">
        <v>41890</v>
      </c>
      <c r="BI2596" s="355">
        <v>8.5288000000000003E-2</v>
      </c>
      <c r="BJ2596" s="624">
        <v>41887</v>
      </c>
      <c r="BK2596" s="355">
        <v>3.1260000000000003E-2</v>
      </c>
    </row>
    <row r="2597" spans="3:63">
      <c r="C2597" s="624"/>
      <c r="D2597" s="355">
        <v>2.6630000000000001E-2</v>
      </c>
      <c r="AV2597" s="624"/>
      <c r="AX2597" s="624">
        <v>41894</v>
      </c>
      <c r="AY2597" s="355">
        <v>2.647E-2</v>
      </c>
      <c r="AZ2597" s="624">
        <v>41960</v>
      </c>
      <c r="BA2597" s="355">
        <v>1.04E-2</v>
      </c>
      <c r="BB2597" s="624">
        <v>41891</v>
      </c>
      <c r="BC2597" s="355">
        <v>0.30780000000000002</v>
      </c>
      <c r="BD2597" s="624">
        <v>41891</v>
      </c>
      <c r="BE2597" s="355">
        <v>9.6600000000000005E-2</v>
      </c>
      <c r="BF2597" s="624">
        <v>42027</v>
      </c>
      <c r="BG2597" s="355">
        <v>1.6277E-2</v>
      </c>
      <c r="BH2597" s="624">
        <v>41891</v>
      </c>
      <c r="BI2597" s="355">
        <v>8.498E-2</v>
      </c>
      <c r="BJ2597" s="624">
        <v>41890</v>
      </c>
      <c r="BK2597" s="355">
        <v>3.1184E-2</v>
      </c>
    </row>
    <row r="2598" spans="3:63">
      <c r="C2598" s="624"/>
      <c r="D2598" s="355">
        <v>2.647E-2</v>
      </c>
      <c r="AV2598" s="624"/>
      <c r="AX2598" s="624">
        <v>41897</v>
      </c>
      <c r="AY2598" s="355">
        <v>2.6069999999999999E-2</v>
      </c>
      <c r="AZ2598" s="624">
        <v>41961</v>
      </c>
      <c r="BA2598" s="355">
        <v>1.04E-2</v>
      </c>
      <c r="BB2598" s="624">
        <v>41892</v>
      </c>
      <c r="BC2598" s="355">
        <v>0.30790000000000001</v>
      </c>
      <c r="BD2598" s="624">
        <v>41892</v>
      </c>
      <c r="BE2598" s="355">
        <v>9.6839999999999996E-2</v>
      </c>
      <c r="BF2598" s="624">
        <v>42030</v>
      </c>
      <c r="BG2598" s="355">
        <v>1.6279999999999999E-2</v>
      </c>
      <c r="BH2598" s="624">
        <v>41892</v>
      </c>
      <c r="BI2598" s="355">
        <v>8.4655999999999995E-2</v>
      </c>
      <c r="BJ2598" s="624">
        <v>41891</v>
      </c>
      <c r="BK2598" s="355">
        <v>3.1171999999999998E-2</v>
      </c>
    </row>
    <row r="2599" spans="3:63">
      <c r="C2599" s="624"/>
      <c r="D2599" s="355">
        <v>2.6069999999999999E-2</v>
      </c>
      <c r="AV2599" s="624"/>
      <c r="AX2599" s="624">
        <v>41898</v>
      </c>
      <c r="AY2599" s="355">
        <v>2.6100000000000002E-2</v>
      </c>
      <c r="AZ2599" s="624">
        <v>41962</v>
      </c>
      <c r="BA2599" s="355">
        <v>1.04E-2</v>
      </c>
      <c r="BB2599" s="624">
        <v>41893</v>
      </c>
      <c r="BC2599" s="355">
        <v>0.30790000000000001</v>
      </c>
      <c r="BD2599" s="624">
        <v>41893</v>
      </c>
      <c r="BE2599" s="355">
        <v>9.6449999999999994E-2</v>
      </c>
      <c r="BF2599" s="624">
        <v>42031</v>
      </c>
      <c r="BG2599" s="355">
        <v>1.6271999999999998E-2</v>
      </c>
      <c r="BH2599" s="624">
        <v>41893</v>
      </c>
      <c r="BI2599" s="355">
        <v>8.4533999999999998E-2</v>
      </c>
      <c r="BJ2599" s="624">
        <v>41892</v>
      </c>
      <c r="BK2599" s="355">
        <v>3.108E-2</v>
      </c>
    </row>
    <row r="2600" spans="3:63">
      <c r="C2600" s="624"/>
      <c r="D2600" s="355">
        <v>2.6100000000000002E-2</v>
      </c>
      <c r="AV2600" s="624"/>
      <c r="AX2600" s="624">
        <v>41899</v>
      </c>
      <c r="AY2600" s="355">
        <v>2.598E-2</v>
      </c>
      <c r="AZ2600" s="624">
        <v>41963</v>
      </c>
      <c r="BA2600" s="355">
        <v>1.0500000000000001E-2</v>
      </c>
      <c r="BB2600" s="624">
        <v>41894</v>
      </c>
      <c r="BC2600" s="355">
        <v>0.30830000000000002</v>
      </c>
      <c r="BD2600" s="624">
        <v>41894</v>
      </c>
      <c r="BE2600" s="355">
        <v>9.6589999999999995E-2</v>
      </c>
      <c r="BF2600" s="624">
        <v>42032</v>
      </c>
      <c r="BG2600" s="355">
        <v>1.6295E-2</v>
      </c>
      <c r="BH2600" s="624">
        <v>41894</v>
      </c>
      <c r="BI2600" s="355">
        <v>8.4610000000000005E-2</v>
      </c>
      <c r="BJ2600" s="624">
        <v>41893</v>
      </c>
      <c r="BK2600" s="355">
        <v>3.1060999999999998E-2</v>
      </c>
    </row>
    <row r="2601" spans="3:63">
      <c r="C2601" s="624"/>
      <c r="D2601" s="355">
        <v>2.598E-2</v>
      </c>
      <c r="AV2601" s="624"/>
      <c r="AX2601" s="624">
        <v>41900</v>
      </c>
      <c r="AY2601" s="355">
        <v>2.6020000000000001E-2</v>
      </c>
      <c r="AZ2601" s="624">
        <v>41964</v>
      </c>
      <c r="BA2601" s="355">
        <v>1.03E-2</v>
      </c>
      <c r="BB2601" s="624">
        <v>41897</v>
      </c>
      <c r="BC2601" s="355">
        <v>0.30840000000000001</v>
      </c>
      <c r="BD2601" s="624">
        <v>41897</v>
      </c>
      <c r="BE2601" s="355">
        <v>9.6299999999999997E-2</v>
      </c>
      <c r="BF2601" s="624">
        <v>42033</v>
      </c>
      <c r="BG2601" s="355">
        <v>1.6181000000000001E-2</v>
      </c>
      <c r="BH2601" s="624">
        <v>41897</v>
      </c>
      <c r="BI2601" s="355">
        <v>8.3839999999999998E-2</v>
      </c>
      <c r="BJ2601" s="624">
        <v>41894</v>
      </c>
      <c r="BK2601" s="355">
        <v>3.1008000000000001E-2</v>
      </c>
    </row>
    <row r="2602" spans="3:63">
      <c r="C2602" s="624"/>
      <c r="D2602" s="355">
        <v>2.6020000000000001E-2</v>
      </c>
      <c r="AV2602" s="624"/>
      <c r="AX2602" s="624">
        <v>41901</v>
      </c>
      <c r="AY2602" s="355">
        <v>2.6020000000000001E-2</v>
      </c>
      <c r="AZ2602" s="624">
        <v>41967</v>
      </c>
      <c r="BA2602" s="355">
        <v>1.03E-2</v>
      </c>
      <c r="BB2602" s="624">
        <v>41898</v>
      </c>
      <c r="BC2602" s="355">
        <v>0.3095</v>
      </c>
      <c r="BD2602" s="624">
        <v>41898</v>
      </c>
      <c r="BE2602" s="355">
        <v>9.6850000000000006E-2</v>
      </c>
      <c r="BF2602" s="624">
        <v>42034</v>
      </c>
      <c r="BG2602" s="355">
        <v>1.6095999999999999E-2</v>
      </c>
      <c r="BH2602" s="624">
        <v>41898</v>
      </c>
      <c r="BI2602" s="355">
        <v>8.3671999999999996E-2</v>
      </c>
      <c r="BJ2602" s="624">
        <v>41897</v>
      </c>
      <c r="BK2602" s="355">
        <v>3.0977999999999999E-2</v>
      </c>
    </row>
    <row r="2603" spans="3:63">
      <c r="C2603" s="624"/>
      <c r="D2603" s="355">
        <v>2.6020000000000001E-2</v>
      </c>
      <c r="AV2603" s="624"/>
      <c r="AX2603" s="624">
        <v>41904</v>
      </c>
      <c r="AY2603" s="355">
        <v>2.5819999999999999E-2</v>
      </c>
      <c r="AZ2603" s="624">
        <v>41968</v>
      </c>
      <c r="BA2603" s="355">
        <v>1.04E-2</v>
      </c>
      <c r="BB2603" s="624">
        <v>41899</v>
      </c>
      <c r="BC2603" s="355">
        <v>0.30719999999999997</v>
      </c>
      <c r="BD2603" s="624">
        <v>41899</v>
      </c>
      <c r="BE2603" s="355">
        <v>9.597E-2</v>
      </c>
      <c r="BF2603" s="624">
        <v>42037</v>
      </c>
      <c r="BG2603" s="355">
        <v>1.6208E-2</v>
      </c>
      <c r="BH2603" s="624">
        <v>41899</v>
      </c>
      <c r="BI2603" s="355">
        <v>8.3682000000000006E-2</v>
      </c>
      <c r="BJ2603" s="624">
        <v>41898</v>
      </c>
      <c r="BK2603" s="355">
        <v>3.1049E-2</v>
      </c>
    </row>
    <row r="2604" spans="3:63">
      <c r="C2604" s="624"/>
      <c r="D2604" s="355">
        <v>2.5819999999999999E-2</v>
      </c>
      <c r="AV2604" s="624"/>
      <c r="AX2604" s="624">
        <v>41905</v>
      </c>
      <c r="AY2604" s="355">
        <v>2.5909999999999999E-2</v>
      </c>
      <c r="AZ2604" s="624">
        <v>41969</v>
      </c>
      <c r="BA2604" s="355">
        <v>1.04E-2</v>
      </c>
      <c r="BB2604" s="624">
        <v>41900</v>
      </c>
      <c r="BC2604" s="355">
        <v>0.30759999999999998</v>
      </c>
      <c r="BD2604" s="624">
        <v>41900</v>
      </c>
      <c r="BE2604" s="355">
        <v>9.5750000000000002E-2</v>
      </c>
      <c r="BF2604" s="624">
        <v>42038</v>
      </c>
      <c r="BG2604" s="355">
        <v>1.6232E-2</v>
      </c>
      <c r="BH2604" s="624">
        <v>41900</v>
      </c>
      <c r="BI2604" s="355">
        <v>8.3455000000000001E-2</v>
      </c>
      <c r="BJ2604" s="624">
        <v>41899</v>
      </c>
      <c r="BK2604" s="355">
        <v>3.0956999999999998E-2</v>
      </c>
    </row>
    <row r="2605" spans="3:63">
      <c r="C2605" s="624"/>
      <c r="D2605" s="355">
        <v>2.5909999999999999E-2</v>
      </c>
      <c r="AV2605" s="624"/>
      <c r="AX2605" s="624">
        <v>41906</v>
      </c>
      <c r="AY2605" s="355">
        <v>2.6179999999999998E-2</v>
      </c>
      <c r="AZ2605" s="624">
        <v>41970</v>
      </c>
      <c r="BA2605" s="355">
        <v>1.03E-2</v>
      </c>
      <c r="BB2605" s="624">
        <v>41901</v>
      </c>
      <c r="BC2605" s="355">
        <v>0.30659999999999998</v>
      </c>
      <c r="BD2605" s="624">
        <v>41901</v>
      </c>
      <c r="BE2605" s="355">
        <v>9.5769999999999994E-2</v>
      </c>
      <c r="BF2605" s="624">
        <v>42039</v>
      </c>
      <c r="BG2605" s="355">
        <v>1.6173E-2</v>
      </c>
      <c r="BH2605" s="624">
        <v>41901</v>
      </c>
      <c r="BI2605" s="355">
        <v>8.3553000000000002E-2</v>
      </c>
      <c r="BJ2605" s="624">
        <v>41900</v>
      </c>
      <c r="BK2605" s="355">
        <v>3.1005999999999999E-2</v>
      </c>
    </row>
    <row r="2606" spans="3:63">
      <c r="C2606" s="624"/>
      <c r="D2606" s="355">
        <v>2.6179999999999998E-2</v>
      </c>
      <c r="AV2606" s="624"/>
      <c r="AX2606" s="624">
        <v>41907</v>
      </c>
      <c r="AY2606" s="355">
        <v>2.5989999999999999E-2</v>
      </c>
      <c r="AZ2606" s="624">
        <v>41971</v>
      </c>
      <c r="BA2606" s="355">
        <v>1.03E-2</v>
      </c>
      <c r="BB2606" s="624">
        <v>41904</v>
      </c>
      <c r="BC2606" s="355">
        <v>0.30719999999999997</v>
      </c>
      <c r="BD2606" s="624">
        <v>41904</v>
      </c>
      <c r="BE2606" s="355">
        <v>9.6060000000000006E-2</v>
      </c>
      <c r="BF2606" s="624">
        <v>42040</v>
      </c>
      <c r="BG2606" s="355">
        <v>1.6201E-2</v>
      </c>
      <c r="BH2606" s="624">
        <v>41904</v>
      </c>
      <c r="BI2606" s="355">
        <v>8.3517999999999995E-2</v>
      </c>
      <c r="BJ2606" s="624">
        <v>41901</v>
      </c>
      <c r="BK2606" s="355">
        <v>3.1057999999999999E-2</v>
      </c>
    </row>
    <row r="2607" spans="3:63">
      <c r="C2607" s="624"/>
      <c r="D2607" s="355">
        <v>2.5989999999999999E-2</v>
      </c>
      <c r="AV2607" s="624"/>
      <c r="AX2607" s="624">
        <v>41908</v>
      </c>
      <c r="AY2607" s="355">
        <v>2.554E-2</v>
      </c>
      <c r="AZ2607" s="624">
        <v>41974</v>
      </c>
      <c r="BA2607" s="355">
        <v>1.03E-2</v>
      </c>
      <c r="BB2607" s="624">
        <v>41905</v>
      </c>
      <c r="BC2607" s="355">
        <v>0.30780000000000002</v>
      </c>
      <c r="BD2607" s="624">
        <v>41905</v>
      </c>
      <c r="BE2607" s="355">
        <v>9.6140000000000003E-2</v>
      </c>
      <c r="BF2607" s="624">
        <v>42041</v>
      </c>
      <c r="BG2607" s="355">
        <v>1.6129000000000001E-2</v>
      </c>
      <c r="BH2607" s="624">
        <v>41905</v>
      </c>
      <c r="BI2607" s="355">
        <v>8.3551E-2</v>
      </c>
      <c r="BJ2607" s="624">
        <v>41904</v>
      </c>
      <c r="BK2607" s="355">
        <v>3.0998000000000001E-2</v>
      </c>
    </row>
    <row r="2608" spans="3:63">
      <c r="C2608" s="624"/>
      <c r="D2608" s="355">
        <v>2.554E-2</v>
      </c>
      <c r="AV2608" s="624"/>
      <c r="AX2608" s="624">
        <v>41911</v>
      </c>
      <c r="AY2608" s="355">
        <v>2.5340000000000001E-2</v>
      </c>
      <c r="AZ2608" s="624">
        <v>41975</v>
      </c>
      <c r="BA2608" s="355">
        <v>1.03E-2</v>
      </c>
      <c r="BB2608" s="624">
        <v>41906</v>
      </c>
      <c r="BC2608" s="355">
        <v>0.30620000000000003</v>
      </c>
      <c r="BD2608" s="624">
        <v>41906</v>
      </c>
      <c r="BE2608" s="355">
        <v>9.6170000000000005E-2</v>
      </c>
      <c r="BF2608" s="624">
        <v>42044</v>
      </c>
      <c r="BG2608" s="355">
        <v>1.6093E-2</v>
      </c>
      <c r="BH2608" s="624">
        <v>41906</v>
      </c>
      <c r="BI2608" s="355">
        <v>8.3755999999999997E-2</v>
      </c>
      <c r="BJ2608" s="624">
        <v>41905</v>
      </c>
      <c r="BK2608" s="355">
        <v>3.1008000000000001E-2</v>
      </c>
    </row>
    <row r="2609" spans="3:63">
      <c r="C2609" s="624"/>
      <c r="D2609" s="355">
        <v>2.5340000000000001E-2</v>
      </c>
      <c r="AV2609" s="624"/>
      <c r="AX2609" s="624">
        <v>41912</v>
      </c>
      <c r="AY2609" s="355">
        <v>2.5260000000000001E-2</v>
      </c>
      <c r="AZ2609" s="624">
        <v>41976</v>
      </c>
      <c r="BA2609" s="355">
        <v>1.0200000000000001E-2</v>
      </c>
      <c r="BB2609" s="624">
        <v>41907</v>
      </c>
      <c r="BC2609" s="355">
        <v>0.3049</v>
      </c>
      <c r="BD2609" s="624">
        <v>41907</v>
      </c>
      <c r="BE2609" s="355">
        <v>9.5810000000000006E-2</v>
      </c>
      <c r="BF2609" s="624">
        <v>42045</v>
      </c>
      <c r="BG2609" s="355">
        <v>1.6043999999999999E-2</v>
      </c>
      <c r="BH2609" s="624">
        <v>41907</v>
      </c>
      <c r="BI2609" s="355">
        <v>8.3228999999999997E-2</v>
      </c>
      <c r="BJ2609" s="624">
        <v>41906</v>
      </c>
      <c r="BK2609" s="355">
        <v>3.1033999999999999E-2</v>
      </c>
    </row>
    <row r="2610" spans="3:63">
      <c r="C2610" s="624"/>
      <c r="D2610" s="355">
        <v>2.5260000000000001E-2</v>
      </c>
      <c r="AV2610" s="624"/>
      <c r="AX2610" s="624">
        <v>41913</v>
      </c>
      <c r="AY2610" s="355">
        <v>2.52E-2</v>
      </c>
      <c r="AZ2610" s="624">
        <v>41977</v>
      </c>
      <c r="BA2610" s="355">
        <v>1.0200000000000001E-2</v>
      </c>
      <c r="BB2610" s="624">
        <v>41908</v>
      </c>
      <c r="BC2610" s="355">
        <v>0.30320000000000003</v>
      </c>
      <c r="BD2610" s="624">
        <v>41908</v>
      </c>
      <c r="BE2610" s="355">
        <v>9.5310000000000006E-2</v>
      </c>
      <c r="BF2610" s="624">
        <v>42046</v>
      </c>
      <c r="BG2610" s="355">
        <v>1.6029999999999999E-2</v>
      </c>
      <c r="BH2610" s="624">
        <v>41908</v>
      </c>
      <c r="BI2610" s="355">
        <v>8.2558999999999994E-2</v>
      </c>
      <c r="BJ2610" s="624">
        <v>41907</v>
      </c>
      <c r="BK2610" s="355">
        <v>3.0973000000000001E-2</v>
      </c>
    </row>
    <row r="2611" spans="3:63">
      <c r="C2611" s="624"/>
      <c r="D2611" s="355">
        <v>2.52E-2</v>
      </c>
      <c r="AV2611" s="624"/>
      <c r="AX2611" s="624">
        <v>41914</v>
      </c>
      <c r="AY2611" s="355">
        <v>2.528E-2</v>
      </c>
      <c r="AZ2611" s="624">
        <v>41978</v>
      </c>
      <c r="BA2611" s="355">
        <v>1.01E-2</v>
      </c>
      <c r="BB2611" s="624">
        <v>41911</v>
      </c>
      <c r="BC2611" s="355">
        <v>0.30330000000000001</v>
      </c>
      <c r="BD2611" s="624">
        <v>41911</v>
      </c>
      <c r="BE2611" s="355">
        <v>9.468E-2</v>
      </c>
      <c r="BF2611" s="624">
        <v>42047</v>
      </c>
      <c r="BG2611" s="355">
        <v>1.609E-2</v>
      </c>
      <c r="BH2611" s="624">
        <v>41911</v>
      </c>
      <c r="BI2611" s="355">
        <v>8.2405999999999993E-2</v>
      </c>
      <c r="BJ2611" s="624">
        <v>41908</v>
      </c>
      <c r="BK2611" s="355">
        <v>3.0931E-2</v>
      </c>
    </row>
    <row r="2612" spans="3:63">
      <c r="C2612" s="624"/>
      <c r="D2612" s="355">
        <v>2.528E-2</v>
      </c>
      <c r="AV2612" s="624"/>
      <c r="AX2612" s="624">
        <v>41915</v>
      </c>
      <c r="AY2612" s="355">
        <v>2.4920000000000001E-2</v>
      </c>
      <c r="AZ2612" s="624">
        <v>41981</v>
      </c>
      <c r="BA2612" s="355">
        <v>1.01E-2</v>
      </c>
      <c r="BB2612" s="624">
        <v>41912</v>
      </c>
      <c r="BC2612" s="355">
        <v>0.30199999999999999</v>
      </c>
      <c r="BD2612" s="624">
        <v>41912</v>
      </c>
      <c r="BE2612" s="355">
        <v>9.4469999999999998E-2</v>
      </c>
      <c r="BF2612" s="624">
        <v>42048</v>
      </c>
      <c r="BG2612" s="355">
        <v>1.6107E-2</v>
      </c>
      <c r="BH2612" s="624">
        <v>41912</v>
      </c>
      <c r="BI2612" s="355">
        <v>8.2020999999999997E-2</v>
      </c>
      <c r="BJ2612" s="624">
        <v>41911</v>
      </c>
      <c r="BK2612" s="355">
        <v>3.0863999999999999E-2</v>
      </c>
    </row>
    <row r="2613" spans="3:63">
      <c r="C2613" s="624"/>
      <c r="D2613" s="355">
        <v>2.4920000000000001E-2</v>
      </c>
      <c r="AV2613" s="624"/>
      <c r="AX2613" s="624">
        <v>41918</v>
      </c>
      <c r="AY2613" s="355">
        <v>2.5180000000000001E-2</v>
      </c>
      <c r="AZ2613" s="624">
        <v>41982</v>
      </c>
      <c r="BA2613" s="355">
        <v>1.0200000000000001E-2</v>
      </c>
      <c r="BB2613" s="624">
        <v>41913</v>
      </c>
      <c r="BC2613" s="355">
        <v>0.3024</v>
      </c>
      <c r="BD2613" s="624">
        <v>41913</v>
      </c>
      <c r="BE2613" s="355">
        <v>9.4149999999999998E-2</v>
      </c>
      <c r="BF2613" s="624">
        <v>42051</v>
      </c>
      <c r="BG2613" s="355">
        <v>1.6079E-2</v>
      </c>
      <c r="BH2613" s="624">
        <v>41913</v>
      </c>
      <c r="BI2613" s="355">
        <v>8.2185999999999995E-2</v>
      </c>
      <c r="BJ2613" s="624">
        <v>41912</v>
      </c>
      <c r="BK2613" s="355">
        <v>3.0838999999999998E-2</v>
      </c>
    </row>
    <row r="2614" spans="3:63">
      <c r="C2614" s="624"/>
      <c r="D2614" s="355">
        <v>2.5180000000000001E-2</v>
      </c>
      <c r="AV2614" s="624"/>
      <c r="AX2614" s="624">
        <v>41919</v>
      </c>
      <c r="AY2614" s="355">
        <v>2.5049999999999999E-2</v>
      </c>
      <c r="AZ2614" s="624">
        <v>41983</v>
      </c>
      <c r="BA2614" s="355">
        <v>1.0200000000000001E-2</v>
      </c>
      <c r="BB2614" s="624">
        <v>41914</v>
      </c>
      <c r="BC2614" s="355">
        <v>0.30359999999999998</v>
      </c>
      <c r="BD2614" s="624">
        <v>41914</v>
      </c>
      <c r="BE2614" s="355">
        <v>9.4350000000000003E-2</v>
      </c>
      <c r="BF2614" s="624">
        <v>42052</v>
      </c>
      <c r="BG2614" s="355">
        <v>1.6084999999999999E-2</v>
      </c>
      <c r="BH2614" s="624">
        <v>41914</v>
      </c>
      <c r="BI2614" s="355">
        <v>8.2439999999999999E-2</v>
      </c>
      <c r="BJ2614" s="624">
        <v>41913</v>
      </c>
      <c r="BK2614" s="355">
        <v>3.0842000000000001E-2</v>
      </c>
    </row>
    <row r="2615" spans="3:63">
      <c r="C2615" s="624"/>
      <c r="D2615" s="355">
        <v>2.5049999999999999E-2</v>
      </c>
      <c r="AV2615" s="624"/>
      <c r="AX2615" s="624">
        <v>41920</v>
      </c>
      <c r="AY2615" s="355">
        <v>2.5020000000000001E-2</v>
      </c>
      <c r="AZ2615" s="624">
        <v>41984</v>
      </c>
      <c r="BA2615" s="355">
        <v>1.0200000000000001E-2</v>
      </c>
      <c r="BB2615" s="624">
        <v>41915</v>
      </c>
      <c r="BC2615" s="355">
        <v>0.29859999999999998</v>
      </c>
      <c r="BD2615" s="624">
        <v>41915</v>
      </c>
      <c r="BE2615" s="355">
        <v>9.3729999999999994E-2</v>
      </c>
      <c r="BF2615" s="624">
        <v>42053</v>
      </c>
      <c r="BG2615" s="355">
        <v>1.6074000000000001E-2</v>
      </c>
      <c r="BH2615" s="624">
        <v>41915</v>
      </c>
      <c r="BI2615" s="355">
        <v>8.2101999999999994E-2</v>
      </c>
      <c r="BJ2615" s="624">
        <v>41914</v>
      </c>
      <c r="BK2615" s="355">
        <v>3.0814000000000001E-2</v>
      </c>
    </row>
    <row r="2616" spans="3:63">
      <c r="C2616" s="624"/>
      <c r="D2616" s="355">
        <v>2.5020000000000001E-2</v>
      </c>
      <c r="AV2616" s="624"/>
      <c r="AX2616" s="624">
        <v>41921</v>
      </c>
      <c r="AY2616" s="355">
        <v>2.4930000000000001E-2</v>
      </c>
      <c r="AZ2616" s="624">
        <v>41985</v>
      </c>
      <c r="BA2616" s="355">
        <v>1.0200000000000001E-2</v>
      </c>
      <c r="BB2616" s="624">
        <v>41918</v>
      </c>
      <c r="BC2616" s="355">
        <v>0.30280000000000001</v>
      </c>
      <c r="BD2616" s="624">
        <v>41918</v>
      </c>
      <c r="BE2616" s="355">
        <v>9.393E-2</v>
      </c>
      <c r="BF2616" s="624">
        <v>42054</v>
      </c>
      <c r="BG2616" s="355">
        <v>1.6093E-2</v>
      </c>
      <c r="BH2616" s="624">
        <v>41918</v>
      </c>
      <c r="BI2616" s="355">
        <v>8.2202999999999998E-2</v>
      </c>
      <c r="BJ2616" s="624">
        <v>41915</v>
      </c>
      <c r="BK2616" s="355">
        <v>3.0637000000000001E-2</v>
      </c>
    </row>
    <row r="2617" spans="3:63">
      <c r="C2617" s="624"/>
      <c r="D2617" s="355">
        <v>2.4930000000000001E-2</v>
      </c>
      <c r="AV2617" s="624"/>
      <c r="AX2617" s="624">
        <v>41922</v>
      </c>
      <c r="AY2617" s="355">
        <v>2.479E-2</v>
      </c>
      <c r="AZ2617" s="624">
        <v>41988</v>
      </c>
      <c r="BA2617" s="355">
        <v>1.0200000000000001E-2</v>
      </c>
      <c r="BB2617" s="624">
        <v>41919</v>
      </c>
      <c r="BC2617" s="355">
        <v>0.30280000000000001</v>
      </c>
      <c r="BD2617" s="624">
        <v>41919</v>
      </c>
      <c r="BE2617" s="355">
        <v>9.375E-2</v>
      </c>
      <c r="BF2617" s="624">
        <v>42055</v>
      </c>
      <c r="BG2617" s="355">
        <v>1.6060000000000001E-2</v>
      </c>
      <c r="BH2617" s="624">
        <v>41919</v>
      </c>
      <c r="BI2617" s="355">
        <v>8.1997E-2</v>
      </c>
      <c r="BJ2617" s="624">
        <v>41918</v>
      </c>
      <c r="BK2617" s="355">
        <v>3.0693999999999999E-2</v>
      </c>
    </row>
    <row r="2618" spans="3:63">
      <c r="C2618" s="624"/>
      <c r="D2618" s="355">
        <v>2.479E-2</v>
      </c>
      <c r="AV2618" s="624"/>
      <c r="AX2618" s="624">
        <v>41925</v>
      </c>
      <c r="AY2618" s="355">
        <v>2.469E-2</v>
      </c>
      <c r="AZ2618" s="624">
        <v>41989</v>
      </c>
      <c r="BA2618" s="355">
        <v>1.0200000000000001E-2</v>
      </c>
      <c r="BB2618" s="624">
        <v>41920</v>
      </c>
      <c r="BC2618" s="355">
        <v>0.3049</v>
      </c>
      <c r="BD2618" s="624">
        <v>41920</v>
      </c>
      <c r="BE2618" s="355">
        <v>9.3560000000000004E-2</v>
      </c>
      <c r="BF2618" s="624">
        <v>42058</v>
      </c>
      <c r="BG2618" s="355">
        <v>1.6087000000000001E-2</v>
      </c>
      <c r="BH2618" s="624">
        <v>41920</v>
      </c>
      <c r="BI2618" s="355">
        <v>8.1958000000000003E-2</v>
      </c>
      <c r="BJ2618" s="624">
        <v>41919</v>
      </c>
      <c r="BK2618" s="355">
        <v>3.0689000000000001E-2</v>
      </c>
    </row>
    <row r="2619" spans="3:63">
      <c r="C2619" s="624"/>
      <c r="D2619" s="355">
        <v>2.469E-2</v>
      </c>
      <c r="AV2619" s="624"/>
      <c r="AX2619" s="624">
        <v>41926</v>
      </c>
      <c r="AY2619" s="355">
        <v>2.444E-2</v>
      </c>
      <c r="AZ2619" s="624">
        <v>41990</v>
      </c>
      <c r="BA2619" s="355">
        <v>1.01E-2</v>
      </c>
      <c r="BB2619" s="624">
        <v>41921</v>
      </c>
      <c r="BC2619" s="355">
        <v>0.3034</v>
      </c>
      <c r="BD2619" s="624">
        <v>41921</v>
      </c>
      <c r="BE2619" s="355">
        <v>9.3539999999999998E-2</v>
      </c>
      <c r="BF2619" s="624">
        <v>42059</v>
      </c>
      <c r="BG2619" s="355">
        <v>1.6152E-2</v>
      </c>
      <c r="BH2619" s="624">
        <v>41921</v>
      </c>
      <c r="BI2619" s="355">
        <v>8.2136000000000001E-2</v>
      </c>
      <c r="BJ2619" s="624">
        <v>41920</v>
      </c>
      <c r="BK2619" s="355">
        <v>3.0731999999999999E-2</v>
      </c>
    </row>
    <row r="2620" spans="3:63">
      <c r="C2620" s="624"/>
      <c r="D2620" s="355">
        <v>2.444E-2</v>
      </c>
      <c r="AV2620" s="624"/>
      <c r="AX2620" s="624">
        <v>41927</v>
      </c>
      <c r="AY2620" s="355">
        <v>2.4760000000000001E-2</v>
      </c>
      <c r="AZ2620" s="624">
        <v>41991</v>
      </c>
      <c r="BA2620" s="355">
        <v>0.01</v>
      </c>
      <c r="BB2620" s="624">
        <v>41922</v>
      </c>
      <c r="BC2620" s="355">
        <v>0.30170000000000002</v>
      </c>
      <c r="BD2620" s="624">
        <v>41922</v>
      </c>
      <c r="BE2620" s="355">
        <v>9.3149999999999997E-2</v>
      </c>
      <c r="BF2620" s="624">
        <v>42060</v>
      </c>
      <c r="BG2620" s="355">
        <v>1.6164999999999999E-2</v>
      </c>
      <c r="BH2620" s="624">
        <v>41922</v>
      </c>
      <c r="BI2620" s="355">
        <v>8.1833000000000003E-2</v>
      </c>
      <c r="BJ2620" s="624">
        <v>41921</v>
      </c>
      <c r="BK2620" s="355">
        <v>3.0839999999999999E-2</v>
      </c>
    </row>
    <row r="2621" spans="3:63">
      <c r="C2621" s="624"/>
      <c r="D2621" s="355">
        <v>2.4760000000000001E-2</v>
      </c>
      <c r="AV2621" s="624"/>
      <c r="AX2621" s="624">
        <v>41928</v>
      </c>
      <c r="AY2621" s="355">
        <v>2.4479999999999998E-2</v>
      </c>
      <c r="AZ2621" s="624">
        <v>41992</v>
      </c>
      <c r="BA2621" s="355">
        <v>0.01</v>
      </c>
      <c r="BB2621" s="624">
        <v>41925</v>
      </c>
      <c r="BC2621" s="355">
        <v>0.30420000000000003</v>
      </c>
      <c r="BD2621" s="624">
        <v>41925</v>
      </c>
      <c r="BE2621" s="355">
        <v>9.3710000000000002E-2</v>
      </c>
      <c r="BF2621" s="624">
        <v>42061</v>
      </c>
      <c r="BG2621" s="355">
        <v>1.6197E-2</v>
      </c>
      <c r="BH2621" s="624">
        <v>41925</v>
      </c>
      <c r="BI2621" s="355">
        <v>8.1900000000000001E-2</v>
      </c>
      <c r="BJ2621" s="624">
        <v>41922</v>
      </c>
      <c r="BK2621" s="355">
        <v>3.0800000000000001E-2</v>
      </c>
    </row>
    <row r="2622" spans="3:63">
      <c r="C2622" s="624"/>
      <c r="D2622" s="355">
        <v>2.4479999999999998E-2</v>
      </c>
      <c r="AV2622" s="624"/>
      <c r="AX2622" s="624">
        <v>41929</v>
      </c>
      <c r="AY2622" s="355">
        <v>2.4549999999999999E-2</v>
      </c>
      <c r="AZ2622" s="624">
        <v>41995</v>
      </c>
      <c r="BA2622" s="355">
        <v>1.01E-2</v>
      </c>
      <c r="BB2622" s="624">
        <v>41926</v>
      </c>
      <c r="BC2622" s="355">
        <v>0.30109999999999998</v>
      </c>
      <c r="BD2622" s="624">
        <v>41926</v>
      </c>
      <c r="BE2622" s="355">
        <v>9.3840000000000007E-2</v>
      </c>
      <c r="BF2622" s="624">
        <v>42062</v>
      </c>
      <c r="BG2622" s="355">
        <v>1.6234999999999999E-2</v>
      </c>
      <c r="BH2622" s="624">
        <v>41926</v>
      </c>
      <c r="BI2622" s="355">
        <v>8.1934000000000007E-2</v>
      </c>
      <c r="BJ2622" s="624">
        <v>41925</v>
      </c>
      <c r="BK2622" s="355">
        <v>3.0863999999999999E-2</v>
      </c>
    </row>
    <row r="2623" spans="3:63">
      <c r="C2623" s="624"/>
      <c r="D2623" s="355">
        <v>2.4549999999999999E-2</v>
      </c>
      <c r="AV2623" s="624"/>
      <c r="AX2623" s="624">
        <v>41932</v>
      </c>
      <c r="AY2623" s="355">
        <v>2.4369999999999999E-2</v>
      </c>
      <c r="AZ2623" s="624">
        <v>41996</v>
      </c>
      <c r="BA2623" s="355">
        <v>0.01</v>
      </c>
      <c r="BB2623" s="624">
        <v>41927</v>
      </c>
      <c r="BC2623" s="355">
        <v>0.30409999999999998</v>
      </c>
      <c r="BD2623" s="624">
        <v>41927</v>
      </c>
      <c r="BE2623" s="355">
        <v>9.425E-2</v>
      </c>
      <c r="BF2623" s="624">
        <v>42065</v>
      </c>
      <c r="BG2623" s="355">
        <v>1.6164999999999999E-2</v>
      </c>
      <c r="BH2623" s="624">
        <v>41927</v>
      </c>
      <c r="BI2623" s="355">
        <v>8.1766000000000005E-2</v>
      </c>
      <c r="BJ2623" s="624">
        <v>41926</v>
      </c>
      <c r="BK2623" s="355">
        <v>3.0773999999999999E-2</v>
      </c>
    </row>
    <row r="2624" spans="3:63">
      <c r="C2624" s="624"/>
      <c r="D2624" s="355">
        <v>2.4369999999999999E-2</v>
      </c>
      <c r="AV2624" s="624"/>
      <c r="AX2624" s="624">
        <v>41933</v>
      </c>
      <c r="AY2624" s="355">
        <v>2.4420000000000001E-2</v>
      </c>
      <c r="AZ2624" s="624">
        <v>41997</v>
      </c>
      <c r="BA2624" s="355">
        <v>0.01</v>
      </c>
      <c r="BB2624" s="624">
        <v>41928</v>
      </c>
      <c r="BC2624" s="355">
        <v>0.30280000000000001</v>
      </c>
      <c r="BD2624" s="624">
        <v>41928</v>
      </c>
      <c r="BE2624" s="355">
        <v>9.4240000000000004E-2</v>
      </c>
      <c r="BF2624" s="624">
        <v>42066</v>
      </c>
      <c r="BG2624" s="355">
        <v>1.6173E-2</v>
      </c>
      <c r="BH2624" s="624">
        <v>41928</v>
      </c>
      <c r="BI2624" s="355">
        <v>8.1666000000000002E-2</v>
      </c>
      <c r="BJ2624" s="624">
        <v>41927</v>
      </c>
      <c r="BK2624" s="355">
        <v>3.0839999999999999E-2</v>
      </c>
    </row>
    <row r="2625" spans="3:63">
      <c r="C2625" s="624"/>
      <c r="D2625" s="355">
        <v>2.4420000000000001E-2</v>
      </c>
      <c r="AV2625" s="624"/>
      <c r="AX2625" s="624">
        <v>41934</v>
      </c>
      <c r="AY2625" s="355">
        <v>2.4170000000000001E-2</v>
      </c>
      <c r="AZ2625" s="624">
        <v>41998</v>
      </c>
      <c r="BA2625" s="355">
        <v>1.01E-2</v>
      </c>
      <c r="BB2625" s="624">
        <v>41929</v>
      </c>
      <c r="BC2625" s="355">
        <v>0.30249999999999999</v>
      </c>
      <c r="BD2625" s="624">
        <v>41929</v>
      </c>
      <c r="BE2625" s="355">
        <v>9.4049999999999995E-2</v>
      </c>
      <c r="BF2625" s="624">
        <v>42067</v>
      </c>
      <c r="BG2625" s="355">
        <v>1.6049000000000001E-2</v>
      </c>
      <c r="BH2625" s="624">
        <v>41929</v>
      </c>
      <c r="BI2625" s="355">
        <v>8.2816000000000001E-2</v>
      </c>
      <c r="BJ2625" s="624">
        <v>41928</v>
      </c>
      <c r="BK2625" s="355">
        <v>3.0845000000000001E-2</v>
      </c>
    </row>
    <row r="2626" spans="3:63">
      <c r="C2626" s="624"/>
      <c r="D2626" s="355">
        <v>2.4170000000000001E-2</v>
      </c>
      <c r="AV2626" s="624"/>
      <c r="AX2626" s="624">
        <v>41935</v>
      </c>
      <c r="AY2626" s="355">
        <v>2.3980000000000001E-2</v>
      </c>
      <c r="AZ2626" s="624">
        <v>41999</v>
      </c>
      <c r="BA2626" s="355">
        <v>1.01E-2</v>
      </c>
      <c r="BB2626" s="624">
        <v>41932</v>
      </c>
      <c r="BC2626" s="355">
        <v>0.30309999999999998</v>
      </c>
      <c r="BD2626" s="624">
        <v>41932</v>
      </c>
      <c r="BE2626" s="355">
        <v>9.4659999999999994E-2</v>
      </c>
      <c r="BF2626" s="624">
        <v>42068</v>
      </c>
      <c r="BG2626" s="355">
        <v>1.6025999999999999E-2</v>
      </c>
      <c r="BH2626" s="624">
        <v>41932</v>
      </c>
      <c r="BI2626" s="355">
        <v>8.3612000000000006E-2</v>
      </c>
      <c r="BJ2626" s="624">
        <v>41929</v>
      </c>
      <c r="BK2626" s="355">
        <v>3.0859000000000001E-2</v>
      </c>
    </row>
    <row r="2627" spans="3:63">
      <c r="C2627" s="624"/>
      <c r="D2627" s="355">
        <v>2.3980000000000001E-2</v>
      </c>
      <c r="AV2627" s="624"/>
      <c r="AX2627" s="624">
        <v>41936</v>
      </c>
      <c r="AY2627" s="355">
        <v>2.3869999999999999E-2</v>
      </c>
      <c r="AZ2627" s="624">
        <v>42002</v>
      </c>
      <c r="BA2627" s="355">
        <v>0.01</v>
      </c>
      <c r="BB2627" s="624">
        <v>41933</v>
      </c>
      <c r="BC2627" s="355">
        <v>0.30130000000000001</v>
      </c>
      <c r="BD2627" s="624">
        <v>41933</v>
      </c>
      <c r="BE2627" s="355">
        <v>9.4759999999999997E-2</v>
      </c>
      <c r="BF2627" s="624">
        <v>42069</v>
      </c>
      <c r="BG2627" s="355">
        <v>1.5925999999999999E-2</v>
      </c>
      <c r="BH2627" s="624">
        <v>41933</v>
      </c>
      <c r="BI2627" s="355">
        <v>8.3506999999999998E-2</v>
      </c>
      <c r="BJ2627" s="624">
        <v>41932</v>
      </c>
      <c r="BK2627" s="355">
        <v>3.0988999999999999E-2</v>
      </c>
    </row>
    <row r="2628" spans="3:63">
      <c r="C2628" s="624"/>
      <c r="D2628" s="355">
        <v>2.3869999999999999E-2</v>
      </c>
      <c r="AV2628" s="624"/>
      <c r="AX2628" s="624">
        <v>41939</v>
      </c>
      <c r="AY2628" s="355">
        <v>2.367E-2</v>
      </c>
      <c r="AZ2628" s="624">
        <v>42003</v>
      </c>
      <c r="BA2628" s="355">
        <v>1.01E-2</v>
      </c>
      <c r="BB2628" s="624">
        <v>41934</v>
      </c>
      <c r="BC2628" s="355">
        <v>0.29880000000000001</v>
      </c>
      <c r="BD2628" s="624">
        <v>41934</v>
      </c>
      <c r="BE2628" s="355">
        <v>9.4899999999999998E-2</v>
      </c>
      <c r="BF2628" s="624">
        <v>42072</v>
      </c>
      <c r="BG2628" s="355">
        <v>1.5966000000000001E-2</v>
      </c>
      <c r="BH2628" s="624">
        <v>41934</v>
      </c>
      <c r="BI2628" s="355">
        <v>8.3264000000000005E-2</v>
      </c>
      <c r="BJ2628" s="624">
        <v>41933</v>
      </c>
      <c r="BK2628" s="355">
        <v>3.0981999999999999E-2</v>
      </c>
    </row>
    <row r="2629" spans="3:63">
      <c r="C2629" s="624"/>
      <c r="D2629" s="355">
        <v>2.367E-2</v>
      </c>
      <c r="AV2629" s="624"/>
      <c r="AX2629" s="624">
        <v>41940</v>
      </c>
      <c r="AY2629" s="355">
        <v>2.3560000000000001E-2</v>
      </c>
      <c r="AZ2629" s="624">
        <v>42004</v>
      </c>
      <c r="BA2629" s="355">
        <v>0.01</v>
      </c>
      <c r="BB2629" s="624">
        <v>41935</v>
      </c>
      <c r="BC2629" s="355">
        <v>0.29909999999999998</v>
      </c>
      <c r="BD2629" s="624">
        <v>41935</v>
      </c>
      <c r="BE2629" s="355">
        <v>9.4329999999999997E-2</v>
      </c>
      <c r="BF2629" s="624">
        <v>42073</v>
      </c>
      <c r="BG2629" s="355">
        <v>1.5913E-2</v>
      </c>
      <c r="BH2629" s="624">
        <v>41935</v>
      </c>
      <c r="BI2629" s="355">
        <v>8.2970000000000002E-2</v>
      </c>
      <c r="BJ2629" s="624">
        <v>41934</v>
      </c>
      <c r="BK2629" s="355">
        <v>3.0917E-2</v>
      </c>
    </row>
    <row r="2630" spans="3:63">
      <c r="C2630" s="624"/>
      <c r="D2630" s="355">
        <v>2.3560000000000001E-2</v>
      </c>
      <c r="AV2630" s="624"/>
      <c r="AX2630" s="624">
        <v>41941</v>
      </c>
      <c r="AY2630" s="355">
        <v>2.316E-2</v>
      </c>
      <c r="AZ2630" s="624">
        <v>42005</v>
      </c>
      <c r="BA2630" s="355">
        <v>0.01</v>
      </c>
      <c r="BB2630" s="624">
        <v>41936</v>
      </c>
      <c r="BC2630" s="355">
        <v>0.30070000000000002</v>
      </c>
      <c r="BD2630" s="624">
        <v>41936</v>
      </c>
      <c r="BE2630" s="355">
        <v>9.4600000000000004E-2</v>
      </c>
      <c r="BF2630" s="624">
        <v>42074</v>
      </c>
      <c r="BG2630" s="355">
        <v>1.5928999999999999E-2</v>
      </c>
      <c r="BH2630" s="624">
        <v>41936</v>
      </c>
      <c r="BI2630" s="355">
        <v>8.2991999999999996E-2</v>
      </c>
      <c r="BJ2630" s="624">
        <v>41935</v>
      </c>
      <c r="BK2630" s="355">
        <v>3.0901000000000001E-2</v>
      </c>
    </row>
    <row r="2631" spans="3:63">
      <c r="C2631" s="624"/>
      <c r="D2631" s="355">
        <v>2.316E-2</v>
      </c>
      <c r="AV2631" s="624"/>
      <c r="AX2631" s="624">
        <v>41942</v>
      </c>
      <c r="AY2631" s="355">
        <v>2.4049999999999998E-2</v>
      </c>
      <c r="AZ2631" s="624">
        <v>42006</v>
      </c>
      <c r="BA2631" s="355">
        <v>9.9000000000000008E-3</v>
      </c>
      <c r="BB2631" s="624">
        <v>41939</v>
      </c>
      <c r="BC2631" s="355">
        <v>0.30049999999999999</v>
      </c>
      <c r="BD2631" s="624">
        <v>41939</v>
      </c>
      <c r="BE2631" s="355">
        <v>9.5070000000000002E-2</v>
      </c>
      <c r="BF2631" s="624">
        <v>42075</v>
      </c>
      <c r="BG2631" s="355">
        <v>1.6004000000000001E-2</v>
      </c>
      <c r="BH2631" s="624">
        <v>41939</v>
      </c>
      <c r="BI2631" s="355">
        <v>8.2747000000000001E-2</v>
      </c>
      <c r="BJ2631" s="624">
        <v>41936</v>
      </c>
      <c r="BK2631" s="355">
        <v>3.0856000000000001E-2</v>
      </c>
    </row>
    <row r="2632" spans="3:63">
      <c r="C2632" s="624"/>
      <c r="D2632" s="355">
        <v>2.4049999999999998E-2</v>
      </c>
      <c r="AV2632" s="624"/>
      <c r="AX2632" s="624">
        <v>41943</v>
      </c>
      <c r="AY2632" s="355">
        <v>2.325E-2</v>
      </c>
      <c r="AZ2632" s="624">
        <v>42009</v>
      </c>
      <c r="BA2632" s="355">
        <v>9.7999999999999997E-3</v>
      </c>
      <c r="BB2632" s="624">
        <v>41940</v>
      </c>
      <c r="BC2632" s="355">
        <v>0.30209999999999998</v>
      </c>
      <c r="BD2632" s="624">
        <v>41940</v>
      </c>
      <c r="BE2632" s="355">
        <v>9.5420000000000005E-2</v>
      </c>
      <c r="BF2632" s="624">
        <v>42076</v>
      </c>
      <c r="BG2632" s="355">
        <v>1.5852999999999999E-2</v>
      </c>
      <c r="BH2632" s="624">
        <v>41940</v>
      </c>
      <c r="BI2632" s="355">
        <v>8.2152000000000003E-2</v>
      </c>
      <c r="BJ2632" s="624">
        <v>41939</v>
      </c>
      <c r="BK2632" s="355">
        <v>3.083E-2</v>
      </c>
    </row>
    <row r="2633" spans="3:63">
      <c r="C2633" s="624"/>
      <c r="D2633" s="355">
        <v>2.325E-2</v>
      </c>
      <c r="AV2633" s="624"/>
      <c r="AX2633" s="624">
        <v>41946</v>
      </c>
      <c r="AY2633" s="355">
        <v>2.2939999999999999E-2</v>
      </c>
      <c r="AZ2633" s="624">
        <v>42010</v>
      </c>
      <c r="BA2633" s="355">
        <v>9.7000000000000003E-3</v>
      </c>
      <c r="BB2633" s="624">
        <v>41941</v>
      </c>
      <c r="BC2633" s="355">
        <v>0.29899999999999999</v>
      </c>
      <c r="BD2633" s="624">
        <v>41941</v>
      </c>
      <c r="BE2633" s="355">
        <v>9.486E-2</v>
      </c>
      <c r="BF2633" s="624">
        <v>42079</v>
      </c>
      <c r="BG2633" s="355">
        <v>1.5928999999999999E-2</v>
      </c>
      <c r="BH2633" s="624">
        <v>41941</v>
      </c>
      <c r="BI2633" s="355">
        <v>8.2237000000000005E-2</v>
      </c>
      <c r="BJ2633" s="624">
        <v>41940</v>
      </c>
      <c r="BK2633" s="355">
        <v>3.0828999999999999E-2</v>
      </c>
    </row>
    <row r="2634" spans="3:63">
      <c r="C2634" s="624"/>
      <c r="D2634" s="355">
        <v>2.2939999999999999E-2</v>
      </c>
      <c r="AV2634" s="624"/>
      <c r="AX2634" s="624">
        <v>41947</v>
      </c>
      <c r="AY2634" s="355">
        <v>2.2950000000000002E-2</v>
      </c>
      <c r="AZ2634" s="624">
        <v>42011</v>
      </c>
      <c r="BA2634" s="355">
        <v>9.7000000000000003E-3</v>
      </c>
      <c r="BB2634" s="624">
        <v>41942</v>
      </c>
      <c r="BC2634" s="355">
        <v>0.29949999999999999</v>
      </c>
      <c r="BD2634" s="624">
        <v>41942</v>
      </c>
      <c r="BE2634" s="355">
        <v>9.4820000000000002E-2</v>
      </c>
      <c r="BF2634" s="624">
        <v>42080</v>
      </c>
      <c r="BG2634" s="355">
        <v>1.5966000000000001E-2</v>
      </c>
      <c r="BH2634" s="624">
        <v>41942</v>
      </c>
      <c r="BI2634" s="355">
        <v>8.2542000000000004E-2</v>
      </c>
      <c r="BJ2634" s="624">
        <v>41941</v>
      </c>
      <c r="BK2634" s="355">
        <v>3.0742999999999999E-2</v>
      </c>
    </row>
    <row r="2635" spans="3:63">
      <c r="C2635" s="624"/>
      <c r="D2635" s="355">
        <v>2.2950000000000002E-2</v>
      </c>
      <c r="AV2635" s="624"/>
      <c r="AX2635" s="624">
        <v>41948</v>
      </c>
      <c r="AY2635" s="355">
        <v>2.2280000000000001E-2</v>
      </c>
      <c r="AZ2635" s="624">
        <v>42012</v>
      </c>
      <c r="BA2635" s="355">
        <v>9.5999999999999992E-3</v>
      </c>
      <c r="BB2635" s="624">
        <v>41943</v>
      </c>
      <c r="BC2635" s="355">
        <v>0.2964</v>
      </c>
      <c r="BD2635" s="624">
        <v>41943</v>
      </c>
      <c r="BE2635" s="355">
        <v>9.3130000000000004E-2</v>
      </c>
      <c r="BF2635" s="624">
        <v>42081</v>
      </c>
      <c r="BG2635" s="355">
        <v>1.6074000000000001E-2</v>
      </c>
      <c r="BH2635" s="624">
        <v>41943</v>
      </c>
      <c r="BI2635" s="355">
        <v>8.2821000000000006E-2</v>
      </c>
      <c r="BJ2635" s="624">
        <v>41942</v>
      </c>
      <c r="BK2635" s="355">
        <v>3.0723E-2</v>
      </c>
    </row>
    <row r="2636" spans="3:63">
      <c r="C2636" s="624"/>
      <c r="D2636" s="355">
        <v>2.2280000000000001E-2</v>
      </c>
      <c r="AV2636" s="624"/>
      <c r="AX2636" s="624">
        <v>41949</v>
      </c>
      <c r="AY2636" s="355">
        <v>2.137E-2</v>
      </c>
      <c r="AZ2636" s="624">
        <v>42013</v>
      </c>
      <c r="BA2636" s="355">
        <v>9.5999999999999992E-3</v>
      </c>
      <c r="BB2636" s="624">
        <v>41946</v>
      </c>
      <c r="BC2636" s="355">
        <v>0.29549999999999998</v>
      </c>
      <c r="BD2636" s="624">
        <v>41946</v>
      </c>
      <c r="BE2636" s="355">
        <v>9.2270000000000005E-2</v>
      </c>
      <c r="BF2636" s="624">
        <v>42082</v>
      </c>
      <c r="BG2636" s="355">
        <v>1.6004000000000001E-2</v>
      </c>
      <c r="BH2636" s="624">
        <v>41946</v>
      </c>
      <c r="BI2636" s="355">
        <v>8.2474000000000006E-2</v>
      </c>
      <c r="BJ2636" s="624">
        <v>41943</v>
      </c>
      <c r="BK2636" s="355">
        <v>3.0672999999999999E-2</v>
      </c>
    </row>
    <row r="2637" spans="3:63">
      <c r="C2637" s="624"/>
      <c r="D2637" s="355">
        <v>2.137E-2</v>
      </c>
      <c r="AV2637" s="624"/>
      <c r="AX2637" s="624">
        <v>41950</v>
      </c>
      <c r="AY2637" s="355">
        <v>2.1420000000000002E-2</v>
      </c>
      <c r="AZ2637" s="624">
        <v>42016</v>
      </c>
      <c r="BA2637" s="355">
        <v>9.5999999999999992E-3</v>
      </c>
      <c r="BB2637" s="624">
        <v>41947</v>
      </c>
      <c r="BC2637" s="355">
        <v>0.29680000000000001</v>
      </c>
      <c r="BD2637" s="624">
        <v>41947</v>
      </c>
      <c r="BE2637" s="355">
        <v>9.2740000000000003E-2</v>
      </c>
      <c r="BF2637" s="624">
        <v>42083</v>
      </c>
      <c r="BG2637" s="355">
        <v>1.6049999999999998E-2</v>
      </c>
      <c r="BH2637" s="624">
        <v>41947</v>
      </c>
      <c r="BI2637" s="355">
        <v>8.2712999999999995E-2</v>
      </c>
      <c r="BJ2637" s="624">
        <v>41946</v>
      </c>
      <c r="BK2637" s="355">
        <v>3.0571999999999998E-2</v>
      </c>
    </row>
    <row r="2638" spans="3:63">
      <c r="C2638" s="624"/>
      <c r="D2638" s="355">
        <v>2.1420000000000002E-2</v>
      </c>
      <c r="AV2638" s="624"/>
      <c r="AX2638" s="624">
        <v>41953</v>
      </c>
      <c r="AY2638" s="355">
        <v>2.18E-2</v>
      </c>
      <c r="AZ2638" s="624">
        <v>42017</v>
      </c>
      <c r="BA2638" s="355">
        <v>9.5999999999999992E-3</v>
      </c>
      <c r="BB2638" s="624">
        <v>41948</v>
      </c>
      <c r="BC2638" s="355">
        <v>0.29530000000000001</v>
      </c>
      <c r="BD2638" s="624">
        <v>41948</v>
      </c>
      <c r="BE2638" s="355">
        <v>9.1700000000000004E-2</v>
      </c>
      <c r="BF2638" s="624">
        <v>42086</v>
      </c>
      <c r="BG2638" s="355">
        <v>1.6087000000000001E-2</v>
      </c>
      <c r="BH2638" s="624">
        <v>41948</v>
      </c>
      <c r="BI2638" s="355">
        <v>8.2101999999999994E-2</v>
      </c>
      <c r="BJ2638" s="624">
        <v>41947</v>
      </c>
      <c r="BK2638" s="355">
        <v>3.0601E-2</v>
      </c>
    </row>
    <row r="2639" spans="3:63">
      <c r="C2639" s="624"/>
      <c r="D2639" s="355">
        <v>2.18E-2</v>
      </c>
      <c r="AV2639" s="624"/>
      <c r="AX2639" s="624">
        <v>41954</v>
      </c>
      <c r="AY2639" s="355">
        <v>2.1579999999999998E-2</v>
      </c>
      <c r="AZ2639" s="624">
        <v>42018</v>
      </c>
      <c r="BA2639" s="355">
        <v>9.5999999999999992E-3</v>
      </c>
      <c r="BB2639" s="624">
        <v>41949</v>
      </c>
      <c r="BC2639" s="355">
        <v>0.29320000000000002</v>
      </c>
      <c r="BD2639" s="624">
        <v>41949</v>
      </c>
      <c r="BE2639" s="355">
        <v>9.1539999999999996E-2</v>
      </c>
      <c r="BF2639" s="624">
        <v>42087</v>
      </c>
      <c r="BG2639" s="355">
        <v>1.6038E-2</v>
      </c>
      <c r="BH2639" s="624">
        <v>41949</v>
      </c>
      <c r="BI2639" s="355">
        <v>8.2033999999999996E-2</v>
      </c>
      <c r="BJ2639" s="624">
        <v>41948</v>
      </c>
      <c r="BK2639" s="355">
        <v>3.0519999999999999E-2</v>
      </c>
    </row>
    <row r="2640" spans="3:63">
      <c r="C2640" s="624"/>
      <c r="D2640" s="355">
        <v>2.1579999999999998E-2</v>
      </c>
      <c r="AV2640" s="624"/>
      <c r="AX2640" s="624">
        <v>41955</v>
      </c>
      <c r="AY2640" s="355">
        <v>2.2179999999999998E-2</v>
      </c>
      <c r="AZ2640" s="624">
        <v>42019</v>
      </c>
      <c r="BA2640" s="355">
        <v>9.4999999999999998E-3</v>
      </c>
      <c r="BB2640" s="624">
        <v>41950</v>
      </c>
      <c r="BC2640" s="355">
        <v>0.29470000000000002</v>
      </c>
      <c r="BD2640" s="624">
        <v>41950</v>
      </c>
      <c r="BE2640" s="355">
        <v>9.1980000000000006E-2</v>
      </c>
      <c r="BF2640" s="624">
        <v>42088</v>
      </c>
      <c r="BG2640" s="355">
        <v>1.6021000000000001E-2</v>
      </c>
      <c r="BH2640" s="624">
        <v>41950</v>
      </c>
      <c r="BI2640" s="355">
        <v>8.2354999999999998E-2</v>
      </c>
      <c r="BJ2640" s="624">
        <v>41949</v>
      </c>
      <c r="BK2640" s="355">
        <v>3.0484000000000001E-2</v>
      </c>
    </row>
    <row r="2641" spans="3:63">
      <c r="C2641" s="624"/>
      <c r="D2641" s="355">
        <v>2.2179999999999998E-2</v>
      </c>
      <c r="AV2641" s="624"/>
      <c r="AX2641" s="624">
        <v>41956</v>
      </c>
      <c r="AY2641" s="355">
        <v>2.138E-2</v>
      </c>
      <c r="AZ2641" s="624">
        <v>42020</v>
      </c>
      <c r="BA2641" s="355">
        <v>9.4999999999999998E-3</v>
      </c>
      <c r="BB2641" s="624">
        <v>41953</v>
      </c>
      <c r="BC2641" s="355">
        <v>0.2944</v>
      </c>
      <c r="BD2641" s="624">
        <v>41953</v>
      </c>
      <c r="BE2641" s="355">
        <v>9.1700000000000004E-2</v>
      </c>
      <c r="BF2641" s="624">
        <v>42089</v>
      </c>
      <c r="BG2641" s="355">
        <v>1.5892E-2</v>
      </c>
      <c r="BH2641" s="624">
        <v>41953</v>
      </c>
      <c r="BI2641" s="355">
        <v>8.2270999999999997E-2</v>
      </c>
      <c r="BJ2641" s="624">
        <v>41950</v>
      </c>
      <c r="BK2641" s="355">
        <v>3.0511E-2</v>
      </c>
    </row>
    <row r="2642" spans="3:63">
      <c r="C2642" s="624"/>
      <c r="D2642" s="355">
        <v>2.138E-2</v>
      </c>
      <c r="AV2642" s="624"/>
      <c r="AX2642" s="624">
        <v>41957</v>
      </c>
      <c r="AY2642" s="355">
        <v>2.1190000000000001E-2</v>
      </c>
      <c r="AZ2642" s="624">
        <v>42023</v>
      </c>
      <c r="BA2642" s="355">
        <v>9.4999999999999998E-3</v>
      </c>
      <c r="BB2642" s="624">
        <v>41954</v>
      </c>
      <c r="BC2642" s="355">
        <v>0.29570000000000002</v>
      </c>
      <c r="BD2642" s="624">
        <v>41954</v>
      </c>
      <c r="BE2642" s="355">
        <v>9.1329999999999995E-2</v>
      </c>
      <c r="BF2642" s="624">
        <v>42090</v>
      </c>
      <c r="BG2642" s="355">
        <v>1.5984999999999999E-2</v>
      </c>
      <c r="BH2642" s="624">
        <v>41954</v>
      </c>
      <c r="BI2642" s="355">
        <v>8.1934000000000007E-2</v>
      </c>
      <c r="BJ2642" s="624">
        <v>41953</v>
      </c>
      <c r="BK2642" s="355">
        <v>3.0499999999999999E-2</v>
      </c>
    </row>
    <row r="2643" spans="3:63">
      <c r="C2643" s="624"/>
      <c r="D2643" s="355">
        <v>2.1190000000000001E-2</v>
      </c>
      <c r="AV2643" s="624"/>
      <c r="AX2643" s="624">
        <v>41960</v>
      </c>
      <c r="AY2643" s="355">
        <v>2.1190000000000001E-2</v>
      </c>
      <c r="AZ2643" s="624">
        <v>42024</v>
      </c>
      <c r="BA2643" s="355">
        <v>9.4000000000000004E-3</v>
      </c>
      <c r="BB2643" s="624">
        <v>41955</v>
      </c>
      <c r="BC2643" s="355">
        <v>0.2949</v>
      </c>
      <c r="BD2643" s="624">
        <v>41955</v>
      </c>
      <c r="BE2643" s="355">
        <v>9.1350000000000001E-2</v>
      </c>
      <c r="BF2643" s="624">
        <v>42093</v>
      </c>
      <c r="BG2643" s="355">
        <v>1.5997999999999998E-2</v>
      </c>
      <c r="BH2643" s="624">
        <v>41955</v>
      </c>
      <c r="BI2643" s="355">
        <v>8.2020999999999997E-2</v>
      </c>
      <c r="BJ2643" s="624">
        <v>41954</v>
      </c>
      <c r="BK2643" s="355">
        <v>3.0432000000000001E-2</v>
      </c>
    </row>
    <row r="2644" spans="3:63">
      <c r="C2644" s="624"/>
      <c r="D2644" s="355">
        <v>2.1190000000000001E-2</v>
      </c>
      <c r="AV2644" s="624"/>
      <c r="AX2644" s="624">
        <v>41961</v>
      </c>
      <c r="AY2644" s="355">
        <v>2.1319999999999999E-2</v>
      </c>
      <c r="AZ2644" s="624">
        <v>42025</v>
      </c>
      <c r="BA2644" s="355">
        <v>9.4999999999999998E-3</v>
      </c>
      <c r="BB2644" s="624">
        <v>41956</v>
      </c>
      <c r="BC2644" s="355">
        <v>0.2944</v>
      </c>
      <c r="BD2644" s="624">
        <v>41956</v>
      </c>
      <c r="BE2644" s="355">
        <v>9.1179999999999997E-2</v>
      </c>
      <c r="BF2644" s="624">
        <v>42094</v>
      </c>
      <c r="BG2644" s="355">
        <v>1.6048E-2</v>
      </c>
      <c r="BH2644" s="624">
        <v>41956</v>
      </c>
      <c r="BI2644" s="355">
        <v>8.2001000000000004E-2</v>
      </c>
      <c r="BJ2644" s="624">
        <v>41955</v>
      </c>
      <c r="BK2644" s="355">
        <v>3.0442E-2</v>
      </c>
    </row>
    <row r="2645" spans="3:63">
      <c r="C2645" s="624"/>
      <c r="D2645" s="355">
        <v>2.1319999999999999E-2</v>
      </c>
      <c r="AV2645" s="624"/>
      <c r="AX2645" s="624">
        <v>41962</v>
      </c>
      <c r="AY2645" s="355">
        <v>2.1340000000000001E-2</v>
      </c>
      <c r="AZ2645" s="624">
        <v>42026</v>
      </c>
      <c r="BA2645" s="355">
        <v>9.2999999999999992E-3</v>
      </c>
      <c r="BB2645" s="624">
        <v>41957</v>
      </c>
      <c r="BC2645" s="355">
        <v>0.29609999999999997</v>
      </c>
      <c r="BD2645" s="624">
        <v>41957</v>
      </c>
      <c r="BE2645" s="355">
        <v>9.0840000000000004E-2</v>
      </c>
      <c r="BF2645" s="624">
        <v>42097</v>
      </c>
      <c r="BG2645" s="355">
        <v>1.6138E-2</v>
      </c>
      <c r="BH2645" s="624">
        <v>41957</v>
      </c>
      <c r="BI2645" s="355">
        <v>8.2202999999999998E-2</v>
      </c>
      <c r="BJ2645" s="624">
        <v>41956</v>
      </c>
      <c r="BK2645" s="355">
        <v>3.0488000000000001E-2</v>
      </c>
    </row>
    <row r="2646" spans="3:63">
      <c r="C2646" s="624"/>
      <c r="D2646" s="355">
        <v>2.1340000000000001E-2</v>
      </c>
      <c r="AV2646" s="624"/>
      <c r="AX2646" s="624">
        <v>41963</v>
      </c>
      <c r="AY2646" s="355">
        <v>2.1669999999999998E-2</v>
      </c>
      <c r="AZ2646" s="624">
        <v>42027</v>
      </c>
      <c r="BA2646" s="355">
        <v>9.1000000000000004E-3</v>
      </c>
      <c r="BB2646" s="624">
        <v>41960</v>
      </c>
      <c r="BC2646" s="355">
        <v>0.2949</v>
      </c>
      <c r="BD2646" s="624">
        <v>41960</v>
      </c>
      <c r="BE2646" s="355">
        <v>9.0819999999999998E-2</v>
      </c>
      <c r="BF2646" s="624">
        <v>42100</v>
      </c>
      <c r="BG2646" s="355">
        <v>1.6081000000000002E-2</v>
      </c>
      <c r="BH2646" s="624">
        <v>41960</v>
      </c>
      <c r="BI2646" s="355">
        <v>8.2435999999999995E-2</v>
      </c>
      <c r="BJ2646" s="624">
        <v>41957</v>
      </c>
      <c r="BK2646" s="355">
        <v>3.0485000000000002E-2</v>
      </c>
    </row>
    <row r="2647" spans="3:63">
      <c r="C2647" s="624"/>
      <c r="D2647" s="355">
        <v>2.1669999999999998E-2</v>
      </c>
      <c r="AV2647" s="624"/>
      <c r="AX2647" s="624">
        <v>41964</v>
      </c>
      <c r="AY2647" s="355">
        <v>2.188E-2</v>
      </c>
      <c r="AZ2647" s="624">
        <v>42030</v>
      </c>
      <c r="BA2647" s="355">
        <v>9.1000000000000004E-3</v>
      </c>
      <c r="BB2647" s="624">
        <v>41961</v>
      </c>
      <c r="BC2647" s="355">
        <v>0.29730000000000001</v>
      </c>
      <c r="BD2647" s="624">
        <v>41961</v>
      </c>
      <c r="BE2647" s="355">
        <v>9.0829999999999994E-2</v>
      </c>
      <c r="BF2647" s="624">
        <v>42101</v>
      </c>
      <c r="BG2647" s="355">
        <v>1.6052E-2</v>
      </c>
      <c r="BH2647" s="624">
        <v>41961</v>
      </c>
      <c r="BI2647" s="355">
        <v>8.2897999999999999E-2</v>
      </c>
      <c r="BJ2647" s="624">
        <v>41960</v>
      </c>
      <c r="BK2647" s="355">
        <v>3.0491999999999998E-2</v>
      </c>
    </row>
    <row r="2648" spans="3:63">
      <c r="C2648" s="624"/>
      <c r="D2648" s="355">
        <v>2.188E-2</v>
      </c>
      <c r="AV2648" s="624"/>
      <c r="AX2648" s="624">
        <v>41967</v>
      </c>
      <c r="AY2648" s="355">
        <v>2.223E-2</v>
      </c>
      <c r="AZ2648" s="624">
        <v>42031</v>
      </c>
      <c r="BA2648" s="355">
        <v>9.1999999999999998E-3</v>
      </c>
      <c r="BB2648" s="624">
        <v>41962</v>
      </c>
      <c r="BC2648" s="355">
        <v>0.29749999999999999</v>
      </c>
      <c r="BD2648" s="624">
        <v>41962</v>
      </c>
      <c r="BE2648" s="355">
        <v>8.9789999999999995E-2</v>
      </c>
      <c r="BF2648" s="624">
        <v>42102</v>
      </c>
      <c r="BG2648" s="355">
        <v>1.6074000000000001E-2</v>
      </c>
      <c r="BH2648" s="624">
        <v>41962</v>
      </c>
      <c r="BI2648" s="355">
        <v>8.2507999999999998E-2</v>
      </c>
      <c r="BJ2648" s="624">
        <v>41961</v>
      </c>
      <c r="BK2648" s="355">
        <v>3.0526999999999999E-2</v>
      </c>
    </row>
    <row r="2649" spans="3:63">
      <c r="C2649" s="624"/>
      <c r="D2649" s="355">
        <v>2.223E-2</v>
      </c>
      <c r="AV2649" s="624"/>
      <c r="AX2649" s="624">
        <v>41968</v>
      </c>
      <c r="AY2649" s="355">
        <v>2.1610000000000001E-2</v>
      </c>
      <c r="AZ2649" s="624">
        <v>42032</v>
      </c>
      <c r="BA2649" s="355">
        <v>9.1000000000000004E-3</v>
      </c>
      <c r="BB2649" s="624">
        <v>41963</v>
      </c>
      <c r="BC2649" s="355">
        <v>0.29759999999999998</v>
      </c>
      <c r="BD2649" s="624">
        <v>41963</v>
      </c>
      <c r="BE2649" s="355">
        <v>8.9950000000000002E-2</v>
      </c>
      <c r="BF2649" s="624">
        <v>42103</v>
      </c>
      <c r="BG2649" s="355">
        <v>1.6049000000000001E-2</v>
      </c>
      <c r="BH2649" s="624">
        <v>41963</v>
      </c>
      <c r="BI2649" s="355">
        <v>8.2305000000000003E-2</v>
      </c>
      <c r="BJ2649" s="624">
        <v>41962</v>
      </c>
      <c r="BK2649" s="355">
        <v>3.0453000000000001E-2</v>
      </c>
    </row>
    <row r="2650" spans="3:63">
      <c r="C2650" s="624"/>
      <c r="D2650" s="355">
        <v>2.1610000000000001E-2</v>
      </c>
      <c r="AV2650" s="624"/>
      <c r="AX2650" s="624">
        <v>41969</v>
      </c>
      <c r="AY2650" s="355">
        <v>2.1090000000000001E-2</v>
      </c>
      <c r="AZ2650" s="624">
        <v>42033</v>
      </c>
      <c r="BA2650" s="355">
        <v>9.1999999999999998E-3</v>
      </c>
      <c r="BB2650" s="624">
        <v>41964</v>
      </c>
      <c r="BC2650" s="355">
        <v>0.29499999999999998</v>
      </c>
      <c r="BD2650" s="624">
        <v>41964</v>
      </c>
      <c r="BE2650" s="355">
        <v>8.9969999999999994E-2</v>
      </c>
      <c r="BF2650" s="624">
        <v>42104</v>
      </c>
      <c r="BG2650" s="355">
        <v>1.6057999999999999E-2</v>
      </c>
      <c r="BH2650" s="624">
        <v>41964</v>
      </c>
      <c r="BI2650" s="355">
        <v>8.2542000000000004E-2</v>
      </c>
      <c r="BJ2650" s="624">
        <v>41963</v>
      </c>
      <c r="BK2650" s="355">
        <v>3.049E-2</v>
      </c>
    </row>
    <row r="2651" spans="3:63">
      <c r="C2651" s="624"/>
      <c r="D2651" s="355">
        <v>2.1090000000000001E-2</v>
      </c>
      <c r="AV2651" s="624"/>
      <c r="AX2651" s="624">
        <v>41970</v>
      </c>
      <c r="AY2651" s="355">
        <v>2.0559999999999998E-2</v>
      </c>
      <c r="AZ2651" s="624">
        <v>42034</v>
      </c>
      <c r="BA2651" s="355">
        <v>9.1999999999999998E-3</v>
      </c>
      <c r="BB2651" s="624">
        <v>41967</v>
      </c>
      <c r="BC2651" s="355">
        <v>0.29649999999999999</v>
      </c>
      <c r="BD2651" s="624">
        <v>41967</v>
      </c>
      <c r="BE2651" s="355">
        <v>8.9770000000000003E-2</v>
      </c>
      <c r="BF2651" s="624">
        <v>42107</v>
      </c>
      <c r="BG2651" s="355">
        <v>1.6018999999999999E-2</v>
      </c>
      <c r="BH2651" s="624">
        <v>41967</v>
      </c>
      <c r="BI2651" s="355">
        <v>8.2337999999999995E-2</v>
      </c>
      <c r="BJ2651" s="624">
        <v>41964</v>
      </c>
      <c r="BK2651" s="355">
        <v>3.0504E-2</v>
      </c>
    </row>
    <row r="2652" spans="3:63">
      <c r="C2652" s="624"/>
      <c r="D2652" s="355">
        <v>2.0559999999999998E-2</v>
      </c>
      <c r="AV2652" s="624"/>
      <c r="AX2652" s="624">
        <v>41971</v>
      </c>
      <c r="AY2652" s="355">
        <v>1.983E-2</v>
      </c>
      <c r="AZ2652" s="624">
        <v>42037</v>
      </c>
      <c r="BA2652" s="355">
        <v>9.2999999999999992E-3</v>
      </c>
      <c r="BB2652" s="624">
        <v>41968</v>
      </c>
      <c r="BC2652" s="355">
        <v>0.29870000000000002</v>
      </c>
      <c r="BD2652" s="624">
        <v>41968</v>
      </c>
      <c r="BE2652" s="355">
        <v>9.0050000000000005E-2</v>
      </c>
      <c r="BF2652" s="624">
        <v>42108</v>
      </c>
      <c r="BG2652" s="355">
        <v>1.6057999999999999E-2</v>
      </c>
      <c r="BH2652" s="624">
        <v>41968</v>
      </c>
      <c r="BI2652" s="355">
        <v>8.2304000000000002E-2</v>
      </c>
      <c r="BJ2652" s="624">
        <v>41967</v>
      </c>
      <c r="BK2652" s="355">
        <v>3.0461999999999999E-2</v>
      </c>
    </row>
    <row r="2653" spans="3:63">
      <c r="C2653" s="624"/>
      <c r="D2653" s="355">
        <v>1.983E-2</v>
      </c>
      <c r="AV2653" s="624"/>
      <c r="AX2653" s="624">
        <v>41974</v>
      </c>
      <c r="AY2653" s="355">
        <v>1.9539999999999998E-2</v>
      </c>
      <c r="AZ2653" s="624">
        <v>42038</v>
      </c>
      <c r="BA2653" s="355">
        <v>9.4000000000000004E-3</v>
      </c>
      <c r="BB2653" s="624">
        <v>41969</v>
      </c>
      <c r="BC2653" s="355">
        <v>0.29930000000000001</v>
      </c>
      <c r="BD2653" s="624">
        <v>41969</v>
      </c>
      <c r="BE2653" s="355">
        <v>9.06E-2</v>
      </c>
      <c r="BF2653" s="624">
        <v>42109</v>
      </c>
      <c r="BG2653" s="355">
        <v>1.6029999999999999E-2</v>
      </c>
      <c r="BH2653" s="624">
        <v>41969</v>
      </c>
      <c r="BI2653" s="355">
        <v>8.2197999999999993E-2</v>
      </c>
      <c r="BJ2653" s="624">
        <v>41968</v>
      </c>
      <c r="BK2653" s="355">
        <v>3.0504E-2</v>
      </c>
    </row>
    <row r="2654" spans="3:63">
      <c r="C2654" s="624"/>
      <c r="D2654" s="355">
        <v>1.9539999999999998E-2</v>
      </c>
      <c r="AV2654" s="624"/>
      <c r="AX2654" s="624">
        <v>41975</v>
      </c>
      <c r="AY2654" s="355">
        <v>1.856E-2</v>
      </c>
      <c r="AZ2654" s="624">
        <v>42039</v>
      </c>
      <c r="BA2654" s="355">
        <v>9.2999999999999992E-3</v>
      </c>
      <c r="BB2654" s="624">
        <v>41970</v>
      </c>
      <c r="BC2654" s="355">
        <v>0.2984</v>
      </c>
      <c r="BD2654" s="624">
        <v>41970</v>
      </c>
      <c r="BE2654" s="355">
        <v>9.0880000000000002E-2</v>
      </c>
      <c r="BF2654" s="624">
        <v>42110</v>
      </c>
      <c r="BG2654" s="355">
        <v>1.6046000000000001E-2</v>
      </c>
      <c r="BH2654" s="624">
        <v>41970</v>
      </c>
      <c r="BI2654" s="355">
        <v>8.2324999999999995E-2</v>
      </c>
      <c r="BJ2654" s="624">
        <v>41969</v>
      </c>
      <c r="BK2654" s="355">
        <v>3.0526999999999999E-2</v>
      </c>
    </row>
    <row r="2655" spans="3:63">
      <c r="C2655" s="624"/>
      <c r="D2655" s="355">
        <v>1.856E-2</v>
      </c>
      <c r="AV2655" s="624"/>
      <c r="AX2655" s="624">
        <v>41976</v>
      </c>
      <c r="AY2655" s="355">
        <v>1.8780000000000002E-2</v>
      </c>
      <c r="AZ2655" s="624">
        <v>42040</v>
      </c>
      <c r="BA2655" s="355">
        <v>9.4000000000000004E-3</v>
      </c>
      <c r="BB2655" s="624">
        <v>41971</v>
      </c>
      <c r="BC2655" s="355">
        <v>0.29759999999999998</v>
      </c>
      <c r="BD2655" s="624">
        <v>41971</v>
      </c>
      <c r="BE2655" s="355">
        <v>8.9829999999999993E-2</v>
      </c>
      <c r="BF2655" s="624">
        <v>42111</v>
      </c>
      <c r="BG2655" s="355">
        <v>1.5990000000000001E-2</v>
      </c>
      <c r="BH2655" s="624">
        <v>41971</v>
      </c>
      <c r="BI2655" s="355">
        <v>8.1953999999999999E-2</v>
      </c>
      <c r="BJ2655" s="624">
        <v>41970</v>
      </c>
      <c r="BK2655" s="355">
        <v>3.0519000000000001E-2</v>
      </c>
    </row>
    <row r="2656" spans="3:63">
      <c r="C2656" s="624"/>
      <c r="D2656" s="355">
        <v>1.8780000000000002E-2</v>
      </c>
      <c r="AV2656" s="624"/>
      <c r="AX2656" s="624">
        <v>41977</v>
      </c>
      <c r="AY2656" s="355">
        <v>1.839E-2</v>
      </c>
      <c r="AZ2656" s="624">
        <v>42041</v>
      </c>
      <c r="BA2656" s="355">
        <v>9.2999999999999992E-3</v>
      </c>
      <c r="BB2656" s="624">
        <v>41974</v>
      </c>
      <c r="BC2656" s="355">
        <v>0.29849999999999999</v>
      </c>
      <c r="BD2656" s="624">
        <v>41974</v>
      </c>
      <c r="BE2656" s="355">
        <v>9.0109999999999996E-2</v>
      </c>
      <c r="BF2656" s="624">
        <v>42114</v>
      </c>
      <c r="BG2656" s="355">
        <v>1.5833E-2</v>
      </c>
      <c r="BH2656" s="624">
        <v>41974</v>
      </c>
      <c r="BI2656" s="355">
        <v>8.1466999999999998E-2</v>
      </c>
      <c r="BJ2656" s="624">
        <v>41971</v>
      </c>
      <c r="BK2656" s="355">
        <v>3.0440999999999999E-2</v>
      </c>
    </row>
    <row r="2657" spans="3:63">
      <c r="C2657" s="624"/>
      <c r="D2657" s="355">
        <v>1.839E-2</v>
      </c>
      <c r="AV2657" s="624"/>
      <c r="AX2657" s="624">
        <v>41978</v>
      </c>
      <c r="AY2657" s="355">
        <v>1.898E-2</v>
      </c>
      <c r="AZ2657" s="624">
        <v>42044</v>
      </c>
      <c r="BA2657" s="355">
        <v>9.2999999999999992E-3</v>
      </c>
      <c r="BB2657" s="624">
        <v>41975</v>
      </c>
      <c r="BC2657" s="355">
        <v>0.2974</v>
      </c>
      <c r="BD2657" s="624">
        <v>41975</v>
      </c>
      <c r="BE2657" s="355">
        <v>8.9660000000000004E-2</v>
      </c>
      <c r="BF2657" s="624">
        <v>42115</v>
      </c>
      <c r="BG2657" s="355">
        <v>1.5906E-2</v>
      </c>
      <c r="BH2657" s="624">
        <v>41975</v>
      </c>
      <c r="BI2657" s="355">
        <v>8.1500000000000003E-2</v>
      </c>
      <c r="BJ2657" s="624">
        <v>41974</v>
      </c>
      <c r="BK2657" s="355">
        <v>3.0499999999999999E-2</v>
      </c>
    </row>
    <row r="2658" spans="3:63">
      <c r="C2658" s="624"/>
      <c r="D2658" s="355">
        <v>1.898E-2</v>
      </c>
      <c r="AV2658" s="624"/>
      <c r="AX2658" s="624">
        <v>41981</v>
      </c>
      <c r="AY2658" s="355">
        <v>1.8610000000000002E-2</v>
      </c>
      <c r="AZ2658" s="624">
        <v>42045</v>
      </c>
      <c r="BA2658" s="355">
        <v>9.2999999999999992E-3</v>
      </c>
      <c r="BB2658" s="624">
        <v>41976</v>
      </c>
      <c r="BC2658" s="355">
        <v>0.2964</v>
      </c>
      <c r="BD2658" s="624">
        <v>41976</v>
      </c>
      <c r="BE2658" s="355">
        <v>8.9599999999999999E-2</v>
      </c>
      <c r="BF2658" s="624">
        <v>42116</v>
      </c>
      <c r="BG2658" s="355">
        <v>1.5875E-2</v>
      </c>
      <c r="BH2658" s="624">
        <v>41976</v>
      </c>
      <c r="BI2658" s="355">
        <v>8.1254999999999994E-2</v>
      </c>
      <c r="BJ2658" s="624">
        <v>41975</v>
      </c>
      <c r="BK2658" s="355">
        <v>3.0414E-2</v>
      </c>
    </row>
    <row r="2659" spans="3:63">
      <c r="C2659" s="624"/>
      <c r="D2659" s="355">
        <v>1.8610000000000002E-2</v>
      </c>
      <c r="AV2659" s="624"/>
      <c r="AX2659" s="624">
        <v>41982</v>
      </c>
      <c r="AY2659" s="355">
        <v>1.8499999999999999E-2</v>
      </c>
      <c r="AZ2659" s="624">
        <v>42046</v>
      </c>
      <c r="BA2659" s="355">
        <v>9.2999999999999992E-3</v>
      </c>
      <c r="BB2659" s="624">
        <v>41977</v>
      </c>
      <c r="BC2659" s="355">
        <v>0.29780000000000001</v>
      </c>
      <c r="BD2659" s="624">
        <v>41977</v>
      </c>
      <c r="BE2659" s="355">
        <v>8.9899999999999994E-2</v>
      </c>
      <c r="BF2659" s="624">
        <v>42117</v>
      </c>
      <c r="BG2659" s="355">
        <v>1.5803999999999999E-2</v>
      </c>
      <c r="BH2659" s="624">
        <v>41977</v>
      </c>
      <c r="BI2659" s="355">
        <v>8.1350000000000006E-2</v>
      </c>
      <c r="BJ2659" s="624">
        <v>41976</v>
      </c>
      <c r="BK2659" s="355">
        <v>3.0418000000000001E-2</v>
      </c>
    </row>
    <row r="2660" spans="3:63">
      <c r="C2660" s="624"/>
      <c r="D2660" s="355">
        <v>1.8499999999999999E-2</v>
      </c>
      <c r="AV2660" s="624"/>
      <c r="AX2660" s="624">
        <v>41983</v>
      </c>
      <c r="AY2660" s="355">
        <v>1.822E-2</v>
      </c>
      <c r="AZ2660" s="624">
        <v>42047</v>
      </c>
      <c r="BA2660" s="355">
        <v>9.4000000000000004E-3</v>
      </c>
      <c r="BB2660" s="624">
        <v>41978</v>
      </c>
      <c r="BC2660" s="355">
        <v>0.2954</v>
      </c>
      <c r="BD2660" s="624">
        <v>41978</v>
      </c>
      <c r="BE2660" s="355">
        <v>8.9149999999999993E-2</v>
      </c>
      <c r="BF2660" s="624">
        <v>42118</v>
      </c>
      <c r="BG2660" s="355">
        <v>1.5678000000000001E-2</v>
      </c>
      <c r="BH2660" s="624">
        <v>41978</v>
      </c>
      <c r="BI2660" s="355">
        <v>8.0750000000000002E-2</v>
      </c>
      <c r="BJ2660" s="624">
        <v>41977</v>
      </c>
      <c r="BK2660" s="355">
        <v>3.0393E-2</v>
      </c>
    </row>
    <row r="2661" spans="3:63">
      <c r="C2661" s="624"/>
      <c r="D2661" s="355">
        <v>1.822E-2</v>
      </c>
      <c r="AV2661" s="624"/>
      <c r="AX2661" s="624">
        <v>41984</v>
      </c>
      <c r="AY2661" s="355">
        <v>1.772E-2</v>
      </c>
      <c r="AZ2661" s="624">
        <v>42048</v>
      </c>
      <c r="BA2661" s="355">
        <v>9.4000000000000004E-3</v>
      </c>
      <c r="BB2661" s="624">
        <v>41981</v>
      </c>
      <c r="BC2661" s="355">
        <v>0.29599999999999999</v>
      </c>
      <c r="BD2661" s="624">
        <v>41981</v>
      </c>
      <c r="BE2661" s="355">
        <v>8.9889999999999998E-2</v>
      </c>
      <c r="BF2661" s="624">
        <v>42121</v>
      </c>
      <c r="BG2661" s="355">
        <v>1.5802E-2</v>
      </c>
      <c r="BH2661" s="624">
        <v>41981</v>
      </c>
      <c r="BI2661" s="355">
        <v>8.0823999999999993E-2</v>
      </c>
      <c r="BJ2661" s="624">
        <v>41978</v>
      </c>
      <c r="BK2661" s="355">
        <v>3.0280000000000001E-2</v>
      </c>
    </row>
    <row r="2662" spans="3:63">
      <c r="C2662" s="624"/>
      <c r="D2662" s="355">
        <v>1.772E-2</v>
      </c>
      <c r="AV2662" s="624"/>
      <c r="AX2662" s="624">
        <v>41985</v>
      </c>
      <c r="AY2662" s="355">
        <v>1.7180000000000001E-2</v>
      </c>
      <c r="AZ2662" s="624">
        <v>42051</v>
      </c>
      <c r="BA2662" s="355">
        <v>9.4000000000000004E-3</v>
      </c>
      <c r="BB2662" s="624">
        <v>41982</v>
      </c>
      <c r="BC2662" s="355">
        <v>0.29759999999999998</v>
      </c>
      <c r="BD2662" s="624">
        <v>41982</v>
      </c>
      <c r="BE2662" s="355">
        <v>9.0509999999999993E-2</v>
      </c>
      <c r="BF2662" s="624">
        <v>42122</v>
      </c>
      <c r="BG2662" s="355">
        <v>1.5859000000000002E-2</v>
      </c>
      <c r="BH2662" s="624">
        <v>41982</v>
      </c>
      <c r="BI2662" s="355">
        <v>8.0775E-2</v>
      </c>
      <c r="BJ2662" s="624">
        <v>41981</v>
      </c>
      <c r="BK2662" s="355">
        <v>3.0296E-2</v>
      </c>
    </row>
    <row r="2663" spans="3:63">
      <c r="C2663" s="624"/>
      <c r="D2663" s="355">
        <v>1.7180000000000001E-2</v>
      </c>
      <c r="AV2663" s="624"/>
      <c r="AX2663" s="624">
        <v>41988</v>
      </c>
      <c r="AY2663" s="355">
        <v>1.528E-2</v>
      </c>
      <c r="AZ2663" s="624">
        <v>42052</v>
      </c>
      <c r="BA2663" s="355">
        <v>9.4000000000000004E-3</v>
      </c>
      <c r="BB2663" s="624">
        <v>41983</v>
      </c>
      <c r="BC2663" s="355">
        <v>0.29799999999999999</v>
      </c>
      <c r="BD2663" s="624">
        <v>41983</v>
      </c>
      <c r="BE2663" s="355">
        <v>9.0749999999999997E-2</v>
      </c>
      <c r="BF2663" s="624">
        <v>42123</v>
      </c>
      <c r="BG2663" s="355">
        <v>1.5757E-2</v>
      </c>
      <c r="BH2663" s="624">
        <v>41983</v>
      </c>
      <c r="BI2663" s="355">
        <v>8.1049999999999997E-2</v>
      </c>
      <c r="BJ2663" s="624">
        <v>41982</v>
      </c>
      <c r="BK2663" s="355">
        <v>3.0457000000000001E-2</v>
      </c>
    </row>
    <row r="2664" spans="3:63">
      <c r="C2664" s="624"/>
      <c r="D2664" s="355">
        <v>1.528E-2</v>
      </c>
      <c r="AV2664" s="624"/>
      <c r="AX2664" s="624">
        <v>41989</v>
      </c>
      <c r="AY2664" s="355">
        <v>1.465E-2</v>
      </c>
      <c r="AZ2664" s="624">
        <v>42053</v>
      </c>
      <c r="BA2664" s="355">
        <v>9.4000000000000004E-3</v>
      </c>
      <c r="BB2664" s="624">
        <v>41984</v>
      </c>
      <c r="BC2664" s="355">
        <v>0.2974</v>
      </c>
      <c r="BD2664" s="624">
        <v>41984</v>
      </c>
      <c r="BE2664" s="355">
        <v>9.0670000000000001E-2</v>
      </c>
      <c r="BF2664" s="624">
        <v>42124</v>
      </c>
      <c r="BG2664" s="355">
        <v>1.5740000000000001E-2</v>
      </c>
      <c r="BH2664" s="624">
        <v>41984</v>
      </c>
      <c r="BI2664" s="355">
        <v>8.0321000000000004E-2</v>
      </c>
      <c r="BJ2664" s="624">
        <v>41983</v>
      </c>
      <c r="BK2664" s="355">
        <v>3.0509000000000001E-2</v>
      </c>
    </row>
    <row r="2665" spans="3:63">
      <c r="C2665" s="624"/>
      <c r="D2665" s="355">
        <v>1.465E-2</v>
      </c>
      <c r="AV2665" s="624"/>
      <c r="AX2665" s="624">
        <v>41990</v>
      </c>
      <c r="AY2665" s="355">
        <v>1.651E-2</v>
      </c>
      <c r="AZ2665" s="624">
        <v>42054</v>
      </c>
      <c r="BA2665" s="355">
        <v>9.4000000000000004E-3</v>
      </c>
      <c r="BB2665" s="624">
        <v>41985</v>
      </c>
      <c r="BC2665" s="355">
        <v>0.29780000000000001</v>
      </c>
      <c r="BD2665" s="624">
        <v>41985</v>
      </c>
      <c r="BE2665" s="355">
        <v>9.0550000000000005E-2</v>
      </c>
      <c r="BF2665" s="624">
        <v>42125</v>
      </c>
      <c r="BG2665" s="355">
        <v>1.5692000000000001E-2</v>
      </c>
      <c r="BH2665" s="624">
        <v>41985</v>
      </c>
      <c r="BI2665" s="355">
        <v>7.9334000000000002E-2</v>
      </c>
      <c r="BJ2665" s="624">
        <v>41984</v>
      </c>
      <c r="BK2665" s="355">
        <v>3.0464999999999999E-2</v>
      </c>
    </row>
    <row r="2666" spans="3:63">
      <c r="C2666" s="624"/>
      <c r="D2666" s="355">
        <v>1.651E-2</v>
      </c>
      <c r="AV2666" s="624"/>
      <c r="AX2666" s="624">
        <v>41991</v>
      </c>
      <c r="AY2666" s="355">
        <v>1.6140000000000002E-2</v>
      </c>
      <c r="AZ2666" s="624">
        <v>42055</v>
      </c>
      <c r="BA2666" s="355">
        <v>9.4999999999999998E-3</v>
      </c>
      <c r="BB2666" s="624">
        <v>41988</v>
      </c>
      <c r="BC2666" s="355">
        <v>0.29709999999999998</v>
      </c>
      <c r="BD2666" s="624">
        <v>41988</v>
      </c>
      <c r="BE2666" s="355">
        <v>9.1109999999999997E-2</v>
      </c>
      <c r="BF2666" s="624">
        <v>42128</v>
      </c>
      <c r="BG2666" s="355">
        <v>1.5717999999999999E-2</v>
      </c>
      <c r="BH2666" s="624">
        <v>41988</v>
      </c>
      <c r="BI2666" s="355">
        <v>7.7280000000000001E-2</v>
      </c>
      <c r="BJ2666" s="624">
        <v>41985</v>
      </c>
      <c r="BK2666" s="355">
        <v>3.0401000000000001E-2</v>
      </c>
    </row>
    <row r="2667" spans="3:63">
      <c r="C2667" s="624"/>
      <c r="D2667" s="355">
        <v>1.6140000000000002E-2</v>
      </c>
      <c r="AV2667" s="624"/>
      <c r="AX2667" s="624">
        <v>41992</v>
      </c>
      <c r="AY2667" s="355">
        <v>1.6799999999999999E-2</v>
      </c>
      <c r="AZ2667" s="624">
        <v>42058</v>
      </c>
      <c r="BA2667" s="355">
        <v>9.4000000000000004E-3</v>
      </c>
      <c r="BB2667" s="624">
        <v>41989</v>
      </c>
      <c r="BC2667" s="355">
        <v>0.29680000000000001</v>
      </c>
      <c r="BD2667" s="624">
        <v>41989</v>
      </c>
      <c r="BE2667" s="355">
        <v>9.2509999999999995E-2</v>
      </c>
      <c r="BF2667" s="624">
        <v>42129</v>
      </c>
      <c r="BG2667" s="355">
        <v>1.5785E-2</v>
      </c>
      <c r="BH2667" s="624">
        <v>41989</v>
      </c>
      <c r="BI2667" s="355">
        <v>7.8548000000000007E-2</v>
      </c>
      <c r="BJ2667" s="624">
        <v>41988</v>
      </c>
      <c r="BK2667" s="355">
        <v>3.0327E-2</v>
      </c>
    </row>
    <row r="2668" spans="3:63">
      <c r="C2668" s="624"/>
      <c r="D2668" s="355">
        <v>1.6799999999999999E-2</v>
      </c>
      <c r="AV2668" s="624"/>
      <c r="AX2668" s="624">
        <v>41995</v>
      </c>
      <c r="AY2668" s="355">
        <v>1.7919999999999998E-2</v>
      </c>
      <c r="AZ2668" s="624">
        <v>42059</v>
      </c>
      <c r="BA2668" s="355">
        <v>9.4000000000000004E-3</v>
      </c>
      <c r="BB2668" s="624">
        <v>41990</v>
      </c>
      <c r="BC2668" s="355">
        <v>0.29160000000000003</v>
      </c>
      <c r="BD2668" s="624">
        <v>41990</v>
      </c>
      <c r="BE2668" s="355">
        <v>9.1090000000000004E-2</v>
      </c>
      <c r="BF2668" s="624">
        <v>42130</v>
      </c>
      <c r="BG2668" s="355">
        <v>1.5727000000000001E-2</v>
      </c>
      <c r="BH2668" s="624">
        <v>41990</v>
      </c>
      <c r="BI2668" s="355">
        <v>7.8601000000000004E-2</v>
      </c>
      <c r="BJ2668" s="624">
        <v>41989</v>
      </c>
      <c r="BK2668" s="355">
        <v>3.0322000000000002E-2</v>
      </c>
    </row>
    <row r="2669" spans="3:63">
      <c r="C2669" s="624"/>
      <c r="D2669" s="355">
        <v>1.7919999999999998E-2</v>
      </c>
      <c r="AV2669" s="624"/>
      <c r="AX2669" s="624">
        <v>41996</v>
      </c>
      <c r="AY2669" s="355">
        <v>1.83E-2</v>
      </c>
      <c r="AZ2669" s="624">
        <v>42060</v>
      </c>
      <c r="BA2669" s="355">
        <v>9.4000000000000004E-3</v>
      </c>
      <c r="BB2669" s="624">
        <v>41991</v>
      </c>
      <c r="BC2669" s="355">
        <v>0.28910000000000002</v>
      </c>
      <c r="BD2669" s="624">
        <v>41991</v>
      </c>
      <c r="BE2669" s="355">
        <v>9.0969999999999995E-2</v>
      </c>
      <c r="BF2669" s="624">
        <v>42131</v>
      </c>
      <c r="BG2669" s="355">
        <v>1.5589E-2</v>
      </c>
      <c r="BH2669" s="624">
        <v>41991</v>
      </c>
      <c r="BI2669" s="355">
        <v>8.0007999999999996E-2</v>
      </c>
      <c r="BJ2669" s="624">
        <v>41990</v>
      </c>
      <c r="BK2669" s="355">
        <v>3.0367999999999999E-2</v>
      </c>
    </row>
    <row r="2670" spans="3:63">
      <c r="C2670" s="624"/>
      <c r="D2670" s="355">
        <v>1.83E-2</v>
      </c>
      <c r="AV2670" s="624"/>
      <c r="AX2670" s="624">
        <v>41997</v>
      </c>
      <c r="AY2670" s="355">
        <v>1.8759999999999999E-2</v>
      </c>
      <c r="AZ2670" s="624">
        <v>42061</v>
      </c>
      <c r="BA2670" s="355">
        <v>9.2999999999999992E-3</v>
      </c>
      <c r="BB2670" s="624">
        <v>41992</v>
      </c>
      <c r="BC2670" s="355">
        <v>0.2868</v>
      </c>
      <c r="BD2670" s="624">
        <v>41992</v>
      </c>
      <c r="BE2670" s="355">
        <v>9.0920000000000001E-2</v>
      </c>
      <c r="BF2670" s="624">
        <v>42132</v>
      </c>
      <c r="BG2670" s="355">
        <v>1.5703999999999999E-2</v>
      </c>
      <c r="BH2670" s="624">
        <v>41992</v>
      </c>
      <c r="BI2670" s="355">
        <v>8.0633999999999997E-2</v>
      </c>
      <c r="BJ2670" s="624">
        <v>41991</v>
      </c>
      <c r="BK2670" s="355">
        <v>3.0384999999999999E-2</v>
      </c>
    </row>
    <row r="2671" spans="3:63">
      <c r="C2671" s="624"/>
      <c r="D2671" s="355">
        <v>1.8759999999999999E-2</v>
      </c>
      <c r="AV2671" s="624"/>
      <c r="AX2671" s="624">
        <v>41998</v>
      </c>
      <c r="AY2671" s="355">
        <v>1.8890000000000001E-2</v>
      </c>
      <c r="AZ2671" s="624">
        <v>42062</v>
      </c>
      <c r="BA2671" s="355">
        <v>9.2999999999999992E-3</v>
      </c>
      <c r="BB2671" s="624">
        <v>41995</v>
      </c>
      <c r="BC2671" s="355">
        <v>0.28699999999999998</v>
      </c>
      <c r="BD2671" s="624">
        <v>41995</v>
      </c>
      <c r="BE2671" s="355">
        <v>9.0899999999999995E-2</v>
      </c>
      <c r="BF2671" s="624">
        <v>42135</v>
      </c>
      <c r="BG2671" s="355">
        <v>1.5606999999999999E-2</v>
      </c>
      <c r="BH2671" s="624">
        <v>41995</v>
      </c>
      <c r="BI2671" s="355">
        <v>8.0172999999999994E-2</v>
      </c>
      <c r="BJ2671" s="624">
        <v>41992</v>
      </c>
      <c r="BK2671" s="355">
        <v>3.0429000000000001E-2</v>
      </c>
    </row>
    <row r="2672" spans="3:63">
      <c r="C2672" s="624"/>
      <c r="D2672" s="355">
        <v>1.8890000000000001E-2</v>
      </c>
      <c r="AV2672" s="624"/>
      <c r="AX2672" s="624">
        <v>41999</v>
      </c>
      <c r="AY2672" s="355">
        <v>1.8519999999999998E-2</v>
      </c>
      <c r="AZ2672" s="624">
        <v>42065</v>
      </c>
      <c r="BA2672" s="355">
        <v>9.2999999999999992E-3</v>
      </c>
      <c r="BB2672" s="624">
        <v>41996</v>
      </c>
      <c r="BC2672" s="355">
        <v>0.28299999999999997</v>
      </c>
      <c r="BD2672" s="624">
        <v>41996</v>
      </c>
      <c r="BE2672" s="355">
        <v>9.0359999999999996E-2</v>
      </c>
      <c r="BF2672" s="624">
        <v>42136</v>
      </c>
      <c r="BG2672" s="355">
        <v>1.5566E-2</v>
      </c>
      <c r="BH2672" s="624">
        <v>41996</v>
      </c>
      <c r="BI2672" s="355">
        <v>7.9751000000000002E-2</v>
      </c>
      <c r="BJ2672" s="624">
        <v>41995</v>
      </c>
      <c r="BK2672" s="355">
        <v>3.0393E-2</v>
      </c>
    </row>
    <row r="2673" spans="3:63">
      <c r="C2673" s="624"/>
      <c r="D2673" s="355">
        <v>1.8519999999999998E-2</v>
      </c>
      <c r="AV2673" s="624"/>
      <c r="AX2673" s="624">
        <v>42002</v>
      </c>
      <c r="AY2673" s="355">
        <v>1.6930000000000001E-2</v>
      </c>
      <c r="AZ2673" s="624">
        <v>42066</v>
      </c>
      <c r="BA2673" s="355">
        <v>9.1999999999999998E-3</v>
      </c>
      <c r="BB2673" s="624">
        <v>41997</v>
      </c>
      <c r="BC2673" s="355">
        <v>0.28079999999999999</v>
      </c>
      <c r="BD2673" s="624">
        <v>41997</v>
      </c>
      <c r="BE2673" s="355">
        <v>9.0499999999999997E-2</v>
      </c>
      <c r="BF2673" s="624">
        <v>42137</v>
      </c>
      <c r="BG2673" s="355">
        <v>1.562E-2</v>
      </c>
      <c r="BH2673" s="624">
        <v>41997</v>
      </c>
      <c r="BI2673" s="355">
        <v>8.0366000000000007E-2</v>
      </c>
      <c r="BJ2673" s="624">
        <v>41996</v>
      </c>
      <c r="BK2673" s="355">
        <v>3.0391000000000001E-2</v>
      </c>
    </row>
    <row r="2674" spans="3:63">
      <c r="C2674" s="624"/>
      <c r="D2674" s="355">
        <v>1.6930000000000001E-2</v>
      </c>
      <c r="AV2674" s="624"/>
      <c r="AX2674" s="624">
        <v>42003</v>
      </c>
      <c r="AY2674" s="355">
        <v>1.8030000000000001E-2</v>
      </c>
      <c r="AZ2674" s="624">
        <v>42067</v>
      </c>
      <c r="BA2674" s="355">
        <v>9.1999999999999998E-3</v>
      </c>
      <c r="BB2674" s="624">
        <v>41998</v>
      </c>
      <c r="BC2674" s="355">
        <v>0.28170000000000001</v>
      </c>
      <c r="BD2674" s="624">
        <v>41998</v>
      </c>
      <c r="BE2674" s="355">
        <v>9.0759999999999993E-2</v>
      </c>
      <c r="BF2674" s="624">
        <v>42138</v>
      </c>
      <c r="BG2674" s="355">
        <v>1.5764E-2</v>
      </c>
      <c r="BH2674" s="624">
        <v>41998</v>
      </c>
      <c r="BI2674" s="355">
        <v>8.0191999999999999E-2</v>
      </c>
      <c r="BJ2674" s="624">
        <v>41997</v>
      </c>
      <c r="BK2674" s="355">
        <v>3.0412000000000002E-2</v>
      </c>
    </row>
    <row r="2675" spans="3:63">
      <c r="C2675" s="624"/>
      <c r="D2675" s="355">
        <v>1.8030000000000001E-2</v>
      </c>
      <c r="AV2675" s="624"/>
      <c r="AX2675" s="624">
        <v>42004</v>
      </c>
      <c r="AY2675" s="355">
        <v>1.7229999999999999E-2</v>
      </c>
      <c r="AZ2675" s="624">
        <v>42068</v>
      </c>
      <c r="BA2675" s="355">
        <v>9.1000000000000004E-3</v>
      </c>
      <c r="BB2675" s="624">
        <v>41999</v>
      </c>
      <c r="BC2675" s="355">
        <v>0.2777</v>
      </c>
      <c r="BD2675" s="624">
        <v>41999</v>
      </c>
      <c r="BE2675" s="355">
        <v>9.0410000000000004E-2</v>
      </c>
      <c r="BF2675" s="624">
        <v>42139</v>
      </c>
      <c r="BG2675" s="355">
        <v>1.5762999999999999E-2</v>
      </c>
      <c r="BH2675" s="624">
        <v>41999</v>
      </c>
      <c r="BI2675" s="355">
        <v>8.0436999999999995E-2</v>
      </c>
      <c r="BJ2675" s="624">
        <v>41998</v>
      </c>
      <c r="BK2675" s="355">
        <v>3.0429999999999999E-2</v>
      </c>
    </row>
    <row r="2676" spans="3:63">
      <c r="C2676" s="624"/>
      <c r="D2676" s="355">
        <v>1.7229999999999999E-2</v>
      </c>
      <c r="AV2676" s="624"/>
      <c r="AX2676" s="624">
        <v>42005</v>
      </c>
      <c r="AY2676" s="355">
        <v>1.7229999999999999E-2</v>
      </c>
      <c r="AZ2676" s="624">
        <v>42069</v>
      </c>
      <c r="BA2676" s="355">
        <v>8.9999999999999993E-3</v>
      </c>
      <c r="BB2676" s="624">
        <v>42002</v>
      </c>
      <c r="BC2676" s="355">
        <v>0.28189999999999998</v>
      </c>
      <c r="BD2676" s="624">
        <v>42002</v>
      </c>
      <c r="BE2676" s="355">
        <v>9.0880000000000002E-2</v>
      </c>
      <c r="BF2676" s="624">
        <v>42142</v>
      </c>
      <c r="BG2676" s="355">
        <v>1.5689000000000002E-2</v>
      </c>
      <c r="BH2676" s="624">
        <v>42002</v>
      </c>
      <c r="BI2676" s="355">
        <v>8.0463000000000007E-2</v>
      </c>
      <c r="BJ2676" s="624">
        <v>41999</v>
      </c>
      <c r="BK2676" s="355">
        <v>3.0388999999999999E-2</v>
      </c>
    </row>
    <row r="2677" spans="3:63">
      <c r="C2677" s="624"/>
      <c r="D2677" s="355">
        <v>1.7229999999999999E-2</v>
      </c>
      <c r="AV2677" s="624"/>
      <c r="AX2677" s="624">
        <v>42006</v>
      </c>
      <c r="AY2677" s="355">
        <v>1.6969999999999999E-2</v>
      </c>
      <c r="AZ2677" s="624">
        <v>42072</v>
      </c>
      <c r="BA2677" s="355">
        <v>8.9999999999999993E-3</v>
      </c>
      <c r="BB2677" s="624">
        <v>42003</v>
      </c>
      <c r="BC2677" s="355">
        <v>0.28420000000000001</v>
      </c>
      <c r="BD2677" s="624">
        <v>42003</v>
      </c>
      <c r="BE2677" s="355">
        <v>9.1170000000000001E-2</v>
      </c>
      <c r="BF2677" s="624">
        <v>42143</v>
      </c>
      <c r="BG2677" s="355">
        <v>1.5682999999999999E-2</v>
      </c>
      <c r="BH2677" s="624">
        <v>42003</v>
      </c>
      <c r="BI2677" s="355">
        <v>8.0561999999999995E-2</v>
      </c>
      <c r="BJ2677" s="624">
        <v>42002</v>
      </c>
      <c r="BK2677" s="355">
        <v>3.0348E-2</v>
      </c>
    </row>
    <row r="2678" spans="3:63">
      <c r="C2678" s="624"/>
      <c r="D2678" s="355">
        <v>1.6969999999999999E-2</v>
      </c>
      <c r="AV2678" s="624"/>
      <c r="AX2678" s="624">
        <v>42009</v>
      </c>
      <c r="AY2678" s="355">
        <v>1.652E-2</v>
      </c>
      <c r="AZ2678" s="624">
        <v>42073</v>
      </c>
      <c r="BA2678" s="355">
        <v>8.8000000000000005E-3</v>
      </c>
      <c r="BB2678" s="624">
        <v>42004</v>
      </c>
      <c r="BC2678" s="355">
        <v>0.2823</v>
      </c>
      <c r="BD2678" s="624">
        <v>42004</v>
      </c>
      <c r="BE2678" s="355">
        <v>9.1410000000000005E-2</v>
      </c>
      <c r="BF2678" s="624">
        <v>42144</v>
      </c>
      <c r="BG2678" s="355">
        <v>1.5723000000000001E-2</v>
      </c>
      <c r="BH2678" s="624">
        <v>42004</v>
      </c>
      <c r="BI2678" s="355">
        <v>8.0421000000000006E-2</v>
      </c>
      <c r="BJ2678" s="624">
        <v>42003</v>
      </c>
      <c r="BK2678" s="355">
        <v>3.0426999999999999E-2</v>
      </c>
    </row>
    <row r="2679" spans="3:63">
      <c r="C2679" s="624"/>
      <c r="D2679" s="355">
        <v>1.652E-2</v>
      </c>
      <c r="AV2679" s="624"/>
      <c r="AX2679" s="624">
        <v>42010</v>
      </c>
      <c r="AY2679" s="355">
        <v>1.584E-2</v>
      </c>
      <c r="AZ2679" s="624">
        <v>42074</v>
      </c>
      <c r="BA2679" s="355">
        <v>8.8999999999999999E-3</v>
      </c>
      <c r="BB2679" s="624">
        <v>42005</v>
      </c>
      <c r="BC2679" s="355">
        <v>0.28249999999999997</v>
      </c>
      <c r="BD2679" s="624">
        <v>42005</v>
      </c>
      <c r="BE2679" s="355">
        <v>9.1469999999999996E-2</v>
      </c>
      <c r="BF2679" s="624">
        <v>42145</v>
      </c>
      <c r="BG2679" s="355">
        <v>1.5720999999999999E-2</v>
      </c>
      <c r="BH2679" s="624">
        <v>42005</v>
      </c>
      <c r="BI2679" s="355">
        <v>8.0411999999999997E-2</v>
      </c>
      <c r="BJ2679" s="624">
        <v>42004</v>
      </c>
      <c r="BK2679" s="355">
        <v>3.0391000000000001E-2</v>
      </c>
    </row>
    <row r="2680" spans="3:63">
      <c r="C2680" s="624"/>
      <c r="D2680" s="355">
        <v>1.584E-2</v>
      </c>
      <c r="AV2680" s="624"/>
      <c r="AX2680" s="624">
        <v>42011</v>
      </c>
      <c r="AY2680" s="355">
        <v>1.5939999999999999E-2</v>
      </c>
      <c r="AZ2680" s="624">
        <v>42075</v>
      </c>
      <c r="BA2680" s="355">
        <v>8.8000000000000005E-3</v>
      </c>
      <c r="BB2680" s="624">
        <v>42006</v>
      </c>
      <c r="BC2680" s="355">
        <v>0.27879999999999999</v>
      </c>
      <c r="BD2680" s="624">
        <v>42006</v>
      </c>
      <c r="BE2680" s="355">
        <v>9.0319999999999998E-2</v>
      </c>
      <c r="BF2680" s="624">
        <v>42146</v>
      </c>
      <c r="BG2680" s="355">
        <v>1.5737999999999999E-2</v>
      </c>
      <c r="BH2680" s="624">
        <v>42006</v>
      </c>
      <c r="BI2680" s="355">
        <v>7.9834000000000002E-2</v>
      </c>
      <c r="BJ2680" s="624">
        <v>42005</v>
      </c>
      <c r="BK2680" s="355">
        <v>3.0379E-2</v>
      </c>
    </row>
    <row r="2681" spans="3:63">
      <c r="C2681" s="624"/>
      <c r="D2681" s="355">
        <v>1.5939999999999999E-2</v>
      </c>
      <c r="AV2681" s="624"/>
      <c r="AX2681" s="624">
        <v>42012</v>
      </c>
      <c r="AY2681" s="355">
        <v>1.661E-2</v>
      </c>
      <c r="AZ2681" s="624">
        <v>42076</v>
      </c>
      <c r="BA2681" s="355">
        <v>8.6999999999999994E-3</v>
      </c>
      <c r="BB2681" s="624">
        <v>42009</v>
      </c>
      <c r="BC2681" s="355">
        <v>0.2782</v>
      </c>
      <c r="BD2681" s="624">
        <v>42009</v>
      </c>
      <c r="BE2681" s="355">
        <v>9.01E-2</v>
      </c>
      <c r="BF2681" s="624">
        <v>42149</v>
      </c>
      <c r="BG2681" s="355">
        <v>1.5723000000000001E-2</v>
      </c>
      <c r="BH2681" s="624">
        <v>42009</v>
      </c>
      <c r="BI2681" s="355">
        <v>7.9228999999999994E-2</v>
      </c>
      <c r="BJ2681" s="624">
        <v>42006</v>
      </c>
      <c r="BK2681" s="355">
        <v>3.0339999999999999E-2</v>
      </c>
    </row>
    <row r="2682" spans="3:63">
      <c r="C2682" s="624"/>
      <c r="D2682" s="355">
        <v>1.661E-2</v>
      </c>
      <c r="AV2682" s="624"/>
      <c r="AX2682" s="624">
        <v>42013</v>
      </c>
      <c r="AY2682" s="355">
        <v>1.6140000000000002E-2</v>
      </c>
      <c r="AZ2682" s="624">
        <v>42079</v>
      </c>
      <c r="BA2682" s="355">
        <v>8.8000000000000005E-3</v>
      </c>
      <c r="BB2682" s="624">
        <v>42010</v>
      </c>
      <c r="BC2682" s="355">
        <v>0.27529999999999999</v>
      </c>
      <c r="BD2682" s="624">
        <v>42010</v>
      </c>
      <c r="BE2682" s="355">
        <v>9.0980000000000005E-2</v>
      </c>
      <c r="BF2682" s="624">
        <v>42150</v>
      </c>
      <c r="BG2682" s="355">
        <v>1.5632E-2</v>
      </c>
      <c r="BH2682" s="624">
        <v>42010</v>
      </c>
      <c r="BI2682" s="355">
        <v>7.9036999999999996E-2</v>
      </c>
      <c r="BJ2682" s="624">
        <v>42009</v>
      </c>
      <c r="BK2682" s="355">
        <v>3.0332000000000001E-2</v>
      </c>
    </row>
    <row r="2683" spans="3:63">
      <c r="C2683" s="624"/>
      <c r="D2683" s="355">
        <v>1.6140000000000002E-2</v>
      </c>
      <c r="AV2683" s="624"/>
      <c r="AX2683" s="624">
        <v>42016</v>
      </c>
      <c r="AY2683" s="355">
        <v>1.584E-2</v>
      </c>
      <c r="AZ2683" s="624">
        <v>42080</v>
      </c>
      <c r="BA2683" s="355">
        <v>8.8000000000000005E-3</v>
      </c>
      <c r="BB2683" s="624">
        <v>42011</v>
      </c>
      <c r="BC2683" s="355">
        <v>0.2757</v>
      </c>
      <c r="BD2683" s="624">
        <v>42011</v>
      </c>
      <c r="BE2683" s="355">
        <v>9.1020000000000004E-2</v>
      </c>
      <c r="BF2683" s="624">
        <v>42151</v>
      </c>
      <c r="BG2683" s="355">
        <v>1.5646E-2</v>
      </c>
      <c r="BH2683" s="624">
        <v>42011</v>
      </c>
      <c r="BI2683" s="355">
        <v>7.8864000000000004E-2</v>
      </c>
      <c r="BJ2683" s="624">
        <v>42010</v>
      </c>
      <c r="BK2683" s="355">
        <v>3.0425000000000001E-2</v>
      </c>
    </row>
    <row r="2684" spans="3:63">
      <c r="C2684" s="624"/>
      <c r="D2684" s="355">
        <v>1.584E-2</v>
      </c>
      <c r="AV2684" s="624"/>
      <c r="AX2684" s="624">
        <v>42017</v>
      </c>
      <c r="AY2684" s="355">
        <v>1.529E-2</v>
      </c>
      <c r="AZ2684" s="624">
        <v>42081</v>
      </c>
      <c r="BA2684" s="355">
        <v>9.1000000000000004E-3</v>
      </c>
      <c r="BB2684" s="624">
        <v>42012</v>
      </c>
      <c r="BC2684" s="355">
        <v>0.27539999999999998</v>
      </c>
      <c r="BD2684" s="624">
        <v>42012</v>
      </c>
      <c r="BE2684" s="355">
        <v>9.128E-2</v>
      </c>
      <c r="BF2684" s="624">
        <v>42152</v>
      </c>
      <c r="BG2684" s="355">
        <v>1.5679999999999999E-2</v>
      </c>
      <c r="BH2684" s="624">
        <v>42012</v>
      </c>
      <c r="BI2684" s="355">
        <v>7.8958E-2</v>
      </c>
      <c r="BJ2684" s="624">
        <v>42011</v>
      </c>
      <c r="BK2684" s="355">
        <v>3.0432000000000001E-2</v>
      </c>
    </row>
    <row r="2685" spans="3:63">
      <c r="C2685" s="624"/>
      <c r="D2685" s="355">
        <v>1.529E-2</v>
      </c>
      <c r="AV2685" s="624"/>
      <c r="AX2685" s="624">
        <v>42018</v>
      </c>
      <c r="AY2685" s="355">
        <v>1.5469999999999999E-2</v>
      </c>
      <c r="AZ2685" s="624">
        <v>42082</v>
      </c>
      <c r="BA2685" s="355">
        <v>8.8999999999999999E-3</v>
      </c>
      <c r="BB2685" s="624">
        <v>42013</v>
      </c>
      <c r="BC2685" s="355">
        <v>0.27760000000000001</v>
      </c>
      <c r="BD2685" s="624">
        <v>42013</v>
      </c>
      <c r="BE2685" s="355">
        <v>9.214E-2</v>
      </c>
      <c r="BF2685" s="624">
        <v>42153</v>
      </c>
      <c r="BG2685" s="355">
        <v>1.5677E-2</v>
      </c>
      <c r="BH2685" s="624">
        <v>42013</v>
      </c>
      <c r="BI2685" s="355">
        <v>7.9468999999999998E-2</v>
      </c>
      <c r="BJ2685" s="624">
        <v>42012</v>
      </c>
      <c r="BK2685" s="355">
        <v>3.0425000000000001E-2</v>
      </c>
    </row>
    <row r="2686" spans="3:63">
      <c r="C2686" s="624"/>
      <c r="D2686" s="355">
        <v>1.5469999999999999E-2</v>
      </c>
      <c r="AV2686" s="624"/>
      <c r="AX2686" s="624">
        <v>42019</v>
      </c>
      <c r="AY2686" s="355">
        <v>1.533E-2</v>
      </c>
      <c r="AZ2686" s="624">
        <v>42083</v>
      </c>
      <c r="BA2686" s="355">
        <v>8.9999999999999993E-3</v>
      </c>
      <c r="BB2686" s="624">
        <v>42016</v>
      </c>
      <c r="BC2686" s="355">
        <v>0.27679999999999999</v>
      </c>
      <c r="BD2686" s="624">
        <v>42016</v>
      </c>
      <c r="BE2686" s="355">
        <v>9.2359999999999998E-2</v>
      </c>
      <c r="BF2686" s="624">
        <v>42156</v>
      </c>
      <c r="BG2686" s="355">
        <v>1.5723000000000001E-2</v>
      </c>
      <c r="BH2686" s="624">
        <v>42016</v>
      </c>
      <c r="BI2686" s="355">
        <v>7.9566999999999999E-2</v>
      </c>
      <c r="BJ2686" s="624">
        <v>42013</v>
      </c>
      <c r="BK2686" s="355">
        <v>3.0414E-2</v>
      </c>
    </row>
    <row r="2687" spans="3:63">
      <c r="C2687" s="624"/>
      <c r="D2687" s="355">
        <v>1.533E-2</v>
      </c>
      <c r="AV2687" s="624"/>
      <c r="AX2687" s="624">
        <v>42020</v>
      </c>
      <c r="AY2687" s="355">
        <v>1.532E-2</v>
      </c>
      <c r="AZ2687" s="624">
        <v>42086</v>
      </c>
      <c r="BA2687" s="355">
        <v>9.1000000000000004E-3</v>
      </c>
      <c r="BB2687" s="624">
        <v>42017</v>
      </c>
      <c r="BC2687" s="355">
        <v>0.27479999999999999</v>
      </c>
      <c r="BD2687" s="624">
        <v>42017</v>
      </c>
      <c r="BE2687" s="355">
        <v>9.2689999999999995E-2</v>
      </c>
      <c r="BF2687" s="624">
        <v>42157</v>
      </c>
      <c r="BG2687" s="355">
        <v>1.5702000000000001E-2</v>
      </c>
      <c r="BH2687" s="624">
        <v>42017</v>
      </c>
      <c r="BI2687" s="355">
        <v>7.9289999999999999E-2</v>
      </c>
      <c r="BJ2687" s="624">
        <v>42016</v>
      </c>
      <c r="BK2687" s="355">
        <v>3.0415999999999999E-2</v>
      </c>
    </row>
    <row r="2688" spans="3:63">
      <c r="C2688" s="624"/>
      <c r="D2688" s="355">
        <v>1.532E-2</v>
      </c>
      <c r="AV2688" s="624"/>
      <c r="AX2688" s="624">
        <v>42023</v>
      </c>
      <c r="AY2688" s="355">
        <v>1.54E-2</v>
      </c>
      <c r="AZ2688" s="624">
        <v>42087</v>
      </c>
      <c r="BA2688" s="355">
        <v>9.1000000000000004E-3</v>
      </c>
      <c r="BB2688" s="624">
        <v>42018</v>
      </c>
      <c r="BC2688" s="355">
        <v>0.27689999999999998</v>
      </c>
      <c r="BD2688" s="624">
        <v>42018</v>
      </c>
      <c r="BE2688" s="355">
        <v>9.2329999999999995E-2</v>
      </c>
      <c r="BF2688" s="624">
        <v>42158</v>
      </c>
      <c r="BG2688" s="355">
        <v>1.5622E-2</v>
      </c>
      <c r="BH2688" s="624">
        <v>42018</v>
      </c>
      <c r="BI2688" s="355">
        <v>7.9485E-2</v>
      </c>
      <c r="BJ2688" s="624">
        <v>42017</v>
      </c>
      <c r="BK2688" s="355">
        <v>3.0476E-2</v>
      </c>
    </row>
    <row r="2689" spans="3:63">
      <c r="C2689" s="624"/>
      <c r="D2689" s="355">
        <v>1.54E-2</v>
      </c>
      <c r="AV2689" s="624"/>
      <c r="AX2689" s="624">
        <v>42024</v>
      </c>
      <c r="AY2689" s="355">
        <v>1.533E-2</v>
      </c>
      <c r="AZ2689" s="624">
        <v>42088</v>
      </c>
      <c r="BA2689" s="355">
        <v>9.1000000000000004E-3</v>
      </c>
      <c r="BB2689" s="624">
        <v>42019</v>
      </c>
      <c r="BC2689" s="355">
        <v>0.26960000000000001</v>
      </c>
      <c r="BD2689" s="624">
        <v>42019</v>
      </c>
      <c r="BE2689" s="355">
        <v>9.2960000000000001E-2</v>
      </c>
      <c r="BF2689" s="624">
        <v>42159</v>
      </c>
      <c r="BG2689" s="355">
        <v>1.5630999999999999E-2</v>
      </c>
      <c r="BH2689" s="624">
        <v>42019</v>
      </c>
      <c r="BI2689" s="355">
        <v>7.9757999999999996E-2</v>
      </c>
      <c r="BJ2689" s="624">
        <v>42018</v>
      </c>
      <c r="BK2689" s="355">
        <v>3.0525E-2</v>
      </c>
    </row>
    <row r="2690" spans="3:63">
      <c r="C2690" s="624"/>
      <c r="D2690" s="355">
        <v>1.533E-2</v>
      </c>
      <c r="AV2690" s="624"/>
      <c r="AX2690" s="624">
        <v>42025</v>
      </c>
      <c r="AY2690" s="355">
        <v>1.5339999999999999E-2</v>
      </c>
      <c r="AZ2690" s="624">
        <v>42089</v>
      </c>
      <c r="BA2690" s="355">
        <v>8.9999999999999993E-3</v>
      </c>
      <c r="BB2690" s="624">
        <v>42020</v>
      </c>
      <c r="BC2690" s="355">
        <v>0.26869999999999999</v>
      </c>
      <c r="BD2690" s="624">
        <v>42020</v>
      </c>
      <c r="BE2690" s="355">
        <v>9.2619999999999994E-2</v>
      </c>
      <c r="BF2690" s="624">
        <v>42160</v>
      </c>
      <c r="BG2690" s="355">
        <v>1.5594E-2</v>
      </c>
      <c r="BH2690" s="624">
        <v>42020</v>
      </c>
      <c r="BI2690" s="355">
        <v>7.9346E-2</v>
      </c>
      <c r="BJ2690" s="624">
        <v>42019</v>
      </c>
      <c r="BK2690" s="355">
        <v>3.0543000000000001E-2</v>
      </c>
    </row>
    <row r="2691" spans="3:63">
      <c r="C2691" s="624"/>
      <c r="D2691" s="355">
        <v>1.5339999999999999E-2</v>
      </c>
      <c r="AV2691" s="624"/>
      <c r="AX2691" s="624">
        <v>42026</v>
      </c>
      <c r="AY2691" s="355">
        <v>1.5570000000000001E-2</v>
      </c>
      <c r="AZ2691" s="624">
        <v>42090</v>
      </c>
      <c r="BA2691" s="355">
        <v>8.9999999999999993E-3</v>
      </c>
      <c r="BB2691" s="624">
        <v>42023</v>
      </c>
      <c r="BC2691" s="355">
        <v>0.2681</v>
      </c>
      <c r="BD2691" s="624">
        <v>42023</v>
      </c>
      <c r="BE2691" s="355">
        <v>9.2649999999999996E-2</v>
      </c>
      <c r="BF2691" s="624">
        <v>42163</v>
      </c>
      <c r="BG2691" s="355">
        <v>1.5639E-2</v>
      </c>
      <c r="BH2691" s="624">
        <v>42023</v>
      </c>
      <c r="BI2691" s="355">
        <v>7.9089000000000007E-2</v>
      </c>
      <c r="BJ2691" s="624">
        <v>42020</v>
      </c>
      <c r="BK2691" s="355">
        <v>3.0713000000000001E-2</v>
      </c>
    </row>
    <row r="2692" spans="3:63">
      <c r="C2692" s="624"/>
      <c r="D2692" s="355">
        <v>1.5570000000000001E-2</v>
      </c>
      <c r="AV2692" s="624"/>
      <c r="AX2692" s="624">
        <v>42027</v>
      </c>
      <c r="AY2692" s="355">
        <v>1.545E-2</v>
      </c>
      <c r="AZ2692" s="624">
        <v>42093</v>
      </c>
      <c r="BA2692" s="355">
        <v>8.9999999999999993E-3</v>
      </c>
      <c r="BB2692" s="624">
        <v>42024</v>
      </c>
      <c r="BC2692" s="355">
        <v>0.26669999999999999</v>
      </c>
      <c r="BD2692" s="624">
        <v>42024</v>
      </c>
      <c r="BE2692" s="355">
        <v>9.1920000000000002E-2</v>
      </c>
      <c r="BF2692" s="624">
        <v>42164</v>
      </c>
      <c r="BG2692" s="355">
        <v>1.5618999999999999E-2</v>
      </c>
      <c r="BH2692" s="624">
        <v>42024</v>
      </c>
      <c r="BI2692" s="355">
        <v>7.9504000000000005E-2</v>
      </c>
      <c r="BJ2692" s="624">
        <v>42023</v>
      </c>
      <c r="BK2692" s="355">
        <v>3.0692000000000001E-2</v>
      </c>
    </row>
    <row r="2693" spans="3:63">
      <c r="C2693" s="624"/>
      <c r="D2693" s="355">
        <v>1.545E-2</v>
      </c>
      <c r="AV2693" s="624"/>
      <c r="AX2693" s="624">
        <v>42030</v>
      </c>
      <c r="AY2693" s="355">
        <v>1.5089999999999999E-2</v>
      </c>
      <c r="AZ2693" s="624">
        <v>42094</v>
      </c>
      <c r="BA2693" s="355">
        <v>8.8999999999999999E-3</v>
      </c>
      <c r="BB2693" s="624">
        <v>42025</v>
      </c>
      <c r="BC2693" s="355">
        <v>0.27</v>
      </c>
      <c r="BD2693" s="624">
        <v>42025</v>
      </c>
      <c r="BE2693" s="355">
        <v>9.2399999999999996E-2</v>
      </c>
      <c r="BF2693" s="624">
        <v>42165</v>
      </c>
      <c r="BG2693" s="355">
        <v>1.5678999999999998E-2</v>
      </c>
      <c r="BH2693" s="624">
        <v>42025</v>
      </c>
      <c r="BI2693" s="355">
        <v>8.0180000000000001E-2</v>
      </c>
      <c r="BJ2693" s="624">
        <v>42024</v>
      </c>
      <c r="BK2693" s="355">
        <v>3.0575999999999999E-2</v>
      </c>
    </row>
    <row r="2694" spans="3:63">
      <c r="C2694" s="624"/>
      <c r="D2694" s="355">
        <v>1.5089999999999999E-2</v>
      </c>
      <c r="AV2694" s="624"/>
      <c r="AX2694" s="624">
        <v>42031</v>
      </c>
      <c r="AY2694" s="355">
        <v>1.477E-2</v>
      </c>
      <c r="AZ2694" s="624">
        <v>42095</v>
      </c>
      <c r="BA2694" s="355">
        <v>8.9999999999999993E-3</v>
      </c>
      <c r="BB2694" s="624">
        <v>42026</v>
      </c>
      <c r="BC2694" s="355">
        <v>0.2671</v>
      </c>
      <c r="BD2694" s="624">
        <v>42026</v>
      </c>
      <c r="BE2694" s="355">
        <v>9.2149999999999996E-2</v>
      </c>
      <c r="BF2694" s="624">
        <v>42166</v>
      </c>
      <c r="BG2694" s="355">
        <v>1.5633000000000001E-2</v>
      </c>
      <c r="BH2694" s="624">
        <v>42026</v>
      </c>
      <c r="BI2694" s="355">
        <v>8.0574000000000007E-2</v>
      </c>
      <c r="BJ2694" s="624">
        <v>42025</v>
      </c>
      <c r="BK2694" s="355">
        <v>3.0686000000000001E-2</v>
      </c>
    </row>
    <row r="2695" spans="3:63">
      <c r="C2695" s="624"/>
      <c r="D2695" s="355">
        <v>1.477E-2</v>
      </c>
      <c r="AV2695" s="624"/>
      <c r="AX2695" s="624">
        <v>42032</v>
      </c>
      <c r="AY2695" s="355">
        <v>1.4749999999999999E-2</v>
      </c>
      <c r="AZ2695" s="624">
        <v>42096</v>
      </c>
      <c r="BA2695" s="355">
        <v>9.1000000000000004E-3</v>
      </c>
      <c r="BB2695" s="624">
        <v>42027</v>
      </c>
      <c r="BC2695" s="355">
        <v>0.26640000000000003</v>
      </c>
      <c r="BD2695" s="624">
        <v>42027</v>
      </c>
      <c r="BE2695" s="355">
        <v>9.2799999999999994E-2</v>
      </c>
      <c r="BF2695" s="624">
        <v>42167</v>
      </c>
      <c r="BG2695" s="355">
        <v>1.5594999999999999E-2</v>
      </c>
      <c r="BH2695" s="624">
        <v>42027</v>
      </c>
      <c r="BI2695" s="355">
        <v>8.0227999999999994E-2</v>
      </c>
      <c r="BJ2695" s="624">
        <v>42026</v>
      </c>
      <c r="BK2695" s="355">
        <v>3.0669999999999999E-2</v>
      </c>
    </row>
    <row r="2696" spans="3:63">
      <c r="C2696" s="624"/>
      <c r="D2696" s="355">
        <v>1.4749999999999999E-2</v>
      </c>
      <c r="AV2696" s="624"/>
      <c r="AX2696" s="624">
        <v>42033</v>
      </c>
      <c r="AY2696" s="355">
        <v>1.453E-2</v>
      </c>
      <c r="AZ2696" s="624">
        <v>42097</v>
      </c>
      <c r="BA2696" s="355">
        <v>9.1000000000000004E-3</v>
      </c>
      <c r="BB2696" s="624">
        <v>42030</v>
      </c>
      <c r="BC2696" s="355">
        <v>0.2666</v>
      </c>
      <c r="BD2696" s="624">
        <v>42030</v>
      </c>
      <c r="BE2696" s="355">
        <v>9.2530000000000001E-2</v>
      </c>
      <c r="BF2696" s="624">
        <v>42170</v>
      </c>
      <c r="BG2696" s="355">
        <v>1.5604E-2</v>
      </c>
      <c r="BH2696" s="624">
        <v>42030</v>
      </c>
      <c r="BI2696" s="355">
        <v>8.0037999999999998E-2</v>
      </c>
      <c r="BJ2696" s="624">
        <v>42027</v>
      </c>
      <c r="BK2696" s="355">
        <v>3.0721999999999999E-2</v>
      </c>
    </row>
    <row r="2697" spans="3:63">
      <c r="C2697" s="624"/>
      <c r="D2697" s="355">
        <v>1.453E-2</v>
      </c>
      <c r="AV2697" s="624"/>
      <c r="AX2697" s="624">
        <v>42034</v>
      </c>
      <c r="AY2697" s="355">
        <v>1.4420000000000001E-2</v>
      </c>
      <c r="AZ2697" s="624">
        <v>42100</v>
      </c>
      <c r="BA2697" s="355">
        <v>9.1000000000000004E-3</v>
      </c>
      <c r="BB2697" s="624">
        <v>42031</v>
      </c>
      <c r="BC2697" s="355">
        <v>0.26840000000000003</v>
      </c>
      <c r="BD2697" s="624">
        <v>42031</v>
      </c>
      <c r="BE2697" s="355">
        <v>9.2759999999999995E-2</v>
      </c>
      <c r="BF2697" s="624">
        <v>42171</v>
      </c>
      <c r="BG2697" s="355">
        <v>1.5573E-2</v>
      </c>
      <c r="BH2697" s="624">
        <v>42031</v>
      </c>
      <c r="BI2697" s="355">
        <v>8.0217999999999998E-2</v>
      </c>
      <c r="BJ2697" s="624">
        <v>42030</v>
      </c>
      <c r="BK2697" s="355">
        <v>3.0713000000000001E-2</v>
      </c>
    </row>
    <row r="2698" spans="3:63">
      <c r="C2698" s="624"/>
      <c r="D2698" s="355">
        <v>1.4420000000000001E-2</v>
      </c>
      <c r="AV2698" s="624"/>
      <c r="AX2698" s="624">
        <v>42037</v>
      </c>
      <c r="AY2698" s="355">
        <v>1.464E-2</v>
      </c>
      <c r="AZ2698" s="624">
        <v>42101</v>
      </c>
      <c r="BA2698" s="355">
        <v>8.9999999999999993E-3</v>
      </c>
      <c r="BB2698" s="624">
        <v>42032</v>
      </c>
      <c r="BC2698" s="355">
        <v>0.26579999999999998</v>
      </c>
      <c r="BD2698" s="624">
        <v>42032</v>
      </c>
      <c r="BE2698" s="355">
        <v>9.2090000000000005E-2</v>
      </c>
      <c r="BF2698" s="624">
        <v>42172</v>
      </c>
      <c r="BG2698" s="355">
        <v>1.5646E-2</v>
      </c>
      <c r="BH2698" s="624">
        <v>42032</v>
      </c>
      <c r="BI2698" s="355">
        <v>7.9930000000000001E-2</v>
      </c>
      <c r="BJ2698" s="624">
        <v>42031</v>
      </c>
      <c r="BK2698" s="355">
        <v>3.0765000000000001E-2</v>
      </c>
    </row>
    <row r="2699" spans="3:63">
      <c r="C2699" s="624"/>
      <c r="D2699" s="355">
        <v>1.464E-2</v>
      </c>
      <c r="AV2699" s="624"/>
      <c r="AX2699" s="624">
        <v>42038</v>
      </c>
      <c r="AY2699" s="355">
        <v>1.5339999999999999E-2</v>
      </c>
      <c r="AZ2699" s="624">
        <v>42102</v>
      </c>
      <c r="BA2699" s="355">
        <v>8.9999999999999993E-3</v>
      </c>
      <c r="BB2699" s="624">
        <v>42033</v>
      </c>
      <c r="BC2699" s="355">
        <v>0.26860000000000001</v>
      </c>
      <c r="BD2699" s="624">
        <v>42033</v>
      </c>
      <c r="BE2699" s="355">
        <v>9.0910000000000005E-2</v>
      </c>
      <c r="BF2699" s="624">
        <v>42173</v>
      </c>
      <c r="BG2699" s="355">
        <v>1.5709999999999998E-2</v>
      </c>
      <c r="BH2699" s="624">
        <v>42033</v>
      </c>
      <c r="BI2699" s="355">
        <v>7.9201999999999995E-2</v>
      </c>
      <c r="BJ2699" s="624">
        <v>42032</v>
      </c>
      <c r="BK2699" s="355">
        <v>3.0707999999999999E-2</v>
      </c>
    </row>
    <row r="2700" spans="3:63">
      <c r="C2700" s="624"/>
      <c r="D2700" s="355">
        <v>1.5339999999999999E-2</v>
      </c>
      <c r="AV2700" s="624"/>
      <c r="AX2700" s="624">
        <v>42039</v>
      </c>
      <c r="AY2700" s="355">
        <v>1.468E-2</v>
      </c>
      <c r="AZ2700" s="624">
        <v>42103</v>
      </c>
      <c r="BA2700" s="355">
        <v>8.8999999999999999E-3</v>
      </c>
      <c r="BB2700" s="624">
        <v>42034</v>
      </c>
      <c r="BC2700" s="355">
        <v>0.26960000000000001</v>
      </c>
      <c r="BD2700" s="624">
        <v>42034</v>
      </c>
      <c r="BE2700" s="355">
        <v>9.0700000000000003E-2</v>
      </c>
      <c r="BF2700" s="624">
        <v>42174</v>
      </c>
      <c r="BG2700" s="355">
        <v>1.5747000000000001E-2</v>
      </c>
      <c r="BH2700" s="624">
        <v>42034</v>
      </c>
      <c r="BI2700" s="355">
        <v>7.8498999999999999E-2</v>
      </c>
      <c r="BJ2700" s="624">
        <v>42033</v>
      </c>
      <c r="BK2700" s="355">
        <v>3.0509000000000001E-2</v>
      </c>
    </row>
    <row r="2701" spans="3:63">
      <c r="C2701" s="624"/>
      <c r="D2701" s="355">
        <v>1.468E-2</v>
      </c>
      <c r="AV2701" s="624"/>
      <c r="AX2701" s="624">
        <v>42040</v>
      </c>
      <c r="AY2701" s="355">
        <v>1.502E-2</v>
      </c>
      <c r="AZ2701" s="624">
        <v>42104</v>
      </c>
      <c r="BA2701" s="355">
        <v>8.8000000000000005E-3</v>
      </c>
      <c r="BB2701" s="624">
        <v>42037</v>
      </c>
      <c r="BC2701" s="355">
        <v>0.27060000000000001</v>
      </c>
      <c r="BD2701" s="624">
        <v>42037</v>
      </c>
      <c r="BE2701" s="355">
        <v>9.0950000000000003E-2</v>
      </c>
      <c r="BF2701" s="624">
        <v>42177</v>
      </c>
      <c r="BG2701" s="355">
        <v>1.5741999999999999E-2</v>
      </c>
      <c r="BH2701" s="624">
        <v>42037</v>
      </c>
      <c r="BI2701" s="355">
        <v>7.8920000000000004E-2</v>
      </c>
      <c r="BJ2701" s="624">
        <v>42034</v>
      </c>
      <c r="BK2701" s="355">
        <v>3.0589000000000002E-2</v>
      </c>
    </row>
    <row r="2702" spans="3:63">
      <c r="C2702" s="624"/>
      <c r="D2702" s="355">
        <v>1.502E-2</v>
      </c>
      <c r="AV2702" s="624"/>
      <c r="AX2702" s="624">
        <v>42041</v>
      </c>
      <c r="AY2702" s="355">
        <v>1.5010000000000001E-2</v>
      </c>
      <c r="AZ2702" s="624">
        <v>42107</v>
      </c>
      <c r="BA2702" s="355">
        <v>8.8000000000000005E-3</v>
      </c>
      <c r="BB2702" s="624">
        <v>42038</v>
      </c>
      <c r="BC2702" s="355">
        <v>0.27510000000000001</v>
      </c>
      <c r="BD2702" s="624">
        <v>42038</v>
      </c>
      <c r="BE2702" s="355">
        <v>9.1490000000000002E-2</v>
      </c>
      <c r="BF2702" s="624">
        <v>42178</v>
      </c>
      <c r="BG2702" s="355">
        <v>1.5722E-2</v>
      </c>
      <c r="BH2702" s="624">
        <v>42038</v>
      </c>
      <c r="BI2702" s="355">
        <v>7.9465999999999995E-2</v>
      </c>
      <c r="BJ2702" s="624">
        <v>42037</v>
      </c>
      <c r="BK2702" s="355">
        <v>3.0693999999999999E-2</v>
      </c>
    </row>
    <row r="2703" spans="3:63">
      <c r="C2703" s="624"/>
      <c r="D2703" s="355">
        <v>1.5010000000000001E-2</v>
      </c>
      <c r="AV2703" s="624"/>
      <c r="AX2703" s="624">
        <v>42044</v>
      </c>
      <c r="AY2703" s="355">
        <v>1.521E-2</v>
      </c>
      <c r="AZ2703" s="624">
        <v>42108</v>
      </c>
      <c r="BA2703" s="355">
        <v>8.8999999999999999E-3</v>
      </c>
      <c r="BB2703" s="624">
        <v>42039</v>
      </c>
      <c r="BC2703" s="355">
        <v>0.27189999999999998</v>
      </c>
      <c r="BD2703" s="624">
        <v>42039</v>
      </c>
      <c r="BE2703" s="355">
        <v>9.1929999999999998E-2</v>
      </c>
      <c r="BF2703" s="624">
        <v>42179</v>
      </c>
      <c r="BG2703" s="355">
        <v>1.5741999999999999E-2</v>
      </c>
      <c r="BH2703" s="624">
        <v>42039</v>
      </c>
      <c r="BI2703" s="355">
        <v>7.9114000000000004E-2</v>
      </c>
      <c r="BJ2703" s="624">
        <v>42038</v>
      </c>
      <c r="BK2703" s="355">
        <v>3.0678E-2</v>
      </c>
    </row>
    <row r="2704" spans="3:63">
      <c r="C2704" s="624"/>
      <c r="D2704" s="355">
        <v>1.521E-2</v>
      </c>
      <c r="AV2704" s="624"/>
      <c r="AX2704" s="624">
        <v>42045</v>
      </c>
      <c r="AY2704" s="355">
        <v>1.528E-2</v>
      </c>
      <c r="AZ2704" s="624">
        <v>42109</v>
      </c>
      <c r="BA2704" s="355">
        <v>8.8999999999999999E-3</v>
      </c>
      <c r="BB2704" s="624">
        <v>42040</v>
      </c>
      <c r="BC2704" s="355">
        <v>0.27539999999999998</v>
      </c>
      <c r="BD2704" s="624">
        <v>42040</v>
      </c>
      <c r="BE2704" s="355">
        <v>9.2020000000000005E-2</v>
      </c>
      <c r="BF2704" s="624">
        <v>42180</v>
      </c>
      <c r="BG2704" s="355">
        <v>1.5734999999999999E-2</v>
      </c>
      <c r="BH2704" s="624">
        <v>42040</v>
      </c>
      <c r="BI2704" s="355">
        <v>7.9416E-2</v>
      </c>
      <c r="BJ2704" s="624">
        <v>42039</v>
      </c>
      <c r="BK2704" s="355">
        <v>3.0630000000000001E-2</v>
      </c>
    </row>
    <row r="2705" spans="3:63">
      <c r="C2705" s="624"/>
      <c r="D2705" s="355">
        <v>1.528E-2</v>
      </c>
      <c r="AV2705" s="624"/>
      <c r="AX2705" s="624">
        <v>42046</v>
      </c>
      <c r="AY2705" s="355">
        <v>1.533E-2</v>
      </c>
      <c r="AZ2705" s="624">
        <v>42110</v>
      </c>
      <c r="BA2705" s="355">
        <v>8.9999999999999993E-3</v>
      </c>
      <c r="BB2705" s="624">
        <v>42041</v>
      </c>
      <c r="BC2705" s="355">
        <v>0.2722</v>
      </c>
      <c r="BD2705" s="624">
        <v>42041</v>
      </c>
      <c r="BE2705" s="355">
        <v>9.1079999999999994E-2</v>
      </c>
      <c r="BF2705" s="624">
        <v>42181</v>
      </c>
      <c r="BG2705" s="355">
        <v>1.576E-2</v>
      </c>
      <c r="BH2705" s="624">
        <v>42041</v>
      </c>
      <c r="BI2705" s="355">
        <v>7.9050999999999996E-2</v>
      </c>
      <c r="BJ2705" s="624">
        <v>42040</v>
      </c>
      <c r="BK2705" s="355">
        <v>3.0675000000000001E-2</v>
      </c>
    </row>
    <row r="2706" spans="3:63">
      <c r="C2706" s="624"/>
      <c r="D2706" s="355">
        <v>1.533E-2</v>
      </c>
      <c r="AV2706" s="624"/>
      <c r="AX2706" s="624">
        <v>42047</v>
      </c>
      <c r="AY2706" s="355">
        <v>1.532E-2</v>
      </c>
      <c r="AZ2706" s="624">
        <v>42111</v>
      </c>
      <c r="BA2706" s="355">
        <v>8.9999999999999993E-3</v>
      </c>
      <c r="BB2706" s="624">
        <v>42044</v>
      </c>
      <c r="BC2706" s="355">
        <v>0.2707</v>
      </c>
      <c r="BD2706" s="624">
        <v>42044</v>
      </c>
      <c r="BE2706" s="355">
        <v>9.1310000000000002E-2</v>
      </c>
      <c r="BF2706" s="624">
        <v>42184</v>
      </c>
      <c r="BG2706" s="355">
        <v>1.5698E-2</v>
      </c>
      <c r="BH2706" s="624">
        <v>42044</v>
      </c>
      <c r="BI2706" s="355">
        <v>7.8865000000000005E-2</v>
      </c>
      <c r="BJ2706" s="624">
        <v>42041</v>
      </c>
      <c r="BK2706" s="355">
        <v>3.0623999999999998E-2</v>
      </c>
    </row>
    <row r="2707" spans="3:63">
      <c r="C2707" s="624"/>
      <c r="D2707" s="355">
        <v>1.532E-2</v>
      </c>
      <c r="AV2707" s="624"/>
      <c r="AX2707" s="624">
        <v>42048</v>
      </c>
      <c r="AY2707" s="355">
        <v>1.5949999999999999E-2</v>
      </c>
      <c r="AZ2707" s="624">
        <v>42114</v>
      </c>
      <c r="BA2707" s="355">
        <v>8.9999999999999993E-3</v>
      </c>
      <c r="BB2707" s="624">
        <v>42045</v>
      </c>
      <c r="BC2707" s="355">
        <v>0.26950000000000002</v>
      </c>
      <c r="BD2707" s="624">
        <v>42045</v>
      </c>
      <c r="BE2707" s="355">
        <v>9.0959999999999999E-2</v>
      </c>
      <c r="BF2707" s="624">
        <v>42185</v>
      </c>
      <c r="BG2707" s="355">
        <v>1.5722E-2</v>
      </c>
      <c r="BH2707" s="624">
        <v>42045</v>
      </c>
      <c r="BI2707" s="355">
        <v>7.8529000000000002E-2</v>
      </c>
      <c r="BJ2707" s="624">
        <v>42044</v>
      </c>
      <c r="BK2707" s="355">
        <v>3.0689000000000001E-2</v>
      </c>
    </row>
    <row r="2708" spans="3:63">
      <c r="C2708" s="624"/>
      <c r="D2708" s="355">
        <v>1.5949999999999999E-2</v>
      </c>
      <c r="AV2708" s="624"/>
      <c r="AX2708" s="624">
        <v>42051</v>
      </c>
      <c r="AY2708" s="355">
        <v>1.583E-2</v>
      </c>
      <c r="AZ2708" s="624">
        <v>42115</v>
      </c>
      <c r="BA2708" s="355">
        <v>8.9999999999999993E-3</v>
      </c>
      <c r="BB2708" s="624">
        <v>42046</v>
      </c>
      <c r="BC2708" s="355">
        <v>0.26929999999999998</v>
      </c>
      <c r="BD2708" s="624">
        <v>42046</v>
      </c>
      <c r="BE2708" s="355">
        <v>9.0240000000000001E-2</v>
      </c>
      <c r="BF2708" s="624">
        <v>42186</v>
      </c>
      <c r="BG2708" s="355">
        <v>1.5734000000000001E-2</v>
      </c>
      <c r="BH2708" s="624">
        <v>42046</v>
      </c>
      <c r="BI2708" s="355">
        <v>7.7760999999999997E-2</v>
      </c>
      <c r="BJ2708" s="624">
        <v>42045</v>
      </c>
      <c r="BK2708" s="355">
        <v>3.0639E-2</v>
      </c>
    </row>
    <row r="2709" spans="3:63">
      <c r="C2709" s="624"/>
      <c r="D2709" s="355">
        <v>1.583E-2</v>
      </c>
      <c r="AV2709" s="624"/>
      <c r="AX2709" s="624">
        <v>42052</v>
      </c>
      <c r="AY2709" s="355">
        <v>1.6E-2</v>
      </c>
      <c r="AZ2709" s="624">
        <v>42116</v>
      </c>
      <c r="BA2709" s="355">
        <v>8.8999999999999999E-3</v>
      </c>
      <c r="BB2709" s="624">
        <v>42047</v>
      </c>
      <c r="BC2709" s="355">
        <v>0.2737</v>
      </c>
      <c r="BD2709" s="624">
        <v>42047</v>
      </c>
      <c r="BE2709" s="355">
        <v>9.078E-2</v>
      </c>
      <c r="BF2709" s="624">
        <v>42187</v>
      </c>
      <c r="BG2709" s="355">
        <v>1.5796000000000001E-2</v>
      </c>
      <c r="BH2709" s="624">
        <v>42047</v>
      </c>
      <c r="BI2709" s="355">
        <v>7.8523999999999997E-2</v>
      </c>
      <c r="BJ2709" s="624">
        <v>42046</v>
      </c>
      <c r="BK2709" s="355">
        <v>3.0626E-2</v>
      </c>
    </row>
    <row r="2710" spans="3:63">
      <c r="C2710" s="624"/>
      <c r="D2710" s="355">
        <v>1.6E-2</v>
      </c>
      <c r="AV2710" s="624"/>
      <c r="AX2710" s="624">
        <v>42053</v>
      </c>
      <c r="AY2710" s="355">
        <v>1.6240000000000001E-2</v>
      </c>
      <c r="AZ2710" s="624">
        <v>42117</v>
      </c>
      <c r="BA2710" s="355">
        <v>8.9999999999999993E-3</v>
      </c>
      <c r="BB2710" s="624">
        <v>42048</v>
      </c>
      <c r="BC2710" s="355">
        <v>0.27200000000000002</v>
      </c>
      <c r="BD2710" s="624">
        <v>42048</v>
      </c>
      <c r="BE2710" s="355">
        <v>9.1050000000000006E-2</v>
      </c>
      <c r="BF2710" s="624">
        <v>42188</v>
      </c>
      <c r="BG2710" s="355">
        <v>1.5768999999999998E-2</v>
      </c>
      <c r="BH2710" s="624">
        <v>42048</v>
      </c>
      <c r="BI2710" s="355">
        <v>7.8529000000000002E-2</v>
      </c>
      <c r="BJ2710" s="624">
        <v>42047</v>
      </c>
      <c r="BK2710" s="355">
        <v>3.0665999999999999E-2</v>
      </c>
    </row>
    <row r="2711" spans="3:63">
      <c r="C2711" s="624"/>
      <c r="D2711" s="355">
        <v>1.6240000000000001E-2</v>
      </c>
      <c r="AV2711" s="624"/>
      <c r="AX2711" s="624">
        <v>42054</v>
      </c>
      <c r="AY2711" s="355">
        <v>1.6160000000000001E-2</v>
      </c>
      <c r="AZ2711" s="624">
        <v>42118</v>
      </c>
      <c r="BA2711" s="355">
        <v>8.9999999999999993E-3</v>
      </c>
      <c r="BB2711" s="624">
        <v>42051</v>
      </c>
      <c r="BC2711" s="355">
        <v>0.27200000000000002</v>
      </c>
      <c r="BD2711" s="624">
        <v>42051</v>
      </c>
      <c r="BE2711" s="355">
        <v>9.0759999999999993E-2</v>
      </c>
      <c r="BF2711" s="624">
        <v>42191</v>
      </c>
      <c r="BG2711" s="355">
        <v>1.5807000000000002E-2</v>
      </c>
      <c r="BH2711" s="624">
        <v>42051</v>
      </c>
      <c r="BI2711" s="355">
        <v>7.8387999999999999E-2</v>
      </c>
      <c r="BJ2711" s="624">
        <v>42048</v>
      </c>
      <c r="BK2711" s="355">
        <v>3.0676999999999999E-2</v>
      </c>
    </row>
    <row r="2712" spans="3:63">
      <c r="C2712" s="624"/>
      <c r="D2712" s="355">
        <v>1.6160000000000001E-2</v>
      </c>
      <c r="AV2712" s="624"/>
      <c r="AX2712" s="624">
        <v>42055</v>
      </c>
      <c r="AY2712" s="355">
        <v>1.6049999999999998E-2</v>
      </c>
      <c r="AZ2712" s="624">
        <v>42121</v>
      </c>
      <c r="BA2712" s="355">
        <v>8.9999999999999993E-3</v>
      </c>
      <c r="BB2712" s="624">
        <v>42052</v>
      </c>
      <c r="BC2712" s="355">
        <v>0.27229999999999999</v>
      </c>
      <c r="BD2712" s="624">
        <v>42052</v>
      </c>
      <c r="BE2712" s="355">
        <v>9.0179999999999996E-2</v>
      </c>
      <c r="BF2712" s="624">
        <v>42192</v>
      </c>
      <c r="BG2712" s="355">
        <v>1.5753E-2</v>
      </c>
      <c r="BH2712" s="624">
        <v>42052</v>
      </c>
      <c r="BI2712" s="355">
        <v>7.8125E-2</v>
      </c>
      <c r="BJ2712" s="624">
        <v>42051</v>
      </c>
      <c r="BK2712" s="355">
        <v>3.0683999999999999E-2</v>
      </c>
    </row>
    <row r="2713" spans="3:63">
      <c r="C2713" s="624"/>
      <c r="D2713" s="355">
        <v>1.6049999999999998E-2</v>
      </c>
      <c r="AV2713" s="624"/>
      <c r="AX2713" s="624">
        <v>42058</v>
      </c>
      <c r="AY2713" s="355">
        <v>1.5689999999999999E-2</v>
      </c>
      <c r="AZ2713" s="624">
        <v>42122</v>
      </c>
      <c r="BA2713" s="355">
        <v>9.1000000000000004E-3</v>
      </c>
      <c r="BB2713" s="624">
        <v>42053</v>
      </c>
      <c r="BC2713" s="355">
        <v>0.27239999999999998</v>
      </c>
      <c r="BD2713" s="624">
        <v>42053</v>
      </c>
      <c r="BE2713" s="355">
        <v>9.0200000000000002E-2</v>
      </c>
      <c r="BF2713" s="624">
        <v>42193</v>
      </c>
      <c r="BG2713" s="355">
        <v>1.5758000000000001E-2</v>
      </c>
      <c r="BH2713" s="624">
        <v>42053</v>
      </c>
      <c r="BI2713" s="355">
        <v>7.7772999999999995E-2</v>
      </c>
      <c r="BJ2713" s="624">
        <v>42052</v>
      </c>
      <c r="BK2713" s="355">
        <v>3.0683999999999999E-2</v>
      </c>
    </row>
    <row r="2714" spans="3:63">
      <c r="C2714" s="624"/>
      <c r="D2714" s="355">
        <v>1.5689999999999999E-2</v>
      </c>
      <c r="AV2714" s="624"/>
      <c r="AX2714" s="624">
        <v>42059</v>
      </c>
      <c r="AY2714" s="355">
        <v>1.593E-2</v>
      </c>
      <c r="AZ2714" s="624">
        <v>42123</v>
      </c>
      <c r="BA2714" s="355">
        <v>9.1999999999999998E-3</v>
      </c>
      <c r="BB2714" s="624">
        <v>42054</v>
      </c>
      <c r="BC2714" s="355">
        <v>0.27250000000000002</v>
      </c>
      <c r="BD2714" s="624">
        <v>42054</v>
      </c>
      <c r="BE2714" s="355">
        <v>8.9940000000000006E-2</v>
      </c>
      <c r="BF2714" s="624">
        <v>42194</v>
      </c>
      <c r="BG2714" s="355">
        <v>1.5792E-2</v>
      </c>
      <c r="BH2714" s="624">
        <v>42054</v>
      </c>
      <c r="BI2714" s="355">
        <v>7.7687999999999993E-2</v>
      </c>
      <c r="BJ2714" s="624">
        <v>42053</v>
      </c>
      <c r="BK2714" s="355">
        <v>3.0698E-2</v>
      </c>
    </row>
    <row r="2715" spans="3:63">
      <c r="C2715" s="624"/>
      <c r="D2715" s="355">
        <v>1.593E-2</v>
      </c>
      <c r="AV2715" s="624"/>
      <c r="AX2715" s="624">
        <v>42060</v>
      </c>
      <c r="AY2715" s="355">
        <v>1.6289999999999999E-2</v>
      </c>
      <c r="AZ2715" s="624">
        <v>42124</v>
      </c>
      <c r="BA2715" s="355">
        <v>9.2999999999999992E-3</v>
      </c>
      <c r="BB2715" s="624">
        <v>42055</v>
      </c>
      <c r="BC2715" s="355">
        <v>0.27310000000000001</v>
      </c>
      <c r="BD2715" s="624">
        <v>42055</v>
      </c>
      <c r="BE2715" s="355">
        <v>9.0039999999999995E-2</v>
      </c>
      <c r="BF2715" s="624">
        <v>42195</v>
      </c>
      <c r="BG2715" s="355">
        <v>1.5785E-2</v>
      </c>
      <c r="BH2715" s="624">
        <v>42055</v>
      </c>
      <c r="BI2715" s="355">
        <v>7.7882000000000007E-2</v>
      </c>
      <c r="BJ2715" s="624">
        <v>42054</v>
      </c>
      <c r="BK2715" s="355">
        <v>3.0714000000000002E-2</v>
      </c>
    </row>
    <row r="2716" spans="3:63">
      <c r="C2716" s="624"/>
      <c r="D2716" s="355">
        <v>1.6289999999999999E-2</v>
      </c>
      <c r="AV2716" s="624"/>
      <c r="AX2716" s="624">
        <v>42061</v>
      </c>
      <c r="AY2716" s="355">
        <v>1.6369999999999999E-2</v>
      </c>
      <c r="AZ2716" s="624">
        <v>42125</v>
      </c>
      <c r="BA2716" s="355">
        <v>9.2999999999999992E-3</v>
      </c>
      <c r="BB2716" s="624">
        <v>42058</v>
      </c>
      <c r="BC2716" s="355">
        <v>0.2712</v>
      </c>
      <c r="BD2716" s="624">
        <v>42058</v>
      </c>
      <c r="BE2716" s="355">
        <v>9.0209999999999999E-2</v>
      </c>
      <c r="BF2716" s="624">
        <v>42198</v>
      </c>
      <c r="BG2716" s="355">
        <v>1.5761000000000001E-2</v>
      </c>
      <c r="BH2716" s="624">
        <v>42058</v>
      </c>
      <c r="BI2716" s="355">
        <v>7.7501E-2</v>
      </c>
      <c r="BJ2716" s="624">
        <v>42055</v>
      </c>
      <c r="BK2716" s="355">
        <v>3.0721999999999999E-2</v>
      </c>
    </row>
    <row r="2717" spans="3:63">
      <c r="C2717" s="624"/>
      <c r="D2717" s="355">
        <v>1.6369999999999999E-2</v>
      </c>
      <c r="AV2717" s="624"/>
      <c r="AX2717" s="624">
        <v>42062</v>
      </c>
      <c r="AY2717" s="355">
        <v>1.5859999999999999E-2</v>
      </c>
      <c r="AZ2717" s="624">
        <v>42128</v>
      </c>
      <c r="BA2717" s="355">
        <v>9.1999999999999998E-3</v>
      </c>
      <c r="BB2717" s="624">
        <v>42059</v>
      </c>
      <c r="BC2717" s="355">
        <v>0.27279999999999999</v>
      </c>
      <c r="BD2717" s="624">
        <v>42059</v>
      </c>
      <c r="BE2717" s="355">
        <v>9.0469999999999995E-2</v>
      </c>
      <c r="BF2717" s="624">
        <v>42199</v>
      </c>
      <c r="BG2717" s="355">
        <v>1.5803000000000001E-2</v>
      </c>
      <c r="BH2717" s="624">
        <v>42059</v>
      </c>
      <c r="BI2717" s="355">
        <v>7.7663999999999997E-2</v>
      </c>
      <c r="BJ2717" s="624">
        <v>42058</v>
      </c>
      <c r="BK2717" s="355">
        <v>3.0721999999999999E-2</v>
      </c>
    </row>
    <row r="2718" spans="3:63">
      <c r="C2718" s="624"/>
      <c r="D2718" s="355">
        <v>1.5859999999999999E-2</v>
      </c>
      <c r="AV2718" s="624"/>
      <c r="AX2718" s="624">
        <v>42065</v>
      </c>
      <c r="AY2718" s="355">
        <v>1.601E-2</v>
      </c>
      <c r="AZ2718" s="624">
        <v>42129</v>
      </c>
      <c r="BA2718" s="355">
        <v>9.2999999999999992E-3</v>
      </c>
      <c r="BB2718" s="624">
        <v>42060</v>
      </c>
      <c r="BC2718" s="355">
        <v>0.2732</v>
      </c>
      <c r="BD2718" s="624">
        <v>42060</v>
      </c>
      <c r="BE2718" s="355">
        <v>9.085E-2</v>
      </c>
      <c r="BF2718" s="624">
        <v>42200</v>
      </c>
      <c r="BG2718" s="355">
        <v>1.5746E-2</v>
      </c>
      <c r="BH2718" s="624">
        <v>42060</v>
      </c>
      <c r="BI2718" s="355">
        <v>7.7675999999999995E-2</v>
      </c>
      <c r="BJ2718" s="624">
        <v>42059</v>
      </c>
      <c r="BK2718" s="355">
        <v>3.0734000000000001E-2</v>
      </c>
    </row>
    <row r="2719" spans="3:63">
      <c r="C2719" s="624"/>
      <c r="D2719" s="355">
        <v>1.601E-2</v>
      </c>
      <c r="AV2719" s="624"/>
      <c r="AX2719" s="624">
        <v>42066</v>
      </c>
      <c r="AY2719" s="355">
        <v>1.6160000000000001E-2</v>
      </c>
      <c r="AZ2719" s="624">
        <v>42130</v>
      </c>
      <c r="BA2719" s="355">
        <v>9.4000000000000004E-3</v>
      </c>
      <c r="BB2719" s="624">
        <v>42061</v>
      </c>
      <c r="BC2719" s="355">
        <v>0.26979999999999998</v>
      </c>
      <c r="BD2719" s="624">
        <v>42061</v>
      </c>
      <c r="BE2719" s="355">
        <v>9.0670000000000001E-2</v>
      </c>
      <c r="BF2719" s="624">
        <v>42201</v>
      </c>
      <c r="BG2719" s="355">
        <v>1.5753E-2</v>
      </c>
      <c r="BH2719" s="624">
        <v>42061</v>
      </c>
      <c r="BI2719" s="355">
        <v>7.7682000000000001E-2</v>
      </c>
      <c r="BJ2719" s="624">
        <v>42060</v>
      </c>
      <c r="BK2719" s="355">
        <v>3.075E-2</v>
      </c>
    </row>
    <row r="2720" spans="3:63">
      <c r="C2720" s="624"/>
      <c r="D2720" s="355">
        <v>1.6160000000000001E-2</v>
      </c>
      <c r="AV2720" s="624"/>
      <c r="AX2720" s="624">
        <v>42067</v>
      </c>
      <c r="AY2720" s="355">
        <v>1.6160000000000001E-2</v>
      </c>
      <c r="AZ2720" s="624">
        <v>42131</v>
      </c>
      <c r="BA2720" s="355">
        <v>9.2999999999999992E-3</v>
      </c>
      <c r="BB2720" s="624">
        <v>42062</v>
      </c>
      <c r="BC2720" s="355">
        <v>0.2697</v>
      </c>
      <c r="BD2720" s="624">
        <v>42062</v>
      </c>
      <c r="BE2720" s="355">
        <v>9.0789999999999996E-2</v>
      </c>
      <c r="BF2720" s="624">
        <v>42202</v>
      </c>
      <c r="BG2720" s="355">
        <v>1.5755000000000002E-2</v>
      </c>
      <c r="BH2720" s="624">
        <v>42062</v>
      </c>
      <c r="BI2720" s="355">
        <v>7.6920000000000002E-2</v>
      </c>
      <c r="BJ2720" s="624">
        <v>42061</v>
      </c>
      <c r="BK2720" s="355">
        <v>3.0873999999999999E-2</v>
      </c>
    </row>
    <row r="2721" spans="3:63">
      <c r="C2721" s="624"/>
      <c r="D2721" s="355">
        <v>1.6160000000000001E-2</v>
      </c>
      <c r="AV2721" s="624"/>
      <c r="AX2721" s="624">
        <v>42068</v>
      </c>
      <c r="AY2721" s="355">
        <v>1.6400000000000001E-2</v>
      </c>
      <c r="AZ2721" s="624">
        <v>42132</v>
      </c>
      <c r="BA2721" s="355">
        <v>9.2999999999999992E-3</v>
      </c>
      <c r="BB2721" s="624">
        <v>42065</v>
      </c>
      <c r="BC2721" s="355">
        <v>0.26889999999999997</v>
      </c>
      <c r="BD2721" s="624">
        <v>42065</v>
      </c>
      <c r="BE2721" s="355">
        <v>9.0620000000000006E-2</v>
      </c>
      <c r="BF2721" s="624">
        <v>42205</v>
      </c>
      <c r="BG2721" s="355">
        <v>1.5713000000000001E-2</v>
      </c>
      <c r="BH2721" s="624">
        <v>42065</v>
      </c>
      <c r="BI2721" s="355">
        <v>7.6935000000000003E-2</v>
      </c>
      <c r="BJ2721" s="624">
        <v>42062</v>
      </c>
      <c r="BK2721" s="355">
        <v>3.0901999999999999E-2</v>
      </c>
    </row>
    <row r="2722" spans="3:63">
      <c r="C2722" s="624"/>
      <c r="D2722" s="355">
        <v>1.6400000000000001E-2</v>
      </c>
      <c r="AV2722" s="624"/>
      <c r="AX2722" s="624">
        <v>42069</v>
      </c>
      <c r="AY2722" s="355">
        <v>1.6570000000000001E-2</v>
      </c>
      <c r="AZ2722" s="624">
        <v>42135</v>
      </c>
      <c r="BA2722" s="355">
        <v>9.1999999999999998E-3</v>
      </c>
      <c r="BB2722" s="624">
        <v>42066</v>
      </c>
      <c r="BC2722" s="355">
        <v>0.26829999999999998</v>
      </c>
      <c r="BD2722" s="624">
        <v>42066</v>
      </c>
      <c r="BE2722" s="355">
        <v>9.1160000000000005E-2</v>
      </c>
      <c r="BF2722" s="624">
        <v>42206</v>
      </c>
      <c r="BG2722" s="355">
        <v>1.5727999999999999E-2</v>
      </c>
      <c r="BH2722" s="624">
        <v>42066</v>
      </c>
      <c r="BI2722" s="355">
        <v>7.6994000000000007E-2</v>
      </c>
      <c r="BJ2722" s="624">
        <v>42065</v>
      </c>
      <c r="BK2722" s="355">
        <v>3.0908999999999999E-2</v>
      </c>
    </row>
    <row r="2723" spans="3:63">
      <c r="C2723" s="624"/>
      <c r="D2723" s="355">
        <v>1.6570000000000001E-2</v>
      </c>
      <c r="AV2723" s="624"/>
      <c r="AX2723" s="624">
        <v>42072</v>
      </c>
      <c r="AY2723" s="355">
        <v>1.652E-2</v>
      </c>
      <c r="AZ2723" s="624">
        <v>42136</v>
      </c>
      <c r="BA2723" s="355">
        <v>9.2999999999999992E-3</v>
      </c>
      <c r="BB2723" s="624">
        <v>42067</v>
      </c>
      <c r="BC2723" s="355">
        <v>0.26690000000000003</v>
      </c>
      <c r="BD2723" s="624">
        <v>42067</v>
      </c>
      <c r="BE2723" s="355">
        <v>9.0770000000000003E-2</v>
      </c>
      <c r="BF2723" s="624">
        <v>42207</v>
      </c>
      <c r="BG2723" s="355">
        <v>1.5730000000000001E-2</v>
      </c>
      <c r="BH2723" s="624">
        <v>42067</v>
      </c>
      <c r="BI2723" s="355">
        <v>7.6752000000000001E-2</v>
      </c>
      <c r="BJ2723" s="624">
        <v>42066</v>
      </c>
      <c r="BK2723" s="355">
        <v>3.0907E-2</v>
      </c>
    </row>
    <row r="2724" spans="3:63">
      <c r="C2724" s="624"/>
      <c r="D2724" s="355">
        <v>1.652E-2</v>
      </c>
      <c r="AV2724" s="624"/>
      <c r="AX2724" s="624">
        <v>42073</v>
      </c>
      <c r="AY2724" s="355">
        <v>1.6070000000000001E-2</v>
      </c>
      <c r="AZ2724" s="624">
        <v>42137</v>
      </c>
      <c r="BA2724" s="355">
        <v>9.4000000000000004E-3</v>
      </c>
      <c r="BB2724" s="624">
        <v>42068</v>
      </c>
      <c r="BC2724" s="355">
        <v>0.2661</v>
      </c>
      <c r="BD2724" s="624">
        <v>42068</v>
      </c>
      <c r="BE2724" s="355">
        <v>9.0719999999999995E-2</v>
      </c>
      <c r="BF2724" s="624">
        <v>42208</v>
      </c>
      <c r="BG2724" s="355">
        <v>1.5644999999999999E-2</v>
      </c>
      <c r="BH2724" s="624">
        <v>42068</v>
      </c>
      <c r="BI2724" s="355">
        <v>7.6733999999999997E-2</v>
      </c>
      <c r="BJ2724" s="624">
        <v>42067</v>
      </c>
      <c r="BK2724" s="355">
        <v>3.0859999999999999E-2</v>
      </c>
    </row>
    <row r="2725" spans="3:63">
      <c r="C2725" s="624"/>
      <c r="D2725" s="355">
        <v>1.6070000000000001E-2</v>
      </c>
      <c r="AV2725" s="624"/>
      <c r="AX2725" s="624">
        <v>42074</v>
      </c>
      <c r="AY2725" s="355">
        <v>1.6279999999999999E-2</v>
      </c>
      <c r="AZ2725" s="624">
        <v>42138</v>
      </c>
      <c r="BA2725" s="355">
        <v>9.4999999999999998E-3</v>
      </c>
      <c r="BB2725" s="624">
        <v>42069</v>
      </c>
      <c r="BC2725" s="355">
        <v>0.26250000000000001</v>
      </c>
      <c r="BD2725" s="624">
        <v>42069</v>
      </c>
      <c r="BE2725" s="355">
        <v>8.9990000000000001E-2</v>
      </c>
      <c r="BF2725" s="624">
        <v>42209</v>
      </c>
      <c r="BG2725" s="355">
        <v>1.5592999999999999E-2</v>
      </c>
      <c r="BH2725" s="624">
        <v>42069</v>
      </c>
      <c r="BI2725" s="355">
        <v>7.6337000000000002E-2</v>
      </c>
      <c r="BJ2725" s="624">
        <v>42068</v>
      </c>
      <c r="BK2725" s="355">
        <v>3.0838000000000001E-2</v>
      </c>
    </row>
    <row r="2726" spans="3:63">
      <c r="C2726" s="624"/>
      <c r="D2726" s="355">
        <v>1.6279999999999999E-2</v>
      </c>
      <c r="AV2726" s="624"/>
      <c r="AX2726" s="624">
        <v>42075</v>
      </c>
      <c r="AY2726" s="355">
        <v>1.636E-2</v>
      </c>
      <c r="AZ2726" s="624">
        <v>42139</v>
      </c>
      <c r="BA2726" s="355">
        <v>9.4999999999999998E-3</v>
      </c>
      <c r="BB2726" s="624">
        <v>42072</v>
      </c>
      <c r="BC2726" s="355">
        <v>0.26369999999999999</v>
      </c>
      <c r="BD2726" s="624">
        <v>42072</v>
      </c>
      <c r="BE2726" s="355">
        <v>8.9719999999999994E-2</v>
      </c>
      <c r="BF2726" s="624">
        <v>42212</v>
      </c>
      <c r="BG2726" s="355">
        <v>1.5576E-2</v>
      </c>
      <c r="BH2726" s="624">
        <v>42072</v>
      </c>
      <c r="BI2726" s="355">
        <v>7.6395000000000005E-2</v>
      </c>
      <c r="BJ2726" s="624">
        <v>42069</v>
      </c>
      <c r="BK2726" s="355">
        <v>3.0693999999999999E-2</v>
      </c>
    </row>
    <row r="2727" spans="3:63">
      <c r="C2727" s="624"/>
      <c r="D2727" s="355">
        <v>1.636E-2</v>
      </c>
      <c r="AV2727" s="624"/>
      <c r="AX2727" s="624">
        <v>42076</v>
      </c>
      <c r="AY2727" s="355">
        <v>1.61E-2</v>
      </c>
      <c r="AZ2727" s="624">
        <v>42142</v>
      </c>
      <c r="BA2727" s="355">
        <v>9.4000000000000004E-3</v>
      </c>
      <c r="BB2727" s="624">
        <v>42073</v>
      </c>
      <c r="BC2727" s="355">
        <v>0.2571</v>
      </c>
      <c r="BD2727" s="624">
        <v>42073</v>
      </c>
      <c r="BE2727" s="355">
        <v>8.8700000000000001E-2</v>
      </c>
      <c r="BF2727" s="624">
        <v>42213</v>
      </c>
      <c r="BG2727" s="355">
        <v>1.5672999999999999E-2</v>
      </c>
      <c r="BH2727" s="624">
        <v>42073</v>
      </c>
      <c r="BI2727" s="355">
        <v>7.5383000000000006E-2</v>
      </c>
      <c r="BJ2727" s="624">
        <v>42072</v>
      </c>
      <c r="BK2727" s="355">
        <v>3.0689000000000001E-2</v>
      </c>
    </row>
    <row r="2728" spans="3:63">
      <c r="C2728" s="624"/>
      <c r="D2728" s="355">
        <v>1.61E-2</v>
      </c>
      <c r="AV2728" s="624"/>
      <c r="AX2728" s="624">
        <v>42079</v>
      </c>
      <c r="AY2728" s="355">
        <v>1.6049999999999998E-2</v>
      </c>
      <c r="AZ2728" s="624">
        <v>42143</v>
      </c>
      <c r="BA2728" s="355">
        <v>9.1999999999999998E-3</v>
      </c>
      <c r="BB2728" s="624">
        <v>42074</v>
      </c>
      <c r="BC2728" s="355">
        <v>0.25580000000000003</v>
      </c>
      <c r="BD2728" s="624">
        <v>42074</v>
      </c>
      <c r="BE2728" s="355">
        <v>8.8330000000000006E-2</v>
      </c>
      <c r="BF2728" s="624">
        <v>42214</v>
      </c>
      <c r="BG2728" s="355">
        <v>1.5667E-2</v>
      </c>
      <c r="BH2728" s="624">
        <v>42074</v>
      </c>
      <c r="BI2728" s="355">
        <v>7.5843999999999995E-2</v>
      </c>
      <c r="BJ2728" s="624">
        <v>42073</v>
      </c>
      <c r="BK2728" s="355">
        <v>3.0571000000000001E-2</v>
      </c>
    </row>
    <row r="2729" spans="3:63">
      <c r="C2729" s="624"/>
      <c r="D2729" s="355">
        <v>1.6049999999999998E-2</v>
      </c>
      <c r="AV2729" s="624"/>
      <c r="AX2729" s="624">
        <v>42080</v>
      </c>
      <c r="AY2729" s="355">
        <v>1.6289999999999999E-2</v>
      </c>
      <c r="AZ2729" s="624">
        <v>42144</v>
      </c>
      <c r="BA2729" s="355">
        <v>9.1999999999999998E-3</v>
      </c>
      <c r="BB2729" s="624">
        <v>42075</v>
      </c>
      <c r="BC2729" s="355">
        <v>0.25679999999999997</v>
      </c>
      <c r="BD2729" s="624">
        <v>42075</v>
      </c>
      <c r="BE2729" s="355">
        <v>8.8840000000000002E-2</v>
      </c>
      <c r="BF2729" s="624">
        <v>42215</v>
      </c>
      <c r="BG2729" s="355">
        <v>1.559E-2</v>
      </c>
      <c r="BH2729" s="624">
        <v>42075</v>
      </c>
      <c r="BI2729" s="355">
        <v>7.5786000000000006E-2</v>
      </c>
      <c r="BJ2729" s="624">
        <v>42074</v>
      </c>
      <c r="BK2729" s="355">
        <v>3.0439999999999998E-2</v>
      </c>
    </row>
    <row r="2730" spans="3:63">
      <c r="C2730" s="624"/>
      <c r="D2730" s="355">
        <v>1.6289999999999999E-2</v>
      </c>
      <c r="AV2730" s="624"/>
      <c r="AX2730" s="624">
        <v>42081</v>
      </c>
      <c r="AY2730" s="355">
        <v>1.6889999999999999E-2</v>
      </c>
      <c r="AZ2730" s="624">
        <v>42145</v>
      </c>
      <c r="BA2730" s="355">
        <v>9.1999999999999998E-3</v>
      </c>
      <c r="BB2730" s="624">
        <v>42076</v>
      </c>
      <c r="BC2730" s="355">
        <v>0.25290000000000001</v>
      </c>
      <c r="BD2730" s="624">
        <v>42076</v>
      </c>
      <c r="BE2730" s="355">
        <v>8.7859999999999994E-2</v>
      </c>
      <c r="BF2730" s="624">
        <v>42216</v>
      </c>
      <c r="BG2730" s="355">
        <v>1.5611E-2</v>
      </c>
      <c r="BH2730" s="624">
        <v>42076</v>
      </c>
      <c r="BI2730" s="355">
        <v>7.5393000000000002E-2</v>
      </c>
      <c r="BJ2730" s="624">
        <v>42075</v>
      </c>
      <c r="BK2730" s="355">
        <v>3.0439000000000001E-2</v>
      </c>
    </row>
    <row r="2731" spans="3:63">
      <c r="C2731" s="624"/>
      <c r="D2731" s="355">
        <v>1.6889999999999999E-2</v>
      </c>
      <c r="AV2731" s="624"/>
      <c r="AX2731" s="624">
        <v>42082</v>
      </c>
      <c r="AY2731" s="355">
        <v>1.6660000000000001E-2</v>
      </c>
      <c r="AZ2731" s="624">
        <v>42146</v>
      </c>
      <c r="BA2731" s="355">
        <v>9.1000000000000004E-3</v>
      </c>
      <c r="BB2731" s="624">
        <v>42079</v>
      </c>
      <c r="BC2731" s="355">
        <v>0.25590000000000002</v>
      </c>
      <c r="BD2731" s="624">
        <v>42079</v>
      </c>
      <c r="BE2731" s="355">
        <v>8.8349999999999998E-2</v>
      </c>
      <c r="BF2731" s="624">
        <v>42219</v>
      </c>
      <c r="BG2731" s="355">
        <v>1.5582E-2</v>
      </c>
      <c r="BH2731" s="624">
        <v>42079</v>
      </c>
      <c r="BI2731" s="355">
        <v>7.5791999999999998E-2</v>
      </c>
      <c r="BJ2731" s="624">
        <v>42076</v>
      </c>
      <c r="BK2731" s="355">
        <v>3.0321000000000001E-2</v>
      </c>
    </row>
    <row r="2732" spans="3:63">
      <c r="C2732" s="624"/>
      <c r="D2732" s="355">
        <v>1.6660000000000001E-2</v>
      </c>
      <c r="AV2732" s="624"/>
      <c r="AX2732" s="624">
        <v>42083</v>
      </c>
      <c r="AY2732" s="355">
        <v>1.686E-2</v>
      </c>
      <c r="AZ2732" s="624">
        <v>42149</v>
      </c>
      <c r="BA2732" s="355">
        <v>9.1000000000000004E-3</v>
      </c>
      <c r="BB2732" s="624">
        <v>42080</v>
      </c>
      <c r="BC2732" s="355">
        <v>0.25619999999999998</v>
      </c>
      <c r="BD2732" s="624">
        <v>42080</v>
      </c>
      <c r="BE2732" s="355">
        <v>8.8550000000000004E-2</v>
      </c>
      <c r="BF2732" s="624">
        <v>42220</v>
      </c>
      <c r="BG2732" s="355">
        <v>1.5674E-2</v>
      </c>
      <c r="BH2732" s="624">
        <v>42080</v>
      </c>
      <c r="BI2732" s="355">
        <v>7.5953000000000007E-2</v>
      </c>
      <c r="BJ2732" s="624">
        <v>42079</v>
      </c>
      <c r="BK2732" s="355">
        <v>3.039E-2</v>
      </c>
    </row>
    <row r="2733" spans="3:63">
      <c r="C2733" s="624"/>
      <c r="D2733" s="355">
        <v>1.686E-2</v>
      </c>
      <c r="AV2733" s="624"/>
      <c r="AX2733" s="624">
        <v>42086</v>
      </c>
      <c r="AY2733" s="355">
        <v>1.703E-2</v>
      </c>
      <c r="AZ2733" s="624">
        <v>42150</v>
      </c>
      <c r="BA2733" s="355">
        <v>8.9999999999999993E-3</v>
      </c>
      <c r="BB2733" s="624">
        <v>42081</v>
      </c>
      <c r="BC2733" s="355">
        <v>0.26290000000000002</v>
      </c>
      <c r="BD2733" s="624">
        <v>42081</v>
      </c>
      <c r="BE2733" s="355">
        <v>8.9950000000000002E-2</v>
      </c>
      <c r="BF2733" s="624">
        <v>42221</v>
      </c>
      <c r="BG2733" s="355">
        <v>1.5701E-2</v>
      </c>
      <c r="BH2733" s="624">
        <v>42081</v>
      </c>
      <c r="BI2733" s="355">
        <v>7.6370999999999994E-2</v>
      </c>
      <c r="BJ2733" s="624">
        <v>42080</v>
      </c>
      <c r="BK2733" s="355">
        <v>3.0370000000000001E-2</v>
      </c>
    </row>
    <row r="2734" spans="3:63">
      <c r="C2734" s="624"/>
      <c r="D2734" s="355">
        <v>1.703E-2</v>
      </c>
      <c r="AV2734" s="624"/>
      <c r="AX2734" s="624">
        <v>42087</v>
      </c>
      <c r="AY2734" s="355">
        <v>1.7309999999999999E-2</v>
      </c>
      <c r="AZ2734" s="624">
        <v>42151</v>
      </c>
      <c r="BA2734" s="355">
        <v>8.9999999999999993E-3</v>
      </c>
      <c r="BB2734" s="624">
        <v>42082</v>
      </c>
      <c r="BC2734" s="355">
        <v>0.25800000000000001</v>
      </c>
      <c r="BD2734" s="624">
        <v>42082</v>
      </c>
      <c r="BE2734" s="355">
        <v>8.9130000000000001E-2</v>
      </c>
      <c r="BF2734" s="624">
        <v>42222</v>
      </c>
      <c r="BG2734" s="355">
        <v>1.5692999999999999E-2</v>
      </c>
      <c r="BH2734" s="624">
        <v>42082</v>
      </c>
      <c r="BI2734" s="355">
        <v>7.6517000000000002E-2</v>
      </c>
      <c r="BJ2734" s="624">
        <v>42081</v>
      </c>
      <c r="BK2734" s="355">
        <v>3.0594E-2</v>
      </c>
    </row>
    <row r="2735" spans="3:63">
      <c r="C2735" s="624"/>
      <c r="D2735" s="355">
        <v>1.7309999999999999E-2</v>
      </c>
      <c r="AV2735" s="624"/>
      <c r="AX2735" s="624">
        <v>42088</v>
      </c>
      <c r="AY2735" s="355">
        <v>1.7440000000000001E-2</v>
      </c>
      <c r="AZ2735" s="624">
        <v>42152</v>
      </c>
      <c r="BA2735" s="355">
        <v>9.1000000000000004E-3</v>
      </c>
      <c r="BB2735" s="624">
        <v>42083</v>
      </c>
      <c r="BC2735" s="355">
        <v>0.26169999999999999</v>
      </c>
      <c r="BD2735" s="624">
        <v>42083</v>
      </c>
      <c r="BE2735" s="355">
        <v>8.9800000000000005E-2</v>
      </c>
      <c r="BF2735" s="624">
        <v>42223</v>
      </c>
      <c r="BG2735" s="355">
        <v>1.5678999999999998E-2</v>
      </c>
      <c r="BH2735" s="624">
        <v>42083</v>
      </c>
      <c r="BI2735" s="355">
        <v>7.6763999999999999E-2</v>
      </c>
      <c r="BJ2735" s="624">
        <v>42082</v>
      </c>
      <c r="BK2735" s="355">
        <v>3.0544000000000002E-2</v>
      </c>
    </row>
    <row r="2736" spans="3:63">
      <c r="C2736" s="624"/>
      <c r="D2736" s="355">
        <v>1.7440000000000001E-2</v>
      </c>
      <c r="AV2736" s="624"/>
      <c r="AX2736" s="624">
        <v>42089</v>
      </c>
      <c r="AY2736" s="355">
        <v>1.745E-2</v>
      </c>
      <c r="AZ2736" s="624">
        <v>42153</v>
      </c>
      <c r="BA2736" s="355">
        <v>9.1000000000000004E-3</v>
      </c>
      <c r="BB2736" s="624">
        <v>42086</v>
      </c>
      <c r="BC2736" s="355">
        <v>0.26650000000000001</v>
      </c>
      <c r="BD2736" s="624">
        <v>42086</v>
      </c>
      <c r="BE2736" s="355">
        <v>9.0620000000000006E-2</v>
      </c>
      <c r="BF2736" s="624">
        <v>42226</v>
      </c>
      <c r="BG2736" s="355">
        <v>1.5679999999999999E-2</v>
      </c>
      <c r="BH2736" s="624">
        <v>42086</v>
      </c>
      <c r="BI2736" s="355">
        <v>7.6988000000000001E-2</v>
      </c>
      <c r="BJ2736" s="624">
        <v>42083</v>
      </c>
      <c r="BK2736" s="355">
        <v>3.0741999999999998E-2</v>
      </c>
    </row>
    <row r="2737" spans="3:63">
      <c r="C2737" s="624"/>
      <c r="D2737" s="355">
        <v>1.745E-2</v>
      </c>
      <c r="AV2737" s="624"/>
      <c r="AX2737" s="624">
        <v>42090</v>
      </c>
      <c r="AY2737" s="355">
        <v>1.729E-2</v>
      </c>
      <c r="AZ2737" s="624">
        <v>42156</v>
      </c>
      <c r="BA2737" s="355">
        <v>9.1000000000000004E-3</v>
      </c>
      <c r="BB2737" s="624">
        <v>42087</v>
      </c>
      <c r="BC2737" s="355">
        <v>0.26700000000000002</v>
      </c>
      <c r="BD2737" s="624">
        <v>42087</v>
      </c>
      <c r="BE2737" s="355">
        <v>9.0609999999999996E-2</v>
      </c>
      <c r="BF2737" s="624">
        <v>42227</v>
      </c>
      <c r="BG2737" s="355">
        <v>1.5544000000000001E-2</v>
      </c>
      <c r="BH2737" s="624">
        <v>42087</v>
      </c>
      <c r="BI2737" s="355">
        <v>7.7340000000000006E-2</v>
      </c>
      <c r="BJ2737" s="624">
        <v>42086</v>
      </c>
      <c r="BK2737" s="355">
        <v>3.0765000000000001E-2</v>
      </c>
    </row>
    <row r="2738" spans="3:63">
      <c r="C2738" s="624"/>
      <c r="D2738" s="355">
        <v>1.729E-2</v>
      </c>
      <c r="AV2738" s="624"/>
      <c r="AX2738" s="624">
        <v>42093</v>
      </c>
      <c r="AY2738" s="355">
        <v>1.736E-2</v>
      </c>
      <c r="AZ2738" s="624">
        <v>42157</v>
      </c>
      <c r="BA2738" s="355">
        <v>9.1999999999999998E-3</v>
      </c>
      <c r="BB2738" s="624">
        <v>42088</v>
      </c>
      <c r="BC2738" s="355">
        <v>0.26850000000000002</v>
      </c>
      <c r="BD2738" s="624">
        <v>42088</v>
      </c>
      <c r="BE2738" s="355">
        <v>9.0819999999999998E-2</v>
      </c>
      <c r="BF2738" s="624">
        <v>42228</v>
      </c>
      <c r="BG2738" s="355">
        <v>1.5398E-2</v>
      </c>
      <c r="BH2738" s="624">
        <v>42088</v>
      </c>
      <c r="BI2738" s="355">
        <v>7.7048000000000005E-2</v>
      </c>
      <c r="BJ2738" s="624">
        <v>42087</v>
      </c>
      <c r="BK2738" s="355">
        <v>3.0769999999999999E-2</v>
      </c>
    </row>
    <row r="2739" spans="3:63">
      <c r="C2739" s="624"/>
      <c r="D2739" s="355">
        <v>1.736E-2</v>
      </c>
      <c r="AV2739" s="624"/>
      <c r="AX2739" s="624">
        <v>42094</v>
      </c>
      <c r="AY2739" s="355">
        <v>1.7180000000000001E-2</v>
      </c>
      <c r="AZ2739" s="624">
        <v>42158</v>
      </c>
      <c r="BA2739" s="355">
        <v>9.2999999999999992E-3</v>
      </c>
      <c r="BB2739" s="624">
        <v>42089</v>
      </c>
      <c r="BC2739" s="355">
        <v>0.26650000000000001</v>
      </c>
      <c r="BD2739" s="624">
        <v>42089</v>
      </c>
      <c r="BE2739" s="355">
        <v>9.0490000000000001E-2</v>
      </c>
      <c r="BF2739" s="624">
        <v>42229</v>
      </c>
      <c r="BG2739" s="355">
        <v>1.5335E-2</v>
      </c>
      <c r="BH2739" s="624">
        <v>42089</v>
      </c>
      <c r="BI2739" s="355">
        <v>7.6774999999999996E-2</v>
      </c>
      <c r="BJ2739" s="624">
        <v>42088</v>
      </c>
      <c r="BK2739" s="355">
        <v>3.0735999999999999E-2</v>
      </c>
    </row>
    <row r="2740" spans="3:63">
      <c r="C2740" s="624"/>
      <c r="D2740" s="355">
        <v>1.7180000000000001E-2</v>
      </c>
      <c r="AV2740" s="624"/>
      <c r="AX2740" s="624">
        <v>42095</v>
      </c>
      <c r="AY2740" s="355">
        <v>1.736E-2</v>
      </c>
      <c r="AZ2740" s="624">
        <v>42159</v>
      </c>
      <c r="BA2740" s="355">
        <v>9.2999999999999992E-3</v>
      </c>
      <c r="BB2740" s="624">
        <v>42090</v>
      </c>
      <c r="BC2740" s="355">
        <v>0.26569999999999999</v>
      </c>
      <c r="BD2740" s="624">
        <v>42090</v>
      </c>
      <c r="BE2740" s="355">
        <v>9.06E-2</v>
      </c>
      <c r="BF2740" s="624">
        <v>42230</v>
      </c>
      <c r="BG2740" s="355">
        <v>1.5365E-2</v>
      </c>
      <c r="BH2740" s="624">
        <v>42090</v>
      </c>
      <c r="BI2740" s="355">
        <v>7.6510999999999996E-2</v>
      </c>
      <c r="BJ2740" s="624">
        <v>42089</v>
      </c>
      <c r="BK2740" s="355">
        <v>3.0721999999999999E-2</v>
      </c>
    </row>
    <row r="2741" spans="3:63">
      <c r="C2741" s="624"/>
      <c r="D2741" s="355">
        <v>1.736E-2</v>
      </c>
      <c r="AV2741" s="624"/>
      <c r="AX2741" s="624">
        <v>42096</v>
      </c>
      <c r="AY2741" s="355">
        <v>1.771E-2</v>
      </c>
      <c r="AZ2741" s="624">
        <v>42160</v>
      </c>
      <c r="BA2741" s="355">
        <v>9.1999999999999998E-3</v>
      </c>
      <c r="BB2741" s="624">
        <v>42093</v>
      </c>
      <c r="BC2741" s="355">
        <v>0.2651</v>
      </c>
      <c r="BD2741" s="624">
        <v>42093</v>
      </c>
      <c r="BE2741" s="355">
        <v>9.0249999999999997E-2</v>
      </c>
      <c r="BF2741" s="624">
        <v>42233</v>
      </c>
      <c r="BG2741" s="355">
        <v>1.5288E-2</v>
      </c>
      <c r="BH2741" s="624">
        <v>42093</v>
      </c>
      <c r="BI2741" s="355">
        <v>7.6394000000000004E-2</v>
      </c>
      <c r="BJ2741" s="624">
        <v>42090</v>
      </c>
      <c r="BK2741" s="355">
        <v>3.0713000000000001E-2</v>
      </c>
    </row>
    <row r="2742" spans="3:63">
      <c r="C2742" s="624"/>
      <c r="D2742" s="355">
        <v>1.771E-2</v>
      </c>
      <c r="AV2742" s="624"/>
      <c r="AX2742" s="624">
        <v>42097</v>
      </c>
      <c r="AY2742" s="355">
        <v>1.7690000000000001E-2</v>
      </c>
      <c r="AZ2742" s="624">
        <v>42163</v>
      </c>
      <c r="BA2742" s="355">
        <v>9.4000000000000004E-3</v>
      </c>
      <c r="BB2742" s="624">
        <v>42094</v>
      </c>
      <c r="BC2742" s="355">
        <v>0.26319999999999999</v>
      </c>
      <c r="BD2742" s="624">
        <v>42094</v>
      </c>
      <c r="BE2742" s="355">
        <v>9.0149999999999994E-2</v>
      </c>
      <c r="BF2742" s="624">
        <v>42234</v>
      </c>
      <c r="BG2742" s="355">
        <v>1.5262E-2</v>
      </c>
      <c r="BH2742" s="624">
        <v>42094</v>
      </c>
      <c r="BI2742" s="355">
        <v>7.6505000000000004E-2</v>
      </c>
      <c r="BJ2742" s="624">
        <v>42093</v>
      </c>
      <c r="BK2742" s="355">
        <v>3.0675000000000001E-2</v>
      </c>
    </row>
    <row r="2743" spans="3:63">
      <c r="C2743" s="624"/>
      <c r="D2743" s="355">
        <v>1.7690000000000001E-2</v>
      </c>
      <c r="AV2743" s="624"/>
      <c r="AX2743" s="624">
        <v>42100</v>
      </c>
      <c r="AY2743" s="355">
        <v>1.806E-2</v>
      </c>
      <c r="AZ2743" s="624">
        <v>42164</v>
      </c>
      <c r="BA2743" s="355">
        <v>9.2999999999999992E-3</v>
      </c>
      <c r="BB2743" s="624">
        <v>42095</v>
      </c>
      <c r="BC2743" s="355">
        <v>0.26519999999999999</v>
      </c>
      <c r="BD2743" s="624">
        <v>42095</v>
      </c>
      <c r="BE2743" s="355">
        <v>9.1039999999999996E-2</v>
      </c>
      <c r="BF2743" s="624">
        <v>42235</v>
      </c>
      <c r="BG2743" s="355">
        <v>1.5369000000000001E-2</v>
      </c>
      <c r="BH2743" s="624">
        <v>42095</v>
      </c>
      <c r="BI2743" s="355">
        <v>7.7071000000000001E-2</v>
      </c>
      <c r="BJ2743" s="624">
        <v>42094</v>
      </c>
      <c r="BK2743" s="355">
        <v>3.0700000000000002E-2</v>
      </c>
    </row>
    <row r="2744" spans="3:63">
      <c r="C2744" s="624"/>
      <c r="D2744" s="355">
        <v>1.806E-2</v>
      </c>
      <c r="AV2744" s="624"/>
      <c r="AX2744" s="624">
        <v>42101</v>
      </c>
      <c r="AY2744" s="355">
        <v>1.8169999999999999E-2</v>
      </c>
      <c r="AZ2744" s="624">
        <v>42165</v>
      </c>
      <c r="BA2744" s="355">
        <v>9.4000000000000004E-3</v>
      </c>
      <c r="BB2744" s="624">
        <v>42096</v>
      </c>
      <c r="BC2744" s="355">
        <v>0.26719999999999999</v>
      </c>
      <c r="BD2744" s="624">
        <v>42096</v>
      </c>
      <c r="BE2744" s="355">
        <v>9.1630000000000003E-2</v>
      </c>
      <c r="BF2744" s="624">
        <v>42236</v>
      </c>
      <c r="BG2744" s="355">
        <v>1.5283E-2</v>
      </c>
      <c r="BH2744" s="624">
        <v>42096</v>
      </c>
      <c r="BI2744" s="355">
        <v>7.6739000000000002E-2</v>
      </c>
      <c r="BJ2744" s="624">
        <v>42095</v>
      </c>
      <c r="BK2744" s="355">
        <v>3.0778E-2</v>
      </c>
    </row>
    <row r="2745" spans="3:63">
      <c r="C2745" s="624"/>
      <c r="D2745" s="355">
        <v>1.8169999999999999E-2</v>
      </c>
      <c r="AV2745" s="624"/>
      <c r="AX2745" s="624">
        <v>42102</v>
      </c>
      <c r="AY2745" s="355">
        <v>1.864E-2</v>
      </c>
      <c r="AZ2745" s="624">
        <v>42166</v>
      </c>
      <c r="BA2745" s="355">
        <v>9.2999999999999992E-3</v>
      </c>
      <c r="BB2745" s="624">
        <v>42097</v>
      </c>
      <c r="BC2745" s="355">
        <v>0.27050000000000002</v>
      </c>
      <c r="BD2745" s="624">
        <v>42097</v>
      </c>
      <c r="BE2745" s="355">
        <v>9.2009999999999995E-2</v>
      </c>
      <c r="BF2745" s="624">
        <v>42237</v>
      </c>
      <c r="BG2745" s="355">
        <v>1.5101E-2</v>
      </c>
      <c r="BH2745" s="624">
        <v>42097</v>
      </c>
      <c r="BI2745" s="355">
        <v>7.7214000000000005E-2</v>
      </c>
      <c r="BJ2745" s="624">
        <v>42096</v>
      </c>
      <c r="BK2745" s="355">
        <v>3.0807000000000001E-2</v>
      </c>
    </row>
    <row r="2746" spans="3:63">
      <c r="C2746" s="624"/>
      <c r="D2746" s="355">
        <v>1.864E-2</v>
      </c>
      <c r="AV2746" s="624"/>
      <c r="AX2746" s="624">
        <v>42103</v>
      </c>
      <c r="AY2746" s="355">
        <v>1.9279999999999999E-2</v>
      </c>
      <c r="AZ2746" s="624">
        <v>42167</v>
      </c>
      <c r="BA2746" s="355">
        <v>9.4000000000000004E-3</v>
      </c>
      <c r="BB2746" s="624">
        <v>42100</v>
      </c>
      <c r="BC2746" s="355">
        <v>0.26800000000000002</v>
      </c>
      <c r="BD2746" s="624">
        <v>42100</v>
      </c>
      <c r="BE2746" s="355">
        <v>9.2069999999999999E-2</v>
      </c>
      <c r="BF2746" s="624">
        <v>42240</v>
      </c>
      <c r="BG2746" s="355">
        <v>1.4921E-2</v>
      </c>
      <c r="BH2746" s="624">
        <v>42100</v>
      </c>
      <c r="BI2746" s="355">
        <v>7.7219999999999997E-2</v>
      </c>
      <c r="BJ2746" s="624">
        <v>42097</v>
      </c>
      <c r="BK2746" s="355">
        <v>3.0918000000000001E-2</v>
      </c>
    </row>
    <row r="2747" spans="3:63">
      <c r="C2747" s="624"/>
      <c r="D2747" s="355">
        <v>1.9279999999999999E-2</v>
      </c>
      <c r="AV2747" s="624"/>
      <c r="AX2747" s="624">
        <v>42104</v>
      </c>
      <c r="AY2747" s="355">
        <v>1.866E-2</v>
      </c>
      <c r="AZ2747" s="624">
        <v>42170</v>
      </c>
      <c r="BA2747" s="355">
        <v>9.4000000000000004E-3</v>
      </c>
      <c r="BB2747" s="624">
        <v>42101</v>
      </c>
      <c r="BC2747" s="355">
        <v>0.2676</v>
      </c>
      <c r="BD2747" s="624">
        <v>42101</v>
      </c>
      <c r="BE2747" s="355">
        <v>9.128E-2</v>
      </c>
      <c r="BF2747" s="624">
        <v>42241</v>
      </c>
      <c r="BG2747" s="355">
        <v>1.5077E-2</v>
      </c>
      <c r="BH2747" s="624">
        <v>42101</v>
      </c>
      <c r="BI2747" s="355">
        <v>7.6940999999999996E-2</v>
      </c>
      <c r="BJ2747" s="624">
        <v>42100</v>
      </c>
      <c r="BK2747" s="355">
        <v>3.0821000000000001E-2</v>
      </c>
    </row>
    <row r="2748" spans="3:63">
      <c r="C2748" s="624"/>
      <c r="D2748" s="355">
        <v>1.866E-2</v>
      </c>
      <c r="AV2748" s="624"/>
      <c r="AX2748" s="624">
        <v>42107</v>
      </c>
      <c r="AY2748" s="355">
        <v>1.9179999999999999E-2</v>
      </c>
      <c r="AZ2748" s="624">
        <v>42171</v>
      </c>
      <c r="BA2748" s="355">
        <v>9.2999999999999992E-3</v>
      </c>
      <c r="BB2748" s="624">
        <v>42102</v>
      </c>
      <c r="BC2748" s="355">
        <v>0.26910000000000001</v>
      </c>
      <c r="BD2748" s="624">
        <v>42102</v>
      </c>
      <c r="BE2748" s="355">
        <v>9.1499999999999998E-2</v>
      </c>
      <c r="BF2748" s="624">
        <v>42242</v>
      </c>
      <c r="BG2748" s="355">
        <v>1.5148999999999999E-2</v>
      </c>
      <c r="BH2748" s="624">
        <v>42102</v>
      </c>
      <c r="BI2748" s="355">
        <v>7.7148999999999995E-2</v>
      </c>
      <c r="BJ2748" s="624">
        <v>42101</v>
      </c>
      <c r="BK2748" s="355">
        <v>3.0707999999999999E-2</v>
      </c>
    </row>
    <row r="2749" spans="3:63">
      <c r="C2749" s="624"/>
      <c r="D2749" s="355">
        <v>1.9179999999999999E-2</v>
      </c>
      <c r="AV2749" s="624"/>
      <c r="AX2749" s="624">
        <v>42108</v>
      </c>
      <c r="AY2749" s="355">
        <v>1.9619999999999999E-2</v>
      </c>
      <c r="AZ2749" s="624">
        <v>42172</v>
      </c>
      <c r="BA2749" s="355">
        <v>9.4000000000000004E-3</v>
      </c>
      <c r="BB2749" s="624">
        <v>42103</v>
      </c>
      <c r="BC2749" s="355">
        <v>0.26469999999999999</v>
      </c>
      <c r="BD2749" s="624">
        <v>42103</v>
      </c>
      <c r="BE2749" s="355">
        <v>9.1179999999999997E-2</v>
      </c>
      <c r="BF2749" s="624">
        <v>42243</v>
      </c>
      <c r="BG2749" s="355">
        <v>1.5159000000000001E-2</v>
      </c>
      <c r="BH2749" s="624">
        <v>42103</v>
      </c>
      <c r="BI2749" s="355">
        <v>7.7113000000000001E-2</v>
      </c>
      <c r="BJ2749" s="624">
        <v>42102</v>
      </c>
      <c r="BK2749" s="355">
        <v>3.0714999999999999E-2</v>
      </c>
    </row>
    <row r="2750" spans="3:63">
      <c r="C2750" s="624"/>
      <c r="D2750" s="355">
        <v>1.9619999999999999E-2</v>
      </c>
      <c r="AV2750" s="624"/>
      <c r="AX2750" s="624">
        <v>42109</v>
      </c>
      <c r="AY2750" s="355">
        <v>2.0150000000000001E-2</v>
      </c>
      <c r="AZ2750" s="624">
        <v>42173</v>
      </c>
      <c r="BA2750" s="355">
        <v>9.4000000000000004E-3</v>
      </c>
      <c r="BB2750" s="624">
        <v>42104</v>
      </c>
      <c r="BC2750" s="355">
        <v>0.26350000000000001</v>
      </c>
      <c r="BD2750" s="624">
        <v>42104</v>
      </c>
      <c r="BE2750" s="355">
        <v>9.146E-2</v>
      </c>
      <c r="BF2750" s="624">
        <v>42244</v>
      </c>
      <c r="BG2750" s="355">
        <v>1.5117E-2</v>
      </c>
      <c r="BH2750" s="624">
        <v>42104</v>
      </c>
      <c r="BI2750" s="355">
        <v>7.7405000000000002E-2</v>
      </c>
      <c r="BJ2750" s="624">
        <v>42103</v>
      </c>
      <c r="BK2750" s="355">
        <v>3.0696000000000001E-2</v>
      </c>
    </row>
    <row r="2751" spans="3:63">
      <c r="C2751" s="624"/>
      <c r="D2751" s="355">
        <v>2.0150000000000001E-2</v>
      </c>
      <c r="AV2751" s="624"/>
      <c r="AX2751" s="624">
        <v>42110</v>
      </c>
      <c r="AY2751" s="355">
        <v>2.0080000000000001E-2</v>
      </c>
      <c r="AZ2751" s="624">
        <v>42174</v>
      </c>
      <c r="BA2751" s="355">
        <v>9.4000000000000004E-3</v>
      </c>
      <c r="BB2751" s="624">
        <v>42107</v>
      </c>
      <c r="BC2751" s="355">
        <v>0.26369999999999999</v>
      </c>
      <c r="BD2751" s="624">
        <v>42107</v>
      </c>
      <c r="BE2751" s="355">
        <v>9.0759999999999993E-2</v>
      </c>
      <c r="BF2751" s="624">
        <v>42247</v>
      </c>
      <c r="BG2751" s="355">
        <v>1.5056999999999999E-2</v>
      </c>
      <c r="BH2751" s="624">
        <v>42107</v>
      </c>
      <c r="BI2751" s="355">
        <v>7.6712000000000002E-2</v>
      </c>
      <c r="BJ2751" s="624">
        <v>42104</v>
      </c>
      <c r="BK2751" s="355">
        <v>3.0731000000000001E-2</v>
      </c>
    </row>
    <row r="2752" spans="3:63">
      <c r="C2752" s="624"/>
      <c r="D2752" s="355">
        <v>2.0080000000000001E-2</v>
      </c>
      <c r="AV2752" s="624"/>
      <c r="AX2752" s="624">
        <v>42111</v>
      </c>
      <c r="AY2752" s="355">
        <v>1.925E-2</v>
      </c>
      <c r="AZ2752" s="624">
        <v>42177</v>
      </c>
      <c r="BA2752" s="355">
        <v>9.4000000000000004E-3</v>
      </c>
      <c r="BB2752" s="624">
        <v>42108</v>
      </c>
      <c r="BC2752" s="355">
        <v>0.26540000000000002</v>
      </c>
      <c r="BD2752" s="624">
        <v>42108</v>
      </c>
      <c r="BE2752" s="355">
        <v>9.1579999999999995E-2</v>
      </c>
      <c r="BF2752" s="624">
        <v>42248</v>
      </c>
      <c r="BG2752" s="355">
        <v>1.5063999999999999E-2</v>
      </c>
      <c r="BH2752" s="624">
        <v>42108</v>
      </c>
      <c r="BI2752" s="355">
        <v>7.7285999999999994E-2</v>
      </c>
      <c r="BJ2752" s="624">
        <v>42107</v>
      </c>
      <c r="BK2752" s="355">
        <v>3.0720000000000001E-2</v>
      </c>
    </row>
    <row r="2753" spans="3:63">
      <c r="C2753" s="624"/>
      <c r="D2753" s="355">
        <v>1.925E-2</v>
      </c>
      <c r="AV2753" s="624"/>
      <c r="AX2753" s="624">
        <v>42114</v>
      </c>
      <c r="AY2753" s="355">
        <v>1.8749999999999999E-2</v>
      </c>
      <c r="AZ2753" s="624">
        <v>42178</v>
      </c>
      <c r="BA2753" s="355">
        <v>9.2999999999999992E-3</v>
      </c>
      <c r="BB2753" s="624">
        <v>42109</v>
      </c>
      <c r="BC2753" s="355">
        <v>0.26569999999999999</v>
      </c>
      <c r="BD2753" s="624">
        <v>42109</v>
      </c>
      <c r="BE2753" s="355">
        <v>9.1539999999999996E-2</v>
      </c>
      <c r="BF2753" s="624">
        <v>42249</v>
      </c>
      <c r="BG2753" s="355">
        <v>1.5105E-2</v>
      </c>
      <c r="BH2753" s="624">
        <v>42109</v>
      </c>
      <c r="BI2753" s="355">
        <v>7.7440999999999996E-2</v>
      </c>
      <c r="BJ2753" s="624">
        <v>42108</v>
      </c>
      <c r="BK2753" s="355">
        <v>3.0786000000000001E-2</v>
      </c>
    </row>
    <row r="2754" spans="3:63">
      <c r="C2754" s="624"/>
      <c r="D2754" s="355">
        <v>1.8749999999999999E-2</v>
      </c>
      <c r="AV2754" s="624"/>
      <c r="AX2754" s="624">
        <v>42115</v>
      </c>
      <c r="AY2754" s="355">
        <v>1.8599999999999998E-2</v>
      </c>
      <c r="AZ2754" s="624">
        <v>42179</v>
      </c>
      <c r="BA2754" s="355">
        <v>9.2999999999999992E-3</v>
      </c>
      <c r="BB2754" s="624">
        <v>42110</v>
      </c>
      <c r="BC2754" s="355">
        <v>0.26729999999999998</v>
      </c>
      <c r="BD2754" s="624">
        <v>42110</v>
      </c>
      <c r="BE2754" s="355">
        <v>9.221E-2</v>
      </c>
      <c r="BF2754" s="624">
        <v>42250</v>
      </c>
      <c r="BG2754" s="355">
        <v>1.5125E-2</v>
      </c>
      <c r="BH2754" s="624">
        <v>42110</v>
      </c>
      <c r="BI2754" s="355">
        <v>7.7923999999999993E-2</v>
      </c>
      <c r="BJ2754" s="624">
        <v>42109</v>
      </c>
      <c r="BK2754" s="355">
        <v>3.0839999999999999E-2</v>
      </c>
    </row>
    <row r="2755" spans="3:63">
      <c r="C2755" s="624"/>
      <c r="D2755" s="355">
        <v>1.8599999999999998E-2</v>
      </c>
      <c r="AV2755" s="624"/>
      <c r="AX2755" s="624">
        <v>42116</v>
      </c>
      <c r="AY2755" s="355">
        <v>1.9199999999999998E-2</v>
      </c>
      <c r="AZ2755" s="624">
        <v>42180</v>
      </c>
      <c r="BA2755" s="355">
        <v>9.2999999999999992E-3</v>
      </c>
      <c r="BB2755" s="624">
        <v>42111</v>
      </c>
      <c r="BC2755" s="355">
        <v>0.26840000000000003</v>
      </c>
      <c r="BD2755" s="624">
        <v>42111</v>
      </c>
      <c r="BE2755" s="355">
        <v>9.2270000000000005E-2</v>
      </c>
      <c r="BF2755" s="624">
        <v>42251</v>
      </c>
      <c r="BG2755" s="355">
        <v>1.4985999999999999E-2</v>
      </c>
      <c r="BH2755" s="624">
        <v>42111</v>
      </c>
      <c r="BI2755" s="355">
        <v>7.7896000000000007E-2</v>
      </c>
      <c r="BJ2755" s="624">
        <v>42110</v>
      </c>
      <c r="BK2755" s="355">
        <v>3.0869000000000001E-2</v>
      </c>
    </row>
    <row r="2756" spans="3:63">
      <c r="C2756" s="624"/>
      <c r="D2756" s="355">
        <v>1.9199999999999998E-2</v>
      </c>
      <c r="AV2756" s="624"/>
      <c r="AX2756" s="624">
        <v>42117</v>
      </c>
      <c r="AY2756" s="355">
        <v>1.9699999999999999E-2</v>
      </c>
      <c r="AZ2756" s="624">
        <v>42181</v>
      </c>
      <c r="BA2756" s="355">
        <v>9.2999999999999992E-3</v>
      </c>
      <c r="BB2756" s="624">
        <v>42114</v>
      </c>
      <c r="BC2756" s="355">
        <v>0.26910000000000001</v>
      </c>
      <c r="BD2756" s="624">
        <v>42114</v>
      </c>
      <c r="BE2756" s="355">
        <v>9.2310000000000003E-2</v>
      </c>
      <c r="BF2756" s="624">
        <v>42254</v>
      </c>
      <c r="BG2756" s="355">
        <v>1.495E-2</v>
      </c>
      <c r="BH2756" s="624">
        <v>42114</v>
      </c>
      <c r="BI2756" s="355">
        <v>7.6887999999999998E-2</v>
      </c>
      <c r="BJ2756" s="624">
        <v>42111</v>
      </c>
      <c r="BK2756" s="355">
        <v>3.0911999999999999E-2</v>
      </c>
    </row>
    <row r="2757" spans="3:63">
      <c r="C2757" s="624"/>
      <c r="D2757" s="355">
        <v>1.9699999999999999E-2</v>
      </c>
      <c r="AV2757" s="624"/>
      <c r="AX2757" s="624">
        <v>42118</v>
      </c>
      <c r="AY2757" s="355">
        <v>1.9650000000000001E-2</v>
      </c>
      <c r="AZ2757" s="624">
        <v>42184</v>
      </c>
      <c r="BA2757" s="355">
        <v>9.2999999999999992E-3</v>
      </c>
      <c r="BB2757" s="624">
        <v>42115</v>
      </c>
      <c r="BC2757" s="355">
        <v>0.26929999999999998</v>
      </c>
      <c r="BD2757" s="624">
        <v>42115</v>
      </c>
      <c r="BE2757" s="355">
        <v>9.2340000000000005E-2</v>
      </c>
      <c r="BF2757" s="624">
        <v>42255</v>
      </c>
      <c r="BG2757" s="355">
        <v>1.5086E-2</v>
      </c>
      <c r="BH2757" s="624">
        <v>42115</v>
      </c>
      <c r="BI2757" s="355">
        <v>7.7202000000000007E-2</v>
      </c>
      <c r="BJ2757" s="624">
        <v>42114</v>
      </c>
      <c r="BK2757" s="355">
        <v>3.0856999999999999E-2</v>
      </c>
    </row>
    <row r="2758" spans="3:63">
      <c r="C2758" s="624"/>
      <c r="D2758" s="355">
        <v>1.9650000000000001E-2</v>
      </c>
      <c r="AV2758" s="624"/>
      <c r="AX2758" s="624">
        <v>42121</v>
      </c>
      <c r="AY2758" s="355">
        <v>1.9279999999999999E-2</v>
      </c>
      <c r="AZ2758" s="624">
        <v>42185</v>
      </c>
      <c r="BA2758" s="355">
        <v>9.2999999999999992E-3</v>
      </c>
      <c r="BB2758" s="624">
        <v>42116</v>
      </c>
      <c r="BC2758" s="355">
        <v>0.26889999999999997</v>
      </c>
      <c r="BD2758" s="624">
        <v>42116</v>
      </c>
      <c r="BE2758" s="355">
        <v>9.2249999999999999E-2</v>
      </c>
      <c r="BF2758" s="624">
        <v>42256</v>
      </c>
      <c r="BG2758" s="355">
        <v>1.5011E-2</v>
      </c>
      <c r="BH2758" s="624">
        <v>42116</v>
      </c>
      <c r="BI2758" s="355">
        <v>7.7341999999999994E-2</v>
      </c>
      <c r="BJ2758" s="624">
        <v>42115</v>
      </c>
      <c r="BK2758" s="355">
        <v>3.0886E-2</v>
      </c>
    </row>
    <row r="2759" spans="3:63">
      <c r="C2759" s="624"/>
      <c r="D2759" s="355">
        <v>1.9279999999999999E-2</v>
      </c>
      <c r="AV2759" s="624"/>
      <c r="AX2759" s="624">
        <v>42122</v>
      </c>
      <c r="AY2759" s="355">
        <v>1.9470000000000001E-2</v>
      </c>
      <c r="AZ2759" s="624">
        <v>42186</v>
      </c>
      <c r="BA2759" s="355">
        <v>9.1999999999999998E-3</v>
      </c>
      <c r="BB2759" s="624">
        <v>42117</v>
      </c>
      <c r="BC2759" s="355">
        <v>0.27050000000000002</v>
      </c>
      <c r="BD2759" s="624">
        <v>42117</v>
      </c>
      <c r="BE2759" s="355">
        <v>9.2499999999999999E-2</v>
      </c>
      <c r="BF2759" s="624">
        <v>42257</v>
      </c>
      <c r="BG2759" s="355">
        <v>1.5088000000000001E-2</v>
      </c>
      <c r="BH2759" s="624">
        <v>42117</v>
      </c>
      <c r="BI2759" s="355">
        <v>7.7310000000000004E-2</v>
      </c>
      <c r="BJ2759" s="624">
        <v>42116</v>
      </c>
      <c r="BK2759" s="355">
        <v>3.0886E-2</v>
      </c>
    </row>
    <row r="2760" spans="3:63">
      <c r="C2760" s="624"/>
      <c r="D2760" s="355">
        <v>1.9470000000000001E-2</v>
      </c>
      <c r="AV2760" s="624"/>
      <c r="AX2760" s="624">
        <v>42123</v>
      </c>
      <c r="AY2760" s="355">
        <v>1.9599999999999999E-2</v>
      </c>
      <c r="AZ2760" s="624">
        <v>42187</v>
      </c>
      <c r="BA2760" s="355">
        <v>9.1999999999999998E-3</v>
      </c>
      <c r="BB2760" s="624">
        <v>42118</v>
      </c>
      <c r="BC2760" s="355">
        <v>0.26950000000000002</v>
      </c>
      <c r="BD2760" s="624">
        <v>42118</v>
      </c>
      <c r="BE2760" s="355">
        <v>9.2899999999999996E-2</v>
      </c>
      <c r="BF2760" s="624">
        <v>42258</v>
      </c>
      <c r="BG2760" s="355">
        <v>1.5096E-2</v>
      </c>
      <c r="BH2760" s="624">
        <v>42118</v>
      </c>
      <c r="BI2760" s="355">
        <v>7.7200000000000005E-2</v>
      </c>
      <c r="BJ2760" s="624">
        <v>42117</v>
      </c>
      <c r="BK2760" s="355">
        <v>3.0817000000000001E-2</v>
      </c>
    </row>
    <row r="2761" spans="3:63">
      <c r="C2761" s="624"/>
      <c r="D2761" s="355">
        <v>1.9599999999999999E-2</v>
      </c>
      <c r="AV2761" s="624"/>
      <c r="AX2761" s="624">
        <v>42124</v>
      </c>
      <c r="AY2761" s="355">
        <v>1.9369999999999998E-2</v>
      </c>
      <c r="AZ2761" s="624">
        <v>42188</v>
      </c>
      <c r="BA2761" s="355">
        <v>9.1999999999999998E-3</v>
      </c>
      <c r="BB2761" s="624">
        <v>42121</v>
      </c>
      <c r="BC2761" s="355">
        <v>0.27300000000000002</v>
      </c>
      <c r="BD2761" s="624">
        <v>42121</v>
      </c>
      <c r="BE2761" s="355">
        <v>9.3560000000000004E-2</v>
      </c>
      <c r="BF2761" s="624">
        <v>42261</v>
      </c>
      <c r="BG2761" s="355">
        <v>1.5082999999999999E-2</v>
      </c>
      <c r="BH2761" s="624">
        <v>42121</v>
      </c>
      <c r="BI2761" s="355">
        <v>7.7223E-2</v>
      </c>
      <c r="BJ2761" s="624">
        <v>42118</v>
      </c>
      <c r="BK2761" s="355">
        <v>3.0713000000000001E-2</v>
      </c>
    </row>
    <row r="2762" spans="3:63">
      <c r="C2762" s="624"/>
      <c r="D2762" s="355">
        <v>1.9369999999999998E-2</v>
      </c>
      <c r="AV2762" s="624"/>
      <c r="AX2762" s="624">
        <v>42125</v>
      </c>
      <c r="AY2762" s="355">
        <v>1.9269999999999999E-2</v>
      </c>
      <c r="AZ2762" s="624">
        <v>42191</v>
      </c>
      <c r="BA2762" s="355">
        <v>9.1999999999999998E-3</v>
      </c>
      <c r="BB2762" s="624">
        <v>42122</v>
      </c>
      <c r="BC2762" s="355">
        <v>0.27500000000000002</v>
      </c>
      <c r="BD2762" s="624">
        <v>42122</v>
      </c>
      <c r="BE2762" s="355">
        <v>9.393E-2</v>
      </c>
      <c r="BF2762" s="624">
        <v>42262</v>
      </c>
      <c r="BG2762" s="355">
        <v>1.5049E-2</v>
      </c>
      <c r="BH2762" s="624">
        <v>42122</v>
      </c>
      <c r="BI2762" s="355">
        <v>7.7273999999999995E-2</v>
      </c>
      <c r="BJ2762" s="624">
        <v>42121</v>
      </c>
      <c r="BK2762" s="355">
        <v>3.0676999999999999E-2</v>
      </c>
    </row>
    <row r="2763" spans="3:63">
      <c r="C2763" s="624"/>
      <c r="D2763" s="355">
        <v>1.9269999999999999E-2</v>
      </c>
      <c r="AV2763" s="624"/>
      <c r="AX2763" s="624">
        <v>42128</v>
      </c>
      <c r="AY2763" s="355">
        <v>1.9189999999999999E-2</v>
      </c>
      <c r="AZ2763" s="624">
        <v>42192</v>
      </c>
      <c r="BA2763" s="355">
        <v>9.1000000000000004E-3</v>
      </c>
      <c r="BB2763" s="624">
        <v>42123</v>
      </c>
      <c r="BC2763" s="355">
        <v>0.27739999999999998</v>
      </c>
      <c r="BD2763" s="624">
        <v>42123</v>
      </c>
      <c r="BE2763" s="355">
        <v>9.3429999999999999E-2</v>
      </c>
      <c r="BF2763" s="624">
        <v>42263</v>
      </c>
      <c r="BG2763" s="355">
        <v>1.5094E-2</v>
      </c>
      <c r="BH2763" s="624">
        <v>42123</v>
      </c>
      <c r="BI2763" s="355">
        <v>7.7386999999999997E-2</v>
      </c>
      <c r="BJ2763" s="624">
        <v>42122</v>
      </c>
      <c r="BK2763" s="355">
        <v>3.0636E-2</v>
      </c>
    </row>
    <row r="2764" spans="3:63">
      <c r="C2764" s="624"/>
      <c r="D2764" s="355">
        <v>1.9189999999999999E-2</v>
      </c>
      <c r="AV2764" s="624"/>
      <c r="AX2764" s="624">
        <v>42129</v>
      </c>
      <c r="AY2764" s="355">
        <v>1.9789999999999999E-2</v>
      </c>
      <c r="AZ2764" s="624">
        <v>42193</v>
      </c>
      <c r="BA2764" s="355">
        <v>9.1999999999999998E-3</v>
      </c>
      <c r="BB2764" s="624">
        <v>42124</v>
      </c>
      <c r="BC2764" s="355">
        <v>0.27750000000000002</v>
      </c>
      <c r="BD2764" s="624">
        <v>42124</v>
      </c>
      <c r="BE2764" s="355">
        <v>9.282E-2</v>
      </c>
      <c r="BF2764" s="624">
        <v>42264</v>
      </c>
      <c r="BG2764" s="355">
        <v>1.5134999999999999E-2</v>
      </c>
      <c r="BH2764" s="624">
        <v>42124</v>
      </c>
      <c r="BI2764" s="355">
        <v>7.7106999999999995E-2</v>
      </c>
      <c r="BJ2764" s="624">
        <v>42123</v>
      </c>
      <c r="BK2764" s="355">
        <v>3.0454999999999999E-2</v>
      </c>
    </row>
    <row r="2765" spans="3:63">
      <c r="C2765" s="624"/>
      <c r="D2765" s="355">
        <v>1.9789999999999999E-2</v>
      </c>
      <c r="AV2765" s="624"/>
      <c r="AX2765" s="624">
        <v>42130</v>
      </c>
      <c r="AY2765" s="355">
        <v>1.9730000000000001E-2</v>
      </c>
      <c r="AZ2765" s="624">
        <v>42194</v>
      </c>
      <c r="BA2765" s="355">
        <v>9.1999999999999998E-3</v>
      </c>
      <c r="BB2765" s="624">
        <v>42125</v>
      </c>
      <c r="BC2765" s="355">
        <v>0.27510000000000001</v>
      </c>
      <c r="BD2765" s="624">
        <v>42125</v>
      </c>
      <c r="BE2765" s="355">
        <v>9.2530000000000001E-2</v>
      </c>
      <c r="BF2765" s="624">
        <v>42265</v>
      </c>
      <c r="BG2765" s="355">
        <v>1.5180000000000001E-2</v>
      </c>
      <c r="BH2765" s="624">
        <v>42125</v>
      </c>
      <c r="BI2765" s="355">
        <v>7.6869999999999994E-2</v>
      </c>
      <c r="BJ2765" s="624">
        <v>42124</v>
      </c>
      <c r="BK2765" s="355">
        <v>3.0283000000000001E-2</v>
      </c>
    </row>
    <row r="2766" spans="3:63">
      <c r="C2766" s="624"/>
      <c r="D2766" s="355">
        <v>1.9730000000000001E-2</v>
      </c>
      <c r="AV2766" s="624"/>
      <c r="AX2766" s="624">
        <v>42131</v>
      </c>
      <c r="AY2766" s="355">
        <v>1.9910000000000001E-2</v>
      </c>
      <c r="AZ2766" s="624">
        <v>42195</v>
      </c>
      <c r="BA2766" s="355">
        <v>9.2999999999999992E-3</v>
      </c>
      <c r="BB2766" s="624">
        <v>42128</v>
      </c>
      <c r="BC2766" s="355">
        <v>0.2767</v>
      </c>
      <c r="BD2766" s="624">
        <v>42128</v>
      </c>
      <c r="BE2766" s="355">
        <v>9.2450000000000004E-2</v>
      </c>
      <c r="BF2766" s="624">
        <v>42268</v>
      </c>
      <c r="BG2766" s="355">
        <v>1.5221E-2</v>
      </c>
      <c r="BH2766" s="624">
        <v>42128</v>
      </c>
      <c r="BI2766" s="355">
        <v>7.7172000000000004E-2</v>
      </c>
      <c r="BJ2766" s="624">
        <v>42125</v>
      </c>
      <c r="BK2766" s="355">
        <v>3.0089000000000001E-2</v>
      </c>
    </row>
    <row r="2767" spans="3:63">
      <c r="C2767" s="624"/>
      <c r="D2767" s="355">
        <v>1.9910000000000001E-2</v>
      </c>
      <c r="AV2767" s="624"/>
      <c r="AX2767" s="624">
        <v>42132</v>
      </c>
      <c r="AY2767" s="355">
        <v>1.959E-2</v>
      </c>
      <c r="AZ2767" s="624">
        <v>42198</v>
      </c>
      <c r="BA2767" s="355">
        <v>9.1999999999999998E-3</v>
      </c>
      <c r="BB2767" s="624">
        <v>42129</v>
      </c>
      <c r="BC2767" s="355">
        <v>0.27760000000000001</v>
      </c>
      <c r="BD2767" s="624">
        <v>42129</v>
      </c>
      <c r="BE2767" s="355">
        <v>9.2539999999999997E-2</v>
      </c>
      <c r="BF2767" s="624">
        <v>42269</v>
      </c>
      <c r="BG2767" s="355">
        <v>1.5174999999999999E-2</v>
      </c>
      <c r="BH2767" s="624">
        <v>42129</v>
      </c>
      <c r="BI2767" s="355">
        <v>7.6770000000000005E-2</v>
      </c>
      <c r="BJ2767" s="624">
        <v>42128</v>
      </c>
      <c r="BK2767" s="355">
        <v>2.9994E-2</v>
      </c>
    </row>
    <row r="2768" spans="3:63">
      <c r="C2768" s="624"/>
      <c r="D2768" s="355">
        <v>1.959E-2</v>
      </c>
      <c r="AV2768" s="624"/>
      <c r="AX2768" s="624">
        <v>42135</v>
      </c>
      <c r="AY2768" s="355">
        <v>1.95E-2</v>
      </c>
      <c r="AZ2768" s="624">
        <v>42199</v>
      </c>
      <c r="BA2768" s="355">
        <v>9.1999999999999998E-3</v>
      </c>
      <c r="BB2768" s="624">
        <v>42130</v>
      </c>
      <c r="BC2768" s="355">
        <v>0.28050000000000003</v>
      </c>
      <c r="BD2768" s="624">
        <v>42130</v>
      </c>
      <c r="BE2768" s="355">
        <v>9.2560000000000003E-2</v>
      </c>
      <c r="BF2768" s="624">
        <v>42270</v>
      </c>
      <c r="BG2768" s="355">
        <v>1.5086E-2</v>
      </c>
      <c r="BH2768" s="624">
        <v>42130</v>
      </c>
      <c r="BI2768" s="355">
        <v>7.6842999999999995E-2</v>
      </c>
      <c r="BJ2768" s="624">
        <v>42129</v>
      </c>
      <c r="BK2768" s="355">
        <v>2.9989999999999999E-2</v>
      </c>
    </row>
    <row r="2769" spans="3:63">
      <c r="C2769" s="624"/>
      <c r="D2769" s="355">
        <v>1.95E-2</v>
      </c>
      <c r="AV2769" s="624"/>
      <c r="AX2769" s="624">
        <v>42136</v>
      </c>
      <c r="AY2769" s="355">
        <v>2.002E-2</v>
      </c>
      <c r="AZ2769" s="624">
        <v>42200</v>
      </c>
      <c r="BA2769" s="355">
        <v>9.1000000000000004E-3</v>
      </c>
      <c r="BB2769" s="624">
        <v>42131</v>
      </c>
      <c r="BC2769" s="355">
        <v>0.27850000000000003</v>
      </c>
      <c r="BD2769" s="624">
        <v>42131</v>
      </c>
      <c r="BE2769" s="355">
        <v>9.1370000000000007E-2</v>
      </c>
      <c r="BF2769" s="624">
        <v>42271</v>
      </c>
      <c r="BG2769" s="355">
        <v>1.5102000000000001E-2</v>
      </c>
      <c r="BH2769" s="624">
        <v>42131</v>
      </c>
      <c r="BI2769" s="355">
        <v>7.6188000000000006E-2</v>
      </c>
      <c r="BJ2769" s="624">
        <v>42130</v>
      </c>
      <c r="BK2769" s="355">
        <v>3.0062999999999999E-2</v>
      </c>
    </row>
    <row r="2770" spans="3:63">
      <c r="C2770" s="624"/>
      <c r="D2770" s="355">
        <v>2.002E-2</v>
      </c>
      <c r="AV2770" s="624"/>
      <c r="AX2770" s="624">
        <v>42137</v>
      </c>
      <c r="AY2770" s="355">
        <v>2.0279999999999999E-2</v>
      </c>
      <c r="AZ2770" s="624">
        <v>42201</v>
      </c>
      <c r="BA2770" s="355">
        <v>9.1000000000000004E-3</v>
      </c>
      <c r="BB2770" s="624">
        <v>42132</v>
      </c>
      <c r="BC2770" s="355">
        <v>0.27689999999999998</v>
      </c>
      <c r="BD2770" s="624">
        <v>42132</v>
      </c>
      <c r="BE2770" s="355">
        <v>9.1920000000000002E-2</v>
      </c>
      <c r="BF2770" s="624">
        <v>42272</v>
      </c>
      <c r="BG2770" s="355">
        <v>1.5114000000000001E-2</v>
      </c>
      <c r="BH2770" s="624">
        <v>42132</v>
      </c>
      <c r="BI2770" s="355">
        <v>7.6672000000000004E-2</v>
      </c>
      <c r="BJ2770" s="624">
        <v>42131</v>
      </c>
      <c r="BK2770" s="355">
        <v>2.9838E-2</v>
      </c>
    </row>
    <row r="2771" spans="3:63">
      <c r="C2771" s="624"/>
      <c r="D2771" s="355">
        <v>2.0279999999999999E-2</v>
      </c>
      <c r="AV2771" s="624"/>
      <c r="AX2771" s="624">
        <v>42138</v>
      </c>
      <c r="AY2771" s="355">
        <v>0.02</v>
      </c>
      <c r="AZ2771" s="624">
        <v>42202</v>
      </c>
      <c r="BA2771" s="355">
        <v>8.9999999999999993E-3</v>
      </c>
      <c r="BB2771" s="624">
        <v>42135</v>
      </c>
      <c r="BC2771" s="355">
        <v>0.27329999999999999</v>
      </c>
      <c r="BD2771" s="624">
        <v>42135</v>
      </c>
      <c r="BE2771" s="355">
        <v>9.1149999999999995E-2</v>
      </c>
      <c r="BF2771" s="624">
        <v>42275</v>
      </c>
      <c r="BG2771" s="355">
        <v>1.5063E-2</v>
      </c>
      <c r="BH2771" s="624">
        <v>42135</v>
      </c>
      <c r="BI2771" s="355">
        <v>7.5896000000000005E-2</v>
      </c>
      <c r="BJ2771" s="624">
        <v>42132</v>
      </c>
      <c r="BK2771" s="355">
        <v>2.9805000000000002E-2</v>
      </c>
    </row>
    <row r="2772" spans="3:63">
      <c r="C2772" s="624"/>
      <c r="D2772" s="355">
        <v>0.02</v>
      </c>
      <c r="AV2772" s="624"/>
      <c r="AX2772" s="624">
        <v>42139</v>
      </c>
      <c r="AY2772" s="355">
        <v>2.0199999999999999E-2</v>
      </c>
      <c r="AZ2772" s="624">
        <v>42205</v>
      </c>
      <c r="BA2772" s="355">
        <v>8.9999999999999993E-3</v>
      </c>
      <c r="BB2772" s="624">
        <v>42136</v>
      </c>
      <c r="BC2772" s="355">
        <v>0.27339999999999998</v>
      </c>
      <c r="BD2772" s="624">
        <v>42136</v>
      </c>
      <c r="BE2772" s="355">
        <v>9.1469999999999996E-2</v>
      </c>
      <c r="BF2772" s="624">
        <v>42276</v>
      </c>
      <c r="BG2772" s="355">
        <v>1.5167E-2</v>
      </c>
      <c r="BH2772" s="624">
        <v>42136</v>
      </c>
      <c r="BI2772" s="355">
        <v>7.5994000000000006E-2</v>
      </c>
      <c r="BJ2772" s="624">
        <v>42135</v>
      </c>
      <c r="BK2772" s="355">
        <v>2.9645999999999999E-2</v>
      </c>
    </row>
    <row r="2773" spans="3:63">
      <c r="C2773" s="624"/>
      <c r="D2773" s="355">
        <v>2.0199999999999999E-2</v>
      </c>
      <c r="AV2773" s="624"/>
      <c r="AX2773" s="624">
        <v>42142</v>
      </c>
      <c r="AY2773" s="355">
        <v>2.035E-2</v>
      </c>
      <c r="AZ2773" s="624">
        <v>42206</v>
      </c>
      <c r="BA2773" s="355">
        <v>9.1000000000000004E-3</v>
      </c>
      <c r="BB2773" s="624">
        <v>42137</v>
      </c>
      <c r="BC2773" s="355">
        <v>0.2772</v>
      </c>
      <c r="BD2773" s="624">
        <v>42137</v>
      </c>
      <c r="BE2773" s="355">
        <v>9.1490000000000002E-2</v>
      </c>
      <c r="BF2773" s="624">
        <v>42277</v>
      </c>
      <c r="BG2773" s="355">
        <v>1.5252999999999999E-2</v>
      </c>
      <c r="BH2773" s="624">
        <v>42137</v>
      </c>
      <c r="BI2773" s="355">
        <v>7.6300999999999994E-2</v>
      </c>
      <c r="BJ2773" s="624">
        <v>42136</v>
      </c>
      <c r="BK2773" s="355">
        <v>2.9648000000000001E-2</v>
      </c>
    </row>
    <row r="2774" spans="3:63">
      <c r="C2774" s="624"/>
      <c r="D2774" s="355">
        <v>2.035E-2</v>
      </c>
      <c r="AV2774" s="624"/>
      <c r="AX2774" s="624">
        <v>42143</v>
      </c>
      <c r="AY2774" s="355">
        <v>2.018E-2</v>
      </c>
      <c r="AZ2774" s="624">
        <v>42207</v>
      </c>
      <c r="BA2774" s="355">
        <v>9.1000000000000004E-3</v>
      </c>
      <c r="BB2774" s="624">
        <v>42138</v>
      </c>
      <c r="BC2774" s="355">
        <v>0.28050000000000003</v>
      </c>
      <c r="BD2774" s="624">
        <v>42138</v>
      </c>
      <c r="BE2774" s="355">
        <v>9.1859999999999997E-2</v>
      </c>
      <c r="BF2774" s="624">
        <v>42278</v>
      </c>
      <c r="BG2774" s="355">
        <v>1.5240999999999999E-2</v>
      </c>
      <c r="BH2774" s="624">
        <v>42138</v>
      </c>
      <c r="BI2774" s="355">
        <v>7.6793E-2</v>
      </c>
      <c r="BJ2774" s="624">
        <v>42137</v>
      </c>
      <c r="BK2774" s="355">
        <v>2.9838E-2</v>
      </c>
    </row>
    <row r="2775" spans="3:63">
      <c r="C2775" s="624"/>
      <c r="D2775" s="355">
        <v>2.018E-2</v>
      </c>
      <c r="AV2775" s="624"/>
      <c r="AX2775" s="624">
        <v>42144</v>
      </c>
      <c r="AY2775" s="355">
        <v>2.0109999999999999E-2</v>
      </c>
      <c r="AZ2775" s="624">
        <v>42208</v>
      </c>
      <c r="BA2775" s="355">
        <v>9.1000000000000004E-3</v>
      </c>
      <c r="BB2775" s="624">
        <v>42139</v>
      </c>
      <c r="BC2775" s="355">
        <v>0.28349999999999997</v>
      </c>
      <c r="BD2775" s="624">
        <v>42139</v>
      </c>
      <c r="BE2775" s="355">
        <v>9.2219999999999996E-2</v>
      </c>
      <c r="BF2775" s="624">
        <v>42279</v>
      </c>
      <c r="BG2775" s="355">
        <v>1.5337999999999999E-2</v>
      </c>
      <c r="BH2775" s="624">
        <v>42139</v>
      </c>
      <c r="BI2775" s="355">
        <v>7.6535000000000006E-2</v>
      </c>
      <c r="BJ2775" s="624">
        <v>42138</v>
      </c>
      <c r="BK2775" s="355">
        <v>2.9878999999999999E-2</v>
      </c>
    </row>
    <row r="2776" spans="3:63">
      <c r="C2776" s="624"/>
      <c r="D2776" s="355">
        <v>2.0109999999999999E-2</v>
      </c>
      <c r="AV2776" s="624"/>
      <c r="AX2776" s="624">
        <v>42145</v>
      </c>
      <c r="AY2776" s="355">
        <v>2.001E-2</v>
      </c>
      <c r="AZ2776" s="624">
        <v>42209</v>
      </c>
      <c r="BA2776" s="355">
        <v>9.1000000000000004E-3</v>
      </c>
      <c r="BB2776" s="624">
        <v>42142</v>
      </c>
      <c r="BC2776" s="355">
        <v>0.27760000000000001</v>
      </c>
      <c r="BD2776" s="624">
        <v>42142</v>
      </c>
      <c r="BE2776" s="355">
        <v>9.171E-2</v>
      </c>
      <c r="BF2776" s="624">
        <v>42282</v>
      </c>
      <c r="BG2776" s="355">
        <v>1.5351E-2</v>
      </c>
      <c r="BH2776" s="624">
        <v>42142</v>
      </c>
      <c r="BI2776" s="355">
        <v>7.5843999999999995E-2</v>
      </c>
      <c r="BJ2776" s="624">
        <v>42139</v>
      </c>
      <c r="BK2776" s="355">
        <v>2.9863000000000001E-2</v>
      </c>
    </row>
    <row r="2777" spans="3:63">
      <c r="C2777" s="624"/>
      <c r="D2777" s="355">
        <v>2.001E-2</v>
      </c>
      <c r="AV2777" s="624"/>
      <c r="AX2777" s="624">
        <v>42146</v>
      </c>
      <c r="AY2777" s="355">
        <v>0.02</v>
      </c>
      <c r="AZ2777" s="624">
        <v>42212</v>
      </c>
      <c r="BA2777" s="355">
        <v>9.1999999999999998E-3</v>
      </c>
      <c r="BB2777" s="624">
        <v>42143</v>
      </c>
      <c r="BC2777" s="355">
        <v>0.2752</v>
      </c>
      <c r="BD2777" s="624">
        <v>42143</v>
      </c>
      <c r="BE2777" s="355">
        <v>9.1289999999999996E-2</v>
      </c>
      <c r="BF2777" s="624">
        <v>42283</v>
      </c>
      <c r="BG2777" s="355">
        <v>1.5353E-2</v>
      </c>
      <c r="BH2777" s="624">
        <v>42143</v>
      </c>
      <c r="BI2777" s="355">
        <v>7.5850000000000001E-2</v>
      </c>
      <c r="BJ2777" s="624">
        <v>42142</v>
      </c>
      <c r="BK2777" s="355">
        <v>2.9936999999999998E-2</v>
      </c>
    </row>
    <row r="2778" spans="3:63">
      <c r="C2778" s="624"/>
      <c r="D2778" s="355">
        <v>0.02</v>
      </c>
      <c r="AV2778" s="624"/>
      <c r="AX2778" s="624">
        <v>42149</v>
      </c>
      <c r="AY2778" s="355">
        <v>2.002E-2</v>
      </c>
      <c r="AZ2778" s="624">
        <v>42213</v>
      </c>
      <c r="BA2778" s="355">
        <v>9.1999999999999998E-3</v>
      </c>
      <c r="BB2778" s="624">
        <v>42144</v>
      </c>
      <c r="BC2778" s="355">
        <v>0.27210000000000001</v>
      </c>
      <c r="BD2778" s="624">
        <v>42144</v>
      </c>
      <c r="BE2778" s="355">
        <v>9.11E-2</v>
      </c>
      <c r="BF2778" s="624">
        <v>42284</v>
      </c>
      <c r="BG2778" s="355">
        <v>1.5407000000000001E-2</v>
      </c>
      <c r="BH2778" s="624">
        <v>42144</v>
      </c>
      <c r="BI2778" s="355">
        <v>7.6377E-2</v>
      </c>
      <c r="BJ2778" s="624">
        <v>42143</v>
      </c>
      <c r="BK2778" s="355">
        <v>2.9839000000000001E-2</v>
      </c>
    </row>
    <row r="2779" spans="3:63">
      <c r="C2779" s="624"/>
      <c r="D2779" s="355">
        <v>2.002E-2</v>
      </c>
      <c r="AV2779" s="624"/>
      <c r="AX2779" s="624">
        <v>42150</v>
      </c>
      <c r="AY2779" s="355">
        <v>1.9640000000000001E-2</v>
      </c>
      <c r="AZ2779" s="624">
        <v>42214</v>
      </c>
      <c r="BA2779" s="355">
        <v>9.1000000000000004E-3</v>
      </c>
      <c r="BB2779" s="624">
        <v>42145</v>
      </c>
      <c r="BC2779" s="355">
        <v>0.2712</v>
      </c>
      <c r="BD2779" s="624">
        <v>42145</v>
      </c>
      <c r="BE2779" s="355">
        <v>9.1420000000000001E-2</v>
      </c>
      <c r="BF2779" s="624">
        <v>42285</v>
      </c>
      <c r="BG2779" s="355">
        <v>1.5428000000000001E-2</v>
      </c>
      <c r="BH2779" s="624">
        <v>42145</v>
      </c>
      <c r="BI2779" s="355">
        <v>7.6219999999999996E-2</v>
      </c>
      <c r="BJ2779" s="624">
        <v>42144</v>
      </c>
      <c r="BK2779" s="355">
        <v>2.9766999999999998E-2</v>
      </c>
    </row>
    <row r="2780" spans="3:63">
      <c r="C2780" s="624"/>
      <c r="D2780" s="355">
        <v>1.9640000000000001E-2</v>
      </c>
      <c r="AV2780" s="624"/>
      <c r="AX2780" s="624">
        <v>42151</v>
      </c>
      <c r="AY2780" s="355">
        <v>1.932E-2</v>
      </c>
      <c r="AZ2780" s="624">
        <v>42215</v>
      </c>
      <c r="BA2780" s="355">
        <v>9.1000000000000004E-3</v>
      </c>
      <c r="BB2780" s="624">
        <v>42146</v>
      </c>
      <c r="BC2780" s="355">
        <v>0.26800000000000002</v>
      </c>
      <c r="BD2780" s="624">
        <v>42146</v>
      </c>
      <c r="BE2780" s="355">
        <v>9.1179999999999997E-2</v>
      </c>
      <c r="BF2780" s="624">
        <v>42286</v>
      </c>
      <c r="BG2780" s="355">
        <v>1.5436999999999999E-2</v>
      </c>
      <c r="BH2780" s="624">
        <v>42146</v>
      </c>
      <c r="BI2780" s="355">
        <v>7.6075000000000004E-2</v>
      </c>
      <c r="BJ2780" s="624">
        <v>42145</v>
      </c>
      <c r="BK2780" s="355">
        <v>2.9925E-2</v>
      </c>
    </row>
    <row r="2781" spans="3:63">
      <c r="C2781" s="624"/>
      <c r="D2781" s="355">
        <v>1.932E-2</v>
      </c>
      <c r="AV2781" s="624"/>
      <c r="AX2781" s="624">
        <v>42152</v>
      </c>
      <c r="AY2781" s="355">
        <v>1.899E-2</v>
      </c>
      <c r="AZ2781" s="624">
        <v>42216</v>
      </c>
      <c r="BA2781" s="355">
        <v>9.1000000000000004E-3</v>
      </c>
      <c r="BB2781" s="624">
        <v>42149</v>
      </c>
      <c r="BC2781" s="355">
        <v>0.26740000000000003</v>
      </c>
      <c r="BD2781" s="624">
        <v>42149</v>
      </c>
      <c r="BE2781" s="355">
        <v>9.1160000000000005E-2</v>
      </c>
      <c r="BF2781" s="624">
        <v>42289</v>
      </c>
      <c r="BG2781" s="355">
        <v>1.5448999999999999E-2</v>
      </c>
      <c r="BH2781" s="624">
        <v>42149</v>
      </c>
      <c r="BI2781" s="355">
        <v>7.5827000000000006E-2</v>
      </c>
      <c r="BJ2781" s="624">
        <v>42146</v>
      </c>
      <c r="BK2781" s="355">
        <v>2.9977E-2</v>
      </c>
    </row>
    <row r="2782" spans="3:63">
      <c r="C2782" s="624"/>
      <c r="D2782" s="355">
        <v>1.899E-2</v>
      </c>
      <c r="AV2782" s="624"/>
      <c r="AX2782" s="624">
        <v>42153</v>
      </c>
      <c r="AY2782" s="355">
        <v>1.9109999999999999E-2</v>
      </c>
      <c r="AZ2782" s="624">
        <v>42219</v>
      </c>
      <c r="BA2782" s="355">
        <v>9.1000000000000004E-3</v>
      </c>
      <c r="BB2782" s="624">
        <v>42150</v>
      </c>
      <c r="BC2782" s="355">
        <v>0.2621</v>
      </c>
      <c r="BD2782" s="624">
        <v>42150</v>
      </c>
      <c r="BE2782" s="355">
        <v>9.0230000000000005E-2</v>
      </c>
      <c r="BF2782" s="624">
        <v>42290</v>
      </c>
      <c r="BG2782" s="355">
        <v>1.536E-2</v>
      </c>
      <c r="BH2782" s="624">
        <v>42150</v>
      </c>
      <c r="BI2782" s="355">
        <v>7.5603000000000004E-2</v>
      </c>
      <c r="BJ2782" s="624">
        <v>42149</v>
      </c>
      <c r="BK2782" s="355">
        <v>2.9767999999999999E-2</v>
      </c>
    </row>
    <row r="2783" spans="3:63">
      <c r="C2783" s="624"/>
      <c r="D2783" s="355">
        <v>1.9109999999999999E-2</v>
      </c>
      <c r="AV2783" s="624"/>
      <c r="AX2783" s="624">
        <v>42156</v>
      </c>
      <c r="AY2783" s="355">
        <v>1.8669999999999999E-2</v>
      </c>
      <c r="AZ2783" s="624">
        <v>42220</v>
      </c>
      <c r="BA2783" s="355">
        <v>9.1000000000000004E-3</v>
      </c>
      <c r="BB2783" s="624">
        <v>42151</v>
      </c>
      <c r="BC2783" s="355">
        <v>0.26419999999999999</v>
      </c>
      <c r="BD2783" s="624">
        <v>42151</v>
      </c>
      <c r="BE2783" s="355">
        <v>9.0139999999999998E-2</v>
      </c>
      <c r="BF2783" s="624">
        <v>42291</v>
      </c>
      <c r="BG2783" s="355">
        <v>1.5429999999999999E-2</v>
      </c>
      <c r="BH2783" s="624">
        <v>42151</v>
      </c>
      <c r="BI2783" s="355">
        <v>7.5867000000000004E-2</v>
      </c>
      <c r="BJ2783" s="624">
        <v>42150</v>
      </c>
      <c r="BK2783" s="355">
        <v>2.9647E-2</v>
      </c>
    </row>
    <row r="2784" spans="3:63">
      <c r="C2784" s="624"/>
      <c r="D2784" s="355">
        <v>1.8669999999999999E-2</v>
      </c>
      <c r="AV2784" s="624"/>
      <c r="AX2784" s="624">
        <v>42157</v>
      </c>
      <c r="AY2784" s="355">
        <v>1.8939999999999999E-2</v>
      </c>
      <c r="AZ2784" s="624">
        <v>42221</v>
      </c>
      <c r="BA2784" s="355">
        <v>9.1000000000000004E-3</v>
      </c>
      <c r="BB2784" s="624">
        <v>42152</v>
      </c>
      <c r="BC2784" s="355">
        <v>0.26429999999999998</v>
      </c>
      <c r="BD2784" s="624">
        <v>42152</v>
      </c>
      <c r="BE2784" s="355">
        <v>9.0200000000000002E-2</v>
      </c>
      <c r="BF2784" s="624">
        <v>42292</v>
      </c>
      <c r="BG2784" s="355">
        <v>1.5436999999999999E-2</v>
      </c>
      <c r="BH2784" s="624">
        <v>42152</v>
      </c>
      <c r="BI2784" s="355">
        <v>7.5774999999999995E-2</v>
      </c>
      <c r="BJ2784" s="624">
        <v>42151</v>
      </c>
      <c r="BK2784" s="355">
        <v>2.9631000000000001E-2</v>
      </c>
    </row>
    <row r="2785" spans="3:63">
      <c r="C2785" s="624"/>
      <c r="D2785" s="355">
        <v>1.8939999999999999E-2</v>
      </c>
      <c r="AV2785" s="624"/>
      <c r="AX2785" s="624">
        <v>42158</v>
      </c>
      <c r="AY2785" s="355">
        <v>1.8409999999999999E-2</v>
      </c>
      <c r="AZ2785" s="624">
        <v>42222</v>
      </c>
      <c r="BA2785" s="355">
        <v>9.1000000000000004E-3</v>
      </c>
      <c r="BB2785" s="624">
        <v>42153</v>
      </c>
      <c r="BC2785" s="355">
        <v>0.26729999999999998</v>
      </c>
      <c r="BD2785" s="624">
        <v>42153</v>
      </c>
      <c r="BE2785" s="355">
        <v>8.9749999999999996E-2</v>
      </c>
      <c r="BF2785" s="624">
        <v>42293</v>
      </c>
      <c r="BG2785" s="355">
        <v>1.5454000000000001E-2</v>
      </c>
      <c r="BH2785" s="624">
        <v>42153</v>
      </c>
      <c r="BI2785" s="355">
        <v>7.5700000000000003E-2</v>
      </c>
      <c r="BJ2785" s="624">
        <v>42152</v>
      </c>
      <c r="BK2785" s="355">
        <v>2.9607999999999999E-2</v>
      </c>
    </row>
    <row r="2786" spans="3:63">
      <c r="C2786" s="624"/>
      <c r="D2786" s="355">
        <v>1.8409999999999999E-2</v>
      </c>
      <c r="AV2786" s="624"/>
      <c r="AX2786" s="624">
        <v>42159</v>
      </c>
      <c r="AY2786" s="355">
        <v>1.7739999999999999E-2</v>
      </c>
      <c r="AZ2786" s="624">
        <v>42223</v>
      </c>
      <c r="BA2786" s="355">
        <v>9.1000000000000004E-3</v>
      </c>
      <c r="BB2786" s="624">
        <v>42156</v>
      </c>
      <c r="BC2786" s="355">
        <v>0.26550000000000001</v>
      </c>
      <c r="BD2786" s="624">
        <v>42156</v>
      </c>
      <c r="BE2786" s="355">
        <v>8.9590000000000003E-2</v>
      </c>
      <c r="BF2786" s="624">
        <v>42296</v>
      </c>
      <c r="BG2786" s="355">
        <v>1.5396E-2</v>
      </c>
      <c r="BH2786" s="624">
        <v>42156</v>
      </c>
      <c r="BI2786" s="355">
        <v>7.5643000000000002E-2</v>
      </c>
      <c r="BJ2786" s="624">
        <v>42153</v>
      </c>
      <c r="BK2786" s="355">
        <v>2.9676000000000001E-2</v>
      </c>
    </row>
    <row r="2787" spans="3:63">
      <c r="C2787" s="624"/>
      <c r="D2787" s="355">
        <v>1.7739999999999999E-2</v>
      </c>
      <c r="AV2787" s="624"/>
      <c r="AX2787" s="624">
        <v>42160</v>
      </c>
      <c r="AY2787" s="355">
        <v>1.7780000000000001E-2</v>
      </c>
      <c r="AZ2787" s="624">
        <v>42226</v>
      </c>
      <c r="BA2787" s="355">
        <v>9.1999999999999998E-3</v>
      </c>
      <c r="BB2787" s="624">
        <v>42157</v>
      </c>
      <c r="BC2787" s="355">
        <v>0.2707</v>
      </c>
      <c r="BD2787" s="624">
        <v>42157</v>
      </c>
      <c r="BE2787" s="355">
        <v>9.0319999999999998E-2</v>
      </c>
      <c r="BH2787" s="624">
        <v>42157</v>
      </c>
      <c r="BI2787" s="355">
        <v>7.5684000000000001E-2</v>
      </c>
      <c r="BJ2787" s="624">
        <v>42156</v>
      </c>
      <c r="BK2787" s="355">
        <v>2.9676000000000001E-2</v>
      </c>
    </row>
    <row r="2788" spans="3:63">
      <c r="C2788" s="624"/>
      <c r="D2788" s="355">
        <v>1.7780000000000001E-2</v>
      </c>
      <c r="AV2788" s="624"/>
      <c r="AX2788" s="624">
        <v>42163</v>
      </c>
      <c r="AY2788" s="355">
        <v>1.7919999999999998E-2</v>
      </c>
      <c r="AZ2788" s="624">
        <v>42227</v>
      </c>
      <c r="BA2788" s="355">
        <v>9.1999999999999998E-3</v>
      </c>
      <c r="BB2788" s="624">
        <v>42158</v>
      </c>
      <c r="BC2788" s="355">
        <v>0.27089999999999997</v>
      </c>
      <c r="BD2788" s="624">
        <v>42158</v>
      </c>
      <c r="BE2788" s="355">
        <v>9.0289999999999995E-2</v>
      </c>
      <c r="BH2788" s="624">
        <v>42158</v>
      </c>
      <c r="BI2788" s="355">
        <v>7.5485999999999998E-2</v>
      </c>
      <c r="BJ2788" s="624">
        <v>42157</v>
      </c>
      <c r="BK2788" s="355">
        <v>2.9670999999999999E-2</v>
      </c>
    </row>
    <row r="2789" spans="3:63">
      <c r="C2789" s="624"/>
      <c r="D2789" s="355">
        <v>1.7919999999999998E-2</v>
      </c>
      <c r="AV2789" s="624"/>
      <c r="AX2789" s="624">
        <v>42164</v>
      </c>
      <c r="AY2789" s="355">
        <v>1.804E-2</v>
      </c>
      <c r="AZ2789" s="624">
        <v>42228</v>
      </c>
      <c r="BA2789" s="355">
        <v>9.2999999999999992E-3</v>
      </c>
      <c r="BB2789" s="624">
        <v>42159</v>
      </c>
      <c r="BC2789" s="355">
        <v>0.26950000000000002</v>
      </c>
      <c r="BD2789" s="624">
        <v>42159</v>
      </c>
      <c r="BE2789" s="355">
        <v>8.9770000000000003E-2</v>
      </c>
      <c r="BH2789" s="624">
        <v>42159</v>
      </c>
      <c r="BI2789" s="355">
        <v>7.5317999999999996E-2</v>
      </c>
      <c r="BJ2789" s="624">
        <v>42158</v>
      </c>
      <c r="BK2789" s="355">
        <v>2.9725000000000001E-2</v>
      </c>
    </row>
    <row r="2790" spans="3:63">
      <c r="C2790" s="624"/>
      <c r="D2790" s="355">
        <v>1.804E-2</v>
      </c>
      <c r="AV2790" s="624"/>
      <c r="AX2790" s="624">
        <v>42165</v>
      </c>
      <c r="AY2790" s="355">
        <v>1.8419999999999999E-2</v>
      </c>
      <c r="AZ2790" s="624">
        <v>42229</v>
      </c>
      <c r="BA2790" s="355">
        <v>9.2999999999999992E-3</v>
      </c>
      <c r="BB2790" s="624">
        <v>42160</v>
      </c>
      <c r="BC2790" s="355">
        <v>0.26719999999999999</v>
      </c>
      <c r="BD2790" s="624">
        <v>42160</v>
      </c>
      <c r="BE2790" s="355">
        <v>8.8940000000000005E-2</v>
      </c>
      <c r="BH2790" s="624">
        <v>42160</v>
      </c>
      <c r="BI2790" s="355">
        <v>7.4803999999999995E-2</v>
      </c>
      <c r="BJ2790" s="624">
        <v>42159</v>
      </c>
      <c r="BK2790" s="355">
        <v>2.9652000000000001E-2</v>
      </c>
    </row>
    <row r="2791" spans="3:63">
      <c r="C2791" s="624"/>
      <c r="D2791" s="355">
        <v>1.8419999999999999E-2</v>
      </c>
      <c r="AV2791" s="624"/>
      <c r="AX2791" s="624">
        <v>42166</v>
      </c>
      <c r="AY2791" s="355">
        <v>1.8280000000000001E-2</v>
      </c>
      <c r="AZ2791" s="624">
        <v>42230</v>
      </c>
      <c r="BA2791" s="355">
        <v>9.2999999999999992E-3</v>
      </c>
      <c r="BB2791" s="624">
        <v>42163</v>
      </c>
      <c r="BC2791" s="355">
        <v>0.27050000000000002</v>
      </c>
      <c r="BD2791" s="624">
        <v>42163</v>
      </c>
      <c r="BE2791" s="355">
        <v>8.9410000000000003E-2</v>
      </c>
      <c r="BH2791" s="624">
        <v>42163</v>
      </c>
      <c r="BI2791" s="355">
        <v>7.4912000000000006E-2</v>
      </c>
      <c r="BJ2791" s="624">
        <v>42160</v>
      </c>
      <c r="BK2791" s="355">
        <v>2.9506999999999999E-2</v>
      </c>
    </row>
    <row r="2792" spans="3:63">
      <c r="C2792" s="624"/>
      <c r="D2792" s="355">
        <v>1.8280000000000001E-2</v>
      </c>
      <c r="AV2792" s="624"/>
      <c r="AX2792" s="624">
        <v>42167</v>
      </c>
      <c r="AY2792" s="355">
        <v>1.8120000000000001E-2</v>
      </c>
      <c r="AZ2792" s="624">
        <v>42233</v>
      </c>
      <c r="BA2792" s="355">
        <v>9.1999999999999998E-3</v>
      </c>
      <c r="BB2792" s="624">
        <v>42164</v>
      </c>
      <c r="BC2792" s="355">
        <v>0.27010000000000001</v>
      </c>
      <c r="BD2792" s="624">
        <v>42164</v>
      </c>
      <c r="BE2792" s="355">
        <v>8.9160000000000003E-2</v>
      </c>
      <c r="BH2792" s="624">
        <v>42164</v>
      </c>
      <c r="BI2792" s="355">
        <v>7.4931999999999999E-2</v>
      </c>
      <c r="BJ2792" s="624">
        <v>42163</v>
      </c>
      <c r="BK2792" s="355">
        <v>2.9634000000000001E-2</v>
      </c>
    </row>
    <row r="2793" spans="3:63">
      <c r="C2793" s="624"/>
      <c r="D2793" s="355">
        <v>1.8120000000000001E-2</v>
      </c>
      <c r="AV2793" s="624"/>
      <c r="AX2793" s="624">
        <v>42170</v>
      </c>
      <c r="AY2793" s="355">
        <v>1.8339999999999999E-2</v>
      </c>
      <c r="AZ2793" s="624">
        <v>42234</v>
      </c>
      <c r="BA2793" s="355">
        <v>9.1999999999999998E-3</v>
      </c>
      <c r="BB2793" s="624">
        <v>42165</v>
      </c>
      <c r="BC2793" s="355">
        <v>0.27339999999999998</v>
      </c>
      <c r="BD2793" s="624">
        <v>42165</v>
      </c>
      <c r="BE2793" s="355">
        <v>9.0020000000000003E-2</v>
      </c>
      <c r="BH2793" s="624">
        <v>42165</v>
      </c>
      <c r="BI2793" s="355">
        <v>7.5643000000000002E-2</v>
      </c>
      <c r="BJ2793" s="624">
        <v>42164</v>
      </c>
      <c r="BK2793" s="355">
        <v>2.9665E-2</v>
      </c>
    </row>
    <row r="2794" spans="3:63">
      <c r="C2794" s="624"/>
      <c r="D2794" s="355">
        <v>1.8339999999999999E-2</v>
      </c>
      <c r="AV2794" s="624"/>
      <c r="AX2794" s="624">
        <v>42171</v>
      </c>
      <c r="AY2794" s="355">
        <v>1.856E-2</v>
      </c>
      <c r="AZ2794" s="624">
        <v>42235</v>
      </c>
      <c r="BA2794" s="355">
        <v>9.2999999999999992E-3</v>
      </c>
      <c r="BB2794" s="624">
        <v>42166</v>
      </c>
      <c r="BC2794" s="355">
        <v>0.27239999999999998</v>
      </c>
      <c r="BD2794" s="624">
        <v>42166</v>
      </c>
      <c r="BE2794" s="355">
        <v>8.9810000000000001E-2</v>
      </c>
      <c r="BH2794" s="624">
        <v>42166</v>
      </c>
      <c r="BI2794" s="355">
        <v>7.5289999999999996E-2</v>
      </c>
      <c r="BJ2794" s="624">
        <v>42165</v>
      </c>
      <c r="BK2794" s="355">
        <v>2.9763999999999999E-2</v>
      </c>
    </row>
    <row r="2795" spans="3:63">
      <c r="C2795" s="624"/>
      <c r="D2795" s="355">
        <v>1.856E-2</v>
      </c>
      <c r="AV2795" s="624"/>
      <c r="AX2795" s="624">
        <v>42172</v>
      </c>
      <c r="AY2795" s="355">
        <v>1.864E-2</v>
      </c>
      <c r="AZ2795" s="624">
        <v>42236</v>
      </c>
      <c r="BA2795" s="355">
        <v>9.4000000000000004E-3</v>
      </c>
      <c r="BB2795" s="624">
        <v>42167</v>
      </c>
      <c r="BC2795" s="355">
        <v>0.27200000000000002</v>
      </c>
      <c r="BD2795" s="624">
        <v>42167</v>
      </c>
      <c r="BE2795" s="355">
        <v>8.9940000000000006E-2</v>
      </c>
      <c r="BH2795" s="624">
        <v>42167</v>
      </c>
      <c r="BI2795" s="355">
        <v>7.5015999999999999E-2</v>
      </c>
      <c r="BJ2795" s="624">
        <v>42166</v>
      </c>
      <c r="BK2795" s="355">
        <v>2.9658E-2</v>
      </c>
    </row>
    <row r="2796" spans="3:63">
      <c r="C2796" s="624"/>
      <c r="D2796" s="355">
        <v>1.864E-2</v>
      </c>
      <c r="AV2796" s="624"/>
      <c r="AX2796" s="624">
        <v>42173</v>
      </c>
      <c r="AY2796" s="355">
        <v>1.8710000000000001E-2</v>
      </c>
      <c r="AZ2796" s="624">
        <v>42237</v>
      </c>
      <c r="BA2796" s="355">
        <v>9.4999999999999998E-3</v>
      </c>
      <c r="BB2796" s="624">
        <v>42170</v>
      </c>
      <c r="BC2796" s="355">
        <v>0.27160000000000001</v>
      </c>
      <c r="BD2796" s="624">
        <v>42170</v>
      </c>
      <c r="BE2796" s="355">
        <v>8.9539999999999995E-2</v>
      </c>
      <c r="BH2796" s="624">
        <v>42170</v>
      </c>
      <c r="BI2796" s="355">
        <v>7.5029999999999999E-2</v>
      </c>
      <c r="BJ2796" s="624">
        <v>42167</v>
      </c>
      <c r="BK2796" s="355">
        <v>2.9718000000000001E-2</v>
      </c>
    </row>
    <row r="2797" spans="3:63">
      <c r="C2797" s="624"/>
      <c r="D2797" s="355">
        <v>1.8710000000000001E-2</v>
      </c>
      <c r="AV2797" s="624"/>
      <c r="AX2797" s="624">
        <v>42174</v>
      </c>
      <c r="AY2797" s="355">
        <v>1.848E-2</v>
      </c>
      <c r="AZ2797" s="624">
        <v>42240</v>
      </c>
      <c r="BA2797" s="355">
        <v>9.5999999999999992E-3</v>
      </c>
      <c r="BB2797" s="624">
        <v>42171</v>
      </c>
      <c r="BC2797" s="355">
        <v>0.27139999999999997</v>
      </c>
      <c r="BD2797" s="624">
        <v>42171</v>
      </c>
      <c r="BE2797" s="355">
        <v>8.9389999999999997E-2</v>
      </c>
      <c r="BH2797" s="624">
        <v>42171</v>
      </c>
      <c r="BI2797" s="355">
        <v>7.4940000000000007E-2</v>
      </c>
      <c r="BJ2797" s="624">
        <v>42170</v>
      </c>
      <c r="BK2797" s="355">
        <v>2.9692E-2</v>
      </c>
    </row>
    <row r="2798" spans="3:63">
      <c r="C2798" s="624"/>
      <c r="D2798" s="355">
        <v>1.848E-2</v>
      </c>
      <c r="AV2798" s="624"/>
      <c r="AX2798" s="624">
        <v>42177</v>
      </c>
      <c r="AY2798" s="355">
        <v>1.8540000000000001E-2</v>
      </c>
      <c r="AZ2798" s="624">
        <v>42241</v>
      </c>
      <c r="BA2798" s="355">
        <v>9.4999999999999998E-3</v>
      </c>
      <c r="BB2798" s="624">
        <v>42172</v>
      </c>
      <c r="BC2798" s="355">
        <v>0.27289999999999998</v>
      </c>
      <c r="BD2798" s="624">
        <v>42172</v>
      </c>
      <c r="BE2798" s="355">
        <v>8.9649999999999994E-2</v>
      </c>
      <c r="BH2798" s="624">
        <v>42172</v>
      </c>
      <c r="BI2798" s="355">
        <v>7.5136999999999995E-2</v>
      </c>
      <c r="BJ2798" s="624">
        <v>42171</v>
      </c>
      <c r="BK2798" s="355">
        <v>2.9670999999999999E-2</v>
      </c>
    </row>
    <row r="2799" spans="3:63">
      <c r="C2799" s="624"/>
      <c r="D2799" s="355">
        <v>1.8540000000000001E-2</v>
      </c>
      <c r="AV2799" s="624"/>
      <c r="AX2799" s="624">
        <v>42178</v>
      </c>
      <c r="AY2799" s="355">
        <v>1.8579999999999999E-2</v>
      </c>
      <c r="AZ2799" s="624">
        <v>42242</v>
      </c>
      <c r="BA2799" s="355">
        <v>9.4000000000000004E-3</v>
      </c>
      <c r="BB2799" s="624">
        <v>42173</v>
      </c>
      <c r="BC2799" s="355">
        <v>0.27229999999999999</v>
      </c>
      <c r="BD2799" s="624">
        <v>42173</v>
      </c>
      <c r="BE2799" s="355">
        <v>9.0450000000000003E-2</v>
      </c>
      <c r="BH2799" s="624">
        <v>42173</v>
      </c>
      <c r="BI2799" s="355">
        <v>7.5008000000000005E-2</v>
      </c>
      <c r="BJ2799" s="624">
        <v>42172</v>
      </c>
      <c r="BK2799" s="355">
        <v>2.9753000000000002E-2</v>
      </c>
    </row>
    <row r="2800" spans="3:63">
      <c r="C2800" s="624"/>
      <c r="D2800" s="355">
        <v>1.8579999999999999E-2</v>
      </c>
      <c r="AV2800" s="624"/>
      <c r="AX2800" s="624">
        <v>42179</v>
      </c>
      <c r="AY2800" s="355">
        <v>1.8360000000000001E-2</v>
      </c>
      <c r="AZ2800" s="624">
        <v>42243</v>
      </c>
      <c r="BA2800" s="355">
        <v>9.2999999999999992E-3</v>
      </c>
      <c r="BB2800" s="624">
        <v>42174</v>
      </c>
      <c r="BC2800" s="355">
        <v>0.27160000000000001</v>
      </c>
      <c r="BD2800" s="624">
        <v>42174</v>
      </c>
      <c r="BE2800" s="355">
        <v>9.0649999999999994E-2</v>
      </c>
      <c r="BH2800" s="624">
        <v>42174</v>
      </c>
      <c r="BI2800" s="355">
        <v>7.5052999999999995E-2</v>
      </c>
      <c r="BJ2800" s="624">
        <v>42173</v>
      </c>
      <c r="BK2800" s="355">
        <v>2.9724E-2</v>
      </c>
    </row>
    <row r="2801" spans="3:63">
      <c r="C2801" s="624"/>
      <c r="D2801" s="355">
        <v>1.8360000000000001E-2</v>
      </c>
      <c r="AV2801" s="624"/>
      <c r="AX2801" s="624">
        <v>42180</v>
      </c>
      <c r="AY2801" s="355">
        <v>1.8270000000000002E-2</v>
      </c>
      <c r="AZ2801" s="624">
        <v>42244</v>
      </c>
      <c r="BA2801" s="355">
        <v>9.2999999999999992E-3</v>
      </c>
      <c r="BB2801" s="624">
        <v>42177</v>
      </c>
      <c r="BC2801" s="355">
        <v>0.2722</v>
      </c>
      <c r="BD2801" s="624">
        <v>42177</v>
      </c>
      <c r="BE2801" s="355">
        <v>9.0800000000000006E-2</v>
      </c>
      <c r="BH2801" s="624">
        <v>42177</v>
      </c>
      <c r="BI2801" s="355">
        <v>7.5153999999999999E-2</v>
      </c>
      <c r="BJ2801" s="624">
        <v>42174</v>
      </c>
      <c r="BK2801" s="355">
        <v>2.9731E-2</v>
      </c>
    </row>
    <row r="2802" spans="3:63">
      <c r="C2802" s="624"/>
      <c r="D2802" s="355">
        <v>1.8270000000000002E-2</v>
      </c>
      <c r="AV2802" s="624"/>
      <c r="AX2802" s="624">
        <v>42181</v>
      </c>
      <c r="AY2802" s="355">
        <v>1.8249999999999999E-2</v>
      </c>
      <c r="AZ2802" s="624">
        <v>42247</v>
      </c>
      <c r="BA2802" s="355">
        <v>9.2999999999999992E-3</v>
      </c>
      <c r="BB2802" s="624">
        <v>42178</v>
      </c>
      <c r="BC2802" s="355">
        <v>0.26829999999999998</v>
      </c>
      <c r="BD2802" s="624">
        <v>42178</v>
      </c>
      <c r="BE2802" s="355">
        <v>9.0359999999999996E-2</v>
      </c>
      <c r="BH2802" s="624">
        <v>42178</v>
      </c>
      <c r="BI2802" s="355">
        <v>7.5281000000000001E-2</v>
      </c>
      <c r="BJ2802" s="624">
        <v>42177</v>
      </c>
      <c r="BK2802" s="355">
        <v>2.9678E-2</v>
      </c>
    </row>
    <row r="2803" spans="3:63">
      <c r="C2803" s="624"/>
      <c r="D2803" s="355">
        <v>1.8249999999999999E-2</v>
      </c>
      <c r="AV2803" s="624"/>
      <c r="AX2803" s="624">
        <v>42184</v>
      </c>
      <c r="AY2803" s="355">
        <v>1.796E-2</v>
      </c>
      <c r="AZ2803" s="624">
        <v>42248</v>
      </c>
      <c r="BA2803" s="355">
        <v>9.4000000000000004E-3</v>
      </c>
      <c r="BB2803" s="624">
        <v>42179</v>
      </c>
      <c r="BC2803" s="355">
        <v>0.26860000000000001</v>
      </c>
      <c r="BD2803" s="624">
        <v>42179</v>
      </c>
      <c r="BE2803" s="355">
        <v>9.0079999999999993E-2</v>
      </c>
      <c r="BH2803" s="624">
        <v>42179</v>
      </c>
      <c r="BI2803" s="355">
        <v>7.5160000000000005E-2</v>
      </c>
      <c r="BJ2803" s="624">
        <v>42178</v>
      </c>
      <c r="BK2803" s="355">
        <v>2.9616E-2</v>
      </c>
    </row>
    <row r="2804" spans="3:63">
      <c r="C2804" s="624"/>
      <c r="D2804" s="355">
        <v>1.796E-2</v>
      </c>
      <c r="AV2804" s="624"/>
      <c r="AX2804" s="624">
        <v>42185</v>
      </c>
      <c r="AY2804" s="355">
        <v>1.8069999999999999E-2</v>
      </c>
      <c r="AZ2804" s="624">
        <v>42249</v>
      </c>
      <c r="BA2804" s="355">
        <v>9.2999999999999992E-3</v>
      </c>
      <c r="BB2804" s="624">
        <v>42180</v>
      </c>
      <c r="BC2804" s="355">
        <v>0.26860000000000001</v>
      </c>
      <c r="BD2804" s="624">
        <v>42180</v>
      </c>
      <c r="BE2804" s="355">
        <v>8.9929999999999996E-2</v>
      </c>
      <c r="BH2804" s="624">
        <v>42180</v>
      </c>
      <c r="BI2804" s="355">
        <v>7.5115000000000001E-2</v>
      </c>
      <c r="BJ2804" s="624">
        <v>42179</v>
      </c>
      <c r="BK2804" s="355">
        <v>2.9614000000000001E-2</v>
      </c>
    </row>
    <row r="2805" spans="3:63">
      <c r="C2805" s="624"/>
      <c r="D2805" s="355">
        <v>1.8069999999999999E-2</v>
      </c>
      <c r="AV2805" s="624"/>
      <c r="AX2805" s="624">
        <v>42186</v>
      </c>
      <c r="AY2805" s="355">
        <v>1.7909999999999999E-2</v>
      </c>
      <c r="AZ2805" s="624">
        <v>42250</v>
      </c>
      <c r="BA2805" s="355">
        <v>9.1999999999999998E-3</v>
      </c>
      <c r="BB2805" s="624">
        <v>42181</v>
      </c>
      <c r="BC2805" s="355">
        <v>0.26769999999999999</v>
      </c>
      <c r="BD2805" s="624">
        <v>42181</v>
      </c>
      <c r="BE2805" s="355">
        <v>8.9050000000000004E-2</v>
      </c>
      <c r="BH2805" s="624">
        <v>42181</v>
      </c>
      <c r="BI2805" s="355">
        <v>7.4991000000000002E-2</v>
      </c>
      <c r="BJ2805" s="624">
        <v>42180</v>
      </c>
      <c r="BK2805" s="355">
        <v>2.9616E-2</v>
      </c>
    </row>
    <row r="2806" spans="3:63">
      <c r="C2806" s="624"/>
      <c r="D2806" s="355">
        <v>1.7909999999999999E-2</v>
      </c>
      <c r="AV2806" s="624"/>
      <c r="AX2806" s="624">
        <v>42187</v>
      </c>
      <c r="AY2806" s="355">
        <v>1.8020000000000001E-2</v>
      </c>
      <c r="AZ2806" s="624">
        <v>42251</v>
      </c>
      <c r="BA2806" s="355">
        <v>9.2999999999999992E-3</v>
      </c>
      <c r="BB2806" s="624">
        <v>42184</v>
      </c>
      <c r="BC2806" s="355">
        <v>0.26779999999999998</v>
      </c>
      <c r="BD2806" s="624">
        <v>42184</v>
      </c>
      <c r="BE2806" s="355">
        <v>8.9270000000000002E-2</v>
      </c>
      <c r="BH2806" s="624">
        <v>42184</v>
      </c>
      <c r="BI2806" s="355">
        <v>7.4961E-2</v>
      </c>
      <c r="BJ2806" s="624">
        <v>42181</v>
      </c>
      <c r="BK2806" s="355">
        <v>2.9586999999999999E-2</v>
      </c>
    </row>
    <row r="2807" spans="3:63">
      <c r="C2807" s="624"/>
      <c r="D2807" s="355">
        <v>1.8020000000000001E-2</v>
      </c>
      <c r="AV2807" s="624"/>
      <c r="AX2807" s="624">
        <v>42188</v>
      </c>
      <c r="AY2807" s="355">
        <v>1.787E-2</v>
      </c>
      <c r="AZ2807" s="624">
        <v>42254</v>
      </c>
      <c r="BA2807" s="355">
        <v>9.2999999999999992E-3</v>
      </c>
      <c r="BB2807" s="624">
        <v>42185</v>
      </c>
      <c r="BC2807" s="355">
        <v>0.26579999999999998</v>
      </c>
      <c r="BD2807" s="624">
        <v>42185</v>
      </c>
      <c r="BE2807" s="355">
        <v>8.9279999999999998E-2</v>
      </c>
      <c r="BH2807" s="624">
        <v>42185</v>
      </c>
      <c r="BI2807" s="355">
        <v>7.4900999999999995E-2</v>
      </c>
      <c r="BJ2807" s="624">
        <v>42184</v>
      </c>
      <c r="BK2807" s="355">
        <v>2.9654E-2</v>
      </c>
    </row>
    <row r="2808" spans="3:63">
      <c r="C2808" s="624"/>
      <c r="D2808" s="355">
        <v>1.787E-2</v>
      </c>
      <c r="AV2808" s="624"/>
      <c r="AX2808" s="624">
        <v>42191</v>
      </c>
      <c r="AY2808" s="355">
        <v>1.7590000000000001E-2</v>
      </c>
      <c r="AZ2808" s="624">
        <v>42255</v>
      </c>
      <c r="BA2808" s="355">
        <v>9.2999999999999992E-3</v>
      </c>
      <c r="BB2808" s="624">
        <v>42186</v>
      </c>
      <c r="BC2808" s="355">
        <v>0.26390000000000002</v>
      </c>
      <c r="BD2808" s="624">
        <v>42186</v>
      </c>
      <c r="BE2808" s="355">
        <v>8.8870000000000005E-2</v>
      </c>
      <c r="BH2808" s="624">
        <v>42186</v>
      </c>
      <c r="BI2808" s="355">
        <v>7.4979000000000004E-2</v>
      </c>
      <c r="BJ2808" s="624">
        <v>42185</v>
      </c>
      <c r="BK2808" s="355">
        <v>2.9588E-2</v>
      </c>
    </row>
    <row r="2809" spans="3:63">
      <c r="C2809" s="624"/>
      <c r="D2809" s="355">
        <v>1.7590000000000001E-2</v>
      </c>
      <c r="AV2809" s="624"/>
      <c r="AX2809" s="624">
        <v>42192</v>
      </c>
      <c r="AY2809" s="355">
        <v>1.7639999999999999E-2</v>
      </c>
      <c r="AZ2809" s="624">
        <v>42256</v>
      </c>
      <c r="BA2809" s="355">
        <v>9.2999999999999992E-3</v>
      </c>
      <c r="BB2809" s="624">
        <v>42187</v>
      </c>
      <c r="BC2809" s="355">
        <v>0.26440000000000002</v>
      </c>
      <c r="BD2809" s="624">
        <v>42187</v>
      </c>
      <c r="BE2809" s="355">
        <v>8.9010000000000006E-2</v>
      </c>
      <c r="BH2809" s="624">
        <v>42187</v>
      </c>
      <c r="BI2809" s="355">
        <v>7.5261999999999996E-2</v>
      </c>
      <c r="BJ2809" s="624">
        <v>42186</v>
      </c>
      <c r="BK2809" s="355">
        <v>2.9562000000000001E-2</v>
      </c>
    </row>
    <row r="2810" spans="3:63">
      <c r="C2810" s="624"/>
      <c r="D2810" s="355">
        <v>1.7639999999999999E-2</v>
      </c>
      <c r="AV2810" s="624"/>
      <c r="AX2810" s="624">
        <v>42193</v>
      </c>
      <c r="AY2810" s="355">
        <v>1.7409999999999998E-2</v>
      </c>
      <c r="AZ2810" s="624">
        <v>42257</v>
      </c>
      <c r="BA2810" s="355">
        <v>9.4000000000000004E-3</v>
      </c>
      <c r="BB2810" s="624">
        <v>42188</v>
      </c>
      <c r="BC2810" s="355">
        <v>0.26500000000000001</v>
      </c>
      <c r="BD2810" s="624">
        <v>42188</v>
      </c>
      <c r="BE2810" s="355">
        <v>8.9069999999999996E-2</v>
      </c>
      <c r="BH2810" s="624">
        <v>42188</v>
      </c>
      <c r="BI2810" s="355">
        <v>7.4912000000000006E-2</v>
      </c>
      <c r="BJ2810" s="624">
        <v>42187</v>
      </c>
      <c r="BK2810" s="355">
        <v>2.9609E-2</v>
      </c>
    </row>
    <row r="2811" spans="3:63">
      <c r="C2811" s="624"/>
      <c r="D2811" s="355">
        <v>1.7409999999999998E-2</v>
      </c>
      <c r="AV2811" s="624"/>
      <c r="AX2811" s="624">
        <v>42194</v>
      </c>
      <c r="AY2811" s="355">
        <v>1.7500000000000002E-2</v>
      </c>
      <c r="AZ2811" s="624">
        <v>42258</v>
      </c>
      <c r="BA2811" s="355">
        <v>9.4000000000000004E-3</v>
      </c>
      <c r="BB2811" s="624">
        <v>42191</v>
      </c>
      <c r="BC2811" s="355">
        <v>0.26300000000000001</v>
      </c>
      <c r="BD2811" s="624">
        <v>42191</v>
      </c>
      <c r="BE2811" s="355">
        <v>8.8800000000000004E-2</v>
      </c>
      <c r="BH2811" s="624">
        <v>42191</v>
      </c>
      <c r="BI2811" s="355">
        <v>7.5239E-2</v>
      </c>
      <c r="BJ2811" s="624">
        <v>42188</v>
      </c>
      <c r="BK2811" s="355">
        <v>2.9616E-2</v>
      </c>
    </row>
    <row r="2812" spans="3:63">
      <c r="C2812" s="624"/>
      <c r="D2812" s="355">
        <v>1.7500000000000002E-2</v>
      </c>
      <c r="AV2812" s="624"/>
      <c r="AX2812" s="624">
        <v>42195</v>
      </c>
      <c r="AY2812" s="355">
        <v>1.7749999999999998E-2</v>
      </c>
      <c r="AZ2812" s="624">
        <v>42261</v>
      </c>
      <c r="BA2812" s="355">
        <v>9.4000000000000004E-3</v>
      </c>
      <c r="BB2812" s="624">
        <v>42192</v>
      </c>
      <c r="BC2812" s="355">
        <v>0.26169999999999999</v>
      </c>
      <c r="BD2812" s="624">
        <v>42192</v>
      </c>
      <c r="BE2812" s="355">
        <v>8.8109999999999994E-2</v>
      </c>
      <c r="BH2812" s="624">
        <v>42192</v>
      </c>
      <c r="BI2812" s="355">
        <v>7.4991000000000002E-2</v>
      </c>
      <c r="BJ2812" s="624">
        <v>42191</v>
      </c>
      <c r="BK2812" s="355">
        <v>2.9545999999999999E-2</v>
      </c>
    </row>
    <row r="2813" spans="3:63">
      <c r="C2813" s="624"/>
      <c r="D2813" s="355">
        <v>1.7749999999999998E-2</v>
      </c>
      <c r="AV2813" s="624"/>
      <c r="AX2813" s="624">
        <v>42198</v>
      </c>
      <c r="AY2813" s="355">
        <v>1.7680000000000001E-2</v>
      </c>
      <c r="AZ2813" s="624">
        <v>42262</v>
      </c>
      <c r="BA2813" s="355">
        <v>9.4000000000000004E-3</v>
      </c>
      <c r="BB2813" s="624">
        <v>42193</v>
      </c>
      <c r="BC2813" s="355">
        <v>0.26140000000000002</v>
      </c>
      <c r="BD2813" s="624">
        <v>42193</v>
      </c>
      <c r="BE2813" s="355">
        <v>8.8059999999999999E-2</v>
      </c>
      <c r="BH2813" s="624">
        <v>42193</v>
      </c>
      <c r="BI2813" s="355">
        <v>7.4746999999999994E-2</v>
      </c>
      <c r="BJ2813" s="624">
        <v>42192</v>
      </c>
      <c r="BK2813" s="355">
        <v>2.9425E-2</v>
      </c>
    </row>
    <row r="2814" spans="3:63">
      <c r="C2814" s="624"/>
      <c r="D2814" s="355">
        <v>1.7680000000000001E-2</v>
      </c>
      <c r="AV2814" s="624"/>
      <c r="AX2814" s="624">
        <v>42199</v>
      </c>
      <c r="AY2814" s="355">
        <v>1.7729999999999999E-2</v>
      </c>
      <c r="AZ2814" s="624">
        <v>42263</v>
      </c>
      <c r="BA2814" s="355">
        <v>9.4000000000000004E-3</v>
      </c>
      <c r="BB2814" s="624">
        <v>42194</v>
      </c>
      <c r="BC2814" s="355">
        <v>0.26179999999999998</v>
      </c>
      <c r="BD2814" s="624">
        <v>42194</v>
      </c>
      <c r="BE2814" s="355">
        <v>8.8319999999999996E-2</v>
      </c>
      <c r="BH2814" s="624">
        <v>42194</v>
      </c>
      <c r="BI2814" s="355">
        <v>7.5108999999999995E-2</v>
      </c>
      <c r="BJ2814" s="624">
        <v>42193</v>
      </c>
      <c r="BK2814" s="355">
        <v>2.9456E-2</v>
      </c>
    </row>
    <row r="2815" spans="3:63">
      <c r="C2815" s="624"/>
      <c r="D2815" s="355">
        <v>1.7729999999999999E-2</v>
      </c>
      <c r="AV2815" s="624"/>
      <c r="AX2815" s="624">
        <v>42200</v>
      </c>
      <c r="AY2815" s="355">
        <v>1.7579999999999998E-2</v>
      </c>
      <c r="AZ2815" s="624">
        <v>42264</v>
      </c>
      <c r="BA2815" s="355">
        <v>9.4999999999999998E-3</v>
      </c>
      <c r="BB2815" s="624">
        <v>42195</v>
      </c>
      <c r="BC2815" s="355">
        <v>0.26679999999999998</v>
      </c>
      <c r="BD2815" s="624">
        <v>42195</v>
      </c>
      <c r="BE2815" s="355">
        <v>8.8400000000000006E-2</v>
      </c>
      <c r="BH2815" s="624">
        <v>42195</v>
      </c>
      <c r="BI2815" s="355">
        <v>7.5188000000000005E-2</v>
      </c>
      <c r="BJ2815" s="624">
        <v>42194</v>
      </c>
      <c r="BK2815" s="355">
        <v>2.9461999999999999E-2</v>
      </c>
    </row>
    <row r="2816" spans="3:63">
      <c r="C2816" s="624"/>
      <c r="D2816" s="355">
        <v>1.7579999999999998E-2</v>
      </c>
      <c r="AV2816" s="624"/>
      <c r="AX2816" s="624">
        <v>42201</v>
      </c>
      <c r="AY2816" s="355">
        <v>1.7559999999999999E-2</v>
      </c>
      <c r="AZ2816" s="624">
        <v>42265</v>
      </c>
      <c r="BA2816" s="355">
        <v>9.4000000000000004E-3</v>
      </c>
      <c r="BB2816" s="624">
        <v>42198</v>
      </c>
      <c r="BC2816" s="355">
        <v>0.26590000000000003</v>
      </c>
      <c r="BD2816" s="624">
        <v>42198</v>
      </c>
      <c r="BE2816" s="355">
        <v>8.8029999999999997E-2</v>
      </c>
      <c r="BH2816" s="624">
        <v>42198</v>
      </c>
      <c r="BI2816" s="355">
        <v>7.5402999999999998E-2</v>
      </c>
      <c r="BJ2816" s="624">
        <v>42195</v>
      </c>
      <c r="BK2816" s="355">
        <v>2.9472000000000002E-2</v>
      </c>
    </row>
    <row r="2817" spans="3:63">
      <c r="C2817" s="624"/>
      <c r="D2817" s="355">
        <v>1.7559999999999999E-2</v>
      </c>
      <c r="AV2817" s="624"/>
      <c r="AX2817" s="624">
        <v>42202</v>
      </c>
      <c r="AY2817" s="355">
        <v>1.755E-2</v>
      </c>
      <c r="AZ2817" s="624">
        <v>42268</v>
      </c>
      <c r="BA2817" s="355">
        <v>9.2999999999999992E-3</v>
      </c>
      <c r="BB2817" s="624">
        <v>42199</v>
      </c>
      <c r="BC2817" s="355">
        <v>0.2666</v>
      </c>
      <c r="BD2817" s="624">
        <v>42199</v>
      </c>
      <c r="BE2817" s="355">
        <v>8.7470000000000006E-2</v>
      </c>
      <c r="BH2817" s="624">
        <v>42199</v>
      </c>
      <c r="BI2817" s="355">
        <v>7.5078000000000006E-2</v>
      </c>
      <c r="BJ2817" s="624">
        <v>42198</v>
      </c>
      <c r="BK2817" s="355">
        <v>2.9384E-2</v>
      </c>
    </row>
    <row r="2818" spans="3:63">
      <c r="C2818" s="624"/>
      <c r="D2818" s="355">
        <v>1.755E-2</v>
      </c>
      <c r="AV2818" s="624"/>
      <c r="AX2818" s="624">
        <v>42205</v>
      </c>
      <c r="AY2818" s="355">
        <v>1.754E-2</v>
      </c>
      <c r="AZ2818" s="624">
        <v>42269</v>
      </c>
      <c r="BA2818" s="355">
        <v>9.2999999999999992E-3</v>
      </c>
      <c r="BB2818" s="624">
        <v>42200</v>
      </c>
      <c r="BC2818" s="355">
        <v>0.26519999999999999</v>
      </c>
      <c r="BD2818" s="624">
        <v>42200</v>
      </c>
      <c r="BE2818" s="355">
        <v>8.7150000000000005E-2</v>
      </c>
      <c r="BH2818" s="624">
        <v>42200</v>
      </c>
      <c r="BI2818" s="355">
        <v>7.4907000000000001E-2</v>
      </c>
      <c r="BJ2818" s="624">
        <v>42199</v>
      </c>
      <c r="BK2818" s="355">
        <v>2.9374999999999998E-2</v>
      </c>
    </row>
    <row r="2819" spans="3:63">
      <c r="C2819" s="624"/>
      <c r="D2819" s="355">
        <v>1.754E-2</v>
      </c>
      <c r="AV2819" s="624"/>
      <c r="AX2819" s="624">
        <v>42206</v>
      </c>
      <c r="AY2819" s="355">
        <v>1.755E-2</v>
      </c>
      <c r="AZ2819" s="624">
        <v>42270</v>
      </c>
      <c r="BA2819" s="355">
        <v>9.2999999999999992E-3</v>
      </c>
      <c r="BB2819" s="624">
        <v>42201</v>
      </c>
      <c r="BC2819" s="355">
        <v>0.26450000000000001</v>
      </c>
      <c r="BD2819" s="624">
        <v>42201</v>
      </c>
      <c r="BE2819" s="355">
        <v>8.72E-2</v>
      </c>
      <c r="BH2819" s="624">
        <v>42201</v>
      </c>
      <c r="BI2819" s="355">
        <v>7.4743000000000004E-2</v>
      </c>
      <c r="BJ2819" s="624">
        <v>42200</v>
      </c>
      <c r="BK2819" s="355">
        <v>2.9253000000000001E-2</v>
      </c>
    </row>
    <row r="2820" spans="3:63">
      <c r="C2820" s="624"/>
      <c r="D2820" s="355">
        <v>1.755E-2</v>
      </c>
      <c r="AV2820" s="624"/>
      <c r="AX2820" s="624">
        <v>42207</v>
      </c>
      <c r="AY2820" s="355">
        <v>1.7409999999999998E-2</v>
      </c>
      <c r="AZ2820" s="624">
        <v>42271</v>
      </c>
      <c r="BA2820" s="355">
        <v>9.4000000000000004E-3</v>
      </c>
      <c r="BB2820" s="624">
        <v>42202</v>
      </c>
      <c r="BC2820" s="355">
        <v>0.26369999999999999</v>
      </c>
      <c r="BD2820" s="624">
        <v>42202</v>
      </c>
      <c r="BE2820" s="355">
        <v>8.6919999999999997E-2</v>
      </c>
      <c r="BH2820" s="624">
        <v>42202</v>
      </c>
      <c r="BI2820" s="355">
        <v>7.4880000000000002E-2</v>
      </c>
      <c r="BJ2820" s="624">
        <v>42201</v>
      </c>
      <c r="BK2820" s="355">
        <v>2.9250000000000002E-2</v>
      </c>
    </row>
    <row r="2821" spans="3:63">
      <c r="C2821" s="624"/>
      <c r="D2821" s="355">
        <v>1.7409999999999998E-2</v>
      </c>
      <c r="AV2821" s="624"/>
      <c r="AX2821" s="624">
        <v>42208</v>
      </c>
      <c r="AY2821" s="355">
        <v>1.7309999999999999E-2</v>
      </c>
      <c r="AZ2821" s="624">
        <v>42272</v>
      </c>
      <c r="BA2821" s="355">
        <v>9.2999999999999992E-3</v>
      </c>
      <c r="BB2821" s="624">
        <v>42205</v>
      </c>
      <c r="BC2821" s="355">
        <v>0.26250000000000001</v>
      </c>
      <c r="BD2821" s="624">
        <v>42205</v>
      </c>
      <c r="BE2821" s="355">
        <v>8.6459999999999995E-2</v>
      </c>
      <c r="BH2821" s="624">
        <v>42205</v>
      </c>
      <c r="BI2821" s="355">
        <v>7.4459999999999998E-2</v>
      </c>
      <c r="BJ2821" s="624">
        <v>42202</v>
      </c>
      <c r="BK2821" s="355">
        <v>2.9222999999999999E-2</v>
      </c>
    </row>
    <row r="2822" spans="3:63">
      <c r="C2822" s="624"/>
      <c r="D2822" s="355">
        <v>1.7309999999999999E-2</v>
      </c>
      <c r="AV2822" s="624"/>
      <c r="AX2822" s="624">
        <v>42209</v>
      </c>
      <c r="AY2822" s="355">
        <v>1.711E-2</v>
      </c>
      <c r="AZ2822" s="624">
        <v>42275</v>
      </c>
      <c r="BA2822" s="355">
        <v>9.4000000000000004E-3</v>
      </c>
      <c r="BB2822" s="624">
        <v>42206</v>
      </c>
      <c r="BC2822" s="355">
        <v>0.2646</v>
      </c>
      <c r="BD2822" s="624">
        <v>42206</v>
      </c>
      <c r="BE2822" s="355">
        <v>8.7050000000000002E-2</v>
      </c>
      <c r="BH2822" s="624">
        <v>42206</v>
      </c>
      <c r="BI2822" s="355">
        <v>7.4805999999999997E-2</v>
      </c>
      <c r="BJ2822" s="624">
        <v>42205</v>
      </c>
      <c r="BK2822" s="355">
        <v>2.9014000000000002E-2</v>
      </c>
    </row>
    <row r="2823" spans="3:63">
      <c r="C2823" s="624"/>
      <c r="D2823" s="355">
        <v>1.711E-2</v>
      </c>
      <c r="AV2823" s="624"/>
      <c r="AX2823" s="624">
        <v>42212</v>
      </c>
      <c r="AY2823" s="355">
        <v>1.668E-2</v>
      </c>
      <c r="AZ2823" s="624">
        <v>42276</v>
      </c>
      <c r="BA2823" s="355">
        <v>9.4000000000000004E-3</v>
      </c>
      <c r="BB2823" s="624">
        <v>42207</v>
      </c>
      <c r="BC2823" s="355">
        <v>0.26540000000000002</v>
      </c>
      <c r="BD2823" s="624">
        <v>42207</v>
      </c>
      <c r="BE2823" s="355">
        <v>8.6430000000000007E-2</v>
      </c>
      <c r="BH2823" s="624">
        <v>42207</v>
      </c>
      <c r="BI2823" s="355">
        <v>7.4537999999999993E-2</v>
      </c>
      <c r="BJ2823" s="624">
        <v>42206</v>
      </c>
      <c r="BK2823" s="355">
        <v>2.9051E-2</v>
      </c>
    </row>
    <row r="2824" spans="3:63">
      <c r="C2824" s="624"/>
      <c r="D2824" s="355">
        <v>1.668E-2</v>
      </c>
      <c r="AV2824" s="624"/>
      <c r="AX2824" s="624">
        <v>42213</v>
      </c>
      <c r="AY2824" s="355">
        <v>1.669E-2</v>
      </c>
      <c r="AZ2824" s="624">
        <v>42277</v>
      </c>
      <c r="BA2824" s="355">
        <v>9.2999999999999992E-3</v>
      </c>
      <c r="BB2824" s="624">
        <v>42208</v>
      </c>
      <c r="BC2824" s="355">
        <v>0.26650000000000001</v>
      </c>
      <c r="BD2824" s="624">
        <v>42208</v>
      </c>
      <c r="BE2824" s="355">
        <v>8.6050000000000001E-2</v>
      </c>
      <c r="BH2824" s="624">
        <v>42208</v>
      </c>
      <c r="BI2824" s="355">
        <v>7.4429999999999996E-2</v>
      </c>
      <c r="BJ2824" s="624">
        <v>42207</v>
      </c>
      <c r="BK2824" s="355">
        <v>2.8795999999999999E-2</v>
      </c>
    </row>
    <row r="2825" spans="3:63">
      <c r="C2825" s="624"/>
      <c r="D2825" s="355">
        <v>1.669E-2</v>
      </c>
      <c r="AV2825" s="624"/>
      <c r="AX2825" s="624">
        <v>42214</v>
      </c>
      <c r="AY2825" s="355">
        <v>1.7049999999999999E-2</v>
      </c>
      <c r="AZ2825" s="624">
        <v>42278</v>
      </c>
      <c r="BA2825" s="355">
        <v>9.4000000000000004E-3</v>
      </c>
      <c r="BB2825" s="624">
        <v>42209</v>
      </c>
      <c r="BC2825" s="355">
        <v>0.26479999999999998</v>
      </c>
      <c r="BD2825" s="624">
        <v>42209</v>
      </c>
      <c r="BE2825" s="355">
        <v>8.5430000000000006E-2</v>
      </c>
      <c r="BH2825" s="624">
        <v>42209</v>
      </c>
      <c r="BI2825" s="355">
        <v>7.4286000000000005E-2</v>
      </c>
      <c r="BJ2825" s="624">
        <v>42208</v>
      </c>
      <c r="BK2825" s="355">
        <v>2.8733999999999999E-2</v>
      </c>
    </row>
    <row r="2826" spans="3:63">
      <c r="C2826" s="624"/>
      <c r="D2826" s="355">
        <v>1.7049999999999999E-2</v>
      </c>
      <c r="AV2826" s="624"/>
      <c r="AX2826" s="624">
        <v>42215</v>
      </c>
      <c r="AY2826" s="355">
        <v>1.6719999999999999E-2</v>
      </c>
      <c r="AZ2826" s="624">
        <v>42279</v>
      </c>
      <c r="BA2826" s="355">
        <v>9.4000000000000004E-3</v>
      </c>
      <c r="BB2826" s="624">
        <v>42212</v>
      </c>
      <c r="BC2826" s="355">
        <v>0.26910000000000001</v>
      </c>
      <c r="BD2826" s="624">
        <v>42212</v>
      </c>
      <c r="BE2826" s="355">
        <v>8.5650000000000004E-2</v>
      </c>
      <c r="BH2826" s="624">
        <v>42212</v>
      </c>
      <c r="BI2826" s="355">
        <v>7.4142E-2</v>
      </c>
      <c r="BJ2826" s="624">
        <v>42209</v>
      </c>
      <c r="BK2826" s="355">
        <v>2.8655E-2</v>
      </c>
    </row>
    <row r="2827" spans="3:63">
      <c r="C2827" s="624"/>
      <c r="D2827" s="355">
        <v>1.6719999999999999E-2</v>
      </c>
      <c r="AV2827" s="624"/>
      <c r="AX2827" s="624">
        <v>42216</v>
      </c>
      <c r="AY2827" s="355">
        <v>1.6199999999999999E-2</v>
      </c>
      <c r="AZ2827" s="624">
        <v>42282</v>
      </c>
      <c r="BA2827" s="355">
        <v>9.2999999999999992E-3</v>
      </c>
      <c r="BB2827" s="624">
        <v>42213</v>
      </c>
      <c r="BC2827" s="355">
        <v>0.26860000000000001</v>
      </c>
      <c r="BD2827" s="624">
        <v>42213</v>
      </c>
      <c r="BE2827" s="355">
        <v>8.6169999999999997E-2</v>
      </c>
      <c r="BH2827" s="624">
        <v>42213</v>
      </c>
      <c r="BI2827" s="355">
        <v>7.4509000000000006E-2</v>
      </c>
      <c r="BJ2827" s="624">
        <v>42212</v>
      </c>
      <c r="BK2827" s="355">
        <v>2.8684999999999999E-2</v>
      </c>
    </row>
    <row r="2828" spans="3:63">
      <c r="C2828" s="624"/>
      <c r="D2828" s="355">
        <v>1.6199999999999999E-2</v>
      </c>
      <c r="AV2828" s="624"/>
      <c r="AX2828" s="624">
        <v>42219</v>
      </c>
      <c r="AY2828" s="355">
        <v>1.5740000000000001E-2</v>
      </c>
      <c r="AZ2828" s="624">
        <v>42283</v>
      </c>
      <c r="BA2828" s="355">
        <v>9.4000000000000004E-3</v>
      </c>
      <c r="BB2828" s="624">
        <v>42214</v>
      </c>
      <c r="BC2828" s="355">
        <v>0.26600000000000001</v>
      </c>
      <c r="BD2828" s="624">
        <v>42214</v>
      </c>
      <c r="BE2828" s="355">
        <v>8.6059999999999998E-2</v>
      </c>
      <c r="BH2828" s="624">
        <v>42214</v>
      </c>
      <c r="BI2828" s="355">
        <v>7.4180999999999997E-2</v>
      </c>
      <c r="BJ2828" s="624">
        <v>42213</v>
      </c>
      <c r="BK2828" s="355">
        <v>2.8698999999999999E-2</v>
      </c>
    </row>
    <row r="2829" spans="3:63">
      <c r="C2829" s="624"/>
      <c r="D2829" s="355">
        <v>1.5740000000000001E-2</v>
      </c>
      <c r="AV2829" s="624"/>
      <c r="AX2829" s="624">
        <v>42220</v>
      </c>
      <c r="AY2829" s="355">
        <v>1.5869999999999999E-2</v>
      </c>
      <c r="AZ2829" s="624">
        <v>42284</v>
      </c>
      <c r="BA2829" s="355">
        <v>9.4000000000000004E-3</v>
      </c>
      <c r="BB2829" s="624">
        <v>42215</v>
      </c>
      <c r="BC2829" s="355">
        <v>0.26379999999999998</v>
      </c>
      <c r="BD2829" s="624">
        <v>42215</v>
      </c>
      <c r="BE2829" s="355">
        <v>8.5239999999999996E-2</v>
      </c>
      <c r="BH2829" s="624">
        <v>42215</v>
      </c>
      <c r="BI2829" s="355">
        <v>7.4047000000000002E-2</v>
      </c>
      <c r="BJ2829" s="624">
        <v>42214</v>
      </c>
      <c r="BK2829" s="355">
        <v>2.8594000000000001E-2</v>
      </c>
    </row>
    <row r="2830" spans="3:63">
      <c r="C2830" s="624"/>
      <c r="D2830" s="355">
        <v>1.5869999999999999E-2</v>
      </c>
      <c r="AV2830" s="624"/>
      <c r="AX2830" s="624">
        <v>42221</v>
      </c>
      <c r="AY2830" s="355">
        <v>1.575E-2</v>
      </c>
      <c r="AZ2830" s="624">
        <v>42285</v>
      </c>
      <c r="BA2830" s="355">
        <v>9.4000000000000004E-3</v>
      </c>
      <c r="BB2830" s="624">
        <v>42216</v>
      </c>
      <c r="BC2830" s="355">
        <v>0.26519999999999999</v>
      </c>
      <c r="BD2830" s="624">
        <v>42216</v>
      </c>
      <c r="BE2830" s="355">
        <v>8.5699999999999998E-2</v>
      </c>
      <c r="BH2830" s="624">
        <v>42216</v>
      </c>
      <c r="BI2830" s="355">
        <v>7.4130000000000001E-2</v>
      </c>
      <c r="BJ2830" s="624">
        <v>42215</v>
      </c>
      <c r="BK2830" s="355">
        <v>2.8466000000000002E-2</v>
      </c>
    </row>
    <row r="2831" spans="3:63">
      <c r="C2831" s="624"/>
      <c r="D2831" s="355">
        <v>1.575E-2</v>
      </c>
      <c r="AV2831" s="624"/>
      <c r="AX2831" s="624">
        <v>42222</v>
      </c>
      <c r="AY2831" s="355">
        <v>1.5509999999999999E-2</v>
      </c>
      <c r="AZ2831" s="624">
        <v>42286</v>
      </c>
      <c r="BA2831" s="355">
        <v>9.4999999999999998E-3</v>
      </c>
      <c r="BB2831" s="624">
        <v>42219</v>
      </c>
      <c r="BC2831" s="355">
        <v>0.26419999999999999</v>
      </c>
      <c r="BD2831" s="624">
        <v>42219</v>
      </c>
      <c r="BE2831" s="355">
        <v>8.5389999999999994E-2</v>
      </c>
      <c r="BH2831" s="624">
        <v>42219</v>
      </c>
      <c r="BI2831" s="355">
        <v>7.4208999999999997E-2</v>
      </c>
      <c r="BJ2831" s="624">
        <v>42216</v>
      </c>
      <c r="BK2831" s="355">
        <v>2.8569000000000001E-2</v>
      </c>
    </row>
    <row r="2832" spans="3:63">
      <c r="C2832" s="624"/>
      <c r="D2832" s="355">
        <v>1.5509999999999999E-2</v>
      </c>
      <c r="AV2832" s="624"/>
      <c r="AX2832" s="624">
        <v>42223</v>
      </c>
      <c r="AY2832" s="355">
        <v>1.562E-2</v>
      </c>
      <c r="AZ2832" s="624">
        <v>42289</v>
      </c>
      <c r="BA2832" s="355">
        <v>9.4999999999999998E-3</v>
      </c>
      <c r="BB2832" s="624">
        <v>42220</v>
      </c>
      <c r="BC2832" s="355">
        <v>0.26019999999999999</v>
      </c>
      <c r="BD2832" s="624">
        <v>42220</v>
      </c>
      <c r="BE2832" s="355">
        <v>8.5519999999999999E-2</v>
      </c>
      <c r="BH2832" s="624">
        <v>42220</v>
      </c>
      <c r="BI2832" s="355">
        <v>7.4054999999999996E-2</v>
      </c>
      <c r="BJ2832" s="624">
        <v>42219</v>
      </c>
      <c r="BK2832" s="355">
        <v>2.8511000000000002E-2</v>
      </c>
    </row>
    <row r="2833" spans="3:63">
      <c r="C2833" s="624"/>
      <c r="D2833" s="355">
        <v>1.562E-2</v>
      </c>
      <c r="AV2833" s="624"/>
      <c r="AX2833" s="624">
        <v>42226</v>
      </c>
      <c r="AY2833" s="355">
        <v>1.5879999999999998E-2</v>
      </c>
      <c r="AZ2833" s="624">
        <v>42290</v>
      </c>
      <c r="BA2833" s="355">
        <v>9.4999999999999998E-3</v>
      </c>
      <c r="BB2833" s="624">
        <v>42221</v>
      </c>
      <c r="BC2833" s="355">
        <v>0.26119999999999999</v>
      </c>
      <c r="BD2833" s="624">
        <v>42221</v>
      </c>
      <c r="BE2833" s="355">
        <v>8.5190000000000002E-2</v>
      </c>
      <c r="BH2833" s="624">
        <v>42221</v>
      </c>
      <c r="BI2833" s="355">
        <v>7.3948E-2</v>
      </c>
      <c r="BJ2833" s="624">
        <v>42220</v>
      </c>
      <c r="BK2833" s="355">
        <v>2.8483999999999999E-2</v>
      </c>
    </row>
    <row r="2834" spans="3:63">
      <c r="C2834" s="624"/>
      <c r="D2834" s="355">
        <v>1.5879999999999998E-2</v>
      </c>
      <c r="AV2834" s="624"/>
      <c r="AX2834" s="624">
        <v>42227</v>
      </c>
      <c r="AY2834" s="355">
        <v>1.5559999999999999E-2</v>
      </c>
      <c r="AZ2834" s="624">
        <v>42291</v>
      </c>
      <c r="BA2834" s="355">
        <v>9.5999999999999992E-3</v>
      </c>
      <c r="BB2834" s="624">
        <v>42222</v>
      </c>
      <c r="BC2834" s="355">
        <v>0.26079999999999998</v>
      </c>
      <c r="BD2834" s="624">
        <v>42222</v>
      </c>
      <c r="BE2834" s="355">
        <v>8.591E-2</v>
      </c>
      <c r="BH2834" s="624">
        <v>42222</v>
      </c>
      <c r="BI2834" s="355">
        <v>7.4052999999999994E-2</v>
      </c>
      <c r="BJ2834" s="624">
        <v>42221</v>
      </c>
      <c r="BK2834" s="355">
        <v>2.8412E-2</v>
      </c>
    </row>
    <row r="2835" spans="3:63">
      <c r="C2835" s="624"/>
      <c r="D2835" s="355">
        <v>1.5559999999999999E-2</v>
      </c>
      <c r="AV2835" s="624"/>
      <c r="AX2835" s="624">
        <v>42228</v>
      </c>
      <c r="AY2835" s="355">
        <v>1.5570000000000001E-2</v>
      </c>
      <c r="AZ2835" s="624">
        <v>42292</v>
      </c>
      <c r="BA2835" s="355">
        <v>9.4999999999999998E-3</v>
      </c>
      <c r="BB2835" s="624">
        <v>42223</v>
      </c>
      <c r="BC2835" s="355">
        <v>0.2621</v>
      </c>
      <c r="BD2835" s="624">
        <v>42223</v>
      </c>
      <c r="BE2835" s="355">
        <v>8.5860000000000006E-2</v>
      </c>
      <c r="BH2835" s="624">
        <v>42223</v>
      </c>
      <c r="BI2835" s="355">
        <v>7.3942999999999995E-2</v>
      </c>
      <c r="BJ2835" s="624">
        <v>42222</v>
      </c>
      <c r="BK2835" s="355">
        <v>2.8489E-2</v>
      </c>
    </row>
    <row r="2836" spans="3:63">
      <c r="C2836" s="624"/>
      <c r="D2836" s="355">
        <v>1.5570000000000001E-2</v>
      </c>
      <c r="AV2836" s="624"/>
      <c r="AX2836" s="624">
        <v>42229</v>
      </c>
      <c r="AY2836" s="355">
        <v>1.546E-2</v>
      </c>
      <c r="AZ2836" s="624">
        <v>42293</v>
      </c>
      <c r="BA2836" s="355">
        <v>9.4999999999999998E-3</v>
      </c>
      <c r="BB2836" s="624">
        <v>42226</v>
      </c>
      <c r="BC2836" s="355">
        <v>0.26240000000000002</v>
      </c>
      <c r="BD2836" s="624">
        <v>42226</v>
      </c>
      <c r="BE2836" s="355">
        <v>8.6269999999999999E-2</v>
      </c>
      <c r="BH2836" s="624">
        <v>42226</v>
      </c>
      <c r="BI2836" s="355">
        <v>7.3940000000000006E-2</v>
      </c>
      <c r="BJ2836" s="624">
        <v>42223</v>
      </c>
      <c r="BK2836" s="355">
        <v>2.8466000000000002E-2</v>
      </c>
    </row>
    <row r="2837" spans="3:63">
      <c r="C2837" s="624"/>
      <c r="D2837" s="355">
        <v>1.546E-2</v>
      </c>
      <c r="AV2837" s="624"/>
      <c r="AX2837" s="624">
        <v>42230</v>
      </c>
      <c r="AY2837" s="355">
        <v>1.541E-2</v>
      </c>
      <c r="AZ2837" s="624">
        <v>42296</v>
      </c>
      <c r="BA2837" s="355">
        <v>9.4000000000000004E-3</v>
      </c>
      <c r="BB2837" s="624">
        <v>42227</v>
      </c>
      <c r="BC2837" s="355">
        <v>0.26329999999999998</v>
      </c>
      <c r="BD2837" s="624">
        <v>42227</v>
      </c>
      <c r="BE2837" s="355">
        <v>8.48E-2</v>
      </c>
      <c r="BH2837" s="624">
        <v>42227</v>
      </c>
      <c r="BI2837" s="355">
        <v>7.2875999999999996E-2</v>
      </c>
      <c r="BJ2837" s="624">
        <v>42226</v>
      </c>
      <c r="BK2837" s="355">
        <v>2.8504999999999999E-2</v>
      </c>
    </row>
    <row r="2838" spans="3:63">
      <c r="C2838" s="624"/>
      <c r="D2838" s="355">
        <v>1.541E-2</v>
      </c>
      <c r="AV2838" s="624"/>
      <c r="AX2838" s="624">
        <v>42233</v>
      </c>
      <c r="AY2838" s="355">
        <v>1.529E-2</v>
      </c>
      <c r="BB2838" s="624">
        <v>42228</v>
      </c>
      <c r="BC2838" s="355">
        <v>0.2666</v>
      </c>
      <c r="BD2838" s="624">
        <v>42228</v>
      </c>
      <c r="BE2838" s="355">
        <v>8.5209999999999994E-2</v>
      </c>
      <c r="BH2838" s="624">
        <v>42228</v>
      </c>
      <c r="BI2838" s="355">
        <v>7.1920999999999999E-2</v>
      </c>
      <c r="BJ2838" s="624">
        <v>42227</v>
      </c>
      <c r="BK2838" s="355">
        <v>2.8296000000000002E-2</v>
      </c>
    </row>
    <row r="2839" spans="3:63">
      <c r="C2839" s="624"/>
      <c r="D2839" s="355">
        <v>1.529E-2</v>
      </c>
      <c r="AV2839" s="624"/>
      <c r="AX2839" s="624">
        <v>42234</v>
      </c>
      <c r="AY2839" s="355">
        <v>1.5180000000000001E-2</v>
      </c>
      <c r="BB2839" s="624">
        <v>42229</v>
      </c>
      <c r="BC2839" s="355">
        <v>0.26679999999999998</v>
      </c>
      <c r="BD2839" s="624">
        <v>42229</v>
      </c>
      <c r="BE2839" s="355">
        <v>8.4849999999999995E-2</v>
      </c>
      <c r="BH2839" s="624">
        <v>42229</v>
      </c>
      <c r="BI2839" s="355">
        <v>7.2569999999999996E-2</v>
      </c>
      <c r="BJ2839" s="624">
        <v>42228</v>
      </c>
      <c r="BK2839" s="355">
        <v>2.8367E-2</v>
      </c>
    </row>
    <row r="2840" spans="3:63">
      <c r="C2840" s="624"/>
      <c r="D2840" s="355">
        <v>1.5180000000000001E-2</v>
      </c>
      <c r="AV2840" s="624"/>
      <c r="AX2840" s="624">
        <v>42235</v>
      </c>
      <c r="AY2840" s="355">
        <v>1.502E-2</v>
      </c>
      <c r="BB2840" s="624">
        <v>42230</v>
      </c>
      <c r="BC2840" s="355">
        <v>0.26569999999999999</v>
      </c>
      <c r="BD2840" s="624">
        <v>42230</v>
      </c>
      <c r="BE2840" s="355">
        <v>8.4809999999999997E-2</v>
      </c>
      <c r="BH2840" s="624">
        <v>42230</v>
      </c>
      <c r="BI2840" s="355">
        <v>7.2442000000000006E-2</v>
      </c>
      <c r="BJ2840" s="624">
        <v>42229</v>
      </c>
      <c r="BK2840" s="355">
        <v>2.8443E-2</v>
      </c>
    </row>
    <row r="2841" spans="3:63">
      <c r="C2841" s="624"/>
      <c r="D2841" s="355">
        <v>1.502E-2</v>
      </c>
      <c r="AV2841" s="624"/>
      <c r="AX2841" s="624">
        <v>42236</v>
      </c>
      <c r="AY2841" s="355">
        <v>1.47E-2</v>
      </c>
      <c r="BB2841" s="624">
        <v>42233</v>
      </c>
      <c r="BC2841" s="355">
        <v>0.26590000000000003</v>
      </c>
      <c r="BD2841" s="624">
        <v>42233</v>
      </c>
      <c r="BE2841" s="355">
        <v>8.4510000000000002E-2</v>
      </c>
      <c r="BH2841" s="624">
        <v>42233</v>
      </c>
      <c r="BI2841" s="355">
        <v>7.2174000000000002E-2</v>
      </c>
      <c r="BJ2841" s="624">
        <v>42230</v>
      </c>
      <c r="BK2841" s="355">
        <v>2.8362999999999999E-2</v>
      </c>
    </row>
    <row r="2842" spans="3:63">
      <c r="C2842" s="624"/>
      <c r="D2842" s="355">
        <v>1.47E-2</v>
      </c>
      <c r="AV2842" s="624"/>
      <c r="AX2842" s="624">
        <v>42237</v>
      </c>
      <c r="AY2842" s="355">
        <v>1.448E-2</v>
      </c>
      <c r="BB2842" s="624">
        <v>42234</v>
      </c>
      <c r="BC2842" s="355">
        <v>0.26479999999999998</v>
      </c>
      <c r="BD2842" s="624">
        <v>42234</v>
      </c>
      <c r="BE2842" s="355">
        <v>8.4309999999999996E-2</v>
      </c>
      <c r="BH2842" s="624">
        <v>42234</v>
      </c>
      <c r="BI2842" s="355">
        <v>7.2350999999999999E-2</v>
      </c>
      <c r="BJ2842" s="624">
        <v>42233</v>
      </c>
      <c r="BK2842" s="355">
        <v>2.8135E-2</v>
      </c>
    </row>
    <row r="2843" spans="3:63">
      <c r="C2843" s="624"/>
      <c r="D2843" s="355">
        <v>1.448E-2</v>
      </c>
      <c r="AV2843" s="624"/>
      <c r="AX2843" s="624">
        <v>42240</v>
      </c>
      <c r="AY2843" s="355">
        <v>1.4109999999999999E-2</v>
      </c>
      <c r="BB2843" s="624">
        <v>42235</v>
      </c>
      <c r="BC2843" s="355">
        <v>0.26629999999999998</v>
      </c>
      <c r="BD2843" s="624">
        <v>42235</v>
      </c>
      <c r="BE2843" s="355">
        <v>8.4449999999999997E-2</v>
      </c>
      <c r="BH2843" s="624">
        <v>42235</v>
      </c>
      <c r="BI2843" s="355">
        <v>7.2482000000000005E-2</v>
      </c>
      <c r="BJ2843" s="624">
        <v>42234</v>
      </c>
      <c r="BK2843" s="355">
        <v>2.8132000000000001E-2</v>
      </c>
    </row>
    <row r="2844" spans="3:63">
      <c r="C2844" s="624"/>
      <c r="D2844" s="355">
        <v>1.4109999999999999E-2</v>
      </c>
      <c r="AV2844" s="624"/>
      <c r="AX2844" s="624">
        <v>42241</v>
      </c>
      <c r="AY2844" s="355">
        <v>1.448E-2</v>
      </c>
      <c r="BB2844" s="624">
        <v>42236</v>
      </c>
      <c r="BC2844" s="355">
        <v>0.26829999999999998</v>
      </c>
      <c r="BD2844" s="624">
        <v>42236</v>
      </c>
      <c r="BE2844" s="355">
        <v>8.4390000000000007E-2</v>
      </c>
      <c r="BH2844" s="624">
        <v>42236</v>
      </c>
      <c r="BI2844" s="355">
        <v>7.2021000000000002E-2</v>
      </c>
      <c r="BJ2844" s="624">
        <v>42235</v>
      </c>
      <c r="BK2844" s="355">
        <v>2.8138E-2</v>
      </c>
    </row>
    <row r="2845" spans="3:63">
      <c r="C2845" s="624"/>
      <c r="D2845" s="355">
        <v>1.448E-2</v>
      </c>
      <c r="AV2845" s="624"/>
      <c r="AX2845" s="624">
        <v>42242</v>
      </c>
      <c r="AY2845" s="355">
        <v>1.451E-2</v>
      </c>
      <c r="BB2845" s="624">
        <v>42237</v>
      </c>
      <c r="BC2845" s="355">
        <v>0.26919999999999999</v>
      </c>
      <c r="BD2845" s="624">
        <v>42237</v>
      </c>
      <c r="BE2845" s="355">
        <v>8.3589999999999998E-2</v>
      </c>
      <c r="BH2845" s="624">
        <v>42237</v>
      </c>
      <c r="BI2845" s="355">
        <v>7.1322999999999998E-2</v>
      </c>
      <c r="BJ2845" s="624">
        <v>42236</v>
      </c>
      <c r="BK2845" s="355">
        <v>2.8097E-2</v>
      </c>
    </row>
    <row r="2846" spans="3:63">
      <c r="C2846" s="624"/>
      <c r="D2846" s="355">
        <v>1.451E-2</v>
      </c>
      <c r="AV2846" s="624"/>
      <c r="AX2846" s="624">
        <v>42243</v>
      </c>
      <c r="AY2846" s="355">
        <v>1.512E-2</v>
      </c>
      <c r="BB2846" s="624">
        <v>42240</v>
      </c>
      <c r="BC2846" s="355">
        <v>0.27279999999999999</v>
      </c>
      <c r="BD2846" s="624">
        <v>42240</v>
      </c>
      <c r="BE2846" s="355">
        <v>8.3970000000000003E-2</v>
      </c>
      <c r="BH2846" s="624">
        <v>42240</v>
      </c>
      <c r="BI2846" s="355">
        <v>7.0800000000000002E-2</v>
      </c>
      <c r="BJ2846" s="624">
        <v>42237</v>
      </c>
      <c r="BK2846" s="355">
        <v>2.8080999999999998E-2</v>
      </c>
    </row>
    <row r="2847" spans="3:63">
      <c r="C2847" s="624"/>
      <c r="D2847" s="355">
        <v>1.512E-2</v>
      </c>
      <c r="AV2847" s="624"/>
      <c r="AX2847" s="624">
        <v>42244</v>
      </c>
      <c r="AY2847" s="355">
        <v>1.528E-2</v>
      </c>
      <c r="BB2847" s="624">
        <v>42241</v>
      </c>
      <c r="BC2847" s="355">
        <v>0.2707</v>
      </c>
      <c r="BD2847" s="624">
        <v>42241</v>
      </c>
      <c r="BE2847" s="355">
        <v>8.3970000000000003E-2</v>
      </c>
      <c r="BH2847" s="624">
        <v>42241</v>
      </c>
      <c r="BI2847" s="355">
        <v>7.0921999999999999E-2</v>
      </c>
      <c r="BJ2847" s="624">
        <v>42240</v>
      </c>
      <c r="BK2847" s="355">
        <v>2.8072E-2</v>
      </c>
    </row>
    <row r="2848" spans="3:63">
      <c r="C2848" s="624"/>
      <c r="D2848" s="355">
        <v>1.528E-2</v>
      </c>
      <c r="AV2848" s="624"/>
      <c r="AX2848" s="624">
        <v>42247</v>
      </c>
      <c r="AY2848" s="355">
        <v>1.559E-2</v>
      </c>
      <c r="BB2848" s="624">
        <v>42242</v>
      </c>
      <c r="BC2848" s="355">
        <v>0.26729999999999998</v>
      </c>
      <c r="BD2848" s="624">
        <v>42242</v>
      </c>
      <c r="BE2848" s="355">
        <v>8.4519999999999998E-2</v>
      </c>
      <c r="BH2848" s="624">
        <v>42242</v>
      </c>
      <c r="BI2848" s="355">
        <v>7.1276000000000006E-2</v>
      </c>
      <c r="BJ2848" s="624">
        <v>42241</v>
      </c>
      <c r="BK2848" s="355">
        <v>2.8108000000000001E-2</v>
      </c>
    </row>
    <row r="2849" spans="3:63">
      <c r="C2849" s="624"/>
      <c r="D2849" s="355">
        <v>1.559E-2</v>
      </c>
      <c r="AV2849" s="624"/>
      <c r="AX2849" s="624">
        <v>42248</v>
      </c>
      <c r="AY2849" s="355">
        <v>1.498E-2</v>
      </c>
      <c r="BB2849" s="624">
        <v>42243</v>
      </c>
      <c r="BC2849" s="355">
        <v>0.26569999999999999</v>
      </c>
      <c r="BD2849" s="624">
        <v>42243</v>
      </c>
      <c r="BE2849" s="355">
        <v>8.5169999999999996E-2</v>
      </c>
      <c r="BH2849" s="624">
        <v>42243</v>
      </c>
      <c r="BI2849" s="355">
        <v>7.1402999999999994E-2</v>
      </c>
      <c r="BJ2849" s="624">
        <v>42242</v>
      </c>
      <c r="BK2849" s="355">
        <v>2.8011999999999999E-2</v>
      </c>
    </row>
    <row r="2850" spans="3:63">
      <c r="C2850" s="624"/>
      <c r="D2850" s="355">
        <v>1.498E-2</v>
      </c>
      <c r="AV2850" s="624"/>
      <c r="AX2850" s="624">
        <v>42249</v>
      </c>
      <c r="AY2850" s="355">
        <v>1.4919999999999999E-2</v>
      </c>
      <c r="BB2850" s="624">
        <v>42244</v>
      </c>
      <c r="BC2850" s="355">
        <v>0.26540000000000002</v>
      </c>
      <c r="BD2850" s="624">
        <v>42244</v>
      </c>
      <c r="BE2850" s="355">
        <v>8.4769999999999998E-2</v>
      </c>
      <c r="BH2850" s="624">
        <v>42244</v>
      </c>
      <c r="BI2850" s="355">
        <v>7.1370000000000003E-2</v>
      </c>
      <c r="BJ2850" s="624">
        <v>42243</v>
      </c>
      <c r="BK2850" s="355">
        <v>2.8042999999999998E-2</v>
      </c>
    </row>
    <row r="2851" spans="3:63">
      <c r="C2851" s="624"/>
      <c r="D2851" s="355">
        <v>1.4919999999999999E-2</v>
      </c>
      <c r="AV2851" s="624"/>
      <c r="AX2851" s="624">
        <v>42250</v>
      </c>
      <c r="AY2851" s="355">
        <v>1.503E-2</v>
      </c>
      <c r="BB2851" s="624">
        <v>42247</v>
      </c>
      <c r="BC2851" s="355">
        <v>0.26490000000000002</v>
      </c>
      <c r="BD2851" s="624">
        <v>42247</v>
      </c>
      <c r="BE2851" s="355">
        <v>8.4519999999999998E-2</v>
      </c>
      <c r="BH2851" s="624">
        <v>42247</v>
      </c>
      <c r="BI2851" s="355">
        <v>7.0948999999999998E-2</v>
      </c>
      <c r="BJ2851" s="624">
        <v>42244</v>
      </c>
      <c r="BK2851" s="355">
        <v>2.7896000000000001E-2</v>
      </c>
    </row>
    <row r="2852" spans="3:63">
      <c r="C2852" s="624"/>
      <c r="D2852" s="355">
        <v>1.503E-2</v>
      </c>
      <c r="AV2852" s="624"/>
      <c r="AX2852" s="624">
        <v>42251</v>
      </c>
      <c r="AY2852" s="355">
        <v>1.46E-2</v>
      </c>
      <c r="BB2852" s="624">
        <v>42248</v>
      </c>
      <c r="BC2852" s="355">
        <v>0.2661</v>
      </c>
      <c r="BD2852" s="624">
        <v>42248</v>
      </c>
      <c r="BE2852" s="355">
        <v>8.4739999999999996E-2</v>
      </c>
      <c r="BH2852" s="624">
        <v>42248</v>
      </c>
      <c r="BI2852" s="355">
        <v>7.0866999999999999E-2</v>
      </c>
      <c r="BJ2852" s="624">
        <v>42247</v>
      </c>
      <c r="BK2852" s="355">
        <v>2.7906E-2</v>
      </c>
    </row>
    <row r="2853" spans="3:63">
      <c r="C2853" s="624"/>
      <c r="D2853" s="355">
        <v>1.46E-2</v>
      </c>
      <c r="AV2853" s="624"/>
      <c r="AX2853" s="624">
        <v>42254</v>
      </c>
      <c r="AY2853" s="355">
        <v>1.447E-2</v>
      </c>
      <c r="BB2853" s="624">
        <v>42249</v>
      </c>
      <c r="BC2853" s="355">
        <v>0.26490000000000002</v>
      </c>
      <c r="BD2853" s="624">
        <v>42249</v>
      </c>
      <c r="BE2853" s="355">
        <v>8.4449999999999997E-2</v>
      </c>
      <c r="BH2853" s="624">
        <v>42249</v>
      </c>
      <c r="BI2853" s="355">
        <v>7.0680999999999994E-2</v>
      </c>
      <c r="BJ2853" s="624">
        <v>42248</v>
      </c>
      <c r="BK2853" s="355">
        <v>2.7992E-2</v>
      </c>
    </row>
    <row r="2854" spans="3:63">
      <c r="C2854" s="624"/>
      <c r="D2854" s="355">
        <v>1.447E-2</v>
      </c>
      <c r="AX2854" s="624">
        <v>42255</v>
      </c>
      <c r="AY2854" s="355">
        <v>1.47E-2</v>
      </c>
      <c r="BB2854" s="624">
        <v>42250</v>
      </c>
      <c r="BC2854" s="355">
        <v>0.26390000000000002</v>
      </c>
      <c r="BD2854" s="624">
        <v>42250</v>
      </c>
      <c r="BE2854" s="355">
        <v>8.3960000000000007E-2</v>
      </c>
      <c r="BH2854" s="624">
        <v>42250</v>
      </c>
      <c r="BI2854" s="355">
        <v>7.0669999999999997E-2</v>
      </c>
      <c r="BJ2854" s="624">
        <v>42249</v>
      </c>
      <c r="BK2854" s="355">
        <v>2.7965E-2</v>
      </c>
    </row>
    <row r="2855" spans="3:63">
      <c r="C2855" s="624"/>
      <c r="D2855" s="355">
        <v>1.47E-2</v>
      </c>
      <c r="AX2855" s="624">
        <v>42256</v>
      </c>
      <c r="AY2855" s="355">
        <v>1.461E-2</v>
      </c>
      <c r="BB2855" s="624">
        <v>42251</v>
      </c>
      <c r="BC2855" s="355">
        <v>0.26350000000000001</v>
      </c>
      <c r="BD2855" s="624">
        <v>42251</v>
      </c>
      <c r="BE2855" s="355">
        <v>8.3239999999999995E-2</v>
      </c>
      <c r="BH2855" s="624">
        <v>42251</v>
      </c>
      <c r="BI2855" s="355">
        <v>6.9874000000000006E-2</v>
      </c>
      <c r="BJ2855" s="624">
        <v>42250</v>
      </c>
      <c r="BK2855" s="355">
        <v>2.7879999999999999E-2</v>
      </c>
    </row>
    <row r="2856" spans="3:63">
      <c r="C2856" s="624"/>
      <c r="D2856" s="355">
        <v>1.461E-2</v>
      </c>
      <c r="AX2856" s="624">
        <v>42257</v>
      </c>
      <c r="AY2856" s="355">
        <v>1.4760000000000001E-2</v>
      </c>
      <c r="BB2856" s="624">
        <v>42254</v>
      </c>
      <c r="BC2856" s="355">
        <v>0.26369999999999999</v>
      </c>
      <c r="BD2856" s="624">
        <v>42254</v>
      </c>
      <c r="BE2856" s="355">
        <v>8.3099999999999993E-2</v>
      </c>
      <c r="BH2856" s="624">
        <v>42254</v>
      </c>
      <c r="BI2856" s="355">
        <v>6.9807999999999995E-2</v>
      </c>
      <c r="BJ2856" s="624">
        <v>42251</v>
      </c>
      <c r="BK2856" s="355">
        <v>2.7786999999999999E-2</v>
      </c>
    </row>
    <row r="2857" spans="3:63">
      <c r="C2857" s="624"/>
      <c r="D2857" s="355">
        <v>1.4760000000000001E-2</v>
      </c>
      <c r="AX2857" s="624">
        <v>42258</v>
      </c>
      <c r="AY2857" s="355">
        <v>1.4749999999999999E-2</v>
      </c>
      <c r="BB2857" s="624">
        <v>42255</v>
      </c>
      <c r="BC2857" s="355">
        <v>0.26500000000000001</v>
      </c>
      <c r="BD2857" s="624">
        <v>42255</v>
      </c>
      <c r="BE2857" s="355">
        <v>8.3680000000000004E-2</v>
      </c>
      <c r="BH2857" s="624">
        <v>42255</v>
      </c>
      <c r="BI2857" s="355">
        <v>7.0426000000000002E-2</v>
      </c>
      <c r="BJ2857" s="624">
        <v>42254</v>
      </c>
      <c r="BK2857" s="355">
        <v>2.7684E-2</v>
      </c>
    </row>
    <row r="2858" spans="3:63">
      <c r="C2858" s="624"/>
      <c r="D2858" s="355">
        <v>1.4749999999999999E-2</v>
      </c>
      <c r="AX2858" s="624">
        <v>42261</v>
      </c>
      <c r="AY2858" s="355">
        <v>1.477E-2</v>
      </c>
      <c r="BB2858" s="624">
        <v>42256</v>
      </c>
      <c r="BC2858" s="355">
        <v>0.26590000000000003</v>
      </c>
      <c r="BD2858" s="624">
        <v>42256</v>
      </c>
      <c r="BE2858" s="355">
        <v>8.3930000000000005E-2</v>
      </c>
      <c r="BH2858" s="624">
        <v>42256</v>
      </c>
      <c r="BI2858" s="355">
        <v>7.0119000000000001E-2</v>
      </c>
      <c r="BJ2858" s="624">
        <v>42255</v>
      </c>
      <c r="BK2858" s="355">
        <v>2.7725E-2</v>
      </c>
    </row>
    <row r="2859" spans="3:63">
      <c r="C2859" s="624"/>
      <c r="D2859" s="355">
        <v>1.477E-2</v>
      </c>
      <c r="AX2859" s="624">
        <v>42262</v>
      </c>
      <c r="AY2859" s="355">
        <v>1.4970000000000001E-2</v>
      </c>
      <c r="BB2859" s="624">
        <v>42257</v>
      </c>
      <c r="BC2859" s="355">
        <v>0.26779999999999998</v>
      </c>
      <c r="BD2859" s="624">
        <v>42257</v>
      </c>
      <c r="BE2859" s="355">
        <v>8.4570000000000006E-2</v>
      </c>
      <c r="BH2859" s="624">
        <v>42257</v>
      </c>
      <c r="BI2859" s="355">
        <v>7.0077E-2</v>
      </c>
      <c r="BJ2859" s="624">
        <v>42256</v>
      </c>
      <c r="BK2859" s="355">
        <v>2.7588999999999999E-2</v>
      </c>
    </row>
    <row r="2860" spans="3:63">
      <c r="C2860" s="624"/>
      <c r="D2860" s="355">
        <v>1.4970000000000001E-2</v>
      </c>
      <c r="AX2860" s="624">
        <v>42263</v>
      </c>
      <c r="AY2860" s="355">
        <v>1.5270000000000001E-2</v>
      </c>
      <c r="BB2860" s="624">
        <v>42258</v>
      </c>
      <c r="BC2860" s="355">
        <v>0.26939999999999997</v>
      </c>
      <c r="BD2860" s="624">
        <v>42258</v>
      </c>
      <c r="BE2860" s="355">
        <v>8.455E-2</v>
      </c>
      <c r="BH2860" s="624">
        <v>42258</v>
      </c>
      <c r="BI2860" s="355">
        <v>6.9882E-2</v>
      </c>
      <c r="BJ2860" s="624">
        <v>42257</v>
      </c>
      <c r="BK2860" s="355">
        <v>2.7734000000000002E-2</v>
      </c>
    </row>
    <row r="2861" spans="3:63">
      <c r="C2861" s="624"/>
      <c r="D2861" s="355">
        <v>1.5270000000000001E-2</v>
      </c>
      <c r="AX2861" s="624">
        <v>42264</v>
      </c>
      <c r="AY2861" s="355">
        <v>1.528E-2</v>
      </c>
      <c r="BB2861" s="624">
        <v>42261</v>
      </c>
      <c r="BC2861" s="355">
        <v>0.26889999999999997</v>
      </c>
      <c r="BD2861" s="624">
        <v>42261</v>
      </c>
      <c r="BE2861" s="355">
        <v>8.4540000000000004E-2</v>
      </c>
      <c r="BH2861" s="624">
        <v>42261</v>
      </c>
      <c r="BI2861" s="355">
        <v>6.9788000000000003E-2</v>
      </c>
      <c r="BJ2861" s="624">
        <v>42258</v>
      </c>
      <c r="BK2861" s="355">
        <v>2.7751000000000001E-2</v>
      </c>
    </row>
    <row r="2862" spans="3:63">
      <c r="C2862" s="624"/>
      <c r="D2862" s="355">
        <v>1.528E-2</v>
      </c>
      <c r="AX2862" s="624">
        <v>42265</v>
      </c>
      <c r="AY2862" s="355">
        <v>1.504E-2</v>
      </c>
      <c r="BB2862" s="624">
        <v>42262</v>
      </c>
      <c r="BC2862" s="355">
        <v>0.26819999999999999</v>
      </c>
      <c r="BD2862" s="624">
        <v>42262</v>
      </c>
      <c r="BE2862" s="355">
        <v>8.4809999999999997E-2</v>
      </c>
      <c r="BH2862" s="624">
        <v>42262</v>
      </c>
      <c r="BI2862" s="355">
        <v>6.9432999999999995E-2</v>
      </c>
      <c r="BJ2862" s="624">
        <v>42261</v>
      </c>
      <c r="BK2862" s="355">
        <v>2.7758999999999999E-2</v>
      </c>
    </row>
    <row r="2863" spans="3:63">
      <c r="C2863" s="624"/>
      <c r="D2863" s="355">
        <v>1.504E-2</v>
      </c>
      <c r="AX2863" s="624">
        <v>42268</v>
      </c>
      <c r="AY2863" s="355">
        <v>1.508E-2</v>
      </c>
      <c r="BB2863" s="624">
        <v>42263</v>
      </c>
      <c r="BC2863" s="355">
        <v>0.26840000000000003</v>
      </c>
      <c r="BD2863" s="624">
        <v>42263</v>
      </c>
      <c r="BE2863" s="355">
        <v>8.548E-2</v>
      </c>
      <c r="BH2863" s="624">
        <v>42263</v>
      </c>
      <c r="BI2863" s="355">
        <v>6.9492999999999999E-2</v>
      </c>
      <c r="BJ2863" s="624">
        <v>42262</v>
      </c>
      <c r="BK2863" s="355">
        <v>2.7837000000000001E-2</v>
      </c>
    </row>
    <row r="2864" spans="3:63">
      <c r="C2864" s="624"/>
      <c r="D2864" s="355">
        <v>1.508E-2</v>
      </c>
      <c r="AX2864" s="624">
        <v>42269</v>
      </c>
      <c r="AY2864" s="355">
        <v>1.515E-2</v>
      </c>
      <c r="BB2864" s="624">
        <v>42264</v>
      </c>
      <c r="BC2864" s="355">
        <v>0.27179999999999999</v>
      </c>
      <c r="BD2864" s="624">
        <v>42264</v>
      </c>
      <c r="BE2864" s="355">
        <v>8.5669999999999996E-2</v>
      </c>
      <c r="BH2864" s="624">
        <v>42264</v>
      </c>
      <c r="BI2864" s="355">
        <v>6.9513000000000005E-2</v>
      </c>
      <c r="BJ2864" s="624">
        <v>42263</v>
      </c>
      <c r="BK2864" s="355">
        <v>2.7882000000000001E-2</v>
      </c>
    </row>
    <row r="2865" spans="3:63">
      <c r="C2865" s="624"/>
      <c r="D2865" s="355">
        <v>1.515E-2</v>
      </c>
      <c r="AX2865" s="624">
        <v>42270</v>
      </c>
      <c r="AY2865" s="355">
        <v>1.508E-2</v>
      </c>
      <c r="BB2865" s="624">
        <v>42265</v>
      </c>
      <c r="BC2865" s="355">
        <v>0.26889999999999997</v>
      </c>
      <c r="BD2865" s="624">
        <v>42265</v>
      </c>
      <c r="BE2865" s="355">
        <v>8.5290000000000005E-2</v>
      </c>
      <c r="BH2865" s="624">
        <v>42265</v>
      </c>
      <c r="BI2865" s="355">
        <v>6.9457000000000005E-2</v>
      </c>
      <c r="BJ2865" s="624">
        <v>42264</v>
      </c>
      <c r="BK2865" s="355">
        <v>2.7897999999999999E-2</v>
      </c>
    </row>
    <row r="2866" spans="3:63">
      <c r="C2866" s="624"/>
      <c r="D2866" s="355">
        <v>1.508E-2</v>
      </c>
      <c r="AX2866" s="624">
        <v>42271</v>
      </c>
      <c r="AY2866" s="355">
        <v>1.5129999999999999E-2</v>
      </c>
      <c r="BB2866" s="624">
        <v>42268</v>
      </c>
      <c r="BC2866" s="355">
        <v>0.26729999999999998</v>
      </c>
      <c r="BD2866" s="624">
        <v>42268</v>
      </c>
      <c r="BE2866" s="355">
        <v>8.4860000000000005E-2</v>
      </c>
      <c r="BH2866" s="624">
        <v>42268</v>
      </c>
      <c r="BI2866" s="355">
        <v>6.9042999999999993E-2</v>
      </c>
      <c r="BJ2866" s="624">
        <v>42265</v>
      </c>
      <c r="BK2866" s="355">
        <v>2.8042999999999998E-2</v>
      </c>
    </row>
    <row r="2867" spans="3:63">
      <c r="C2867" s="624"/>
      <c r="D2867" s="355">
        <v>1.5129999999999999E-2</v>
      </c>
      <c r="AX2867" s="624">
        <v>42272</v>
      </c>
      <c r="AY2867" s="355">
        <v>1.5270000000000001E-2</v>
      </c>
      <c r="BB2867" s="624">
        <v>42269</v>
      </c>
      <c r="BC2867" s="355">
        <v>0.26450000000000001</v>
      </c>
      <c r="BD2867" s="624">
        <v>42269</v>
      </c>
      <c r="BE2867" s="355">
        <v>8.4360000000000004E-2</v>
      </c>
      <c r="BH2867" s="624">
        <v>42269</v>
      </c>
      <c r="BI2867" s="355">
        <v>6.8210000000000007E-2</v>
      </c>
      <c r="BJ2867" s="624">
        <v>42268</v>
      </c>
      <c r="BK2867" s="355">
        <v>2.7925999999999999E-2</v>
      </c>
    </row>
    <row r="2868" spans="3:63">
      <c r="C2868" s="624"/>
      <c r="D2868" s="355">
        <v>1.5270000000000001E-2</v>
      </c>
      <c r="AX2868" s="624">
        <v>42275</v>
      </c>
      <c r="AY2868" s="355">
        <v>1.5049999999999999E-2</v>
      </c>
      <c r="BB2868" s="624">
        <v>42270</v>
      </c>
      <c r="BC2868" s="355">
        <v>0.26490000000000002</v>
      </c>
      <c r="BD2868" s="624">
        <v>42270</v>
      </c>
      <c r="BE2868" s="355">
        <v>8.3690000000000001E-2</v>
      </c>
      <c r="BH2868" s="624">
        <v>42270</v>
      </c>
      <c r="BI2868" s="355">
        <v>6.812E-2</v>
      </c>
      <c r="BJ2868" s="624">
        <v>42269</v>
      </c>
      <c r="BK2868" s="355">
        <v>2.7727999999999999E-2</v>
      </c>
    </row>
    <row r="2869" spans="3:63">
      <c r="C2869" s="624"/>
      <c r="D2869" s="355">
        <v>1.5049999999999999E-2</v>
      </c>
      <c r="AX2869" s="624">
        <v>42276</v>
      </c>
      <c r="AY2869" s="355">
        <v>1.52E-2</v>
      </c>
      <c r="BB2869" s="624">
        <v>42271</v>
      </c>
      <c r="BC2869" s="355">
        <v>0.2661</v>
      </c>
      <c r="BD2869" s="624">
        <v>42271</v>
      </c>
      <c r="BE2869" s="355">
        <v>8.3979999999999999E-2</v>
      </c>
      <c r="BH2869" s="624">
        <v>42271</v>
      </c>
      <c r="BI2869" s="355">
        <v>6.7866999999999997E-2</v>
      </c>
      <c r="BJ2869" s="624">
        <v>42270</v>
      </c>
      <c r="BK2869" s="355">
        <v>2.7573E-2</v>
      </c>
    </row>
    <row r="2870" spans="3:63">
      <c r="C2870" s="624"/>
      <c r="D2870" s="355">
        <v>1.52E-2</v>
      </c>
      <c r="AX2870" s="624">
        <v>42277</v>
      </c>
      <c r="AY2870" s="355">
        <v>1.529E-2</v>
      </c>
      <c r="BB2870" s="624">
        <v>42272</v>
      </c>
      <c r="BC2870" s="355">
        <v>0.26500000000000001</v>
      </c>
      <c r="BD2870" s="624">
        <v>42272</v>
      </c>
      <c r="BE2870" s="355">
        <v>8.3830000000000002E-2</v>
      </c>
      <c r="BH2870" s="624">
        <v>42272</v>
      </c>
      <c r="BI2870" s="355">
        <v>6.8288000000000001E-2</v>
      </c>
      <c r="BJ2870" s="624">
        <v>42271</v>
      </c>
      <c r="BK2870" s="355">
        <v>2.7569E-2</v>
      </c>
    </row>
    <row r="2871" spans="3:63">
      <c r="C2871" s="624"/>
      <c r="D2871" s="355">
        <v>1.529E-2</v>
      </c>
      <c r="AX2871" s="624">
        <v>42278</v>
      </c>
      <c r="AY2871" s="355">
        <v>1.5219999999999999E-2</v>
      </c>
      <c r="BB2871" s="624">
        <v>42275</v>
      </c>
      <c r="BC2871" s="355">
        <v>0.26500000000000001</v>
      </c>
      <c r="BD2871" s="624">
        <v>42275</v>
      </c>
      <c r="BE2871" s="355">
        <v>8.3610000000000004E-2</v>
      </c>
      <c r="BH2871" s="624">
        <v>42275</v>
      </c>
      <c r="BI2871" s="355">
        <v>6.7835999999999994E-2</v>
      </c>
      <c r="BJ2871" s="624">
        <v>42272</v>
      </c>
      <c r="BK2871" s="355">
        <v>2.7636999999999998E-2</v>
      </c>
    </row>
    <row r="2872" spans="3:63">
      <c r="C2872" s="624"/>
      <c r="D2872" s="355">
        <v>1.5219999999999999E-2</v>
      </c>
      <c r="AX2872" s="624">
        <v>42279</v>
      </c>
      <c r="AY2872" s="355">
        <v>1.5129999999999999E-2</v>
      </c>
      <c r="BB2872" s="624">
        <v>42276</v>
      </c>
      <c r="BC2872" s="355">
        <v>0.2656</v>
      </c>
      <c r="BD2872" s="624">
        <v>42276</v>
      </c>
      <c r="BE2872" s="355">
        <v>8.3610000000000004E-2</v>
      </c>
      <c r="BH2872" s="624">
        <v>42276</v>
      </c>
      <c r="BI2872" s="355">
        <v>6.812E-2</v>
      </c>
      <c r="BJ2872" s="624">
        <v>42275</v>
      </c>
      <c r="BK2872" s="355">
        <v>2.7466999999999998E-2</v>
      </c>
    </row>
    <row r="2873" spans="3:63">
      <c r="C2873" s="624"/>
      <c r="D2873" s="355">
        <v>1.5129999999999999E-2</v>
      </c>
      <c r="AX2873" s="624">
        <v>42282</v>
      </c>
      <c r="AY2873" s="355">
        <v>1.546E-2</v>
      </c>
      <c r="BB2873" s="624">
        <v>42277</v>
      </c>
      <c r="BC2873" s="355">
        <v>0.26319999999999999</v>
      </c>
      <c r="BD2873" s="624">
        <v>42277</v>
      </c>
      <c r="BE2873" s="355">
        <v>8.4370000000000001E-2</v>
      </c>
      <c r="BH2873" s="624">
        <v>42277</v>
      </c>
      <c r="BI2873" s="355">
        <v>6.8481E-2</v>
      </c>
      <c r="BJ2873" s="624">
        <v>42276</v>
      </c>
      <c r="BK2873" s="355">
        <v>2.7449999999999999E-2</v>
      </c>
    </row>
    <row r="2874" spans="3:63">
      <c r="C2874" s="624"/>
      <c r="D2874" s="355">
        <v>1.546E-2</v>
      </c>
      <c r="AX2874" s="624">
        <v>42283</v>
      </c>
      <c r="AY2874" s="355">
        <v>1.576E-2</v>
      </c>
      <c r="BB2874" s="624">
        <v>42278</v>
      </c>
      <c r="BC2874" s="355">
        <v>0.26340000000000002</v>
      </c>
      <c r="BD2874" s="624">
        <v>42278</v>
      </c>
      <c r="BE2874" s="355">
        <v>8.4830000000000003E-2</v>
      </c>
      <c r="BH2874" s="624">
        <v>42278</v>
      </c>
      <c r="BI2874" s="355">
        <v>6.7863999999999994E-2</v>
      </c>
      <c r="BJ2874" s="624">
        <v>42277</v>
      </c>
      <c r="BK2874" s="355">
        <v>2.7491000000000002E-2</v>
      </c>
    </row>
    <row r="2875" spans="3:63">
      <c r="C2875" s="624"/>
      <c r="D2875" s="355">
        <v>1.576E-2</v>
      </c>
      <c r="AX2875" s="624">
        <v>42284</v>
      </c>
      <c r="AY2875" s="355">
        <v>1.5970000000000002E-2</v>
      </c>
      <c r="BB2875" s="624">
        <v>42279</v>
      </c>
      <c r="BC2875" s="355">
        <v>0.26400000000000001</v>
      </c>
      <c r="BD2875" s="624">
        <v>42279</v>
      </c>
      <c r="BE2875" s="355">
        <v>8.5239999999999996E-2</v>
      </c>
      <c r="BH2875" s="624">
        <v>42279</v>
      </c>
      <c r="BI2875" s="355">
        <v>6.8307000000000007E-2</v>
      </c>
      <c r="BJ2875" s="624">
        <v>42278</v>
      </c>
      <c r="BK2875" s="355">
        <v>2.7394000000000002E-2</v>
      </c>
    </row>
    <row r="2876" spans="3:63">
      <c r="C2876" s="624"/>
      <c r="D2876" s="355">
        <v>1.5970000000000002E-2</v>
      </c>
      <c r="AX2876" s="624">
        <v>42285</v>
      </c>
      <c r="AY2876" s="355">
        <v>1.6279999999999999E-2</v>
      </c>
      <c r="BB2876" s="624">
        <v>42282</v>
      </c>
      <c r="BC2876" s="355">
        <v>0.26369999999999999</v>
      </c>
      <c r="BD2876" s="624">
        <v>42282</v>
      </c>
      <c r="BE2876" s="355">
        <v>8.6080000000000004E-2</v>
      </c>
      <c r="BH2876" s="624">
        <v>42282</v>
      </c>
      <c r="BI2876" s="355">
        <v>6.9179000000000004E-2</v>
      </c>
      <c r="BJ2876" s="624">
        <v>42279</v>
      </c>
      <c r="BK2876" s="355">
        <v>2.7465E-2</v>
      </c>
    </row>
    <row r="2877" spans="3:63">
      <c r="C2877" s="624"/>
      <c r="D2877" s="355">
        <v>1.6279999999999999E-2</v>
      </c>
      <c r="AX2877" s="624">
        <v>42286</v>
      </c>
      <c r="AY2877" s="355">
        <v>1.618E-2</v>
      </c>
      <c r="BB2877" s="624">
        <v>42283</v>
      </c>
      <c r="BC2877" s="355">
        <v>0.26590000000000003</v>
      </c>
      <c r="BD2877" s="624">
        <v>42283</v>
      </c>
      <c r="BE2877" s="355">
        <v>8.6099999999999996E-2</v>
      </c>
      <c r="BH2877" s="624">
        <v>42283</v>
      </c>
      <c r="BI2877" s="355">
        <v>7.0571999999999996E-2</v>
      </c>
      <c r="BJ2877" s="624">
        <v>42282</v>
      </c>
      <c r="BK2877" s="355">
        <v>2.7556000000000001E-2</v>
      </c>
    </row>
    <row r="2878" spans="3:63">
      <c r="C2878" s="624"/>
      <c r="D2878" s="355">
        <v>1.618E-2</v>
      </c>
      <c r="AX2878" s="624">
        <v>42289</v>
      </c>
      <c r="AY2878" s="355">
        <v>1.6060000000000001E-2</v>
      </c>
      <c r="BB2878" s="624">
        <v>42284</v>
      </c>
      <c r="BC2878" s="355">
        <v>0.26529999999999998</v>
      </c>
      <c r="BD2878" s="624">
        <v>42284</v>
      </c>
      <c r="BE2878" s="355">
        <v>8.6300000000000002E-2</v>
      </c>
      <c r="BH2878" s="624">
        <v>42284</v>
      </c>
      <c r="BI2878" s="355">
        <v>7.1831000000000006E-2</v>
      </c>
      <c r="BJ2878" s="624">
        <v>42283</v>
      </c>
      <c r="BK2878" s="355">
        <v>2.7595999999999999E-2</v>
      </c>
    </row>
    <row r="2879" spans="3:63">
      <c r="C2879" s="624"/>
      <c r="D2879" s="355">
        <v>1.6060000000000001E-2</v>
      </c>
      <c r="AX2879" s="624">
        <v>42290</v>
      </c>
      <c r="AY2879" s="355">
        <v>1.5859999999999999E-2</v>
      </c>
      <c r="BB2879" s="624">
        <v>42285</v>
      </c>
      <c r="BC2879" s="355">
        <v>0.26700000000000002</v>
      </c>
      <c r="BD2879" s="624">
        <v>42285</v>
      </c>
      <c r="BE2879" s="355">
        <v>8.6739999999999998E-2</v>
      </c>
      <c r="BH2879" s="624">
        <v>42285</v>
      </c>
      <c r="BI2879" s="355">
        <v>7.3856000000000005E-2</v>
      </c>
      <c r="BJ2879" s="624">
        <v>42284</v>
      </c>
      <c r="BK2879" s="355">
        <v>2.7855999999999999E-2</v>
      </c>
    </row>
    <row r="2880" spans="3:63">
      <c r="C2880" s="624"/>
      <c r="D2880" s="355">
        <v>1.5859999999999999E-2</v>
      </c>
      <c r="AX2880" s="624">
        <v>42291</v>
      </c>
      <c r="AY2880" s="355">
        <v>1.5970000000000002E-2</v>
      </c>
      <c r="BB2880" s="624">
        <v>42286</v>
      </c>
      <c r="BC2880" s="355">
        <v>0.26900000000000002</v>
      </c>
      <c r="BD2880" s="624">
        <v>42286</v>
      </c>
      <c r="BE2880" s="355">
        <v>8.7099999999999997E-2</v>
      </c>
      <c r="BH2880" s="624">
        <v>42286</v>
      </c>
      <c r="BI2880" s="355">
        <v>7.4311000000000002E-2</v>
      </c>
      <c r="BJ2880" s="624">
        <v>42285</v>
      </c>
      <c r="BK2880" s="355">
        <v>2.7949999999999999E-2</v>
      </c>
    </row>
    <row r="2881" spans="3:63">
      <c r="C2881" s="624"/>
      <c r="D2881" s="355">
        <v>1.5970000000000002E-2</v>
      </c>
      <c r="AX2881" s="624">
        <v>42292</v>
      </c>
      <c r="AY2881" s="355">
        <v>1.6279999999999999E-2</v>
      </c>
      <c r="BB2881" s="624">
        <v>42289</v>
      </c>
      <c r="BC2881" s="355">
        <v>0.26879999999999998</v>
      </c>
      <c r="BD2881" s="624">
        <v>42289</v>
      </c>
      <c r="BE2881" s="355">
        <v>8.7400000000000005E-2</v>
      </c>
      <c r="BH2881" s="624">
        <v>42289</v>
      </c>
      <c r="BI2881" s="355">
        <v>7.3982000000000006E-2</v>
      </c>
      <c r="BJ2881" s="624">
        <v>42286</v>
      </c>
      <c r="BK2881" s="355">
        <v>2.8149E-2</v>
      </c>
    </row>
    <row r="2882" spans="3:63">
      <c r="C2882" s="624"/>
      <c r="D2882" s="355">
        <v>1.6279999999999999E-2</v>
      </c>
      <c r="AX2882" s="624">
        <v>42293</v>
      </c>
      <c r="AY2882" s="355">
        <v>1.6320000000000001E-2</v>
      </c>
      <c r="BB2882" s="624">
        <v>42290</v>
      </c>
      <c r="BC2882" s="355">
        <v>0.26889999999999997</v>
      </c>
      <c r="BD2882" s="624">
        <v>42290</v>
      </c>
      <c r="BE2882" s="355">
        <v>8.6940000000000003E-2</v>
      </c>
      <c r="BH2882" s="624">
        <v>42290</v>
      </c>
      <c r="BI2882" s="355">
        <v>7.3260000000000006E-2</v>
      </c>
      <c r="BJ2882" s="624">
        <v>42289</v>
      </c>
      <c r="BK2882" s="355">
        <v>2.8278999999999999E-2</v>
      </c>
    </row>
    <row r="2883" spans="3:63">
      <c r="C2883" s="624"/>
      <c r="D2883" s="355">
        <v>1.6320000000000001E-2</v>
      </c>
      <c r="AX2883" s="624">
        <v>42296</v>
      </c>
      <c r="AY2883" s="355">
        <v>1.6039999999999999E-2</v>
      </c>
      <c r="BB2883" s="624">
        <v>42291</v>
      </c>
      <c r="BC2883" s="355">
        <v>0.2712</v>
      </c>
      <c r="BD2883" s="624">
        <v>42291</v>
      </c>
      <c r="BE2883" s="355">
        <v>8.7940000000000004E-2</v>
      </c>
      <c r="BH2883" s="624">
        <v>42291</v>
      </c>
      <c r="BI2883" s="355">
        <v>7.4299000000000004E-2</v>
      </c>
      <c r="BJ2883" s="624">
        <v>42290</v>
      </c>
      <c r="BK2883" s="355">
        <v>2.8045E-2</v>
      </c>
    </row>
    <row r="2884" spans="3:63">
      <c r="C2884" s="624"/>
      <c r="D2884" s="355">
        <v>1.6049999999999998E-2</v>
      </c>
      <c r="BB2884" s="624">
        <v>42292</v>
      </c>
      <c r="BC2884" s="355">
        <v>0.26889999999999997</v>
      </c>
      <c r="BD2884" s="624">
        <v>42292</v>
      </c>
      <c r="BE2884" s="355">
        <v>8.9039999999999994E-2</v>
      </c>
      <c r="BH2884" s="624">
        <v>42292</v>
      </c>
      <c r="BI2884" s="355">
        <v>7.4066999999999994E-2</v>
      </c>
      <c r="BJ2884" s="624">
        <v>42291</v>
      </c>
      <c r="BK2884" s="355">
        <v>2.8273E-2</v>
      </c>
    </row>
    <row r="2885" spans="3:63">
      <c r="BB2885" s="624">
        <v>42293</v>
      </c>
      <c r="BC2885" s="355">
        <v>0.26790000000000003</v>
      </c>
      <c r="BD2885" s="624">
        <v>42293</v>
      </c>
      <c r="BE2885" s="355">
        <v>8.8450000000000001E-2</v>
      </c>
      <c r="BH2885" s="624">
        <v>42293</v>
      </c>
      <c r="BI2885" s="355">
        <v>7.4056999999999998E-2</v>
      </c>
      <c r="BJ2885" s="624">
        <v>42292</v>
      </c>
      <c r="BK2885" s="355">
        <v>2.8424000000000001E-2</v>
      </c>
    </row>
    <row r="2886" spans="3:63">
      <c r="BB2886" s="624">
        <v>42296</v>
      </c>
      <c r="BC2886" s="355">
        <v>0.26669999999999999</v>
      </c>
      <c r="BD2886" s="624">
        <v>42296</v>
      </c>
      <c r="BE2886" s="355">
        <v>8.8239999999999999E-2</v>
      </c>
      <c r="BH2886" s="624">
        <v>42296</v>
      </c>
      <c r="BI2886" s="355">
        <v>7.2648000000000004E-2</v>
      </c>
      <c r="BJ2886" s="624">
        <v>42293</v>
      </c>
      <c r="BK2886" s="355">
        <v>2.8361000000000001E-2</v>
      </c>
    </row>
    <row r="2887" spans="3:63">
      <c r="BJ2887" s="624">
        <v>42296</v>
      </c>
      <c r="BK2887" s="355">
        <v>2.8173E-2</v>
      </c>
    </row>
  </sheetData>
  <mergeCells count="1">
    <mergeCell ref="C7:C8"/>
  </mergeCells>
  <conditionalFormatting sqref="A7:A8 C7 B8 AZ47 AU60:AU63 AZ60 BE60 BE47 D8:CD8 BK45:CD46 BE63 BK61:CD62 AZ63 BJ64 BJ63:CD63 BJ47:CD47 BJ60:CD60">
    <cfRule type="expression" dxfId="289" priority="290" stopIfTrue="1">
      <formula>ISERROR(A7)</formula>
    </cfRule>
  </conditionalFormatting>
  <conditionalFormatting sqref="AZ10">
    <cfRule type="expression" dxfId="288" priority="289" stopIfTrue="1">
      <formula>ISERROR(AZ10)</formula>
    </cfRule>
  </conditionalFormatting>
  <conditionalFormatting sqref="AW10:AX10">
    <cfRule type="expression" dxfId="287" priority="288" stopIfTrue="1">
      <formula>ISERROR(AW10)</formula>
    </cfRule>
  </conditionalFormatting>
  <conditionalFormatting sqref="BK58:CD59">
    <cfRule type="expression" dxfId="286" priority="212" stopIfTrue="1">
      <formula>ISERROR(BK58)</formula>
    </cfRule>
  </conditionalFormatting>
  <conditionalFormatting sqref="AV10">
    <cfRule type="expression" dxfId="285" priority="287" stopIfTrue="1">
      <formula>ISERROR(AV10)</formula>
    </cfRule>
  </conditionalFormatting>
  <conditionalFormatting sqref="AY10">
    <cfRule type="expression" dxfId="284" priority="286" stopIfTrue="1">
      <formula>ISERROR(AY10)</formula>
    </cfRule>
  </conditionalFormatting>
  <conditionalFormatting sqref="AU10:AU15">
    <cfRule type="expression" dxfId="283" priority="285" stopIfTrue="1">
      <formula>ISERROR(AU10)</formula>
    </cfRule>
  </conditionalFormatting>
  <conditionalFormatting sqref="AZ11">
    <cfRule type="expression" dxfId="282" priority="284" stopIfTrue="1">
      <formula>ISERROR(AZ11)</formula>
    </cfRule>
  </conditionalFormatting>
  <conditionalFormatting sqref="BB10:BC10">
    <cfRule type="expression" dxfId="281" priority="211" stopIfTrue="1">
      <formula>ISERROR(BB10)</formula>
    </cfRule>
  </conditionalFormatting>
  <conditionalFormatting sqref="BA10">
    <cfRule type="expression" dxfId="280" priority="210" stopIfTrue="1">
      <formula>ISERROR(BA10)</formula>
    </cfRule>
  </conditionalFormatting>
  <conditionalFormatting sqref="AU30:AU31">
    <cfRule type="expression" dxfId="279" priority="282" stopIfTrue="1">
      <formula>ISERROR(AU30)</formula>
    </cfRule>
  </conditionalFormatting>
  <conditionalFormatting sqref="AZ40 BF40:BI40">
    <cfRule type="expression" dxfId="278" priority="274" stopIfTrue="1">
      <formula>ISERROR(AZ40)</formula>
    </cfRule>
  </conditionalFormatting>
  <conditionalFormatting sqref="AZ12 BF12:BI12 AZ14:AZ15 BF15:BI15">
    <cfRule type="expression" dxfId="277" priority="283" stopIfTrue="1">
      <formula>ISERROR(AZ12)</formula>
    </cfRule>
  </conditionalFormatting>
  <conditionalFormatting sqref="AW13:AX13">
    <cfRule type="expression" dxfId="276" priority="206" stopIfTrue="1">
      <formula>ISERROR(AW13)</formula>
    </cfRule>
  </conditionalFormatting>
  <conditionalFormatting sqref="AZ31">
    <cfRule type="expression" dxfId="275" priority="281" stopIfTrue="1">
      <formula>ISERROR(AZ31)</formula>
    </cfRule>
  </conditionalFormatting>
  <conditionalFormatting sqref="AV13">
    <cfRule type="expression" dxfId="274" priority="205" stopIfTrue="1">
      <formula>ISERROR(AV13)</formula>
    </cfRule>
  </conditionalFormatting>
  <conditionalFormatting sqref="AY13">
    <cfRule type="expression" dxfId="273" priority="204" stopIfTrue="1">
      <formula>ISERROR(AY13)</formula>
    </cfRule>
  </conditionalFormatting>
  <conditionalFormatting sqref="BB13:BC13">
    <cfRule type="expression" dxfId="272" priority="203" stopIfTrue="1">
      <formula>ISERROR(BB13)</formula>
    </cfRule>
  </conditionalFormatting>
  <conditionalFormatting sqref="BD10">
    <cfRule type="expression" dxfId="271" priority="209" stopIfTrue="1">
      <formula>ISERROR(BD10)</formula>
    </cfRule>
  </conditionalFormatting>
  <conditionalFormatting sqref="BE10">
    <cfRule type="expression" dxfId="270" priority="208" stopIfTrue="1">
      <formula>ISERROR(BE10)</formula>
    </cfRule>
  </conditionalFormatting>
  <conditionalFormatting sqref="BE13">
    <cfRule type="expression" dxfId="269" priority="199" stopIfTrue="1">
      <formula>ISERROR(BE13)</formula>
    </cfRule>
  </conditionalFormatting>
  <conditionalFormatting sqref="BB16:BC16">
    <cfRule type="expression" dxfId="268" priority="192" stopIfTrue="1">
      <formula>ISERROR(BB16)</formula>
    </cfRule>
  </conditionalFormatting>
  <conditionalFormatting sqref="AZ37 AZ34">
    <cfRule type="expression" dxfId="267" priority="280" stopIfTrue="1">
      <formula>ISERROR(AZ34)</formula>
    </cfRule>
  </conditionalFormatting>
  <conditionalFormatting sqref="BJ13">
    <cfRule type="expression" dxfId="266" priority="197" stopIfTrue="1">
      <formula>ISERROR(BJ13)</formula>
    </cfRule>
  </conditionalFormatting>
  <conditionalFormatting sqref="AZ13">
    <cfRule type="expression" dxfId="265" priority="200" stopIfTrue="1">
      <formula>ISERROR(AZ13)</formula>
    </cfRule>
  </conditionalFormatting>
  <conditionalFormatting sqref="AW16:AX16">
    <cfRule type="expression" dxfId="264" priority="195" stopIfTrue="1">
      <formula>ISERROR(AW16)</formula>
    </cfRule>
  </conditionalFormatting>
  <conditionalFormatting sqref="AV16">
    <cfRule type="expression" dxfId="263" priority="194" stopIfTrue="1">
      <formula>ISERROR(AV16)</formula>
    </cfRule>
  </conditionalFormatting>
  <conditionalFormatting sqref="BD16">
    <cfRule type="expression" dxfId="262" priority="190" stopIfTrue="1">
      <formula>ISERROR(BD16)</formula>
    </cfRule>
  </conditionalFormatting>
  <conditionalFormatting sqref="AY16">
    <cfRule type="expression" dxfId="261" priority="193" stopIfTrue="1">
      <formula>ISERROR(AY16)</formula>
    </cfRule>
  </conditionalFormatting>
  <conditionalFormatting sqref="AZ17">
    <cfRule type="expression" dxfId="260" priority="279" stopIfTrue="1">
      <formula>ISERROR(AZ17)</formula>
    </cfRule>
  </conditionalFormatting>
  <conditionalFormatting sqref="BJ16">
    <cfRule type="expression" dxfId="259" priority="187" stopIfTrue="1">
      <formula>ISERROR(BJ16)</formula>
    </cfRule>
  </conditionalFormatting>
  <conditionalFormatting sqref="AZ38">
    <cfRule type="expression" dxfId="258" priority="277" stopIfTrue="1">
      <formula>ISERROR(AZ38)</formula>
    </cfRule>
  </conditionalFormatting>
  <conditionalFormatting sqref="AV19">
    <cfRule type="expression" dxfId="257" priority="186" stopIfTrue="1">
      <formula>ISERROR(AV19)</formula>
    </cfRule>
  </conditionalFormatting>
  <conditionalFormatting sqref="BE31">
    <cfRule type="expression" dxfId="256" priority="270" stopIfTrue="1">
      <formula>ISERROR(BE31)</formula>
    </cfRule>
  </conditionalFormatting>
  <conditionalFormatting sqref="BE37 BE34">
    <cfRule type="expression" dxfId="255" priority="269" stopIfTrue="1">
      <formula>ISERROR(BE34)</formula>
    </cfRule>
  </conditionalFormatting>
  <conditionalFormatting sqref="AX19">
    <cfRule type="expression" dxfId="254" priority="183" stopIfTrue="1">
      <formula>ISERROR(AX19)</formula>
    </cfRule>
  </conditionalFormatting>
  <conditionalFormatting sqref="BF18:BI18 AZ18">
    <cfRule type="expression" dxfId="253" priority="278" stopIfTrue="1">
      <formula>ISERROR(AZ18)</formula>
    </cfRule>
  </conditionalFormatting>
  <conditionalFormatting sqref="BD19">
    <cfRule type="expression" dxfId="252" priority="178" stopIfTrue="1">
      <formula>ISERROR(BD19)</formula>
    </cfRule>
  </conditionalFormatting>
  <conditionalFormatting sqref="AZ20:AZ21 BF21:BI21 AZ23">
    <cfRule type="expression" dxfId="251" priority="276" stopIfTrue="1">
      <formula>ISERROR(AZ20)</formula>
    </cfRule>
  </conditionalFormatting>
  <conditionalFormatting sqref="AZ39 BF39:BI39">
    <cfRule type="expression" dxfId="250" priority="275" stopIfTrue="1">
      <formula>ISERROR(AZ39)</formula>
    </cfRule>
  </conditionalFormatting>
  <conditionalFormatting sqref="AV22">
    <cfRule type="expression" dxfId="249" priority="185" stopIfTrue="1">
      <formula>ISERROR(AV22)</formula>
    </cfRule>
  </conditionalFormatting>
  <conditionalFormatting sqref="BD13">
    <cfRule type="expression" dxfId="248" priority="201" stopIfTrue="1">
      <formula>ISERROR(BD13)</formula>
    </cfRule>
  </conditionalFormatting>
  <conditionalFormatting sqref="AW19">
    <cfRule type="expression" dxfId="247" priority="184" stopIfTrue="1">
      <formula>ISERROR(AW19)</formula>
    </cfRule>
  </conditionalFormatting>
  <conditionalFormatting sqref="AZ50">
    <cfRule type="expression" dxfId="246" priority="273" stopIfTrue="1">
      <formula>ISERROR(AZ50)</formula>
    </cfRule>
  </conditionalFormatting>
  <conditionalFormatting sqref="BK16:CD16">
    <cfRule type="expression" dxfId="245" priority="256" stopIfTrue="1">
      <formula>ISERROR(BK16)</formula>
    </cfRule>
  </conditionalFormatting>
  <conditionalFormatting sqref="BK10:CD10">
    <cfRule type="expression" dxfId="244" priority="262" stopIfTrue="1">
      <formula>ISERROR(BK10)</formula>
    </cfRule>
  </conditionalFormatting>
  <conditionalFormatting sqref="AY19">
    <cfRule type="expression" dxfId="243" priority="182" stopIfTrue="1">
      <formula>ISERROR(AY19)</formula>
    </cfRule>
  </conditionalFormatting>
  <conditionalFormatting sqref="BA19">
    <cfRule type="expression" dxfId="242" priority="181" stopIfTrue="1">
      <formula>ISERROR(BA19)</formula>
    </cfRule>
  </conditionalFormatting>
  <conditionalFormatting sqref="BB19">
    <cfRule type="expression" dxfId="241" priority="180" stopIfTrue="1">
      <formula>ISERROR(BB19)</formula>
    </cfRule>
  </conditionalFormatting>
  <conditionalFormatting sqref="BC19">
    <cfRule type="expression" dxfId="240" priority="179" stopIfTrue="1">
      <formula>ISERROR(BC19)</formula>
    </cfRule>
  </conditionalFormatting>
  <conditionalFormatting sqref="BK11:CD11">
    <cfRule type="expression" dxfId="239" priority="261" stopIfTrue="1">
      <formula>ISERROR(BK11)</formula>
    </cfRule>
  </conditionalFormatting>
  <conditionalFormatting sqref="BJ12:CD12 BJ15:CD15 BK13:CD14">
    <cfRule type="expression" dxfId="238" priority="260" stopIfTrue="1">
      <formula>ISERROR(BJ12)</formula>
    </cfRule>
  </conditionalFormatting>
  <conditionalFormatting sqref="BK29:CD29">
    <cfRule type="expression" dxfId="237" priority="259" stopIfTrue="1">
      <formula>ISERROR(BK29)</formula>
    </cfRule>
  </conditionalFormatting>
  <conditionalFormatting sqref="BK30:CD30">
    <cfRule type="expression" dxfId="236" priority="258" stopIfTrue="1">
      <formula>ISERROR(BK30)</formula>
    </cfRule>
  </conditionalFormatting>
  <conditionalFormatting sqref="BJ31:CD31">
    <cfRule type="expression" dxfId="235" priority="257" stopIfTrue="1">
      <formula>ISERROR(BJ31)</formula>
    </cfRule>
  </conditionalFormatting>
  <conditionalFormatting sqref="BJ37:CD37 BK35:CD36 BJ34:CD34 BK32:CD33">
    <cfRule type="expression" dxfId="234" priority="255" stopIfTrue="1">
      <formula>ISERROR(BJ32)</formula>
    </cfRule>
  </conditionalFormatting>
  <conditionalFormatting sqref="BE19">
    <cfRule type="expression" dxfId="233" priority="177" stopIfTrue="1">
      <formula>ISERROR(BE19)</formula>
    </cfRule>
  </conditionalFormatting>
  <conditionalFormatting sqref="AZ19">
    <cfRule type="expression" dxfId="232" priority="176" stopIfTrue="1">
      <formula>ISERROR(AZ19)</formula>
    </cfRule>
  </conditionalFormatting>
  <conditionalFormatting sqref="BE11">
    <cfRule type="expression" dxfId="231" priority="272" stopIfTrue="1">
      <formula>ISERROR(BE11)</formula>
    </cfRule>
  </conditionalFormatting>
  <conditionalFormatting sqref="BJ19">
    <cfRule type="expression" dxfId="230" priority="175" stopIfTrue="1">
      <formula>ISERROR(BJ19)</formula>
    </cfRule>
  </conditionalFormatting>
  <conditionalFormatting sqref="BE12 BE15">
    <cfRule type="expression" dxfId="229" priority="271" stopIfTrue="1">
      <formula>ISERROR(BE12)</formula>
    </cfRule>
  </conditionalFormatting>
  <conditionalFormatting sqref="CD21:CD23">
    <cfRule type="expression" dxfId="228" priority="242" stopIfTrue="1">
      <formula>ISERROR(CD21)</formula>
    </cfRule>
  </conditionalFormatting>
  <conditionalFormatting sqref="BE40">
    <cfRule type="expression" dxfId="227" priority="264" stopIfTrue="1">
      <formula>ISERROR(BE40)</formula>
    </cfRule>
  </conditionalFormatting>
  <conditionalFormatting sqref="BE20">
    <cfRule type="expression" dxfId="226" priority="174" stopIfTrue="1">
      <formula>ISERROR(BE20)</formula>
    </cfRule>
  </conditionalFormatting>
  <conditionalFormatting sqref="BE18">
    <cfRule type="expression" dxfId="225" priority="268" stopIfTrue="1">
      <formula>ISERROR(BE18)</formula>
    </cfRule>
  </conditionalFormatting>
  <conditionalFormatting sqref="BE38">
    <cfRule type="expression" dxfId="224" priority="267" stopIfTrue="1">
      <formula>ISERROR(BE38)</formula>
    </cfRule>
  </conditionalFormatting>
  <conditionalFormatting sqref="BE21">
    <cfRule type="expression" dxfId="223" priority="266" stopIfTrue="1">
      <formula>ISERROR(BE21)</formula>
    </cfRule>
  </conditionalFormatting>
  <conditionalFormatting sqref="BE39">
    <cfRule type="expression" dxfId="222" priority="265" stopIfTrue="1">
      <formula>ISERROR(BE39)</formula>
    </cfRule>
  </conditionalFormatting>
  <conditionalFormatting sqref="BE50">
    <cfRule type="expression" dxfId="221" priority="263" stopIfTrue="1">
      <formula>ISERROR(BE50)</formula>
    </cfRule>
  </conditionalFormatting>
  <conditionalFormatting sqref="BK17:CD17">
    <cfRule type="expression" dxfId="220" priority="254" stopIfTrue="1">
      <formula>ISERROR(BK17)</formula>
    </cfRule>
  </conditionalFormatting>
  <conditionalFormatting sqref="BJ18:CD18">
    <cfRule type="expression" dxfId="219" priority="253" stopIfTrue="1">
      <formula>ISERROR(BJ18)</formula>
    </cfRule>
  </conditionalFormatting>
  <conditionalFormatting sqref="BJ40:CD40">
    <cfRule type="expression" dxfId="218" priority="248" stopIfTrue="1">
      <formula>ISERROR(BJ40)</formula>
    </cfRule>
  </conditionalFormatting>
  <conditionalFormatting sqref="BK38:CD38">
    <cfRule type="expression" dxfId="217" priority="252" stopIfTrue="1">
      <formula>ISERROR(BK38)</formula>
    </cfRule>
  </conditionalFormatting>
  <conditionalFormatting sqref="BK19:CD19">
    <cfRule type="expression" dxfId="216" priority="251" stopIfTrue="1">
      <formula>ISERROR(BK19)</formula>
    </cfRule>
  </conditionalFormatting>
  <conditionalFormatting sqref="BK20:CD20 BK21:BN23 BP21:BS23 BU21:BX23 BZ21:CC23">
    <cfRule type="expression" dxfId="215" priority="250" stopIfTrue="1">
      <formula>ISERROR(BK20)</formula>
    </cfRule>
  </conditionalFormatting>
  <conditionalFormatting sqref="BJ39:CD39">
    <cfRule type="expression" dxfId="214" priority="249" stopIfTrue="1">
      <formula>ISERROR(BJ39)</formula>
    </cfRule>
  </conditionalFormatting>
  <conditionalFormatting sqref="BJ50:CD50">
    <cfRule type="expression" dxfId="213" priority="247" stopIfTrue="1">
      <formula>ISERROR(BJ50)</formula>
    </cfRule>
  </conditionalFormatting>
  <conditionalFormatting sqref="BJ21">
    <cfRule type="expression" dxfId="212" priority="246" stopIfTrue="1">
      <formula>ISERROR(BJ21)</formula>
    </cfRule>
  </conditionalFormatting>
  <conditionalFormatting sqref="BO21:BO23">
    <cfRule type="expression" dxfId="211" priority="245" stopIfTrue="1">
      <formula>ISERROR(BO21)</formula>
    </cfRule>
  </conditionalFormatting>
  <conditionalFormatting sqref="BT21:BT23">
    <cfRule type="expression" dxfId="210" priority="244" stopIfTrue="1">
      <formula>ISERROR(BT21)</formula>
    </cfRule>
  </conditionalFormatting>
  <conditionalFormatting sqref="BY21:BY23">
    <cfRule type="expression" dxfId="209" priority="243" stopIfTrue="1">
      <formula>ISERROR(BY21)</formula>
    </cfRule>
  </conditionalFormatting>
  <conditionalFormatting sqref="B2:B5">
    <cfRule type="expression" dxfId="208" priority="241" stopIfTrue="1">
      <formula>ISERROR(B2)</formula>
    </cfRule>
  </conditionalFormatting>
  <conditionalFormatting sqref="BE7 B7 D7:AZ7 BJ7:CD7">
    <cfRule type="expression" dxfId="207" priority="240" stopIfTrue="1">
      <formula>ISERROR(B7)</formula>
    </cfRule>
  </conditionalFormatting>
  <conditionalFormatting sqref="BA7:BD7">
    <cfRule type="expression" dxfId="206" priority="239" stopIfTrue="1">
      <formula>ISERROR(BA7)</formula>
    </cfRule>
  </conditionalFormatting>
  <conditionalFormatting sqref="BE49">
    <cfRule type="expression" dxfId="205" priority="232" stopIfTrue="1">
      <formula>ISERROR(BE49)</formula>
    </cfRule>
  </conditionalFormatting>
  <conditionalFormatting sqref="BK42:CD42">
    <cfRule type="expression" dxfId="204" priority="231" stopIfTrue="1">
      <formula>ISERROR(BK42)</formula>
    </cfRule>
  </conditionalFormatting>
  <conditionalFormatting sqref="BK43:CD43">
    <cfRule type="expression" dxfId="203" priority="230" stopIfTrue="1">
      <formula>ISERROR(BK43)</formula>
    </cfRule>
  </conditionalFormatting>
  <conditionalFormatting sqref="BJ44:CD44">
    <cfRule type="expression" dxfId="202" priority="229" stopIfTrue="1">
      <formula>ISERROR(BJ44)</formula>
    </cfRule>
  </conditionalFormatting>
  <conditionalFormatting sqref="BJ49:CD49">
    <cfRule type="expression" dxfId="201" priority="227" stopIfTrue="1">
      <formula>ISERROR(BJ49)</formula>
    </cfRule>
  </conditionalFormatting>
  <conditionalFormatting sqref="BJ48:CD48">
    <cfRule type="expression" dxfId="200" priority="228" stopIfTrue="1">
      <formula>ISERROR(BJ48)</formula>
    </cfRule>
  </conditionalFormatting>
  <conditionalFormatting sqref="AZ44">
    <cfRule type="expression" dxfId="199" priority="237" stopIfTrue="1">
      <formula>ISERROR(AZ44)</formula>
    </cfRule>
  </conditionalFormatting>
  <conditionalFormatting sqref="AU43:AU44">
    <cfRule type="expression" dxfId="198" priority="238" stopIfTrue="1">
      <formula>ISERROR(AU43)</formula>
    </cfRule>
  </conditionalFormatting>
  <conditionalFormatting sqref="AZ48">
    <cfRule type="expression" dxfId="197" priority="236" stopIfTrue="1">
      <formula>ISERROR(AZ48)</formula>
    </cfRule>
  </conditionalFormatting>
  <conditionalFormatting sqref="BE44">
    <cfRule type="expression" dxfId="196" priority="234" stopIfTrue="1">
      <formula>ISERROR(BE44)</formula>
    </cfRule>
  </conditionalFormatting>
  <conditionalFormatting sqref="AZ49">
    <cfRule type="expression" dxfId="195" priority="235" stopIfTrue="1">
      <formula>ISERROR(AZ49)</formula>
    </cfRule>
  </conditionalFormatting>
  <conditionalFormatting sqref="BE48">
    <cfRule type="expression" dxfId="194" priority="233" stopIfTrue="1">
      <formula>ISERROR(BE48)</formula>
    </cfRule>
  </conditionalFormatting>
  <conditionalFormatting sqref="AZ66 BE66 BK64:CD65 BJ66:CD66">
    <cfRule type="expression" dxfId="193" priority="226" stopIfTrue="1">
      <formula>ISERROR(AZ64)</formula>
    </cfRule>
  </conditionalFormatting>
  <conditionalFormatting sqref="BJ61">
    <cfRule type="expression" dxfId="192" priority="138" stopIfTrue="1">
      <formula>ISERROR(BJ61)</formula>
    </cfRule>
  </conditionalFormatting>
  <conditionalFormatting sqref="BE68">
    <cfRule type="expression" dxfId="191" priority="219" stopIfTrue="1">
      <formula>ISERROR(BE68)</formula>
    </cfRule>
  </conditionalFormatting>
  <conditionalFormatting sqref="BK52:CD52">
    <cfRule type="expression" dxfId="190" priority="218" stopIfTrue="1">
      <formula>ISERROR(BK52)</formula>
    </cfRule>
  </conditionalFormatting>
  <conditionalFormatting sqref="BK53:CD53">
    <cfRule type="expression" dxfId="189" priority="217" stopIfTrue="1">
      <formula>ISERROR(BK53)</formula>
    </cfRule>
  </conditionalFormatting>
  <conditionalFormatting sqref="BJ54:CD54 BJ57:CD57 BK55:CD56">
    <cfRule type="expression" dxfId="188" priority="216" stopIfTrue="1">
      <formula>ISERROR(BJ54)</formula>
    </cfRule>
  </conditionalFormatting>
  <conditionalFormatting sqref="BJ68:CD68">
    <cfRule type="expression" dxfId="187" priority="214" stopIfTrue="1">
      <formula>ISERROR(BJ68)</formula>
    </cfRule>
  </conditionalFormatting>
  <conditionalFormatting sqref="BK67:CD67">
    <cfRule type="expression" dxfId="186" priority="215" stopIfTrue="1">
      <formula>ISERROR(BK67)</formula>
    </cfRule>
  </conditionalFormatting>
  <conditionalFormatting sqref="AZ54 AZ57">
    <cfRule type="expression" dxfId="185" priority="224" stopIfTrue="1">
      <formula>ISERROR(AZ54)</formula>
    </cfRule>
  </conditionalFormatting>
  <conditionalFormatting sqref="AU53:AU57">
    <cfRule type="expression" dxfId="184" priority="225" stopIfTrue="1">
      <formula>ISERROR(AU53)</formula>
    </cfRule>
  </conditionalFormatting>
  <conditionalFormatting sqref="AZ67">
    <cfRule type="expression" dxfId="183" priority="223" stopIfTrue="1">
      <formula>ISERROR(AZ67)</formula>
    </cfRule>
  </conditionalFormatting>
  <conditionalFormatting sqref="AZ68 BF68:BI68">
    <cfRule type="expression" dxfId="182" priority="222" stopIfTrue="1">
      <formula>ISERROR(AZ68)</formula>
    </cfRule>
  </conditionalFormatting>
  <conditionalFormatting sqref="BE23">
    <cfRule type="expression" dxfId="181" priority="163" stopIfTrue="1">
      <formula>ISERROR(BE23)</formula>
    </cfRule>
  </conditionalFormatting>
  <conditionalFormatting sqref="AW22">
    <cfRule type="expression" dxfId="180" priority="173" stopIfTrue="1">
      <formula>ISERROR(AW22)</formula>
    </cfRule>
  </conditionalFormatting>
  <conditionalFormatting sqref="BE54 BE57">
    <cfRule type="expression" dxfId="179" priority="221" stopIfTrue="1">
      <formula>ISERROR(BE54)</formula>
    </cfRule>
  </conditionalFormatting>
  <conditionalFormatting sqref="BE67">
    <cfRule type="expression" dxfId="178" priority="220" stopIfTrue="1">
      <formula>ISERROR(BE67)</formula>
    </cfRule>
  </conditionalFormatting>
  <conditionalFormatting sqref="BD52">
    <cfRule type="expression" dxfId="177" priority="131" stopIfTrue="1">
      <formula>ISERROR(BD52)</formula>
    </cfRule>
  </conditionalFormatting>
  <conditionalFormatting sqref="AU58:AU59">
    <cfRule type="expression" dxfId="176" priority="213" stopIfTrue="1">
      <formula>ISERROR(AU58)</formula>
    </cfRule>
  </conditionalFormatting>
  <conditionalFormatting sqref="BC52">
    <cfRule type="expression" dxfId="175" priority="132" stopIfTrue="1">
      <formula>ISERROR(BC52)</formula>
    </cfRule>
  </conditionalFormatting>
  <conditionalFormatting sqref="BJ10">
    <cfRule type="expression" dxfId="174" priority="207" stopIfTrue="1">
      <formula>ISERROR(BJ10)</formula>
    </cfRule>
  </conditionalFormatting>
  <conditionalFormatting sqref="BE53">
    <cfRule type="expression" dxfId="173" priority="127" stopIfTrue="1">
      <formula>ISERROR(BE53)</formula>
    </cfRule>
  </conditionalFormatting>
  <conditionalFormatting sqref="BJ53">
    <cfRule type="expression" dxfId="172" priority="126" stopIfTrue="1">
      <formula>ISERROR(BJ53)</formula>
    </cfRule>
  </conditionalFormatting>
  <conditionalFormatting sqref="BJ52">
    <cfRule type="expression" dxfId="171" priority="130" stopIfTrue="1">
      <formula>ISERROR(BJ52)</formula>
    </cfRule>
  </conditionalFormatting>
  <conditionalFormatting sqref="AZ52">
    <cfRule type="expression" dxfId="170" priority="128" stopIfTrue="1">
      <formula>ISERROR(AZ52)</formula>
    </cfRule>
  </conditionalFormatting>
  <conditionalFormatting sqref="BA13">
    <cfRule type="expression" dxfId="169" priority="202" stopIfTrue="1">
      <formula>ISERROR(BA13)</formula>
    </cfRule>
  </conditionalFormatting>
  <conditionalFormatting sqref="BE14">
    <cfRule type="expression" dxfId="168" priority="198" stopIfTrue="1">
      <formula>ISERROR(BE14)</formula>
    </cfRule>
  </conditionalFormatting>
  <conditionalFormatting sqref="BE52">
    <cfRule type="expression" dxfId="167" priority="129" stopIfTrue="1">
      <formula>ISERROR(BE52)</formula>
    </cfRule>
  </conditionalFormatting>
  <conditionalFormatting sqref="BE17">
    <cfRule type="expression" dxfId="166" priority="196" stopIfTrue="1">
      <formula>ISERROR(BE17)</formula>
    </cfRule>
  </conditionalFormatting>
  <conditionalFormatting sqref="BA16">
    <cfRule type="expression" dxfId="165" priority="191" stopIfTrue="1">
      <formula>ISERROR(BA16)</formula>
    </cfRule>
  </conditionalFormatting>
  <conditionalFormatting sqref="AZ16">
    <cfRule type="expression" dxfId="164" priority="189" stopIfTrue="1">
      <formula>ISERROR(AZ16)</formula>
    </cfRule>
  </conditionalFormatting>
  <conditionalFormatting sqref="BE16">
    <cfRule type="expression" dxfId="163" priority="188" stopIfTrue="1">
      <formula>ISERROR(BE16)</formula>
    </cfRule>
  </conditionalFormatting>
  <conditionalFormatting sqref="BJ22">
    <cfRule type="expression" dxfId="162" priority="164" stopIfTrue="1">
      <formula>ISERROR(BJ22)</formula>
    </cfRule>
  </conditionalFormatting>
  <conditionalFormatting sqref="AX22">
    <cfRule type="expression" dxfId="161" priority="172" stopIfTrue="1">
      <formula>ISERROR(AX22)</formula>
    </cfRule>
  </conditionalFormatting>
  <conditionalFormatting sqref="AY22">
    <cfRule type="expression" dxfId="160" priority="171" stopIfTrue="1">
      <formula>ISERROR(AY22)</formula>
    </cfRule>
  </conditionalFormatting>
  <conditionalFormatting sqref="BA22">
    <cfRule type="expression" dxfId="159" priority="170" stopIfTrue="1">
      <formula>ISERROR(BA22)</formula>
    </cfRule>
  </conditionalFormatting>
  <conditionalFormatting sqref="BB22">
    <cfRule type="expression" dxfId="158" priority="169" stopIfTrue="1">
      <formula>ISERROR(BB22)</formula>
    </cfRule>
  </conditionalFormatting>
  <conditionalFormatting sqref="BC22">
    <cfRule type="expression" dxfId="157" priority="168" stopIfTrue="1">
      <formula>ISERROR(BC22)</formula>
    </cfRule>
  </conditionalFormatting>
  <conditionalFormatting sqref="BD22">
    <cfRule type="expression" dxfId="156" priority="167" stopIfTrue="1">
      <formula>ISERROR(BD22)</formula>
    </cfRule>
  </conditionalFormatting>
  <conditionalFormatting sqref="AZ22">
    <cfRule type="expression" dxfId="155" priority="166" stopIfTrue="1">
      <formula>ISERROR(AZ22)</formula>
    </cfRule>
  </conditionalFormatting>
  <conditionalFormatting sqref="BE22">
    <cfRule type="expression" dxfId="154" priority="165" stopIfTrue="1">
      <formula>ISERROR(BE22)</formula>
    </cfRule>
  </conditionalFormatting>
  <conditionalFormatting sqref="AZ43">
    <cfRule type="expression" dxfId="153" priority="162" stopIfTrue="1">
      <formula>ISERROR(AZ43)</formula>
    </cfRule>
  </conditionalFormatting>
  <conditionalFormatting sqref="AV42">
    <cfRule type="expression" dxfId="152" priority="161" stopIfTrue="1">
      <formula>ISERROR(AV42)</formula>
    </cfRule>
  </conditionalFormatting>
  <conditionalFormatting sqref="AZ46">
    <cfRule type="expression" dxfId="151" priority="160" stopIfTrue="1">
      <formula>ISERROR(AZ46)</formula>
    </cfRule>
  </conditionalFormatting>
  <conditionalFormatting sqref="AV45">
    <cfRule type="expression" dxfId="150" priority="159" stopIfTrue="1">
      <formula>ISERROR(AV45)</formula>
    </cfRule>
  </conditionalFormatting>
  <conditionalFormatting sqref="BD42">
    <cfRule type="expression" dxfId="149" priority="158" stopIfTrue="1">
      <formula>ISERROR(BD42)</formula>
    </cfRule>
  </conditionalFormatting>
  <conditionalFormatting sqref="AZ42">
    <cfRule type="expression" dxfId="148" priority="157" stopIfTrue="1">
      <formula>ISERROR(AZ42)</formula>
    </cfRule>
  </conditionalFormatting>
  <conditionalFormatting sqref="BE42">
    <cfRule type="expression" dxfId="147" priority="156" stopIfTrue="1">
      <formula>ISERROR(BE42)</formula>
    </cfRule>
  </conditionalFormatting>
  <conditionalFormatting sqref="BJ42">
    <cfRule type="expression" dxfId="146" priority="155" stopIfTrue="1">
      <formula>ISERROR(BJ42)</formula>
    </cfRule>
  </conditionalFormatting>
  <conditionalFormatting sqref="BB45">
    <cfRule type="expression" dxfId="145" priority="148" stopIfTrue="1">
      <formula>ISERROR(BB45)</formula>
    </cfRule>
  </conditionalFormatting>
  <conditionalFormatting sqref="BE43">
    <cfRule type="expression" dxfId="144" priority="154" stopIfTrue="1">
      <formula>ISERROR(BE43)</formula>
    </cfRule>
  </conditionalFormatting>
  <conditionalFormatting sqref="BJ43">
    <cfRule type="expression" dxfId="143" priority="153" stopIfTrue="1">
      <formula>ISERROR(BJ43)</formula>
    </cfRule>
  </conditionalFormatting>
  <conditionalFormatting sqref="AW45">
    <cfRule type="expression" dxfId="142" priority="152" stopIfTrue="1">
      <formula>ISERROR(AW45)</formula>
    </cfRule>
  </conditionalFormatting>
  <conditionalFormatting sqref="AX45">
    <cfRule type="expression" dxfId="141" priority="151" stopIfTrue="1">
      <formula>ISERROR(AX45)</formula>
    </cfRule>
  </conditionalFormatting>
  <conditionalFormatting sqref="AY45">
    <cfRule type="expression" dxfId="140" priority="150" stopIfTrue="1">
      <formula>ISERROR(AY45)</formula>
    </cfRule>
  </conditionalFormatting>
  <conditionalFormatting sqref="BA45">
    <cfRule type="expression" dxfId="139" priority="149" stopIfTrue="1">
      <formula>ISERROR(BA45)</formula>
    </cfRule>
  </conditionalFormatting>
  <conditionalFormatting sqref="BC45">
    <cfRule type="expression" dxfId="138" priority="147" stopIfTrue="1">
      <formula>ISERROR(BC45)</formula>
    </cfRule>
  </conditionalFormatting>
  <conditionalFormatting sqref="AZ45">
    <cfRule type="expression" dxfId="137" priority="146" stopIfTrue="1">
      <formula>ISERROR(AZ45)</formula>
    </cfRule>
  </conditionalFormatting>
  <conditionalFormatting sqref="BE45">
    <cfRule type="expression" dxfId="136" priority="145" stopIfTrue="1">
      <formula>ISERROR(BE45)</formula>
    </cfRule>
  </conditionalFormatting>
  <conditionalFormatting sqref="BD45">
    <cfRule type="expression" dxfId="135" priority="144" stopIfTrue="1">
      <formula>ISERROR(BD45)</formula>
    </cfRule>
  </conditionalFormatting>
  <conditionalFormatting sqref="BJ45">
    <cfRule type="expression" dxfId="134" priority="143" stopIfTrue="1">
      <formula>ISERROR(BJ45)</formula>
    </cfRule>
  </conditionalFormatting>
  <conditionalFormatting sqref="BE46">
    <cfRule type="expression" dxfId="133" priority="142" stopIfTrue="1">
      <formula>ISERROR(BE46)</formula>
    </cfRule>
  </conditionalFormatting>
  <conditionalFormatting sqref="BJ46">
    <cfRule type="expression" dxfId="132" priority="141" stopIfTrue="1">
      <formula>ISERROR(BJ46)</formula>
    </cfRule>
  </conditionalFormatting>
  <conditionalFormatting sqref="AZ53">
    <cfRule type="expression" dxfId="131" priority="140" stopIfTrue="1">
      <formula>ISERROR(AZ53)</formula>
    </cfRule>
  </conditionalFormatting>
  <conditionalFormatting sqref="AV52">
    <cfRule type="expression" dxfId="130" priority="139" stopIfTrue="1">
      <formula>ISERROR(AV52)</formula>
    </cfRule>
  </conditionalFormatting>
  <conditionalFormatting sqref="AW52">
    <cfRule type="expression" dxfId="129" priority="137" stopIfTrue="1">
      <formula>ISERROR(AW52)</formula>
    </cfRule>
  </conditionalFormatting>
  <conditionalFormatting sqref="AX52">
    <cfRule type="expression" dxfId="128" priority="136" stopIfTrue="1">
      <formula>ISERROR(AX52)</formula>
    </cfRule>
  </conditionalFormatting>
  <conditionalFormatting sqref="AY52">
    <cfRule type="expression" dxfId="127" priority="135" stopIfTrue="1">
      <formula>ISERROR(AY52)</formula>
    </cfRule>
  </conditionalFormatting>
  <conditionalFormatting sqref="BA52">
    <cfRule type="expression" dxfId="126" priority="134" stopIfTrue="1">
      <formula>ISERROR(BA52)</formula>
    </cfRule>
  </conditionalFormatting>
  <conditionalFormatting sqref="BB52">
    <cfRule type="expression" dxfId="125" priority="133" stopIfTrue="1">
      <formula>ISERROR(BB52)</formula>
    </cfRule>
  </conditionalFormatting>
  <conditionalFormatting sqref="AZ30">
    <cfRule type="expression" dxfId="124" priority="125" stopIfTrue="1">
      <formula>ISERROR(AZ30)</formula>
    </cfRule>
  </conditionalFormatting>
  <conditionalFormatting sqref="AV29">
    <cfRule type="expression" dxfId="123" priority="124" stopIfTrue="1">
      <formula>ISERROR(AV29)</formula>
    </cfRule>
  </conditionalFormatting>
  <conditionalFormatting sqref="AZ56">
    <cfRule type="expression" dxfId="122" priority="123" stopIfTrue="1">
      <formula>ISERROR(AZ56)</formula>
    </cfRule>
  </conditionalFormatting>
  <conditionalFormatting sqref="AZ59">
    <cfRule type="expression" dxfId="121" priority="122" stopIfTrue="1">
      <formula>ISERROR(AZ59)</formula>
    </cfRule>
  </conditionalFormatting>
  <conditionalFormatting sqref="AV58">
    <cfRule type="expression" dxfId="120" priority="121" stopIfTrue="1">
      <formula>ISERROR(AV58)</formula>
    </cfRule>
  </conditionalFormatting>
  <conditionalFormatting sqref="AZ62">
    <cfRule type="expression" dxfId="119" priority="120" stopIfTrue="1">
      <formula>ISERROR(AZ62)</formula>
    </cfRule>
  </conditionalFormatting>
  <conditionalFormatting sqref="AZ65">
    <cfRule type="expression" dxfId="118" priority="119" stopIfTrue="1">
      <formula>ISERROR(AZ65)</formula>
    </cfRule>
  </conditionalFormatting>
  <conditionalFormatting sqref="AW29">
    <cfRule type="expression" dxfId="117" priority="118" stopIfTrue="1">
      <formula>ISERROR(AW29)</formula>
    </cfRule>
  </conditionalFormatting>
  <conditionalFormatting sqref="AX29">
    <cfRule type="expression" dxfId="116" priority="117" stopIfTrue="1">
      <formula>ISERROR(AX29)</formula>
    </cfRule>
  </conditionalFormatting>
  <conditionalFormatting sqref="AZ29">
    <cfRule type="expression" dxfId="115" priority="116" stopIfTrue="1">
      <formula>ISERROR(AZ29)</formula>
    </cfRule>
  </conditionalFormatting>
  <conditionalFormatting sqref="BE29">
    <cfRule type="expression" dxfId="114" priority="115" stopIfTrue="1">
      <formula>ISERROR(BE29)</formula>
    </cfRule>
  </conditionalFormatting>
  <conditionalFormatting sqref="BE30">
    <cfRule type="expression" dxfId="113" priority="114" stopIfTrue="1">
      <formula>ISERROR(BE30)</formula>
    </cfRule>
  </conditionalFormatting>
  <conditionalFormatting sqref="AY29">
    <cfRule type="expression" dxfId="112" priority="113" stopIfTrue="1">
      <formula>ISERROR(AY29)</formula>
    </cfRule>
  </conditionalFormatting>
  <conditionalFormatting sqref="BA29">
    <cfRule type="expression" dxfId="111" priority="112" stopIfTrue="1">
      <formula>ISERROR(BA29)</formula>
    </cfRule>
  </conditionalFormatting>
  <conditionalFormatting sqref="BB29">
    <cfRule type="expression" dxfId="110" priority="111" stopIfTrue="1">
      <formula>ISERROR(BB29)</formula>
    </cfRule>
  </conditionalFormatting>
  <conditionalFormatting sqref="BC29">
    <cfRule type="expression" dxfId="109" priority="110" stopIfTrue="1">
      <formula>ISERROR(BC29)</formula>
    </cfRule>
  </conditionalFormatting>
  <conditionalFormatting sqref="BD29">
    <cfRule type="expression" dxfId="108" priority="109" stopIfTrue="1">
      <formula>ISERROR(BD29)</formula>
    </cfRule>
  </conditionalFormatting>
  <conditionalFormatting sqref="BE35">
    <cfRule type="expression" dxfId="107" priority="101" stopIfTrue="1">
      <formula>ISERROR(BE35)</formula>
    </cfRule>
  </conditionalFormatting>
  <conditionalFormatting sqref="BJ29">
    <cfRule type="expression" dxfId="106" priority="108" stopIfTrue="1">
      <formula>ISERROR(BJ29)</formula>
    </cfRule>
  </conditionalFormatting>
  <conditionalFormatting sqref="BJ30">
    <cfRule type="expression" dxfId="105" priority="107" stopIfTrue="1">
      <formula>ISERROR(BJ30)</formula>
    </cfRule>
  </conditionalFormatting>
  <conditionalFormatting sqref="BA35">
    <cfRule type="expression" dxfId="104" priority="98" stopIfTrue="1">
      <formula>ISERROR(BA35)</formula>
    </cfRule>
  </conditionalFormatting>
  <conditionalFormatting sqref="BB35">
    <cfRule type="expression" dxfId="103" priority="97" stopIfTrue="1">
      <formula>ISERROR(BB35)</formula>
    </cfRule>
  </conditionalFormatting>
  <conditionalFormatting sqref="AZ36">
    <cfRule type="expression" dxfId="102" priority="106" stopIfTrue="1">
      <formula>ISERROR(AZ36)</formula>
    </cfRule>
  </conditionalFormatting>
  <conditionalFormatting sqref="AV35">
    <cfRule type="expression" dxfId="101" priority="105" stopIfTrue="1">
      <formula>ISERROR(AV35)</formula>
    </cfRule>
  </conditionalFormatting>
  <conditionalFormatting sqref="AW35">
    <cfRule type="expression" dxfId="100" priority="104" stopIfTrue="1">
      <formula>ISERROR(AW35)</formula>
    </cfRule>
  </conditionalFormatting>
  <conditionalFormatting sqref="AX35">
    <cfRule type="expression" dxfId="99" priority="103" stopIfTrue="1">
      <formula>ISERROR(AX35)</formula>
    </cfRule>
  </conditionalFormatting>
  <conditionalFormatting sqref="AZ35">
    <cfRule type="expression" dxfId="98" priority="102" stopIfTrue="1">
      <formula>ISERROR(AZ35)</formula>
    </cfRule>
  </conditionalFormatting>
  <conditionalFormatting sqref="BE36">
    <cfRule type="expression" dxfId="97" priority="100" stopIfTrue="1">
      <formula>ISERROR(BE36)</formula>
    </cfRule>
  </conditionalFormatting>
  <conditionalFormatting sqref="AY35">
    <cfRule type="expression" dxfId="96" priority="99" stopIfTrue="1">
      <formula>ISERROR(AY35)</formula>
    </cfRule>
  </conditionalFormatting>
  <conditionalFormatting sqref="BC35">
    <cfRule type="expression" dxfId="95" priority="96" stopIfTrue="1">
      <formula>ISERROR(BC35)</formula>
    </cfRule>
  </conditionalFormatting>
  <conditionalFormatting sqref="BD35">
    <cfRule type="expression" dxfId="94" priority="95" stopIfTrue="1">
      <formula>ISERROR(BD35)</formula>
    </cfRule>
  </conditionalFormatting>
  <conditionalFormatting sqref="BE32">
    <cfRule type="expression" dxfId="93" priority="87" stopIfTrue="1">
      <formula>ISERROR(BE32)</formula>
    </cfRule>
  </conditionalFormatting>
  <conditionalFormatting sqref="BJ35">
    <cfRule type="expression" dxfId="92" priority="94" stopIfTrue="1">
      <formula>ISERROR(BJ35)</formula>
    </cfRule>
  </conditionalFormatting>
  <conditionalFormatting sqref="BJ36">
    <cfRule type="expression" dxfId="91" priority="93" stopIfTrue="1">
      <formula>ISERROR(BJ36)</formula>
    </cfRule>
  </conditionalFormatting>
  <conditionalFormatting sqref="BA32">
    <cfRule type="expression" dxfId="90" priority="84" stopIfTrue="1">
      <formula>ISERROR(BA32)</formula>
    </cfRule>
  </conditionalFormatting>
  <conditionalFormatting sqref="BB32">
    <cfRule type="expression" dxfId="89" priority="83" stopIfTrue="1">
      <formula>ISERROR(BB32)</formula>
    </cfRule>
  </conditionalFormatting>
  <conditionalFormatting sqref="AZ33">
    <cfRule type="expression" dxfId="88" priority="92" stopIfTrue="1">
      <formula>ISERROR(AZ33)</formula>
    </cfRule>
  </conditionalFormatting>
  <conditionalFormatting sqref="AV32">
    <cfRule type="expression" dxfId="87" priority="91" stopIfTrue="1">
      <formula>ISERROR(AV32)</formula>
    </cfRule>
  </conditionalFormatting>
  <conditionalFormatting sqref="AW32">
    <cfRule type="expression" dxfId="86" priority="90" stopIfTrue="1">
      <formula>ISERROR(AW32)</formula>
    </cfRule>
  </conditionalFormatting>
  <conditionalFormatting sqref="AX32">
    <cfRule type="expression" dxfId="85" priority="89" stopIfTrue="1">
      <formula>ISERROR(AX32)</formula>
    </cfRule>
  </conditionalFormatting>
  <conditionalFormatting sqref="AZ32">
    <cfRule type="expression" dxfId="84" priority="88" stopIfTrue="1">
      <formula>ISERROR(AZ32)</formula>
    </cfRule>
  </conditionalFormatting>
  <conditionalFormatting sqref="BE33">
    <cfRule type="expression" dxfId="83" priority="86" stopIfTrue="1">
      <formula>ISERROR(BE33)</formula>
    </cfRule>
  </conditionalFormatting>
  <conditionalFormatting sqref="AY32">
    <cfRule type="expression" dxfId="82" priority="85" stopIfTrue="1">
      <formula>ISERROR(AY32)</formula>
    </cfRule>
  </conditionalFormatting>
  <conditionalFormatting sqref="BC32">
    <cfRule type="expression" dxfId="81" priority="82" stopIfTrue="1">
      <formula>ISERROR(BC32)</formula>
    </cfRule>
  </conditionalFormatting>
  <conditionalFormatting sqref="BD32">
    <cfRule type="expression" dxfId="80" priority="81" stopIfTrue="1">
      <formula>ISERROR(BD32)</formula>
    </cfRule>
  </conditionalFormatting>
  <conditionalFormatting sqref="AY42">
    <cfRule type="expression" dxfId="79" priority="76" stopIfTrue="1">
      <formula>ISERROR(AY42)</formula>
    </cfRule>
  </conditionalFormatting>
  <conditionalFormatting sqref="BJ32">
    <cfRule type="expression" dxfId="78" priority="80" stopIfTrue="1">
      <formula>ISERROR(BJ32)</formula>
    </cfRule>
  </conditionalFormatting>
  <conditionalFormatting sqref="BJ33">
    <cfRule type="expression" dxfId="77" priority="79" stopIfTrue="1">
      <formula>ISERROR(BJ33)</formula>
    </cfRule>
  </conditionalFormatting>
  <conditionalFormatting sqref="AW42">
    <cfRule type="expression" dxfId="76" priority="78" stopIfTrue="1">
      <formula>ISERROR(AW42)</formula>
    </cfRule>
  </conditionalFormatting>
  <conditionalFormatting sqref="AX42">
    <cfRule type="expression" dxfId="75" priority="77" stopIfTrue="1">
      <formula>ISERROR(AX42)</formula>
    </cfRule>
  </conditionalFormatting>
  <conditionalFormatting sqref="BA42">
    <cfRule type="expression" dxfId="74" priority="75" stopIfTrue="1">
      <formula>ISERROR(BA42)</formula>
    </cfRule>
  </conditionalFormatting>
  <conditionalFormatting sqref="BB42">
    <cfRule type="expression" dxfId="73" priority="74" stopIfTrue="1">
      <formula>ISERROR(BB42)</formula>
    </cfRule>
  </conditionalFormatting>
  <conditionalFormatting sqref="BC42">
    <cfRule type="expression" dxfId="72" priority="73" stopIfTrue="1">
      <formula>ISERROR(BC42)</formula>
    </cfRule>
  </conditionalFormatting>
  <conditionalFormatting sqref="BJ38">
    <cfRule type="expression" dxfId="71" priority="72" stopIfTrue="1">
      <formula>ISERROR(BJ38)</formula>
    </cfRule>
  </conditionalFormatting>
  <conditionalFormatting sqref="AV55">
    <cfRule type="expression" dxfId="70" priority="71" stopIfTrue="1">
      <formula>ISERROR(AV55)</formula>
    </cfRule>
  </conditionalFormatting>
  <conditionalFormatting sqref="AW55">
    <cfRule type="expression" dxfId="69" priority="70" stopIfTrue="1">
      <formula>ISERROR(AW55)</formula>
    </cfRule>
  </conditionalFormatting>
  <conditionalFormatting sqref="AX55">
    <cfRule type="expression" dxfId="68" priority="69" stopIfTrue="1">
      <formula>ISERROR(AX55)</formula>
    </cfRule>
  </conditionalFormatting>
  <conditionalFormatting sqref="AZ55">
    <cfRule type="expression" dxfId="67" priority="68" stopIfTrue="1">
      <formula>ISERROR(AZ55)</formula>
    </cfRule>
  </conditionalFormatting>
  <conditionalFormatting sqref="AY55">
    <cfRule type="expression" dxfId="66" priority="67" stopIfTrue="1">
      <formula>ISERROR(AY55)</formula>
    </cfRule>
  </conditionalFormatting>
  <conditionalFormatting sqref="BA55">
    <cfRule type="expression" dxfId="65" priority="66" stopIfTrue="1">
      <formula>ISERROR(BA55)</formula>
    </cfRule>
  </conditionalFormatting>
  <conditionalFormatting sqref="BB55">
    <cfRule type="expression" dxfId="64" priority="65" stopIfTrue="1">
      <formula>ISERROR(BB55)</formula>
    </cfRule>
  </conditionalFormatting>
  <conditionalFormatting sqref="BC55">
    <cfRule type="expression" dxfId="63" priority="64" stopIfTrue="1">
      <formula>ISERROR(BC55)</formula>
    </cfRule>
  </conditionalFormatting>
  <conditionalFormatting sqref="BD55">
    <cfRule type="expression" dxfId="62" priority="63" stopIfTrue="1">
      <formula>ISERROR(BD55)</formula>
    </cfRule>
  </conditionalFormatting>
  <conditionalFormatting sqref="BJ55">
    <cfRule type="expression" dxfId="61" priority="62" stopIfTrue="1">
      <formula>ISERROR(BJ55)</formula>
    </cfRule>
  </conditionalFormatting>
  <conditionalFormatting sqref="BE61">
    <cfRule type="expression" dxfId="60" priority="55" stopIfTrue="1">
      <formula>ISERROR(BE61)</formula>
    </cfRule>
  </conditionalFormatting>
  <conditionalFormatting sqref="BE56">
    <cfRule type="expression" dxfId="59" priority="61" stopIfTrue="1">
      <formula>ISERROR(BE56)</formula>
    </cfRule>
  </conditionalFormatting>
  <conditionalFormatting sqref="BJ56">
    <cfRule type="expression" dxfId="58" priority="60" stopIfTrue="1">
      <formula>ISERROR(BJ56)</formula>
    </cfRule>
  </conditionalFormatting>
  <conditionalFormatting sqref="AV61">
    <cfRule type="expression" dxfId="57" priority="59" stopIfTrue="1">
      <formula>ISERROR(AV61)</formula>
    </cfRule>
  </conditionalFormatting>
  <conditionalFormatting sqref="AW61">
    <cfRule type="expression" dxfId="56" priority="58" stopIfTrue="1">
      <formula>ISERROR(AW61)</formula>
    </cfRule>
  </conditionalFormatting>
  <conditionalFormatting sqref="AX61">
    <cfRule type="expression" dxfId="55" priority="57" stopIfTrue="1">
      <formula>ISERROR(AX61)</formula>
    </cfRule>
  </conditionalFormatting>
  <conditionalFormatting sqref="AZ61">
    <cfRule type="expression" dxfId="54" priority="56" stopIfTrue="1">
      <formula>ISERROR(AZ61)</formula>
    </cfRule>
  </conditionalFormatting>
  <conditionalFormatting sqref="AY61">
    <cfRule type="expression" dxfId="53" priority="54" stopIfTrue="1">
      <formula>ISERROR(AY61)</formula>
    </cfRule>
  </conditionalFormatting>
  <conditionalFormatting sqref="BA61">
    <cfRule type="expression" dxfId="52" priority="53" stopIfTrue="1">
      <formula>ISERROR(BA61)</formula>
    </cfRule>
  </conditionalFormatting>
  <conditionalFormatting sqref="BB61">
    <cfRule type="expression" dxfId="51" priority="52" stopIfTrue="1">
      <formula>ISERROR(BB61)</formula>
    </cfRule>
  </conditionalFormatting>
  <conditionalFormatting sqref="BC61">
    <cfRule type="expression" dxfId="50" priority="51" stopIfTrue="1">
      <formula>ISERROR(BC61)</formula>
    </cfRule>
  </conditionalFormatting>
  <conditionalFormatting sqref="BD61">
    <cfRule type="expression" dxfId="49" priority="50" stopIfTrue="1">
      <formula>ISERROR(BD61)</formula>
    </cfRule>
  </conditionalFormatting>
  <conditionalFormatting sqref="AV64">
    <cfRule type="expression" dxfId="48" priority="49" stopIfTrue="1">
      <formula>ISERROR(AV64)</formula>
    </cfRule>
  </conditionalFormatting>
  <conditionalFormatting sqref="AW64">
    <cfRule type="expression" dxfId="47" priority="48" stopIfTrue="1">
      <formula>ISERROR(AW64)</formula>
    </cfRule>
  </conditionalFormatting>
  <conditionalFormatting sqref="AX64">
    <cfRule type="expression" dxfId="46" priority="47" stopIfTrue="1">
      <formula>ISERROR(AX64)</formula>
    </cfRule>
  </conditionalFormatting>
  <conditionalFormatting sqref="AZ64">
    <cfRule type="expression" dxfId="45" priority="46" stopIfTrue="1">
      <formula>ISERROR(AZ64)</formula>
    </cfRule>
  </conditionalFormatting>
  <conditionalFormatting sqref="BE64">
    <cfRule type="expression" dxfId="44" priority="45" stopIfTrue="1">
      <formula>ISERROR(BE64)</formula>
    </cfRule>
  </conditionalFormatting>
  <conditionalFormatting sqref="AY64">
    <cfRule type="expression" dxfId="43" priority="44" stopIfTrue="1">
      <formula>ISERROR(AY64)</formula>
    </cfRule>
  </conditionalFormatting>
  <conditionalFormatting sqref="BA64">
    <cfRule type="expression" dxfId="42" priority="43" stopIfTrue="1">
      <formula>ISERROR(BA64)</formula>
    </cfRule>
  </conditionalFormatting>
  <conditionalFormatting sqref="BB64">
    <cfRule type="expression" dxfId="41" priority="42" stopIfTrue="1">
      <formula>ISERROR(BB64)</formula>
    </cfRule>
  </conditionalFormatting>
  <conditionalFormatting sqref="BC64">
    <cfRule type="expression" dxfId="40" priority="41" stopIfTrue="1">
      <formula>ISERROR(BC64)</formula>
    </cfRule>
  </conditionalFormatting>
  <conditionalFormatting sqref="BD64">
    <cfRule type="expression" dxfId="39" priority="40" stopIfTrue="1">
      <formula>ISERROR(BD64)</formula>
    </cfRule>
  </conditionalFormatting>
  <conditionalFormatting sqref="AX58">
    <cfRule type="expression" dxfId="38" priority="34" stopIfTrue="1">
      <formula>ISERROR(AX58)</formula>
    </cfRule>
  </conditionalFormatting>
  <conditionalFormatting sqref="BE62">
    <cfRule type="expression" dxfId="37" priority="39" stopIfTrue="1">
      <formula>ISERROR(BE62)</formula>
    </cfRule>
  </conditionalFormatting>
  <conditionalFormatting sqref="BJ62">
    <cfRule type="expression" dxfId="36" priority="38" stopIfTrue="1">
      <formula>ISERROR(BJ62)</formula>
    </cfRule>
  </conditionalFormatting>
  <conditionalFormatting sqref="BB58">
    <cfRule type="expression" dxfId="35" priority="31" stopIfTrue="1">
      <formula>ISERROR(BB58)</formula>
    </cfRule>
  </conditionalFormatting>
  <conditionalFormatting sqref="BE65">
    <cfRule type="expression" dxfId="34" priority="37" stopIfTrue="1">
      <formula>ISERROR(BE65)</formula>
    </cfRule>
  </conditionalFormatting>
  <conditionalFormatting sqref="BJ65">
    <cfRule type="expression" dxfId="33" priority="36" stopIfTrue="1">
      <formula>ISERROR(BJ65)</formula>
    </cfRule>
  </conditionalFormatting>
  <conditionalFormatting sqref="AW58">
    <cfRule type="expression" dxfId="32" priority="35" stopIfTrue="1">
      <formula>ISERROR(AW58)</formula>
    </cfRule>
  </conditionalFormatting>
  <conditionalFormatting sqref="AY58">
    <cfRule type="expression" dxfId="31" priority="33" stopIfTrue="1">
      <formula>ISERROR(AY58)</formula>
    </cfRule>
  </conditionalFormatting>
  <conditionalFormatting sqref="BA58">
    <cfRule type="expression" dxfId="30" priority="32" stopIfTrue="1">
      <formula>ISERROR(BA58)</formula>
    </cfRule>
  </conditionalFormatting>
  <conditionalFormatting sqref="BC58">
    <cfRule type="expression" dxfId="29" priority="30" stopIfTrue="1">
      <formula>ISERROR(BC58)</formula>
    </cfRule>
  </conditionalFormatting>
  <conditionalFormatting sqref="BD58">
    <cfRule type="expression" dxfId="28" priority="29" stopIfTrue="1">
      <formula>ISERROR(BD58)</formula>
    </cfRule>
  </conditionalFormatting>
  <conditionalFormatting sqref="BJ58">
    <cfRule type="expression" dxfId="27" priority="28" stopIfTrue="1">
      <formula>ISERROR(BJ58)</formula>
    </cfRule>
  </conditionalFormatting>
  <conditionalFormatting sqref="AZ58">
    <cfRule type="expression" dxfId="26" priority="27" stopIfTrue="1">
      <formula>ISERROR(AZ58)</formula>
    </cfRule>
  </conditionalFormatting>
  <conditionalFormatting sqref="BE55">
    <cfRule type="expression" dxfId="25" priority="26" stopIfTrue="1">
      <formula>ISERROR(BE55)</formula>
    </cfRule>
  </conditionalFormatting>
  <conditionalFormatting sqref="BE58">
    <cfRule type="expression" dxfId="24" priority="25" stopIfTrue="1">
      <formula>ISERROR(BE58)</formula>
    </cfRule>
  </conditionalFormatting>
  <conditionalFormatting sqref="BF19:BI19">
    <cfRule type="expression" dxfId="23" priority="18" stopIfTrue="1">
      <formula>ISERROR(BF19)</formula>
    </cfRule>
  </conditionalFormatting>
  <conditionalFormatting sqref="BE59">
    <cfRule type="expression" dxfId="22" priority="24" stopIfTrue="1">
      <formula>ISERROR(BE59)</formula>
    </cfRule>
  </conditionalFormatting>
  <conditionalFormatting sqref="BJ59">
    <cfRule type="expression" dxfId="21" priority="23" stopIfTrue="1">
      <formula>ISERROR(BJ59)</formula>
    </cfRule>
  </conditionalFormatting>
  <conditionalFormatting sqref="BJ67">
    <cfRule type="expression" dxfId="20" priority="22" stopIfTrue="1">
      <formula>ISERROR(BJ67)</formula>
    </cfRule>
  </conditionalFormatting>
  <conditionalFormatting sqref="BF10:BI10">
    <cfRule type="expression" dxfId="19" priority="21" stopIfTrue="1">
      <formula>ISERROR(BF10)</formula>
    </cfRule>
  </conditionalFormatting>
  <conditionalFormatting sqref="BF13:BI13">
    <cfRule type="expression" dxfId="18" priority="20" stopIfTrue="1">
      <formula>ISERROR(BF13)</formula>
    </cfRule>
  </conditionalFormatting>
  <conditionalFormatting sqref="BF16:BI16">
    <cfRule type="expression" dxfId="17" priority="19" stopIfTrue="1">
      <formula>ISERROR(BF16)</formula>
    </cfRule>
  </conditionalFormatting>
  <conditionalFormatting sqref="BF22:BI22">
    <cfRule type="expression" dxfId="16" priority="17" stopIfTrue="1">
      <formula>ISERROR(BF22)</formula>
    </cfRule>
  </conditionalFormatting>
  <conditionalFormatting sqref="BJ11">
    <cfRule type="expression" dxfId="15" priority="16" stopIfTrue="1">
      <formula>ISERROR(BJ11)</formula>
    </cfRule>
  </conditionalFormatting>
  <conditionalFormatting sqref="BJ14">
    <cfRule type="expression" dxfId="14" priority="15" stopIfTrue="1">
      <formula>ISERROR(BJ14)</formula>
    </cfRule>
  </conditionalFormatting>
  <conditionalFormatting sqref="BJ17">
    <cfRule type="expression" dxfId="13" priority="14" stopIfTrue="1">
      <formula>ISERROR(BJ17)</formula>
    </cfRule>
  </conditionalFormatting>
  <conditionalFormatting sqref="BJ20">
    <cfRule type="expression" dxfId="12" priority="13" stopIfTrue="1">
      <formula>ISERROR(BJ20)</formula>
    </cfRule>
  </conditionalFormatting>
  <conditionalFormatting sqref="BJ23">
    <cfRule type="expression" dxfId="11" priority="12" stopIfTrue="1">
      <formula>ISERROR(BJ23)</formula>
    </cfRule>
  </conditionalFormatting>
  <conditionalFormatting sqref="BF7:BI7">
    <cfRule type="expression" dxfId="10" priority="11" stopIfTrue="1">
      <formula>ISERROR(BF7)</formula>
    </cfRule>
  </conditionalFormatting>
  <conditionalFormatting sqref="BF29:BI29">
    <cfRule type="expression" dxfId="9" priority="10" stopIfTrue="1">
      <formula>ISERROR(BF29)</formula>
    </cfRule>
  </conditionalFormatting>
  <conditionalFormatting sqref="BF35:BI35">
    <cfRule type="expression" dxfId="8" priority="9" stopIfTrue="1">
      <formula>ISERROR(BF35)</formula>
    </cfRule>
  </conditionalFormatting>
  <conditionalFormatting sqref="BF32:BI32">
    <cfRule type="expression" dxfId="7" priority="8" stopIfTrue="1">
      <formula>ISERROR(BF32)</formula>
    </cfRule>
  </conditionalFormatting>
  <conditionalFormatting sqref="BF52:BI52">
    <cfRule type="expression" dxfId="6" priority="5" stopIfTrue="1">
      <formula>ISERROR(BF52)</formula>
    </cfRule>
  </conditionalFormatting>
  <conditionalFormatting sqref="BF42:BI42">
    <cfRule type="expression" dxfId="5" priority="7" stopIfTrue="1">
      <formula>ISERROR(BF42)</formula>
    </cfRule>
  </conditionalFormatting>
  <conditionalFormatting sqref="BF45:BI45">
    <cfRule type="expression" dxfId="4" priority="6" stopIfTrue="1">
      <formula>ISERROR(BF45)</formula>
    </cfRule>
  </conditionalFormatting>
  <conditionalFormatting sqref="BF55:BI55">
    <cfRule type="expression" dxfId="3" priority="4" stopIfTrue="1">
      <formula>ISERROR(BF55)</formula>
    </cfRule>
  </conditionalFormatting>
  <conditionalFormatting sqref="BF61:BI61">
    <cfRule type="expression" dxfId="2" priority="3" stopIfTrue="1">
      <formula>ISERROR(BF61)</formula>
    </cfRule>
  </conditionalFormatting>
  <conditionalFormatting sqref="BF64:BI64">
    <cfRule type="expression" dxfId="1" priority="2" stopIfTrue="1">
      <formula>ISERROR(BF64)</formula>
    </cfRule>
  </conditionalFormatting>
  <conditionalFormatting sqref="BF58:BI58">
    <cfRule type="expression" dxfId="0" priority="1" stopIfTrue="1">
      <formula>ISERROR(BF58)</formula>
    </cfRule>
  </conditionalFormatting>
  <dataValidations disablePrompts="1" count="1">
    <dataValidation type="custom" allowBlank="1" showInputMessage="1" showErrorMessage="1" sqref="R7:U8 AG7:AJ8 AB7:AE8 AL7:AO8 AQ7:AT8 AV7:AY8 W7:Z8 BF8:BI8 BP8:BS8 BU8:BX8 BZ8:CC8 BK8:BN8 BA7:BD8" xr:uid="{00000000-0002-0000-0700-000000000000}">
      <formula1>-1</formula1>
    </dataValidation>
  </dataValidation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5</vt:i4>
      </vt:variant>
    </vt:vector>
  </HeadingPairs>
  <TitlesOfParts>
    <vt:vector size="13" baseType="lpstr">
      <vt:lpstr>Sales</vt:lpstr>
      <vt:lpstr>IS</vt:lpstr>
      <vt:lpstr>SOTP</vt:lpstr>
      <vt:lpstr>WSO Cover Page</vt:lpstr>
      <vt:lpstr>DCF</vt:lpstr>
      <vt:lpstr>Key Products</vt:lpstr>
      <vt:lpstr>BS &amp; CF</vt:lpstr>
      <vt:lpstr>FX</vt:lpstr>
      <vt:lpstr>'BS &amp; CF'!Print_Area</vt:lpstr>
      <vt:lpstr>IS!Print_Area</vt:lpstr>
      <vt:lpstr>'Key Products'!Print_Area</vt:lpstr>
      <vt:lpstr>Sales!Print_Area</vt:lpstr>
      <vt:lpstr>SOTP!Print_Area</vt:lpstr>
    </vt:vector>
  </TitlesOfParts>
  <Company>JPMorgan Chase &amp; Co.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Lin, Wendy L</dc:creator>
  <cp:lastModifiedBy>Crystal Zhang</cp:lastModifiedBy>
  <dcterms:created xsi:type="dcterms:W3CDTF">2016-03-16T01:29:24Z</dcterms:created>
  <dcterms:modified xsi:type="dcterms:W3CDTF">2020-08-24T15:57:08Z</dcterms:modified>
</cp:coreProperties>
</file>